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09_MID_CW_NHHIP/TGC BCA/MID_CW_NHHIP_Phase 2_Final BCA/"/>
    </mc:Choice>
  </mc:AlternateContent>
  <xr:revisionPtr revIDLastSave="2" documentId="8_{3EBB1C21-5269-4986-B3C4-B1727D0F4332}" xr6:coauthVersionLast="47" xr6:coauthVersionMax="47" xr10:uidLastSave="{4F8FEE91-4041-493B-AFDD-9E9057B1D0A1}"/>
  <bookViews>
    <workbookView xWindow="-108" yWindow="-108" windowWidth="23256" windowHeight="12576" tabRatio="906" firstSheet="3" activeTab="5" xr2:uid="{2133CFED-2C9B-4D87-B320-66A68CC56947}"/>
  </bookViews>
  <sheets>
    <sheet name="Table for Memo for HGAC" sheetId="277" state="hidden" r:id="rId1"/>
    <sheet name="Tables for Memo" sheetId="213" state="hidden" r:id="rId2"/>
    <sheet name="Master Key" sheetId="142" state="hidden" r:id="rId3"/>
    <sheet name="Major Assumption Key" sheetId="207" r:id="rId4"/>
    <sheet name="BCA Guide - Parameter Values" sheetId="237" r:id="rId5"/>
    <sheet name="BCA Summary" sheetId="85" r:id="rId6"/>
    <sheet name="Cost Summary" sheetId="1" r:id="rId7"/>
    <sheet name="Benefits Summary" sheetId="78" r:id="rId8"/>
    <sheet name="Useful Life" sheetId="145" r:id="rId9"/>
    <sheet name="Non-Roadway Maintenance" sheetId="244" state="hidden" r:id="rId10"/>
    <sheet name="State of Good Repair AP-CP" sheetId="242" state="hidden" r:id="rId11"/>
    <sheet name="SOGR Supporting AP-CP" sheetId="243" state="hidden" r:id="rId12"/>
    <sheet name="State of Good Repair - AP-AP" sheetId="170" state="hidden" r:id="rId13"/>
    <sheet name="SOGR Supporting AP-AP" sheetId="179" state="hidden" r:id="rId14"/>
    <sheet name="State of Good Repair CP-CP " sheetId="182" state="hidden" r:id="rId15"/>
    <sheet name="SOGR Supporting CP-CP" sheetId="183" state="hidden" r:id="rId16"/>
    <sheet name="Cost of Rehab" sheetId="271" state="hidden" r:id="rId17"/>
    <sheet name="Life Cycle of Rehabilitation" sheetId="241" state="hidden" r:id="rId18"/>
    <sheet name="Pavement Data" sheetId="269" state="hidden" r:id="rId19"/>
    <sheet name="Roadway Safety" sheetId="99" state="hidden" r:id="rId20"/>
    <sheet name="Road Safety CRTMeasure" sheetId="97" state="hidden" r:id="rId21"/>
    <sheet name="Road S Data CRTMeasure" sheetId="112" state="hidden" r:id="rId22"/>
    <sheet name="Pedestrian Safety" sheetId="186" r:id="rId23"/>
    <sheet name="Ped Safety CRTMeasure" sheetId="187" r:id="rId24"/>
    <sheet name="Ped S Data CRTMeasure" sheetId="188" r:id="rId25"/>
    <sheet name="Bike Safety" sheetId="189" r:id="rId26"/>
    <sheet name="Bike Safety CRTMeasure" sheetId="190" r:id="rId27"/>
    <sheet name="Bike S Data CRTMeasure " sheetId="191" r:id="rId28"/>
    <sheet name="Safety Ref. - All Crash Data" sheetId="109" r:id="rId29"/>
    <sheet name="Safety Ref. CRIS Codes" sheetId="103" r:id="rId30"/>
    <sheet name="Facility Improve - Ped" sheetId="223" r:id="rId31"/>
    <sheet name="Facility Improve - Bike" sheetId="227" r:id="rId32"/>
    <sheet name="Facility Improve - Transit Stop" sheetId="229" state="hidden" r:id="rId33"/>
    <sheet name="Serve Improve - Transit Mode" sheetId="252" state="hidden" r:id="rId34"/>
    <sheet name="Amenity Improve - Transit Veh " sheetId="238" state="hidden" r:id="rId35"/>
    <sheet name="Pedestrian Demand" sheetId="140" r:id="rId36"/>
    <sheet name="Bike Demand" sheetId="214" r:id="rId37"/>
    <sheet name="Transit Demand" sheetId="167" r:id="rId38"/>
    <sheet name="Transit Demand - Modal" sheetId="253" state="hidden" r:id="rId39"/>
    <sheet name="Amenity Condition" sheetId="260" state="hidden" r:id="rId40"/>
    <sheet name="BOOST Pilot Segment" sheetId="259" state="hidden" r:id="rId41"/>
    <sheet name="Metro_Ridership" sheetId="261" state="hidden" r:id="rId42"/>
    <sheet name="Break Note 4" sheetId="234" state="hidden" r:id="rId43"/>
    <sheet name="Value of Travel Time" sheetId="185" state="hidden" r:id="rId44"/>
    <sheet name="VOTT Supporting - Auto" sheetId="184" state="hidden" r:id="rId45"/>
    <sheet name="VOTT Supporting - Transit TSP" sheetId="265" state="hidden" r:id="rId46"/>
    <sheet name="VOTT Supporting - Transit" sheetId="263" state="hidden" r:id="rId47"/>
    <sheet name="VOTT Supporting - Walking" sheetId="250" state="hidden" r:id="rId48"/>
    <sheet name="VOTT Supporting - Cycling" sheetId="264" state="hidden" r:id="rId49"/>
    <sheet name="Break Note 5" sheetId="246" state="hidden" r:id="rId50"/>
    <sheet name="Operating Cost Savings" sheetId="162" state="hidden" r:id="rId51"/>
    <sheet name="Mortality Reduction - Walk" sheetId="159" r:id="rId52"/>
    <sheet name="Mortality Reduction - Bike" sheetId="116" r:id="rId53"/>
    <sheet name="Emission Reduction (VMT)" sheetId="274" state="hidden" r:id="rId54"/>
    <sheet name="Emission Reduction (Metric Ton)" sheetId="275" r:id="rId55"/>
    <sheet name="Other Highway Use Externalities" sheetId="231" r:id="rId56"/>
    <sheet name="VMT Reduction Supporting" sheetId="272" r:id="rId57"/>
    <sheet name="Emissions and Fuel" sheetId="174" r:id="rId58"/>
    <sheet name="Emission Factors" sheetId="210" r:id="rId59"/>
    <sheet name="Break Note 8" sheetId="236" state="hidden" r:id="rId60"/>
    <sheet name="Auto Idling Benefit - Fuel" sheetId="175" state="hidden" r:id="rId61"/>
    <sheet name="Auto Idling Env. Benefits" sheetId="212" state="hidden" r:id="rId62"/>
    <sheet name="Auto Idling Supporting" sheetId="267" state="hidden" r:id="rId63"/>
    <sheet name="Break Note 9" sheetId="208" state="hidden" r:id="rId64"/>
    <sheet name="Repurposed ROW" sheetId="254" state="hidden" r:id="rId65"/>
    <sheet name="Break Note 10" sheetId="255" state="hidden" r:id="rId66"/>
    <sheet name="Prop. Tax Inc Sidewalk" sheetId="197" state="hidden" r:id="rId67"/>
    <sheet name="Prop. Tax Inc Sidewalk Supp" sheetId="198" state="hidden" r:id="rId68"/>
    <sheet name="Prop. Tax Inc Bike Lane" sheetId="200" state="hidden" r:id="rId69"/>
    <sheet name="Prop. Tax Inc Bike Lane Supp" sheetId="201" state="hidden" r:id="rId70"/>
    <sheet name="Prop. Tax Inc Sidewalk &amp; Bike" sheetId="202" state="hidden" r:id="rId71"/>
    <sheet name="P. Tax Inc Sidewalk &amp; Bike Supp" sheetId="203" state="hidden" r:id="rId72"/>
    <sheet name="Prop. Tax Inc Shared Use Path" sheetId="204" state="hidden" r:id="rId73"/>
    <sheet name="P. Tax Inc Shared Use Path Supp" sheetId="205" state="hidden" r:id="rId74"/>
    <sheet name="HCAD Data" sheetId="270" state="hidden" r:id="rId75"/>
    <sheet name="LU Codes" sheetId="215" state="hidden" r:id="rId76"/>
    <sheet name="Rail to Truck Emissions" sheetId="90" state="hidden" r:id="rId77"/>
  </sheets>
  <definedNames>
    <definedName name="_2018_2025_Demand_Growth" localSheetId="43">#REF!</definedName>
    <definedName name="_2018_2025_Demand_Growth" localSheetId="44">#REF!</definedName>
    <definedName name="_2018_2025_Demand_Growth" localSheetId="45">#REF!</definedName>
    <definedName name="_2018_2025_Demand_Growth">#REF!</definedName>
    <definedName name="_2018_2025_V_C_Growth" localSheetId="43">#REF!</definedName>
    <definedName name="_2018_2025_V_C_Growth" localSheetId="44">#REF!</definedName>
    <definedName name="_2018_2025_V_C_Growth" localSheetId="45">#REF!</definedName>
    <definedName name="_2018_2025_V_C_Growth">#REF!</definedName>
    <definedName name="_2018_2040_Demand_Growth">#REF!</definedName>
    <definedName name="_2018_2040_V_C_Growth">#REF!</definedName>
    <definedName name="_2018_Capacity" localSheetId="43">#REF!</definedName>
    <definedName name="_2018_Capacity">#REF!</definedName>
    <definedName name="_2018_V_C_Ratio" localSheetId="43">#REF!</definedName>
    <definedName name="_2018_V_C_Ratio" localSheetId="44">#REF!</definedName>
    <definedName name="_2018_V_C_Ratio" localSheetId="45">#REF!</definedName>
    <definedName name="_2018_V_C_Ratio">#REF!</definedName>
    <definedName name="_2018_Volume" localSheetId="43">#REF!</definedName>
    <definedName name="_2018_Volume">#REF!</definedName>
    <definedName name="_2025_2040_Demand_Growth" localSheetId="43">#REF!</definedName>
    <definedName name="_2025_2040_Demand_Growth" localSheetId="44">#REF!</definedName>
    <definedName name="_2025_2040_Demand_Growth" localSheetId="45">#REF!</definedName>
    <definedName name="_2025_2040_Demand_Growth">#REF!</definedName>
    <definedName name="_2025_2040_V_C_Growth" localSheetId="43">#REF!</definedName>
    <definedName name="_2025_2040_V_C_Growth" localSheetId="44">#REF!</definedName>
    <definedName name="_2025_2040_V_C_Growth" localSheetId="45">#REF!</definedName>
    <definedName name="_2025_2040_V_C_Growth">#REF!</definedName>
    <definedName name="_2025_Capacity" localSheetId="43">#REF!</definedName>
    <definedName name="_2025_Capacity">#REF!</definedName>
    <definedName name="_2025_V_C_Ratio" localSheetId="43">#REF!</definedName>
    <definedName name="_2025_V_C_Ratio" localSheetId="44">#REF!</definedName>
    <definedName name="_2025_V_C_Ratio" localSheetId="45">#REF!</definedName>
    <definedName name="_2025_V_C_Ratio">#REF!</definedName>
    <definedName name="_2025_Volume" localSheetId="43">#REF!</definedName>
    <definedName name="_2025_Volume">#REF!</definedName>
    <definedName name="_2040_Capacity" localSheetId="43">#REF!</definedName>
    <definedName name="_2040_Capacity">#REF!</definedName>
    <definedName name="_2040_V_C_Ratio" localSheetId="43">#REF!</definedName>
    <definedName name="_2040_V_C_Ratio" localSheetId="44">#REF!</definedName>
    <definedName name="_2040_V_C_Ratio" localSheetId="45">#REF!</definedName>
    <definedName name="_2040_V_C_Ratio">#REF!</definedName>
    <definedName name="_2040_Volume" localSheetId="43">#REF!</definedName>
    <definedName name="_2040_Volume">#REF!</definedName>
    <definedName name="_xlnm._FilterDatabase" localSheetId="39" hidden="1">'Amenity Condition'!$A$3:$L$3</definedName>
    <definedName name="_xlnm._FilterDatabase" localSheetId="27" hidden="1">'Bike S Data CRTMeasure '!$T$1:$T$1</definedName>
    <definedName name="_xlnm._FilterDatabase" localSheetId="6" hidden="1">'Cost Summary'!$B$50:$B$83</definedName>
    <definedName name="_xlnm._FilterDatabase" localSheetId="2" hidden="1">'Master Key'!$A$1:$G$82</definedName>
    <definedName name="_xlnm._FilterDatabase" localSheetId="24" hidden="1">'Ped S Data CRTMeasure'!$T$1:$T$1</definedName>
    <definedName name="_xlnm._FilterDatabase" localSheetId="21" hidden="1">'Road S Data CRTMeasure'!#REF!</definedName>
    <definedName name="_xlnm._FilterDatabase" localSheetId="28" hidden="1">'Safety Ref. - All Crash Data'!$A$4:$FW$196</definedName>
    <definedName name="_ftn1" localSheetId="1">'Tables for Memo'!$A$64</definedName>
    <definedName name="_ftnref1" localSheetId="1">'Tables for Memo'!$G$70</definedName>
    <definedName name="_Toc75351326" localSheetId="1">'Tables for Memo'!$A$172</definedName>
    <definedName name="_Toc75351327" localSheetId="1">'Tables for Memo'!#REF!</definedName>
    <definedName name="Annual_Days_of_Travel" localSheetId="43">#REF!</definedName>
    <definedName name="Annual_Days_of_Travel" localSheetId="44">#REF!</definedName>
    <definedName name="Annual_Days_of_Travel" localSheetId="45">#REF!</definedName>
    <definedName name="Annual_Days_of_Travel">#REF!</definedName>
    <definedName name="Base_Year" localSheetId="43">#REF!</definedName>
    <definedName name="Base_Year" localSheetId="44">#REF!</definedName>
    <definedName name="Base_Year" localSheetId="45">#REF!</definedName>
    <definedName name="Base_Year">#REF!</definedName>
    <definedName name="Discount_Rate" localSheetId="43">#REF!</definedName>
    <definedName name="Discount_Rate" localSheetId="44">#REF!</definedName>
    <definedName name="Discount_Rate" localSheetId="45">#REF!</definedName>
    <definedName name="Discount_Rate">#REF!</definedName>
    <definedName name="Name" localSheetId="34">'BCA Summary:Emission Factors'!$B$1</definedName>
    <definedName name="Name" localSheetId="61">'BCA Summary:Emission Factors'!$B$1</definedName>
    <definedName name="Name" localSheetId="62">#REF!</definedName>
    <definedName name="Name" localSheetId="31">'BCA Summary:Emission Factors'!$B$1</definedName>
    <definedName name="Name" localSheetId="30">'BCA Summary:Emission Factors'!$B$1</definedName>
    <definedName name="Name" localSheetId="32">'BCA Summary:Emission Factors'!$B$1</definedName>
    <definedName name="Name" localSheetId="73">#REF!</definedName>
    <definedName name="Name" localSheetId="71">#REF!</definedName>
    <definedName name="Name" localSheetId="68">#REF!</definedName>
    <definedName name="Name" localSheetId="69">#REF!</definedName>
    <definedName name="Name" localSheetId="72">#REF!</definedName>
    <definedName name="Name" localSheetId="66">#REF!</definedName>
    <definedName name="Name" localSheetId="70">#REF!</definedName>
    <definedName name="Name" localSheetId="67">#REF!</definedName>
    <definedName name="Name" localSheetId="64">'BCA Summary:Emission Factors'!$B$1</definedName>
    <definedName name="Name" localSheetId="33">'BCA Summary:Emission Factors'!$B$1</definedName>
    <definedName name="Name" localSheetId="13">#REF!</definedName>
    <definedName name="Name" localSheetId="11">#REF!</definedName>
    <definedName name="Name" localSheetId="15">#REF!</definedName>
    <definedName name="Name" localSheetId="12">#REF!</definedName>
    <definedName name="Name" localSheetId="10">#REF!</definedName>
    <definedName name="Name" localSheetId="14">#REF!</definedName>
    <definedName name="Name" localSheetId="43">#REF!</definedName>
    <definedName name="Name" localSheetId="44">#REF!</definedName>
    <definedName name="Name" localSheetId="46">'BCA Summary:Emission Factors'!$B$1</definedName>
    <definedName name="Name" localSheetId="45">#REF!</definedName>
    <definedName name="Name">'BCA Summary:Emission Factors'!$B$1</definedName>
    <definedName name="Real_wage_growth_rate" localSheetId="43">#REF!</definedName>
    <definedName name="Real_wage_growth_rate" localSheetId="44">#REF!</definedName>
    <definedName name="Real_wage_growth_rate" localSheetId="45">#REF!</definedName>
    <definedName name="Real_wage_growth_rate">#REF!</definedName>
    <definedName name="Value_of_Delay_Savings__2015_____000s" localSheetId="43">#REF!</definedName>
    <definedName name="Value_of_Delay_Savings__2015_____000s">#REF!</definedName>
    <definedName name="Value_of_Travel_Time__VoTT___2015" localSheetId="43">#REF!</definedName>
    <definedName name="Value_of_Travel_Time__VoTT___2015" localSheetId="44">#REF!</definedName>
    <definedName name="Value_of_Travel_Time__VoTT___2015" localSheetId="45">#REF!</definedName>
    <definedName name="Value_of_Travel_Time__VoTT___2015">#REF!</definedName>
    <definedName name="Vehicle_Occupancy" localSheetId="43">#REF!</definedName>
    <definedName name="Vehicle_Occupancy" localSheetId="44">#REF!</definedName>
    <definedName name="Vehicle_Occupancy" localSheetId="45">#REF!</definedName>
    <definedName name="Vehicle_Occupancy">#REF!</definedName>
    <definedName name="Year_Open_to_Traffic?" localSheetId="43">#REF!</definedName>
    <definedName name="Year_Open_to_Traffic?">#REF!</definedName>
    <definedName name="Years_to_include_in_BCA_Analysis" localSheetId="43">#REF!</definedName>
    <definedName name="Years_to_include_in_BCA_Analysis" localSheetId="44">#REF!</definedName>
    <definedName name="Years_to_include_in_BCA_Analysis" localSheetId="45">#REF!</definedName>
    <definedName name="Years_to_include_in_BCA_Analysis">#REF!</definedName>
  </definedNames>
  <calcPr calcId="191028"/>
  <pivotCaches>
    <pivotCache cacheId="373" r:id="rId78"/>
    <pivotCache cacheId="374" r:id="rId79"/>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207" l="1"/>
  <c r="B25" i="1"/>
  <c r="D26" i="186"/>
  <c r="D27" i="186"/>
  <c r="D28" i="186"/>
  <c r="D29" i="186"/>
  <c r="D32" i="189"/>
  <c r="D29" i="189"/>
  <c r="D30" i="189"/>
  <c r="D31" i="189"/>
  <c r="D28" i="189"/>
  <c r="F8" i="187"/>
  <c r="F9" i="187"/>
  <c r="F10" i="187"/>
  <c r="F11" i="187"/>
  <c r="F12" i="187"/>
  <c r="F7" i="187"/>
  <c r="E8" i="190"/>
  <c r="F8" i="190"/>
  <c r="E9" i="190"/>
  <c r="F9" i="190"/>
  <c r="E10" i="190"/>
  <c r="F10" i="190"/>
  <c r="E11" i="190"/>
  <c r="F11" i="190"/>
  <c r="E12" i="190"/>
  <c r="F12" i="190"/>
  <c r="F7" i="190"/>
  <c r="E7" i="190"/>
  <c r="C8" i="190"/>
  <c r="C9" i="190"/>
  <c r="C10" i="190"/>
  <c r="C11" i="190"/>
  <c r="C12" i="190"/>
  <c r="C7" i="190"/>
  <c r="B114" i="277"/>
  <c r="T48" i="275" l="1"/>
  <c r="L48" i="275"/>
  <c r="C35" i="277"/>
  <c r="C34" i="277"/>
  <c r="C33" i="277"/>
  <c r="C32" i="277"/>
  <c r="A114" i="277"/>
  <c r="D35" i="277"/>
  <c r="B35" i="277"/>
  <c r="C27" i="277"/>
  <c r="C26" i="277"/>
  <c r="C22" i="277"/>
  <c r="D27" i="277" s="1"/>
  <c r="C21" i="277"/>
  <c r="D26" i="277" s="1"/>
  <c r="B74" i="277" l="1"/>
  <c r="E34" i="277" l="1"/>
  <c r="B34" i="277"/>
  <c r="D34" i="277" s="1"/>
  <c r="E33" i="277"/>
  <c r="B33" i="277"/>
  <c r="D33" i="277" s="1"/>
  <c r="E32" i="277"/>
  <c r="B32" i="277"/>
  <c r="D32" i="277" s="1"/>
  <c r="D51" i="140"/>
  <c r="E35" i="277" l="1"/>
  <c r="C56" i="167"/>
  <c r="C57" i="167"/>
  <c r="C58" i="167"/>
  <c r="C59" i="167"/>
  <c r="C60" i="167"/>
  <c r="C61" i="167"/>
  <c r="C62" i="167"/>
  <c r="C63" i="167"/>
  <c r="C64" i="167" s="1"/>
  <c r="C65" i="167" s="1"/>
  <c r="C66" i="167" s="1"/>
  <c r="C67" i="167" s="1"/>
  <c r="C68" i="167" s="1"/>
  <c r="C69" i="167" s="1"/>
  <c r="C70" i="167" s="1"/>
  <c r="C71" i="167" s="1"/>
  <c r="C72" i="167" s="1"/>
  <c r="C73" i="167" s="1"/>
  <c r="C74" i="167" s="1"/>
  <c r="C75" i="167" s="1"/>
  <c r="C76" i="167" s="1"/>
  <c r="C77" i="167" s="1"/>
  <c r="C78" i="167" s="1"/>
  <c r="C79" i="167" s="1"/>
  <c r="C80" i="167" s="1"/>
  <c r="C81" i="167" s="1"/>
  <c r="C82" i="167" s="1"/>
  <c r="C83" i="167" s="1"/>
  <c r="C84" i="167" s="1"/>
  <c r="C85" i="167" s="1"/>
  <c r="C86" i="167" s="1"/>
  <c r="C87" i="167" s="1"/>
  <c r="C88" i="167" s="1"/>
  <c r="C89" i="167" s="1"/>
  <c r="C90" i="167" s="1"/>
  <c r="C91" i="167" s="1"/>
  <c r="C92" i="167" s="1"/>
  <c r="C93" i="167" s="1"/>
  <c r="C94" i="167" s="1"/>
  <c r="C95" i="167" s="1"/>
  <c r="C55" i="167"/>
  <c r="D44" i="140"/>
  <c r="D45" i="140"/>
  <c r="D46" i="140"/>
  <c r="D47" i="140"/>
  <c r="D48" i="140"/>
  <c r="D49" i="140"/>
  <c r="D50" i="140"/>
  <c r="D52" i="140"/>
  <c r="D53" i="140"/>
  <c r="D54" i="140"/>
  <c r="D55" i="140"/>
  <c r="D56" i="140"/>
  <c r="D57" i="140"/>
  <c r="D58" i="140"/>
  <c r="D59" i="140"/>
  <c r="D60" i="140"/>
  <c r="D61" i="140"/>
  <c r="D62" i="140"/>
  <c r="D63" i="140"/>
  <c r="D64" i="140"/>
  <c r="D65" i="140"/>
  <c r="D66" i="140"/>
  <c r="D67" i="140"/>
  <c r="D68" i="140"/>
  <c r="D69" i="140"/>
  <c r="D70" i="140"/>
  <c r="D71" i="140"/>
  <c r="D72" i="140"/>
  <c r="D73" i="140"/>
  <c r="D74" i="140"/>
  <c r="D75" i="140"/>
  <c r="D76" i="140"/>
  <c r="D77" i="140"/>
  <c r="D78" i="140"/>
  <c r="D79" i="140"/>
  <c r="D80" i="140"/>
  <c r="D81" i="140"/>
  <c r="D82" i="140"/>
  <c r="D83" i="140"/>
  <c r="D43" i="140"/>
  <c r="B45" i="140" l="1"/>
  <c r="B46" i="140" s="1"/>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B78" i="140" s="1"/>
  <c r="B79" i="140" s="1"/>
  <c r="B80" i="140" s="1"/>
  <c r="B81" i="140" s="1"/>
  <c r="B82" i="140" s="1"/>
  <c r="B83" i="140" s="1"/>
  <c r="B26" i="214"/>
  <c r="B27" i="214" s="1"/>
  <c r="B28" i="214" s="1"/>
  <c r="B29" i="214" s="1"/>
  <c r="B30" i="214" s="1"/>
  <c r="B31" i="214" s="1"/>
  <c r="B32" i="214" s="1"/>
  <c r="B33" i="214" s="1"/>
  <c r="B34" i="214" s="1"/>
  <c r="B35" i="214" s="1"/>
  <c r="B36" i="214" s="1"/>
  <c r="B37" i="214" s="1"/>
  <c r="B38" i="214" s="1"/>
  <c r="B39" i="214" s="1"/>
  <c r="B40" i="214" s="1"/>
  <c r="B41" i="214" s="1"/>
  <c r="B42" i="214" s="1"/>
  <c r="B43" i="214" s="1"/>
  <c r="B44" i="214" s="1"/>
  <c r="B45" i="214" s="1"/>
  <c r="B46" i="214" s="1"/>
  <c r="B47" i="214" s="1"/>
  <c r="B48" i="214" s="1"/>
  <c r="B49" i="214" s="1"/>
  <c r="B50" i="214" s="1"/>
  <c r="B51" i="214" s="1"/>
  <c r="B52" i="214" s="1"/>
  <c r="B53" i="214" s="1"/>
  <c r="B54" i="214" s="1"/>
  <c r="B55" i="214" s="1"/>
  <c r="B56" i="214" s="1"/>
  <c r="B57" i="214" s="1"/>
  <c r="B58" i="214" s="1"/>
  <c r="B59" i="214" s="1"/>
  <c r="B60" i="214" s="1"/>
  <c r="B61" i="214" s="1"/>
  <c r="B62" i="214" s="1"/>
  <c r="B63" i="214" s="1"/>
  <c r="C26" i="214"/>
  <c r="D26" i="214"/>
  <c r="D27" i="214" s="1"/>
  <c r="D28" i="214" s="1"/>
  <c r="D29" i="214" s="1"/>
  <c r="D30" i="214" s="1"/>
  <c r="D31" i="214" s="1"/>
  <c r="D32" i="214" s="1"/>
  <c r="D33" i="214" s="1"/>
  <c r="D34" i="214" s="1"/>
  <c r="D35" i="214" s="1"/>
  <c r="D36" i="214" s="1"/>
  <c r="D37" i="214" s="1"/>
  <c r="D38" i="214" s="1"/>
  <c r="D39" i="214" s="1"/>
  <c r="D40" i="214" s="1"/>
  <c r="D41" i="214" s="1"/>
  <c r="D42" i="214" s="1"/>
  <c r="D43" i="214" s="1"/>
  <c r="D44" i="214" s="1"/>
  <c r="D45" i="214" s="1"/>
  <c r="D46" i="214" s="1"/>
  <c r="D47" i="214" s="1"/>
  <c r="D48" i="214" s="1"/>
  <c r="D49" i="214" s="1"/>
  <c r="D50" i="214" s="1"/>
  <c r="D51" i="214" s="1"/>
  <c r="D52" i="214" s="1"/>
  <c r="D53" i="214" s="1"/>
  <c r="D54" i="214" s="1"/>
  <c r="D55" i="214" s="1"/>
  <c r="D56" i="214" s="1"/>
  <c r="D57" i="214" s="1"/>
  <c r="D58" i="214" s="1"/>
  <c r="D59" i="214" s="1"/>
  <c r="D60" i="214" s="1"/>
  <c r="D61" i="214" s="1"/>
  <c r="D62" i="214" s="1"/>
  <c r="D63" i="214" s="1"/>
  <c r="C27" i="214"/>
  <c r="C28" i="214" s="1"/>
  <c r="C29" i="214" s="1"/>
  <c r="C30" i="214" s="1"/>
  <c r="C31" i="214" s="1"/>
  <c r="C32" i="214" s="1"/>
  <c r="C33" i="214" s="1"/>
  <c r="C34" i="214" s="1"/>
  <c r="C35" i="214" s="1"/>
  <c r="C36" i="214" s="1"/>
  <c r="C37" i="214" s="1"/>
  <c r="C38" i="214" s="1"/>
  <c r="C39" i="214" s="1"/>
  <c r="C40" i="214" s="1"/>
  <c r="C41" i="214" s="1"/>
  <c r="C42" i="214" s="1"/>
  <c r="C43" i="214" s="1"/>
  <c r="C44" i="214" s="1"/>
  <c r="C45" i="214" s="1"/>
  <c r="C46" i="214" s="1"/>
  <c r="C47" i="214" s="1"/>
  <c r="C48" i="214" s="1"/>
  <c r="C49" i="214" s="1"/>
  <c r="C50" i="214" s="1"/>
  <c r="C51" i="214" s="1"/>
  <c r="C52" i="214" s="1"/>
  <c r="C53" i="214" s="1"/>
  <c r="C54" i="214" s="1"/>
  <c r="C55" i="214" s="1"/>
  <c r="C56" i="214" s="1"/>
  <c r="C57" i="214" s="1"/>
  <c r="C58" i="214" s="1"/>
  <c r="C59" i="214" s="1"/>
  <c r="C60" i="214" s="1"/>
  <c r="C61" i="214" s="1"/>
  <c r="C62" i="214" s="1"/>
  <c r="C63" i="214" s="1"/>
  <c r="C25" i="214"/>
  <c r="D25" i="214"/>
  <c r="B25" i="214"/>
  <c r="B24" i="214"/>
  <c r="B44" i="140"/>
  <c r="B21" i="227"/>
  <c r="B25" i="223"/>
  <c r="B8" i="187"/>
  <c r="C8" i="187"/>
  <c r="D8" i="187"/>
  <c r="B9" i="187"/>
  <c r="C9" i="187"/>
  <c r="B10" i="187"/>
  <c r="C10" i="187"/>
  <c r="D10" i="187"/>
  <c r="B11" i="187"/>
  <c r="C11" i="187"/>
  <c r="D11" i="187"/>
  <c r="B12" i="187"/>
  <c r="C12" i="187"/>
  <c r="D12" i="187"/>
  <c r="C7" i="187"/>
  <c r="B7" i="187"/>
  <c r="B12" i="207" l="1"/>
  <c r="B11" i="207"/>
  <c r="S4" i="207"/>
  <c r="R4" i="207"/>
  <c r="B62" i="142" a="1"/>
  <c r="B78" i="142" a="1"/>
  <c r="B21" i="142" a="1"/>
  <c r="B60" i="142" a="1"/>
  <c r="B39" i="142" a="1"/>
  <c r="B27" i="142" a="1"/>
  <c r="B55" i="142" a="1"/>
  <c r="B52" i="142" a="1"/>
  <c r="B15" i="142" a="1"/>
  <c r="B29" i="142" a="1"/>
  <c r="B5" i="142" a="1"/>
  <c r="B40" i="142" a="1"/>
  <c r="B25" i="142" a="1"/>
  <c r="B80" i="142" a="1"/>
  <c r="B9" i="142" a="1"/>
  <c r="B65" i="142" a="1"/>
  <c r="B43" i="142" a="1"/>
  <c r="B20" i="142" a="1"/>
  <c r="B30" i="142" a="1"/>
  <c r="B10" i="142" a="1"/>
  <c r="B68" i="142" a="1"/>
  <c r="B57" i="142" a="1"/>
  <c r="B35" i="142" a="1"/>
  <c r="B28" i="142" a="1"/>
  <c r="B63" i="142" a="1"/>
  <c r="B64" i="142" a="1"/>
  <c r="B3" i="142" a="1"/>
  <c r="B41" i="142" a="1"/>
  <c r="B11" i="142" a="1"/>
  <c r="B38" i="142" a="1"/>
  <c r="B12" i="142" a="1"/>
  <c r="B44" i="142" a="1"/>
  <c r="B82" i="142" a="1"/>
  <c r="B51" i="142" a="1"/>
  <c r="B24" i="142" a="1"/>
  <c r="B17" i="142" a="1"/>
  <c r="B46" i="142" a="1"/>
  <c r="B26" i="142" a="1"/>
  <c r="B13" i="142" a="1"/>
  <c r="B36" i="142" a="1"/>
  <c r="B69" i="142" a="1"/>
  <c r="B75" i="142" a="1"/>
  <c r="B32" i="142" a="1"/>
  <c r="B77" i="142" a="1"/>
  <c r="B42" i="142" a="1"/>
  <c r="B73" i="142" a="1"/>
  <c r="B81" i="142" a="1"/>
  <c r="B6" i="142" a="1"/>
  <c r="B18" i="142" a="1"/>
  <c r="B37" i="142" a="1"/>
  <c r="B74" i="142" a="1"/>
  <c r="B23" i="142" a="1"/>
  <c r="B56" i="142" a="1"/>
  <c r="B79" i="142" a="1"/>
  <c r="B33" i="142" a="1"/>
  <c r="B66" i="142" a="1"/>
  <c r="B58" i="142" a="1"/>
  <c r="B47" i="142" a="1"/>
  <c r="B48" i="142" a="1"/>
  <c r="B61" i="142" a="1"/>
  <c r="B34" i="142" a="1"/>
  <c r="B8" i="142" a="1"/>
  <c r="B71" i="142" a="1"/>
  <c r="B16" i="142" a="1"/>
  <c r="B54" i="142" a="1"/>
  <c r="B19" i="142" a="1"/>
  <c r="B72" i="142" a="1"/>
  <c r="B14" i="142" a="1"/>
  <c r="B53" i="142" a="1"/>
  <c r="B45" i="142" a="1"/>
  <c r="B59" i="142" a="1"/>
  <c r="B31" i="142" a="1"/>
  <c r="B4" i="142" a="1"/>
  <c r="B70" i="142" a="1"/>
  <c r="B22" i="142" a="1"/>
  <c r="B76" i="142" a="1"/>
  <c r="B67" i="142" a="1"/>
  <c r="B7" i="142" a="1"/>
  <c r="B49" i="142" a="1"/>
  <c r="B50" i="142" a="1"/>
  <c r="B42" i="142" l="1"/>
  <c r="B81" i="142"/>
  <c r="B73" i="142"/>
  <c r="B65" i="142"/>
  <c r="B57" i="142"/>
  <c r="B49" i="142"/>
  <c r="B41" i="142"/>
  <c r="B33" i="142"/>
  <c r="B25" i="142"/>
  <c r="B17" i="142"/>
  <c r="B9" i="142"/>
  <c r="B50" i="142"/>
  <c r="B8" i="142"/>
  <c r="B82" i="142"/>
  <c r="B16" i="142"/>
  <c r="B26" i="142"/>
  <c r="B24" i="142"/>
  <c r="B79" i="142"/>
  <c r="B71" i="142"/>
  <c r="B63" i="142"/>
  <c r="B55" i="142"/>
  <c r="B47" i="142"/>
  <c r="B39" i="142"/>
  <c r="B31" i="142"/>
  <c r="B23" i="142"/>
  <c r="B15" i="142"/>
  <c r="B7" i="142"/>
  <c r="B58" i="142"/>
  <c r="B40" i="142"/>
  <c r="B72" i="142"/>
  <c r="B78" i="142"/>
  <c r="B70" i="142"/>
  <c r="B62" i="142"/>
  <c r="B54" i="142"/>
  <c r="B46" i="142"/>
  <c r="B38" i="142"/>
  <c r="B30" i="142"/>
  <c r="B22" i="142"/>
  <c r="B14" i="142"/>
  <c r="B6" i="142"/>
  <c r="B66" i="142"/>
  <c r="B32" i="142"/>
  <c r="B18" i="142"/>
  <c r="B80" i="142"/>
  <c r="B48" i="142"/>
  <c r="B77" i="142"/>
  <c r="B69" i="142"/>
  <c r="B61" i="142"/>
  <c r="B53" i="142"/>
  <c r="B45" i="142"/>
  <c r="B37" i="142"/>
  <c r="B29" i="142"/>
  <c r="B21" i="142"/>
  <c r="B13" i="142"/>
  <c r="B5" i="142"/>
  <c r="B74" i="142"/>
  <c r="B56" i="142"/>
  <c r="B10" i="142"/>
  <c r="B64" i="142"/>
  <c r="B76" i="142"/>
  <c r="B68" i="142"/>
  <c r="B60" i="142"/>
  <c r="B52" i="142"/>
  <c r="B44" i="142"/>
  <c r="B36" i="142"/>
  <c r="B28" i="142"/>
  <c r="B20" i="142"/>
  <c r="B12" i="142"/>
  <c r="B4" i="142"/>
  <c r="B34" i="142"/>
  <c r="B75" i="142"/>
  <c r="B67" i="142"/>
  <c r="B59" i="142"/>
  <c r="B51" i="142"/>
  <c r="B43" i="142"/>
  <c r="B35" i="142"/>
  <c r="B27" i="142"/>
  <c r="B19" i="142"/>
  <c r="B11" i="142"/>
  <c r="B3" i="142"/>
  <c r="G171" i="183"/>
  <c r="G170" i="183"/>
  <c r="G169" i="183"/>
  <c r="G186" i="183"/>
  <c r="B133" i="243"/>
  <c r="H109" i="243"/>
  <c r="I109" i="243"/>
  <c r="B16" i="145" l="1"/>
  <c r="B17" i="145"/>
  <c r="P6" i="274"/>
  <c r="B6" i="207"/>
  <c r="AK6" i="275"/>
  <c r="AB6" i="275"/>
  <c r="AI6" i="275"/>
  <c r="AG6" i="275"/>
  <c r="Z6" i="275"/>
  <c r="X6" i="275"/>
  <c r="R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O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J2" i="78"/>
  <c r="X2" i="78" l="1"/>
  <c r="D2" i="78"/>
  <c r="B2" i="78"/>
  <c r="H2" i="78"/>
  <c r="F2" i="78"/>
  <c r="A133" i="179" l="1"/>
  <c r="A132" i="179"/>
  <c r="G9" i="179"/>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A18" i="1"/>
  <c r="A17" i="1"/>
  <c r="B17" i="1"/>
  <c r="B16" i="1"/>
  <c r="A16" i="1"/>
  <c r="B149" i="213"/>
  <c r="I43" i="1" l="1"/>
  <c r="L43" i="1"/>
  <c r="O43" i="1"/>
  <c r="O35" i="1"/>
  <c r="I35" i="1"/>
  <c r="L35" i="1"/>
  <c r="I27" i="1"/>
  <c r="O27" i="1"/>
  <c r="L27" i="1"/>
  <c r="L19" i="1"/>
  <c r="I19" i="1"/>
  <c r="O19" i="1"/>
  <c r="L11" i="1"/>
  <c r="I11" i="1"/>
  <c r="I42" i="1"/>
  <c r="L42" i="1"/>
  <c r="O42" i="1"/>
  <c r="I26" i="1"/>
  <c r="L26" i="1"/>
  <c r="O26" i="1"/>
  <c r="I10" i="1"/>
  <c r="L10" i="1"/>
  <c r="L12" i="1"/>
  <c r="O12" i="1"/>
  <c r="I12" i="1"/>
  <c r="I34" i="1"/>
  <c r="L34" i="1"/>
  <c r="O34" i="1"/>
  <c r="I18" i="1"/>
  <c r="L18" i="1"/>
  <c r="O18" i="1"/>
  <c r="I9" i="1"/>
  <c r="I29" i="1"/>
  <c r="L29" i="1"/>
  <c r="O29" i="1"/>
  <c r="L8" i="1"/>
  <c r="I8" i="1"/>
  <c r="O8" i="1"/>
  <c r="L44" i="1"/>
  <c r="O44" i="1"/>
  <c r="I44" i="1"/>
  <c r="L17" i="1"/>
  <c r="O17" i="1"/>
  <c r="I17" i="1"/>
  <c r="I40" i="1"/>
  <c r="L40" i="1"/>
  <c r="O40" i="1"/>
  <c r="I32" i="1"/>
  <c r="L32" i="1"/>
  <c r="O32" i="1"/>
  <c r="I24" i="1"/>
  <c r="L24" i="1"/>
  <c r="O24" i="1"/>
  <c r="O16" i="1"/>
  <c r="I16" i="1"/>
  <c r="L16" i="1"/>
  <c r="I21" i="1"/>
  <c r="L21" i="1"/>
  <c r="O21" i="1"/>
  <c r="I7" i="1"/>
  <c r="L7" i="1"/>
  <c r="O7" i="1"/>
  <c r="I37" i="1"/>
  <c r="L37" i="1"/>
  <c r="O37" i="1"/>
  <c r="I20" i="1"/>
  <c r="L20" i="1"/>
  <c r="O20" i="1"/>
  <c r="O41" i="1"/>
  <c r="I41" i="1"/>
  <c r="L41" i="1"/>
  <c r="I25" i="1"/>
  <c r="L25" i="1"/>
  <c r="O25" i="1"/>
  <c r="I39" i="1"/>
  <c r="L39" i="1"/>
  <c r="O39" i="1"/>
  <c r="I31" i="1"/>
  <c r="L31" i="1"/>
  <c r="O31" i="1"/>
  <c r="I23" i="1"/>
  <c r="L23" i="1"/>
  <c r="O23" i="1"/>
  <c r="I15" i="1"/>
  <c r="L15" i="1"/>
  <c r="O15" i="1"/>
  <c r="O13" i="1"/>
  <c r="I13" i="1"/>
  <c r="L13" i="1"/>
  <c r="L28" i="1"/>
  <c r="O28" i="1"/>
  <c r="I28" i="1"/>
  <c r="O33" i="1"/>
  <c r="L33" i="1"/>
  <c r="I33" i="1"/>
  <c r="L6" i="1"/>
  <c r="O6" i="1"/>
  <c r="O22" i="1"/>
  <c r="L22" i="1"/>
  <c r="I22" i="1"/>
  <c r="L5" i="1"/>
  <c r="O5" i="1"/>
  <c r="I5" i="1"/>
  <c r="O36" i="1"/>
  <c r="L36" i="1"/>
  <c r="I36" i="1"/>
  <c r="L38" i="1"/>
  <c r="O38" i="1"/>
  <c r="I38" i="1"/>
  <c r="I30" i="1"/>
  <c r="L30" i="1"/>
  <c r="O30" i="1"/>
  <c r="O14" i="1"/>
  <c r="I14" i="1"/>
  <c r="L14" i="1"/>
  <c r="H170" i="179"/>
  <c r="H171" i="179"/>
  <c r="H172" i="179"/>
  <c r="H169" i="179"/>
  <c r="G169" i="243"/>
  <c r="U28" i="1" l="1"/>
  <c r="U42" i="1"/>
  <c r="U5" i="1"/>
  <c r="U14" i="1"/>
  <c r="U17" i="1"/>
  <c r="U40" i="1"/>
  <c r="U36" i="1"/>
  <c r="U44" i="1"/>
  <c r="U12" i="1"/>
  <c r="U22" i="1"/>
  <c r="U43" i="1"/>
  <c r="U7" i="1"/>
  <c r="U18" i="1"/>
  <c r="U34" i="1"/>
  <c r="U19" i="1"/>
  <c r="U16" i="1"/>
  <c r="U39" i="1"/>
  <c r="U8" i="1"/>
  <c r="U25" i="1"/>
  <c r="U15" i="1"/>
  <c r="U27" i="1"/>
  <c r="U24" i="1"/>
  <c r="U41" i="1"/>
  <c r="U20" i="1"/>
  <c r="U35" i="1"/>
  <c r="U21" i="1"/>
  <c r="U23" i="1"/>
  <c r="U29" i="1"/>
  <c r="U32" i="1"/>
  <c r="U26" i="1"/>
  <c r="U30" i="1"/>
  <c r="U33" i="1"/>
  <c r="U37" i="1"/>
  <c r="U13" i="1"/>
  <c r="U38" i="1"/>
  <c r="U31" i="1"/>
  <c r="B13" i="272"/>
  <c r="B10" i="272"/>
  <c r="C21" i="227"/>
  <c r="C25" i="223"/>
  <c r="A149" i="213"/>
  <c r="B154"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K8" i="204"/>
  <c r="G9" i="204"/>
  <c r="K9" i="204"/>
  <c r="G10" i="204"/>
  <c r="K10" i="204"/>
  <c r="G11" i="204"/>
  <c r="K11" i="204"/>
  <c r="G12" i="204"/>
  <c r="K12" i="204"/>
  <c r="G13" i="204"/>
  <c r="K13" i="204"/>
  <c r="G14" i="204"/>
  <c r="K14" i="204"/>
  <c r="G15" i="204"/>
  <c r="K15" i="204"/>
  <c r="G16" i="204"/>
  <c r="K16" i="204"/>
  <c r="G17" i="204"/>
  <c r="K17" i="204"/>
  <c r="G18" i="204"/>
  <c r="K18" i="204"/>
  <c r="G19" i="204"/>
  <c r="K19" i="204"/>
  <c r="G20" i="204"/>
  <c r="K20" i="204"/>
  <c r="G21" i="204"/>
  <c r="K21" i="204"/>
  <c r="G22" i="204"/>
  <c r="K22" i="204"/>
  <c r="G23" i="204"/>
  <c r="K23" i="204"/>
  <c r="G24" i="204"/>
  <c r="K24" i="204"/>
  <c r="G25" i="204"/>
  <c r="K25" i="204"/>
  <c r="G26" i="204"/>
  <c r="K26" i="204"/>
  <c r="G27" i="204"/>
  <c r="K27" i="204"/>
  <c r="G28" i="204"/>
  <c r="K28" i="204"/>
  <c r="G29" i="204"/>
  <c r="K29" i="204"/>
  <c r="G30" i="204"/>
  <c r="K30" i="204"/>
  <c r="G31" i="204"/>
  <c r="K31" i="204"/>
  <c r="G32" i="204"/>
  <c r="K32" i="204"/>
  <c r="G33" i="204"/>
  <c r="K33" i="204"/>
  <c r="G34" i="204"/>
  <c r="K34" i="204"/>
  <c r="G35" i="204"/>
  <c r="K35" i="204"/>
  <c r="G36" i="204"/>
  <c r="K36" i="204"/>
  <c r="G37" i="204"/>
  <c r="K37" i="204"/>
  <c r="G38" i="204"/>
  <c r="K38" i="204"/>
  <c r="G39" i="204"/>
  <c r="K39" i="204"/>
  <c r="G40" i="204"/>
  <c r="K40" i="204"/>
  <c r="G41" i="204"/>
  <c r="K41" i="204"/>
  <c r="G42" i="204"/>
  <c r="K42" i="204"/>
  <c r="G43" i="204"/>
  <c r="K43" i="204"/>
  <c r="G44" i="204"/>
  <c r="K44" i="204"/>
  <c r="G45" i="204"/>
  <c r="K45" i="204"/>
  <c r="G46" i="204"/>
  <c r="K46" i="204"/>
  <c r="G47" i="204"/>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F9" i="238"/>
  <c r="F10" i="238"/>
  <c r="F11" i="238"/>
  <c r="F12" i="238"/>
  <c r="F13" i="238"/>
  <c r="F14" i="238"/>
  <c r="F15" i="238"/>
  <c r="F16" i="238"/>
  <c r="F17" i="238"/>
  <c r="F18" i="238"/>
  <c r="F19" i="238"/>
  <c r="F20" i="238"/>
  <c r="F21" i="238"/>
  <c r="F22" i="238"/>
  <c r="F23" i="238"/>
  <c r="F24" i="238"/>
  <c r="F25" i="238"/>
  <c r="F26" i="238"/>
  <c r="F27" i="238"/>
  <c r="F28" i="238"/>
  <c r="F29" i="238"/>
  <c r="F30" i="238"/>
  <c r="F31" i="238"/>
  <c r="F32" i="238"/>
  <c r="F33" i="238"/>
  <c r="F34" i="238"/>
  <c r="F35" i="238"/>
  <c r="F36" i="238"/>
  <c r="F37" i="238"/>
  <c r="F38" i="238"/>
  <c r="F39" i="238"/>
  <c r="F40" i="238"/>
  <c r="F41" i="238"/>
  <c r="F42" i="238"/>
  <c r="F43" i="238"/>
  <c r="F44" i="238"/>
  <c r="F45" i="238"/>
  <c r="F46" i="238"/>
  <c r="F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R43" i="242" l="1"/>
  <c r="W43" i="242" s="1"/>
  <c r="B18" i="1"/>
  <c r="L43" i="242"/>
  <c r="V43" i="242" s="1"/>
  <c r="R46" i="242"/>
  <c r="W46" i="242" s="1"/>
  <c r="L46" i="242"/>
  <c r="V46" i="242" s="1"/>
  <c r="L44" i="170"/>
  <c r="V44" i="170" s="1"/>
  <c r="I44" i="197"/>
  <c r="P44" i="197" s="1"/>
  <c r="L47" i="242"/>
  <c r="V47" i="242" s="1"/>
  <c r="R47" i="242"/>
  <c r="W47" i="242" s="1"/>
  <c r="L43" i="170"/>
  <c r="V43" i="170" s="1"/>
  <c r="R43" i="170"/>
  <c r="W43" i="170" s="1"/>
  <c r="L46" i="170"/>
  <c r="V46" i="170" s="1"/>
  <c r="R46" i="170"/>
  <c r="W46" i="170" s="1"/>
  <c r="L43" i="197"/>
  <c r="Q43" i="197" s="1"/>
  <c r="L45" i="242"/>
  <c r="V45" i="242" s="1"/>
  <c r="L46" i="182"/>
  <c r="V46" i="182" s="1"/>
  <c r="L43" i="182"/>
  <c r="V43" i="182" s="1"/>
  <c r="B18" i="274"/>
  <c r="J12" i="274" s="1"/>
  <c r="V12" i="274" s="1"/>
  <c r="N28" i="204"/>
  <c r="N22" i="204"/>
  <c r="N35" i="204"/>
  <c r="N46" i="204"/>
  <c r="N34" i="204"/>
  <c r="I44" i="204"/>
  <c r="R44" i="204" s="1"/>
  <c r="N19" i="204"/>
  <c r="N32" i="204"/>
  <c r="N38" i="204"/>
  <c r="N40" i="204"/>
  <c r="I46" i="204"/>
  <c r="R46" i="204" s="1"/>
  <c r="N23" i="204"/>
  <c r="N36" i="204"/>
  <c r="N37" i="204"/>
  <c r="N18" i="204"/>
  <c r="N31" i="204"/>
  <c r="N45" i="204"/>
  <c r="N15" i="204"/>
  <c r="I47" i="204"/>
  <c r="R47" i="204" s="1"/>
  <c r="N42" i="204"/>
  <c r="N20" i="204"/>
  <c r="I36" i="204"/>
  <c r="R36" i="204" s="1"/>
  <c r="N26" i="204"/>
  <c r="N44" i="204"/>
  <c r="N16" i="204"/>
  <c r="I41" i="204"/>
  <c r="R41" i="204" s="1"/>
  <c r="I35" i="204"/>
  <c r="R35" i="204" s="1"/>
  <c r="N30" i="204"/>
  <c r="N25" i="204"/>
  <c r="N21" i="204"/>
  <c r="N12" i="204"/>
  <c r="N14" i="204"/>
  <c r="I38" i="204"/>
  <c r="R38" i="204" s="1"/>
  <c r="I39" i="204"/>
  <c r="R39" i="204" s="1"/>
  <c r="N17" i="204"/>
  <c r="N41" i="204"/>
  <c r="I43" i="204"/>
  <c r="R43" i="204" s="1"/>
  <c r="N10" i="204"/>
  <c r="N29" i="204"/>
  <c r="N43" i="204"/>
  <c r="N24" i="204"/>
  <c r="I40" i="204"/>
  <c r="R40" i="204" s="1"/>
  <c r="N47" i="204"/>
  <c r="N27" i="204"/>
  <c r="I8" i="204"/>
  <c r="R8" i="204" s="1"/>
  <c r="N13" i="204"/>
  <c r="N39" i="204"/>
  <c r="N9" i="204"/>
  <c r="S9" i="204" s="1"/>
  <c r="I37" i="204"/>
  <c r="R37" i="204" s="1"/>
  <c r="N11" i="204"/>
  <c r="N33" i="204"/>
  <c r="N8" i="204"/>
  <c r="I45" i="204"/>
  <c r="R45" i="204" s="1"/>
  <c r="I42" i="204"/>
  <c r="R42" i="204" s="1"/>
  <c r="B17" i="275"/>
  <c r="R288" i="174"/>
  <c r="M237" i="174"/>
  <c r="M241" i="174"/>
  <c r="R193" i="174"/>
  <c r="M144" i="174"/>
  <c r="R286" i="174"/>
  <c r="U190" i="174"/>
  <c r="H192" i="174"/>
  <c r="R239" i="174"/>
  <c r="M192" i="174"/>
  <c r="H145" i="174"/>
  <c r="R146" i="174"/>
  <c r="H285" i="174"/>
  <c r="R237" i="174"/>
  <c r="U193" i="174"/>
  <c r="M145" i="174"/>
  <c r="M285" i="174"/>
  <c r="H287" i="174"/>
  <c r="H193" i="174"/>
  <c r="M287" i="174"/>
  <c r="R241"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M190" i="174"/>
  <c r="R191" i="174"/>
  <c r="R194" i="174"/>
  <c r="M143" i="174"/>
  <c r="M147" i="174"/>
  <c r="R249" i="174"/>
  <c r="R202" i="174"/>
  <c r="M284" i="174"/>
  <c r="H288" i="174"/>
  <c r="R155" i="174"/>
  <c r="R144" i="174"/>
  <c r="R240" i="174"/>
  <c r="H239" i="174"/>
  <c r="M239" i="174"/>
  <c r="H146" i="174"/>
  <c r="M193" i="174"/>
  <c r="M146" i="174"/>
  <c r="H237" i="174"/>
  <c r="R190" i="174"/>
  <c r="H241" i="174"/>
  <c r="U194" i="174"/>
  <c r="R147" i="174"/>
  <c r="U191" i="174"/>
  <c r="U155" i="174"/>
  <c r="R284" i="174"/>
  <c r="R108" i="174"/>
  <c r="H286" i="174"/>
  <c r="R143" i="174"/>
  <c r="M286" i="174"/>
  <c r="B18" i="202"/>
  <c r="L43" i="200"/>
  <c r="Q43" i="200"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47" i="200"/>
  <c r="Q47" i="200" s="1"/>
  <c r="P45" i="238"/>
  <c r="I43" i="197"/>
  <c r="P43" i="197" s="1"/>
  <c r="I46" i="200"/>
  <c r="P46" i="200" s="1"/>
  <c r="R47" i="182"/>
  <c r="W47" i="182" s="1"/>
  <c r="L44" i="182"/>
  <c r="V44" i="182" s="1"/>
  <c r="P47" i="238"/>
  <c r="I47" i="197"/>
  <c r="P47"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L47" i="202"/>
  <c r="L44" i="202"/>
  <c r="L8" i="202"/>
  <c r="I47" i="200"/>
  <c r="P47" i="200" s="1"/>
  <c r="L44" i="200"/>
  <c r="L8" i="200"/>
  <c r="L46" i="200"/>
  <c r="L45" i="197"/>
  <c r="L46" i="197"/>
  <c r="K8" i="238"/>
  <c r="T8" i="238" s="1"/>
  <c r="L47" i="182"/>
  <c r="V47" i="182" s="1"/>
  <c r="R45" i="182"/>
  <c r="R44" i="182"/>
  <c r="R8" i="170"/>
  <c r="L47" i="170"/>
  <c r="V47" i="170" s="1"/>
  <c r="R45" i="170"/>
  <c r="R45" i="242"/>
  <c r="O8" i="274" l="1"/>
  <c r="P8" i="274" s="1"/>
  <c r="Q45" i="274"/>
  <c r="Q9" i="274"/>
  <c r="Q38" i="274"/>
  <c r="Q44" i="274"/>
  <c r="O9" i="274"/>
  <c r="P9" i="274" s="1"/>
  <c r="Q8" i="274"/>
  <c r="O43" i="274"/>
  <c r="P43" i="274" s="1"/>
  <c r="O38" i="274"/>
  <c r="P38" i="274" s="1"/>
  <c r="Q7" i="274"/>
  <c r="Q43" i="274"/>
  <c r="O12" i="274"/>
  <c r="P12" i="274" s="1"/>
  <c r="Q12" i="274"/>
  <c r="O7" i="274"/>
  <c r="P7" i="274" s="1"/>
  <c r="O11" i="274"/>
  <c r="P11" i="274" s="1"/>
  <c r="O47" i="274"/>
  <c r="P47" i="274" s="1"/>
  <c r="O37" i="274"/>
  <c r="P37" i="274" s="1"/>
  <c r="Q36" i="274"/>
  <c r="O45" i="274"/>
  <c r="P45" i="274" s="1"/>
  <c r="Q42" i="274"/>
  <c r="O46" i="274"/>
  <c r="P46" i="274" s="1"/>
  <c r="O42" i="274"/>
  <c r="P42" i="274" s="1"/>
  <c r="O39" i="274"/>
  <c r="P39" i="274" s="1"/>
  <c r="O10" i="274"/>
  <c r="P10" i="274" s="1"/>
  <c r="Q47" i="274"/>
  <c r="O36" i="274"/>
  <c r="P36" i="274" s="1"/>
  <c r="Q35" i="274"/>
  <c r="Q11" i="274"/>
  <c r="Q41" i="274"/>
  <c r="O41" i="274"/>
  <c r="P41" i="274" s="1"/>
  <c r="O35" i="274"/>
  <c r="P35" i="274" s="1"/>
  <c r="Q37" i="274"/>
  <c r="Q46" i="274"/>
  <c r="Q40" i="274"/>
  <c r="Q10" i="274"/>
  <c r="O44" i="274"/>
  <c r="P44" i="274" s="1"/>
  <c r="O40" i="274"/>
  <c r="P40" i="274" s="1"/>
  <c r="Q39" i="274"/>
  <c r="N43" i="274"/>
  <c r="W43" i="274" s="1"/>
  <c r="Q46" i="238"/>
  <c r="Z44" i="78" s="1"/>
  <c r="M47" i="197"/>
  <c r="AY45" i="78" s="1"/>
  <c r="Q45" i="238"/>
  <c r="Z43" i="78" s="1"/>
  <c r="S46" i="182"/>
  <c r="X46" i="182" s="1"/>
  <c r="S44" i="170"/>
  <c r="H42" i="78" s="1"/>
  <c r="S43" i="242"/>
  <c r="X43" i="242" s="1"/>
  <c r="S46" i="242"/>
  <c r="T46" i="242" s="1"/>
  <c r="S47" i="242"/>
  <c r="F45" i="78" s="1"/>
  <c r="M47" i="202"/>
  <c r="BC45" i="78" s="1"/>
  <c r="M8" i="197"/>
  <c r="AY6" i="78" s="1"/>
  <c r="Q47" i="197"/>
  <c r="S46" i="170"/>
  <c r="H44" i="78" s="1"/>
  <c r="S44" i="242"/>
  <c r="F42" i="78" s="1"/>
  <c r="U45" i="238"/>
  <c r="Q44" i="238"/>
  <c r="U46" i="238"/>
  <c r="M46" i="202"/>
  <c r="N46" i="202" s="1"/>
  <c r="Q47" i="238"/>
  <c r="Z45" i="78" s="1"/>
  <c r="M45" i="202"/>
  <c r="BC43" i="78" s="1"/>
  <c r="Q43" i="238"/>
  <c r="S43" i="170"/>
  <c r="M43" i="200"/>
  <c r="BA41" i="78" s="1"/>
  <c r="S14" i="204"/>
  <c r="S33" i="204"/>
  <c r="O43" i="204"/>
  <c r="S43" i="204"/>
  <c r="N8" i="274"/>
  <c r="W8" i="274" s="1"/>
  <c r="Q45" i="202"/>
  <c r="J9" i="274"/>
  <c r="V9" i="274" s="1"/>
  <c r="N47" i="274"/>
  <c r="W47" i="274" s="1"/>
  <c r="J46" i="274"/>
  <c r="V46" i="274" s="1"/>
  <c r="S11" i="204"/>
  <c r="S29" i="204"/>
  <c r="S12" i="204"/>
  <c r="O40" i="204"/>
  <c r="S40" i="204"/>
  <c r="J8" i="274"/>
  <c r="V8" i="274" s="1"/>
  <c r="S23" i="204"/>
  <c r="S26" i="204"/>
  <c r="W44" i="170"/>
  <c r="N11" i="274"/>
  <c r="W11" i="274" s="1"/>
  <c r="S10" i="204"/>
  <c r="S21" i="204"/>
  <c r="S38" i="204"/>
  <c r="O38" i="204"/>
  <c r="N9" i="274"/>
  <c r="J47" i="274"/>
  <c r="V47" i="274" s="1"/>
  <c r="S20" i="204"/>
  <c r="S32" i="204"/>
  <c r="J10" i="274"/>
  <c r="V10" i="274" s="1"/>
  <c r="N44" i="274"/>
  <c r="W44" i="274" s="1"/>
  <c r="O41" i="204"/>
  <c r="S41" i="204"/>
  <c r="S42" i="204"/>
  <c r="O42" i="204"/>
  <c r="S19" i="204"/>
  <c r="O39" i="204"/>
  <c r="S39" i="204"/>
  <c r="S17" i="204"/>
  <c r="S25" i="204"/>
  <c r="N10" i="274"/>
  <c r="Q44" i="197"/>
  <c r="S30" i="204"/>
  <c r="S15" i="204"/>
  <c r="S34" i="204"/>
  <c r="M43" i="197"/>
  <c r="AY41" i="78" s="1"/>
  <c r="U43" i="238"/>
  <c r="O45" i="204"/>
  <c r="S45" i="204"/>
  <c r="S46" i="204"/>
  <c r="O46" i="204"/>
  <c r="S24" i="204"/>
  <c r="Q8" i="197"/>
  <c r="S13" i="204"/>
  <c r="S35" i="204"/>
  <c r="O35" i="204"/>
  <c r="J11" i="274"/>
  <c r="V11" i="274" s="1"/>
  <c r="S31" i="204"/>
  <c r="S22" i="204"/>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S28" i="204"/>
  <c r="S43" i="182"/>
  <c r="U47" i="238"/>
  <c r="R47" i="197"/>
  <c r="M45" i="200"/>
  <c r="S27" i="204"/>
  <c r="O37" i="204"/>
  <c r="S37" i="204"/>
  <c r="J44" i="274"/>
  <c r="V44" i="274" s="1"/>
  <c r="J45" i="274"/>
  <c r="V45" i="274" s="1"/>
  <c r="J43" i="274"/>
  <c r="V43" i="274" s="1"/>
  <c r="N12" i="274"/>
  <c r="W12" i="274" s="1"/>
  <c r="N47" i="197"/>
  <c r="N46" i="274"/>
  <c r="W46" i="274" s="1"/>
  <c r="N7" i="274"/>
  <c r="W7" i="274" s="1"/>
  <c r="O47" i="204"/>
  <c r="S47" i="204"/>
  <c r="S16" i="204"/>
  <c r="O36" i="204"/>
  <c r="S36" i="204"/>
  <c r="N45" i="274"/>
  <c r="W45" i="274" s="1"/>
  <c r="J7" i="274"/>
  <c r="V7" i="274" s="1"/>
  <c r="O44" i="204"/>
  <c r="S44" i="204"/>
  <c r="M43" i="202"/>
  <c r="BC41" i="78" s="1"/>
  <c r="Q47" i="202"/>
  <c r="R45" i="202"/>
  <c r="M44" i="202"/>
  <c r="BC42" i="78" s="1"/>
  <c r="Q44" i="202"/>
  <c r="M8" i="202"/>
  <c r="BC6" i="78" s="1"/>
  <c r="Q8" i="202"/>
  <c r="M47" i="200"/>
  <c r="BA45" i="78" s="1"/>
  <c r="M44" i="200"/>
  <c r="BA42" i="78" s="1"/>
  <c r="Q44" i="200"/>
  <c r="M46" i="200"/>
  <c r="BA44" i="78" s="1"/>
  <c r="Q46" i="200"/>
  <c r="M8" i="200"/>
  <c r="BA6" i="78" s="1"/>
  <c r="Q8" i="200"/>
  <c r="N44" i="197"/>
  <c r="R44" i="197"/>
  <c r="M45" i="197"/>
  <c r="AY43" i="78" s="1"/>
  <c r="Q45" i="197"/>
  <c r="M46" i="197"/>
  <c r="AY44" i="78" s="1"/>
  <c r="Q46" i="197"/>
  <c r="Q8" i="238"/>
  <c r="Z6" i="78" s="1"/>
  <c r="S47" i="182"/>
  <c r="W45" i="182"/>
  <c r="S45" i="182"/>
  <c r="J43" i="78" s="1"/>
  <c r="W44" i="182"/>
  <c r="S44" i="182"/>
  <c r="J42" i="78" s="1"/>
  <c r="W8" i="170"/>
  <c r="S47" i="170"/>
  <c r="H45" i="78" s="1"/>
  <c r="W45" i="170"/>
  <c r="S45" i="170"/>
  <c r="H43" i="78" s="1"/>
  <c r="W45" i="242"/>
  <c r="S45" i="242"/>
  <c r="F43" i="78" s="1"/>
  <c r="V46" i="238" l="1"/>
  <c r="R8" i="197"/>
  <c r="R45" i="238"/>
  <c r="W45" i="238" s="1"/>
  <c r="N47" i="202"/>
  <c r="R47" i="202"/>
  <c r="T47" i="242"/>
  <c r="G45" i="78" s="1"/>
  <c r="X47" i="242"/>
  <c r="T44" i="170"/>
  <c r="Y44" i="170" s="1"/>
  <c r="R46" i="238"/>
  <c r="AA44" i="78" s="1"/>
  <c r="R43" i="200"/>
  <c r="N43" i="197"/>
  <c r="N43" i="200"/>
  <c r="S43" i="200" s="1"/>
  <c r="X46" i="242"/>
  <c r="V45" i="238"/>
  <c r="F44" i="78"/>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X46" i="170"/>
  <c r="T46" i="170"/>
  <c r="Y46" i="170" s="1"/>
  <c r="Z42" i="78"/>
  <c r="V44" i="238"/>
  <c r="R44" i="238"/>
  <c r="N45" i="202"/>
  <c r="S45" i="202" s="1"/>
  <c r="H41" i="78"/>
  <c r="T43" i="170"/>
  <c r="X43" i="170"/>
  <c r="Z41" i="78"/>
  <c r="V43" i="238"/>
  <c r="R43" i="238"/>
  <c r="T47" i="182"/>
  <c r="J45" i="78"/>
  <c r="Z7" i="275"/>
  <c r="AI7" i="275" s="1"/>
  <c r="AH7" i="275"/>
  <c r="BE6" i="78"/>
  <c r="P8" i="204"/>
  <c r="T8" i="204"/>
  <c r="S47" i="274"/>
  <c r="AJ45" i="78" s="1"/>
  <c r="S44" i="197"/>
  <c r="AZ42" i="78"/>
  <c r="BE35" i="78"/>
  <c r="P37" i="204"/>
  <c r="T37" i="204"/>
  <c r="X45" i="275"/>
  <c r="AF45" i="275"/>
  <c r="AA45" i="275"/>
  <c r="BE39" i="78"/>
  <c r="P41" i="204"/>
  <c r="T41" i="204"/>
  <c r="N47" i="200"/>
  <c r="AH46" i="275"/>
  <c r="Z46" i="275"/>
  <c r="AI46" i="275" s="1"/>
  <c r="T46" i="204"/>
  <c r="BE44" i="78"/>
  <c r="P46" i="204"/>
  <c r="AF44" i="275"/>
  <c r="X44" i="275"/>
  <c r="S44" i="274"/>
  <c r="X44" i="274" s="1"/>
  <c r="BE34" i="78"/>
  <c r="P36" i="204"/>
  <c r="T36" i="204"/>
  <c r="BA43" i="78"/>
  <c r="N45" i="200"/>
  <c r="R45" i="200"/>
  <c r="AF46" i="275"/>
  <c r="X46" i="275"/>
  <c r="AA46" i="275"/>
  <c r="AF43" i="275"/>
  <c r="X43" i="275"/>
  <c r="AA43" i="275"/>
  <c r="J41" i="78"/>
  <c r="X43" i="182"/>
  <c r="T43" i="182"/>
  <c r="R47" i="200"/>
  <c r="Z8" i="275"/>
  <c r="AI8" i="275" s="1"/>
  <c r="AH8" i="275"/>
  <c r="W10" i="274"/>
  <c r="S10" i="274"/>
  <c r="BE41" i="78"/>
  <c r="T43" i="204"/>
  <c r="P43" i="204"/>
  <c r="W9" i="274"/>
  <c r="S9" i="274"/>
  <c r="BE38" i="78"/>
  <c r="P40" i="204"/>
  <c r="T40" i="204"/>
  <c r="BE36" i="78"/>
  <c r="P38" i="204"/>
  <c r="T38" i="204"/>
  <c r="S46" i="202"/>
  <c r="BD44" i="78"/>
  <c r="BE43" i="78"/>
  <c r="P45" i="204"/>
  <c r="T45" i="204"/>
  <c r="X47" i="275"/>
  <c r="AF47" i="275"/>
  <c r="AA47" i="275"/>
  <c r="S46" i="274"/>
  <c r="AJ44" i="78" s="1"/>
  <c r="BE45" i="78"/>
  <c r="T47" i="204"/>
  <c r="P47" i="204"/>
  <c r="AH43" i="275"/>
  <c r="Z43" i="275"/>
  <c r="AI43" i="275" s="1"/>
  <c r="BE40" i="78"/>
  <c r="T42" i="204"/>
  <c r="P42" i="204"/>
  <c r="S11" i="274"/>
  <c r="AJ9" i="78" s="1"/>
  <c r="AA44" i="275"/>
  <c r="AH44" i="275"/>
  <c r="Z44" i="275"/>
  <c r="AI44" i="275" s="1"/>
  <c r="S43" i="197"/>
  <c r="AZ41" i="78"/>
  <c r="Y46" i="242"/>
  <c r="G44" i="78"/>
  <c r="X7" i="275"/>
  <c r="AF7" i="275"/>
  <c r="AA7" i="275"/>
  <c r="S43" i="274"/>
  <c r="AJ41" i="78" s="1"/>
  <c r="S45" i="274"/>
  <c r="AJ43" i="78" s="1"/>
  <c r="S47" i="202"/>
  <c r="BD45" i="78"/>
  <c r="BE42" i="78"/>
  <c r="P44" i="204"/>
  <c r="T44" i="204"/>
  <c r="S47" i="197"/>
  <c r="AZ45" i="78"/>
  <c r="AH45" i="275"/>
  <c r="Z45" i="275"/>
  <c r="AI45" i="275" s="1"/>
  <c r="BE37" i="78"/>
  <c r="P39" i="204"/>
  <c r="T39" i="204"/>
  <c r="X8" i="275"/>
  <c r="AF8" i="275"/>
  <c r="AA8" i="275"/>
  <c r="AH47" i="275"/>
  <c r="Z47" i="275"/>
  <c r="AI47" i="275" s="1"/>
  <c r="BE33" i="78"/>
  <c r="T35" i="204"/>
  <c r="P35" i="204"/>
  <c r="N8" i="202"/>
  <c r="R8" i="202"/>
  <c r="R44" i="202"/>
  <c r="N44" i="202"/>
  <c r="N44" i="200"/>
  <c r="R44" i="200"/>
  <c r="N8" i="200"/>
  <c r="R8" i="200"/>
  <c r="N46" i="200"/>
  <c r="R46" i="200"/>
  <c r="N46" i="197"/>
  <c r="R46"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63" i="214"/>
  <c r="A23"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M9" i="252"/>
  <c r="N9" i="252"/>
  <c r="V9" i="252"/>
  <c r="W9" i="252"/>
  <c r="F10" i="252"/>
  <c r="M10" i="252"/>
  <c r="N10" i="252"/>
  <c r="V10" i="252"/>
  <c r="W10" i="252"/>
  <c r="F11" i="252"/>
  <c r="M11" i="252"/>
  <c r="N11" i="252"/>
  <c r="V11" i="252"/>
  <c r="W11" i="252"/>
  <c r="F12" i="252"/>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X12" i="274" l="1"/>
  <c r="X7" i="274"/>
  <c r="AA43" i="78"/>
  <c r="I42" i="78"/>
  <c r="Y47" i="242"/>
  <c r="W46" i="23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W44" i="238"/>
  <c r="AA42" i="78"/>
  <c r="O44" i="252"/>
  <c r="AB44" i="252" s="1"/>
  <c r="K26" i="212"/>
  <c r="H67" i="267"/>
  <c r="I31" i="254"/>
  <c r="O10" i="212"/>
  <c r="J43" i="254"/>
  <c r="O43" i="254" s="1"/>
  <c r="H34" i="212"/>
  <c r="G61" i="267"/>
  <c r="D61" i="267"/>
  <c r="H13" i="254"/>
  <c r="N13" i="254" s="1"/>
  <c r="X43" i="274"/>
  <c r="R45" i="212"/>
  <c r="W43" i="238"/>
  <c r="AA41" i="78"/>
  <c r="Y43" i="170"/>
  <c r="I41" i="78"/>
  <c r="B23" i="272"/>
  <c r="C23" i="272"/>
  <c r="B53" i="272"/>
  <c r="C53" i="272"/>
  <c r="B36" i="272"/>
  <c r="C36" i="272"/>
  <c r="W8" i="238"/>
  <c r="AA6" i="78"/>
  <c r="AJ8" i="275"/>
  <c r="AL6" i="78"/>
  <c r="AG45" i="275"/>
  <c r="AB45" i="275"/>
  <c r="U44" i="204"/>
  <c r="BF42" i="78"/>
  <c r="B54" i="272"/>
  <c r="C54" i="272"/>
  <c r="B52" i="272"/>
  <c r="C52" i="272"/>
  <c r="Y45" i="170"/>
  <c r="I43" i="78"/>
  <c r="S8" i="202"/>
  <c r="BD6" i="78"/>
  <c r="AJ42" i="78"/>
  <c r="AJ7" i="78"/>
  <c r="X9" i="274"/>
  <c r="B51" i="272"/>
  <c r="C51" i="272"/>
  <c r="B35" i="272"/>
  <c r="C35" i="272"/>
  <c r="K47" i="212"/>
  <c r="H15" i="254"/>
  <c r="N15" i="254" s="1"/>
  <c r="X47" i="274"/>
  <c r="AJ47" i="275"/>
  <c r="AL45" i="78"/>
  <c r="AJ46" i="275"/>
  <c r="AL44" i="78"/>
  <c r="S47" i="200"/>
  <c r="BB45" i="78"/>
  <c r="S45" i="197"/>
  <c r="AZ43" i="78"/>
  <c r="B50" i="272"/>
  <c r="C50" i="272"/>
  <c r="B34" i="272"/>
  <c r="C34" i="272"/>
  <c r="H47" i="212"/>
  <c r="S46" i="197"/>
  <c r="AZ44" i="78"/>
  <c r="AG8" i="275"/>
  <c r="AB8" i="275"/>
  <c r="U43" i="204"/>
  <c r="BF41" i="78"/>
  <c r="AG46" i="275"/>
  <c r="AB46" i="275"/>
  <c r="S44" i="202"/>
  <c r="BD42" i="78"/>
  <c r="X46" i="274"/>
  <c r="U42" i="204"/>
  <c r="BF40" i="78"/>
  <c r="AG47" i="275"/>
  <c r="AB47" i="275"/>
  <c r="AJ45" i="275"/>
  <c r="AL43" i="78"/>
  <c r="B48" i="272"/>
  <c r="C48" i="272"/>
  <c r="B32" i="272"/>
  <c r="C32" i="272"/>
  <c r="U39" i="204"/>
  <c r="BF37" i="78"/>
  <c r="U8" i="204"/>
  <c r="BF6" i="78"/>
  <c r="B37" i="272"/>
  <c r="C37" i="272"/>
  <c r="B47" i="272"/>
  <c r="C47" i="272"/>
  <c r="B31" i="272"/>
  <c r="C31" i="272"/>
  <c r="U45" i="204"/>
  <c r="BF43" i="78"/>
  <c r="S45" i="200"/>
  <c r="BB43" i="78"/>
  <c r="AG44" i="275"/>
  <c r="AB44" i="275"/>
  <c r="U37" i="204"/>
  <c r="BF35" i="78"/>
  <c r="U40" i="204"/>
  <c r="BF38" i="78"/>
  <c r="AG43" i="275"/>
  <c r="AB43" i="275"/>
  <c r="B49" i="272"/>
  <c r="C49" i="272"/>
  <c r="B46" i="272"/>
  <c r="C46" i="272"/>
  <c r="B30" i="272"/>
  <c r="C30" i="272"/>
  <c r="I37" i="254"/>
  <c r="J37" i="254" s="1"/>
  <c r="S46" i="200"/>
  <c r="BB44" i="78"/>
  <c r="U38" i="204"/>
  <c r="BF36" i="78"/>
  <c r="U41" i="204"/>
  <c r="BF39" i="78"/>
  <c r="B38" i="272"/>
  <c r="C38" i="272"/>
  <c r="B61" i="272"/>
  <c r="C61" i="272"/>
  <c r="F61" i="272"/>
  <c r="B45" i="272"/>
  <c r="C45" i="272"/>
  <c r="B29" i="272"/>
  <c r="C29" i="272"/>
  <c r="K10" i="212"/>
  <c r="D66" i="267"/>
  <c r="Y44" i="182"/>
  <c r="K42" i="78"/>
  <c r="AL5" i="78"/>
  <c r="AJ7" i="275"/>
  <c r="AJ8" i="78"/>
  <c r="X10" i="274"/>
  <c r="B39" i="272"/>
  <c r="C39" i="272"/>
  <c r="B60" i="272"/>
  <c r="C60" i="272"/>
  <c r="F60" i="272"/>
  <c r="B44" i="272"/>
  <c r="C44" i="272"/>
  <c r="B28" i="272"/>
  <c r="C28" i="272"/>
  <c r="Y45" i="182"/>
  <c r="K43" i="78"/>
  <c r="S8" i="200"/>
  <c r="BB6" i="78"/>
  <c r="U35" i="204"/>
  <c r="BF33" i="78"/>
  <c r="Y43" i="182"/>
  <c r="K41" i="78"/>
  <c r="U36" i="204"/>
  <c r="BF34" i="78"/>
  <c r="B33" i="272"/>
  <c r="C33" i="272"/>
  <c r="B59" i="272"/>
  <c r="C59" i="272"/>
  <c r="F59" i="272"/>
  <c r="B43" i="272"/>
  <c r="C43" i="272"/>
  <c r="B27" i="272"/>
  <c r="C27" i="272"/>
  <c r="K18" i="212"/>
  <c r="AG7" i="275"/>
  <c r="AB7" i="275"/>
  <c r="U46" i="204"/>
  <c r="BF44" i="78"/>
  <c r="B55" i="272"/>
  <c r="C55" i="272"/>
  <c r="F55" i="272"/>
  <c r="U47" i="204"/>
  <c r="BF45" i="78"/>
  <c r="AJ43" i="275"/>
  <c r="AL41" i="78"/>
  <c r="B58" i="272"/>
  <c r="C58" i="272"/>
  <c r="F58" i="272"/>
  <c r="B42" i="272"/>
  <c r="C42" i="272"/>
  <c r="B26" i="272"/>
  <c r="C26" i="272"/>
  <c r="H18" i="212"/>
  <c r="G64" i="267"/>
  <c r="I46" i="254"/>
  <c r="S44" i="200"/>
  <c r="BB42" i="78"/>
  <c r="Y47" i="170"/>
  <c r="I45" i="78"/>
  <c r="B57" i="272"/>
  <c r="C57" i="272"/>
  <c r="B41" i="272"/>
  <c r="C41" i="272"/>
  <c r="B25" i="272"/>
  <c r="C25" i="272"/>
  <c r="B22" i="272"/>
  <c r="C22" i="272"/>
  <c r="AJ44" i="275"/>
  <c r="AL42" i="78"/>
  <c r="B21" i="272"/>
  <c r="B56" i="272"/>
  <c r="C56" i="272"/>
  <c r="F56" i="272"/>
  <c r="B40" i="272"/>
  <c r="C40" i="272"/>
  <c r="B24" i="272"/>
  <c r="C24" i="272"/>
  <c r="H45" i="254"/>
  <c r="N45" i="254" s="1"/>
  <c r="Y45" i="242"/>
  <c r="G43"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D37" i="265"/>
  <c r="O42" i="212"/>
  <c r="R37" i="212"/>
  <c r="R26" i="212"/>
  <c r="G66" i="267"/>
  <c r="K37" i="212"/>
  <c r="O26" i="212"/>
  <c r="E66" i="267"/>
  <c r="J45" i="212" s="1"/>
  <c r="G22" i="227"/>
  <c r="K45" i="212"/>
  <c r="G14" i="223"/>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G8" i="227"/>
  <c r="O10" i="162"/>
  <c r="T10" i="162" s="1"/>
  <c r="F61" i="267"/>
  <c r="K40" i="175" s="1"/>
  <c r="L40" i="175" s="1"/>
  <c r="M40" i="175" s="1"/>
  <c r="I45" i="254"/>
  <c r="J31" i="254"/>
  <c r="J38" i="254"/>
  <c r="O38" i="254" s="1"/>
  <c r="J15" i="254"/>
  <c r="O34" i="162"/>
  <c r="T34" i="162" s="1"/>
  <c r="O37" i="212"/>
  <c r="F67" i="267"/>
  <c r="K46" i="175" s="1"/>
  <c r="L46" i="175" s="1"/>
  <c r="M46" i="175" s="1"/>
  <c r="F64" i="267"/>
  <c r="K43" i="175" s="1"/>
  <c r="L43" i="175" s="1"/>
  <c r="M43" i="175" s="1"/>
  <c r="J30" i="254"/>
  <c r="O30" i="254" s="1"/>
  <c r="G15" i="223"/>
  <c r="G28" i="223"/>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AB47" i="252"/>
  <c r="I34" i="254"/>
  <c r="J34" i="254" s="1"/>
  <c r="I26" i="254"/>
  <c r="J26" i="254" s="1"/>
  <c r="I18" i="254"/>
  <c r="J18" i="254" s="1"/>
  <c r="I10" i="254"/>
  <c r="J10" i="254" s="1"/>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K47" i="175" s="1"/>
  <c r="L47" i="175" s="1"/>
  <c r="M47" i="175" s="1"/>
  <c r="E68" i="267"/>
  <c r="J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X8" i="252"/>
  <c r="X45" i="252"/>
  <c r="Y45" i="252" s="1"/>
  <c r="Z45" i="252" s="1"/>
  <c r="AE45" i="252" s="1"/>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8" i="223"/>
  <c r="V29" i="223"/>
  <c r="V25" i="223"/>
  <c r="V21" i="223"/>
  <c r="V17" i="223"/>
  <c r="V13" i="223"/>
  <c r="V9"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C108" i="243"/>
  <c r="B186" i="243"/>
  <c r="B170" i="243"/>
  <c r="B171" i="243"/>
  <c r="B172" i="243"/>
  <c r="B169" i="243"/>
  <c r="A170" i="243"/>
  <c r="A171" i="243"/>
  <c r="A172" i="243"/>
  <c r="A169" i="243"/>
  <c r="Y44" i="252" l="1"/>
  <c r="Z44" i="252" s="1"/>
  <c r="AE44" i="252" s="1"/>
  <c r="L47" i="212"/>
  <c r="S45" i="212"/>
  <c r="O37" i="254"/>
  <c r="K37" i="254"/>
  <c r="L37" i="254" s="1"/>
  <c r="Q37" i="254" s="1"/>
  <c r="AC46" i="252"/>
  <c r="L45" i="212"/>
  <c r="K43" i="254"/>
  <c r="L43" i="254" s="1"/>
  <c r="Q43" i="254" s="1"/>
  <c r="Y47" i="252"/>
  <c r="AD47" i="252" s="1"/>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F57" i="272"/>
  <c r="K41" i="254"/>
  <c r="O41" i="254"/>
  <c r="K47" i="254"/>
  <c r="N47" i="254"/>
  <c r="S40" i="212"/>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23" i="254"/>
  <c r="K47" i="186"/>
  <c r="T47" i="186" s="1"/>
  <c r="P47" i="186"/>
  <c r="U47" i="186" s="1"/>
  <c r="L40" i="212"/>
  <c r="S41" i="212"/>
  <c r="AD44" i="25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AA8" i="99"/>
  <c r="N47" i="99"/>
  <c r="Z47" i="99" s="1"/>
  <c r="AA47" i="99"/>
  <c r="N45" i="99"/>
  <c r="V44" i="99"/>
  <c r="N46" i="99"/>
  <c r="Z46" i="99" s="1"/>
  <c r="B204" i="179"/>
  <c r="A186" i="243"/>
  <c r="Z47" i="252" l="1"/>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8" i="252"/>
  <c r="AE8" i="252" s="1"/>
  <c r="AD8"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H68" i="183" s="1"/>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C66" i="243" l="1" a="1"/>
  <c r="C66" i="243" s="1"/>
  <c r="D66" i="243" s="1"/>
  <c r="H85" i="243"/>
  <c r="P32" i="242" s="1"/>
  <c r="H68" i="243"/>
  <c r="P15"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AC8" i="99"/>
  <c r="M6"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15"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9" i="179" l="1"/>
  <c r="H99" i="179" s="1"/>
  <c r="P46" i="170" s="1"/>
  <c r="D73" i="179"/>
  <c r="H73" i="179" s="1"/>
  <c r="P20" i="170" s="1"/>
  <c r="D94" i="179"/>
  <c r="H94" i="179" s="1"/>
  <c r="P41" i="170" s="1"/>
  <c r="D79" i="179"/>
  <c r="H79" i="179" s="1"/>
  <c r="P26" i="170" s="1"/>
  <c r="D70" i="179"/>
  <c r="H70" i="179" s="1"/>
  <c r="P17" i="170" s="1"/>
  <c r="D62" i="179"/>
  <c r="H62" i="179" s="1"/>
  <c r="P9" i="170" s="1"/>
  <c r="D76" i="179"/>
  <c r="H76" i="179" s="1"/>
  <c r="P23" i="170" s="1"/>
  <c r="D93" i="179"/>
  <c r="H93" i="179" s="1"/>
  <c r="P40" i="170" s="1"/>
  <c r="D89" i="179"/>
  <c r="H89" i="179" s="1"/>
  <c r="P36"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8" i="179"/>
  <c r="P15"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5" i="179" l="1"/>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H19" i="190" l="1"/>
  <c r="H20" i="190"/>
  <c r="H21" i="190"/>
  <c r="H22" i="190"/>
  <c r="H23" i="190"/>
  <c r="H24" i="190"/>
  <c r="H18" i="190"/>
  <c r="A24" i="223"/>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1" i="140"/>
  <c r="B31" i="140"/>
  <c r="C18" i="214"/>
  <c r="B18" i="214"/>
  <c r="E81" i="142" l="1"/>
  <c r="E82" i="142"/>
  <c r="E80" i="142"/>
  <c r="G114" i="243"/>
  <c r="B79" i="213" s="1"/>
  <c r="G114" i="183"/>
  <c r="C80" i="142"/>
  <c r="C82" i="142"/>
  <c r="C81"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53" i="142"/>
  <c r="C38" i="142"/>
  <c r="C61" i="142"/>
  <c r="C66" i="142"/>
  <c r="C64" i="142"/>
  <c r="C15" i="142"/>
  <c r="C65" i="142"/>
  <c r="C32" i="142"/>
  <c r="C37" i="142"/>
  <c r="C35" i="142"/>
  <c r="C62" i="142"/>
  <c r="C26" i="142"/>
  <c r="C74" i="142"/>
  <c r="C16" i="142"/>
  <c r="C46" i="142"/>
  <c r="C43" i="142"/>
  <c r="C36" i="142"/>
  <c r="C69" i="142"/>
  <c r="C10" i="142"/>
  <c r="C70" i="142"/>
  <c r="C50" i="142"/>
  <c r="C9" i="142"/>
  <c r="C41" i="142"/>
  <c r="C4" i="142"/>
  <c r="C27" i="142"/>
  <c r="C29" i="142"/>
  <c r="C71" i="142"/>
  <c r="C47" i="142"/>
  <c r="C58" i="142"/>
  <c r="C54" i="142"/>
  <c r="C6" i="142"/>
  <c r="C40" i="142"/>
  <c r="C33" i="142"/>
  <c r="C42" i="142"/>
  <c r="C14" i="142"/>
  <c r="C39" i="142"/>
  <c r="C59" i="142"/>
  <c r="C20" i="142"/>
  <c r="C12" i="142"/>
  <c r="C78" i="142"/>
  <c r="C67" i="142"/>
  <c r="C30" i="142"/>
  <c r="C24" i="142"/>
  <c r="C51" i="142"/>
  <c r="C73" i="142"/>
  <c r="C18" i="142"/>
  <c r="C34" i="142"/>
  <c r="C5" i="142"/>
  <c r="C25" i="142"/>
  <c r="C13" i="142"/>
  <c r="C3" i="142"/>
  <c r="C22" i="142"/>
  <c r="C7" i="142"/>
  <c r="C77" i="142"/>
  <c r="C49" i="142"/>
  <c r="C8" i="142"/>
  <c r="C11" i="142"/>
  <c r="C31" i="142"/>
  <c r="C23" i="142"/>
  <c r="C52" i="142"/>
  <c r="C44" i="142"/>
  <c r="C21" i="142"/>
  <c r="C56" i="142"/>
  <c r="C79" i="142"/>
  <c r="C72" i="142"/>
  <c r="C48" i="142"/>
  <c r="C57" i="142"/>
  <c r="C55" i="142"/>
  <c r="C45" i="142"/>
  <c r="C28" i="142"/>
  <c r="C75" i="142"/>
  <c r="C60" i="142"/>
  <c r="C17" i="142"/>
  <c r="C19" i="142"/>
  <c r="C63" i="142"/>
  <c r="C68" i="142"/>
  <c r="C76"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H108" i="243"/>
  <c r="B20" i="200" l="1"/>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F22" i="272"/>
  <c r="F23" i="272"/>
  <c r="F24" i="272"/>
  <c r="F25" i="272"/>
  <c r="F26" i="272"/>
  <c r="F28" i="272"/>
  <c r="F29" i="272"/>
  <c r="F30" i="272"/>
  <c r="F31" i="272"/>
  <c r="F32" i="272"/>
  <c r="F33" i="272"/>
  <c r="F34" i="272"/>
  <c r="F35" i="272"/>
  <c r="F36" i="272"/>
  <c r="F37" i="272"/>
  <c r="F38" i="272"/>
  <c r="F39" i="272"/>
  <c r="F40" i="272"/>
  <c r="F41" i="272"/>
  <c r="F42" i="272"/>
  <c r="F43" i="272"/>
  <c r="F44" i="272"/>
  <c r="F45" i="272"/>
  <c r="F46" i="272"/>
  <c r="F47" i="272"/>
  <c r="F48" i="272"/>
  <c r="F49" i="272"/>
  <c r="D23" i="214"/>
  <c r="F21" i="272" s="1"/>
  <c r="E22" i="272"/>
  <c r="E23" i="272"/>
  <c r="E24" i="272"/>
  <c r="E25" i="272"/>
  <c r="E26" i="272"/>
  <c r="E21" i="272"/>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0" i="140"/>
  <c r="E31" i="272" s="1"/>
  <c r="K12" i="159" l="1"/>
  <c r="K11" i="159"/>
  <c r="L12" i="159"/>
  <c r="L11" i="159"/>
  <c r="K17" i="159"/>
  <c r="L17" i="159" s="1"/>
  <c r="L10" i="159"/>
  <c r="K10" i="159"/>
  <c r="L9" i="159"/>
  <c r="L8" i="159"/>
  <c r="K9" i="159"/>
  <c r="K8" i="159"/>
  <c r="M27" i="227"/>
  <c r="M10" i="227"/>
  <c r="O9" i="227"/>
  <c r="M22" i="227"/>
  <c r="N13" i="227"/>
  <c r="O10" i="227"/>
  <c r="N11" i="227"/>
  <c r="M9" i="227"/>
  <c r="M13" i="227"/>
  <c r="O13" i="227" s="1"/>
  <c r="M17" i="227"/>
  <c r="M16" i="227"/>
  <c r="M45" i="227"/>
  <c r="O11" i="227"/>
  <c r="M31" i="227"/>
  <c r="M15" i="227"/>
  <c r="M20" i="227"/>
  <c r="M11" i="227"/>
  <c r="M29" i="227"/>
  <c r="N12" i="227"/>
  <c r="M47" i="227"/>
  <c r="O12" i="227"/>
  <c r="M24" i="227"/>
  <c r="M12" i="227"/>
  <c r="M14" i="227"/>
  <c r="O14" i="227" s="1"/>
  <c r="M46" i="227"/>
  <c r="M35" i="227"/>
  <c r="N8" i="227"/>
  <c r="M21" i="227"/>
  <c r="M28" i="227"/>
  <c r="M42" i="227"/>
  <c r="M23" i="227"/>
  <c r="M34" i="227"/>
  <c r="O8" i="227"/>
  <c r="N14" i="227"/>
  <c r="M41" i="227"/>
  <c r="M8" i="227"/>
  <c r="M19" i="227"/>
  <c r="M44" i="227"/>
  <c r="M33" i="227"/>
  <c r="M32" i="227"/>
  <c r="N9" i="227"/>
  <c r="M43" i="227"/>
  <c r="M26" i="227"/>
  <c r="M18" i="227"/>
  <c r="M25" i="227"/>
  <c r="M30" i="227"/>
  <c r="N10"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L18" i="116" s="1"/>
  <c r="K17" i="116"/>
  <c r="L17" i="116" s="1"/>
  <c r="K16" i="116"/>
  <c r="K15" i="116"/>
  <c r="L15" i="116" s="1"/>
  <c r="K29" i="116"/>
  <c r="L29" i="116" s="1"/>
  <c r="K10" i="116"/>
  <c r="L10" i="116" s="1"/>
  <c r="K9" i="116"/>
  <c r="L9" i="116" s="1"/>
  <c r="K8" i="116"/>
  <c r="L8" i="116" s="1"/>
  <c r="K30" i="116"/>
  <c r="L30" i="116" s="1"/>
  <c r="K21" i="116"/>
  <c r="L21" i="116" s="1"/>
  <c r="K44" i="116"/>
  <c r="L44" i="116" s="1"/>
  <c r="K22" i="116"/>
  <c r="L22" i="116" s="1"/>
  <c r="K13" i="116"/>
  <c r="L13" i="116" s="1"/>
  <c r="K12" i="116"/>
  <c r="L12" i="116" s="1"/>
  <c r="K27" i="116"/>
  <c r="L27" i="116" s="1"/>
  <c r="K14" i="116"/>
  <c r="L14" i="116" s="1"/>
  <c r="K43" i="116"/>
  <c r="L43" i="116" s="1"/>
  <c r="K28" i="116"/>
  <c r="L28" i="116" s="1"/>
  <c r="K35" i="116"/>
  <c r="K11" i="116"/>
  <c r="L11" i="116" s="1"/>
  <c r="B17" i="223"/>
  <c r="AB10" i="185"/>
  <c r="AB14" i="185"/>
  <c r="X12" i="185"/>
  <c r="AB13" i="185"/>
  <c r="N10" i="185"/>
  <c r="O10" i="185"/>
  <c r="X10" i="185"/>
  <c r="Z12" i="185"/>
  <c r="M11" i="185"/>
  <c r="AB12" i="185"/>
  <c r="N9" i="185"/>
  <c r="N11" i="185"/>
  <c r="Z10" i="185"/>
  <c r="O12" i="185"/>
  <c r="L12" i="185"/>
  <c r="AA8" i="185"/>
  <c r="M9" i="185"/>
  <c r="AB9" i="185"/>
  <c r="AA9" i="185"/>
  <c r="L10" i="185"/>
  <c r="AA10" i="185"/>
  <c r="L11" i="185"/>
  <c r="AB11" i="185"/>
  <c r="Y11" i="185"/>
  <c r="Z8" i="185"/>
  <c r="L8" i="185"/>
  <c r="X8" i="185"/>
  <c r="Y9" i="185"/>
  <c r="Y10" i="185"/>
  <c r="Z9" i="185"/>
  <c r="AA12" i="185"/>
  <c r="N8" i="185"/>
  <c r="O9" i="185"/>
  <c r="O8" i="185"/>
  <c r="L9" i="185"/>
  <c r="M8" i="185"/>
  <c r="M12" i="185"/>
  <c r="X9" i="185"/>
  <c r="AB8" i="185"/>
  <c r="N12" i="185"/>
  <c r="Z11" i="185"/>
  <c r="Y12" i="185"/>
  <c r="AA11" i="185"/>
  <c r="O11" i="185"/>
  <c r="X11" i="185"/>
  <c r="M10" i="185"/>
  <c r="Y8" i="185"/>
  <c r="B23" i="227"/>
  <c r="B22" i="227"/>
  <c r="F27" i="272"/>
  <c r="B423" i="213"/>
  <c r="L35" i="116"/>
  <c r="L16" i="116"/>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L9" i="1" l="1"/>
  <c r="I6" i="1"/>
  <c r="U6" i="1" s="1"/>
  <c r="O10" i="1"/>
  <c r="U10" i="1" s="1"/>
  <c r="O11" i="1"/>
  <c r="U11" i="1" s="1"/>
  <c r="P11" i="227"/>
  <c r="U11" i="227" s="1"/>
  <c r="P12" i="227"/>
  <c r="U12" i="227" s="1"/>
  <c r="P9" i="227"/>
  <c r="U9" i="227" s="1"/>
  <c r="P10" i="227"/>
  <c r="U10" i="227" s="1"/>
  <c r="O9" i="1"/>
  <c r="P36" i="1"/>
  <c r="Q36" i="1" s="1"/>
  <c r="M10" i="1"/>
  <c r="N10" i="1" s="1"/>
  <c r="M13" i="1"/>
  <c r="N13" i="1" s="1"/>
  <c r="J16" i="1"/>
  <c r="K16" i="1" s="1"/>
  <c r="M22" i="1"/>
  <c r="N22" i="1" s="1"/>
  <c r="M37" i="1"/>
  <c r="N37" i="1" s="1"/>
  <c r="M43" i="1"/>
  <c r="N43" i="1" s="1"/>
  <c r="M32" i="1"/>
  <c r="N32" i="1" s="1"/>
  <c r="M7" i="1"/>
  <c r="N7" i="1" s="1"/>
  <c r="P10" i="1"/>
  <c r="Q10" i="1" s="1"/>
  <c r="P13" i="1"/>
  <c r="Q13" i="1" s="1"/>
  <c r="M26" i="1"/>
  <c r="N26" i="1" s="1"/>
  <c r="M17" i="1"/>
  <c r="N17" i="1" s="1"/>
  <c r="M23" i="1"/>
  <c r="N23" i="1" s="1"/>
  <c r="M38" i="1"/>
  <c r="N38" i="1" s="1"/>
  <c r="M15" i="1"/>
  <c r="N15" i="1" s="1"/>
  <c r="M21" i="1"/>
  <c r="N21" i="1" s="1"/>
  <c r="P27" i="1"/>
  <c r="Q27" i="1" s="1"/>
  <c r="P30" i="1"/>
  <c r="Q30" i="1" s="1"/>
  <c r="M5" i="1"/>
  <c r="N5" i="1" s="1"/>
  <c r="M8" i="1"/>
  <c r="N8" i="1" s="1"/>
  <c r="M27" i="1"/>
  <c r="N27" i="1" s="1"/>
  <c r="M30" i="1"/>
  <c r="N30" i="1" s="1"/>
  <c r="M33" i="1"/>
  <c r="N33" i="1" s="1"/>
  <c r="M9" i="1"/>
  <c r="N9" i="1" s="1"/>
  <c r="J31" i="1"/>
  <c r="K31" i="1" s="1"/>
  <c r="M39" i="1"/>
  <c r="N39" i="1" s="1"/>
  <c r="M25" i="1"/>
  <c r="N25" i="1" s="1"/>
  <c r="P41" i="1"/>
  <c r="Q41" i="1" s="1"/>
  <c r="P7" i="1"/>
  <c r="Q7" i="1" s="1"/>
  <c r="P34" i="1"/>
  <c r="Q34" i="1" s="1"/>
  <c r="M41" i="1"/>
  <c r="N41" i="1" s="1"/>
  <c r="J35" i="1"/>
  <c r="K35" i="1" s="1"/>
  <c r="M16" i="1"/>
  <c r="N16" i="1" s="1"/>
  <c r="P19" i="1"/>
  <c r="Q19" i="1" s="1"/>
  <c r="J24" i="1"/>
  <c r="K24" i="1" s="1"/>
  <c r="J44" i="1"/>
  <c r="K44" i="1" s="1"/>
  <c r="P6" i="1"/>
  <c r="Q6" i="1" s="1"/>
  <c r="P28" i="1"/>
  <c r="Q28" i="1" s="1"/>
  <c r="M24" i="1"/>
  <c r="N24" i="1" s="1"/>
  <c r="P21" i="1"/>
  <c r="Q21" i="1" s="1"/>
  <c r="J36" i="1"/>
  <c r="K36" i="1" s="1"/>
  <c r="P20" i="1"/>
  <c r="Q20" i="1" s="1"/>
  <c r="J14" i="1"/>
  <c r="K14" i="1" s="1"/>
  <c r="J37" i="1"/>
  <c r="K37" i="1" s="1"/>
  <c r="P22" i="1"/>
  <c r="Q22" i="1" s="1"/>
  <c r="P42" i="1"/>
  <c r="Q42" i="1" s="1"/>
  <c r="M29" i="1"/>
  <c r="N29" i="1" s="1"/>
  <c r="P26" i="1"/>
  <c r="Q26" i="1" s="1"/>
  <c r="J41" i="1"/>
  <c r="K41" i="1" s="1"/>
  <c r="J18" i="1"/>
  <c r="K18" i="1" s="1"/>
  <c r="J11" i="1"/>
  <c r="K11" i="1" s="1"/>
  <c r="J40" i="1"/>
  <c r="K40" i="1" s="1"/>
  <c r="P29" i="1"/>
  <c r="Q29" i="1" s="1"/>
  <c r="M18" i="1"/>
  <c r="N18" i="1" s="1"/>
  <c r="M36" i="1"/>
  <c r="N36" i="1" s="1"/>
  <c r="M19" i="1"/>
  <c r="N19" i="1" s="1"/>
  <c r="P14" i="1"/>
  <c r="Q14" i="1" s="1"/>
  <c r="P43" i="1"/>
  <c r="Q43" i="1" s="1"/>
  <c r="P15" i="1"/>
  <c r="Q15" i="1" s="1"/>
  <c r="J7" i="1"/>
  <c r="K7" i="1" s="1"/>
  <c r="P12" i="1"/>
  <c r="Q12" i="1" s="1"/>
  <c r="M40" i="1"/>
  <c r="N40" i="1" s="1"/>
  <c r="P40" i="1"/>
  <c r="Q40" i="1" s="1"/>
  <c r="P11" i="1"/>
  <c r="Q11" i="1" s="1"/>
  <c r="J38" i="1"/>
  <c r="K38" i="1" s="1"/>
  <c r="J13" i="1"/>
  <c r="K13" i="1" s="1"/>
  <c r="J26" i="1"/>
  <c r="K26" i="1" s="1"/>
  <c r="M6" i="1"/>
  <c r="N6" i="1" s="1"/>
  <c r="J43" i="1"/>
  <c r="K43" i="1" s="1"/>
  <c r="M35" i="1"/>
  <c r="N35" i="1" s="1"/>
  <c r="J33" i="1"/>
  <c r="K33" i="1" s="1"/>
  <c r="J32" i="1"/>
  <c r="K32" i="1" s="1"/>
  <c r="J10" i="1"/>
  <c r="K10" i="1" s="1"/>
  <c r="M34" i="1"/>
  <c r="N34" i="1" s="1"/>
  <c r="J21" i="1"/>
  <c r="K21" i="1" s="1"/>
  <c r="J30" i="1"/>
  <c r="K30" i="1" s="1"/>
  <c r="J23" i="1"/>
  <c r="K23" i="1" s="1"/>
  <c r="P39" i="1"/>
  <c r="Q39" i="1" s="1"/>
  <c r="M12" i="1"/>
  <c r="N12" i="1" s="1"/>
  <c r="M42" i="1"/>
  <c r="N42" i="1" s="1"/>
  <c r="P24" i="1"/>
  <c r="Q24" i="1" s="1"/>
  <c r="J27" i="1"/>
  <c r="K27" i="1" s="1"/>
  <c r="P16" i="1"/>
  <c r="Q16" i="1" s="1"/>
  <c r="J28" i="1"/>
  <c r="K28" i="1" s="1"/>
  <c r="P18" i="1"/>
  <c r="Q18" i="1" s="1"/>
  <c r="P25" i="1"/>
  <c r="Q25" i="1" s="1"/>
  <c r="J15" i="1"/>
  <c r="K15" i="1" s="1"/>
  <c r="P8" i="1"/>
  <c r="Q8" i="1" s="1"/>
  <c r="P23" i="1"/>
  <c r="Q23" i="1" s="1"/>
  <c r="P37" i="1"/>
  <c r="Q37" i="1" s="1"/>
  <c r="J19" i="1"/>
  <c r="K19" i="1" s="1"/>
  <c r="P35" i="1"/>
  <c r="Q35" i="1" s="1"/>
  <c r="P44" i="1"/>
  <c r="Q44" i="1" s="1"/>
  <c r="P5" i="1"/>
  <c r="Q5" i="1" s="1"/>
  <c r="M20" i="1"/>
  <c r="N20" i="1" s="1"/>
  <c r="J42" i="1"/>
  <c r="K42" i="1" s="1"/>
  <c r="P17" i="1"/>
  <c r="Q17" i="1" s="1"/>
  <c r="P31" i="1"/>
  <c r="Q31" i="1" s="1"/>
  <c r="M44" i="1"/>
  <c r="N44" i="1" s="1"/>
  <c r="J20" i="1"/>
  <c r="K20" i="1" s="1"/>
  <c r="J39" i="1"/>
  <c r="K39" i="1" s="1"/>
  <c r="J5" i="1"/>
  <c r="K5" i="1" s="1"/>
  <c r="J29" i="1"/>
  <c r="K29" i="1" s="1"/>
  <c r="M11" i="1"/>
  <c r="N11" i="1" s="1"/>
  <c r="P33" i="1"/>
  <c r="Q33" i="1" s="1"/>
  <c r="M14" i="1"/>
  <c r="N14" i="1" s="1"/>
  <c r="J34" i="1"/>
  <c r="K34" i="1" s="1"/>
  <c r="M31" i="1"/>
  <c r="N31" i="1" s="1"/>
  <c r="M28" i="1"/>
  <c r="N28" i="1" s="1"/>
  <c r="J8" i="1"/>
  <c r="K8" i="1" s="1"/>
  <c r="J25" i="1"/>
  <c r="K25" i="1" s="1"/>
  <c r="P32" i="1"/>
  <c r="Q32" i="1" s="1"/>
  <c r="P38" i="1"/>
  <c r="Q38" i="1" s="1"/>
  <c r="J22" i="1"/>
  <c r="K22" i="1" s="1"/>
  <c r="J17" i="1"/>
  <c r="K17" i="1" s="1"/>
  <c r="J9" i="1"/>
  <c r="K9" i="1" s="1"/>
  <c r="J12" i="1"/>
  <c r="K12" i="1" s="1"/>
  <c r="K16" i="159"/>
  <c r="L16" i="159" s="1"/>
  <c r="E30" i="272"/>
  <c r="W47" i="223"/>
  <c r="E61" i="272"/>
  <c r="W41" i="223"/>
  <c r="E55" i="272"/>
  <c r="W43" i="223"/>
  <c r="E57" i="272"/>
  <c r="K44" i="159"/>
  <c r="L44" i="159" s="1"/>
  <c r="E58" i="272"/>
  <c r="K46" i="159"/>
  <c r="L46" i="159" s="1"/>
  <c r="E60" i="272"/>
  <c r="B431" i="213"/>
  <c r="E27" i="272"/>
  <c r="W44" i="223"/>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9" i="179"/>
  <c r="F93"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K15" i="159"/>
  <c r="L15" i="159" s="1"/>
  <c r="E29" i="272"/>
  <c r="K18" i="159"/>
  <c r="L18" i="159" s="1"/>
  <c r="E32" i="272"/>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J6" i="1" l="1"/>
  <c r="K6" i="1" s="1"/>
  <c r="P9" i="1"/>
  <c r="Q9" i="1" s="1"/>
  <c r="U9" i="1"/>
  <c r="W35" i="1"/>
  <c r="V35" i="1"/>
  <c r="V18" i="1"/>
  <c r="W18" i="1"/>
  <c r="V29" i="1"/>
  <c r="W29" i="1"/>
  <c r="W9" i="1"/>
  <c r="V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10" i="1"/>
  <c r="W32" i="1"/>
  <c r="V32" i="1"/>
  <c r="W13" i="1"/>
  <c r="V13" i="1"/>
  <c r="W19" i="1"/>
  <c r="V19" i="1"/>
  <c r="W33" i="1"/>
  <c r="V33" i="1"/>
  <c r="V28" i="1"/>
  <c r="W28" i="1"/>
  <c r="W5" i="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W19" i="223" l="1"/>
  <c r="K19" i="159"/>
  <c r="L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E6" i="24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E35" i="272"/>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F12" i="250"/>
  <c r="G12" i="250"/>
  <c r="E36" i="272"/>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1" i="167"/>
  <c r="B38" i="167" s="1"/>
  <c r="W22" i="223" l="1"/>
  <c r="K22" i="159"/>
  <c r="L22" i="159" s="1"/>
  <c r="B19" i="184"/>
  <c r="B20" i="184" s="1"/>
  <c r="F5" i="263"/>
  <c r="B5" i="265"/>
  <c r="H12" i="250"/>
  <c r="C21" i="250"/>
  <c r="V9" i="185" s="1"/>
  <c r="E37" i="272"/>
  <c r="G32" i="265"/>
  <c r="H32" i="265"/>
  <c r="D19" i="250"/>
  <c r="B20" i="250"/>
  <c r="J8" i="185" s="1"/>
  <c r="J12" i="259"/>
  <c r="J8" i="259"/>
  <c r="W23" i="223" l="1"/>
  <c r="K23" i="159"/>
  <c r="L23" i="159" s="1"/>
  <c r="B21" i="184"/>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W24" i="223"/>
  <c r="C23" i="250"/>
  <c r="V11" i="185" s="1"/>
  <c r="E39" i="272"/>
  <c r="B22" i="184"/>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34" i="265" l="1"/>
  <c r="C34" i="265" s="1"/>
  <c r="W25" i="223"/>
  <c r="K25" i="159"/>
  <c r="L25" i="159" s="1"/>
  <c r="I32" i="167"/>
  <c r="J32" i="167"/>
  <c r="N32" i="167"/>
  <c r="M32" i="167"/>
  <c r="K32" i="167"/>
  <c r="B23" i="184"/>
  <c r="E40" i="272"/>
  <c r="C24" i="250"/>
  <c r="V12" i="185" s="1"/>
  <c r="H35" i="265"/>
  <c r="J34" i="265"/>
  <c r="L34" i="265" s="1"/>
  <c r="G35" i="265"/>
  <c r="I34" i="265"/>
  <c r="K34" i="265" s="1"/>
  <c r="B23" i="250"/>
  <c r="J11" i="185" s="1"/>
  <c r="D22" i="250"/>
  <c r="M33" i="259"/>
  <c r="B36" i="167" s="1"/>
  <c r="B35" i="265" l="1"/>
  <c r="C35" i="265" s="1"/>
  <c r="K26" i="159"/>
  <c r="L26" i="159" s="1"/>
  <c r="W26" i="223"/>
  <c r="E41" i="272"/>
  <c r="C25" i="250"/>
  <c r="V13" i="185" s="1"/>
  <c r="AA13" i="185" s="1"/>
  <c r="B24" i="184"/>
  <c r="B6" i="265"/>
  <c r="I35" i="265"/>
  <c r="K35" i="265" s="1"/>
  <c r="G36" i="265"/>
  <c r="H36" i="265"/>
  <c r="J35" i="265"/>
  <c r="L35" i="265" s="1"/>
  <c r="B24" i="250"/>
  <c r="J12" i="185" s="1"/>
  <c r="D23" i="250"/>
  <c r="G54" i="97"/>
  <c r="H54" i="97" s="1"/>
  <c r="B36" i="265" l="1"/>
  <c r="C36" i="265" s="1"/>
  <c r="K27" i="159"/>
  <c r="L27" i="159" s="1"/>
  <c r="W27" i="223"/>
  <c r="B25" i="184"/>
  <c r="C26" i="250"/>
  <c r="V14" i="185" s="1"/>
  <c r="AA14" i="185" s="1"/>
  <c r="E42" i="272"/>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G78" i="97"/>
  <c r="H78" i="97" s="1"/>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28" i="189"/>
  <c r="A4" i="190" s="1"/>
  <c r="A27" i="186"/>
  <c r="A28" i="186"/>
  <c r="A29" i="186"/>
  <c r="A40" i="187" s="1"/>
  <c r="A26" i="186"/>
  <c r="A34" i="99"/>
  <c r="A76" i="97" s="1"/>
  <c r="A29" i="99"/>
  <c r="A30" i="99"/>
  <c r="A31" i="99"/>
  <c r="A32" i="99"/>
  <c r="A52" i="97" s="1"/>
  <c r="A33" i="99"/>
  <c r="A64" i="97" s="1"/>
  <c r="A28" i="99"/>
  <c r="G72" i="97"/>
  <c r="H72" i="97" s="1"/>
  <c r="G71" i="97"/>
  <c r="H71" i="97" s="1"/>
  <c r="G70" i="97"/>
  <c r="H70" i="97" s="1"/>
  <c r="G69" i="97"/>
  <c r="H69" i="97" s="1"/>
  <c r="G68" i="97"/>
  <c r="H68" i="97" s="1"/>
  <c r="G67" i="97"/>
  <c r="H67" i="97" s="1"/>
  <c r="G66" i="97"/>
  <c r="H66"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B37" i="265" l="1"/>
  <c r="C37" i="265" s="1"/>
  <c r="K28" i="159"/>
  <c r="L28" i="159" s="1"/>
  <c r="W28" i="223"/>
  <c r="P13" i="189"/>
  <c r="M11" i="189"/>
  <c r="M39" i="189"/>
  <c r="G45" i="189"/>
  <c r="G38" i="189"/>
  <c r="G43" i="189"/>
  <c r="M36" i="189"/>
  <c r="G41" i="189"/>
  <c r="M47" i="189"/>
  <c r="G12" i="189"/>
  <c r="G11" i="189"/>
  <c r="M46" i="189"/>
  <c r="G9" i="189"/>
  <c r="G47" i="189"/>
  <c r="G44" i="189"/>
  <c r="G46" i="189"/>
  <c r="M10" i="189"/>
  <c r="G14" i="189"/>
  <c r="M44" i="189"/>
  <c r="M12" i="189"/>
  <c r="M8" i="189"/>
  <c r="M40" i="189"/>
  <c r="G13" i="189"/>
  <c r="G39" i="189"/>
  <c r="M45" i="189"/>
  <c r="G10" i="189"/>
  <c r="G37" i="189"/>
  <c r="M37" i="189"/>
  <c r="M43" i="189"/>
  <c r="G36" i="189"/>
  <c r="M38" i="189"/>
  <c r="M14" i="189"/>
  <c r="M42" i="189"/>
  <c r="G42" i="189"/>
  <c r="G8" i="189"/>
  <c r="G40" i="189"/>
  <c r="M41" i="189"/>
  <c r="M9"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B26" i="184"/>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W29" i="223"/>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E44" i="272"/>
  <c r="J38" i="265"/>
  <c r="L38" i="265" s="1"/>
  <c r="H39" i="265"/>
  <c r="G39" i="265"/>
  <c r="I38" i="265"/>
  <c r="K38" i="265" s="1"/>
  <c r="B27" i="250"/>
  <c r="J15" i="185" s="1"/>
  <c r="D26" i="250"/>
  <c r="B2" i="237"/>
  <c r="B27" i="185"/>
  <c r="B31" i="182"/>
  <c r="B32" i="170"/>
  <c r="B31" i="242"/>
  <c r="J109" i="243" s="1"/>
  <c r="H62" i="213" s="1"/>
  <c r="A28" i="187"/>
  <c r="A16" i="187"/>
  <c r="A4" i="187"/>
  <c r="A40" i="97"/>
  <c r="A28" i="97"/>
  <c r="A16" i="97"/>
  <c r="A4" i="97"/>
  <c r="C109" i="243"/>
  <c r="E186" i="243" s="1"/>
  <c r="D109" i="243"/>
  <c r="B39" i="265" l="1"/>
  <c r="C39" i="265" s="1"/>
  <c r="K30" i="159"/>
  <c r="L30" i="159" s="1"/>
  <c r="W30" i="223"/>
  <c r="B26" i="185"/>
  <c r="AE27" i="223"/>
  <c r="AC27" i="223"/>
  <c r="B40" i="265"/>
  <c r="D27" i="250"/>
  <c r="AE28" i="223"/>
  <c r="F7" i="189"/>
  <c r="F7" i="186"/>
  <c r="F7" i="99"/>
  <c r="F8" i="244"/>
  <c r="G8" i="244" s="1"/>
  <c r="F7" i="182"/>
  <c r="F7" i="170"/>
  <c r="F7" i="242"/>
  <c r="E45" i="272"/>
  <c r="C29" i="250"/>
  <c r="V17" i="185" s="1"/>
  <c r="B28" i="184"/>
  <c r="G40" i="265"/>
  <c r="I39" i="265"/>
  <c r="H40" i="265"/>
  <c r="J39" i="265"/>
  <c r="L39" i="265" s="1"/>
  <c r="A33" i="265"/>
  <c r="B28" i="250"/>
  <c r="J16" i="185" s="1"/>
  <c r="F7" i="252"/>
  <c r="F7" i="254"/>
  <c r="B22" i="252"/>
  <c r="B21" i="252"/>
  <c r="B20" i="252"/>
  <c r="B19" i="252"/>
  <c r="N151" i="243"/>
  <c r="P151" i="243" s="1"/>
  <c r="N150" i="243"/>
  <c r="P150" i="243" s="1"/>
  <c r="M150" i="243"/>
  <c r="C40" i="265" l="1"/>
  <c r="W31" i="223"/>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6" i="78"/>
  <c r="Y45" i="78"/>
  <c r="Y6" i="78"/>
  <c r="Y43" i="78"/>
  <c r="X43"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F1" i="269"/>
  <c r="G1" i="270"/>
  <c r="G1" i="205"/>
  <c r="G1" i="183"/>
  <c r="G1" i="204"/>
  <c r="G1" i="203"/>
  <c r="U1" i="223"/>
  <c r="G1" i="179"/>
  <c r="G1" i="202"/>
  <c r="G1" i="170"/>
  <c r="G1" i="201"/>
  <c r="G1" i="243"/>
  <c r="G1" i="185"/>
  <c r="G1" i="200"/>
  <c r="G1" i="162"/>
  <c r="G1" i="242"/>
  <c r="G1" i="267"/>
  <c r="G1" i="198"/>
  <c r="G1" i="263"/>
  <c r="G1" i="182"/>
  <c r="G1" i="197"/>
  <c r="F1" i="265"/>
  <c r="H1" i="254"/>
  <c r="G1" i="184"/>
  <c r="G1" i="212"/>
  <c r="D1" i="261"/>
  <c r="G1" i="175"/>
  <c r="G1" i="259"/>
  <c r="G1" i="112"/>
  <c r="G1" i="260"/>
  <c r="I1" i="97"/>
  <c r="G1" i="99"/>
  <c r="K1" i="253"/>
  <c r="F1" i="241"/>
  <c r="BE2" i="78"/>
  <c r="BC2" i="78"/>
  <c r="AB2" i="78"/>
  <c r="BA2" i="78"/>
  <c r="Z2" i="78"/>
  <c r="V2" i="78"/>
  <c r="AY2" i="78"/>
  <c r="AT2" i="78"/>
  <c r="T2" i="78"/>
  <c r="AR2" i="78"/>
  <c r="R2" i="78"/>
  <c r="AP2" i="78"/>
  <c r="AH2" i="78"/>
  <c r="AF2" i="78"/>
  <c r="E2" i="142"/>
  <c r="L2" i="78"/>
  <c r="N2" i="78"/>
  <c r="P2" i="78"/>
  <c r="I8" i="244"/>
  <c r="B29" i="184"/>
  <c r="C30" i="250"/>
  <c r="V18" i="185" s="1"/>
  <c r="E46" i="272"/>
  <c r="H41" i="265"/>
  <c r="J40" i="265"/>
  <c r="L40" i="265" s="1"/>
  <c r="G41" i="265"/>
  <c r="I40" i="265"/>
  <c r="B29" i="250"/>
  <c r="J17" i="185" s="1"/>
  <c r="D28" i="250"/>
  <c r="B23" i="252"/>
  <c r="B24" i="252"/>
  <c r="I7" i="254"/>
  <c r="O150" i="243"/>
  <c r="O151" i="243"/>
  <c r="B41" i="265" l="1"/>
  <c r="I15" i="185" s="1"/>
  <c r="C41" i="265"/>
  <c r="K32" i="159"/>
  <c r="L32" i="159" s="1"/>
  <c r="W32" i="223"/>
  <c r="AC29" i="223"/>
  <c r="AE29" i="223"/>
  <c r="L47" i="252"/>
  <c r="K47" i="252"/>
  <c r="T47" i="252"/>
  <c r="K46" i="252"/>
  <c r="U47" i="252"/>
  <c r="L46" i="252"/>
  <c r="T46" i="252"/>
  <c r="U46" i="252"/>
  <c r="L7" i="252"/>
  <c r="T10" i="252"/>
  <c r="L13" i="252"/>
  <c r="K18" i="252"/>
  <c r="L23" i="252"/>
  <c r="K26" i="252"/>
  <c r="U27" i="252"/>
  <c r="L29" i="252"/>
  <c r="K34" i="252"/>
  <c r="L39" i="252"/>
  <c r="K42" i="252"/>
  <c r="U43" i="252"/>
  <c r="L32" i="252"/>
  <c r="K37" i="252"/>
  <c r="K9" i="252"/>
  <c r="O9" i="252" s="1"/>
  <c r="AB9" i="252" s="1"/>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O12" i="252" s="1"/>
  <c r="AB12" i="252" s="1"/>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X12" i="252" s="1"/>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O10" i="252" s="1"/>
  <c r="AB10" i="252" s="1"/>
  <c r="T17" i="252"/>
  <c r="L19" i="252"/>
  <c r="U22" i="252"/>
  <c r="K27" i="252"/>
  <c r="T33" i="252"/>
  <c r="L35" i="252"/>
  <c r="U38" i="252"/>
  <c r="K43" i="252"/>
  <c r="O43" i="252" s="1"/>
  <c r="AB43" i="252" s="1"/>
  <c r="U44" i="252"/>
  <c r="T11" i="252"/>
  <c r="X11" i="252" s="1"/>
  <c r="T27" i="252"/>
  <c r="L10" i="252"/>
  <c r="K16" i="252"/>
  <c r="U17" i="252"/>
  <c r="L27" i="252"/>
  <c r="K32" i="252"/>
  <c r="U33" i="252"/>
  <c r="L43" i="252"/>
  <c r="L21" i="252"/>
  <c r="AE30" i="223"/>
  <c r="AC30" i="223"/>
  <c r="AA30" i="223"/>
  <c r="E47" i="272"/>
  <c r="C31" i="250"/>
  <c r="V19" i="185" s="1"/>
  <c r="B30" i="184"/>
  <c r="G42" i="265"/>
  <c r="C42" i="265" s="1"/>
  <c r="I41" i="265"/>
  <c r="H42" i="265"/>
  <c r="H43" i="265" s="1"/>
  <c r="H44" i="265" s="1"/>
  <c r="J41" i="265"/>
  <c r="L41" i="265" s="1"/>
  <c r="B30" i="250"/>
  <c r="J18" i="185" s="1"/>
  <c r="D29" i="250"/>
  <c r="U7" i="252"/>
  <c r="T7" i="252"/>
  <c r="K7" i="252"/>
  <c r="C30" i="182"/>
  <c r="D31" i="182"/>
  <c r="D30" i="182"/>
  <c r="B194" i="243"/>
  <c r="G186" i="243" s="1"/>
  <c r="C192" i="243"/>
  <c r="B192" i="243"/>
  <c r="A192" i="243"/>
  <c r="B180" i="243"/>
  <c r="B176" i="243" s="1"/>
  <c r="F169" i="243"/>
  <c r="F171" i="243" s="1"/>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X9" i="252" l="1"/>
  <c r="AC11" i="252"/>
  <c r="AC12" i="252"/>
  <c r="Y12" i="252"/>
  <c r="X10" i="252"/>
  <c r="O11" i="252"/>
  <c r="AB11" i="252" s="1"/>
  <c r="B42" i="265"/>
  <c r="I16" i="185" s="1"/>
  <c r="O32" i="252"/>
  <c r="AB32" i="252" s="1"/>
  <c r="O17" i="252"/>
  <c r="AB17" i="252" s="1"/>
  <c r="X29" i="252"/>
  <c r="AC29" i="252" s="1"/>
  <c r="W33" i="223"/>
  <c r="K33" i="159"/>
  <c r="L33" i="159" s="1"/>
  <c r="X31" i="252"/>
  <c r="AC31" i="252" s="1"/>
  <c r="H45" i="265"/>
  <c r="H46" i="265" s="1"/>
  <c r="T13" i="185"/>
  <c r="B43" i="265"/>
  <c r="I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O20" i="252"/>
  <c r="AB20" i="252" s="1"/>
  <c r="O21" i="252"/>
  <c r="AB21" i="252" s="1"/>
  <c r="O27" i="252"/>
  <c r="AB27" i="252" s="1"/>
  <c r="X13" i="252"/>
  <c r="O24" i="252"/>
  <c r="AB24" i="252" s="1"/>
  <c r="X42" i="252"/>
  <c r="O30" i="252"/>
  <c r="AB30" i="252" s="1"/>
  <c r="X34"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B31" i="184"/>
  <c r="C32" i="250"/>
  <c r="V20" i="185" s="1"/>
  <c r="E48" i="272"/>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D30" i="250"/>
  <c r="D32" i="242"/>
  <c r="B193" i="243" s="1"/>
  <c r="A132" i="243"/>
  <c r="L150" i="243"/>
  <c r="A133" i="243"/>
  <c r="L151" i="243"/>
  <c r="B190" i="243"/>
  <c r="G171" i="243"/>
  <c r="F170" i="243"/>
  <c r="E169" i="243"/>
  <c r="H108" i="179"/>
  <c r="AC10" i="252" l="1"/>
  <c r="Y10" i="252"/>
  <c r="Z12" i="252"/>
  <c r="AD12" i="252"/>
  <c r="X10" i="78"/>
  <c r="Y11" i="252"/>
  <c r="Y9" i="252"/>
  <c r="AC9" i="252"/>
  <c r="Y32" i="252"/>
  <c r="X30" i="78" s="1"/>
  <c r="K34" i="159"/>
  <c r="L34" i="159" s="1"/>
  <c r="W34" i="223"/>
  <c r="Y29" i="252"/>
  <c r="X27" i="78"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E49" i="272"/>
  <c r="C33" i="250"/>
  <c r="V21" i="185" s="1"/>
  <c r="B32" i="184"/>
  <c r="G44" i="265"/>
  <c r="C44" i="265" s="1"/>
  <c r="L42" i="265"/>
  <c r="J43" i="265"/>
  <c r="B32" i="250"/>
  <c r="J20" i="185" s="1"/>
  <c r="D31" i="250"/>
  <c r="B179" i="243"/>
  <c r="B20" i="242"/>
  <c r="F172" i="243"/>
  <c r="G172" i="243" s="1"/>
  <c r="H172" i="243" s="1"/>
  <c r="G170" i="243"/>
  <c r="H170" i="243" s="1"/>
  <c r="Z9" i="252" l="1"/>
  <c r="AD9" i="252"/>
  <c r="X7" i="78"/>
  <c r="AD11" i="252"/>
  <c r="Z11" i="252"/>
  <c r="X9" i="78"/>
  <c r="AE12" i="252"/>
  <c r="Y10" i="78"/>
  <c r="Z10" i="252"/>
  <c r="AD10" i="252"/>
  <c r="X8" i="78"/>
  <c r="B44" i="265"/>
  <c r="I18" i="185" s="1"/>
  <c r="AD32" i="252"/>
  <c r="Z32" i="252"/>
  <c r="AE32" i="252" s="1"/>
  <c r="AD37" i="252"/>
  <c r="Z19" i="252"/>
  <c r="AE19" i="252" s="1"/>
  <c r="W35" i="223"/>
  <c r="K35" i="159"/>
  <c r="L35" i="159" s="1"/>
  <c r="AD19" i="252"/>
  <c r="AE32" i="223"/>
  <c r="Y17" i="78"/>
  <c r="Z14" i="252"/>
  <c r="X12" i="78"/>
  <c r="AD31" i="252"/>
  <c r="X29" i="78"/>
  <c r="AD40" i="252"/>
  <c r="X38" i="78"/>
  <c r="Z17" i="252"/>
  <c r="Z27" i="252"/>
  <c r="X25" i="78"/>
  <c r="Z15" i="252"/>
  <c r="X13" i="78"/>
  <c r="AE29" i="252"/>
  <c r="Y27" i="78"/>
  <c r="Z37" i="252"/>
  <c r="Z25" i="252"/>
  <c r="X23" i="78"/>
  <c r="AD17" i="252"/>
  <c r="Z26" i="252"/>
  <c r="X24" i="78"/>
  <c r="Z23" i="252"/>
  <c r="X21" i="78"/>
  <c r="Z35" i="252"/>
  <c r="X33" i="78"/>
  <c r="H49" i="265"/>
  <c r="H50" i="265" s="1"/>
  <c r="T15" i="185"/>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B33" i="184"/>
  <c r="J44" i="265"/>
  <c r="L43" i="265"/>
  <c r="G45" i="265"/>
  <c r="C45" i="265" s="1"/>
  <c r="B33" i="250"/>
  <c r="J21" i="185" s="1"/>
  <c r="D32" i="250"/>
  <c r="Y30" i="78" l="1"/>
  <c r="AE10" i="252"/>
  <c r="Y8" i="78"/>
  <c r="AE11" i="252"/>
  <c r="Y9" i="78"/>
  <c r="AE9" i="252"/>
  <c r="Y7" i="78"/>
  <c r="B45" i="265"/>
  <c r="I19" i="185" s="1"/>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H51" i="265"/>
  <c r="H52" i="265" s="1"/>
  <c r="T16" i="185"/>
  <c r="I68" i="265"/>
  <c r="B34" i="184"/>
  <c r="C35" i="250"/>
  <c r="V23" i="185" s="1"/>
  <c r="G46" i="265"/>
  <c r="C46" i="265" s="1"/>
  <c r="J45" i="265"/>
  <c r="L44" i="265"/>
  <c r="B34" i="250"/>
  <c r="J22" i="185" s="1"/>
  <c r="D33" i="250"/>
  <c r="B46" i="265" l="1"/>
  <c r="I20" i="185" s="1"/>
  <c r="H53" i="265"/>
  <c r="H54" i="265" s="1"/>
  <c r="T17" i="185"/>
  <c r="I69" i="265"/>
  <c r="C36" i="250"/>
  <c r="V24" i="185" s="1"/>
  <c r="B35" i="184"/>
  <c r="L45" i="265"/>
  <c r="J46" i="265"/>
  <c r="G47" i="265"/>
  <c r="C47" i="265" s="1"/>
  <c r="B35" i="250"/>
  <c r="J23" i="185" s="1"/>
  <c r="D34" i="250"/>
  <c r="B47" i="265" l="1"/>
  <c r="I21" i="185" s="1"/>
  <c r="H55" i="265"/>
  <c r="H56" i="265" s="1"/>
  <c r="T18" i="185"/>
  <c r="I70" i="265"/>
  <c r="B36" i="184"/>
  <c r="C37" i="250"/>
  <c r="V25" i="185" s="1"/>
  <c r="G48" i="265"/>
  <c r="C48" i="265" s="1"/>
  <c r="J47" i="265"/>
  <c r="L46" i="265"/>
  <c r="B36" i="250"/>
  <c r="J24" i="185" s="1"/>
  <c r="D35" i="250"/>
  <c r="B48" i="265" l="1"/>
  <c r="I22" i="185" s="1"/>
  <c r="H57" i="265"/>
  <c r="H58" i="265" s="1"/>
  <c r="T19" i="185"/>
  <c r="I71" i="265"/>
  <c r="B37" i="184"/>
  <c r="C38" i="250"/>
  <c r="V26" i="185" s="1"/>
  <c r="L47" i="265"/>
  <c r="J48" i="265"/>
  <c r="G49" i="265"/>
  <c r="C49" i="265" s="1"/>
  <c r="B37" i="250"/>
  <c r="J25" i="185" s="1"/>
  <c r="D36" i="250"/>
  <c r="B49" i="265" l="1"/>
  <c r="I23" i="185" s="1"/>
  <c r="H59" i="265"/>
  <c r="H60" i="265" s="1"/>
  <c r="T20" i="185"/>
  <c r="I72" i="265"/>
  <c r="I73" i="265" s="1"/>
  <c r="C39" i="250"/>
  <c r="V27" i="185" s="1"/>
  <c r="B38" i="184"/>
  <c r="G50" i="265"/>
  <c r="C50" i="265" s="1"/>
  <c r="J49" i="265"/>
  <c r="L48" i="265"/>
  <c r="B38" i="250"/>
  <c r="J26" i="185" s="1"/>
  <c r="D37" i="250"/>
  <c r="B50" i="265" l="1"/>
  <c r="I24" i="185" s="1"/>
  <c r="N24" i="185" s="1"/>
  <c r="H61" i="265"/>
  <c r="H62" i="265" s="1"/>
  <c r="T21" i="185"/>
  <c r="B39" i="184"/>
  <c r="C40" i="250"/>
  <c r="V28" i="185" s="1"/>
  <c r="AA28" i="185" s="1"/>
  <c r="J50" i="265"/>
  <c r="L49" i="265"/>
  <c r="G51" i="265"/>
  <c r="C51" i="265" s="1"/>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G6" i="190"/>
  <c r="B21" i="185"/>
  <c r="AA27" i="185" s="1"/>
  <c r="B20" i="185"/>
  <c r="B19" i="185"/>
  <c r="C31" i="170"/>
  <c r="D32" i="170"/>
  <c r="D31" i="170"/>
  <c r="G15" i="189" l="1"/>
  <c r="G35" i="189"/>
  <c r="G30" i="189"/>
  <c r="G31" i="189"/>
  <c r="G34" i="189"/>
  <c r="G25" i="189"/>
  <c r="G17" i="189"/>
  <c r="G26" i="189"/>
  <c r="G29" i="189"/>
  <c r="G22" i="189"/>
  <c r="G27" i="189"/>
  <c r="G21" i="189"/>
  <c r="G23" i="189"/>
  <c r="G18" i="189"/>
  <c r="G32" i="189"/>
  <c r="G16" i="189"/>
  <c r="G24" i="189"/>
  <c r="G28" i="189"/>
  <c r="G19" i="189"/>
  <c r="G33" i="189"/>
  <c r="G20" i="189"/>
  <c r="N36" i="227"/>
  <c r="N23" i="227"/>
  <c r="N21" i="227"/>
  <c r="N47" i="227"/>
  <c r="N37" i="227"/>
  <c r="N42" i="227"/>
  <c r="N17" i="227"/>
  <c r="N41" i="227"/>
  <c r="N46" i="227"/>
  <c r="N19" i="227"/>
  <c r="N38" i="227"/>
  <c r="N26" i="227"/>
  <c r="N16" i="227"/>
  <c r="N24" i="227"/>
  <c r="N44" i="227"/>
  <c r="N28" i="227"/>
  <c r="N45" i="227"/>
  <c r="N43" i="227"/>
  <c r="N33" i="227"/>
  <c r="N40" i="227"/>
  <c r="N22" i="227"/>
  <c r="N32" i="227"/>
  <c r="N30" i="227"/>
  <c r="N20" i="227"/>
  <c r="N34" i="227"/>
  <c r="N27" i="227"/>
  <c r="N25" i="227"/>
  <c r="N29" i="227"/>
  <c r="N39" i="227"/>
  <c r="N18" i="227"/>
  <c r="N31" i="227"/>
  <c r="N15" i="227"/>
  <c r="N35" i="227"/>
  <c r="O45" i="227"/>
  <c r="O28" i="227"/>
  <c r="O33" i="227"/>
  <c r="O41" i="227"/>
  <c r="O17" i="227"/>
  <c r="O35" i="227"/>
  <c r="O44" i="227"/>
  <c r="O29" i="227"/>
  <c r="O23" i="227"/>
  <c r="O46" i="227"/>
  <c r="O27" i="227"/>
  <c r="O19" i="227"/>
  <c r="O26" i="227"/>
  <c r="O22" i="227"/>
  <c r="O18" i="227"/>
  <c r="O43" i="227"/>
  <c r="O42" i="227"/>
  <c r="O30" i="227"/>
  <c r="O32" i="227"/>
  <c r="O34" i="227"/>
  <c r="O20" i="227"/>
  <c r="O15" i="227"/>
  <c r="O47" i="227"/>
  <c r="O16" i="227"/>
  <c r="O21" i="227"/>
  <c r="O31" i="227"/>
  <c r="O25" i="227"/>
  <c r="O24" i="227"/>
  <c r="J13" i="238"/>
  <c r="J21" i="238"/>
  <c r="J29" i="238"/>
  <c r="J37" i="238"/>
  <c r="J45" i="238"/>
  <c r="J14" i="238"/>
  <c r="J22" i="238"/>
  <c r="J30" i="238"/>
  <c r="J38" i="238"/>
  <c r="J46" i="238"/>
  <c r="J44" i="238"/>
  <c r="J42" i="238"/>
  <c r="J12" i="238"/>
  <c r="J15" i="238"/>
  <c r="J23" i="238"/>
  <c r="J31" i="238"/>
  <c r="J39" i="238"/>
  <c r="J47" i="238"/>
  <c r="J34" i="238"/>
  <c r="J10" i="238"/>
  <c r="J8" i="238"/>
  <c r="J16" i="238"/>
  <c r="J24" i="238"/>
  <c r="J32" i="238"/>
  <c r="J40" i="238"/>
  <c r="J28" i="238"/>
  <c r="J26" i="238"/>
  <c r="J9" i="238"/>
  <c r="J17" i="238"/>
  <c r="J25" i="238"/>
  <c r="J33" i="238"/>
  <c r="J41" i="238"/>
  <c r="J18" i="238"/>
  <c r="J36" i="238"/>
  <c r="J11" i="238"/>
  <c r="J19" i="238"/>
  <c r="J27" i="238"/>
  <c r="J35" i="238"/>
  <c r="J43" i="238"/>
  <c r="J20" i="238"/>
  <c r="N15" i="185"/>
  <c r="N16" i="185"/>
  <c r="N17" i="185"/>
  <c r="N18" i="185"/>
  <c r="N19" i="185"/>
  <c r="N20" i="185"/>
  <c r="N21" i="185"/>
  <c r="N22" i="185"/>
  <c r="N23" i="185"/>
  <c r="AB33" i="185"/>
  <c r="AB38" i="185"/>
  <c r="AB47" i="185"/>
  <c r="AB20" i="185"/>
  <c r="AB43" i="185"/>
  <c r="AB27" i="185"/>
  <c r="AB18" i="185"/>
  <c r="AB40" i="185"/>
  <c r="AB34" i="185"/>
  <c r="AB15" i="185"/>
  <c r="AB16" i="185"/>
  <c r="AB36" i="185"/>
  <c r="AB24" i="185"/>
  <c r="AB45" i="185"/>
  <c r="AB30" i="185"/>
  <c r="AB19" i="185"/>
  <c r="AB41" i="185"/>
  <c r="AB29" i="185"/>
  <c r="AB21" i="185"/>
  <c r="AB35" i="185"/>
  <c r="AB25" i="185"/>
  <c r="AB42" i="185"/>
  <c r="AB23" i="185"/>
  <c r="AB26" i="185"/>
  <c r="AB46" i="185"/>
  <c r="AB37" i="185"/>
  <c r="AB28" i="185"/>
  <c r="AB17" i="185"/>
  <c r="AB39" i="185"/>
  <c r="AB44" i="185"/>
  <c r="AB32" i="185"/>
  <c r="AB22" i="185"/>
  <c r="AB31" i="185"/>
  <c r="AA15" i="185"/>
  <c r="O15" i="185"/>
  <c r="AA16" i="185"/>
  <c r="O16" i="185"/>
  <c r="AA17" i="185"/>
  <c r="AA18" i="185"/>
  <c r="O17" i="185"/>
  <c r="AA19" i="185"/>
  <c r="O18" i="185"/>
  <c r="AA20" i="185"/>
  <c r="O19" i="185"/>
  <c r="AA21" i="185"/>
  <c r="O20" i="185"/>
  <c r="O21" i="185"/>
  <c r="AA22" i="185"/>
  <c r="O22" i="185"/>
  <c r="AA23" i="185"/>
  <c r="O23" i="185"/>
  <c r="AA24" i="185"/>
  <c r="O24" i="185"/>
  <c r="AA25" i="185"/>
  <c r="O25" i="185"/>
  <c r="AA26" i="185"/>
  <c r="O26" i="185"/>
  <c r="B51" i="265"/>
  <c r="I25" i="185" s="1"/>
  <c r="N25"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C52" i="265" s="1"/>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M15" i="189" l="1"/>
  <c r="M28" i="189"/>
  <c r="M26" i="189"/>
  <c r="M33" i="189"/>
  <c r="M20" i="189"/>
  <c r="M29" i="189"/>
  <c r="M35" i="189"/>
  <c r="M34" i="189"/>
  <c r="M24" i="189"/>
  <c r="M25" i="189"/>
  <c r="M18" i="189"/>
  <c r="M27" i="189"/>
  <c r="M21" i="189"/>
  <c r="M32" i="189"/>
  <c r="M16" i="189"/>
  <c r="M31" i="189"/>
  <c r="M23" i="189"/>
  <c r="M30" i="189"/>
  <c r="M19" i="189"/>
  <c r="M17" i="189"/>
  <c r="M22" i="189"/>
  <c r="P18" i="227"/>
  <c r="U18" i="227" s="1"/>
  <c r="B52" i="265"/>
  <c r="I26" i="185" s="1"/>
  <c r="N26"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P24" i="227"/>
  <c r="M13" i="189"/>
  <c r="B41" i="184"/>
  <c r="C42" i="250"/>
  <c r="V30" i="185" s="1"/>
  <c r="AA30" i="185" s="1"/>
  <c r="J52" i="265"/>
  <c r="L51" i="265"/>
  <c r="G53" i="265"/>
  <c r="C53" i="265" s="1"/>
  <c r="B41" i="250"/>
  <c r="J29" i="185" s="1"/>
  <c r="O29" i="185" s="1"/>
  <c r="D40" i="250"/>
  <c r="F8" i="263"/>
  <c r="B60" i="174"/>
  <c r="B53" i="265" l="1"/>
  <c r="I27" i="185" s="1"/>
  <c r="N27" i="185" s="1"/>
  <c r="B62" i="174"/>
  <c r="B63" i="174"/>
  <c r="B68" i="174"/>
  <c r="B64" i="174"/>
  <c r="B69" i="174"/>
  <c r="B65" i="174"/>
  <c r="B67" i="174"/>
  <c r="B66" i="174"/>
  <c r="B61" i="174"/>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C54" i="265" s="1"/>
  <c r="T28" i="185" s="1"/>
  <c r="L52" i="265"/>
  <c r="J53" i="265"/>
  <c r="B42" i="250"/>
  <c r="J30" i="185" s="1"/>
  <c r="O30" i="185" s="1"/>
  <c r="D41" i="250"/>
  <c r="C126" i="243"/>
  <c r="B54" i="265" l="1"/>
  <c r="I28" i="185" s="1"/>
  <c r="N28" i="185" s="1"/>
  <c r="H69" i="265"/>
  <c r="H70" i="265" s="1"/>
  <c r="T25" i="185"/>
  <c r="D141" i="243"/>
  <c r="D103" i="213" s="1"/>
  <c r="D137" i="243"/>
  <c r="D99" i="213" s="1"/>
  <c r="D140" i="243"/>
  <c r="D102" i="213" s="1"/>
  <c r="D142" i="243"/>
  <c r="D104" i="213" s="1"/>
  <c r="D138" i="243"/>
  <c r="D100" i="213" s="1"/>
  <c r="D139" i="243"/>
  <c r="D101" i="213" s="1"/>
  <c r="B43" i="184"/>
  <c r="C44" i="250"/>
  <c r="V32" i="185" s="1"/>
  <c r="AA32" i="185" s="1"/>
  <c r="L53" i="265"/>
  <c r="J54" i="265"/>
  <c r="G55" i="265"/>
  <c r="C55" i="265" s="1"/>
  <c r="T29" i="185" s="1"/>
  <c r="B43" i="250"/>
  <c r="J31" i="185" s="1"/>
  <c r="O31" i="185" s="1"/>
  <c r="D42" i="250"/>
  <c r="B55" i="265" l="1"/>
  <c r="I29" i="185" s="1"/>
  <c r="N29" i="185" s="1"/>
  <c r="H71" i="265"/>
  <c r="H72" i="265" s="1"/>
  <c r="H73" i="265" s="1"/>
  <c r="T26" i="185"/>
  <c r="C45" i="250"/>
  <c r="V33" i="185" s="1"/>
  <c r="AA33" i="185" s="1"/>
  <c r="B44" i="184"/>
  <c r="L54" i="265"/>
  <c r="J55" i="265"/>
  <c r="G56" i="265"/>
  <c r="C56" i="265" s="1"/>
  <c r="T30" i="185" s="1"/>
  <c r="B44" i="250"/>
  <c r="J32" i="185" s="1"/>
  <c r="O32" i="185" s="1"/>
  <c r="D43" i="250"/>
  <c r="B56" i="265" l="1"/>
  <c r="I30" i="185" s="1"/>
  <c r="N30" i="185" s="1"/>
  <c r="T27" i="185"/>
  <c r="B45" i="184"/>
  <c r="C46" i="250"/>
  <c r="V34" i="185" s="1"/>
  <c r="AA34" i="185" s="1"/>
  <c r="G57" i="265"/>
  <c r="C57" i="265" s="1"/>
  <c r="T31" i="185" s="1"/>
  <c r="L55" i="265"/>
  <c r="J56" i="265"/>
  <c r="B45" i="250"/>
  <c r="J33" i="185" s="1"/>
  <c r="O33" i="185" s="1"/>
  <c r="D44" i="250"/>
  <c r="G48" i="97"/>
  <c r="H48" i="97" s="1"/>
  <c r="G47" i="97"/>
  <c r="H47" i="97" s="1"/>
  <c r="G46" i="97"/>
  <c r="H46" i="97" s="1"/>
  <c r="G45" i="97"/>
  <c r="H45" i="97" s="1"/>
  <c r="G44" i="97"/>
  <c r="H44" i="97" s="1"/>
  <c r="G43" i="97"/>
  <c r="H43" i="97" s="1"/>
  <c r="G42" i="97"/>
  <c r="H42" i="97" s="1"/>
  <c r="G36" i="97"/>
  <c r="H36" i="97" s="1"/>
  <c r="G35" i="97"/>
  <c r="H35" i="97" s="1"/>
  <c r="G34" i="97"/>
  <c r="H34" i="97" s="1"/>
  <c r="G33" i="97"/>
  <c r="H33" i="97" s="1"/>
  <c r="G32" i="97"/>
  <c r="H32" i="97" s="1"/>
  <c r="G31" i="97"/>
  <c r="H31" i="97" s="1"/>
  <c r="G30" i="97"/>
  <c r="H30" i="97" s="1"/>
  <c r="B57" i="265" l="1"/>
  <c r="I31" i="185" s="1"/>
  <c r="N31"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O15"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15"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M1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C58" i="265" s="1"/>
  <c r="T32" i="185" s="1"/>
  <c r="B46" i="250"/>
  <c r="J34" i="185" s="1"/>
  <c r="O34" i="185" s="1"/>
  <c r="D45" i="250"/>
  <c r="G19" i="97"/>
  <c r="H19" i="97" s="1"/>
  <c r="G20" i="97"/>
  <c r="H20" i="97" s="1"/>
  <c r="G21" i="97"/>
  <c r="H21" i="97" s="1"/>
  <c r="G22" i="97"/>
  <c r="H22" i="97" s="1"/>
  <c r="G23" i="97"/>
  <c r="H23" i="97" s="1"/>
  <c r="G24" i="97"/>
  <c r="H24" i="97" s="1"/>
  <c r="G18" i="97"/>
  <c r="G7" i="97"/>
  <c r="H7" i="97" s="1"/>
  <c r="G8" i="97"/>
  <c r="H8" i="97" s="1"/>
  <c r="G9" i="97"/>
  <c r="H9" i="97" s="1"/>
  <c r="G10" i="97"/>
  <c r="H10" i="97" s="1"/>
  <c r="G11" i="97"/>
  <c r="H11" i="97" s="1"/>
  <c r="G12" i="97"/>
  <c r="H12" i="97" s="1"/>
  <c r="G6" i="97"/>
  <c r="H6" i="97" s="1"/>
  <c r="B58" i="265" l="1"/>
  <c r="I32" i="185" s="1"/>
  <c r="N32" i="185" s="1"/>
  <c r="B47" i="184"/>
  <c r="C48" i="250"/>
  <c r="V36" i="185" s="1"/>
  <c r="AA36" i="185" s="1"/>
  <c r="G59" i="265"/>
  <c r="C59" i="265" s="1"/>
  <c r="T33" i="185" s="1"/>
  <c r="J58" i="265"/>
  <c r="L57" i="265"/>
  <c r="B47" i="250"/>
  <c r="J35" i="185" s="1"/>
  <c r="O35" i="185" s="1"/>
  <c r="D46" i="250"/>
  <c r="H18" i="97"/>
  <c r="B163" i="179"/>
  <c r="F88" i="179" l="1"/>
  <c r="F64" i="179"/>
  <c r="B59" i="265"/>
  <c r="I33" i="185" s="1"/>
  <c r="N33" i="185" s="1"/>
  <c r="C49" i="250"/>
  <c r="V37" i="185" s="1"/>
  <c r="AA37" i="185" s="1"/>
  <c r="B48" i="184"/>
  <c r="G60" i="265"/>
  <c r="C60" i="265" s="1"/>
  <c r="T34" i="185" s="1"/>
  <c r="L58" i="265"/>
  <c r="J59" i="265"/>
  <c r="B48" i="250"/>
  <c r="J36" i="185" s="1"/>
  <c r="O36" i="185" s="1"/>
  <c r="D47" i="250"/>
  <c r="B60" i="265" l="1"/>
  <c r="I34" i="185" s="1"/>
  <c r="N34" i="185" s="1"/>
  <c r="B49" i="250"/>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E98" i="243" l="1"/>
  <c r="E87" i="243"/>
  <c r="E99" i="243"/>
  <c r="E100" i="243"/>
  <c r="E86" i="243"/>
  <c r="E61" i="243"/>
  <c r="E60" i="243"/>
  <c r="E89" i="243"/>
  <c r="E91" i="243"/>
  <c r="E96" i="243"/>
  <c r="E97" i="243"/>
  <c r="E92" i="243"/>
  <c r="E93" i="243"/>
  <c r="E94" i="243"/>
  <c r="E95" i="243"/>
  <c r="E88" i="243"/>
  <c r="E90" i="243"/>
  <c r="E75" i="243"/>
  <c r="E83" i="243"/>
  <c r="E82" i="243"/>
  <c r="E70" i="243"/>
  <c r="E73" i="243"/>
  <c r="E78" i="243"/>
  <c r="E79" i="243"/>
  <c r="E80" i="243"/>
  <c r="E85" i="243"/>
  <c r="E71" i="243"/>
  <c r="E69" i="243"/>
  <c r="E72" i="243"/>
  <c r="E81" i="243"/>
  <c r="E84" i="243"/>
  <c r="M31" i="242" s="1"/>
  <c r="E74" i="243"/>
  <c r="E76" i="243"/>
  <c r="E77" i="243"/>
  <c r="E100" i="183"/>
  <c r="E61" i="183"/>
  <c r="E89" i="183"/>
  <c r="E86" i="183"/>
  <c r="E88" i="183"/>
  <c r="E87" i="183"/>
  <c r="E91" i="183"/>
  <c r="E93" i="183"/>
  <c r="E94" i="183"/>
  <c r="E99" i="183"/>
  <c r="E95" i="183"/>
  <c r="E97" i="183"/>
  <c r="E90" i="183"/>
  <c r="M37" i="182" s="1"/>
  <c r="E96" i="183"/>
  <c r="E92" i="183"/>
  <c r="E98" i="183"/>
  <c r="E70" i="183"/>
  <c r="E82" i="183"/>
  <c r="E76" i="183"/>
  <c r="E81" i="183"/>
  <c r="E79" i="183"/>
  <c r="E78" i="183"/>
  <c r="E69" i="183"/>
  <c r="E74" i="183"/>
  <c r="M21" i="182" s="1"/>
  <c r="E73" i="183"/>
  <c r="E85" i="183"/>
  <c r="E72" i="183"/>
  <c r="E84" i="183"/>
  <c r="E80" i="183"/>
  <c r="M27" i="182" s="1"/>
  <c r="E77" i="183"/>
  <c r="E71" i="183"/>
  <c r="E75" i="183"/>
  <c r="E83" i="183"/>
  <c r="J17" i="175"/>
  <c r="N10" i="175"/>
  <c r="N31" i="175"/>
  <c r="N17" i="175"/>
  <c r="N20" i="175"/>
  <c r="J33" i="175"/>
  <c r="J20" i="175"/>
  <c r="N47" i="175"/>
  <c r="N33" i="175"/>
  <c r="N36" i="175"/>
  <c r="J42" i="175"/>
  <c r="N8" i="175"/>
  <c r="J36" i="175"/>
  <c r="J30" i="175"/>
  <c r="J28" i="175"/>
  <c r="N37" i="175"/>
  <c r="J26" i="175"/>
  <c r="N24" i="175"/>
  <c r="N11" i="175"/>
  <c r="J37" i="175"/>
  <c r="J44" i="175"/>
  <c r="N30" i="175"/>
  <c r="N12" i="175"/>
  <c r="J15" i="175"/>
  <c r="N40" i="175"/>
  <c r="N27" i="175"/>
  <c r="J9" i="175"/>
  <c r="N35" i="175"/>
  <c r="J14" i="175"/>
  <c r="N42" i="175"/>
  <c r="N15" i="175"/>
  <c r="J31" i="175"/>
  <c r="J35" i="175"/>
  <c r="N43" i="175"/>
  <c r="J25" i="175"/>
  <c r="N21" i="175"/>
  <c r="N14" i="175"/>
  <c r="J10" i="175"/>
  <c r="N39" i="175"/>
  <c r="J13" i="175"/>
  <c r="J47" i="175"/>
  <c r="J21" i="175"/>
  <c r="J22" i="175"/>
  <c r="J41" i="175"/>
  <c r="N28" i="175"/>
  <c r="J40" i="175"/>
  <c r="N46" i="175"/>
  <c r="N22" i="175"/>
  <c r="J18" i="175"/>
  <c r="J38" i="175"/>
  <c r="N16" i="175"/>
  <c r="N44" i="175"/>
  <c r="N38" i="175"/>
  <c r="J34" i="175"/>
  <c r="N13" i="175"/>
  <c r="N32" i="175"/>
  <c r="J11" i="175"/>
  <c r="J39" i="175"/>
  <c r="N9" i="175"/>
  <c r="N29" i="175"/>
  <c r="J27" i="175"/>
  <c r="N26" i="175"/>
  <c r="J45" i="175"/>
  <c r="J16" i="175"/>
  <c r="N25" i="175"/>
  <c r="N45" i="175"/>
  <c r="J12" i="175"/>
  <c r="J43" i="175"/>
  <c r="N23" i="175"/>
  <c r="J46" i="175"/>
  <c r="J32" i="175"/>
  <c r="N41" i="175"/>
  <c r="J23" i="175"/>
  <c r="N19" i="175"/>
  <c r="N18" i="175"/>
  <c r="J24" i="175"/>
  <c r="J19" i="175"/>
  <c r="J8" i="175"/>
  <c r="J29" i="175"/>
  <c r="N34" i="175"/>
  <c r="E99" i="179"/>
  <c r="E100" i="179"/>
  <c r="E61" i="179"/>
  <c r="M8" i="170" s="1"/>
  <c r="E86" i="179"/>
  <c r="M33" i="170" s="1"/>
  <c r="E87" i="179"/>
  <c r="E88" i="179"/>
  <c r="E90" i="179"/>
  <c r="M37" i="170" s="1"/>
  <c r="E92" i="179"/>
  <c r="E93" i="179"/>
  <c r="M40" i="170" s="1"/>
  <c r="E96" i="179"/>
  <c r="E94" i="179"/>
  <c r="E97" i="179"/>
  <c r="E95" i="179"/>
  <c r="M42" i="170" s="1"/>
  <c r="E89" i="179"/>
  <c r="E98" i="179"/>
  <c r="E91" i="179"/>
  <c r="E79" i="179"/>
  <c r="E85" i="179"/>
  <c r="E75" i="179"/>
  <c r="E76" i="179"/>
  <c r="M23" i="170" s="1"/>
  <c r="E82" i="179"/>
  <c r="E71" i="179"/>
  <c r="E81" i="179"/>
  <c r="M28" i="170" s="1"/>
  <c r="E70" i="179"/>
  <c r="E72" i="179"/>
  <c r="M19" i="170" s="1"/>
  <c r="E74" i="179"/>
  <c r="E83" i="179"/>
  <c r="E69" i="179"/>
  <c r="E84" i="179"/>
  <c r="M31" i="170" s="1"/>
  <c r="E77" i="179"/>
  <c r="M24" i="170" s="1"/>
  <c r="E80" i="179"/>
  <c r="E73" i="179"/>
  <c r="E78" i="179"/>
  <c r="W19" i="212"/>
  <c r="X19" i="212" s="1"/>
  <c r="M47" i="212"/>
  <c r="AB47" i="212" s="1"/>
  <c r="T39" i="212"/>
  <c r="T38" i="212"/>
  <c r="W21" i="212"/>
  <c r="X21" i="212" s="1"/>
  <c r="W27" i="212"/>
  <c r="X27" i="212" s="1"/>
  <c r="W35" i="212"/>
  <c r="X35" i="212" s="1"/>
  <c r="M41" i="212"/>
  <c r="AB41" i="212" s="1"/>
  <c r="W24" i="212"/>
  <c r="X24" i="212" s="1"/>
  <c r="M12" i="212"/>
  <c r="AB12" i="212" s="1"/>
  <c r="T9" i="212"/>
  <c r="AC9" i="212" s="1"/>
  <c r="W18" i="212"/>
  <c r="X18" i="212" s="1"/>
  <c r="T10" i="212"/>
  <c r="AC10" i="212" s="1"/>
  <c r="W23" i="212"/>
  <c r="X23" i="212" s="1"/>
  <c r="W8" i="212"/>
  <c r="W34" i="212"/>
  <c r="X34" i="212" s="1"/>
  <c r="W15" i="212"/>
  <c r="X15" i="212" s="1"/>
  <c r="T45" i="212"/>
  <c r="AC45" i="212" s="1"/>
  <c r="W46" i="212"/>
  <c r="M45" i="212"/>
  <c r="AB45" i="212" s="1"/>
  <c r="T46" i="212"/>
  <c r="AC46" i="212" s="1"/>
  <c r="W40" i="212"/>
  <c r="X40" i="212" s="1"/>
  <c r="W43" i="212"/>
  <c r="X43" i="212" s="1"/>
  <c r="W31" i="212"/>
  <c r="X31" i="212" s="1"/>
  <c r="M38" i="212"/>
  <c r="W30" i="212"/>
  <c r="X30" i="212" s="1"/>
  <c r="W28" i="212"/>
  <c r="X28" i="212" s="1"/>
  <c r="M39" i="212"/>
  <c r="AB39" i="212" s="1"/>
  <c r="M43" i="212"/>
  <c r="AB43" i="212" s="1"/>
  <c r="T35" i="212"/>
  <c r="W13" i="212"/>
  <c r="X13" i="212" s="1"/>
  <c r="W47" i="212"/>
  <c r="W37" i="212"/>
  <c r="X37" i="212" s="1"/>
  <c r="T36" i="212"/>
  <c r="M8" i="212"/>
  <c r="AB8" i="212" s="1"/>
  <c r="M44" i="212"/>
  <c r="AB44" i="212" s="1"/>
  <c r="W29" i="212"/>
  <c r="X29" i="212" s="1"/>
  <c r="T42" i="212"/>
  <c r="W39" i="212"/>
  <c r="X39" i="212" s="1"/>
  <c r="W44" i="212"/>
  <c r="W11" i="212"/>
  <c r="X11" i="212" s="1"/>
  <c r="W25" i="212"/>
  <c r="X25" i="212" s="1"/>
  <c r="W9" i="212"/>
  <c r="X9" i="212" s="1"/>
  <c r="W45" i="212"/>
  <c r="M35" i="212"/>
  <c r="W12" i="212"/>
  <c r="X12" i="212" s="1"/>
  <c r="W41" i="212"/>
  <c r="X41" i="212" s="1"/>
  <c r="M11" i="212"/>
  <c r="AB11" i="212" s="1"/>
  <c r="M9" i="212"/>
  <c r="AB9" i="212" s="1"/>
  <c r="W10" i="212"/>
  <c r="X10" i="212" s="1"/>
  <c r="T40" i="212"/>
  <c r="W32" i="212"/>
  <c r="X32" i="212" s="1"/>
  <c r="T44" i="212"/>
  <c r="AC44" i="212" s="1"/>
  <c r="W20" i="212"/>
  <c r="X20" i="212" s="1"/>
  <c r="W22" i="212"/>
  <c r="X22" i="212" s="1"/>
  <c r="W26" i="212"/>
  <c r="X26" i="212" s="1"/>
  <c r="T43" i="212"/>
  <c r="W36" i="212"/>
  <c r="X36" i="212" s="1"/>
  <c r="W38" i="212"/>
  <c r="X38" i="212" s="1"/>
  <c r="W42" i="212"/>
  <c r="X42" i="212" s="1"/>
  <c r="W16" i="212"/>
  <c r="X16" i="212" s="1"/>
  <c r="M37" i="212"/>
  <c r="T11" i="212"/>
  <c r="AC11" i="212" s="1"/>
  <c r="T37" i="212"/>
  <c r="W17" i="212"/>
  <c r="X17" i="212" s="1"/>
  <c r="T12" i="212"/>
  <c r="AC12" i="212" s="1"/>
  <c r="T47" i="212"/>
  <c r="AC47" i="212" s="1"/>
  <c r="M10" i="212"/>
  <c r="AB10" i="212" s="1"/>
  <c r="M36" i="212"/>
  <c r="W33" i="212"/>
  <c r="X33" i="212" s="1"/>
  <c r="T41" i="212"/>
  <c r="M40" i="212"/>
  <c r="AB40" i="212" s="1"/>
  <c r="M42" i="212"/>
  <c r="AB42" i="212" s="1"/>
  <c r="M46" i="212"/>
  <c r="AB46" i="212" s="1"/>
  <c r="W14" i="212"/>
  <c r="X14" i="212" s="1"/>
  <c r="T8" i="212"/>
  <c r="AC8" i="212" s="1"/>
  <c r="B61" i="265"/>
  <c r="I35" i="185" s="1"/>
  <c r="N35" i="185" s="1"/>
  <c r="L22" i="145"/>
  <c r="L38" i="145"/>
  <c r="L25" i="145"/>
  <c r="L29" i="145"/>
  <c r="L7" i="145"/>
  <c r="L47" i="145"/>
  <c r="L23" i="145"/>
  <c r="L39" i="145"/>
  <c r="L41" i="145"/>
  <c r="M41" i="145" s="1"/>
  <c r="R41" i="145" s="1"/>
  <c r="L12" i="145"/>
  <c r="L30" i="145"/>
  <c r="M30" i="145" s="1"/>
  <c r="R30" i="145" s="1"/>
  <c r="L8" i="145"/>
  <c r="M8" i="145" s="1"/>
  <c r="R8" i="145" s="1"/>
  <c r="L24" i="145"/>
  <c r="M24" i="145" s="1"/>
  <c r="R24" i="145" s="1"/>
  <c r="L40" i="145"/>
  <c r="M40" i="145" s="1"/>
  <c r="R40" i="145" s="1"/>
  <c r="L9" i="145"/>
  <c r="M9" i="145" s="1"/>
  <c r="L27" i="145"/>
  <c r="M27" i="145" s="1"/>
  <c r="R27" i="145" s="1"/>
  <c r="L14" i="145"/>
  <c r="L15" i="145"/>
  <c r="L16" i="145"/>
  <c r="L13" i="145"/>
  <c r="L17" i="145"/>
  <c r="L33" i="145"/>
  <c r="M33" i="145" s="1"/>
  <c r="R33" i="145" s="1"/>
  <c r="L11" i="145"/>
  <c r="M11" i="145" s="1"/>
  <c r="L46" i="145"/>
  <c r="L18" i="145"/>
  <c r="M18" i="145" s="1"/>
  <c r="R18" i="145" s="1"/>
  <c r="L19" i="145"/>
  <c r="M19" i="145" s="1"/>
  <c r="R19" i="145" s="1"/>
  <c r="L35" i="145"/>
  <c r="L26" i="145"/>
  <c r="M26" i="145" s="1"/>
  <c r="R26" i="145" s="1"/>
  <c r="L28" i="145"/>
  <c r="M28" i="145" s="1"/>
  <c r="R28" i="145" s="1"/>
  <c r="L20" i="145"/>
  <c r="M20" i="145" s="1"/>
  <c r="R20" i="145" s="1"/>
  <c r="L36" i="145"/>
  <c r="M36" i="145" s="1"/>
  <c r="R36" i="145" s="1"/>
  <c r="L43" i="145"/>
  <c r="L45" i="145"/>
  <c r="L31" i="145"/>
  <c r="L21" i="145"/>
  <c r="L37" i="145"/>
  <c r="L10" i="145"/>
  <c r="L44" i="145"/>
  <c r="G30" i="179" a="1"/>
  <c r="G30" i="179" s="1"/>
  <c r="G26" i="179" a="1"/>
  <c r="G26" i="179" s="1"/>
  <c r="G42" i="179" a="1"/>
  <c r="G42" i="179" s="1"/>
  <c r="G31" i="179" a="1"/>
  <c r="G31" i="179" s="1"/>
  <c r="I24" i="170" s="1"/>
  <c r="G29" i="179" a="1"/>
  <c r="G29" i="179" s="1"/>
  <c r="G28" i="179" a="1"/>
  <c r="G28" i="179" s="1"/>
  <c r="G50" i="179" a="1"/>
  <c r="G50" i="179" s="1"/>
  <c r="I43" i="170" s="1"/>
  <c r="G44" i="179" a="1"/>
  <c r="G44" i="179" s="1"/>
  <c r="I37" i="170" s="1"/>
  <c r="G36" i="179" a="1"/>
  <c r="G36" i="179" s="1"/>
  <c r="G51" i="179" a="1"/>
  <c r="G51" i="179" s="1"/>
  <c r="G27" i="179" a="1"/>
  <c r="G27" i="179" s="1"/>
  <c r="G40" i="179" a="1"/>
  <c r="G40" i="179" s="1"/>
  <c r="G35" i="179" a="1"/>
  <c r="G35" i="179" s="1"/>
  <c r="G45" i="179" a="1"/>
  <c r="G45" i="179" s="1"/>
  <c r="G54" i="179" a="1"/>
  <c r="G54" i="179" s="1"/>
  <c r="I47" i="170" s="1"/>
  <c r="G43" i="179" a="1"/>
  <c r="G43" i="179" s="1"/>
  <c r="I36" i="170" s="1"/>
  <c r="G15" i="179" a="1"/>
  <c r="G15" i="179" s="1"/>
  <c r="G17" i="179" a="1"/>
  <c r="G17" i="179" s="1"/>
  <c r="G25" i="179" a="1"/>
  <c r="G25" i="179" s="1"/>
  <c r="I18" i="170" s="1"/>
  <c r="G23" i="179" a="1"/>
  <c r="G23" i="179" s="1"/>
  <c r="I16" i="170" s="1"/>
  <c r="G22" i="179" a="1"/>
  <c r="G22" i="179" s="1"/>
  <c r="G52" i="179" a="1"/>
  <c r="G52" i="179" s="1"/>
  <c r="G46" i="179" a="1"/>
  <c r="G46" i="179" s="1"/>
  <c r="I39" i="170" s="1"/>
  <c r="G53" i="179" a="1"/>
  <c r="G53" i="179" s="1"/>
  <c r="I46" i="170" s="1"/>
  <c r="G32" i="179" a="1"/>
  <c r="G32" i="179" s="1"/>
  <c r="G19" i="179" a="1"/>
  <c r="G19" i="179" s="1"/>
  <c r="G34" i="179" a="1"/>
  <c r="G34" i="179" s="1"/>
  <c r="G21" i="179" a="1"/>
  <c r="G21" i="179" s="1"/>
  <c r="G48" i="179" a="1"/>
  <c r="G48" i="179" s="1"/>
  <c r="G47" i="179" a="1"/>
  <c r="G47" i="179" s="1"/>
  <c r="I40" i="170" s="1"/>
  <c r="G38" i="179" a="1"/>
  <c r="G38" i="179" s="1"/>
  <c r="G18" i="179" a="1"/>
  <c r="G18" i="179" s="1"/>
  <c r="I11" i="170" s="1"/>
  <c r="G20" i="179" a="1"/>
  <c r="G20" i="179" s="1"/>
  <c r="G24" i="179" a="1"/>
  <c r="G24" i="179" s="1"/>
  <c r="G37" i="179" a="1"/>
  <c r="G37" i="179" s="1"/>
  <c r="I30" i="170" s="1"/>
  <c r="G16" i="179" a="1"/>
  <c r="G16" i="179" s="1"/>
  <c r="G33" i="179" a="1"/>
  <c r="G33" i="179" s="1"/>
  <c r="E31" i="179"/>
  <c r="E49" i="179"/>
  <c r="F39" i="179"/>
  <c r="E35" i="179"/>
  <c r="H51" i="179"/>
  <c r="F44" i="179"/>
  <c r="E24" i="179"/>
  <c r="I98" i="179"/>
  <c r="H52" i="179"/>
  <c r="I99" i="179"/>
  <c r="H43" i="179"/>
  <c r="H15" i="179"/>
  <c r="F32" i="179"/>
  <c r="F34" i="179"/>
  <c r="H27" i="170" s="1"/>
  <c r="F38" i="179"/>
  <c r="H31" i="170" s="1"/>
  <c r="E20" i="179"/>
  <c r="E66" i="179" s="1"/>
  <c r="H46" i="179"/>
  <c r="H24" i="179"/>
  <c r="F50" i="179"/>
  <c r="H43" i="170" s="1"/>
  <c r="E51" i="179"/>
  <c r="J54" i="179"/>
  <c r="F45" i="179"/>
  <c r="E37" i="179"/>
  <c r="E47" i="179"/>
  <c r="H53" i="179"/>
  <c r="E19" i="179"/>
  <c r="E65" i="179" s="1"/>
  <c r="H22" i="179"/>
  <c r="F49" i="179"/>
  <c r="H42" i="170" s="1"/>
  <c r="H29" i="179"/>
  <c r="I52" i="179"/>
  <c r="E23" i="179"/>
  <c r="F43" i="179"/>
  <c r="E18" i="179"/>
  <c r="E64" i="179" s="1"/>
  <c r="M45" i="170"/>
  <c r="I53" i="179"/>
  <c r="E26" i="179"/>
  <c r="F30" i="179"/>
  <c r="F29" i="179"/>
  <c r="F37" i="179"/>
  <c r="H30" i="170" s="1"/>
  <c r="E46" i="179"/>
  <c r="G39" i="170" s="1"/>
  <c r="F35" i="179"/>
  <c r="E40" i="179"/>
  <c r="F25" i="179"/>
  <c r="F19" i="179"/>
  <c r="H12" i="170" s="1"/>
  <c r="F48" i="179"/>
  <c r="H41" i="170" s="1"/>
  <c r="F20" i="179"/>
  <c r="F42" i="179"/>
  <c r="E29" i="179"/>
  <c r="E48" i="179"/>
  <c r="E36" i="179"/>
  <c r="H54" i="179"/>
  <c r="F23" i="179"/>
  <c r="F46" i="179"/>
  <c r="H39" i="170" s="1"/>
  <c r="F47" i="179"/>
  <c r="H40" i="170" s="1"/>
  <c r="I96" i="179"/>
  <c r="J98" i="179"/>
  <c r="F15" i="179"/>
  <c r="H8" i="170" s="1"/>
  <c r="H27" i="179"/>
  <c r="H45" i="179"/>
  <c r="E17" i="179"/>
  <c r="E22" i="179"/>
  <c r="E68" i="179" s="1"/>
  <c r="M15" i="170" s="1"/>
  <c r="J15" i="179"/>
  <c r="F18" i="179"/>
  <c r="H11" i="170" s="1"/>
  <c r="H48" i="179"/>
  <c r="M21" i="170"/>
  <c r="E30" i="179"/>
  <c r="H17" i="179"/>
  <c r="J10" i="170" s="1"/>
  <c r="H31" i="179"/>
  <c r="F51" i="179"/>
  <c r="J99" i="179"/>
  <c r="E54" i="179"/>
  <c r="H26" i="179"/>
  <c r="E16" i="179"/>
  <c r="E62" i="179" s="1"/>
  <c r="M9" i="170" s="1"/>
  <c r="J51" i="179"/>
  <c r="F31" i="179"/>
  <c r="E28" i="179"/>
  <c r="H30" i="179"/>
  <c r="H49" i="179"/>
  <c r="E43" i="179"/>
  <c r="F22" i="179"/>
  <c r="H15" i="170" s="1"/>
  <c r="F41" i="179"/>
  <c r="H34" i="170" s="1"/>
  <c r="I61" i="179"/>
  <c r="H47" i="179"/>
  <c r="H34" i="179"/>
  <c r="I50" i="179"/>
  <c r="E32" i="179"/>
  <c r="G25" i="170" s="1"/>
  <c r="I97" i="179"/>
  <c r="I100" i="179"/>
  <c r="E27" i="179"/>
  <c r="F40" i="179"/>
  <c r="H33" i="170" s="1"/>
  <c r="E52" i="179"/>
  <c r="E53" i="179"/>
  <c r="G46" i="170" s="1"/>
  <c r="E38" i="179"/>
  <c r="E25" i="179"/>
  <c r="J61" i="179"/>
  <c r="E33" i="179"/>
  <c r="J52" i="179"/>
  <c r="H37" i="179"/>
  <c r="H42" i="179"/>
  <c r="H50" i="179"/>
  <c r="F54" i="179"/>
  <c r="F36" i="179"/>
  <c r="F53" i="179"/>
  <c r="H46" i="170" s="1"/>
  <c r="H23" i="179"/>
  <c r="H19" i="179"/>
  <c r="J50" i="179"/>
  <c r="H20" i="179"/>
  <c r="E41" i="179"/>
  <c r="E45" i="179"/>
  <c r="I54" i="179"/>
  <c r="E44" i="179"/>
  <c r="F52" i="179"/>
  <c r="H41" i="179"/>
  <c r="F21" i="179"/>
  <c r="H33" i="179"/>
  <c r="E39" i="179"/>
  <c r="M20" i="170"/>
  <c r="H35" i="179"/>
  <c r="F17" i="179"/>
  <c r="H38" i="179"/>
  <c r="H16" i="179"/>
  <c r="I51" i="179"/>
  <c r="H40" i="179"/>
  <c r="F26" i="179"/>
  <c r="H19" i="170" s="1"/>
  <c r="E50" i="179"/>
  <c r="F28" i="179"/>
  <c r="F27" i="179"/>
  <c r="H20" i="170" s="1"/>
  <c r="H28" i="179"/>
  <c r="M46" i="170"/>
  <c r="E34" i="179"/>
  <c r="E15" i="179"/>
  <c r="F24" i="179"/>
  <c r="H17" i="170" s="1"/>
  <c r="F16" i="179"/>
  <c r="H9" i="170" s="1"/>
  <c r="F33" i="179"/>
  <c r="H36" i="179"/>
  <c r="H21" i="179"/>
  <c r="I15" i="179"/>
  <c r="E42" i="179"/>
  <c r="J97" i="179"/>
  <c r="J100" i="179"/>
  <c r="M35" i="170"/>
  <c r="H44" i="179"/>
  <c r="M26" i="170"/>
  <c r="E21" i="179"/>
  <c r="E67" i="179" s="1"/>
  <c r="M14" i="170" s="1"/>
  <c r="J53" i="179"/>
  <c r="J96" i="179"/>
  <c r="G35" i="183" a="1"/>
  <c r="G35" i="183" s="1"/>
  <c r="I28" i="182" s="1"/>
  <c r="G17" i="183" a="1"/>
  <c r="G17" i="183" s="1"/>
  <c r="G48" i="183" a="1"/>
  <c r="G48" i="183" s="1"/>
  <c r="G20" i="183" a="1"/>
  <c r="G20" i="183" s="1"/>
  <c r="I13" i="182" s="1"/>
  <c r="G47" i="183" a="1"/>
  <c r="G47" i="183" s="1"/>
  <c r="I40" i="182" s="1"/>
  <c r="G16" i="183" a="1"/>
  <c r="G16" i="183" s="1"/>
  <c r="I9" i="182" s="1"/>
  <c r="G28" i="183" a="1"/>
  <c r="G28" i="183" s="1"/>
  <c r="I21" i="182" s="1"/>
  <c r="G21" i="183" a="1"/>
  <c r="G21" i="183" s="1"/>
  <c r="I14" i="182" s="1"/>
  <c r="G51" i="183" a="1"/>
  <c r="G51" i="183" s="1"/>
  <c r="I44" i="182" s="1"/>
  <c r="G30" i="183" a="1"/>
  <c r="G30" i="183" s="1"/>
  <c r="G27" i="183" a="1"/>
  <c r="G27" i="183" s="1"/>
  <c r="G53" i="183" a="1"/>
  <c r="G53" i="183" s="1"/>
  <c r="G45" i="183" a="1"/>
  <c r="G45" i="183" s="1"/>
  <c r="G33" i="183" a="1"/>
  <c r="G33" i="183" s="1"/>
  <c r="G40" i="183" a="1"/>
  <c r="G40" i="183" s="1"/>
  <c r="G42" i="183" a="1"/>
  <c r="G42" i="183" s="1"/>
  <c r="I35" i="182" s="1"/>
  <c r="G36" i="183" a="1"/>
  <c r="G36" i="183" s="1"/>
  <c r="G19" i="183" a="1"/>
  <c r="G19" i="183" s="1"/>
  <c r="G38" i="183" a="1"/>
  <c r="G38" i="183" s="1"/>
  <c r="I31" i="182" s="1"/>
  <c r="G50" i="183" a="1"/>
  <c r="G50" i="183" s="1"/>
  <c r="G18" i="183" a="1"/>
  <c r="G18" i="183" s="1"/>
  <c r="G32" i="183" a="1"/>
  <c r="G32" i="183" s="1"/>
  <c r="I25" i="182" s="1"/>
  <c r="G23" i="183" a="1"/>
  <c r="G23" i="183" s="1"/>
  <c r="I16" i="182" s="1"/>
  <c r="G26" i="183" a="1"/>
  <c r="G26" i="183" s="1"/>
  <c r="I19" i="182" s="1"/>
  <c r="G31" i="183" a="1"/>
  <c r="G31" i="183" s="1"/>
  <c r="I24" i="182" s="1"/>
  <c r="G46" i="183" a="1"/>
  <c r="G46" i="183" s="1"/>
  <c r="G44" i="183" a="1"/>
  <c r="G44" i="183" s="1"/>
  <c r="G15" i="183" a="1"/>
  <c r="G15" i="183" s="1"/>
  <c r="G24" i="183" a="1"/>
  <c r="G24" i="183" s="1"/>
  <c r="G29" i="183" a="1"/>
  <c r="G29" i="183" s="1"/>
  <c r="G37" i="183" a="1"/>
  <c r="G37" i="183" s="1"/>
  <c r="G43" i="183" a="1"/>
  <c r="G43" i="183" s="1"/>
  <c r="I36" i="182" s="1"/>
  <c r="G54" i="183" a="1"/>
  <c r="G54" i="183" s="1"/>
  <c r="I47" i="182" s="1"/>
  <c r="G25" i="183" a="1"/>
  <c r="G25" i="183" s="1"/>
  <c r="G34" i="183" a="1"/>
  <c r="G34" i="183" s="1"/>
  <c r="G52" i="183" a="1"/>
  <c r="G52" i="183" s="1"/>
  <c r="I45" i="182" s="1"/>
  <c r="G22" i="183" a="1"/>
  <c r="G22" i="183" s="1"/>
  <c r="H42" i="183"/>
  <c r="H38" i="183"/>
  <c r="J31" i="182" s="1"/>
  <c r="F42" i="183"/>
  <c r="H35" i="182" s="1"/>
  <c r="F38" i="183"/>
  <c r="H31" i="182" s="1"/>
  <c r="J61" i="183"/>
  <c r="F39" i="183"/>
  <c r="F54" i="183"/>
  <c r="I53" i="183"/>
  <c r="H37" i="183"/>
  <c r="F48" i="183"/>
  <c r="H41" i="182" s="1"/>
  <c r="I54" i="183"/>
  <c r="J54" i="183"/>
  <c r="E54" i="183"/>
  <c r="G47" i="182" s="1"/>
  <c r="E53" i="183"/>
  <c r="F53" i="183"/>
  <c r="H46" i="182" s="1"/>
  <c r="H25" i="183"/>
  <c r="F52" i="183"/>
  <c r="H45" i="182" s="1"/>
  <c r="F35" i="183"/>
  <c r="H28" i="182" s="1"/>
  <c r="H53" i="183"/>
  <c r="J46" i="182" s="1"/>
  <c r="J98" i="183"/>
  <c r="H52" i="183"/>
  <c r="F36" i="183"/>
  <c r="F23" i="183"/>
  <c r="J99" i="183"/>
  <c r="F37" i="183"/>
  <c r="F41" i="183"/>
  <c r="F40" i="183"/>
  <c r="H33" i="182" s="1"/>
  <c r="H21" i="183"/>
  <c r="F21" i="183"/>
  <c r="H14" i="182" s="1"/>
  <c r="I51" i="183"/>
  <c r="J51" i="183"/>
  <c r="J53" i="183"/>
  <c r="I99" i="183"/>
  <c r="H51" i="183"/>
  <c r="J44" i="182" s="1"/>
  <c r="F25" i="183"/>
  <c r="H35" i="183"/>
  <c r="J28" i="182" s="1"/>
  <c r="F17" i="183"/>
  <c r="J52" i="183"/>
  <c r="I98" i="183"/>
  <c r="F34" i="183"/>
  <c r="E19" i="183"/>
  <c r="E65" i="183" s="1"/>
  <c r="M12" i="182" s="1"/>
  <c r="F19" i="183"/>
  <c r="H12" i="182" s="1"/>
  <c r="E51" i="183"/>
  <c r="G44" i="182" s="1"/>
  <c r="H41" i="183"/>
  <c r="E34" i="183"/>
  <c r="G27" i="182" s="1"/>
  <c r="E16" i="183"/>
  <c r="E62" i="183" s="1"/>
  <c r="I52" i="183"/>
  <c r="H20" i="183"/>
  <c r="J13" i="182" s="1"/>
  <c r="F51" i="183"/>
  <c r="H44" i="182" s="1"/>
  <c r="I96" i="183"/>
  <c r="J96" i="183"/>
  <c r="I97" i="183"/>
  <c r="H50" i="183"/>
  <c r="J43" i="182" s="1"/>
  <c r="E50" i="183"/>
  <c r="E15" i="183"/>
  <c r="G8" i="182" s="1"/>
  <c r="F15" i="183"/>
  <c r="H8" i="182" s="1"/>
  <c r="F20" i="183"/>
  <c r="H13" i="182" s="1"/>
  <c r="F47" i="183"/>
  <c r="E18" i="183"/>
  <c r="E64" i="183" s="1"/>
  <c r="M11" i="182" s="1"/>
  <c r="F18" i="183"/>
  <c r="F50" i="183"/>
  <c r="H43" i="182" s="1"/>
  <c r="J97" i="183"/>
  <c r="I50" i="183"/>
  <c r="J50" i="183"/>
  <c r="H32" i="183"/>
  <c r="J25" i="182" s="1"/>
  <c r="H23" i="183"/>
  <c r="J16" i="182" s="1"/>
  <c r="H26" i="183"/>
  <c r="F26" i="183"/>
  <c r="H19" i="182" s="1"/>
  <c r="H18" i="183"/>
  <c r="J11" i="182" s="1"/>
  <c r="F46" i="183"/>
  <c r="H30" i="183"/>
  <c r="I15" i="183"/>
  <c r="H47" i="183"/>
  <c r="H17" i="183"/>
  <c r="J10" i="182" s="1"/>
  <c r="E49" i="183"/>
  <c r="G42" i="182" s="1"/>
  <c r="F49" i="183"/>
  <c r="H42" i="182" s="1"/>
  <c r="H29" i="183"/>
  <c r="H44" i="183"/>
  <c r="H27" i="183"/>
  <c r="H15" i="183"/>
  <c r="J8" i="182" s="1"/>
  <c r="I61" i="183"/>
  <c r="F45" i="183"/>
  <c r="H38" i="182" s="1"/>
  <c r="E17" i="183"/>
  <c r="F31" i="183"/>
  <c r="H24" i="182" s="1"/>
  <c r="J15" i="183"/>
  <c r="H48" i="183"/>
  <c r="H31" i="183"/>
  <c r="J24" i="182" s="1"/>
  <c r="H46" i="183"/>
  <c r="H24" i="183"/>
  <c r="F43" i="183"/>
  <c r="H39" i="183"/>
  <c r="J32" i="182" s="1"/>
  <c r="H36" i="183"/>
  <c r="J29" i="182" s="1"/>
  <c r="H22" i="183"/>
  <c r="J15" i="182" s="1"/>
  <c r="E52" i="183"/>
  <c r="H16" i="183"/>
  <c r="J9" i="182" s="1"/>
  <c r="F16" i="183"/>
  <c r="H45" i="183"/>
  <c r="J38" i="182" s="1"/>
  <c r="F32" i="183"/>
  <c r="H25" i="182" s="1"/>
  <c r="F29" i="183"/>
  <c r="F30" i="183"/>
  <c r="H23" i="182" s="1"/>
  <c r="F33" i="183"/>
  <c r="H26" i="182" s="1"/>
  <c r="H43" i="183"/>
  <c r="F44" i="183"/>
  <c r="F22" i="183"/>
  <c r="J100" i="183"/>
  <c r="F28" i="183"/>
  <c r="F27" i="183"/>
  <c r="H20" i="182" s="1"/>
  <c r="H40" i="183"/>
  <c r="J33" i="182" s="1"/>
  <c r="H28" i="183"/>
  <c r="H33" i="183"/>
  <c r="F24" i="183"/>
  <c r="H17" i="182" s="1"/>
  <c r="I100" i="183"/>
  <c r="H54" i="183"/>
  <c r="J47" i="182" s="1"/>
  <c r="G23" i="243" a="1"/>
  <c r="G23" i="243" s="1"/>
  <c r="I16" i="242" s="1"/>
  <c r="G30" i="243" a="1"/>
  <c r="G30" i="243" s="1"/>
  <c r="G29" i="243" a="1"/>
  <c r="G29" i="243" s="1"/>
  <c r="I22" i="242" s="1"/>
  <c r="G51" i="243" a="1"/>
  <c r="G51" i="243" s="1"/>
  <c r="I44" i="242" s="1"/>
  <c r="G28" i="243" a="1"/>
  <c r="G28" i="243" s="1"/>
  <c r="G26" i="243" a="1"/>
  <c r="G26" i="243" s="1"/>
  <c r="I19" i="242" s="1"/>
  <c r="G46" i="243" a="1"/>
  <c r="G46" i="243" s="1"/>
  <c r="G37" i="243" a="1"/>
  <c r="G37" i="243" s="1"/>
  <c r="G27" i="243" a="1"/>
  <c r="G27" i="243" s="1"/>
  <c r="I20" i="242" s="1"/>
  <c r="G35" i="243" a="1"/>
  <c r="G35" i="243" s="1"/>
  <c r="I28" i="242" s="1"/>
  <c r="G43" i="243" a="1"/>
  <c r="G43" i="243" s="1"/>
  <c r="I36" i="242" s="1"/>
  <c r="G33" i="243" a="1"/>
  <c r="G33" i="243" s="1"/>
  <c r="G53" i="243" a="1"/>
  <c r="G53" i="243" s="1"/>
  <c r="G36" i="243" a="1"/>
  <c r="G36" i="243" s="1"/>
  <c r="I29" i="242" s="1"/>
  <c r="G34" i="243" a="1"/>
  <c r="G34" i="243" s="1"/>
  <c r="G40" i="243" a="1"/>
  <c r="G40" i="243" s="1"/>
  <c r="I33" i="242" s="1"/>
  <c r="G15" i="243" a="1"/>
  <c r="G15" i="243" s="1"/>
  <c r="I8" i="242" s="1"/>
  <c r="G38" i="243" a="1"/>
  <c r="G38" i="243" s="1"/>
  <c r="I31" i="242" s="1"/>
  <c r="G54" i="243" a="1"/>
  <c r="G54" i="243" s="1"/>
  <c r="I47" i="242" s="1"/>
  <c r="G31" i="243" a="1"/>
  <c r="G31" i="243" s="1"/>
  <c r="I24" i="242" s="1"/>
  <c r="G48" i="243" a="1"/>
  <c r="G48" i="243" s="1"/>
  <c r="G47" i="243" a="1"/>
  <c r="G47" i="243" s="1"/>
  <c r="G21" i="243" a="1"/>
  <c r="G21" i="243" s="1"/>
  <c r="G18" i="243" a="1"/>
  <c r="G18" i="243" s="1"/>
  <c r="I11" i="242" s="1"/>
  <c r="G45" i="243" a="1"/>
  <c r="G45" i="243" s="1"/>
  <c r="I38" i="242" s="1"/>
  <c r="G42" i="243" a="1"/>
  <c r="G42" i="243" s="1"/>
  <c r="I35" i="242" s="1"/>
  <c r="G25" i="243" a="1"/>
  <c r="G25" i="243" s="1"/>
  <c r="G19" i="243" a="1"/>
  <c r="G19" i="243" s="1"/>
  <c r="G14" i="243" a="1"/>
  <c r="G14" i="243" s="1"/>
  <c r="G22" i="243" a="1"/>
  <c r="G22" i="243" s="1"/>
  <c r="G32" i="243" a="1"/>
  <c r="G32" i="243" s="1"/>
  <c r="I25" i="242" s="1"/>
  <c r="G44" i="243" a="1"/>
  <c r="G44" i="243" s="1"/>
  <c r="I37" i="242" s="1"/>
  <c r="G20" i="243" a="1"/>
  <c r="G20" i="243" s="1"/>
  <c r="I13" i="242" s="1"/>
  <c r="G24" i="243" a="1"/>
  <c r="G24" i="243" s="1"/>
  <c r="I17" i="242" s="1"/>
  <c r="G50" i="243" a="1"/>
  <c r="G50" i="243" s="1"/>
  <c r="I43" i="242" s="1"/>
  <c r="G16" i="243" a="1"/>
  <c r="G16" i="243" s="1"/>
  <c r="G52" i="243" a="1"/>
  <c r="G52" i="243" s="1"/>
  <c r="I45" i="242" s="1"/>
  <c r="G17" i="243" a="1"/>
  <c r="G17" i="243" s="1"/>
  <c r="M29" i="242"/>
  <c r="E39" i="243"/>
  <c r="G32" i="242" s="1"/>
  <c r="E34" i="243"/>
  <c r="G27" i="242" s="1"/>
  <c r="E37" i="243"/>
  <c r="G30" i="242" s="1"/>
  <c r="H50" i="243"/>
  <c r="I54" i="243"/>
  <c r="M37" i="242"/>
  <c r="E16" i="243"/>
  <c r="E62" i="243" s="1"/>
  <c r="H35" i="243"/>
  <c r="J28" i="242" s="1"/>
  <c r="H23" i="243"/>
  <c r="J16" i="242" s="1"/>
  <c r="J95" i="243"/>
  <c r="M18" i="242"/>
  <c r="J53" i="243"/>
  <c r="J96" i="243"/>
  <c r="E32" i="243"/>
  <c r="G25" i="242" s="1"/>
  <c r="H27" i="243"/>
  <c r="F101" i="243"/>
  <c r="I95" i="243"/>
  <c r="F43" i="243"/>
  <c r="H36" i="242" s="1"/>
  <c r="I46" i="243"/>
  <c r="E46" i="243"/>
  <c r="G39" i="242" s="1"/>
  <c r="I47" i="243"/>
  <c r="E35" i="243"/>
  <c r="G28" i="242" s="1"/>
  <c r="M17" i="242"/>
  <c r="H46" i="243"/>
  <c r="J39" i="242" s="1"/>
  <c r="G101" i="243"/>
  <c r="O47" i="242" s="1"/>
  <c r="I49" i="243"/>
  <c r="F39" i="243"/>
  <c r="E27" i="243"/>
  <c r="G20" i="242" s="1"/>
  <c r="H53" i="243"/>
  <c r="J46" i="243"/>
  <c r="E30" i="243"/>
  <c r="M25" i="242"/>
  <c r="J49" i="243"/>
  <c r="H24" i="243"/>
  <c r="J17" i="242" s="1"/>
  <c r="H36" i="243"/>
  <c r="J29" i="242" s="1"/>
  <c r="H28" i="243"/>
  <c r="E50" i="243"/>
  <c r="G43" i="242" s="1"/>
  <c r="M27" i="242"/>
  <c r="J48" i="243"/>
  <c r="E23" i="243"/>
  <c r="G16" i="242" s="1"/>
  <c r="F15" i="243"/>
  <c r="H8" i="242" s="1"/>
  <c r="F42" i="243"/>
  <c r="H35" i="242" s="1"/>
  <c r="E15" i="243"/>
  <c r="J93" i="243"/>
  <c r="E44" i="243"/>
  <c r="G37" i="242" s="1"/>
  <c r="H21" i="243"/>
  <c r="H22" i="243"/>
  <c r="F36" i="243"/>
  <c r="H29" i="242" s="1"/>
  <c r="E18" i="243"/>
  <c r="J94" i="243"/>
  <c r="F38" i="243"/>
  <c r="H31" i="242" s="1"/>
  <c r="H15" i="243"/>
  <c r="F16" i="243"/>
  <c r="H9" i="242" s="1"/>
  <c r="H42" i="243"/>
  <c r="J35" i="242" s="1"/>
  <c r="H49" i="243"/>
  <c r="J42" i="242" s="1"/>
  <c r="E14" i="243"/>
  <c r="G7" i="242" s="1"/>
  <c r="H31" i="243"/>
  <c r="J24" i="242" s="1"/>
  <c r="F54" i="243"/>
  <c r="H47" i="242" s="1"/>
  <c r="J52" i="243"/>
  <c r="E54" i="243"/>
  <c r="G47" i="242" s="1"/>
  <c r="F18" i="243"/>
  <c r="H11" i="242" s="1"/>
  <c r="E49" i="243"/>
  <c r="J14" i="243"/>
  <c r="H52" i="243"/>
  <c r="J45" i="242" s="1"/>
  <c r="J47" i="243"/>
  <c r="I96" i="243"/>
  <c r="I52" i="243"/>
  <c r="E52" i="243"/>
  <c r="G45" i="242" s="1"/>
  <c r="H29" i="243"/>
  <c r="J22" i="242" s="1"/>
  <c r="H47" i="243"/>
  <c r="J40" i="242" s="1"/>
  <c r="H18" i="243"/>
  <c r="F40" i="243"/>
  <c r="H33" i="242" s="1"/>
  <c r="I60" i="243"/>
  <c r="H17" i="243"/>
  <c r="J54" i="243"/>
  <c r="E26" i="243"/>
  <c r="G19" i="242" s="1"/>
  <c r="I100" i="243"/>
  <c r="F50" i="243"/>
  <c r="E45" i="243"/>
  <c r="G38" i="242" s="1"/>
  <c r="M20" i="242"/>
  <c r="E51" i="243"/>
  <c r="G44" i="242" s="1"/>
  <c r="H37" i="243"/>
  <c r="J30" i="242" s="1"/>
  <c r="H41" i="243"/>
  <c r="J34" i="242" s="1"/>
  <c r="E22" i="243"/>
  <c r="G15" i="242" s="1"/>
  <c r="M33" i="242"/>
  <c r="F34" i="243"/>
  <c r="I50" i="243"/>
  <c r="M46" i="242"/>
  <c r="I99" i="243"/>
  <c r="J99" i="243"/>
  <c r="E33" i="243"/>
  <c r="G26" i="242" s="1"/>
  <c r="F53" i="243"/>
  <c r="H46" i="242" s="1"/>
  <c r="I14" i="243"/>
  <c r="F46" i="243"/>
  <c r="F49" i="243"/>
  <c r="F17" i="243"/>
  <c r="J50" i="243"/>
  <c r="I98" i="243"/>
  <c r="H20" i="243"/>
  <c r="J13" i="242" s="1"/>
  <c r="M45" i="242"/>
  <c r="E24" i="243"/>
  <c r="G17" i="242" s="1"/>
  <c r="J15" i="243"/>
  <c r="E29" i="243"/>
  <c r="I61" i="243"/>
  <c r="J100" i="243"/>
  <c r="J92" i="243"/>
  <c r="F27" i="243"/>
  <c r="H20" i="242" s="1"/>
  <c r="I48" i="243"/>
  <c r="F45" i="243"/>
  <c r="H38" i="242" s="1"/>
  <c r="F33" i="243"/>
  <c r="F37" i="243"/>
  <c r="E48" i="243"/>
  <c r="H45" i="243"/>
  <c r="J38" i="242" s="1"/>
  <c r="E25" i="243"/>
  <c r="G18" i="242" s="1"/>
  <c r="E43" i="243"/>
  <c r="G36" i="242" s="1"/>
  <c r="E41" i="243"/>
  <c r="G34" i="242" s="1"/>
  <c r="I94" i="243"/>
  <c r="F23" i="243"/>
  <c r="H16" i="242" s="1"/>
  <c r="F14" i="243"/>
  <c r="H7" i="242" s="1"/>
  <c r="F26" i="243"/>
  <c r="H19" i="242" s="1"/>
  <c r="F29" i="243"/>
  <c r="H22" i="242" s="1"/>
  <c r="I51" i="243"/>
  <c r="F32" i="243"/>
  <c r="J51" i="243"/>
  <c r="M36" i="242"/>
  <c r="E20" i="243"/>
  <c r="E66" i="243" s="1"/>
  <c r="M13" i="242" s="1"/>
  <c r="I97" i="243"/>
  <c r="M38" i="242"/>
  <c r="F35" i="243"/>
  <c r="H28" i="242" s="1"/>
  <c r="E53" i="243"/>
  <c r="G46" i="242" s="1"/>
  <c r="F22" i="243"/>
  <c r="H15" i="242" s="1"/>
  <c r="F41" i="243"/>
  <c r="H34" i="242" s="1"/>
  <c r="J97" i="243"/>
  <c r="F19" i="243"/>
  <c r="H12" i="242" s="1"/>
  <c r="H44" i="243"/>
  <c r="E21" i="243"/>
  <c r="E67" i="243" s="1"/>
  <c r="M14" i="242" s="1"/>
  <c r="H43" i="243"/>
  <c r="J36" i="242" s="1"/>
  <c r="H38" i="243"/>
  <c r="J31" i="242" s="1"/>
  <c r="H34" i="243"/>
  <c r="F44" i="243"/>
  <c r="H37" i="242" s="1"/>
  <c r="F47" i="243"/>
  <c r="F51" i="243"/>
  <c r="H44" i="242" s="1"/>
  <c r="F25" i="243"/>
  <c r="J61" i="243"/>
  <c r="F30" i="243"/>
  <c r="I53" i="243"/>
  <c r="M34" i="242"/>
  <c r="E17" i="243"/>
  <c r="E19" i="243"/>
  <c r="H54" i="243"/>
  <c r="J47" i="242" s="1"/>
  <c r="F20" i="243"/>
  <c r="H51" i="243"/>
  <c r="J44" i="242" s="1"/>
  <c r="F48" i="243"/>
  <c r="H41" i="242" s="1"/>
  <c r="E40" i="243"/>
  <c r="G33" i="242" s="1"/>
  <c r="E47" i="243"/>
  <c r="F28" i="243"/>
  <c r="H21" i="242" s="1"/>
  <c r="F31" i="243"/>
  <c r="E42" i="243"/>
  <c r="G35" i="242" s="1"/>
  <c r="J98" i="243"/>
  <c r="I15" i="243"/>
  <c r="H48" i="243"/>
  <c r="J41" i="242" s="1"/>
  <c r="F21" i="243"/>
  <c r="H14" i="242" s="1"/>
  <c r="E28" i="243"/>
  <c r="G21" i="242" s="1"/>
  <c r="F24" i="243"/>
  <c r="E31" i="243"/>
  <c r="G24" i="242" s="1"/>
  <c r="I92" i="243"/>
  <c r="E36" i="243"/>
  <c r="H14" i="243"/>
  <c r="E38" i="243"/>
  <c r="G31" i="242" s="1"/>
  <c r="I93" i="243"/>
  <c r="F52" i="243"/>
  <c r="J60" i="243"/>
  <c r="H16" i="243"/>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U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U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D84" i="174"/>
  <c r="F84" i="174" s="1"/>
  <c r="J214" i="174"/>
  <c r="D207" i="174"/>
  <c r="I260" i="174"/>
  <c r="I160" i="174"/>
  <c r="E116" i="174"/>
  <c r="G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H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U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H79" i="174" s="1"/>
  <c r="J257" i="174"/>
  <c r="E260" i="174"/>
  <c r="I94" i="174"/>
  <c r="S142" i="174" a="1"/>
  <c r="S142" i="174" s="1"/>
  <c r="U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H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H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H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F69" i="174" s="1"/>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U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U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U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Q12" i="185" s="1"/>
  <c r="AC47" i="185"/>
  <c r="AH47" i="185" s="1"/>
  <c r="Q45" i="185"/>
  <c r="AC45" i="185"/>
  <c r="AH45" i="185" s="1"/>
  <c r="AC43" i="185"/>
  <c r="AH43" i="185" s="1"/>
  <c r="AC10" i="185"/>
  <c r="AH10" i="185" s="1"/>
  <c r="P18" i="185"/>
  <c r="P15" i="185"/>
  <c r="AC12" i="185"/>
  <c r="AH12" i="185" s="1"/>
  <c r="P28" i="185"/>
  <c r="P40" i="185"/>
  <c r="P31" i="185"/>
  <c r="P16" i="185"/>
  <c r="P36" i="185"/>
  <c r="P9" i="185"/>
  <c r="Q9" i="185" s="1"/>
  <c r="P27" i="185"/>
  <c r="P30"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P22" i="185"/>
  <c r="M7" i="145"/>
  <c r="J47" i="145"/>
  <c r="Q47" i="145" s="1"/>
  <c r="J45" i="145"/>
  <c r="Q45" i="145" s="1"/>
  <c r="J43" i="145"/>
  <c r="J44" i="145"/>
  <c r="Q44" i="145" s="1"/>
  <c r="J46" i="145"/>
  <c r="Q46" i="145" s="1"/>
  <c r="J7" i="145"/>
  <c r="B21" i="145"/>
  <c r="J8" i="145"/>
  <c r="Q8" i="145" s="1"/>
  <c r="P7" i="231"/>
  <c r="U7" i="231" s="1"/>
  <c r="K7" i="231"/>
  <c r="T7" i="231" s="1"/>
  <c r="M39" i="170"/>
  <c r="N45" i="170"/>
  <c r="N43" i="170"/>
  <c r="N24" i="170"/>
  <c r="M13" i="170"/>
  <c r="M29" i="170"/>
  <c r="M34" i="170"/>
  <c r="N13" i="170"/>
  <c r="N30" i="170"/>
  <c r="M27" i="170"/>
  <c r="M41" i="170"/>
  <c r="M36" i="170"/>
  <c r="N19" i="170"/>
  <c r="M47" i="170"/>
  <c r="N29" i="170"/>
  <c r="N40" i="170"/>
  <c r="M44" i="170"/>
  <c r="N31" i="170"/>
  <c r="N35" i="170"/>
  <c r="N36" i="170"/>
  <c r="N38" i="170"/>
  <c r="N32" i="170"/>
  <c r="N15" i="170"/>
  <c r="N37" i="170"/>
  <c r="M22" i="170"/>
  <c r="M11" i="170"/>
  <c r="M17" i="170"/>
  <c r="N39" i="170"/>
  <c r="N21" i="170"/>
  <c r="N9" i="170"/>
  <c r="N22" i="170"/>
  <c r="N23" i="170"/>
  <c r="N28" i="170"/>
  <c r="M30" i="170"/>
  <c r="N47" i="170"/>
  <c r="N34" i="170"/>
  <c r="N46" i="170"/>
  <c r="N16" i="170"/>
  <c r="M16" i="170"/>
  <c r="N33" i="170"/>
  <c r="N10" i="170"/>
  <c r="N12" i="170"/>
  <c r="N17" i="170"/>
  <c r="M38" i="170"/>
  <c r="N41" i="170"/>
  <c r="N44" i="170"/>
  <c r="N11" i="170"/>
  <c r="N27" i="170"/>
  <c r="N18" i="170"/>
  <c r="N42" i="170"/>
  <c r="M32" i="170"/>
  <c r="M43" i="170"/>
  <c r="N25" i="170"/>
  <c r="N20" i="170"/>
  <c r="N8" i="170"/>
  <c r="M18" i="170"/>
  <c r="N14" i="170"/>
  <c r="M12" i="170"/>
  <c r="M25" i="170"/>
  <c r="N26" i="170"/>
  <c r="U102" i="174"/>
  <c r="U101"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M26" i="242"/>
  <c r="M47" i="242"/>
  <c r="M44" i="242"/>
  <c r="M42" i="242"/>
  <c r="M23" i="242"/>
  <c r="M24" i="242"/>
  <c r="M28" i="242"/>
  <c r="M39" i="242"/>
  <c r="M30" i="242"/>
  <c r="M16" i="242"/>
  <c r="M40" i="242"/>
  <c r="M35" i="242"/>
  <c r="M8" i="242"/>
  <c r="M43" i="242"/>
  <c r="M19" i="242"/>
  <c r="M21" i="242"/>
  <c r="M41" i="242"/>
  <c r="M9" i="242"/>
  <c r="M32" i="242"/>
  <c r="M2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18" i="182"/>
  <c r="I27" i="182"/>
  <c r="I41" i="182"/>
  <c r="I23" i="182"/>
  <c r="I17" i="182"/>
  <c r="I10" i="182"/>
  <c r="I11" i="182"/>
  <c r="I38" i="182"/>
  <c r="I8" i="182"/>
  <c r="I20" i="182"/>
  <c r="I46" i="182"/>
  <c r="I26" i="182"/>
  <c r="I15" i="182"/>
  <c r="I12" i="182"/>
  <c r="I33" i="182"/>
  <c r="I30" i="182"/>
  <c r="I37" i="182"/>
  <c r="I29" i="182"/>
  <c r="M20" i="182"/>
  <c r="H11" i="182"/>
  <c r="M24" i="182"/>
  <c r="M47" i="182"/>
  <c r="J23" i="182"/>
  <c r="M22" i="182"/>
  <c r="H40" i="182"/>
  <c r="M17" i="182"/>
  <c r="M29" i="182"/>
  <c r="J20" i="182"/>
  <c r="H37" i="182"/>
  <c r="H29" i="182"/>
  <c r="M42" i="182"/>
  <c r="M33" i="182"/>
  <c r="H32" i="182"/>
  <c r="M38" i="182"/>
  <c r="M36" i="182"/>
  <c r="J40" i="182"/>
  <c r="H21" i="182"/>
  <c r="M41" i="182"/>
  <c r="M25" i="182"/>
  <c r="M9" i="182"/>
  <c r="M46" i="182"/>
  <c r="H34" i="182"/>
  <c r="J45" i="182"/>
  <c r="H18" i="182"/>
  <c r="M44" i="182"/>
  <c r="M8" i="182"/>
  <c r="H15" i="182"/>
  <c r="M16" i="182"/>
  <c r="H36" i="182"/>
  <c r="J41" i="182"/>
  <c r="M19" i="182"/>
  <c r="M39" i="182"/>
  <c r="M28" i="182"/>
  <c r="M31" i="182"/>
  <c r="H10" i="182"/>
  <c r="H27" i="182"/>
  <c r="M30" i="182"/>
  <c r="M26" i="182"/>
  <c r="J18" i="182"/>
  <c r="M40" i="182"/>
  <c r="J37" i="182"/>
  <c r="J14" i="182"/>
  <c r="H9" i="182"/>
  <c r="J17" i="182"/>
  <c r="H47" i="182"/>
  <c r="H39" i="182"/>
  <c r="M43" i="182"/>
  <c r="H22" i="182"/>
  <c r="M45" i="182"/>
  <c r="M35" i="182"/>
  <c r="J34" i="182"/>
  <c r="M23" i="182"/>
  <c r="M34" i="182"/>
  <c r="M18" i="182"/>
  <c r="H16" i="182"/>
  <c r="H30" i="182"/>
  <c r="M32" i="182"/>
  <c r="J45" i="170"/>
  <c r="J44" i="170"/>
  <c r="J47" i="170"/>
  <c r="J9" i="170"/>
  <c r="J12" i="170"/>
  <c r="J8" i="170"/>
  <c r="J46" i="170"/>
  <c r="G9" i="242"/>
  <c r="J21" i="242"/>
  <c r="G22" i="242"/>
  <c r="G42" i="242"/>
  <c r="J9" i="242"/>
  <c r="G29" i="242"/>
  <c r="J15" i="242"/>
  <c r="G23" i="242"/>
  <c r="J14" i="242"/>
  <c r="J20" i="242"/>
  <c r="J46" i="242"/>
  <c r="J37" i="242"/>
  <c r="J27" i="242"/>
  <c r="J11" i="242"/>
  <c r="J8" i="242"/>
  <c r="J43" i="242"/>
  <c r="G40" i="242"/>
  <c r="G41" i="242"/>
  <c r="J10" i="242"/>
  <c r="M12" i="145"/>
  <c r="M21" i="145"/>
  <c r="R21" i="145" s="1"/>
  <c r="M45" i="145"/>
  <c r="M15" i="145"/>
  <c r="R15" i="145" s="1"/>
  <c r="M17" i="145"/>
  <c r="R17" i="145" s="1"/>
  <c r="M25" i="145"/>
  <c r="R25" i="145" s="1"/>
  <c r="M29" i="145"/>
  <c r="R29" i="145" s="1"/>
  <c r="M10" i="145"/>
  <c r="R10" i="145" s="1"/>
  <c r="M22" i="145"/>
  <c r="R22" i="145" s="1"/>
  <c r="M38" i="145"/>
  <c r="R38" i="145" s="1"/>
  <c r="M47" i="145"/>
  <c r="R47" i="145" s="1"/>
  <c r="M13" i="145"/>
  <c r="M39" i="145"/>
  <c r="R39" i="145" s="1"/>
  <c r="M37" i="145"/>
  <c r="R37" i="145" s="1"/>
  <c r="M31" i="145"/>
  <c r="R31" i="145" s="1"/>
  <c r="M23" i="145"/>
  <c r="R23" i="145" s="1"/>
  <c r="M16" i="145"/>
  <c r="R16" i="145" s="1"/>
  <c r="M44" i="145"/>
  <c r="R44" i="145" s="1"/>
  <c r="M14" i="145"/>
  <c r="R14" i="145" s="1"/>
  <c r="M46" i="145"/>
  <c r="R46" i="145" s="1"/>
  <c r="M35" i="145"/>
  <c r="R35" i="145" s="1"/>
  <c r="I17" i="170"/>
  <c r="I12" i="170"/>
  <c r="I38" i="170"/>
  <c r="I45" i="170"/>
  <c r="I25" i="170"/>
  <c r="I21" i="170"/>
  <c r="I29" i="170"/>
  <c r="I13" i="170"/>
  <c r="I9" i="170"/>
  <c r="I26" i="170"/>
  <c r="I20" i="170"/>
  <c r="I23" i="170"/>
  <c r="I14" i="170"/>
  <c r="I27" i="170"/>
  <c r="I22" i="170"/>
  <c r="I28" i="170"/>
  <c r="I10" i="170"/>
  <c r="I35" i="170"/>
  <c r="I31" i="170"/>
  <c r="I8" i="170"/>
  <c r="I15" i="170"/>
  <c r="I44" i="170"/>
  <c r="I19" i="170"/>
  <c r="I33" i="170"/>
  <c r="I41" i="170"/>
  <c r="G45" i="170"/>
  <c r="G47" i="170"/>
  <c r="H25" i="170"/>
  <c r="H36" i="170"/>
  <c r="H10" i="170"/>
  <c r="H28" i="170"/>
  <c r="H26" i="170"/>
  <c r="H18" i="170"/>
  <c r="H32" i="170"/>
  <c r="H14" i="170"/>
  <c r="H24" i="170"/>
  <c r="G8" i="170"/>
  <c r="H23" i="170"/>
  <c r="H38" i="170"/>
  <c r="H37" i="170"/>
  <c r="H13" i="170"/>
  <c r="H22" i="170"/>
  <c r="H35" i="170"/>
  <c r="H29" i="170"/>
  <c r="H21" i="170"/>
  <c r="G12" i="170"/>
  <c r="H44" i="170"/>
  <c r="H16" i="170"/>
  <c r="G18" i="170"/>
  <c r="G32" i="170"/>
  <c r="H47" i="170"/>
  <c r="H45" i="170"/>
  <c r="G44" i="170"/>
  <c r="G1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15" i="242"/>
  <c r="I40" i="242"/>
  <c r="I23" i="242"/>
  <c r="I9" i="242"/>
  <c r="I12" i="242"/>
  <c r="I30" i="242"/>
  <c r="I21" i="242"/>
  <c r="I46" i="242"/>
  <c r="I18" i="242"/>
  <c r="I41" i="242"/>
  <c r="I14" i="242"/>
  <c r="I39" i="242"/>
  <c r="I27" i="242"/>
  <c r="I26" i="242"/>
  <c r="I10" i="242"/>
  <c r="H17" i="242"/>
  <c r="H43" i="242"/>
  <c r="H30" i="242"/>
  <c r="H26" i="242"/>
  <c r="H10" i="242"/>
  <c r="H45" i="242"/>
  <c r="H40" i="242"/>
  <c r="H24" i="242"/>
  <c r="H13" i="242"/>
  <c r="H23" i="242"/>
  <c r="G46" i="182"/>
  <c r="G45" i="182"/>
  <c r="G9" i="182"/>
  <c r="G12" i="182"/>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G9" i="170" l="1"/>
  <c r="H63" i="174"/>
  <c r="H64" i="174"/>
  <c r="H67" i="174"/>
  <c r="H116" i="174"/>
  <c r="H84" i="174"/>
  <c r="H109" i="174"/>
  <c r="G41" i="243" a="1"/>
  <c r="G41" i="243" s="1"/>
  <c r="I34" i="242" s="1"/>
  <c r="U120" i="174"/>
  <c r="H65" i="174"/>
  <c r="X8" i="212"/>
  <c r="Z8" i="212" s="1"/>
  <c r="Y8" i="212"/>
  <c r="O13" i="175"/>
  <c r="S13" i="175"/>
  <c r="O39" i="175"/>
  <c r="S39" i="175"/>
  <c r="O12" i="175"/>
  <c r="S12" i="175"/>
  <c r="K53" i="243"/>
  <c r="K46" i="242" s="1"/>
  <c r="O23" i="175"/>
  <c r="S23" i="175"/>
  <c r="O30" i="175"/>
  <c r="S30" i="175"/>
  <c r="X45" i="212"/>
  <c r="Z45" i="212" s="1"/>
  <c r="Y45" i="212"/>
  <c r="O38" i="175"/>
  <c r="S38" i="175"/>
  <c r="O14" i="175"/>
  <c r="S14" i="175"/>
  <c r="O20" i="175"/>
  <c r="S20" i="175"/>
  <c r="K32" i="145"/>
  <c r="K34" i="145"/>
  <c r="H111" i="174"/>
  <c r="H125" i="174"/>
  <c r="H62" i="174"/>
  <c r="O44" i="175"/>
  <c r="S44" i="175"/>
  <c r="O21" i="175"/>
  <c r="S21" i="175"/>
  <c r="O17" i="175"/>
  <c r="S17" i="175"/>
  <c r="O45" i="175"/>
  <c r="S45" i="175"/>
  <c r="O16" i="175"/>
  <c r="S16" i="175"/>
  <c r="O11" i="175"/>
  <c r="S11" i="175"/>
  <c r="O31" i="175"/>
  <c r="S31" i="175"/>
  <c r="O34" i="175"/>
  <c r="S34" i="175"/>
  <c r="O25" i="175"/>
  <c r="S25" i="175"/>
  <c r="O43" i="175"/>
  <c r="S43" i="175"/>
  <c r="O24" i="175"/>
  <c r="S24" i="175"/>
  <c r="O10" i="175"/>
  <c r="S10" i="175"/>
  <c r="H110" i="174"/>
  <c r="X44" i="212"/>
  <c r="Z44" i="212" s="1"/>
  <c r="Y44" i="212"/>
  <c r="D47" i="174"/>
  <c r="H131" i="174"/>
  <c r="O22" i="175"/>
  <c r="S22" i="175"/>
  <c r="O37" i="175"/>
  <c r="S37" i="175"/>
  <c r="H123" i="174"/>
  <c r="O26" i="175"/>
  <c r="S26" i="175"/>
  <c r="O46" i="175"/>
  <c r="S46" i="175"/>
  <c r="O15" i="175"/>
  <c r="S15" i="175"/>
  <c r="G14" i="242"/>
  <c r="U108" i="174"/>
  <c r="O42" i="175"/>
  <c r="S42" i="175"/>
  <c r="O28" i="175"/>
  <c r="S28" i="175"/>
  <c r="O18" i="175"/>
  <c r="S18" i="175"/>
  <c r="O29" i="175"/>
  <c r="S29" i="175"/>
  <c r="O35" i="175"/>
  <c r="S35" i="175"/>
  <c r="O8" i="175"/>
  <c r="S8" i="175"/>
  <c r="H128" i="174"/>
  <c r="H112" i="174"/>
  <c r="G13" i="242"/>
  <c r="K54" i="179"/>
  <c r="K47" i="170" s="1"/>
  <c r="X46" i="212"/>
  <c r="Z46" i="212" s="1"/>
  <c r="Y46" i="212"/>
  <c r="O19" i="175"/>
  <c r="S19" i="175"/>
  <c r="O9" i="175"/>
  <c r="S9" i="175"/>
  <c r="O27" i="175"/>
  <c r="S27" i="175"/>
  <c r="O36" i="175"/>
  <c r="S36" i="175"/>
  <c r="X47" i="212"/>
  <c r="Z47" i="212" s="1"/>
  <c r="Y47" i="212"/>
  <c r="O41" i="175"/>
  <c r="S41" i="175"/>
  <c r="O40" i="175"/>
  <c r="S40" i="175"/>
  <c r="O33" i="175"/>
  <c r="S33" i="175"/>
  <c r="E68" i="243"/>
  <c r="M15" i="242" s="1"/>
  <c r="O32" i="175"/>
  <c r="S32" i="175"/>
  <c r="O47" i="175"/>
  <c r="S47" i="175"/>
  <c r="G11" i="182"/>
  <c r="G12" i="242"/>
  <c r="E65" i="243"/>
  <c r="M12" i="242" s="1"/>
  <c r="G11" i="242"/>
  <c r="E64" i="243"/>
  <c r="M11" i="242" s="1"/>
  <c r="G10" i="242"/>
  <c r="E63" i="243"/>
  <c r="M10" i="242" s="1"/>
  <c r="G10" i="170"/>
  <c r="E63" i="179"/>
  <c r="M10" i="170" s="1"/>
  <c r="G10" i="182"/>
  <c r="E63" i="183"/>
  <c r="M10" i="182" s="1"/>
  <c r="B62" i="265"/>
  <c r="I36" i="185" s="1"/>
  <c r="N36" i="185" s="1"/>
  <c r="K51" i="179"/>
  <c r="K44" i="170" s="1"/>
  <c r="N45" i="145"/>
  <c r="B43" i="78" s="1"/>
  <c r="K61" i="243"/>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W8" i="231" s="1"/>
  <c r="G50" i="174"/>
  <c r="D14" i="174"/>
  <c r="H69" i="174"/>
  <c r="R47" i="231"/>
  <c r="AO45" i="78" s="1"/>
  <c r="Q44" i="231"/>
  <c r="AN42" i="78"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I42" i="242"/>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C63" i="265" s="1"/>
  <c r="T37" i="185" s="1"/>
  <c r="AN7" i="223"/>
  <c r="L7" i="254"/>
  <c r="Q7" i="254" s="1"/>
  <c r="T7" i="238"/>
  <c r="AK7" i="223"/>
  <c r="T7" i="227"/>
  <c r="AB7" i="229"/>
  <c r="Z7" i="252"/>
  <c r="Z48" i="252" s="1"/>
  <c r="AE48" i="252" s="1"/>
  <c r="AD7" i="252"/>
  <c r="AO7" i="223"/>
  <c r="Q7" i="231"/>
  <c r="K14" i="243"/>
  <c r="K60" i="243"/>
  <c r="M7" i="242"/>
  <c r="U7" i="238"/>
  <c r="Q7" i="238"/>
  <c r="AC7" i="229"/>
  <c r="U7" i="227"/>
  <c r="Q7" i="227"/>
  <c r="G145" i="213" l="1"/>
  <c r="AO6" i="78"/>
  <c r="AE47" i="212"/>
  <c r="AS45" i="78"/>
  <c r="AE45" i="212"/>
  <c r="AS43" i="78"/>
  <c r="AD45" i="212"/>
  <c r="AR43" i="78"/>
  <c r="E101" i="243"/>
  <c r="AR44" i="78"/>
  <c r="AD46" i="212"/>
  <c r="AE46" i="212"/>
  <c r="AS44" i="78"/>
  <c r="AD44" i="212"/>
  <c r="AR42" i="78"/>
  <c r="V44" i="231"/>
  <c r="AS42" i="78"/>
  <c r="AE44" i="212"/>
  <c r="AD8" i="212"/>
  <c r="AR6" i="78"/>
  <c r="AD47" i="212"/>
  <c r="AR45" i="78"/>
  <c r="AE8" i="212"/>
  <c r="AS6" i="78"/>
  <c r="G55" i="243"/>
  <c r="H145" i="213" s="1"/>
  <c r="B63" i="265"/>
  <c r="I37" i="185" s="1"/>
  <c r="N37" i="185" s="1"/>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B64" i="265"/>
  <c r="I38" i="185" s="1"/>
  <c r="N38" i="185" s="1"/>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C64" i="265" s="1"/>
  <c r="T38" i="185" s="1"/>
  <c r="L62" i="265"/>
  <c r="J63" i="265"/>
  <c r="Z7" i="229"/>
  <c r="AE7" i="252"/>
  <c r="AD7" i="229"/>
  <c r="AL7" i="223"/>
  <c r="AP7" i="223"/>
  <c r="Z5" i="78"/>
  <c r="V7" i="238"/>
  <c r="R7" i="238"/>
  <c r="V7" i="227"/>
  <c r="R7" i="227"/>
  <c r="V39" i="242" l="1"/>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C65" i="265" s="1"/>
  <c r="T39" i="185" s="1"/>
  <c r="G66" i="265"/>
  <c r="C66" i="265" s="1"/>
  <c r="U5" i="78"/>
  <c r="B53" i="250"/>
  <c r="J41" i="185" s="1"/>
  <c r="O41" i="185" s="1"/>
  <c r="D52" i="250"/>
  <c r="C54" i="250"/>
  <c r="V42" i="185" s="1"/>
  <c r="AA42" i="185" s="1"/>
  <c r="W5" i="78"/>
  <c r="B54" i="184"/>
  <c r="AQ10" i="223"/>
  <c r="S5" i="78"/>
  <c r="J64" i="265"/>
  <c r="L63" i="265"/>
  <c r="AE7" i="229"/>
  <c r="AQ7" i="223"/>
  <c r="V7" i="242"/>
  <c r="S7" i="242"/>
  <c r="AA5" i="78"/>
  <c r="W7" i="238"/>
  <c r="W7" i="227"/>
  <c r="B65" i="265" l="1"/>
  <c r="I39" i="185" s="1"/>
  <c r="N39" i="185" s="1"/>
  <c r="K65" i="265"/>
  <c r="Y39" i="242"/>
  <c r="X42" i="242"/>
  <c r="Y40" i="242"/>
  <c r="T42" i="242"/>
  <c r="G40" i="78" s="1"/>
  <c r="Y8" i="170"/>
  <c r="I6" i="78"/>
  <c r="B66" i="265"/>
  <c r="I40" i="185" s="1"/>
  <c r="N40" i="185" s="1"/>
  <c r="T40" i="185"/>
  <c r="G67" i="265"/>
  <c r="C67" i="265" s="1"/>
  <c r="T41" i="185" s="1"/>
  <c r="K66" i="265"/>
  <c r="C55" i="250"/>
  <c r="V43" i="185" s="1"/>
  <c r="AA43" i="185" s="1"/>
  <c r="L64" i="265"/>
  <c r="J65" i="265"/>
  <c r="B54" i="250"/>
  <c r="J42" i="185" s="1"/>
  <c r="O42" i="185" s="1"/>
  <c r="D53" i="250"/>
  <c r="B55" i="184"/>
  <c r="F5" i="78"/>
  <c r="X7" i="242"/>
  <c r="T7" i="242"/>
  <c r="B67" i="265" l="1"/>
  <c r="I41" i="185" s="1"/>
  <c r="N41" i="185" s="1"/>
  <c r="Y42" i="242"/>
  <c r="G68" i="265"/>
  <c r="C68" i="265" s="1"/>
  <c r="T42" i="185" s="1"/>
  <c r="K67" i="265"/>
  <c r="B55" i="250"/>
  <c r="J43" i="185" s="1"/>
  <c r="O43" i="185" s="1"/>
  <c r="D54" i="250"/>
  <c r="L65" i="265"/>
  <c r="J66" i="265"/>
  <c r="C56" i="250"/>
  <c r="V44" i="185" s="1"/>
  <c r="AA44" i="185" s="1"/>
  <c r="B56" i="184"/>
  <c r="B57" i="184" s="1"/>
  <c r="B58" i="184"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B68" i="265" l="1"/>
  <c r="I42" i="185" s="1"/>
  <c r="N42" i="185" s="1"/>
  <c r="G69" i="265"/>
  <c r="C69" i="265" s="1"/>
  <c r="T43" i="185" s="1"/>
  <c r="K68" i="265"/>
  <c r="L66" i="265"/>
  <c r="D66" i="265" s="1"/>
  <c r="U40" i="185" s="1"/>
  <c r="Z40" i="185" s="1"/>
  <c r="J67" i="265"/>
  <c r="B56" i="250"/>
  <c r="J44" i="185" s="1"/>
  <c r="O44" i="185" s="1"/>
  <c r="D55" i="250"/>
  <c r="C57" i="250"/>
  <c r="V45" i="185" s="1"/>
  <c r="AA45" i="185" s="1"/>
  <c r="H19" i="187"/>
  <c r="M13" i="186" s="1"/>
  <c r="H31" i="187"/>
  <c r="N13" i="186" s="1"/>
  <c r="G42" i="187"/>
  <c r="H42" i="187" s="1"/>
  <c r="G34" i="187"/>
  <c r="H34" i="187" s="1"/>
  <c r="G44" i="187"/>
  <c r="H44" i="187" s="1"/>
  <c r="G36" i="187"/>
  <c r="H36" i="187" s="1"/>
  <c r="G20" i="187"/>
  <c r="H20" i="187" s="1"/>
  <c r="G43" i="187"/>
  <c r="G23" i="187"/>
  <c r="H23" i="187" s="1"/>
  <c r="G46" i="187"/>
  <c r="H46" i="187" s="1"/>
  <c r="B69" i="265" l="1"/>
  <c r="I43" i="185" s="1"/>
  <c r="N43" i="185" s="1"/>
  <c r="G70" i="265"/>
  <c r="C70" i="265" s="1"/>
  <c r="T44" i="185" s="1"/>
  <c r="K69" i="265"/>
  <c r="C58" i="250"/>
  <c r="V46" i="185" s="1"/>
  <c r="AA46" i="185" s="1"/>
  <c r="D56" i="250"/>
  <c r="B57" i="250"/>
  <c r="J45" i="185" s="1"/>
  <c r="O45" i="185" s="1"/>
  <c r="L67" i="265"/>
  <c r="D67" i="265" s="1"/>
  <c r="U41" i="185" s="1"/>
  <c r="Z41" i="185" s="1"/>
  <c r="J68" i="265"/>
  <c r="H43" i="187"/>
  <c r="O13" i="186" s="1"/>
  <c r="B70" i="265" l="1"/>
  <c r="I44" i="185" s="1"/>
  <c r="N44" i="185" s="1"/>
  <c r="G71" i="265"/>
  <c r="C71" i="265" s="1"/>
  <c r="T45" i="185" s="1"/>
  <c r="K70" i="265"/>
  <c r="L68" i="265"/>
  <c r="D68" i="265" s="1"/>
  <c r="U42" i="185" s="1"/>
  <c r="Z42" i="185" s="1"/>
  <c r="J69" i="265"/>
  <c r="D57" i="250"/>
  <c r="B58" i="250"/>
  <c r="J46" i="185" s="1"/>
  <c r="O46" i="185" s="1"/>
  <c r="C59" i="250"/>
  <c r="V47" i="185" s="1"/>
  <c r="AA47" i="185" s="1"/>
  <c r="B71" i="265" l="1"/>
  <c r="I45" i="185" s="1"/>
  <c r="N45" i="185" s="1"/>
  <c r="G72" i="265"/>
  <c r="B72" i="265" s="1"/>
  <c r="I46" i="185" s="1"/>
  <c r="N46" i="185" s="1"/>
  <c r="K71" i="265"/>
  <c r="D58" i="250"/>
  <c r="B59" i="250"/>
  <c r="J47" i="185" s="1"/>
  <c r="O47" i="185" s="1"/>
  <c r="J70" i="265"/>
  <c r="L69" i="265"/>
  <c r="D69" i="265" s="1"/>
  <c r="U43" i="185" s="1"/>
  <c r="Z43" i="185" s="1"/>
  <c r="B50" i="213"/>
  <c r="C72" i="265" l="1"/>
  <c r="T46" i="185" s="1"/>
  <c r="G73" i="265"/>
  <c r="B73" i="265"/>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I11" i="197" s="1"/>
  <c r="P11" i="197" s="1"/>
  <c r="H35" i="197"/>
  <c r="I35" i="197" s="1"/>
  <c r="P35" i="197" s="1"/>
  <c r="H46" i="197"/>
  <c r="H42" i="197"/>
  <c r="I42" i="197" s="1"/>
  <c r="P42" i="197" s="1"/>
  <c r="H39" i="197"/>
  <c r="I39" i="197" s="1"/>
  <c r="P39" i="197" s="1"/>
  <c r="H20" i="197"/>
  <c r="I20" i="197" s="1"/>
  <c r="P20" i="197" s="1"/>
  <c r="H32" i="197"/>
  <c r="I32" i="197" s="1"/>
  <c r="P32" i="197" s="1"/>
  <c r="H12" i="197"/>
  <c r="I12" i="197" s="1"/>
  <c r="P12" i="197" s="1"/>
  <c r="H24" i="197"/>
  <c r="I24" i="197" s="1"/>
  <c r="P24" i="197" s="1"/>
  <c r="H31" i="197"/>
  <c r="I31" i="197" s="1"/>
  <c r="P31" i="197" s="1"/>
  <c r="H10" i="197"/>
  <c r="I10" i="197" s="1"/>
  <c r="P10" i="197" s="1"/>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I9" i="197" s="1"/>
  <c r="P9" i="197" s="1"/>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C151" i="179"/>
  <c r="D151" i="179" s="1"/>
  <c r="F150" i="179"/>
  <c r="G151" i="179"/>
  <c r="J108" i="183" l="1"/>
  <c r="J64" i="183" l="1"/>
  <c r="J17" i="183"/>
  <c r="J18" i="183"/>
  <c r="J16" i="183"/>
  <c r="I63" i="183"/>
  <c r="I62" i="183"/>
  <c r="I16" i="183"/>
  <c r="K16" i="183" s="1"/>
  <c r="K9" i="182" s="1"/>
  <c r="L9" i="182" s="1"/>
  <c r="V9" i="182" s="1"/>
  <c r="J62" i="183"/>
  <c r="I17" i="183"/>
  <c r="J19" i="183"/>
  <c r="J63" i="183"/>
  <c r="I65" i="183"/>
  <c r="J65" i="183"/>
  <c r="I64" i="183"/>
  <c r="I19" i="183"/>
  <c r="K19" i="183" s="1"/>
  <c r="K12" i="182" s="1"/>
  <c r="I18"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I89" i="183"/>
  <c r="K89" i="183" s="1"/>
  <c r="I90" i="183"/>
  <c r="I66" i="183"/>
  <c r="K66" i="183" s="1"/>
  <c r="J49" i="183"/>
  <c r="I87" i="183"/>
  <c r="I72" i="183"/>
  <c r="I77" i="183"/>
  <c r="I79" i="183"/>
  <c r="K79" i="183" s="1"/>
  <c r="I39" i="183"/>
  <c r="J70" i="183"/>
  <c r="I85" i="183"/>
  <c r="J88" i="183"/>
  <c r="I83" i="183"/>
  <c r="I47" i="183"/>
  <c r="I26" i="183"/>
  <c r="J72" i="183"/>
  <c r="I70" i="183"/>
  <c r="J39" i="183"/>
  <c r="I37" i="183"/>
  <c r="I73" i="183"/>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J21" i="183"/>
  <c r="I29" i="183"/>
  <c r="I49" i="183"/>
  <c r="K49" i="183" s="1"/>
  <c r="J30" i="183"/>
  <c r="I86" i="183"/>
  <c r="I42" i="183"/>
  <c r="J69" i="183"/>
  <c r="J41" i="183"/>
  <c r="I74" i="183"/>
  <c r="I44" i="183"/>
  <c r="J32" i="183"/>
  <c r="I28" i="183"/>
  <c r="J74" i="183"/>
  <c r="I40" i="183"/>
  <c r="J42" i="183"/>
  <c r="J84" i="183"/>
  <c r="J44" i="183"/>
  <c r="J78" i="183"/>
  <c r="I76" i="183"/>
  <c r="J28" i="183"/>
  <c r="J108" i="179"/>
  <c r="K18" i="183" l="1"/>
  <c r="K11" i="182" s="1"/>
  <c r="L11" i="182" s="1"/>
  <c r="V11" i="182" s="1"/>
  <c r="K64" i="183"/>
  <c r="Q11" i="182" s="1"/>
  <c r="K17" i="183"/>
  <c r="K10" i="182" s="1"/>
  <c r="L10" i="182" s="1"/>
  <c r="V10" i="182" s="1"/>
  <c r="K90" i="183"/>
  <c r="K24" i="183"/>
  <c r="K34" i="183"/>
  <c r="K65" i="183"/>
  <c r="Q12" i="182" s="1"/>
  <c r="K62" i="183"/>
  <c r="Q9" i="182" s="1"/>
  <c r="R9" i="182" s="1"/>
  <c r="K63" i="183"/>
  <c r="Q10" i="182" s="1"/>
  <c r="I63" i="179"/>
  <c r="J19" i="179"/>
  <c r="I18" i="179"/>
  <c r="J18" i="179"/>
  <c r="I64" i="179"/>
  <c r="J16" i="179"/>
  <c r="J62" i="179"/>
  <c r="I62" i="179"/>
  <c r="J64" i="179"/>
  <c r="J17" i="179"/>
  <c r="J63" i="179"/>
  <c r="I19" i="179"/>
  <c r="I17" i="179"/>
  <c r="I65" i="179"/>
  <c r="J65" i="179"/>
  <c r="I16" i="179"/>
  <c r="K73" i="183"/>
  <c r="K75" i="183"/>
  <c r="K40" i="183"/>
  <c r="K31" i="183"/>
  <c r="K29" i="183"/>
  <c r="K70" i="183"/>
  <c r="K43" i="183"/>
  <c r="K28" i="183"/>
  <c r="K80" i="183"/>
  <c r="K25" i="183"/>
  <c r="K86" i="183"/>
  <c r="K72" i="183"/>
  <c r="Q19" i="182" s="1"/>
  <c r="R19" i="182" s="1"/>
  <c r="W19" i="182" s="1"/>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Q16" i="182" s="1"/>
  <c r="R16" i="182" s="1"/>
  <c r="K95" i="183"/>
  <c r="K77" i="183"/>
  <c r="Q24" i="182" s="1"/>
  <c r="R24" i="182" s="1"/>
  <c r="K67" i="183"/>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K73" i="179" s="1"/>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I80" i="179"/>
  <c r="I91" i="179"/>
  <c r="I43" i="179"/>
  <c r="I38" i="179"/>
  <c r="I79" i="179"/>
  <c r="I77" i="179"/>
  <c r="I89" i="179"/>
  <c r="J42" i="179"/>
  <c r="I94" i="179"/>
  <c r="J90" i="179"/>
  <c r="J30" i="179"/>
  <c r="J27" i="179"/>
  <c r="I75" i="179"/>
  <c r="J33" i="179"/>
  <c r="J94" i="179"/>
  <c r="I47" i="179"/>
  <c r="J71" i="179"/>
  <c r="J87" i="179"/>
  <c r="J69" i="179"/>
  <c r="I68" i="179"/>
  <c r="J48" i="179"/>
  <c r="K48" i="179" s="1"/>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38" i="179" l="1"/>
  <c r="K19" i="179"/>
  <c r="K12" i="170" s="1"/>
  <c r="L12" i="170" s="1"/>
  <c r="V12" i="170" s="1"/>
  <c r="K62" i="179"/>
  <c r="Q9" i="170" s="1"/>
  <c r="R9" i="170" s="1"/>
  <c r="W9" i="170" s="1"/>
  <c r="K64" i="179"/>
  <c r="Q11" i="170" s="1"/>
  <c r="K18" i="179"/>
  <c r="K11" i="170" s="1"/>
  <c r="K63" i="179"/>
  <c r="Q10" i="170" s="1"/>
  <c r="K16" i="179"/>
  <c r="K9" i="170" s="1"/>
  <c r="L9" i="170" s="1"/>
  <c r="V9" i="170" s="1"/>
  <c r="W9" i="182"/>
  <c r="S9" i="182"/>
  <c r="K65" i="179"/>
  <c r="Q12" i="170" s="1"/>
  <c r="K17" i="179"/>
  <c r="K10" i="170" s="1"/>
  <c r="L10" i="170" s="1"/>
  <c r="V10" i="170" s="1"/>
  <c r="K37" i="179"/>
  <c r="K66" i="179"/>
  <c r="K90" i="179"/>
  <c r="K88" i="179"/>
  <c r="K81" i="179"/>
  <c r="K75" i="179"/>
  <c r="K72" i="179"/>
  <c r="K85" i="179"/>
  <c r="K70" i="179"/>
  <c r="Q17" i="170" s="1"/>
  <c r="R17" i="170" s="1"/>
  <c r="K93" i="179"/>
  <c r="K89" i="179"/>
  <c r="K27" i="179"/>
  <c r="K36" i="179"/>
  <c r="K91" i="179"/>
  <c r="K80" i="179"/>
  <c r="K76" i="179"/>
  <c r="K49" i="179"/>
  <c r="K41" i="179"/>
  <c r="K74" i="179"/>
  <c r="K20" i="179"/>
  <c r="K28" i="179"/>
  <c r="K86" i="179"/>
  <c r="Q33" i="170" s="1"/>
  <c r="K83" i="179"/>
  <c r="K35" i="179"/>
  <c r="K25" i="179"/>
  <c r="K67" i="179"/>
  <c r="Q14" i="170" s="1"/>
  <c r="K94" i="179"/>
  <c r="K31" i="179"/>
  <c r="K30" i="179"/>
  <c r="K33" i="179"/>
  <c r="K87" i="179"/>
  <c r="K77" i="179"/>
  <c r="K21" i="179"/>
  <c r="K47" i="179"/>
  <c r="K82" i="179"/>
  <c r="K79" i="179"/>
  <c r="K29" i="179"/>
  <c r="K68" i="179"/>
  <c r="Q15" i="170" s="1"/>
  <c r="R15" i="170" s="1"/>
  <c r="K78" i="179"/>
  <c r="K71" i="179"/>
  <c r="Q18" i="170" s="1"/>
  <c r="R18" i="170" s="1"/>
  <c r="K32" i="179"/>
  <c r="K23" i="179"/>
  <c r="K43" i="179"/>
  <c r="K40" i="179"/>
  <c r="K84" i="179"/>
  <c r="K24" i="179"/>
  <c r="K39" i="179"/>
  <c r="K34" i="179"/>
  <c r="K46" i="179"/>
  <c r="K22" i="179"/>
  <c r="K44" i="179"/>
  <c r="K92" i="179"/>
  <c r="K95" i="179"/>
  <c r="K42" i="179"/>
  <c r="K45" i="179"/>
  <c r="K26" i="179"/>
  <c r="K69" i="179"/>
  <c r="Q16" i="170" s="1"/>
  <c r="R16" i="170" s="1"/>
  <c r="W16" i="182"/>
  <c r="W23" i="182"/>
  <c r="W24" i="182"/>
  <c r="W17" i="182"/>
  <c r="W18" i="182"/>
  <c r="W20" i="182"/>
  <c r="Q13" i="170"/>
  <c r="AM132" i="213"/>
  <c r="AN132" i="213" s="1"/>
  <c r="AO132" i="213" s="1"/>
  <c r="AP132" i="213" s="1"/>
  <c r="AQ132" i="213" s="1"/>
  <c r="AR132" i="213" s="1"/>
  <c r="J7" i="78" l="1"/>
  <c r="X9" i="182"/>
  <c r="T9" i="182"/>
  <c r="S9" i="170"/>
  <c r="W15" i="170"/>
  <c r="W18" i="170"/>
  <c r="W16" i="170"/>
  <c r="W17" i="170"/>
  <c r="G9" i="187"/>
  <c r="H9" i="187" s="1"/>
  <c r="Y9" i="182" l="1"/>
  <c r="K7" i="78"/>
  <c r="X9" i="170"/>
  <c r="H7" i="78"/>
  <c r="T9" i="170"/>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I7" i="78" l="1"/>
  <c r="Y9" i="170"/>
  <c r="C216" i="174"/>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258" i="174" l="1"/>
  <c r="H273" i="174"/>
  <c r="H164" i="174"/>
  <c r="H179" i="174"/>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H177" i="174" s="1"/>
  <c r="F235" i="174"/>
  <c r="G235" i="174"/>
  <c r="H235" i="174" s="1"/>
  <c r="F155" i="174"/>
  <c r="G155" i="174"/>
  <c r="F270" i="174"/>
  <c r="G270" i="174"/>
  <c r="F266" i="174"/>
  <c r="G266" i="174"/>
  <c r="H266" i="174" s="1"/>
  <c r="F181" i="174"/>
  <c r="G181" i="174"/>
  <c r="H181" i="174" s="1"/>
  <c r="F224" i="174"/>
  <c r="G224" i="174"/>
  <c r="F208" i="174"/>
  <c r="G208" i="174"/>
  <c r="F172" i="174"/>
  <c r="G172" i="174"/>
  <c r="H172" i="174" s="1"/>
  <c r="F253" i="174"/>
  <c r="G253" i="174"/>
  <c r="F168" i="174"/>
  <c r="G168" i="174"/>
  <c r="G285" i="174"/>
  <c r="F285" i="174"/>
  <c r="F193" i="174"/>
  <c r="G193" i="174"/>
  <c r="F249" i="174"/>
  <c r="G249" i="174"/>
  <c r="G238" i="174"/>
  <c r="F238" i="174"/>
  <c r="F167" i="174"/>
  <c r="G167" i="174"/>
  <c r="F215" i="174"/>
  <c r="G215" i="174"/>
  <c r="H215" i="174" s="1"/>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F192" i="174"/>
  <c r="G192" i="174"/>
  <c r="F250" i="174"/>
  <c r="G250" i="174"/>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H175" i="174" s="1"/>
  <c r="F252" i="174"/>
  <c r="G252" i="174"/>
  <c r="F207" i="174"/>
  <c r="G207" i="174"/>
  <c r="F171" i="174"/>
  <c r="G171" i="174"/>
  <c r="F217" i="174"/>
  <c r="G217" i="174"/>
  <c r="H217" i="174" s="1"/>
  <c r="F272" i="174"/>
  <c r="G272" i="174"/>
  <c r="H272" i="174" s="1"/>
  <c r="F255" i="174"/>
  <c r="G255" i="174"/>
  <c r="H255" i="174" s="1"/>
  <c r="F237" i="174"/>
  <c r="G237" i="174"/>
  <c r="F156" i="174"/>
  <c r="G156" i="174"/>
  <c r="H156" i="174" s="1"/>
  <c r="F206" i="174"/>
  <c r="G206" i="174"/>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F254" i="174"/>
  <c r="G254" i="174"/>
  <c r="F222" i="174"/>
  <c r="G222" i="174"/>
  <c r="G236" i="174"/>
  <c r="F236" i="174"/>
  <c r="F205" i="174"/>
  <c r="G205" i="174"/>
  <c r="H205" i="174" s="1"/>
  <c r="F160" i="174"/>
  <c r="G160" i="174"/>
  <c r="H160" i="174" s="1"/>
  <c r="F214" i="174"/>
  <c r="G214" i="174"/>
  <c r="F271" i="174"/>
  <c r="G271" i="174"/>
  <c r="H271" i="174" s="1"/>
  <c r="F264" i="174"/>
  <c r="G264" i="174"/>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G12" i="187"/>
  <c r="H12" i="187" s="1"/>
  <c r="G7" i="187"/>
  <c r="G8" i="187"/>
  <c r="H8" i="187" s="1"/>
  <c r="G10" i="187"/>
  <c r="H10" i="187" s="1"/>
  <c r="G11" i="187"/>
  <c r="H11" i="187" s="1"/>
  <c r="G6" i="187"/>
  <c r="H6" i="187" s="1"/>
  <c r="M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A18" i="184"/>
  <c r="H250" i="174" l="1"/>
  <c r="H224" i="174"/>
  <c r="H46" i="204"/>
  <c r="H11" i="204"/>
  <c r="I11" i="204" s="1"/>
  <c r="H16" i="204"/>
  <c r="I16" i="204" s="1"/>
  <c r="H29" i="204"/>
  <c r="I29" i="204" s="1"/>
  <c r="H38" i="204"/>
  <c r="H19" i="204"/>
  <c r="I19" i="204" s="1"/>
  <c r="H8" i="204"/>
  <c r="H17" i="204"/>
  <c r="I17" i="204" s="1"/>
  <c r="H32" i="204"/>
  <c r="I32" i="204" s="1"/>
  <c r="H30" i="204"/>
  <c r="I30" i="204" s="1"/>
  <c r="H42" i="204"/>
  <c r="H21" i="204"/>
  <c r="I21" i="204" s="1"/>
  <c r="H35" i="204"/>
  <c r="H22" i="204"/>
  <c r="I22" i="204" s="1"/>
  <c r="H34" i="204"/>
  <c r="I34" i="204" s="1"/>
  <c r="H47" i="204"/>
  <c r="H24" i="204"/>
  <c r="I24" i="204" s="1"/>
  <c r="H14" i="204"/>
  <c r="I14" i="204" s="1"/>
  <c r="H26" i="204"/>
  <c r="I26" i="204" s="1"/>
  <c r="H39" i="204"/>
  <c r="H33" i="204"/>
  <c r="I33" i="204" s="1"/>
  <c r="H13" i="204"/>
  <c r="I13" i="204" s="1"/>
  <c r="H10" i="204"/>
  <c r="I10" i="204" s="1"/>
  <c r="H31" i="204"/>
  <c r="I31" i="204" s="1"/>
  <c r="H40" i="204"/>
  <c r="H44" i="204"/>
  <c r="H18" i="204"/>
  <c r="I18" i="204" s="1"/>
  <c r="H23" i="204"/>
  <c r="I23" i="204" s="1"/>
  <c r="H27" i="204"/>
  <c r="I27" i="204" s="1"/>
  <c r="H36" i="204"/>
  <c r="H41" i="204"/>
  <c r="H15" i="204"/>
  <c r="I15" i="204" s="1"/>
  <c r="H28" i="204"/>
  <c r="I28" i="204" s="1"/>
  <c r="H25" i="204"/>
  <c r="I25" i="204" s="1"/>
  <c r="H20" i="204"/>
  <c r="I20" i="204" s="1"/>
  <c r="H12" i="204"/>
  <c r="I12" i="204" s="1"/>
  <c r="H9" i="204"/>
  <c r="I9" i="204" s="1"/>
  <c r="H45" i="204"/>
  <c r="H37" i="204"/>
  <c r="H43" i="204"/>
  <c r="H264" i="174"/>
  <c r="H261" i="174"/>
  <c r="H206" i="174"/>
  <c r="H252" i="174"/>
  <c r="H176" i="174"/>
  <c r="H253" i="174"/>
  <c r="H223" i="174"/>
  <c r="H251"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M18" i="185" s="1"/>
  <c r="H25" i="185"/>
  <c r="M25" i="185" s="1"/>
  <c r="H22" i="185"/>
  <c r="M22" i="185" s="1"/>
  <c r="H45" i="185"/>
  <c r="M45" i="185" s="1"/>
  <c r="H33" i="185"/>
  <c r="M33" i="185" s="1"/>
  <c r="H46" i="185"/>
  <c r="M46" i="185" s="1"/>
  <c r="H13" i="185"/>
  <c r="M13" i="185" s="1"/>
  <c r="H41" i="185"/>
  <c r="M41" i="185" s="1"/>
  <c r="H47" i="185"/>
  <c r="M47" i="185" s="1"/>
  <c r="H11" i="185"/>
  <c r="H31" i="185"/>
  <c r="M31" i="185" s="1"/>
  <c r="H43" i="185"/>
  <c r="M43" i="185" s="1"/>
  <c r="H27" i="185"/>
  <c r="M27" i="185" s="1"/>
  <c r="H19" i="185"/>
  <c r="M19" i="185" s="1"/>
  <c r="H30" i="185"/>
  <c r="M30" i="185" s="1"/>
  <c r="H23" i="185"/>
  <c r="M23" i="185" s="1"/>
  <c r="H44" i="185"/>
  <c r="M44" i="185" s="1"/>
  <c r="H36" i="185"/>
  <c r="M36" i="185" s="1"/>
  <c r="H38" i="185"/>
  <c r="M38" i="185" s="1"/>
  <c r="H39" i="185"/>
  <c r="M39" i="185" s="1"/>
  <c r="H8" i="185"/>
  <c r="H15" i="185"/>
  <c r="M15" i="185" s="1"/>
  <c r="H34" i="185"/>
  <c r="M34" i="185" s="1"/>
  <c r="H9" i="185"/>
  <c r="H16" i="185"/>
  <c r="M16" i="185" s="1"/>
  <c r="H26" i="185"/>
  <c r="M26" i="185" s="1"/>
  <c r="H14" i="185"/>
  <c r="M14" i="185" s="1"/>
  <c r="H24" i="185"/>
  <c r="M24" i="185" s="1"/>
  <c r="H35" i="185"/>
  <c r="M35" i="185" s="1"/>
  <c r="H37" i="185"/>
  <c r="M37" i="185" s="1"/>
  <c r="H20" i="185"/>
  <c r="M20" i="185" s="1"/>
  <c r="H28" i="185"/>
  <c r="M28" i="185" s="1"/>
  <c r="H10" i="185"/>
  <c r="H29" i="185"/>
  <c r="M29" i="185" s="1"/>
  <c r="H17" i="185"/>
  <c r="M17" i="185" s="1"/>
  <c r="S8" i="185"/>
  <c r="H42" i="185"/>
  <c r="M42" i="185" s="1"/>
  <c r="H40" i="185"/>
  <c r="M40" i="185" s="1"/>
  <c r="H32" i="185"/>
  <c r="M32" i="185" s="1"/>
  <c r="H21" i="185"/>
  <c r="M21" i="185" s="1"/>
  <c r="G45" i="185"/>
  <c r="L45" i="185" s="1"/>
  <c r="G11" i="185"/>
  <c r="G18" i="185"/>
  <c r="L18" i="185" s="1"/>
  <c r="G35" i="185"/>
  <c r="L35" i="185" s="1"/>
  <c r="G19" i="185"/>
  <c r="L19" i="185" s="1"/>
  <c r="G13" i="185"/>
  <c r="L13" i="185" s="1"/>
  <c r="G14" i="185"/>
  <c r="L14" i="185" s="1"/>
  <c r="G29" i="185"/>
  <c r="L29" i="185" s="1"/>
  <c r="G40" i="185"/>
  <c r="L40" i="185" s="1"/>
  <c r="G43" i="185"/>
  <c r="L43" i="185" s="1"/>
  <c r="G12" i="185"/>
  <c r="G16" i="185"/>
  <c r="L16" i="185" s="1"/>
  <c r="G27" i="185"/>
  <c r="L27" i="185" s="1"/>
  <c r="G9" i="185"/>
  <c r="G32" i="185"/>
  <c r="L32" i="185" s="1"/>
  <c r="Q32" i="185" s="1"/>
  <c r="AG32" i="185" s="1"/>
  <c r="G8" i="185"/>
  <c r="G46" i="185"/>
  <c r="L46" i="185" s="1"/>
  <c r="R8" i="185"/>
  <c r="G36" i="185"/>
  <c r="L36" i="185" s="1"/>
  <c r="G20" i="185"/>
  <c r="L20" i="185" s="1"/>
  <c r="G26" i="185"/>
  <c r="L26" i="185" s="1"/>
  <c r="G10" i="185"/>
  <c r="G37" i="185"/>
  <c r="L37" i="185" s="1"/>
  <c r="G39" i="185"/>
  <c r="L39" i="185" s="1"/>
  <c r="Q39" i="185" s="1"/>
  <c r="AG39" i="185" s="1"/>
  <c r="G25" i="185"/>
  <c r="L25" i="185" s="1"/>
  <c r="Q25" i="185" s="1"/>
  <c r="AG25" i="185" s="1"/>
  <c r="G17" i="185"/>
  <c r="L17" i="185" s="1"/>
  <c r="G31" i="185"/>
  <c r="L31" i="185" s="1"/>
  <c r="G34" i="185"/>
  <c r="L34" i="185" s="1"/>
  <c r="G23" i="185"/>
  <c r="L23" i="185" s="1"/>
  <c r="G22" i="185"/>
  <c r="L22" i="185" s="1"/>
  <c r="Q22" i="185" s="1"/>
  <c r="AG22" i="185" s="1"/>
  <c r="G15" i="185"/>
  <c r="L15" i="185" s="1"/>
  <c r="Q15" i="185" s="1"/>
  <c r="AG15" i="185" s="1"/>
  <c r="G47" i="185"/>
  <c r="L47" i="185" s="1"/>
  <c r="G28" i="185"/>
  <c r="L28" i="185" s="1"/>
  <c r="G33" i="185"/>
  <c r="L33" i="185" s="1"/>
  <c r="G38" i="185"/>
  <c r="L38" i="185" s="1"/>
  <c r="G30" i="185"/>
  <c r="L30" i="185" s="1"/>
  <c r="G24" i="185"/>
  <c r="L24" i="185" s="1"/>
  <c r="Q24" i="185" s="1"/>
  <c r="AG24" i="185" s="1"/>
  <c r="G44" i="185"/>
  <c r="L44" i="185" s="1"/>
  <c r="G21" i="185"/>
  <c r="L21" i="185" s="1"/>
  <c r="G41" i="185"/>
  <c r="L41" i="185" s="1"/>
  <c r="Q41" i="185" s="1"/>
  <c r="G42" i="185"/>
  <c r="L42" i="185" s="1"/>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L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L9" i="202" s="1"/>
  <c r="J20" i="202"/>
  <c r="K20" i="202" s="1"/>
  <c r="L20" i="202" s="1"/>
  <c r="J32" i="202"/>
  <c r="K32" i="202" s="1"/>
  <c r="L32" i="202" s="1"/>
  <c r="J38" i="202"/>
  <c r="K38" i="202" s="1"/>
  <c r="L38" i="202" s="1"/>
  <c r="J45" i="202"/>
  <c r="K45" i="202" s="1"/>
  <c r="J12" i="202"/>
  <c r="K12" i="202" s="1"/>
  <c r="L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L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I10" i="202" s="1"/>
  <c r="P10" i="202" s="1"/>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I12" i="202" s="1"/>
  <c r="P12" i="202" s="1"/>
  <c r="H42" i="202"/>
  <c r="I42" i="202" s="1"/>
  <c r="P42" i="202" s="1"/>
  <c r="H29" i="202"/>
  <c r="I29" i="202" s="1"/>
  <c r="P29" i="202" s="1"/>
  <c r="H11" i="202"/>
  <c r="I11" i="202" s="1"/>
  <c r="P11" i="202" s="1"/>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I9" i="202" s="1"/>
  <c r="P9" i="202" s="1"/>
  <c r="H44" i="202"/>
  <c r="H28" i="202"/>
  <c r="I28" i="202" s="1"/>
  <c r="P28" i="202" s="1"/>
  <c r="H17" i="202"/>
  <c r="I17" i="202" s="1"/>
  <c r="P17" i="202" s="1"/>
  <c r="H24" i="202"/>
  <c r="I24" i="202" s="1"/>
  <c r="P24" i="202" s="1"/>
  <c r="H39" i="202"/>
  <c r="I39" i="202" s="1"/>
  <c r="P39" i="202" s="1"/>
  <c r="H36" i="202"/>
  <c r="I36" i="202" s="1"/>
  <c r="P36" i="202" s="1"/>
  <c r="J11" i="200"/>
  <c r="K11" i="200" s="1"/>
  <c r="L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L9" i="200" s="1"/>
  <c r="J39" i="200"/>
  <c r="K39" i="200" s="1"/>
  <c r="L39" i="200" s="1"/>
  <c r="J42" i="200"/>
  <c r="K42" i="200" s="1"/>
  <c r="L42" i="200" s="1"/>
  <c r="J15" i="200"/>
  <c r="K15" i="200" s="1"/>
  <c r="L15" i="200" s="1"/>
  <c r="J18" i="200"/>
  <c r="K18" i="200" s="1"/>
  <c r="L18" i="200" s="1"/>
  <c r="J12" i="200"/>
  <c r="K12" i="200" s="1"/>
  <c r="L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L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I10" i="200" s="1"/>
  <c r="P10" i="200" s="1"/>
  <c r="H34" i="200"/>
  <c r="I34" i="200" s="1"/>
  <c r="P34" i="200" s="1"/>
  <c r="H32" i="200"/>
  <c r="I32" i="200" s="1"/>
  <c r="P32" i="200" s="1"/>
  <c r="H36" i="200"/>
  <c r="I36" i="200" s="1"/>
  <c r="P36" i="200" s="1"/>
  <c r="H21" i="200"/>
  <c r="I21" i="200" s="1"/>
  <c r="P21" i="200" s="1"/>
  <c r="H30" i="200"/>
  <c r="I30" i="200" s="1"/>
  <c r="P30" i="200" s="1"/>
  <c r="H9" i="200"/>
  <c r="I9" i="200" s="1"/>
  <c r="P9" i="200" s="1"/>
  <c r="H43" i="200"/>
  <c r="H44" i="200"/>
  <c r="H35" i="200"/>
  <c r="I35" i="200" s="1"/>
  <c r="P35" i="200" s="1"/>
  <c r="H38" i="200"/>
  <c r="I38" i="200" s="1"/>
  <c r="P38" i="200" s="1"/>
  <c r="H47" i="200"/>
  <c r="H19" i="200"/>
  <c r="I19" i="200" s="1"/>
  <c r="P19" i="200" s="1"/>
  <c r="H15" i="200"/>
  <c r="I15" i="200" s="1"/>
  <c r="P15" i="200" s="1"/>
  <c r="H26" i="200"/>
  <c r="I26" i="200" s="1"/>
  <c r="P26" i="200" s="1"/>
  <c r="H45" i="200"/>
  <c r="H12" i="200"/>
  <c r="I12" i="200" s="1"/>
  <c r="P12" i="200" s="1"/>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I11" i="200" s="1"/>
  <c r="P11" i="200" s="1"/>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L12" i="197" s="1"/>
  <c r="J38" i="197"/>
  <c r="K38" i="197" s="1"/>
  <c r="L38" i="197" s="1"/>
  <c r="J42" i="197"/>
  <c r="K42" i="197" s="1"/>
  <c r="L42" i="197" s="1"/>
  <c r="J27" i="197"/>
  <c r="K27" i="197" s="1"/>
  <c r="L27" i="197" s="1"/>
  <c r="J9" i="197"/>
  <c r="K9" i="197" s="1"/>
  <c r="L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L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L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9" i="186"/>
  <c r="P39" i="186" s="1"/>
  <c r="G10" i="186"/>
  <c r="K10" i="186" s="1"/>
  <c r="T10"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G31" i="186"/>
  <c r="K31" i="186" s="1"/>
  <c r="T31" i="186" s="1"/>
  <c r="G33" i="186"/>
  <c r="K33" i="186" s="1"/>
  <c r="T33" i="186" s="1"/>
  <c r="G39" i="186"/>
  <c r="K39" i="186" s="1"/>
  <c r="T39" i="186" s="1"/>
  <c r="G24" i="186"/>
  <c r="K24" i="186" s="1"/>
  <c r="T24" i="186" s="1"/>
  <c r="L8" i="186"/>
  <c r="G32" i="186"/>
  <c r="K32" i="186" s="1"/>
  <c r="T32"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C19" i="184"/>
  <c r="D19" i="184" s="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E60" i="183" s="1"/>
  <c r="A14" i="183"/>
  <c r="F7" i="162"/>
  <c r="O7" i="99"/>
  <c r="F7" i="185"/>
  <c r="R7" i="170"/>
  <c r="A14" i="179"/>
  <c r="A60" i="179"/>
  <c r="E60" i="179" s="1"/>
  <c r="R7" i="182"/>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L30" i="186" l="1"/>
  <c r="P30" i="186" s="1"/>
  <c r="L19" i="186"/>
  <c r="P19" i="186" s="1"/>
  <c r="L18" i="186"/>
  <c r="P18" i="186" s="1"/>
  <c r="Q18" i="186" s="1"/>
  <c r="N16" i="78" s="1"/>
  <c r="L16" i="186"/>
  <c r="P16" i="186" s="1"/>
  <c r="U16" i="186" s="1"/>
  <c r="L17" i="186"/>
  <c r="P17" i="186" s="1"/>
  <c r="L35" i="186"/>
  <c r="P35" i="186" s="1"/>
  <c r="Q35" i="186" s="1"/>
  <c r="N33" i="78" s="1"/>
  <c r="L32" i="186"/>
  <c r="P32" i="186" s="1"/>
  <c r="U32" i="186" s="1"/>
  <c r="L26" i="186"/>
  <c r="P26" i="186" s="1"/>
  <c r="L31" i="186"/>
  <c r="P31" i="186" s="1"/>
  <c r="U31" i="186" s="1"/>
  <c r="L27" i="186"/>
  <c r="P27" i="186" s="1"/>
  <c r="U27" i="186" s="1"/>
  <c r="L25" i="186"/>
  <c r="P25" i="186" s="1"/>
  <c r="U25" i="186" s="1"/>
  <c r="L33" i="186"/>
  <c r="P33" i="186" s="1"/>
  <c r="Q33" i="186" s="1"/>
  <c r="N31" i="78" s="1"/>
  <c r="L34" i="186"/>
  <c r="P34" i="186" s="1"/>
  <c r="Q34" i="186" s="1"/>
  <c r="N32" i="78" s="1"/>
  <c r="L28" i="186"/>
  <c r="P28" i="186" s="1"/>
  <c r="U28" i="186" s="1"/>
  <c r="L23" i="186"/>
  <c r="P23" i="186" s="1"/>
  <c r="Q23" i="186" s="1"/>
  <c r="N21" i="78" s="1"/>
  <c r="L21" i="186"/>
  <c r="P21" i="186" s="1"/>
  <c r="U21" i="186" s="1"/>
  <c r="L22" i="186"/>
  <c r="P22" i="186" s="1"/>
  <c r="U22" i="186" s="1"/>
  <c r="L24" i="186"/>
  <c r="P24" i="186" s="1"/>
  <c r="Q24" i="186" s="1"/>
  <c r="N22" i="78" s="1"/>
  <c r="L20" i="186"/>
  <c r="P20" i="186" s="1"/>
  <c r="Q20" i="186" s="1"/>
  <c r="N18" i="78" s="1"/>
  <c r="L29" i="186"/>
  <c r="P29" i="186" s="1"/>
  <c r="U29" i="186" s="1"/>
  <c r="L15" i="186"/>
  <c r="P15" i="186" s="1"/>
  <c r="U15" i="186" s="1"/>
  <c r="R15" i="204"/>
  <c r="O15" i="204"/>
  <c r="R34" i="204"/>
  <c r="O34" i="204"/>
  <c r="Q11" i="197"/>
  <c r="M11" i="197"/>
  <c r="R22" i="204"/>
  <c r="O22" i="204"/>
  <c r="Q9" i="202"/>
  <c r="M9" i="202"/>
  <c r="R27" i="204"/>
  <c r="O27" i="204"/>
  <c r="Q9" i="200"/>
  <c r="M9" i="200"/>
  <c r="R23" i="204"/>
  <c r="O23" i="204"/>
  <c r="R21" i="204"/>
  <c r="O21" i="204"/>
  <c r="Q10" i="200"/>
  <c r="M10" i="200"/>
  <c r="R18" i="204"/>
  <c r="O18" i="204"/>
  <c r="N7" i="175"/>
  <c r="O7" i="175" s="1"/>
  <c r="J7" i="175"/>
  <c r="O48" i="175"/>
  <c r="M9" i="197"/>
  <c r="Q9" i="197"/>
  <c r="Q11" i="200"/>
  <c r="M11" i="200"/>
  <c r="R30" i="204"/>
  <c r="O30" i="204"/>
  <c r="Q10" i="202"/>
  <c r="M10" i="202"/>
  <c r="R32" i="204"/>
  <c r="O32" i="204"/>
  <c r="M7" i="212"/>
  <c r="T7" i="212"/>
  <c r="W7" i="212"/>
  <c r="U7" i="212"/>
  <c r="R31" i="204"/>
  <c r="O31" i="204"/>
  <c r="R17" i="204"/>
  <c r="O17" i="204"/>
  <c r="Q21" i="185"/>
  <c r="AG21" i="185" s="1"/>
  <c r="R10" i="204"/>
  <c r="O10" i="204"/>
  <c r="Q12" i="197"/>
  <c r="M12" i="197"/>
  <c r="R13" i="204"/>
  <c r="O13" i="204"/>
  <c r="R19" i="204"/>
  <c r="O19" i="204"/>
  <c r="Q10" i="197"/>
  <c r="M10" i="197"/>
  <c r="O9" i="204"/>
  <c r="R9" i="204"/>
  <c r="R33" i="204"/>
  <c r="O33" i="204"/>
  <c r="O4" i="1"/>
  <c r="O45" i="1" s="1"/>
  <c r="I4" i="1"/>
  <c r="L4" i="1"/>
  <c r="L45" i="1" s="1"/>
  <c r="L46" i="1" s="1"/>
  <c r="R12" i="204"/>
  <c r="O12" i="204"/>
  <c r="R29" i="204"/>
  <c r="O29" i="204"/>
  <c r="Q11" i="202"/>
  <c r="M11" i="202"/>
  <c r="R20" i="204"/>
  <c r="O20" i="204"/>
  <c r="R26" i="204"/>
  <c r="O26" i="204"/>
  <c r="R16" i="204"/>
  <c r="O16" i="204"/>
  <c r="M12" i="202"/>
  <c r="Q12" i="202"/>
  <c r="R25" i="204"/>
  <c r="O25" i="204"/>
  <c r="R14" i="204"/>
  <c r="O14" i="204"/>
  <c r="R11" i="204"/>
  <c r="O11" i="204"/>
  <c r="M12" i="200"/>
  <c r="Q12" i="200"/>
  <c r="R28" i="204"/>
  <c r="O28" i="204"/>
  <c r="R24" i="204"/>
  <c r="O24" i="204"/>
  <c r="U11" i="186"/>
  <c r="Q11" i="186"/>
  <c r="W10" i="189"/>
  <c r="S10" i="189"/>
  <c r="S12" i="189"/>
  <c r="W12" i="189"/>
  <c r="U9" i="186"/>
  <c r="Q9" i="186"/>
  <c r="W11" i="189"/>
  <c r="S11" i="189"/>
  <c r="U10" i="186"/>
  <c r="Q10" i="186"/>
  <c r="U12" i="186"/>
  <c r="Q12" i="186"/>
  <c r="W9" i="189"/>
  <c r="S9" i="189"/>
  <c r="Q33" i="185"/>
  <c r="AG33" i="185" s="1"/>
  <c r="Q16" i="185"/>
  <c r="AG16" i="185" s="1"/>
  <c r="Q38" i="185"/>
  <c r="AG38" i="185" s="1"/>
  <c r="Q17" i="185"/>
  <c r="AG17" i="185" s="1"/>
  <c r="Q27" i="185"/>
  <c r="AG27" i="185" s="1"/>
  <c r="G101" i="179"/>
  <c r="J101" i="179"/>
  <c r="F101" i="179"/>
  <c r="E101" i="179"/>
  <c r="I101" i="179"/>
  <c r="K101" i="179"/>
  <c r="F14" i="179"/>
  <c r="G41" i="179" s="1" a="1"/>
  <c r="G41" i="179" s="1"/>
  <c r="I34" i="170" s="1"/>
  <c r="E14" i="179"/>
  <c r="J60" i="179"/>
  <c r="J14" i="179"/>
  <c r="I14" i="179"/>
  <c r="I60" i="179"/>
  <c r="H14" i="179"/>
  <c r="G14" i="179" a="1"/>
  <c r="G14" i="179" s="1"/>
  <c r="K55" i="179"/>
  <c r="I55" i="179"/>
  <c r="E55" i="179"/>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Q31" i="185"/>
  <c r="AG31" i="185" s="1"/>
  <c r="R320" i="174"/>
  <c r="S307" i="174"/>
  <c r="S327" i="174"/>
  <c r="R322" i="174"/>
  <c r="S323" i="174"/>
  <c r="R325" i="174"/>
  <c r="S324" i="174"/>
  <c r="U324" i="174" s="1"/>
  <c r="N36" i="212" s="1"/>
  <c r="P36" i="212" s="1"/>
  <c r="S329" i="174"/>
  <c r="U329" i="174" s="1"/>
  <c r="N41" i="212" s="1"/>
  <c r="P41" i="212" s="1"/>
  <c r="R318" i="174"/>
  <c r="T318" i="174" s="1"/>
  <c r="G30" i="212" s="1"/>
  <c r="R311" i="174"/>
  <c r="T311" i="174" s="1"/>
  <c r="G23" i="212" s="1"/>
  <c r="S304" i="174"/>
  <c r="R323" i="174"/>
  <c r="T323" i="174" s="1"/>
  <c r="G35" i="212" s="1"/>
  <c r="R314" i="174"/>
  <c r="T314" i="174" s="1"/>
  <c r="G26" i="212" s="1"/>
  <c r="S301" i="174"/>
  <c r="S328" i="174"/>
  <c r="U328" i="174" s="1"/>
  <c r="N40" i="212" s="1"/>
  <c r="P40" i="212" s="1"/>
  <c r="S311" i="174"/>
  <c r="U311" i="174" s="1"/>
  <c r="N23" i="212" s="1"/>
  <c r="P23" i="212" s="1"/>
  <c r="R328" i="174"/>
  <c r="R329" i="174"/>
  <c r="R324" i="174"/>
  <c r="S321" i="174"/>
  <c r="S302" i="174"/>
  <c r="S326" i="174"/>
  <c r="R313" i="174"/>
  <c r="R327" i="174"/>
  <c r="T327" i="174" s="1"/>
  <c r="G39" i="212" s="1"/>
  <c r="I39" i="212" s="1"/>
  <c r="S319" i="174"/>
  <c r="U319" i="174" s="1"/>
  <c r="N31" i="212" s="1"/>
  <c r="P31" i="212" s="1"/>
  <c r="S320" i="174"/>
  <c r="U320" i="174" s="1"/>
  <c r="N32" i="212" s="1"/>
  <c r="P32" i="212" s="1"/>
  <c r="S303" i="174"/>
  <c r="S325" i="174"/>
  <c r="U325" i="174" s="1"/>
  <c r="N37" i="212" s="1"/>
  <c r="P37" i="212" s="1"/>
  <c r="S312" i="174"/>
  <c r="U312" i="174" s="1"/>
  <c r="N24" i="212" s="1"/>
  <c r="P24" i="212" s="1"/>
  <c r="S322" i="174"/>
  <c r="U322" i="174" s="1"/>
  <c r="N34" i="212" s="1"/>
  <c r="P34" i="212" s="1"/>
  <c r="T34" i="212" s="1"/>
  <c r="S306" i="174"/>
  <c r="U306" i="174" s="1"/>
  <c r="N18" i="212" s="1"/>
  <c r="P18" i="212" s="1"/>
  <c r="S313" i="174"/>
  <c r="U313" i="174" s="1"/>
  <c r="N25" i="212" s="1"/>
  <c r="P25" i="212" s="1"/>
  <c r="S316" i="174"/>
  <c r="S315" i="174"/>
  <c r="R330" i="174"/>
  <c r="R302" i="174"/>
  <c r="R321" i="174"/>
  <c r="R306" i="174"/>
  <c r="S318" i="174"/>
  <c r="U318" i="174" s="1"/>
  <c r="N30" i="212" s="1"/>
  <c r="P30" i="212" s="1"/>
  <c r="R326" i="174"/>
  <c r="T326" i="174" s="1"/>
  <c r="G38" i="212" s="1"/>
  <c r="R312" i="174"/>
  <c r="T312" i="174" s="1"/>
  <c r="G24" i="212" s="1"/>
  <c r="S308" i="174"/>
  <c r="U308" i="174" s="1"/>
  <c r="N20" i="212" s="1"/>
  <c r="P20" i="212" s="1"/>
  <c r="R309" i="174"/>
  <c r="S330" i="174"/>
  <c r="U330" i="174" s="1"/>
  <c r="N42" i="212" s="1"/>
  <c r="P42" i="212" s="1"/>
  <c r="R304" i="174"/>
  <c r="T304" i="174" s="1"/>
  <c r="R316" i="174"/>
  <c r="T316" i="174" s="1"/>
  <c r="G28" i="212" s="1"/>
  <c r="S305" i="174"/>
  <c r="R308" i="174"/>
  <c r="T308" i="174" s="1"/>
  <c r="G20" i="212" s="1"/>
  <c r="S310" i="174"/>
  <c r="R307" i="174"/>
  <c r="R310" i="174"/>
  <c r="R317" i="174"/>
  <c r="R305" i="174"/>
  <c r="R301" i="174"/>
  <c r="S314" i="174"/>
  <c r="U314" i="174" s="1"/>
  <c r="N26" i="212" s="1"/>
  <c r="P26" i="212" s="1"/>
  <c r="S317" i="174"/>
  <c r="U317" i="174" s="1"/>
  <c r="N29" i="212" s="1"/>
  <c r="P29" i="212" s="1"/>
  <c r="R319" i="174"/>
  <c r="T319" i="174" s="1"/>
  <c r="G31" i="212" s="1"/>
  <c r="R303" i="174"/>
  <c r="T303" i="174" s="1"/>
  <c r="G15" i="212" s="1"/>
  <c r="R315" i="174"/>
  <c r="S309" i="174"/>
  <c r="U309" i="174" s="1"/>
  <c r="N21" i="212" s="1"/>
  <c r="P21" i="212" s="1"/>
  <c r="F300" i="174"/>
  <c r="H300" i="174" s="1"/>
  <c r="G300" i="174"/>
  <c r="I300" i="174" s="1"/>
  <c r="Q37" i="185"/>
  <c r="AG37" i="185" s="1"/>
  <c r="Q26" i="185"/>
  <c r="AG26" i="185" s="1"/>
  <c r="Q36" i="185"/>
  <c r="AG36" i="185" s="1"/>
  <c r="Q18" i="185"/>
  <c r="AG18" i="185" s="1"/>
  <c r="Q23" i="185"/>
  <c r="AG23" i="185" s="1"/>
  <c r="Q40" i="185"/>
  <c r="AG40" i="185" s="1"/>
  <c r="Q30" i="185"/>
  <c r="AG30" i="185" s="1"/>
  <c r="K7" i="159"/>
  <c r="L7" i="159"/>
  <c r="Q34" i="185"/>
  <c r="AG34" i="185" s="1"/>
  <c r="Q13" i="185"/>
  <c r="AG13" i="185" s="1"/>
  <c r="Q20" i="185"/>
  <c r="AG20" i="185" s="1"/>
  <c r="Q28" i="185"/>
  <c r="AG28"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U157" i="174" s="1"/>
  <c r="T164" i="174"/>
  <c r="T170" i="174"/>
  <c r="S172" i="174"/>
  <c r="T174" i="174"/>
  <c r="T194" i="174"/>
  <c r="T157" i="174"/>
  <c r="T172" i="174"/>
  <c r="S189" i="174"/>
  <c r="S185" i="174"/>
  <c r="S187" i="174"/>
  <c r="T189" i="174"/>
  <c r="T185" i="174"/>
  <c r="T187" i="174"/>
  <c r="S192" i="174"/>
  <c r="S177" i="174"/>
  <c r="S181" i="174"/>
  <c r="S183" i="174"/>
  <c r="T192" i="174"/>
  <c r="S156" i="174"/>
  <c r="U156" i="174" s="1"/>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U158" i="174" s="1"/>
  <c r="S178" i="174"/>
  <c r="X48" i="212"/>
  <c r="W48" i="212"/>
  <c r="G7" i="185"/>
  <c r="Q42" i="185"/>
  <c r="Q29" i="185"/>
  <c r="AG29" i="185" s="1"/>
  <c r="L48" i="200"/>
  <c r="I48" i="200"/>
  <c r="P48" i="200" s="1"/>
  <c r="AG41" i="185"/>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U304" i="174"/>
  <c r="N16" i="212" s="1"/>
  <c r="P16" i="212" s="1"/>
  <c r="T328" i="174"/>
  <c r="G40" i="212" s="1"/>
  <c r="I40" i="212" s="1"/>
  <c r="U331" i="174"/>
  <c r="N43" i="212" s="1"/>
  <c r="P43" i="212" s="1"/>
  <c r="U305" i="174"/>
  <c r="N17" i="212" s="1"/>
  <c r="P17" i="212" s="1"/>
  <c r="T320" i="174"/>
  <c r="G32" i="212" s="1"/>
  <c r="U335" i="174"/>
  <c r="N47" i="212" s="1"/>
  <c r="P47" i="212" s="1"/>
  <c r="U315" i="174"/>
  <c r="N27" i="212" s="1"/>
  <c r="P27" i="212" s="1"/>
  <c r="T325" i="174"/>
  <c r="G37" i="212" s="1"/>
  <c r="T297" i="174"/>
  <c r="G9" i="212" s="1"/>
  <c r="T302" i="174"/>
  <c r="G14" i="212" s="1"/>
  <c r="T313" i="174"/>
  <c r="G25" i="212" s="1"/>
  <c r="U316" i="174"/>
  <c r="N28" i="212" s="1"/>
  <c r="P28" i="212" s="1"/>
  <c r="T322" i="174"/>
  <c r="G34" i="212" s="1"/>
  <c r="U326" i="174"/>
  <c r="N38" i="212" s="1"/>
  <c r="P38" i="212" s="1"/>
  <c r="T299" i="174"/>
  <c r="G11" i="212" s="1"/>
  <c r="U297" i="174"/>
  <c r="N9" i="212" s="1"/>
  <c r="P9" i="212" s="1"/>
  <c r="U302" i="174"/>
  <c r="N14" i="212" s="1"/>
  <c r="P14" i="212" s="1"/>
  <c r="U296" i="174"/>
  <c r="N8" i="212" s="1"/>
  <c r="P8" i="212" s="1"/>
  <c r="U300" i="174"/>
  <c r="N12" i="212" s="1"/>
  <c r="P12" i="212" s="1"/>
  <c r="T305" i="174"/>
  <c r="T329" i="174"/>
  <c r="G41" i="212" s="1"/>
  <c r="I41" i="212" s="1"/>
  <c r="T334" i="174"/>
  <c r="G46" i="212" s="1"/>
  <c r="I46" i="212" s="1"/>
  <c r="U334" i="174"/>
  <c r="N46" i="212" s="1"/>
  <c r="P46" i="212" s="1"/>
  <c r="U307" i="174"/>
  <c r="N19" i="212" s="1"/>
  <c r="P19" i="212" s="1"/>
  <c r="T317" i="174"/>
  <c r="G29" i="212" s="1"/>
  <c r="T300" i="174"/>
  <c r="G12" i="212" s="1"/>
  <c r="U323" i="174"/>
  <c r="N35" i="212" s="1"/>
  <c r="P35" i="212" s="1"/>
  <c r="T332" i="174"/>
  <c r="G44" i="212" s="1"/>
  <c r="I44" i="212" s="1"/>
  <c r="U332" i="174"/>
  <c r="N44" i="212" s="1"/>
  <c r="P44" i="212" s="1"/>
  <c r="U333" i="174"/>
  <c r="N45" i="212" s="1"/>
  <c r="P45" i="212" s="1"/>
  <c r="T298" i="174"/>
  <c r="G10" i="212" s="1"/>
  <c r="T307" i="174"/>
  <c r="U310" i="174"/>
  <c r="N22" i="212" s="1"/>
  <c r="P22" i="212" s="1"/>
  <c r="U298" i="174"/>
  <c r="N10" i="212" s="1"/>
  <c r="P10" i="212" s="1"/>
  <c r="U303" i="174"/>
  <c r="N15" i="212" s="1"/>
  <c r="P15" i="212" s="1"/>
  <c r="T306" i="174"/>
  <c r="T309" i="174"/>
  <c r="G21" i="212" s="1"/>
  <c r="T324" i="174"/>
  <c r="G36" i="212" s="1"/>
  <c r="T330" i="174"/>
  <c r="G42" i="212" s="1"/>
  <c r="I42" i="212" s="1"/>
  <c r="T321" i="174"/>
  <c r="G33" i="212" s="1"/>
  <c r="T310" i="174"/>
  <c r="G22" i="212" s="1"/>
  <c r="T331" i="174"/>
  <c r="G43" i="212" s="1"/>
  <c r="I43" i="212" s="1"/>
  <c r="U327" i="174"/>
  <c r="N39" i="212" s="1"/>
  <c r="P39" i="212" s="1"/>
  <c r="U321" i="174"/>
  <c r="N33" i="212" s="1"/>
  <c r="P33" i="212" s="1"/>
  <c r="T33" i="212" s="1"/>
  <c r="T296" i="174"/>
  <c r="G8" i="212" s="1"/>
  <c r="T335" i="174"/>
  <c r="G47" i="212" s="1"/>
  <c r="I47" i="212" s="1"/>
  <c r="T315" i="174"/>
  <c r="G27" i="212" s="1"/>
  <c r="T333" i="174"/>
  <c r="G45" i="212" s="1"/>
  <c r="I45" i="212" s="1"/>
  <c r="P48" i="175"/>
  <c r="U48" i="175" s="1"/>
  <c r="N48" i="175"/>
  <c r="S48" i="175" s="1"/>
  <c r="J48" i="175"/>
  <c r="R48" i="175" s="1"/>
  <c r="T48" i="175"/>
  <c r="I48" i="204"/>
  <c r="N48" i="204"/>
  <c r="Q19" i="185"/>
  <c r="AG19" i="185" s="1"/>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Q17" i="186"/>
  <c r="N15" i="78" s="1"/>
  <c r="U17" i="186"/>
  <c r="U14" i="186"/>
  <c r="Q14" i="186"/>
  <c r="N12" i="78" s="1"/>
  <c r="U26" i="186"/>
  <c r="Q26" i="186"/>
  <c r="N24" i="78" s="1"/>
  <c r="Q43" i="186"/>
  <c r="N41" i="78" s="1"/>
  <c r="U43" i="186"/>
  <c r="U41" i="186"/>
  <c r="Q41" i="186"/>
  <c r="N39" i="78" s="1"/>
  <c r="U37" i="186"/>
  <c r="Q37" i="186"/>
  <c r="N35" i="78" s="1"/>
  <c r="U42" i="186"/>
  <c r="Q42" i="186"/>
  <c r="N40" i="78" s="1"/>
  <c r="Q39" i="186"/>
  <c r="N37" i="78" s="1"/>
  <c r="U39" i="186"/>
  <c r="Q19" i="186"/>
  <c r="N17" i="78" s="1"/>
  <c r="U19" i="186"/>
  <c r="Q38" i="186"/>
  <c r="N36" i="78" s="1"/>
  <c r="U38" i="186"/>
  <c r="Q40" i="186"/>
  <c r="N38" i="78" s="1"/>
  <c r="U40" i="186"/>
  <c r="Q30" i="186"/>
  <c r="N28" i="78" s="1"/>
  <c r="U3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R19" i="170" s="1"/>
  <c r="Q20" i="170"/>
  <c r="R20" i="170" s="1"/>
  <c r="Q28" i="170"/>
  <c r="R28" i="170" s="1"/>
  <c r="Q32" i="170"/>
  <c r="R32" i="170" s="1"/>
  <c r="Q27" i="170"/>
  <c r="R27" i="170" s="1"/>
  <c r="Q36" i="170"/>
  <c r="R36" i="170" s="1"/>
  <c r="Q26" i="170"/>
  <c r="R26" i="170" s="1"/>
  <c r="Q39" i="170"/>
  <c r="R39" i="170" s="1"/>
  <c r="Q23" i="170"/>
  <c r="R23" i="170" s="1"/>
  <c r="Q37" i="170"/>
  <c r="R37" i="170" s="1"/>
  <c r="Q29" i="170"/>
  <c r="R29" i="170" s="1"/>
  <c r="Q34" i="170"/>
  <c r="R34" i="170" s="1"/>
  <c r="Q38" i="170"/>
  <c r="R38" i="170" s="1"/>
  <c r="Q42" i="170"/>
  <c r="R42" i="170" s="1"/>
  <c r="Q25" i="170"/>
  <c r="R25" i="170" s="1"/>
  <c r="Q31" i="170"/>
  <c r="R31" i="170" s="1"/>
  <c r="Q41" i="170"/>
  <c r="R41" i="170" s="1"/>
  <c r="Q35" i="170"/>
  <c r="R35" i="170" s="1"/>
  <c r="Q21" i="170"/>
  <c r="R21" i="170" s="1"/>
  <c r="Q24" i="170"/>
  <c r="R24" i="170" s="1"/>
  <c r="Q22" i="170"/>
  <c r="R22" i="170" s="1"/>
  <c r="Q40" i="170"/>
  <c r="R40" i="170" s="1"/>
  <c r="Q43" i="170"/>
  <c r="Q30" i="170"/>
  <c r="R30" i="170" s="1"/>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7" i="159"/>
  <c r="C20" i="184"/>
  <c r="AB7" i="185"/>
  <c r="O7" i="185"/>
  <c r="J7" i="185"/>
  <c r="S7" i="185"/>
  <c r="R7" i="185"/>
  <c r="AC7" i="185"/>
  <c r="AA7" i="185"/>
  <c r="N7" i="185"/>
  <c r="V7" i="185"/>
  <c r="H7" i="185"/>
  <c r="M7" i="185"/>
  <c r="T7" i="185"/>
  <c r="Z7" i="185" s="1"/>
  <c r="X7" i="185"/>
  <c r="Q7" i="185"/>
  <c r="Y7" i="185"/>
  <c r="L7" i="185"/>
  <c r="U7" i="185"/>
  <c r="I7" i="185"/>
  <c r="K7" i="175"/>
  <c r="L7" i="175" s="1"/>
  <c r="M7" i="175" s="1"/>
  <c r="G7" i="175"/>
  <c r="H7" i="175" s="1"/>
  <c r="I7" i="175" s="1"/>
  <c r="U7" i="99"/>
  <c r="T7" i="99"/>
  <c r="S7" i="99"/>
  <c r="R7" i="99"/>
  <c r="Q7" i="99"/>
  <c r="R7" i="212"/>
  <c r="Q7" i="212"/>
  <c r="O7" i="212"/>
  <c r="K7" i="212"/>
  <c r="J7" i="212"/>
  <c r="H7" i="212"/>
  <c r="K7" i="189"/>
  <c r="J7" i="189"/>
  <c r="Q7" i="189"/>
  <c r="P7" i="189"/>
  <c r="J7" i="162"/>
  <c r="S7" i="162" s="1"/>
  <c r="P7" i="99"/>
  <c r="P7" i="185"/>
  <c r="R7" i="175"/>
  <c r="S7" i="175"/>
  <c r="B55" i="167"/>
  <c r="G21" i="272" s="1"/>
  <c r="R7" i="189"/>
  <c r="L7" i="189"/>
  <c r="V7" i="189" s="1"/>
  <c r="N7" i="99"/>
  <c r="L7" i="99"/>
  <c r="V7" i="99"/>
  <c r="M7" i="99"/>
  <c r="O7" i="162"/>
  <c r="K7" i="99"/>
  <c r="M7" i="189"/>
  <c r="O7" i="189"/>
  <c r="N7" i="189"/>
  <c r="I7" i="189"/>
  <c r="H7" i="189"/>
  <c r="G7" i="189"/>
  <c r="AT5" i="78"/>
  <c r="AT46" i="78" s="1"/>
  <c r="AU5" i="78"/>
  <c r="AU46" i="78" s="1"/>
  <c r="I7" i="116"/>
  <c r="X5" i="78"/>
  <c r="X46" i="78" s="1"/>
  <c r="Y5" i="78"/>
  <c r="Y46" i="78" s="1"/>
  <c r="P7" i="186"/>
  <c r="K7" i="186"/>
  <c r="B177" i="179"/>
  <c r="J7" i="99"/>
  <c r="L7" i="200"/>
  <c r="I7" i="200"/>
  <c r="P7" i="200" s="1"/>
  <c r="L7" i="202"/>
  <c r="Q48" i="202" s="1"/>
  <c r="I7" i="202"/>
  <c r="L7" i="197"/>
  <c r="I7" i="197"/>
  <c r="P7" i="197" s="1"/>
  <c r="B14" i="183"/>
  <c r="A5" i="85"/>
  <c r="A49" i="85" s="1"/>
  <c r="H7" i="99"/>
  <c r="G7" i="99"/>
  <c r="I7" i="99"/>
  <c r="O7" i="186"/>
  <c r="N7" i="186"/>
  <c r="L7" i="186"/>
  <c r="G7" i="186"/>
  <c r="J7" i="186"/>
  <c r="M7" i="186"/>
  <c r="I7" i="186"/>
  <c r="H7" i="186"/>
  <c r="B191" i="179"/>
  <c r="A6" i="85"/>
  <c r="A50" i="85" s="1"/>
  <c r="AB7" i="212"/>
  <c r="AC7" i="212"/>
  <c r="P151" i="183"/>
  <c r="B177" i="183"/>
  <c r="B19" i="182"/>
  <c r="F172" i="179"/>
  <c r="G172" i="179" s="1"/>
  <c r="G170" i="179"/>
  <c r="P151" i="179"/>
  <c r="O151" i="179"/>
  <c r="C301" i="174"/>
  <c r="P4" i="1" l="1"/>
  <c r="Q27" i="186"/>
  <c r="N25" i="78" s="1"/>
  <c r="U18" i="186"/>
  <c r="Q22" i="186"/>
  <c r="N20" i="78" s="1"/>
  <c r="Q29" i="186"/>
  <c r="N27" i="78" s="1"/>
  <c r="U33" i="186"/>
  <c r="Q15" i="186"/>
  <c r="N13" i="78" s="1"/>
  <c r="Q31" i="186"/>
  <c r="N29" i="78" s="1"/>
  <c r="U35" i="186"/>
  <c r="Q25" i="186"/>
  <c r="N23" i="78" s="1"/>
  <c r="Q16" i="186"/>
  <c r="N14" i="78" s="1"/>
  <c r="U20" i="186"/>
  <c r="Q32" i="186"/>
  <c r="N30" i="78" s="1"/>
  <c r="Q28" i="186"/>
  <c r="N26" i="78" s="1"/>
  <c r="U34" i="186"/>
  <c r="U23" i="186"/>
  <c r="U24" i="186"/>
  <c r="P48" i="186"/>
  <c r="Q21" i="186"/>
  <c r="N19" i="78" s="1"/>
  <c r="M4" i="1"/>
  <c r="B5" i="213"/>
  <c r="B12" i="277"/>
  <c r="F166" i="213"/>
  <c r="BE12" i="78"/>
  <c r="T14" i="204"/>
  <c r="P14" i="204"/>
  <c r="BE10" i="78"/>
  <c r="P12" i="204"/>
  <c r="T12" i="204"/>
  <c r="BE28" i="78"/>
  <c r="T30" i="204"/>
  <c r="P30" i="204"/>
  <c r="P10" i="204"/>
  <c r="BE8" i="78"/>
  <c r="T10" i="204"/>
  <c r="BA7" i="78"/>
  <c r="R9" i="200"/>
  <c r="N9" i="200"/>
  <c r="AY10" i="78"/>
  <c r="R12" i="197"/>
  <c r="N12" i="197"/>
  <c r="BE23" i="78"/>
  <c r="P25" i="204"/>
  <c r="T25" i="204"/>
  <c r="BA9" i="78"/>
  <c r="R11" i="200"/>
  <c r="N11" i="200"/>
  <c r="I45" i="1"/>
  <c r="I46" i="1" s="1"/>
  <c r="U4" i="1"/>
  <c r="U45" i="1" s="1"/>
  <c r="U46" i="1" s="1"/>
  <c r="BE25" i="78"/>
  <c r="T27" i="204"/>
  <c r="P27" i="204"/>
  <c r="B6" i="213"/>
  <c r="O46" i="1"/>
  <c r="B13" i="277" s="1"/>
  <c r="P17" i="204"/>
  <c r="BE15" i="78"/>
  <c r="T17" i="204"/>
  <c r="BC10" i="78"/>
  <c r="R12" i="202"/>
  <c r="N12" i="202"/>
  <c r="BE31" i="78"/>
  <c r="P33" i="204"/>
  <c r="T33" i="204"/>
  <c r="AY7" i="78"/>
  <c r="R9" i="197"/>
  <c r="N9" i="197"/>
  <c r="R9" i="202"/>
  <c r="N9" i="202"/>
  <c r="BC7" i="78"/>
  <c r="BE21" i="78"/>
  <c r="T23" i="204"/>
  <c r="P23" i="204"/>
  <c r="BE14" i="78"/>
  <c r="P16" i="204"/>
  <c r="T16" i="204"/>
  <c r="BE29" i="78"/>
  <c r="T31" i="204"/>
  <c r="P31" i="204"/>
  <c r="U159" i="174"/>
  <c r="T22" i="204"/>
  <c r="P22" i="204"/>
  <c r="BE20" i="78"/>
  <c r="BE22" i="78"/>
  <c r="P24" i="204"/>
  <c r="T24" i="204"/>
  <c r="BE24" i="78"/>
  <c r="P26" i="204"/>
  <c r="T26" i="204"/>
  <c r="T9" i="204"/>
  <c r="BE7" i="78"/>
  <c r="P9" i="204"/>
  <c r="O48" i="204"/>
  <c r="AY8" i="78"/>
  <c r="N10" i="197"/>
  <c r="R10" i="197"/>
  <c r="BE16" i="78"/>
  <c r="T18" i="204"/>
  <c r="P18" i="204"/>
  <c r="AY9" i="78"/>
  <c r="R11" i="197"/>
  <c r="N11" i="197"/>
  <c r="BE26" i="78"/>
  <c r="T28" i="204"/>
  <c r="P28" i="204"/>
  <c r="BE18" i="78"/>
  <c r="T20" i="204"/>
  <c r="P20" i="204"/>
  <c r="T19" i="204"/>
  <c r="P19" i="204"/>
  <c r="BE17" i="78"/>
  <c r="BA8" i="78"/>
  <c r="N10" i="200"/>
  <c r="R10" i="200"/>
  <c r="T34" i="204"/>
  <c r="P34" i="204"/>
  <c r="BE32" i="78"/>
  <c r="BC9" i="78"/>
  <c r="N11" i="202"/>
  <c r="R11" i="202"/>
  <c r="BE30" i="78"/>
  <c r="P32" i="204"/>
  <c r="T32" i="204"/>
  <c r="BA10" i="78"/>
  <c r="R12" i="200"/>
  <c r="N12" i="200"/>
  <c r="BE11" i="78"/>
  <c r="P13" i="204"/>
  <c r="T13" i="204"/>
  <c r="P21" i="204"/>
  <c r="T21" i="204"/>
  <c r="BE19" i="78"/>
  <c r="BE13" i="78"/>
  <c r="T15" i="204"/>
  <c r="P15" i="204"/>
  <c r="P11" i="204"/>
  <c r="T11" i="204"/>
  <c r="BE9" i="78"/>
  <c r="BE27" i="78"/>
  <c r="T29" i="204"/>
  <c r="P29" i="204"/>
  <c r="BC8" i="78"/>
  <c r="R10" i="202"/>
  <c r="N10" i="202"/>
  <c r="AA10" i="99"/>
  <c r="W10" i="99"/>
  <c r="AA11" i="99"/>
  <c r="W11" i="99"/>
  <c r="AA9" i="99"/>
  <c r="W9" i="99"/>
  <c r="AA12" i="99"/>
  <c r="W12" i="99"/>
  <c r="P9" i="78"/>
  <c r="T11" i="189"/>
  <c r="X11" i="189"/>
  <c r="D60" i="179"/>
  <c r="H60" i="179" s="1"/>
  <c r="P7" i="170" s="1"/>
  <c r="G18" i="212"/>
  <c r="V306" i="174"/>
  <c r="R9" i="186"/>
  <c r="V9" i="186"/>
  <c r="N7" i="78"/>
  <c r="G19" i="212"/>
  <c r="V307" i="174"/>
  <c r="P7" i="78"/>
  <c r="X9" i="189"/>
  <c r="T9" i="189"/>
  <c r="P10" i="78"/>
  <c r="T12" i="189"/>
  <c r="X12" i="189"/>
  <c r="G17" i="212"/>
  <c r="V305" i="174"/>
  <c r="X10" i="189"/>
  <c r="T10" i="189"/>
  <c r="P8" i="78"/>
  <c r="G16" i="212"/>
  <c r="V304" i="174"/>
  <c r="N10" i="78"/>
  <c r="R12" i="186"/>
  <c r="V12" i="186"/>
  <c r="N9" i="78"/>
  <c r="V11" i="186"/>
  <c r="R11" i="186"/>
  <c r="N8" i="78"/>
  <c r="V10" i="186"/>
  <c r="R10" i="186"/>
  <c r="G49" i="183" a="1"/>
  <c r="G49" i="183" s="1"/>
  <c r="G39" i="183" a="1"/>
  <c r="G39" i="183" s="1"/>
  <c r="I32" i="182" s="1"/>
  <c r="G49" i="179" a="1"/>
  <c r="G49" i="179" s="1"/>
  <c r="I42" i="170" s="1"/>
  <c r="G39" i="179" a="1"/>
  <c r="G39" i="179" s="1"/>
  <c r="G55" i="179" s="1"/>
  <c r="U178" i="174"/>
  <c r="I42" i="182"/>
  <c r="F171" i="213"/>
  <c r="K14" i="183"/>
  <c r="K7" i="182" s="1"/>
  <c r="I169" i="179"/>
  <c r="R337" i="174"/>
  <c r="I186" i="179"/>
  <c r="J186" i="179" s="1"/>
  <c r="H67" i="179" s="1"/>
  <c r="P14" i="170" s="1"/>
  <c r="R14" i="170" s="1"/>
  <c r="W14" i="170" s="1"/>
  <c r="S337" i="174"/>
  <c r="F301" i="174"/>
  <c r="G301" i="174"/>
  <c r="I301" i="174" s="1"/>
  <c r="V326" i="174"/>
  <c r="V331" i="174"/>
  <c r="V315" i="174"/>
  <c r="V319" i="174"/>
  <c r="V313" i="174"/>
  <c r="U186" i="174"/>
  <c r="E42" i="183"/>
  <c r="G35" i="182" s="1"/>
  <c r="E43" i="183"/>
  <c r="E28" i="183"/>
  <c r="E27" i="183"/>
  <c r="G20" i="182" s="1"/>
  <c r="L20" i="182" s="1"/>
  <c r="E29" i="183"/>
  <c r="G22" i="182" s="1"/>
  <c r="E44" i="183"/>
  <c r="G37" i="182" s="1"/>
  <c r="L37" i="182" s="1"/>
  <c r="V37" i="182" s="1"/>
  <c r="E25" i="183"/>
  <c r="G18" i="182" s="1"/>
  <c r="L18" i="182" s="1"/>
  <c r="E40" i="183"/>
  <c r="G33" i="182" s="1"/>
  <c r="L33" i="182" s="1"/>
  <c r="V33" i="182" s="1"/>
  <c r="E26" i="183"/>
  <c r="G19" i="182" s="1"/>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G31" i="182" s="1"/>
  <c r="L31" i="182" s="1"/>
  <c r="V31" i="182" s="1"/>
  <c r="E21" i="183"/>
  <c r="E67" i="183" s="1"/>
  <c r="M14" i="182" s="1"/>
  <c r="E36" i="183"/>
  <c r="G29" i="182" s="1"/>
  <c r="L29" i="182" s="1"/>
  <c r="V29" i="182" s="1"/>
  <c r="E22" i="183"/>
  <c r="E68" i="183" s="1"/>
  <c r="M15" i="182" s="1"/>
  <c r="R15" i="182" s="1"/>
  <c r="W15" i="182" s="1"/>
  <c r="E47" i="183"/>
  <c r="G40" i="182" s="1"/>
  <c r="L40" i="182" s="1"/>
  <c r="V40" i="182" s="1"/>
  <c r="E30" i="183"/>
  <c r="G23" i="182" s="1"/>
  <c r="L23" i="182" s="1"/>
  <c r="E32" i="183"/>
  <c r="G25" i="182" s="1"/>
  <c r="L25" i="182" s="1"/>
  <c r="V25" i="182" s="1"/>
  <c r="E45" i="183"/>
  <c r="G38" i="182" s="1"/>
  <c r="L38" i="182" s="1"/>
  <c r="V38" i="182" s="1"/>
  <c r="E48" i="183"/>
  <c r="G41" i="182" s="1"/>
  <c r="L41" i="182" s="1"/>
  <c r="V41" i="182" s="1"/>
  <c r="E33" i="183"/>
  <c r="G26" i="182" s="1"/>
  <c r="E31" i="183"/>
  <c r="G24" i="182" s="1"/>
  <c r="L24" i="182" s="1"/>
  <c r="E46" i="183"/>
  <c r="U165" i="174"/>
  <c r="V330" i="174"/>
  <c r="V333" i="174"/>
  <c r="V324" i="174"/>
  <c r="U167" i="174"/>
  <c r="U174" i="174"/>
  <c r="U180" i="174"/>
  <c r="U176" i="174"/>
  <c r="V334" i="174"/>
  <c r="U187" i="174"/>
  <c r="U168" i="174"/>
  <c r="V327" i="174"/>
  <c r="I171" i="183"/>
  <c r="V309" i="174"/>
  <c r="V308" i="174"/>
  <c r="U162" i="174"/>
  <c r="V325" i="174"/>
  <c r="U183" i="174"/>
  <c r="J48" i="159"/>
  <c r="U182" i="174"/>
  <c r="U175" i="174"/>
  <c r="U181" i="174"/>
  <c r="U177" i="174"/>
  <c r="R29" i="159"/>
  <c r="O29" i="159"/>
  <c r="R25" i="159"/>
  <c r="O25" i="159"/>
  <c r="U184" i="174"/>
  <c r="W34" i="170"/>
  <c r="I170" i="183"/>
  <c r="J170" i="183" s="1"/>
  <c r="H34" i="183" s="1"/>
  <c r="V314" i="174"/>
  <c r="M48" i="197"/>
  <c r="R48" i="197" s="1"/>
  <c r="R27" i="159"/>
  <c r="O27" i="159"/>
  <c r="R15" i="159"/>
  <c r="O15" i="159"/>
  <c r="W38" i="170"/>
  <c r="W38" i="182"/>
  <c r="W29" i="170"/>
  <c r="W33" i="182"/>
  <c r="I169" i="183"/>
  <c r="J169" i="183" s="1"/>
  <c r="H19" i="183" s="1"/>
  <c r="J12" i="182" s="1"/>
  <c r="L12" i="182" s="1"/>
  <c r="V12" i="182" s="1"/>
  <c r="V335" i="174"/>
  <c r="R14" i="159"/>
  <c r="O14" i="159"/>
  <c r="R8" i="159"/>
  <c r="O8" i="159"/>
  <c r="W37" i="170"/>
  <c r="R12" i="159"/>
  <c r="O12" i="159"/>
  <c r="W23" i="170"/>
  <c r="W40" i="182"/>
  <c r="R9" i="159"/>
  <c r="O9" i="159"/>
  <c r="R33" i="159"/>
  <c r="O33" i="159"/>
  <c r="W30" i="170"/>
  <c r="W39" i="170"/>
  <c r="V317" i="174"/>
  <c r="R34" i="159"/>
  <c r="O34" i="159"/>
  <c r="R20" i="159"/>
  <c r="O20" i="159"/>
  <c r="U170" i="174"/>
  <c r="W26" i="170"/>
  <c r="V320" i="174"/>
  <c r="R47" i="159"/>
  <c r="O47" i="159"/>
  <c r="R31" i="159"/>
  <c r="O31" i="159"/>
  <c r="R41" i="159"/>
  <c r="O41" i="159"/>
  <c r="W37" i="182"/>
  <c r="V323" i="174"/>
  <c r="R26" i="159"/>
  <c r="O26" i="159"/>
  <c r="R46" i="159"/>
  <c r="O46" i="159"/>
  <c r="R18" i="159"/>
  <c r="O18" i="159"/>
  <c r="M48" i="200"/>
  <c r="U164" i="174"/>
  <c r="R10" i="159"/>
  <c r="O10" i="159"/>
  <c r="W40" i="170"/>
  <c r="W22" i="170"/>
  <c r="W27" i="170"/>
  <c r="W25" i="182"/>
  <c r="R23" i="159"/>
  <c r="O23" i="159"/>
  <c r="R42" i="159"/>
  <c r="O42" i="159"/>
  <c r="U171" i="174"/>
  <c r="U185" i="174"/>
  <c r="W32" i="170"/>
  <c r="W32" i="182"/>
  <c r="V329" i="174"/>
  <c r="V312" i="174"/>
  <c r="R44" i="159"/>
  <c r="O44" i="159"/>
  <c r="R17" i="159"/>
  <c r="O17" i="159"/>
  <c r="R30" i="159"/>
  <c r="O30" i="159"/>
  <c r="AG42" i="185"/>
  <c r="U189" i="174"/>
  <c r="U160" i="174"/>
  <c r="W42" i="170"/>
  <c r="W36" i="170"/>
  <c r="W24" i="170"/>
  <c r="W21" i="170"/>
  <c r="W28" i="170"/>
  <c r="V310" i="174"/>
  <c r="V328" i="174"/>
  <c r="R32" i="159"/>
  <c r="O32" i="159"/>
  <c r="R11" i="159"/>
  <c r="O11" i="159"/>
  <c r="Q48" i="185"/>
  <c r="U179" i="174"/>
  <c r="W35" i="170"/>
  <c r="W20" i="170"/>
  <c r="V321" i="174"/>
  <c r="V311" i="174"/>
  <c r="R19" i="159"/>
  <c r="O19" i="159"/>
  <c r="R22" i="159"/>
  <c r="O22" i="159"/>
  <c r="R13" i="159"/>
  <c r="O13" i="159"/>
  <c r="U173" i="174"/>
  <c r="C21" i="184"/>
  <c r="S9" i="185"/>
  <c r="R9" i="185"/>
  <c r="T301" i="174"/>
  <c r="G13" i="212" s="1"/>
  <c r="R336" i="174"/>
  <c r="W41" i="170"/>
  <c r="W19" i="170"/>
  <c r="W34" i="182"/>
  <c r="W29" i="182"/>
  <c r="R45" i="159"/>
  <c r="O45" i="159"/>
  <c r="R35" i="159"/>
  <c r="O35" i="159"/>
  <c r="R28" i="159"/>
  <c r="O28" i="159"/>
  <c r="U188" i="174"/>
  <c r="U169" i="174"/>
  <c r="W31" i="182"/>
  <c r="W28" i="182"/>
  <c r="V322" i="174"/>
  <c r="V316" i="174"/>
  <c r="R24" i="159"/>
  <c r="O24" i="159"/>
  <c r="R43" i="159"/>
  <c r="O43" i="159"/>
  <c r="R21" i="159"/>
  <c r="O21" i="159"/>
  <c r="U161" i="174"/>
  <c r="W31" i="170"/>
  <c r="W25" i="170"/>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R7" i="159"/>
  <c r="R48" i="159"/>
  <c r="R7" i="116"/>
  <c r="R48" i="116"/>
  <c r="P7" i="202"/>
  <c r="P48" i="202"/>
  <c r="X7" i="212"/>
  <c r="V7" i="212"/>
  <c r="T7" i="186"/>
  <c r="K48" i="186"/>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15" i="170"/>
  <c r="G43" i="170"/>
  <c r="G29" i="170"/>
  <c r="G22" i="170"/>
  <c r="G24" i="170"/>
  <c r="G30" i="170"/>
  <c r="G31" i="170"/>
  <c r="G37" i="170"/>
  <c r="G16" i="170"/>
  <c r="G38" i="170"/>
  <c r="G17" i="170"/>
  <c r="G23" i="170"/>
  <c r="G35" i="170"/>
  <c r="G14" i="170"/>
  <c r="G42" i="170"/>
  <c r="G21" i="170"/>
  <c r="G28" i="170"/>
  <c r="G40" i="170"/>
  <c r="G19" i="170"/>
  <c r="G41" i="170"/>
  <c r="G20" i="170"/>
  <c r="G26" i="170"/>
  <c r="G34" i="170"/>
  <c r="G27" i="170"/>
  <c r="G33" i="170"/>
  <c r="G13" i="170"/>
  <c r="G43" i="182"/>
  <c r="G36" i="182"/>
  <c r="G21" i="182"/>
  <c r="G39"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H67" i="183" s="1"/>
  <c r="P14" i="182" s="1"/>
  <c r="V4" i="1"/>
  <c r="K14" i="179"/>
  <c r="L7" i="212"/>
  <c r="S7" i="212"/>
  <c r="T7" i="175"/>
  <c r="R60" i="174"/>
  <c r="AD7" i="185"/>
  <c r="R107" i="174"/>
  <c r="W7" i="99"/>
  <c r="D20" i="184"/>
  <c r="B56" i="167"/>
  <c r="D55" i="167"/>
  <c r="P7" i="162"/>
  <c r="AD5" i="78" s="1"/>
  <c r="AD46" i="78" s="1"/>
  <c r="B60" i="183"/>
  <c r="AG7" i="185"/>
  <c r="Z7" i="99"/>
  <c r="P7" i="182"/>
  <c r="O7" i="204"/>
  <c r="BE5" i="78" s="1"/>
  <c r="BE46" i="78" s="1"/>
  <c r="B15" i="243"/>
  <c r="B61" i="243" s="1"/>
  <c r="D120" i="213"/>
  <c r="D121" i="213"/>
  <c r="M7" i="170"/>
  <c r="S7" i="116"/>
  <c r="Q7" i="200"/>
  <c r="M7" i="200"/>
  <c r="AA7" i="99"/>
  <c r="T7" i="162"/>
  <c r="N7" i="145"/>
  <c r="U7" i="186"/>
  <c r="Q7" i="186"/>
  <c r="O7" i="116"/>
  <c r="A7" i="85"/>
  <c r="A51" i="85" s="1"/>
  <c r="M7" i="197"/>
  <c r="Q7" i="197"/>
  <c r="W7" i="189"/>
  <c r="S7" i="189"/>
  <c r="S7" i="159"/>
  <c r="O7" i="159"/>
  <c r="Y7" i="212"/>
  <c r="AD7" i="212" s="1"/>
  <c r="AH7" i="185"/>
  <c r="Q7" i="202"/>
  <c r="M7" i="202"/>
  <c r="D117" i="213"/>
  <c r="D118" i="213"/>
  <c r="D119" i="213"/>
  <c r="D108" i="213"/>
  <c r="D109" i="213"/>
  <c r="D110" i="213"/>
  <c r="D111" i="213"/>
  <c r="M7" i="182"/>
  <c r="D112" i="213"/>
  <c r="K60" i="183"/>
  <c r="K60" i="179"/>
  <c r="C302" i="174"/>
  <c r="G15" i="182" l="1"/>
  <c r="L15" i="182" s="1"/>
  <c r="G14" i="182"/>
  <c r="L14" i="182" s="1"/>
  <c r="B4" i="213"/>
  <c r="B11" i="277"/>
  <c r="V25" i="186"/>
  <c r="R25" i="186"/>
  <c r="R21" i="186"/>
  <c r="O19" i="78" s="1"/>
  <c r="Q48" i="186"/>
  <c r="V48" i="186" s="1"/>
  <c r="B52" i="277" s="1"/>
  <c r="V21" i="186"/>
  <c r="U48" i="186"/>
  <c r="C50" i="277" s="1"/>
  <c r="T48" i="186"/>
  <c r="B50" i="277" s="1"/>
  <c r="B7" i="213"/>
  <c r="B14" i="277"/>
  <c r="S9" i="200"/>
  <c r="BB7" i="78"/>
  <c r="S11" i="197"/>
  <c r="AZ9" i="78"/>
  <c r="U24" i="204"/>
  <c r="BF22" i="78"/>
  <c r="S9" i="202"/>
  <c r="BD7" i="78"/>
  <c r="U27" i="204"/>
  <c r="BF25" i="78"/>
  <c r="U34" i="204"/>
  <c r="BF32" i="78"/>
  <c r="U21" i="204"/>
  <c r="BF19" i="78"/>
  <c r="U18" i="204"/>
  <c r="BF16" i="78"/>
  <c r="S9" i="197"/>
  <c r="AZ7" i="78"/>
  <c r="U22" i="204"/>
  <c r="BF20" i="78"/>
  <c r="BF8" i="78"/>
  <c r="U10" i="204"/>
  <c r="S10" i="202"/>
  <c r="BD8" i="78"/>
  <c r="U13" i="204"/>
  <c r="BF11" i="78"/>
  <c r="S10" i="200"/>
  <c r="BB8" i="78"/>
  <c r="U30" i="204"/>
  <c r="BF28" i="78"/>
  <c r="R14" i="182"/>
  <c r="W14" i="182" s="1"/>
  <c r="BB9" i="78"/>
  <c r="S11" i="200"/>
  <c r="U33" i="204"/>
  <c r="BF31" i="78"/>
  <c r="BF27" i="78"/>
  <c r="U29" i="204"/>
  <c r="U19" i="204"/>
  <c r="BF17" i="78"/>
  <c r="S12" i="202"/>
  <c r="BD10" i="78"/>
  <c r="BF10" i="78"/>
  <c r="U12" i="204"/>
  <c r="AZ8" i="78"/>
  <c r="S10" i="197"/>
  <c r="U20" i="204"/>
  <c r="BF18" i="78"/>
  <c r="U9" i="204"/>
  <c r="BF7" i="78"/>
  <c r="P48" i="204"/>
  <c r="U25" i="204"/>
  <c r="BF23" i="78"/>
  <c r="U32" i="204"/>
  <c r="BF30" i="78"/>
  <c r="U16" i="204"/>
  <c r="BF14" i="78"/>
  <c r="U14" i="204"/>
  <c r="BF12" i="78"/>
  <c r="S12" i="200"/>
  <c r="BB10" i="78"/>
  <c r="S12" i="197"/>
  <c r="AZ10" i="78"/>
  <c r="U31" i="204"/>
  <c r="BF29" i="78"/>
  <c r="U11" i="204"/>
  <c r="BF9" i="78"/>
  <c r="U28" i="204"/>
  <c r="BF26" i="78"/>
  <c r="U23" i="204"/>
  <c r="BF21" i="78"/>
  <c r="BF13" i="78"/>
  <c r="U15" i="204"/>
  <c r="S11" i="202"/>
  <c r="BD9" i="78"/>
  <c r="U26" i="204"/>
  <c r="BF24" i="78"/>
  <c r="U17" i="204"/>
  <c r="BF15" i="78"/>
  <c r="F60" i="179"/>
  <c r="N7" i="170" s="1"/>
  <c r="C200" i="179"/>
  <c r="W9" i="186"/>
  <c r="O7" i="78"/>
  <c r="Y10" i="189"/>
  <c r="Q8" i="78"/>
  <c r="W10" i="186"/>
  <c r="O8" i="78"/>
  <c r="Y11" i="189"/>
  <c r="Q9" i="78"/>
  <c r="Q10" i="78"/>
  <c r="Y12" i="189"/>
  <c r="L10" i="78"/>
  <c r="AB12" i="99"/>
  <c r="X12" i="99"/>
  <c r="W11" i="186"/>
  <c r="O9" i="78"/>
  <c r="Y9" i="189"/>
  <c r="Q7" i="78"/>
  <c r="X9" i="99"/>
  <c r="AB9" i="99"/>
  <c r="L7" i="78"/>
  <c r="L9" i="78"/>
  <c r="X11" i="99"/>
  <c r="AB11" i="99"/>
  <c r="W12" i="186"/>
  <c r="O10" i="78"/>
  <c r="L8" i="78"/>
  <c r="X10" i="99"/>
  <c r="AB10" i="99"/>
  <c r="M13" i="182"/>
  <c r="E101" i="183"/>
  <c r="I7" i="145"/>
  <c r="H66" i="183"/>
  <c r="P13" i="182" s="1"/>
  <c r="H65" i="183"/>
  <c r="P12" i="182" s="1"/>
  <c r="R12" i="182" s="1"/>
  <c r="H66" i="179"/>
  <c r="P13" i="170" s="1"/>
  <c r="R13" i="170" s="1"/>
  <c r="W13" i="170" s="1"/>
  <c r="H65" i="179"/>
  <c r="G55" i="183"/>
  <c r="H149" i="213" s="1"/>
  <c r="L32" i="182"/>
  <c r="V32" i="182" s="1"/>
  <c r="I32" i="170"/>
  <c r="G154" i="213"/>
  <c r="G149" i="213"/>
  <c r="R48" i="202"/>
  <c r="H55" i="183"/>
  <c r="J171" i="183"/>
  <c r="H49" i="183" s="1"/>
  <c r="J42" i="182" s="1"/>
  <c r="L42" i="182" s="1"/>
  <c r="P10" i="182"/>
  <c r="R10" i="182" s="1"/>
  <c r="P11" i="182"/>
  <c r="R11" i="182" s="1"/>
  <c r="F302" i="174"/>
  <c r="H302" i="174" s="1"/>
  <c r="G302" i="174"/>
  <c r="I302" i="174" s="1"/>
  <c r="V337" i="174"/>
  <c r="H301" i="174"/>
  <c r="J301" i="174" s="1"/>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10" i="185"/>
  <c r="R10" i="185"/>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P8" i="229"/>
  <c r="G8" i="229"/>
  <c r="Z7" i="212"/>
  <c r="P7" i="175"/>
  <c r="U7" i="175" s="1"/>
  <c r="AR5" i="78"/>
  <c r="G22" i="272"/>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P7" i="204"/>
  <c r="U7" i="204" s="1"/>
  <c r="T7" i="204"/>
  <c r="Q8" i="242"/>
  <c r="R7" i="200"/>
  <c r="BA5" i="78"/>
  <c r="BA46" i="78" s="1"/>
  <c r="N7" i="200"/>
  <c r="AB7" i="99"/>
  <c r="L5" i="78"/>
  <c r="L46" i="78" s="1"/>
  <c r="O7" i="145"/>
  <c r="S7" i="145"/>
  <c r="T7" i="116"/>
  <c r="AH5" i="78"/>
  <c r="P7" i="116"/>
  <c r="V7" i="186"/>
  <c r="R7" i="186"/>
  <c r="R48" i="186" s="1"/>
  <c r="W48" i="186" s="1"/>
  <c r="B53" i="277"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S26" i="182" l="1"/>
  <c r="J24" i="78" s="1"/>
  <c r="B51" i="277"/>
  <c r="B64" i="277"/>
  <c r="C64" i="277"/>
  <c r="C51" i="277"/>
  <c r="S14" i="182"/>
  <c r="H101" i="183"/>
  <c r="R13" i="182"/>
  <c r="W13" i="182" s="1"/>
  <c r="AC12" i="99"/>
  <c r="M10" i="78"/>
  <c r="AC10" i="99"/>
  <c r="M8" i="78"/>
  <c r="AC11" i="99"/>
  <c r="M9" i="78"/>
  <c r="AC9" i="99"/>
  <c r="M7" i="78"/>
  <c r="I17" i="243"/>
  <c r="J17" i="243"/>
  <c r="B62" i="243"/>
  <c r="J16" i="243"/>
  <c r="I16" i="243"/>
  <c r="S32" i="182"/>
  <c r="J30" i="78" s="1"/>
  <c r="Q9" i="145"/>
  <c r="N9" i="145"/>
  <c r="W11" i="182"/>
  <c r="S11" i="182"/>
  <c r="W10" i="182"/>
  <c r="S10" i="182"/>
  <c r="R48" i="182"/>
  <c r="W12" i="182"/>
  <c r="S12" i="182"/>
  <c r="V13" i="182"/>
  <c r="AQ5" i="78"/>
  <c r="AQ46" i="78" s="1"/>
  <c r="J302" i="174"/>
  <c r="V42" i="182"/>
  <c r="S42" i="182"/>
  <c r="J40" i="78" s="1"/>
  <c r="J200" i="179"/>
  <c r="H88" i="179" s="1"/>
  <c r="P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R11" i="185"/>
  <c r="S11" i="185"/>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T32" i="182"/>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U9" i="212"/>
  <c r="E6" i="85"/>
  <c r="E50" i="85" s="1"/>
  <c r="D7" i="85"/>
  <c r="C51" i="85" s="1"/>
  <c r="D56" i="167"/>
  <c r="M8" i="238" s="1"/>
  <c r="O8" i="238" s="1"/>
  <c r="BF5" i="78"/>
  <c r="BF46" i="78" s="1"/>
  <c r="G23" i="272"/>
  <c r="V7" i="162"/>
  <c r="D22" i="184"/>
  <c r="D21" i="184"/>
  <c r="P201" i="174"/>
  <c r="P154" i="174"/>
  <c r="P107" i="174"/>
  <c r="B58" i="167"/>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K16" i="243" l="1"/>
  <c r="K9" i="242" s="1"/>
  <c r="L9" i="242" s="1"/>
  <c r="X32" i="182"/>
  <c r="S13" i="182"/>
  <c r="T13" i="182" s="1"/>
  <c r="T22" i="182"/>
  <c r="K20" i="78" s="1"/>
  <c r="X22" i="182"/>
  <c r="K17" i="243"/>
  <c r="K10" i="242" s="1"/>
  <c r="L10" i="242" s="1"/>
  <c r="I18" i="243"/>
  <c r="J18" i="243"/>
  <c r="J63" i="243"/>
  <c r="I63" i="243"/>
  <c r="I62" i="243"/>
  <c r="J62" i="243"/>
  <c r="V9" i="212"/>
  <c r="Z9" i="212" s="1"/>
  <c r="Y9" i="212"/>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Y35" i="182" s="1"/>
  <c r="X35" i="182"/>
  <c r="C305" i="174"/>
  <c r="F304" i="174"/>
  <c r="H304" i="174" s="1"/>
  <c r="G304" i="174"/>
  <c r="I304" i="174" s="1"/>
  <c r="H303" i="174"/>
  <c r="J303" i="174" s="1"/>
  <c r="T19" i="182"/>
  <c r="Y19" i="182" s="1"/>
  <c r="Y41" i="182"/>
  <c r="K39" i="78"/>
  <c r="S8" i="242"/>
  <c r="V8" i="242"/>
  <c r="Y23" i="182"/>
  <c r="K21" i="78"/>
  <c r="V10" i="242"/>
  <c r="Y26" i="182"/>
  <c r="K24" i="78"/>
  <c r="V9" i="242"/>
  <c r="Y30" i="182"/>
  <c r="K28" i="78"/>
  <c r="G344" i="174"/>
  <c r="I344" i="174" s="1"/>
  <c r="P203" i="174"/>
  <c r="P250" i="174"/>
  <c r="P156" i="174"/>
  <c r="P109" i="174"/>
  <c r="S12" i="185"/>
  <c r="R12" i="185"/>
  <c r="C24" i="184"/>
  <c r="Y15" i="182"/>
  <c r="K13" i="78"/>
  <c r="L10" i="238"/>
  <c r="N10" i="238" s="1"/>
  <c r="G10" i="238"/>
  <c r="I10" i="238" s="1"/>
  <c r="K10" i="238" s="1"/>
  <c r="T10" i="238" s="1"/>
  <c r="D24" i="272"/>
  <c r="Y16" i="182"/>
  <c r="K14" i="78"/>
  <c r="Y25" i="182"/>
  <c r="K23" i="78"/>
  <c r="Y24" i="182"/>
  <c r="K22" i="78"/>
  <c r="Y31" i="182"/>
  <c r="K29" i="78"/>
  <c r="Y20" i="182"/>
  <c r="K18" i="78"/>
  <c r="Y18" i="182"/>
  <c r="K16" i="78"/>
  <c r="Y32" i="182"/>
  <c r="K30"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U10" i="212" s="1"/>
  <c r="E7" i="85"/>
  <c r="E51" i="85" s="1"/>
  <c r="D8" i="85"/>
  <c r="C52" i="85" s="1"/>
  <c r="D57" i="167"/>
  <c r="M9" i="238" s="1"/>
  <c r="O9" i="238" s="1"/>
  <c r="P9" i="238" s="1"/>
  <c r="G24" i="272"/>
  <c r="D23" i="184"/>
  <c r="B59" i="167"/>
  <c r="M7" i="238"/>
  <c r="O7" i="238" s="1"/>
  <c r="H342" i="174"/>
  <c r="J342" i="174" s="1"/>
  <c r="Q60" i="174"/>
  <c r="Q201" i="174"/>
  <c r="Q248" i="174"/>
  <c r="Q107" i="174"/>
  <c r="Q154" i="174"/>
  <c r="A10" i="85"/>
  <c r="A54" i="85" s="1"/>
  <c r="S7" i="182"/>
  <c r="S48" i="182" s="1"/>
  <c r="H295" i="174"/>
  <c r="C306" i="174"/>
  <c r="R203" i="174" l="1"/>
  <c r="R250" i="174"/>
  <c r="Y22" i="182"/>
  <c r="K33" i="78"/>
  <c r="U9" i="238"/>
  <c r="Q9" i="238"/>
  <c r="R156" i="174"/>
  <c r="R109" i="174"/>
  <c r="D169" i="243"/>
  <c r="I19" i="243"/>
  <c r="J19" i="243"/>
  <c r="I64" i="243"/>
  <c r="J64" i="243"/>
  <c r="K62" i="243"/>
  <c r="Q9" i="242" s="1"/>
  <c r="R9" i="242" s="1"/>
  <c r="K63" i="243"/>
  <c r="Q10" i="242" s="1"/>
  <c r="K18" i="243"/>
  <c r="V10" i="212"/>
  <c r="Z10" i="212" s="1"/>
  <c r="Y10" i="212"/>
  <c r="AR7" i="78"/>
  <c r="AD9" i="212"/>
  <c r="AE9" i="212"/>
  <c r="AS7" i="78"/>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S13" i="185"/>
  <c r="Y13" i="185" s="1"/>
  <c r="R13" i="185"/>
  <c r="X13" i="185" s="1"/>
  <c r="C25" i="184"/>
  <c r="Y39" i="182"/>
  <c r="K37" i="78"/>
  <c r="Y27" i="182"/>
  <c r="K25" i="78"/>
  <c r="L11" i="238"/>
  <c r="N11" i="238" s="1"/>
  <c r="G11" i="238"/>
  <c r="I11" i="238" s="1"/>
  <c r="K11" i="238" s="1"/>
  <c r="T11" i="238" s="1"/>
  <c r="D25" i="272"/>
  <c r="Q110" i="174"/>
  <c r="Q251" i="174"/>
  <c r="Q157" i="174"/>
  <c r="H345" i="174"/>
  <c r="J345" i="174" s="1"/>
  <c r="Q204" i="174"/>
  <c r="F6" i="78"/>
  <c r="X8" i="242"/>
  <c r="T8" i="242"/>
  <c r="Q9" i="229"/>
  <c r="G11" i="229"/>
  <c r="P11" i="229"/>
  <c r="D171" i="179"/>
  <c r="B65" i="243"/>
  <c r="X7" i="182"/>
  <c r="G12" i="145"/>
  <c r="I12" i="145" s="1"/>
  <c r="J12" i="145" s="1"/>
  <c r="B20" i="243"/>
  <c r="U11" i="212"/>
  <c r="I11" i="212"/>
  <c r="E8" i="85"/>
  <c r="E52" i="85" s="1"/>
  <c r="D9" i="85"/>
  <c r="C53" i="85" s="1"/>
  <c r="D58" i="167"/>
  <c r="M10" i="238" s="1"/>
  <c r="O10" i="238" s="1"/>
  <c r="P10" i="238" s="1"/>
  <c r="G25" i="272"/>
  <c r="D24" i="184"/>
  <c r="B60" i="167"/>
  <c r="A11" i="85"/>
  <c r="A55" i="85" s="1"/>
  <c r="T7" i="182"/>
  <c r="T48" i="182" s="1"/>
  <c r="Y48" i="182" s="1"/>
  <c r="J5" i="78"/>
  <c r="J46" i="78" s="1"/>
  <c r="G295" i="174"/>
  <c r="I295" i="174" s="1"/>
  <c r="G248" i="174"/>
  <c r="G107" i="174"/>
  <c r="G201" i="174"/>
  <c r="C307" i="174"/>
  <c r="R251" i="174" l="1"/>
  <c r="R204" i="174"/>
  <c r="U10" i="238"/>
  <c r="Q10" i="238"/>
  <c r="R157" i="174"/>
  <c r="R110" i="174"/>
  <c r="Z7" i="78"/>
  <c r="R9" i="238"/>
  <c r="V9" i="238"/>
  <c r="W9" i="242"/>
  <c r="S9" i="242"/>
  <c r="I65" i="243"/>
  <c r="J65" i="243"/>
  <c r="K64" i="243"/>
  <c r="Q11" i="242" s="1"/>
  <c r="K19" i="243"/>
  <c r="K12" i="242" s="1"/>
  <c r="AD10" i="212"/>
  <c r="AR8" i="78"/>
  <c r="Y11" i="212"/>
  <c r="V11" i="212"/>
  <c r="Z11" i="212" s="1"/>
  <c r="AE10" i="212"/>
  <c r="AS8" i="78"/>
  <c r="T10" i="145"/>
  <c r="C8" i="78"/>
  <c r="Q12" i="145"/>
  <c r="N12" i="145"/>
  <c r="B9" i="78"/>
  <c r="S11" i="145"/>
  <c r="O11" i="145"/>
  <c r="J306" i="174"/>
  <c r="B66" i="243"/>
  <c r="I20" i="243"/>
  <c r="J20" i="243"/>
  <c r="F307" i="174"/>
  <c r="H307" i="174" s="1"/>
  <c r="G307" i="174"/>
  <c r="I307" i="174" s="1"/>
  <c r="H305" i="174"/>
  <c r="J305" i="174" s="1"/>
  <c r="S14" i="185"/>
  <c r="Y14" i="185" s="1"/>
  <c r="R14" i="185"/>
  <c r="X14" i="185" s="1"/>
  <c r="C26" i="184"/>
  <c r="AV6" i="78"/>
  <c r="B5" i="85" s="1"/>
  <c r="B49" i="85" s="1"/>
  <c r="K11" i="242"/>
  <c r="L11" i="242" s="1"/>
  <c r="P158" i="174"/>
  <c r="G346" i="174"/>
  <c r="I346" i="174" s="1"/>
  <c r="P111" i="174"/>
  <c r="P205" i="174"/>
  <c r="P252" i="174"/>
  <c r="Y8" i="242"/>
  <c r="G6" i="78"/>
  <c r="D26" i="272"/>
  <c r="L12" i="238"/>
  <c r="N12" i="238" s="1"/>
  <c r="G12" i="238"/>
  <c r="I12" i="238" s="1"/>
  <c r="K12" i="238" s="1"/>
  <c r="T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U12" i="212"/>
  <c r="I12" i="212"/>
  <c r="D10" i="85"/>
  <c r="C54" i="85" s="1"/>
  <c r="E9" i="85"/>
  <c r="E53" i="85" s="1"/>
  <c r="D59" i="167"/>
  <c r="M11" i="238" s="1"/>
  <c r="O11" i="238" s="1"/>
  <c r="P11" i="238" s="1"/>
  <c r="G26" i="272"/>
  <c r="D25" i="184"/>
  <c r="B61" i="167"/>
  <c r="G154" i="174"/>
  <c r="A12" i="85"/>
  <c r="A56" i="85" s="1"/>
  <c r="K5" i="78"/>
  <c r="K46" i="78" s="1"/>
  <c r="C308" i="174"/>
  <c r="K65" i="243" l="1"/>
  <c r="Q12" i="242" s="1"/>
  <c r="R158" i="174"/>
  <c r="U11" i="238"/>
  <c r="Q11" i="238"/>
  <c r="W9" i="238"/>
  <c r="AA7" i="78"/>
  <c r="R205" i="174"/>
  <c r="R111" i="174"/>
  <c r="R252" i="174"/>
  <c r="Z8" i="78"/>
  <c r="R10" i="238"/>
  <c r="V10" i="238"/>
  <c r="F7" i="78"/>
  <c r="X9" i="242"/>
  <c r="T9" i="242"/>
  <c r="V12" i="212"/>
  <c r="Z12" i="212" s="1"/>
  <c r="Y12" i="212"/>
  <c r="AR9" i="78"/>
  <c r="AD11" i="212"/>
  <c r="AE11" i="212"/>
  <c r="AS9" i="78"/>
  <c r="C9" i="78"/>
  <c r="T11" i="145"/>
  <c r="B10" i="78"/>
  <c r="O12" i="145"/>
  <c r="S12" i="145"/>
  <c r="J307" i="174"/>
  <c r="B67" i="243"/>
  <c r="D186" i="243" s="1"/>
  <c r="I21" i="243"/>
  <c r="J21" i="243"/>
  <c r="K20" i="243"/>
  <c r="J66" i="243"/>
  <c r="I66" i="243"/>
  <c r="F308" i="174"/>
  <c r="G308" i="174"/>
  <c r="I308" i="174" s="1"/>
  <c r="V28" i="170"/>
  <c r="S28" i="170"/>
  <c r="V33" i="170"/>
  <c r="S33" i="170"/>
  <c r="V21" i="170"/>
  <c r="S21" i="170"/>
  <c r="V17" i="170"/>
  <c r="S17" i="170"/>
  <c r="V24" i="170"/>
  <c r="S24" i="170"/>
  <c r="V11" i="242"/>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R15" i="185"/>
  <c r="X15" i="185" s="1"/>
  <c r="S15" i="185"/>
  <c r="Y15" i="185" s="1"/>
  <c r="C27" i="184"/>
  <c r="V31" i="170"/>
  <c r="S31" i="170"/>
  <c r="G13" i="238"/>
  <c r="I13" i="238" s="1"/>
  <c r="K13" i="238" s="1"/>
  <c r="L13" i="238"/>
  <c r="N13" i="238" s="1"/>
  <c r="D27" i="272"/>
  <c r="V38" i="170"/>
  <c r="S38" i="170"/>
  <c r="V14" i="170"/>
  <c r="S14" i="170"/>
  <c r="Q206" i="174"/>
  <c r="H347" i="174"/>
  <c r="J347" i="174" s="1"/>
  <c r="Q112" i="174"/>
  <c r="Q159" i="174"/>
  <c r="Q253" i="174"/>
  <c r="R253" i="174" s="1"/>
  <c r="V16" i="170"/>
  <c r="S16" i="170"/>
  <c r="V37" i="170"/>
  <c r="S37" i="170"/>
  <c r="P13" i="229"/>
  <c r="G13" i="229"/>
  <c r="Q11" i="229"/>
  <c r="I13" i="145"/>
  <c r="G14" i="145"/>
  <c r="B22" i="243"/>
  <c r="D11" i="85"/>
  <c r="C55" i="85" s="1"/>
  <c r="D60" i="167"/>
  <c r="M12" i="238" s="1"/>
  <c r="O12" i="238" s="1"/>
  <c r="P12" i="238" s="1"/>
  <c r="B62" i="167"/>
  <c r="E10" i="85"/>
  <c r="E54" i="85" s="1"/>
  <c r="A13" i="85"/>
  <c r="A57" i="85" s="1"/>
  <c r="C309" i="174"/>
  <c r="I14" i="145" l="1"/>
  <c r="J14" i="145" s="1"/>
  <c r="C39" i="277"/>
  <c r="R112" i="174"/>
  <c r="R159" i="174"/>
  <c r="Q12" i="238"/>
  <c r="U12" i="238"/>
  <c r="W10" i="238"/>
  <c r="AA8" i="78"/>
  <c r="R206" i="174"/>
  <c r="Z9" i="78"/>
  <c r="R11" i="238"/>
  <c r="V11" i="238"/>
  <c r="G7" i="78"/>
  <c r="Y9" i="242"/>
  <c r="AD12" i="212"/>
  <c r="AR10" i="78"/>
  <c r="AE12" i="212"/>
  <c r="AS10" i="78"/>
  <c r="T12" i="145"/>
  <c r="C10" i="78"/>
  <c r="N66" i="174"/>
  <c r="N207" i="174"/>
  <c r="N254" i="174"/>
  <c r="N160" i="174"/>
  <c r="E348" i="174"/>
  <c r="N113" i="174"/>
  <c r="P113" i="174" s="1"/>
  <c r="K66" i="243"/>
  <c r="Q13" i="242" s="1"/>
  <c r="K21" i="243"/>
  <c r="K14" i="242" s="1"/>
  <c r="L14" i="242" s="1"/>
  <c r="V14" i="242" s="1"/>
  <c r="B68" i="243"/>
  <c r="I22" i="243"/>
  <c r="J22" i="243"/>
  <c r="J67" i="243"/>
  <c r="I67" i="243"/>
  <c r="F309" i="174"/>
  <c r="H309" i="174" s="1"/>
  <c r="G309" i="174"/>
  <c r="I309" i="174" s="1"/>
  <c r="H308" i="174"/>
  <c r="J308" i="174" s="1"/>
  <c r="K13" i="242"/>
  <c r="L13" i="242" s="1"/>
  <c r="V13" i="242" s="1"/>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R16" i="185"/>
  <c r="X16" i="185" s="1"/>
  <c r="S16" i="185"/>
  <c r="Y16" i="185" s="1"/>
  <c r="C28" i="184"/>
  <c r="H26" i="78"/>
  <c r="T28" i="170"/>
  <c r="X28" i="170"/>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B23" i="243"/>
  <c r="D12" i="85"/>
  <c r="C56" i="85" s="1"/>
  <c r="G28" i="272"/>
  <c r="D27" i="184"/>
  <c r="D26" i="184"/>
  <c r="D61" i="167"/>
  <c r="M13" i="238" s="1"/>
  <c r="O13" i="238" s="1"/>
  <c r="P13" i="238" s="1"/>
  <c r="B63" i="167"/>
  <c r="B440" i="213" s="1"/>
  <c r="E11" i="85"/>
  <c r="E55" i="85" s="1"/>
  <c r="A14" i="85"/>
  <c r="A58" i="85" s="1"/>
  <c r="C310" i="174"/>
  <c r="AA9" i="78" l="1"/>
  <c r="W11" i="238"/>
  <c r="Z10" i="78"/>
  <c r="R12" i="238"/>
  <c r="V12" i="238"/>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R17" i="185"/>
  <c r="X17" i="185" s="1"/>
  <c r="S17" i="185"/>
  <c r="Y17" i="185" s="1"/>
  <c r="C29" i="18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Y14" i="170"/>
  <c r="I12" i="78"/>
  <c r="G15" i="238"/>
  <c r="I15" i="238" s="1"/>
  <c r="K15" i="238" s="1"/>
  <c r="L15" i="238"/>
  <c r="N15" i="238" s="1"/>
  <c r="D29" i="272"/>
  <c r="B445" i="213" s="1"/>
  <c r="Y41" i="170"/>
  <c r="I39" i="78"/>
  <c r="Y24" i="170"/>
  <c r="I22" i="78"/>
  <c r="Y28" i="170"/>
  <c r="I26"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B24" i="243"/>
  <c r="D13" i="85"/>
  <c r="C57" i="85" s="1"/>
  <c r="E12" i="85"/>
  <c r="E56" i="85" s="1"/>
  <c r="D28" i="184"/>
  <c r="B64" i="167"/>
  <c r="D62" i="167"/>
  <c r="M14" i="238" s="1"/>
  <c r="O14" i="238" s="1"/>
  <c r="P14" i="238" s="1"/>
  <c r="A15" i="85"/>
  <c r="A59" i="85" s="1"/>
  <c r="C311" i="174"/>
  <c r="G29" i="272" l="1"/>
  <c r="B446" i="213" s="1"/>
  <c r="B441" i="213"/>
  <c r="AA10" i="78"/>
  <c r="W12" i="238"/>
  <c r="M14" i="212"/>
  <c r="AB14" i="212" s="1"/>
  <c r="K23" i="243"/>
  <c r="K16" i="242" s="1"/>
  <c r="L16" i="242" s="1"/>
  <c r="V16" i="242" s="1"/>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H67" i="243" s="1"/>
  <c r="P14" i="242" s="1"/>
  <c r="R14" i="242" s="1"/>
  <c r="J69" i="243"/>
  <c r="I69" i="243"/>
  <c r="K68" i="243"/>
  <c r="Q15" i="242" s="1"/>
  <c r="R15" i="242" s="1"/>
  <c r="W15" i="242" s="1"/>
  <c r="F311" i="174"/>
  <c r="H311" i="174" s="1"/>
  <c r="G311" i="174"/>
  <c r="I311" i="174" s="1"/>
  <c r="H310" i="174"/>
  <c r="J310" i="174" s="1"/>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S18" i="185"/>
  <c r="Y18" i="185" s="1"/>
  <c r="R18" i="185"/>
  <c r="X18" i="185" s="1"/>
  <c r="C30" i="18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I15" i="212"/>
  <c r="G17" i="145"/>
  <c r="I17" i="145" s="1"/>
  <c r="J17" i="145" s="1"/>
  <c r="Q16" i="145"/>
  <c r="N16" i="145"/>
  <c r="B14" i="78" s="1"/>
  <c r="B25" i="243"/>
  <c r="E13" i="85"/>
  <c r="E57" i="85" s="1"/>
  <c r="D14" i="85"/>
  <c r="C58" i="85" s="1"/>
  <c r="G30" i="272"/>
  <c r="D29" i="184"/>
  <c r="B65" i="167"/>
  <c r="D63" i="167"/>
  <c r="M15" i="238" s="1"/>
  <c r="O15" i="238" s="1"/>
  <c r="P15" i="238" s="1"/>
  <c r="A16" i="85"/>
  <c r="A60" i="85" s="1"/>
  <c r="C312" i="174"/>
  <c r="J311" i="174" l="1"/>
  <c r="W14" i="242"/>
  <c r="S14" i="242"/>
  <c r="F12" i="78" s="1"/>
  <c r="K69" i="243"/>
  <c r="Q16" i="242" s="1"/>
  <c r="R16" i="242" s="1"/>
  <c r="W16" i="242" s="1"/>
  <c r="M15" i="212"/>
  <c r="AB15" i="212" s="1"/>
  <c r="T15" i="212"/>
  <c r="AC15" i="212" s="1"/>
  <c r="H66" i="243"/>
  <c r="P13" i="242" s="1"/>
  <c r="R13" i="242" s="1"/>
  <c r="W13" i="242" s="1"/>
  <c r="H65" i="243"/>
  <c r="K24" i="243"/>
  <c r="K17" i="242" s="1"/>
  <c r="L17" i="242" s="1"/>
  <c r="V17" i="242" s="1"/>
  <c r="I70" i="243"/>
  <c r="J70" i="243"/>
  <c r="F351" i="174"/>
  <c r="O210" i="174"/>
  <c r="O116" i="174"/>
  <c r="Q116" i="174" s="1"/>
  <c r="O163" i="174"/>
  <c r="O257" i="174"/>
  <c r="O69" i="174"/>
  <c r="J25" i="243"/>
  <c r="I25" i="243"/>
  <c r="N116" i="174"/>
  <c r="P116" i="174" s="1"/>
  <c r="N257" i="174"/>
  <c r="P257" i="174" s="1"/>
  <c r="N210" i="174"/>
  <c r="N163" i="174"/>
  <c r="P163" i="174" s="1"/>
  <c r="N69" i="174"/>
  <c r="E351" i="174"/>
  <c r="G351" i="174" s="1"/>
  <c r="I351" i="174" s="1"/>
  <c r="F312" i="174"/>
  <c r="H312" i="174" s="1"/>
  <c r="G312" i="174"/>
  <c r="I312" i="174" s="1"/>
  <c r="S15" i="242"/>
  <c r="X15" i="242" s="1"/>
  <c r="W13" i="238"/>
  <c r="AA11" i="78"/>
  <c r="J348" i="174"/>
  <c r="K348" i="174" s="1"/>
  <c r="P256" i="174"/>
  <c r="R256" i="174" s="1"/>
  <c r="P209" i="174"/>
  <c r="R209" i="174" s="1"/>
  <c r="G350" i="174"/>
  <c r="S19" i="185"/>
  <c r="Y19" i="185" s="1"/>
  <c r="R19" i="185"/>
  <c r="X19" i="185" s="1"/>
  <c r="C31" i="184"/>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I16" i="212"/>
  <c r="B71" i="243"/>
  <c r="G18" i="145"/>
  <c r="S16" i="145"/>
  <c r="O16" i="145"/>
  <c r="Q17" i="145"/>
  <c r="N17" i="145"/>
  <c r="B15" i="78" s="1"/>
  <c r="B26" i="243"/>
  <c r="D15" i="85"/>
  <c r="C59" i="85" s="1"/>
  <c r="E14" i="85"/>
  <c r="E58" i="85" s="1"/>
  <c r="B22" i="238"/>
  <c r="B66" i="167"/>
  <c r="D64" i="167"/>
  <c r="M16" i="238" s="1"/>
  <c r="O16" i="238" s="1"/>
  <c r="P16" i="238" s="1"/>
  <c r="A17" i="85"/>
  <c r="A61" i="85" s="1"/>
  <c r="C313" i="174"/>
  <c r="X14" i="242" l="1"/>
  <c r="T14" i="242"/>
  <c r="S16" i="242"/>
  <c r="F13" i="78"/>
  <c r="M16" i="212"/>
  <c r="AB16" i="212" s="1"/>
  <c r="T16" i="212"/>
  <c r="AC16" i="212" s="1"/>
  <c r="S13" i="242"/>
  <c r="F11" i="78" s="1"/>
  <c r="J312" i="174"/>
  <c r="B72" i="243"/>
  <c r="J26" i="243"/>
  <c r="I26" i="243"/>
  <c r="K25" i="243"/>
  <c r="K18" i="242" s="1"/>
  <c r="D170" i="243"/>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AR12" i="78"/>
  <c r="S15" i="145"/>
  <c r="U16" i="238"/>
  <c r="Q16" i="238"/>
  <c r="Q210" i="174"/>
  <c r="H351" i="174"/>
  <c r="AE15" i="212"/>
  <c r="AS13" i="78"/>
  <c r="F14" i="78"/>
  <c r="X16" i="242"/>
  <c r="T16" i="242"/>
  <c r="W14" i="238"/>
  <c r="AA12" i="78"/>
  <c r="S20" i="185"/>
  <c r="Y20" i="185" s="1"/>
  <c r="R20" i="185"/>
  <c r="X20" i="185" s="1"/>
  <c r="C32" i="184"/>
  <c r="Q163" i="174"/>
  <c r="R163" i="174" s="1"/>
  <c r="Q257" i="174"/>
  <c r="R257" i="174" s="1"/>
  <c r="P210" i="174"/>
  <c r="D65" i="167"/>
  <c r="M17" i="238" s="1"/>
  <c r="O17" i="238" s="1"/>
  <c r="P17" i="238" s="1"/>
  <c r="G31" i="272"/>
  <c r="I350" i="174"/>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T17" i="212"/>
  <c r="I17" i="212"/>
  <c r="I18" i="145"/>
  <c r="G19" i="145"/>
  <c r="I19" i="145" s="1"/>
  <c r="J19" i="145" s="1"/>
  <c r="O17" i="145"/>
  <c r="C15" i="78" s="1"/>
  <c r="S17" i="145"/>
  <c r="B27" i="243"/>
  <c r="D16" i="85"/>
  <c r="C60" i="85" s="1"/>
  <c r="E15" i="85"/>
  <c r="E59" i="85" s="1"/>
  <c r="G32" i="272"/>
  <c r="D31" i="184"/>
  <c r="D30" i="184"/>
  <c r="B67" i="167"/>
  <c r="A18" i="85"/>
  <c r="A62" i="85" s="1"/>
  <c r="C314" i="174"/>
  <c r="Y14" i="242" l="1"/>
  <c r="G12" i="78"/>
  <c r="X13" i="242"/>
  <c r="T13" i="242"/>
  <c r="K350" i="174"/>
  <c r="M17" i="212"/>
  <c r="AB17" i="212" s="1"/>
  <c r="G11" i="78"/>
  <c r="Y13" i="242"/>
  <c r="K26" i="243"/>
  <c r="K71" i="243"/>
  <c r="Q18" i="242" s="1"/>
  <c r="R18" i="242" s="1"/>
  <c r="W18" i="242" s="1"/>
  <c r="B73" i="243"/>
  <c r="I27" i="243"/>
  <c r="J27" i="243"/>
  <c r="O70" i="174"/>
  <c r="O164" i="174"/>
  <c r="O211" i="174"/>
  <c r="O258" i="174"/>
  <c r="O117" i="174"/>
  <c r="Q117" i="174" s="1"/>
  <c r="R117" i="174" s="1"/>
  <c r="F352" i="174"/>
  <c r="N259" i="174"/>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AD15" i="212"/>
  <c r="AR13" i="78"/>
  <c r="L19" i="238"/>
  <c r="N19" i="238" s="1"/>
  <c r="D33" i="272"/>
  <c r="G19" i="238"/>
  <c r="I19" i="238" s="1"/>
  <c r="K19" i="238" s="1"/>
  <c r="S21" i="185"/>
  <c r="Y21" i="185" s="1"/>
  <c r="R21" i="185"/>
  <c r="X21" i="185" s="1"/>
  <c r="C33" i="184"/>
  <c r="J351" i="174"/>
  <c r="K351" i="174" s="1"/>
  <c r="P258" i="174"/>
  <c r="G352" i="174"/>
  <c r="W15" i="238"/>
  <c r="AA13" i="78"/>
  <c r="F15" i="78"/>
  <c r="X17" i="242"/>
  <c r="T17" i="242"/>
  <c r="P259" i="174"/>
  <c r="P70" i="174"/>
  <c r="R210" i="174"/>
  <c r="Z14" i="78"/>
  <c r="V16" i="238"/>
  <c r="R16" i="238"/>
  <c r="Y16" i="242"/>
  <c r="G14" i="78"/>
  <c r="AE16" i="212"/>
  <c r="W16" i="229"/>
  <c r="U16" i="229"/>
  <c r="R16" i="229"/>
  <c r="V16" i="229"/>
  <c r="S16" i="229"/>
  <c r="T16" i="229"/>
  <c r="X15" i="229"/>
  <c r="Y14" i="229"/>
  <c r="V12" i="78" s="1"/>
  <c r="AC14" i="229"/>
  <c r="G19" i="229"/>
  <c r="P19" i="229"/>
  <c r="Z13" i="229"/>
  <c r="W11" i="78" s="1"/>
  <c r="AD13" i="229"/>
  <c r="Y16" i="212"/>
  <c r="AR14" i="78" s="1"/>
  <c r="U17" i="212"/>
  <c r="V17" i="212" s="1"/>
  <c r="Z17" i="212" s="1"/>
  <c r="I18" i="212"/>
  <c r="G20" i="145"/>
  <c r="T17" i="145"/>
  <c r="Q19" i="145"/>
  <c r="N19" i="145"/>
  <c r="B28" i="243"/>
  <c r="D17" i="85"/>
  <c r="C61" i="85" s="1"/>
  <c r="E16" i="85"/>
  <c r="E60" i="85" s="1"/>
  <c r="G33" i="272"/>
  <c r="D32" i="184"/>
  <c r="B68" i="167"/>
  <c r="D66" i="167"/>
  <c r="M18" i="238" s="1"/>
  <c r="O18" i="238" s="1"/>
  <c r="P18" i="238" s="1"/>
  <c r="K19" i="242"/>
  <c r="A19" i="85"/>
  <c r="A63" i="85" s="1"/>
  <c r="C315" i="174"/>
  <c r="M18" i="212" l="1"/>
  <c r="AB18" i="212" s="1"/>
  <c r="T18" i="212"/>
  <c r="AC18" i="212" s="1"/>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B74" i="243"/>
  <c r="I28" i="243"/>
  <c r="J28" i="243"/>
  <c r="J73" i="243"/>
  <c r="I73" i="243"/>
  <c r="Q18" i="145"/>
  <c r="F315" i="174"/>
  <c r="H315" i="174" s="1"/>
  <c r="G315" i="174"/>
  <c r="I315" i="174" s="1"/>
  <c r="R118" i="174"/>
  <c r="U17" i="229"/>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S22" i="185"/>
  <c r="Y22" i="185" s="1"/>
  <c r="R22" i="185"/>
  <c r="X22" i="185" s="1"/>
  <c r="C34" i="184"/>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I19" i="212"/>
  <c r="I20" i="145"/>
  <c r="G21" i="145"/>
  <c r="I21" i="145" s="1"/>
  <c r="J21" i="145" s="1"/>
  <c r="O19" i="145"/>
  <c r="C17" i="78" s="1"/>
  <c r="S19" i="145"/>
  <c r="B29" i="243"/>
  <c r="D18" i="85"/>
  <c r="C62" i="85" s="1"/>
  <c r="E17" i="85"/>
  <c r="E61" i="85" s="1"/>
  <c r="G34" i="272"/>
  <c r="D33" i="184"/>
  <c r="B69" i="167"/>
  <c r="D67" i="167"/>
  <c r="M19" i="238" s="1"/>
  <c r="O19" i="238" s="1"/>
  <c r="P19" i="238" s="1"/>
  <c r="K20" i="242"/>
  <c r="L20" i="242" s="1"/>
  <c r="V20" i="242" s="1"/>
  <c r="A20" i="85"/>
  <c r="A64" i="85" s="1"/>
  <c r="C316" i="174"/>
  <c r="J315" i="174" l="1"/>
  <c r="X17" i="229"/>
  <c r="AC17" i="229" s="1"/>
  <c r="M19" i="212"/>
  <c r="AB19" i="212" s="1"/>
  <c r="T19" i="212"/>
  <c r="AC19" i="212" s="1"/>
  <c r="K28" i="243"/>
  <c r="O73" i="174"/>
  <c r="F355" i="174"/>
  <c r="H355" i="174" s="1"/>
  <c r="J355" i="174" s="1"/>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R23" i="185"/>
  <c r="X23" i="185" s="1"/>
  <c r="S23" i="185"/>
  <c r="Y23" i="185" s="1"/>
  <c r="C35" i="184"/>
  <c r="Y17" i="229"/>
  <c r="V15" i="78" s="1"/>
  <c r="J20" i="145"/>
  <c r="Q20" i="145" s="1"/>
  <c r="Z16" i="78"/>
  <c r="R18" i="238"/>
  <c r="V18" i="238"/>
  <c r="J352" i="174"/>
  <c r="K352" i="174" s="1"/>
  <c r="P72" i="174"/>
  <c r="R72" i="174" s="1"/>
  <c r="AE18" i="212"/>
  <c r="AS16" i="78"/>
  <c r="W17" i="238"/>
  <c r="AA15" i="78"/>
  <c r="Y18" i="212"/>
  <c r="AR16" i="78" s="1"/>
  <c r="G21" i="229"/>
  <c r="P21" i="229"/>
  <c r="Q19" i="229"/>
  <c r="AD15" i="229"/>
  <c r="Z15" i="229"/>
  <c r="S18" i="229"/>
  <c r="T18" i="229"/>
  <c r="U18" i="229"/>
  <c r="W18" i="229"/>
  <c r="V18" i="229"/>
  <c r="R18" i="229"/>
  <c r="Y16" i="229"/>
  <c r="V14" i="78" s="1"/>
  <c r="AC16" i="229"/>
  <c r="U19" i="212"/>
  <c r="V19" i="212" s="1"/>
  <c r="Z19" i="212" s="1"/>
  <c r="I20" i="212"/>
  <c r="G22" i="145"/>
  <c r="I22" i="145" s="1"/>
  <c r="J22" i="145" s="1"/>
  <c r="T19" i="145"/>
  <c r="Q21" i="145"/>
  <c r="N21" i="145"/>
  <c r="B19" i="78" s="1"/>
  <c r="B33" i="229"/>
  <c r="B30" i="243"/>
  <c r="D19" i="85"/>
  <c r="C63" i="85" s="1"/>
  <c r="G35" i="272"/>
  <c r="D34" i="184"/>
  <c r="D68" i="167"/>
  <c r="M20" i="238" s="1"/>
  <c r="O20" i="238" s="1"/>
  <c r="P20" i="238" s="1"/>
  <c r="B70" i="167"/>
  <c r="K21" i="242"/>
  <c r="L21" i="242" s="1"/>
  <c r="V21" i="242" s="1"/>
  <c r="A21" i="85"/>
  <c r="A65" i="85" s="1"/>
  <c r="E18" i="85"/>
  <c r="E62" i="85" s="1"/>
  <c r="C317" i="174"/>
  <c r="M20" i="212" l="1"/>
  <c r="AB20" i="212" s="1"/>
  <c r="T20" i="212"/>
  <c r="AC20" i="212" s="1"/>
  <c r="J316" i="174"/>
  <c r="N262" i="174"/>
  <c r="E356" i="174"/>
  <c r="N74" i="174"/>
  <c r="P74" i="174" s="1"/>
  <c r="N215" i="174"/>
  <c r="P215" i="174" s="1"/>
  <c r="N168" i="174"/>
  <c r="P168" i="174" s="1"/>
  <c r="N121" i="174"/>
  <c r="P121" i="174" s="1"/>
  <c r="K355" i="174"/>
  <c r="K29" i="243"/>
  <c r="K22" i="242" s="1"/>
  <c r="L22" i="242" s="1"/>
  <c r="V22" i="242" s="1"/>
  <c r="S20" i="242"/>
  <c r="T20"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Z17" i="229"/>
  <c r="AE17" i="229" s="1"/>
  <c r="AD17" i="229"/>
  <c r="R120" i="174"/>
  <c r="N20" i="145"/>
  <c r="S20" i="145" s="1"/>
  <c r="R214" i="174"/>
  <c r="U20" i="238"/>
  <c r="Q20" i="238"/>
  <c r="Q73" i="174"/>
  <c r="R73" i="174" s="1"/>
  <c r="S24" i="185"/>
  <c r="Y24" i="185" s="1"/>
  <c r="R24" i="185"/>
  <c r="X24" i="185" s="1"/>
  <c r="C36" i="184"/>
  <c r="R261" i="174"/>
  <c r="R167" i="174"/>
  <c r="W18" i="238"/>
  <c r="AA16" i="78"/>
  <c r="P262" i="174"/>
  <c r="G356" i="174"/>
  <c r="I356" i="174" s="1"/>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I21" i="212"/>
  <c r="G23" i="145"/>
  <c r="I23" i="145" s="1"/>
  <c r="J23" i="145" s="1"/>
  <c r="S21" i="145"/>
  <c r="O21" i="145"/>
  <c r="Q22" i="145"/>
  <c r="N22" i="145"/>
  <c r="B20" i="78" s="1"/>
  <c r="B31" i="243"/>
  <c r="E19" i="85"/>
  <c r="E63" i="85" s="1"/>
  <c r="D20" i="85"/>
  <c r="C64" i="85" s="1"/>
  <c r="G36" i="272"/>
  <c r="D35" i="184"/>
  <c r="B71" i="167"/>
  <c r="D69" i="167"/>
  <c r="M21" i="238" s="1"/>
  <c r="O21" i="238" s="1"/>
  <c r="P21" i="238" s="1"/>
  <c r="A22" i="85"/>
  <c r="A66" i="85" s="1"/>
  <c r="C318" i="174"/>
  <c r="M21" i="212" l="1"/>
  <c r="AB21" i="212" s="1"/>
  <c r="T21" i="212"/>
  <c r="AC21" i="212" s="1"/>
  <c r="W15" i="78"/>
  <c r="O20" i="145"/>
  <c r="X20" i="242"/>
  <c r="F18" i="78"/>
  <c r="K75" i="243"/>
  <c r="Q22" i="242" s="1"/>
  <c r="R22" i="242" s="1"/>
  <c r="W22" i="242" s="1"/>
  <c r="S21" i="242"/>
  <c r="F19" i="78"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R25" i="185"/>
  <c r="X25" i="185" s="1"/>
  <c r="S25" i="185"/>
  <c r="Y25" i="185" s="1"/>
  <c r="C37" i="184"/>
  <c r="Y20" i="242"/>
  <c r="G18" i="78"/>
  <c r="U21" i="238"/>
  <c r="Q21" i="238"/>
  <c r="K356" i="174"/>
  <c r="W19" i="238"/>
  <c r="AA17" i="78"/>
  <c r="R168" i="174"/>
  <c r="R74" i="174"/>
  <c r="R215" i="174"/>
  <c r="Z18" i="78"/>
  <c r="V20" i="238"/>
  <c r="R20" i="238"/>
  <c r="AD20" i="212"/>
  <c r="AR18" i="78"/>
  <c r="T21" i="145"/>
  <c r="C19" i="78"/>
  <c r="T20" i="145"/>
  <c r="C18" i="78"/>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I22" i="212"/>
  <c r="M22" i="212" s="1"/>
  <c r="G24" i="145"/>
  <c r="I24" i="145" s="1"/>
  <c r="J24" i="145" s="1"/>
  <c r="O22" i="145"/>
  <c r="S22" i="145"/>
  <c r="Q23" i="145"/>
  <c r="N23" i="145"/>
  <c r="B21" i="78" s="1"/>
  <c r="B32" i="243"/>
  <c r="D21" i="85"/>
  <c r="C65" i="85" s="1"/>
  <c r="E20" i="85"/>
  <c r="E64" i="85" s="1"/>
  <c r="G37" i="272"/>
  <c r="D36" i="184"/>
  <c r="D70" i="167"/>
  <c r="M22" i="238" s="1"/>
  <c r="O22" i="238" s="1"/>
  <c r="P22" i="238" s="1"/>
  <c r="B72" i="167"/>
  <c r="A23" i="85"/>
  <c r="A67" i="85" s="1"/>
  <c r="C319" i="174"/>
  <c r="X21" i="242" l="1"/>
  <c r="T21" i="242"/>
  <c r="Y21" i="242" s="1"/>
  <c r="S22" i="242"/>
  <c r="T22" i="212"/>
  <c r="AC22" i="212" s="1"/>
  <c r="J318" i="174"/>
  <c r="I77" i="243"/>
  <c r="J77" i="243"/>
  <c r="K76" i="243"/>
  <c r="Q23" i="242" s="1"/>
  <c r="R23" i="242" s="1"/>
  <c r="W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K24" i="242" s="1"/>
  <c r="L24" i="242" s="1"/>
  <c r="V24" i="242" s="1"/>
  <c r="F319" i="174"/>
  <c r="H319" i="174" s="1"/>
  <c r="G319" i="174"/>
  <c r="I319" i="174" s="1"/>
  <c r="K357" i="174"/>
  <c r="R263" i="174"/>
  <c r="Q22" i="238"/>
  <c r="U22" i="238"/>
  <c r="Q75" i="174"/>
  <c r="R75" i="174" s="1"/>
  <c r="R169" i="174"/>
  <c r="R122" i="174"/>
  <c r="S26" i="185"/>
  <c r="Y26" i="185" s="1"/>
  <c r="R26" i="185"/>
  <c r="X26" i="185" s="1"/>
  <c r="C38" i="184"/>
  <c r="F20" i="78"/>
  <c r="T22" i="242"/>
  <c r="X22" i="242"/>
  <c r="Z19" i="78"/>
  <c r="V21" i="238"/>
  <c r="R21" i="238"/>
  <c r="G24" i="238"/>
  <c r="I24" i="238" s="1"/>
  <c r="K24" i="238" s="1"/>
  <c r="T24" i="238" s="1"/>
  <c r="L24" i="238"/>
  <c r="N24" i="238" s="1"/>
  <c r="D38" i="272"/>
  <c r="W20" i="238"/>
  <c r="AA18" i="78"/>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AB22" i="212"/>
  <c r="T23" i="212"/>
  <c r="I23" i="212"/>
  <c r="B78" i="243"/>
  <c r="G25" i="145"/>
  <c r="I25" i="145" s="1"/>
  <c r="J25" i="145" s="1"/>
  <c r="O23" i="145"/>
  <c r="S23" i="145"/>
  <c r="Q24" i="145"/>
  <c r="N24" i="145"/>
  <c r="B22" i="78" s="1"/>
  <c r="B33" i="243"/>
  <c r="E21" i="85"/>
  <c r="E65" i="85" s="1"/>
  <c r="D22" i="85"/>
  <c r="C66" i="85" s="1"/>
  <c r="G38" i="272"/>
  <c r="D37" i="184"/>
  <c r="B73" i="167"/>
  <c r="D71" i="167"/>
  <c r="M23" i="238" s="1"/>
  <c r="O23" i="238" s="1"/>
  <c r="P23" i="238" s="1"/>
  <c r="A24" i="85"/>
  <c r="A68" i="85" s="1"/>
  <c r="C320" i="174"/>
  <c r="S23" i="242" l="1"/>
  <c r="G19" i="78"/>
  <c r="R264" i="174"/>
  <c r="M23" i="212"/>
  <c r="AB23" i="212" s="1"/>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D171" i="243"/>
  <c r="I78" i="243"/>
  <c r="J78" i="243"/>
  <c r="K77" i="243"/>
  <c r="Q24" i="242" s="1"/>
  <c r="R24" i="242" s="1"/>
  <c r="S24" i="242" s="1"/>
  <c r="F320" i="174"/>
  <c r="H320" i="174" s="1"/>
  <c r="G320" i="174"/>
  <c r="I320" i="174" s="1"/>
  <c r="J320" i="174" s="1"/>
  <c r="R170" i="174"/>
  <c r="K358" i="174"/>
  <c r="Y20" i="229"/>
  <c r="V18" i="78" s="1"/>
  <c r="R123" i="174"/>
  <c r="Q23" i="238"/>
  <c r="U23" i="238"/>
  <c r="R76" i="174"/>
  <c r="R217" i="174"/>
  <c r="W21" i="238"/>
  <c r="AA19" i="78"/>
  <c r="Y22" i="242"/>
  <c r="G20" i="78"/>
  <c r="F21" i="78"/>
  <c r="T23" i="242"/>
  <c r="X23" i="242"/>
  <c r="L25" i="238"/>
  <c r="N25" i="238" s="1"/>
  <c r="D39" i="272"/>
  <c r="G25" i="238"/>
  <c r="I25" i="238" s="1"/>
  <c r="K25" i="238" s="1"/>
  <c r="T25" i="238" s="1"/>
  <c r="R27" i="185"/>
  <c r="X27" i="185" s="1"/>
  <c r="S27" i="185"/>
  <c r="Y27" i="185" s="1"/>
  <c r="C39" i="184"/>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I24" i="212"/>
  <c r="G26" i="145"/>
  <c r="I26" i="145" s="1"/>
  <c r="J26" i="145" s="1"/>
  <c r="O24" i="145"/>
  <c r="S24" i="145"/>
  <c r="Q25" i="145"/>
  <c r="N25" i="145"/>
  <c r="B23" i="78" s="1"/>
  <c r="B34" i="243"/>
  <c r="D23" i="85"/>
  <c r="C67" i="85" s="1"/>
  <c r="E22" i="85"/>
  <c r="E66" i="85" s="1"/>
  <c r="G39" i="272"/>
  <c r="D38" i="184"/>
  <c r="D72" i="167"/>
  <c r="M24" i="238" s="1"/>
  <c r="O24" i="238" s="1"/>
  <c r="P24" i="238" s="1"/>
  <c r="B74" i="167"/>
  <c r="B79" i="243"/>
  <c r="A25" i="85"/>
  <c r="A69" i="85" s="1"/>
  <c r="C321" i="174"/>
  <c r="M24" i="212" l="1"/>
  <c r="AB24" i="212" s="1"/>
  <c r="T24" i="212"/>
  <c r="AC24" i="212" s="1"/>
  <c r="W24" i="242"/>
  <c r="AD20" i="229"/>
  <c r="K78" i="243"/>
  <c r="Q25" i="242" s="1"/>
  <c r="R25" i="242" s="1"/>
  <c r="W25" i="242" s="1"/>
  <c r="Z20" i="229"/>
  <c r="AE20" i="229" s="1"/>
  <c r="R218" i="174"/>
  <c r="K33" i="243"/>
  <c r="N78" i="174"/>
  <c r="P78" i="174" s="1"/>
  <c r="N125" i="174"/>
  <c r="P125" i="174" s="1"/>
  <c r="N172" i="174"/>
  <c r="P172" i="174" s="1"/>
  <c r="E360" i="174"/>
  <c r="G360" i="174" s="1"/>
  <c r="I360" i="174" s="1"/>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R171" i="174"/>
  <c r="K359" i="174"/>
  <c r="R77" i="174"/>
  <c r="R265" i="174"/>
  <c r="R124" i="174"/>
  <c r="Q24" i="238"/>
  <c r="U24" i="238"/>
  <c r="D40" i="272"/>
  <c r="G26" i="238"/>
  <c r="I26" i="238" s="1"/>
  <c r="K26" i="238" s="1"/>
  <c r="T26" i="238" s="1"/>
  <c r="L26" i="238"/>
  <c r="N26" i="238" s="1"/>
  <c r="S28" i="185"/>
  <c r="Y28" i="185" s="1"/>
  <c r="R28" i="185"/>
  <c r="X28" i="185" s="1"/>
  <c r="C40" i="184"/>
  <c r="AD23" i="212"/>
  <c r="AR21" i="78"/>
  <c r="W22" i="238"/>
  <c r="AA20" i="78"/>
  <c r="AE19" i="229"/>
  <c r="W17" i="78"/>
  <c r="F22" i="78"/>
  <c r="T24" i="242"/>
  <c r="X24" i="242"/>
  <c r="Y23" i="242"/>
  <c r="G21"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K26" i="242"/>
  <c r="G27" i="145"/>
  <c r="I27" i="145" s="1"/>
  <c r="J27" i="145" s="1"/>
  <c r="O25" i="145"/>
  <c r="S25" i="145"/>
  <c r="Q26" i="145"/>
  <c r="N26" i="145"/>
  <c r="B24" i="78" s="1"/>
  <c r="D24" i="85"/>
  <c r="C68" i="85" s="1"/>
  <c r="B35" i="243"/>
  <c r="E23" i="85"/>
  <c r="E67" i="85" s="1"/>
  <c r="G40" i="272"/>
  <c r="D39" i="184"/>
  <c r="B75" i="167"/>
  <c r="D73" i="167"/>
  <c r="M25" i="238" s="1"/>
  <c r="O25" i="238" s="1"/>
  <c r="P25" i="238" s="1"/>
  <c r="A26" i="85"/>
  <c r="A70" i="85" s="1"/>
  <c r="C322" i="174"/>
  <c r="W18" i="78" l="1"/>
  <c r="J321" i="174"/>
  <c r="M25" i="212"/>
  <c r="AB25" i="212" s="1"/>
  <c r="T25" i="212"/>
  <c r="AC25" i="212" s="1"/>
  <c r="R125" i="174"/>
  <c r="R219" i="174"/>
  <c r="K34" i="243"/>
  <c r="K27" i="242" s="1"/>
  <c r="L27" i="242" s="1"/>
  <c r="V27" i="242" s="1"/>
  <c r="K79" i="243"/>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AE23" i="212"/>
  <c r="AS21" i="78"/>
  <c r="K360" i="174"/>
  <c r="G27" i="238"/>
  <c r="I27" i="238" s="1"/>
  <c r="K27" i="238" s="1"/>
  <c r="T27" i="238" s="1"/>
  <c r="D41" i="272"/>
  <c r="L27" i="238"/>
  <c r="N27" i="238" s="1"/>
  <c r="S29" i="185"/>
  <c r="Y29" i="185" s="1"/>
  <c r="R29" i="185"/>
  <c r="X29" i="185" s="1"/>
  <c r="C41" i="184"/>
  <c r="AD24" i="212"/>
  <c r="AR22" i="78"/>
  <c r="R78" i="174"/>
  <c r="W23" i="238"/>
  <c r="AA21" i="78"/>
  <c r="Y24" i="242"/>
  <c r="G22"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5" i="78" s="1"/>
  <c r="B36" i="243"/>
  <c r="E24" i="85"/>
  <c r="E68" i="85" s="1"/>
  <c r="D25" i="85"/>
  <c r="C69" i="85" s="1"/>
  <c r="G41" i="272"/>
  <c r="D40" i="184"/>
  <c r="D74" i="167"/>
  <c r="M26" i="238" s="1"/>
  <c r="O26" i="238" s="1"/>
  <c r="P26" i="238" s="1"/>
  <c r="B76" i="167"/>
  <c r="Q26" i="242"/>
  <c r="R26" i="242" s="1"/>
  <c r="A27" i="85"/>
  <c r="A71" i="85" s="1"/>
  <c r="C323" i="174"/>
  <c r="M26" i="212" l="1"/>
  <c r="AB26" i="212" s="1"/>
  <c r="J322" i="174"/>
  <c r="R267" i="174"/>
  <c r="K80" i="243"/>
  <c r="Q27" i="242" s="1"/>
  <c r="R27" i="242" s="1"/>
  <c r="S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H323" i="174" s="1"/>
  <c r="G323" i="174"/>
  <c r="I323" i="174" s="1"/>
  <c r="R126" i="174"/>
  <c r="R173" i="174"/>
  <c r="R79" i="174"/>
  <c r="R30" i="185"/>
  <c r="X30" i="185" s="1"/>
  <c r="S30" i="185"/>
  <c r="Y30" i="185" s="1"/>
  <c r="C42" i="184"/>
  <c r="W26" i="242"/>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O27" i="145"/>
  <c r="S27" i="145"/>
  <c r="G29" i="145"/>
  <c r="I29" i="145" s="1"/>
  <c r="J29" i="145" s="1"/>
  <c r="Q28" i="145"/>
  <c r="N28" i="145"/>
  <c r="B26" i="78" s="1"/>
  <c r="B37" i="243"/>
  <c r="D26" i="85"/>
  <c r="C70" i="85" s="1"/>
  <c r="G42" i="272"/>
  <c r="D41" i="184"/>
  <c r="B77" i="167"/>
  <c r="D75" i="167"/>
  <c r="M27" i="238" s="1"/>
  <c r="O27" i="238" s="1"/>
  <c r="P27" i="238" s="1"/>
  <c r="E25" i="85"/>
  <c r="E69" i="85" s="1"/>
  <c r="A28" i="85"/>
  <c r="A72" i="85" s="1"/>
  <c r="C324" i="174"/>
  <c r="F324" i="174" s="1"/>
  <c r="H324" i="174" s="1"/>
  <c r="M27" i="212" l="1"/>
  <c r="AB27" i="212" s="1"/>
  <c r="T27" i="212"/>
  <c r="AC27" i="212" s="1"/>
  <c r="W27" i="242"/>
  <c r="O222" i="174"/>
  <c r="F363" i="174"/>
  <c r="H363" i="174" s="1"/>
  <c r="J363" i="174" s="1"/>
  <c r="O128" i="174"/>
  <c r="Q128" i="174" s="1"/>
  <c r="O175" i="174"/>
  <c r="Q175" i="174" s="1"/>
  <c r="O81" i="174"/>
  <c r="Q81" i="174" s="1"/>
  <c r="O269" i="174"/>
  <c r="Q269" i="174" s="1"/>
  <c r="K36" i="243"/>
  <c r="K29" i="242" s="1"/>
  <c r="L29" i="242" s="1"/>
  <c r="V29" i="242" s="1"/>
  <c r="I82" i="243"/>
  <c r="J82" i="243"/>
  <c r="B83" i="243"/>
  <c r="I37" i="243"/>
  <c r="J37" i="243"/>
  <c r="K81" i="243"/>
  <c r="Q28" i="242" s="1"/>
  <c r="R28" i="242" s="1"/>
  <c r="S28" i="242" s="1"/>
  <c r="N269" i="174"/>
  <c r="P269" i="174" s="1"/>
  <c r="N128" i="174"/>
  <c r="P128" i="174" s="1"/>
  <c r="N222" i="174"/>
  <c r="P222" i="174" s="1"/>
  <c r="N175" i="174"/>
  <c r="P175" i="174" s="1"/>
  <c r="N81" i="174"/>
  <c r="P81" i="174" s="1"/>
  <c r="E363" i="174"/>
  <c r="G363" i="174" s="1"/>
  <c r="I363" i="174" s="1"/>
  <c r="J323" i="174"/>
  <c r="Q27" i="238"/>
  <c r="U27" i="238"/>
  <c r="F25" i="78"/>
  <c r="T27" i="242"/>
  <c r="X27" i="242"/>
  <c r="R31" i="185"/>
  <c r="X31" i="185" s="1"/>
  <c r="S31" i="185"/>
  <c r="Y31" i="185" s="1"/>
  <c r="C43" i="184"/>
  <c r="AD26" i="212"/>
  <c r="AR24" i="78"/>
  <c r="Z24" i="78"/>
  <c r="R26" i="238"/>
  <c r="V26" i="238"/>
  <c r="R127" i="174"/>
  <c r="W25" i="238"/>
  <c r="AA23" i="78"/>
  <c r="R80" i="174"/>
  <c r="K362" i="174"/>
  <c r="R268" i="174"/>
  <c r="Q222" i="174"/>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G30" i="145"/>
  <c r="I30" i="145" s="1"/>
  <c r="J30" i="145" s="1"/>
  <c r="S28" i="145"/>
  <c r="O28" i="145"/>
  <c r="Q29" i="145"/>
  <c r="N29" i="145"/>
  <c r="B27" i="78" s="1"/>
  <c r="B38" i="243"/>
  <c r="E26" i="85"/>
  <c r="E70" i="85" s="1"/>
  <c r="D27" i="85"/>
  <c r="C71" i="85" s="1"/>
  <c r="G43" i="272"/>
  <c r="D42" i="184"/>
  <c r="D76" i="167"/>
  <c r="M28" i="238" s="1"/>
  <c r="O28" i="238" s="1"/>
  <c r="P28" i="238" s="1"/>
  <c r="B78" i="167"/>
  <c r="A29" i="85"/>
  <c r="A73" i="85" s="1"/>
  <c r="C325" i="174"/>
  <c r="M28" i="212" l="1"/>
  <c r="AB28" i="212" s="1"/>
  <c r="T28" i="212"/>
  <c r="AC28" i="212" s="1"/>
  <c r="W28" i="242"/>
  <c r="K37" i="243"/>
  <c r="R222" i="174"/>
  <c r="J83" i="243"/>
  <c r="I83" i="243"/>
  <c r="K82" i="243"/>
  <c r="Q29" i="242" s="1"/>
  <c r="R29" i="242" s="1"/>
  <c r="S29" i="242" s="1"/>
  <c r="N176" i="174"/>
  <c r="P176" i="174" s="1"/>
  <c r="N82" i="174"/>
  <c r="P82" i="174" s="1"/>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F26" i="78"/>
  <c r="T28" i="242"/>
  <c r="X28" i="242"/>
  <c r="R128" i="174"/>
  <c r="W26" i="238"/>
  <c r="AA24" i="78"/>
  <c r="Y27" i="242"/>
  <c r="G25" i="78"/>
  <c r="K363" i="174"/>
  <c r="R81" i="174"/>
  <c r="S32" i="185"/>
  <c r="Y32" i="185" s="1"/>
  <c r="R32" i="185"/>
  <c r="X32" i="185" s="1"/>
  <c r="C44" i="18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S29" i="145"/>
  <c r="O29" i="145"/>
  <c r="G31" i="145"/>
  <c r="I31" i="145" s="1"/>
  <c r="J31" i="145" s="1"/>
  <c r="Q30" i="145"/>
  <c r="N30" i="145"/>
  <c r="B28" i="78" s="1"/>
  <c r="B39" i="243"/>
  <c r="E27" i="85"/>
  <c r="E71" i="85" s="1"/>
  <c r="G44" i="272"/>
  <c r="D43" i="184"/>
  <c r="B79" i="167"/>
  <c r="D77" i="167"/>
  <c r="M29" i="238" s="1"/>
  <c r="O29" i="238" s="1"/>
  <c r="P29" i="238" s="1"/>
  <c r="K30" i="242"/>
  <c r="L30" i="242" s="1"/>
  <c r="V30" i="242" s="1"/>
  <c r="D28" i="85"/>
  <c r="C72" i="85" s="1"/>
  <c r="A30" i="85"/>
  <c r="A74" i="85" s="1"/>
  <c r="M29" i="212" l="1"/>
  <c r="AB29" i="212" s="1"/>
  <c r="T29" i="212"/>
  <c r="AC29" i="212" s="1"/>
  <c r="K83" i="243"/>
  <c r="Q30" i="242" s="1"/>
  <c r="R30" i="242" s="1"/>
  <c r="K38" i="243"/>
  <c r="W29" i="242"/>
  <c r="N177" i="174"/>
  <c r="P177" i="174" s="1"/>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Y28" i="242"/>
  <c r="G26" i="78"/>
  <c r="S30" i="242"/>
  <c r="W30" i="242"/>
  <c r="AE28" i="212"/>
  <c r="AS26" i="78"/>
  <c r="G31" i="238"/>
  <c r="I31" i="238" s="1"/>
  <c r="K31" i="238" s="1"/>
  <c r="T31" i="238" s="1"/>
  <c r="D45" i="272"/>
  <c r="L31" i="238"/>
  <c r="N31" i="238" s="1"/>
  <c r="AE24" i="229"/>
  <c r="W22" i="78"/>
  <c r="W27" i="238"/>
  <c r="AA25" i="78"/>
  <c r="R33" i="185"/>
  <c r="X33" i="185" s="1"/>
  <c r="S33" i="185"/>
  <c r="Y33" i="185" s="1"/>
  <c r="C45" i="184"/>
  <c r="R270"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I30" i="212"/>
  <c r="B85" i="243"/>
  <c r="G32" i="145"/>
  <c r="I32" i="145" s="1"/>
  <c r="J32" i="145" s="1"/>
  <c r="O30" i="145"/>
  <c r="S30" i="145"/>
  <c r="Q31" i="145"/>
  <c r="N31" i="145"/>
  <c r="B29" i="78" s="1"/>
  <c r="B40" i="243"/>
  <c r="D29" i="85"/>
  <c r="C73" i="85" s="1"/>
  <c r="G45" i="272"/>
  <c r="D44" i="184"/>
  <c r="B80" i="167"/>
  <c r="D78" i="167"/>
  <c r="M30" i="238" s="1"/>
  <c r="O30" i="238" s="1"/>
  <c r="P30" i="238" s="1"/>
  <c r="K31" i="242"/>
  <c r="L31" i="242" s="1"/>
  <c r="V31" i="242" s="1"/>
  <c r="E28" i="85"/>
  <c r="E72" i="85" s="1"/>
  <c r="A31" i="85"/>
  <c r="A75" i="85" s="1"/>
  <c r="R177" i="174" l="1"/>
  <c r="M30" i="212"/>
  <c r="AB30" i="212" s="1"/>
  <c r="T30" i="212"/>
  <c r="AC30" i="212" s="1"/>
  <c r="K84" i="243"/>
  <c r="Q31" i="242" s="1"/>
  <c r="R31" i="242" s="1"/>
  <c r="W31" i="242" s="1"/>
  <c r="N131" i="174"/>
  <c r="P131" i="174" s="1"/>
  <c r="N225" i="174"/>
  <c r="P225" i="174" s="1"/>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D172" i="243"/>
  <c r="J85" i="243"/>
  <c r="I85" i="243"/>
  <c r="C328" i="174"/>
  <c r="F327" i="174"/>
  <c r="H327" i="174" s="1"/>
  <c r="R130" i="174"/>
  <c r="R271" i="174"/>
  <c r="R83" i="174"/>
  <c r="R224" i="174"/>
  <c r="U30" i="238"/>
  <c r="Q30" i="238"/>
  <c r="K365" i="174"/>
  <c r="AD29" i="212"/>
  <c r="AR27" i="78"/>
  <c r="D46" i="272"/>
  <c r="G32" i="238"/>
  <c r="I32" i="238" s="1"/>
  <c r="K32" i="238" s="1"/>
  <c r="T32" i="238" s="1"/>
  <c r="L32" i="238"/>
  <c r="N32" i="238" s="1"/>
  <c r="W28" i="238"/>
  <c r="AA26" i="78"/>
  <c r="F28" i="78"/>
  <c r="T30" i="242"/>
  <c r="X30" i="242"/>
  <c r="Y29" i="242"/>
  <c r="G27" i="78"/>
  <c r="AE25" i="229"/>
  <c r="W23" i="78"/>
  <c r="R34" i="185"/>
  <c r="X34" i="185" s="1"/>
  <c r="S34" i="185"/>
  <c r="Y34" i="185" s="1"/>
  <c r="C46" i="184"/>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I31" i="212"/>
  <c r="G36" i="227"/>
  <c r="G35" i="227"/>
  <c r="G35" i="223"/>
  <c r="V36" i="223"/>
  <c r="V35" i="223"/>
  <c r="O31" i="145"/>
  <c r="S31" i="145"/>
  <c r="G33" i="145"/>
  <c r="I33" i="145" s="1"/>
  <c r="J33" i="145" s="1"/>
  <c r="Q32" i="145"/>
  <c r="B41" i="243"/>
  <c r="D30" i="85"/>
  <c r="C74" i="85" s="1"/>
  <c r="E29" i="85"/>
  <c r="E73" i="85" s="1"/>
  <c r="G46" i="272"/>
  <c r="E50" i="272"/>
  <c r="D45" i="184"/>
  <c r="B81" i="167"/>
  <c r="D79" i="167"/>
  <c r="M31" i="238" s="1"/>
  <c r="O31" i="238" s="1"/>
  <c r="P31" i="238" s="1"/>
  <c r="A32" i="85"/>
  <c r="A76" i="85" s="1"/>
  <c r="S31" i="242" l="1"/>
  <c r="M31" i="212"/>
  <c r="AB31" i="212" s="1"/>
  <c r="T31" i="212"/>
  <c r="AC31" i="212" s="1"/>
  <c r="K85" i="243"/>
  <c r="Q32" i="242" s="1"/>
  <c r="R32" i="242" s="1"/>
  <c r="W32" i="24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K36" i="159"/>
  <c r="L36" i="159" s="1"/>
  <c r="M36" i="159" s="1"/>
  <c r="N36" i="159" s="1"/>
  <c r="W36" i="223"/>
  <c r="R131" i="174"/>
  <c r="F50" i="272"/>
  <c r="K36" i="116"/>
  <c r="L36" i="116" s="1"/>
  <c r="M36" i="116" s="1"/>
  <c r="N36" i="116" s="1"/>
  <c r="M36" i="227"/>
  <c r="O36" i="227" s="1"/>
  <c r="F51" i="272"/>
  <c r="K37" i="116"/>
  <c r="L37" i="116" s="1"/>
  <c r="M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R35" i="185"/>
  <c r="X35" i="185" s="1"/>
  <c r="S35" i="185"/>
  <c r="Y35" i="185" s="1"/>
  <c r="C47" i="184"/>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I32" i="212"/>
  <c r="T32" i="212"/>
  <c r="P35" i="227"/>
  <c r="Z36" i="223"/>
  <c r="AD36" i="223"/>
  <c r="AB36" i="223"/>
  <c r="X36" i="223"/>
  <c r="AD35" i="223"/>
  <c r="AB35" i="223"/>
  <c r="Z35" i="223"/>
  <c r="X35" i="223"/>
  <c r="G36" i="223"/>
  <c r="G34" i="145"/>
  <c r="I34" i="145" s="1"/>
  <c r="J34" i="145" s="1"/>
  <c r="Q33" i="145"/>
  <c r="N33" i="145"/>
  <c r="B31" i="78" s="1"/>
  <c r="E51" i="272"/>
  <c r="B42" i="243"/>
  <c r="D31" i="85"/>
  <c r="C75" i="85" s="1"/>
  <c r="E30" i="85"/>
  <c r="E74" i="85" s="1"/>
  <c r="G47" i="272"/>
  <c r="D46" i="184"/>
  <c r="D80" i="167"/>
  <c r="M32" i="238" s="1"/>
  <c r="O32" i="238" s="1"/>
  <c r="P32" i="238" s="1"/>
  <c r="B82" i="167"/>
  <c r="I172" i="179"/>
  <c r="I171" i="179"/>
  <c r="I170" i="179"/>
  <c r="J170" i="179" s="1"/>
  <c r="H25" i="179" s="1"/>
  <c r="A33" i="85"/>
  <c r="A77" i="85" s="1"/>
  <c r="M32" i="212" l="1"/>
  <c r="AB32" i="212" s="1"/>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P86" i="174" s="1"/>
  <c r="N180" i="174"/>
  <c r="P180" i="174" s="1"/>
  <c r="E368" i="174"/>
  <c r="N227" i="174"/>
  <c r="P227" i="174" s="1"/>
  <c r="N274" i="174"/>
  <c r="P274" i="174" s="1"/>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I325" i="174" s="1"/>
  <c r="J325" i="174" s="1"/>
  <c r="E90" i="174"/>
  <c r="E137" i="174"/>
  <c r="E278" i="174"/>
  <c r="G278" i="174" s="1"/>
  <c r="H278" i="174" s="1"/>
  <c r="E184" i="174"/>
  <c r="G184" i="174" s="1"/>
  <c r="H184" i="174" s="1"/>
  <c r="C330" i="174"/>
  <c r="F329" i="174"/>
  <c r="H329" i="174" s="1"/>
  <c r="G329" i="174"/>
  <c r="I329" i="174" s="1"/>
  <c r="R132" i="174"/>
  <c r="J172" i="179"/>
  <c r="H39" i="179" s="1"/>
  <c r="J32" i="170" s="1"/>
  <c r="L32" i="170" s="1"/>
  <c r="J171" i="179"/>
  <c r="H32" i="179" s="1"/>
  <c r="G137" i="174"/>
  <c r="H137" i="174" s="1"/>
  <c r="G90" i="174"/>
  <c r="H90" i="174" s="1"/>
  <c r="K37" i="159"/>
  <c r="L37" i="159" s="1"/>
  <c r="M37" i="159" s="1"/>
  <c r="N37" i="159" s="1"/>
  <c r="W37" i="223"/>
  <c r="R179" i="174"/>
  <c r="Q32" i="238"/>
  <c r="U32" i="238"/>
  <c r="D48" i="272"/>
  <c r="L34" i="238"/>
  <c r="N34" i="238" s="1"/>
  <c r="G34" i="238"/>
  <c r="I34" i="238" s="1"/>
  <c r="K34" i="238" s="1"/>
  <c r="T34" i="238" s="1"/>
  <c r="R36" i="185"/>
  <c r="X36" i="185" s="1"/>
  <c r="S36" i="185"/>
  <c r="Y36" i="185" s="1"/>
  <c r="C48" i="184"/>
  <c r="R273" i="174"/>
  <c r="AE31" i="212"/>
  <c r="AS29" i="78"/>
  <c r="R85" i="174"/>
  <c r="G368" i="174"/>
  <c r="I368" i="174" s="1"/>
  <c r="R226" i="174"/>
  <c r="K367" i="174"/>
  <c r="AE27" i="229"/>
  <c r="W25" i="78"/>
  <c r="X30" i="229"/>
  <c r="AC30" i="229" s="1"/>
  <c r="Y31" i="242"/>
  <c r="G29" i="78"/>
  <c r="W30" i="238"/>
  <c r="AA28" i="78"/>
  <c r="Z29" i="78"/>
  <c r="R31" i="238"/>
  <c r="V31" i="23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AC32" i="212"/>
  <c r="AC33" i="212"/>
  <c r="I33" i="212"/>
  <c r="M33" i="212" s="1"/>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E52" i="272"/>
  <c r="B43" i="243"/>
  <c r="E31" i="85"/>
  <c r="E75" i="85" s="1"/>
  <c r="D32" i="85"/>
  <c r="C76" i="85" s="1"/>
  <c r="K34" i="242"/>
  <c r="L34" i="242" s="1"/>
  <c r="V34" i="242" s="1"/>
  <c r="G48" i="272"/>
  <c r="B83" i="167"/>
  <c r="D81" i="167"/>
  <c r="M33" i="238" s="1"/>
  <c r="O33" i="238" s="1"/>
  <c r="P33" i="238" s="1"/>
  <c r="A34" i="85"/>
  <c r="A78" i="85" s="1"/>
  <c r="R133" i="174" l="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30" i="78" s="1"/>
  <c r="J25" i="170"/>
  <c r="L25" i="170" s="1"/>
  <c r="L7" i="170"/>
  <c r="S7" i="170" s="1"/>
  <c r="J169" i="179"/>
  <c r="H18" i="179" s="1"/>
  <c r="J11" i="170" s="1"/>
  <c r="L11" i="170" s="1"/>
  <c r="V11" i="170" s="1"/>
  <c r="R86" i="174"/>
  <c r="R274" i="174"/>
  <c r="F52" i="272"/>
  <c r="K38" i="116"/>
  <c r="L38" i="116" s="1"/>
  <c r="M38" i="116" s="1"/>
  <c r="N38" i="116" s="1"/>
  <c r="M38" i="227"/>
  <c r="O38" i="227" s="1"/>
  <c r="K38" i="159"/>
  <c r="L38" i="159" s="1"/>
  <c r="M38" i="159" s="1"/>
  <c r="N38" i="159" s="1"/>
  <c r="W38" i="223"/>
  <c r="Y30" i="229"/>
  <c r="V28" i="78" s="1"/>
  <c r="R180" i="174"/>
  <c r="U33" i="238"/>
  <c r="Q33" i="238"/>
  <c r="V26" i="170"/>
  <c r="S26" i="170"/>
  <c r="I324" i="174"/>
  <c r="J324" i="174" s="1"/>
  <c r="V18" i="170"/>
  <c r="S18" i="170"/>
  <c r="V27" i="170"/>
  <c r="S27" i="170"/>
  <c r="W31" i="238"/>
  <c r="AA29" i="78"/>
  <c r="S37" i="185"/>
  <c r="Y37" i="185" s="1"/>
  <c r="R37" i="185"/>
  <c r="X37" i="185" s="1"/>
  <c r="C49" i="184"/>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I34" i="212"/>
  <c r="M34" i="212" s="1"/>
  <c r="AJ35" i="223"/>
  <c r="AK35" i="223" s="1"/>
  <c r="R33" i="78" s="1"/>
  <c r="G38" i="227"/>
  <c r="R35" i="227"/>
  <c r="V35" i="227"/>
  <c r="E53" i="272"/>
  <c r="G47" i="223"/>
  <c r="AD37" i="223"/>
  <c r="AB37" i="223"/>
  <c r="Z37" i="223"/>
  <c r="X37" i="223"/>
  <c r="G38" i="223"/>
  <c r="AA36" i="223"/>
  <c r="AE36" i="223"/>
  <c r="AC36" i="223"/>
  <c r="Y36" i="223"/>
  <c r="V38" i="223"/>
  <c r="G36" i="145"/>
  <c r="I36" i="145" s="1"/>
  <c r="J36" i="145" s="1"/>
  <c r="Q35" i="145"/>
  <c r="N35" i="145"/>
  <c r="B33" i="78" s="1"/>
  <c r="B44" i="243"/>
  <c r="E32" i="85"/>
  <c r="E76" i="85" s="1"/>
  <c r="G49" i="272"/>
  <c r="K35" i="242"/>
  <c r="L35" i="242" s="1"/>
  <c r="V35" i="242" s="1"/>
  <c r="D48" i="184"/>
  <c r="D47" i="184"/>
  <c r="B84" i="167"/>
  <c r="D82" i="167"/>
  <c r="M34" i="238" s="1"/>
  <c r="O34" i="238" s="1"/>
  <c r="P34" i="238" s="1"/>
  <c r="D33" i="85"/>
  <c r="C77" i="85" s="1"/>
  <c r="V36" i="227" l="1"/>
  <c r="L48" i="170"/>
  <c r="V48" i="170" s="1"/>
  <c r="H55" i="179"/>
  <c r="V7" i="170"/>
  <c r="S34" i="242"/>
  <c r="K43" i="243"/>
  <c r="AD30" i="229"/>
  <c r="Z30" i="229"/>
  <c r="W28" i="78" s="1"/>
  <c r="K88" i="243"/>
  <c r="Q35" i="242" s="1"/>
  <c r="R35" i="242" s="1"/>
  <c r="W35" i="242" s="1"/>
  <c r="J330" i="174"/>
  <c r="R36" i="227"/>
  <c r="W36" i="227" s="1"/>
  <c r="T32" i="170"/>
  <c r="I30" i="78" s="1"/>
  <c r="F370" i="174"/>
  <c r="H370" i="174" s="1"/>
  <c r="J370" i="174" s="1"/>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W39" i="223"/>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F32" i="78"/>
  <c r="T34" i="242"/>
  <c r="X34" i="242"/>
  <c r="H16" i="78"/>
  <c r="T18" i="170"/>
  <c r="X18" i="170"/>
  <c r="W35" i="227"/>
  <c r="U33" i="78"/>
  <c r="H33" i="78"/>
  <c r="X35" i="170"/>
  <c r="T35" i="170"/>
  <c r="R275" i="174"/>
  <c r="H17" i="78"/>
  <c r="T19" i="170"/>
  <c r="X19" i="170"/>
  <c r="C50" i="184"/>
  <c r="S38" i="185"/>
  <c r="Y38" i="185" s="1"/>
  <c r="R38" i="185"/>
  <c r="X38" i="185" s="1"/>
  <c r="R134" i="174"/>
  <c r="R87" i="174"/>
  <c r="K369" i="174"/>
  <c r="R181" i="174"/>
  <c r="Z31" i="78"/>
  <c r="R33" i="238"/>
  <c r="V33" i="238"/>
  <c r="AE39" i="212"/>
  <c r="AS37" i="78"/>
  <c r="R228" i="174"/>
  <c r="Y39" i="212"/>
  <c r="U40" i="212"/>
  <c r="Y40" i="212" s="1"/>
  <c r="AB34" i="212"/>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AC35" i="212"/>
  <c r="I35" i="212"/>
  <c r="AC34"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E54" i="272"/>
  <c r="B45" i="243"/>
  <c r="E47" i="78"/>
  <c r="E33" i="85"/>
  <c r="E77" i="85" s="1"/>
  <c r="D34" i="85"/>
  <c r="C78" i="85" s="1"/>
  <c r="C88" i="85" s="1"/>
  <c r="G50" i="272"/>
  <c r="B32" i="229"/>
  <c r="B380" i="213"/>
  <c r="K36" i="242"/>
  <c r="L36" i="242" s="1"/>
  <c r="V36" i="242" s="1"/>
  <c r="D49" i="184"/>
  <c r="D83" i="167"/>
  <c r="M35" i="238" s="1"/>
  <c r="O35" i="238" s="1"/>
  <c r="P35" i="238" s="1"/>
  <c r="B85" i="167"/>
  <c r="B326" i="213"/>
  <c r="B23" i="238"/>
  <c r="Q48" i="200"/>
  <c r="B399" i="213"/>
  <c r="T7" i="170"/>
  <c r="H5" i="78"/>
  <c r="AV5" i="78" s="1"/>
  <c r="X7" i="170"/>
  <c r="AE30" i="229" l="1"/>
  <c r="U34" i="78"/>
  <c r="S35" i="242"/>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G371" i="174" s="1"/>
  <c r="I371" i="174" s="1"/>
  <c r="N89" i="174"/>
  <c r="P89" i="174" s="1"/>
  <c r="N183" i="174"/>
  <c r="P183" i="174" s="1"/>
  <c r="N277" i="174"/>
  <c r="N230" i="174"/>
  <c r="P230" i="174" s="1"/>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K40" i="159"/>
  <c r="L40" i="159" s="1"/>
  <c r="M40" i="159" s="1"/>
  <c r="N40" i="159" s="1"/>
  <c r="N48" i="159" s="1"/>
  <c r="W40" i="223"/>
  <c r="AA40" i="223" s="1"/>
  <c r="F54" i="272"/>
  <c r="K40" i="116"/>
  <c r="L40" i="116" s="1"/>
  <c r="M40" i="116" s="1"/>
  <c r="N40" i="116" s="1"/>
  <c r="N48" i="116" s="1"/>
  <c r="M40" i="227"/>
  <c r="O40" i="227" s="1"/>
  <c r="P40" i="227" s="1"/>
  <c r="R276" i="174"/>
  <c r="R88" i="174"/>
  <c r="R229" i="174"/>
  <c r="U35" i="238"/>
  <c r="Q35" i="238"/>
  <c r="Y34" i="242"/>
  <c r="G32" i="78"/>
  <c r="U37" i="159"/>
  <c r="AG35" i="78"/>
  <c r="R135" i="174"/>
  <c r="S39" i="185"/>
  <c r="Y39" i="185" s="1"/>
  <c r="R39" i="185"/>
  <c r="X39" i="185" s="1"/>
  <c r="C51" i="184"/>
  <c r="D50" i="184"/>
  <c r="P277" i="174"/>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F33" i="78"/>
  <c r="X35" i="242"/>
  <c r="T35" i="242"/>
  <c r="W37" i="227"/>
  <c r="U35" i="78"/>
  <c r="K370" i="174"/>
  <c r="R182" i="174"/>
  <c r="Y35" i="170"/>
  <c r="I33" i="78"/>
  <c r="Z32" i="78"/>
  <c r="V34" i="238"/>
  <c r="R34" i="238"/>
  <c r="D44" i="85"/>
  <c r="T35" i="145"/>
  <c r="C33" i="78"/>
  <c r="V40" i="212"/>
  <c r="Z40" i="212" s="1"/>
  <c r="AC40" i="212"/>
  <c r="U41" i="212"/>
  <c r="AB35"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N48" i="99"/>
  <c r="L48" i="189"/>
  <c r="AA48" i="99"/>
  <c r="B237" i="213" s="1"/>
  <c r="E166" i="213"/>
  <c r="G166" i="213" s="1"/>
  <c r="F184" i="213"/>
  <c r="O36" i="145"/>
  <c r="S36" i="145"/>
  <c r="G38" i="145"/>
  <c r="Q37" i="145"/>
  <c r="N37" i="145"/>
  <c r="B35" i="78" s="1"/>
  <c r="I169" i="243"/>
  <c r="J169" i="243" s="1"/>
  <c r="H19" i="243" s="1"/>
  <c r="J12" i="242" s="1"/>
  <c r="L12" i="242" s="1"/>
  <c r="V12" i="242" s="1"/>
  <c r="P46" i="1"/>
  <c r="C13" i="277" s="1"/>
  <c r="C184" i="213"/>
  <c r="E34" i="85"/>
  <c r="E78" i="85" s="1"/>
  <c r="E88" i="85" s="1"/>
  <c r="O48" i="162"/>
  <c r="T48" i="162" s="1"/>
  <c r="G51" i="272"/>
  <c r="B381" i="213"/>
  <c r="B382" i="213"/>
  <c r="B86" i="167"/>
  <c r="D84" i="167"/>
  <c r="M36" i="238" s="1"/>
  <c r="O36" i="238" s="1"/>
  <c r="P36" i="238" s="1"/>
  <c r="AU47" i="78"/>
  <c r="C74" i="78"/>
  <c r="O74" i="78" s="1"/>
  <c r="AT47" i="78"/>
  <c r="B74" i="78"/>
  <c r="N74" i="78" s="1"/>
  <c r="E35" i="213" s="1"/>
  <c r="C53" i="78"/>
  <c r="O53" i="78" s="1"/>
  <c r="F25" i="213" s="1"/>
  <c r="B290" i="213"/>
  <c r="B272" i="213"/>
  <c r="X47" i="78"/>
  <c r="B62" i="78"/>
  <c r="N62" i="78" s="1"/>
  <c r="Y47" i="78"/>
  <c r="C62" i="78"/>
  <c r="O62" i="78" s="1"/>
  <c r="D47" i="78"/>
  <c r="B53" i="78"/>
  <c r="N53" i="78" s="1"/>
  <c r="E25" i="213" s="1"/>
  <c r="B184" i="213"/>
  <c r="B91" i="24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C4" i="213" l="1"/>
  <c r="C11" i="277"/>
  <c r="V48" i="189"/>
  <c r="B254" i="213" s="1"/>
  <c r="B57" i="277"/>
  <c r="B58" i="277" s="1"/>
  <c r="B65" i="277" s="1"/>
  <c r="B66" i="277" s="1"/>
  <c r="W48" i="189"/>
  <c r="C5" i="213"/>
  <c r="C12" i="277"/>
  <c r="D5" i="213"/>
  <c r="D12" i="277"/>
  <c r="Y40" i="223"/>
  <c r="AE40" i="223"/>
  <c r="AC40" i="223"/>
  <c r="L32" i="145"/>
  <c r="M32" i="145" s="1"/>
  <c r="R32" i="145" s="1"/>
  <c r="L34" i="145"/>
  <c r="M34" i="145" s="1"/>
  <c r="S36" i="242"/>
  <c r="F34" i="78" s="1"/>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P231" i="174" s="1"/>
  <c r="N278" i="174"/>
  <c r="P278" i="174" s="1"/>
  <c r="E372" i="174"/>
  <c r="G372" i="174" s="1"/>
  <c r="I372" i="174" s="1"/>
  <c r="N137" i="174"/>
  <c r="P137" i="174" s="1"/>
  <c r="N90" i="174"/>
  <c r="P90" i="174" s="1"/>
  <c r="N184" i="174"/>
  <c r="P184" i="174" s="1"/>
  <c r="J91" i="243"/>
  <c r="J101" i="243" s="1"/>
  <c r="I91" i="243"/>
  <c r="O137" i="174"/>
  <c r="Q137" i="174" s="1"/>
  <c r="O231" i="174"/>
  <c r="Q231" i="174" s="1"/>
  <c r="F372" i="174"/>
  <c r="O184" i="174"/>
  <c r="Q184" i="174" s="1"/>
  <c r="O90" i="174"/>
  <c r="Q90" i="174" s="1"/>
  <c r="O278" i="174"/>
  <c r="Q278" i="174" s="1"/>
  <c r="K45" i="243"/>
  <c r="I55" i="243"/>
  <c r="B179" i="213"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Q36" i="238"/>
  <c r="U36" i="238"/>
  <c r="U38" i="159"/>
  <c r="AG36" i="78"/>
  <c r="AE40" i="212"/>
  <c r="AS38" i="78"/>
  <c r="AE31" i="229"/>
  <c r="W29" i="78"/>
  <c r="S40" i="185"/>
  <c r="Y40" i="185" s="1"/>
  <c r="R40" i="185"/>
  <c r="X40" i="185" s="1"/>
  <c r="D51" i="184"/>
  <c r="C52" i="184"/>
  <c r="Y35" i="242"/>
  <c r="G33" i="78"/>
  <c r="E242" i="174"/>
  <c r="E243" i="174"/>
  <c r="E195" i="174"/>
  <c r="G38" i="238"/>
  <c r="I38" i="238" s="1"/>
  <c r="K38" i="238" s="1"/>
  <c r="T38" i="238" s="1"/>
  <c r="L38" i="238"/>
  <c r="N38" i="238" s="1"/>
  <c r="D52" i="272"/>
  <c r="H372" i="174"/>
  <c r="J372" i="174" s="1"/>
  <c r="W34" i="238"/>
  <c r="AA32" i="78"/>
  <c r="J337" i="174"/>
  <c r="AE32" i="229"/>
  <c r="W30" i="78"/>
  <c r="AC41" i="212"/>
  <c r="Y39" i="223"/>
  <c r="K371" i="174"/>
  <c r="AE35" i="212"/>
  <c r="AS33" i="78"/>
  <c r="Z33" i="78"/>
  <c r="R35" i="238"/>
  <c r="V35" i="238"/>
  <c r="E44" i="85"/>
  <c r="T36" i="145"/>
  <c r="C34" i="78"/>
  <c r="AD34" i="212"/>
  <c r="AC42" i="212"/>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B336" i="213" s="1"/>
  <c r="S48" i="159"/>
  <c r="B327" i="213" s="1"/>
  <c r="Q41" i="227"/>
  <c r="AK37" i="223"/>
  <c r="M43" i="145"/>
  <c r="R43" i="145" s="1"/>
  <c r="M42" i="145"/>
  <c r="M48" i="145" s="1"/>
  <c r="U36" i="212"/>
  <c r="Y36" i="212" s="1"/>
  <c r="AR34" i="78" s="1"/>
  <c r="AC37" i="212"/>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AG48" i="185"/>
  <c r="B308" i="213" s="1"/>
  <c r="K55" i="243"/>
  <c r="E189" i="213"/>
  <c r="F189" i="213"/>
  <c r="B171" i="213"/>
  <c r="B166" i="213"/>
  <c r="B201" i="213"/>
  <c r="E161" i="213"/>
  <c r="G161" i="213" s="1"/>
  <c r="B161" i="213"/>
  <c r="I38" i="145"/>
  <c r="S37" i="145"/>
  <c r="O37" i="145"/>
  <c r="C6" i="213"/>
  <c r="I170" i="243"/>
  <c r="J170" i="243" s="1"/>
  <c r="F35" i="213"/>
  <c r="C161" i="213"/>
  <c r="P48" i="162"/>
  <c r="U48" i="162" s="1"/>
  <c r="G52" i="272"/>
  <c r="D85" i="167"/>
  <c r="M37" i="238" s="1"/>
  <c r="O37" i="238" s="1"/>
  <c r="P37" i="238" s="1"/>
  <c r="B87" i="167"/>
  <c r="AB48" i="229"/>
  <c r="C166" i="213"/>
  <c r="K46" i="1"/>
  <c r="Q46" i="1"/>
  <c r="D13" i="277" s="1"/>
  <c r="D6" i="213"/>
  <c r="V46" i="1"/>
  <c r="B400" i="213"/>
  <c r="T48" i="204"/>
  <c r="B418" i="213" s="1"/>
  <c r="U48" i="204"/>
  <c r="B419" i="213" s="1"/>
  <c r="S48" i="200"/>
  <c r="D189" i="213"/>
  <c r="E184" i="213"/>
  <c r="X36" i="242" l="1"/>
  <c r="D4" i="213"/>
  <c r="D11" i="277"/>
  <c r="B255" i="213"/>
  <c r="C57" i="277"/>
  <c r="C58" i="277" s="1"/>
  <c r="C65" i="277" s="1"/>
  <c r="C66" i="277" s="1"/>
  <c r="B256" i="213"/>
  <c r="B59" i="277"/>
  <c r="B67" i="277" s="1"/>
  <c r="C7" i="213"/>
  <c r="C14" i="277"/>
  <c r="N32" i="145"/>
  <c r="O32" i="145" s="1"/>
  <c r="T36" i="242"/>
  <c r="Y36" i="242" s="1"/>
  <c r="R34" i="145"/>
  <c r="N34" i="145"/>
  <c r="G187" i="174"/>
  <c r="H187" i="174" s="1"/>
  <c r="S32" i="145"/>
  <c r="T10" i="170"/>
  <c r="H8" i="78"/>
  <c r="X10" i="170"/>
  <c r="S48" i="170"/>
  <c r="X11" i="170"/>
  <c r="T11" i="170"/>
  <c r="H9" i="78"/>
  <c r="W37" i="242"/>
  <c r="H10" i="78"/>
  <c r="X12" i="170"/>
  <c r="T12" i="170"/>
  <c r="W11" i="242"/>
  <c r="S11" i="242"/>
  <c r="W12" i="242"/>
  <c r="S12" i="242"/>
  <c r="AJ39" i="223"/>
  <c r="AO39" i="223" s="1"/>
  <c r="K91" i="243"/>
  <c r="I101" i="243"/>
  <c r="E179" i="213" s="1"/>
  <c r="N91" i="174"/>
  <c r="P91" i="174" s="1"/>
  <c r="E373" i="174"/>
  <c r="G373" i="174" s="1"/>
  <c r="I373" i="174" s="1"/>
  <c r="N185" i="174"/>
  <c r="P185" i="174" s="1"/>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AL37" i="223"/>
  <c r="R35" i="78"/>
  <c r="W35" i="238"/>
  <c r="AA33" i="78"/>
  <c r="AQ36" i="223"/>
  <c r="S34" i="78"/>
  <c r="J38" i="145"/>
  <c r="J48" i="145" s="1"/>
  <c r="B41" i="213" s="1"/>
  <c r="V41" i="227"/>
  <c r="T39" i="78"/>
  <c r="T46" i="78" s="1"/>
  <c r="T47" i="78" s="1"/>
  <c r="H196" i="174"/>
  <c r="H195" i="174"/>
  <c r="AL38" i="223"/>
  <c r="R36" i="78"/>
  <c r="U39" i="159"/>
  <c r="AG37" i="78"/>
  <c r="F35" i="78"/>
  <c r="T37" i="242"/>
  <c r="X37" i="242"/>
  <c r="O48" i="116"/>
  <c r="T48" i="116" s="1"/>
  <c r="B337" i="213" s="1"/>
  <c r="AH38" i="78"/>
  <c r="AH46" i="78" s="1"/>
  <c r="AH47" i="78" s="1"/>
  <c r="H242" i="174"/>
  <c r="H243" i="174"/>
  <c r="S41" i="185"/>
  <c r="Y41" i="185" s="1"/>
  <c r="R41" i="185"/>
  <c r="X41" i="185" s="1"/>
  <c r="C53" i="184"/>
  <c r="D52" i="18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AB37" i="212"/>
  <c r="AD35" i="212"/>
  <c r="Q48" i="227"/>
  <c r="V48" i="227" s="1"/>
  <c r="C82" i="277" s="1"/>
  <c r="R41" i="227"/>
  <c r="P39" i="229"/>
  <c r="G39" i="229"/>
  <c r="T36" i="229"/>
  <c r="V36" i="229"/>
  <c r="U36" i="229"/>
  <c r="S36" i="229"/>
  <c r="W36" i="229"/>
  <c r="R36" i="229"/>
  <c r="X35" i="229"/>
  <c r="Q37" i="229"/>
  <c r="P40" i="159"/>
  <c r="AG38" i="78" s="1"/>
  <c r="T40" i="159"/>
  <c r="O48" i="159"/>
  <c r="T48" i="159" s="1"/>
  <c r="B328" i="213" s="1"/>
  <c r="AC34" i="229"/>
  <c r="Y34" i="229"/>
  <c r="V32" i="78" s="1"/>
  <c r="P40" i="116"/>
  <c r="AI38" i="78" s="1"/>
  <c r="T40" i="116"/>
  <c r="AP37" i="223"/>
  <c r="N43" i="145"/>
  <c r="AO43" i="223"/>
  <c r="AK34" i="223"/>
  <c r="R42" i="145"/>
  <c r="N42" i="145"/>
  <c r="B40" i="78" s="1"/>
  <c r="V36" i="212"/>
  <c r="Z36" i="212" s="1"/>
  <c r="AS34" i="78" s="1"/>
  <c r="I38" i="212"/>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B238" i="213" s="1"/>
  <c r="P47" i="78"/>
  <c r="D179" i="213"/>
  <c r="P7" i="242"/>
  <c r="D166" i="213"/>
  <c r="W48" i="170"/>
  <c r="B207" i="213"/>
  <c r="D184" i="213"/>
  <c r="F179" i="213"/>
  <c r="D161" i="213"/>
  <c r="K101" i="243"/>
  <c r="I171" i="243"/>
  <c r="Q48" i="162"/>
  <c r="V48" i="162" s="1"/>
  <c r="B66" i="78"/>
  <c r="N66" i="78" s="1"/>
  <c r="E30" i="213" s="1"/>
  <c r="T48" i="189"/>
  <c r="Y48" i="189" s="1"/>
  <c r="AC38" i="212"/>
  <c r="G53" i="272"/>
  <c r="AQ47" i="78"/>
  <c r="B383" i="213"/>
  <c r="D86" i="167"/>
  <c r="M38" i="238" s="1"/>
  <c r="O38" i="238" s="1"/>
  <c r="P38" i="238" s="1"/>
  <c r="B248" i="213"/>
  <c r="B247" i="213"/>
  <c r="N47" i="78"/>
  <c r="B57" i="78"/>
  <c r="N57" i="78" s="1"/>
  <c r="W46" i="1"/>
  <c r="H6" i="85"/>
  <c r="H15" i="85" s="1"/>
  <c r="B79" i="78"/>
  <c r="D79" i="78" s="1"/>
  <c r="BA47" i="78"/>
  <c r="B72" i="78"/>
  <c r="N72" i="78" s="1"/>
  <c r="AP47" i="78"/>
  <c r="B78" i="78"/>
  <c r="D78" i="78" s="1"/>
  <c r="B401" i="213"/>
  <c r="B80" i="78"/>
  <c r="D80" i="78" s="1"/>
  <c r="BC47" i="78"/>
  <c r="B81" i="78"/>
  <c r="D81" i="78" s="1"/>
  <c r="BE47" i="78"/>
  <c r="B410" i="213"/>
  <c r="G34" i="78" l="1"/>
  <c r="B30" i="78"/>
  <c r="AJ48" i="223"/>
  <c r="B264" i="213" s="1"/>
  <c r="B257" i="213"/>
  <c r="B60" i="277"/>
  <c r="B68" i="277" s="1"/>
  <c r="B15" i="213"/>
  <c r="B4" i="277"/>
  <c r="D7" i="213"/>
  <c r="D14" i="277"/>
  <c r="AK39" i="223"/>
  <c r="R37" i="78" s="1"/>
  <c r="B32" i="78"/>
  <c r="O34" i="145"/>
  <c r="S34" i="145"/>
  <c r="T32" i="145"/>
  <c r="C30" i="78"/>
  <c r="F9" i="78"/>
  <c r="X11" i="242"/>
  <c r="T11" i="242"/>
  <c r="I10" i="78"/>
  <c r="Y12" i="170"/>
  <c r="F10" i="78"/>
  <c r="T12" i="242"/>
  <c r="X12" i="242"/>
  <c r="Y11" i="170"/>
  <c r="I9" i="78"/>
  <c r="W10" i="242"/>
  <c r="S10" i="242"/>
  <c r="H46" i="78"/>
  <c r="I8" i="78"/>
  <c r="Y10" i="170"/>
  <c r="T48" i="170"/>
  <c r="V42" i="212"/>
  <c r="Z42" i="212" s="1"/>
  <c r="AS40" i="78"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R185" i="174"/>
  <c r="F335" i="174"/>
  <c r="G335" i="174"/>
  <c r="I335" i="174" s="1"/>
  <c r="H102" i="174"/>
  <c r="H101" i="174"/>
  <c r="AI46" i="78"/>
  <c r="AI47" i="78" s="1"/>
  <c r="N38" i="145"/>
  <c r="B36" i="78" s="1"/>
  <c r="R279" i="174"/>
  <c r="U38" i="238"/>
  <c r="Q38" i="238"/>
  <c r="AQ38" i="223"/>
  <c r="S36" i="78"/>
  <c r="AC41" i="185"/>
  <c r="W41" i="227"/>
  <c r="U39" i="78"/>
  <c r="R42" i="185"/>
  <c r="X42" i="185" s="1"/>
  <c r="S42" i="185"/>
  <c r="Y42" i="185" s="1"/>
  <c r="C54" i="184"/>
  <c r="D53" i="184"/>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AE42" i="212"/>
  <c r="W40" i="227"/>
  <c r="U38" i="78"/>
  <c r="AQ37" i="223"/>
  <c r="S35" i="78"/>
  <c r="Z35" i="78"/>
  <c r="R37" i="238"/>
  <c r="V37" i="238"/>
  <c r="V18" i="242"/>
  <c r="S18" i="242"/>
  <c r="AH40" i="185"/>
  <c r="AD40" i="185"/>
  <c r="AP34" i="223"/>
  <c r="R32" i="78"/>
  <c r="AQ43" i="223"/>
  <c r="S41" i="78"/>
  <c r="V38" i="242"/>
  <c r="O43" i="145"/>
  <c r="B41" i="78"/>
  <c r="N48" i="145"/>
  <c r="AB38" i="212"/>
  <c r="M48" i="212"/>
  <c r="AC43" i="212"/>
  <c r="T48" i="212"/>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N61" i="78" s="1"/>
  <c r="S42" i="145"/>
  <c r="O42" i="145"/>
  <c r="B59" i="78"/>
  <c r="N59" i="78" s="1"/>
  <c r="Y37" i="212"/>
  <c r="AR35" i="78" s="1"/>
  <c r="V37" i="212"/>
  <c r="Z37" i="212" s="1"/>
  <c r="AS35" i="78" s="1"/>
  <c r="V43" i="212"/>
  <c r="Y43" i="212"/>
  <c r="AR41" i="78" s="1"/>
  <c r="U38" i="212"/>
  <c r="U48" i="212" s="1"/>
  <c r="AO48" i="223"/>
  <c r="C81" i="277" s="1"/>
  <c r="C83" i="277" s="1"/>
  <c r="B84" i="277" s="1"/>
  <c r="AP40" i="223"/>
  <c r="AL40" i="223"/>
  <c r="AL42" i="223"/>
  <c r="AP42" i="223"/>
  <c r="AK48" i="223"/>
  <c r="AL39" i="223"/>
  <c r="AP39" i="223"/>
  <c r="AL41" i="223"/>
  <c r="AP41" i="223"/>
  <c r="B89" i="167"/>
  <c r="G54" i="272"/>
  <c r="B68" i="78"/>
  <c r="N68" i="78" s="1"/>
  <c r="C90" i="277" s="1"/>
  <c r="Q48" i="145"/>
  <c r="G189" i="213"/>
  <c r="B228" i="213"/>
  <c r="B220" i="213"/>
  <c r="B202" i="213"/>
  <c r="G184" i="213"/>
  <c r="B197" i="213"/>
  <c r="C59" i="78"/>
  <c r="O59" i="78" s="1"/>
  <c r="AE47" i="78"/>
  <c r="I172" i="243"/>
  <c r="J172" i="243" s="1"/>
  <c r="R48" i="145"/>
  <c r="B42" i="213"/>
  <c r="AD47" i="78"/>
  <c r="D87" i="167"/>
  <c r="M39" i="238" s="1"/>
  <c r="O39" i="238" s="1"/>
  <c r="P39" i="238" s="1"/>
  <c r="C72" i="78"/>
  <c r="O72" i="78" s="1"/>
  <c r="C58" i="78"/>
  <c r="O58" i="78" s="1"/>
  <c r="AC48" i="99"/>
  <c r="B239" i="213" s="1"/>
  <c r="L47" i="78"/>
  <c r="AF47" i="78"/>
  <c r="B58" i="78"/>
  <c r="C79" i="78"/>
  <c r="E79" i="78" s="1"/>
  <c r="BB47" i="78"/>
  <c r="I6" i="85"/>
  <c r="I15" i="85" s="1"/>
  <c r="BD47" i="78"/>
  <c r="C80" i="78"/>
  <c r="E80" i="78" s="1"/>
  <c r="C78" i="78"/>
  <c r="E78" i="78" s="1"/>
  <c r="AZ47" i="78"/>
  <c r="BF47" i="78"/>
  <c r="C81" i="78"/>
  <c r="E81" i="78" s="1"/>
  <c r="D149" i="174"/>
  <c r="R46" i="78" l="1"/>
  <c r="B329" i="213"/>
  <c r="B93" i="277"/>
  <c r="C15" i="213"/>
  <c r="C4" i="277"/>
  <c r="T34" i="145"/>
  <c r="C32" i="78"/>
  <c r="I46" i="78"/>
  <c r="Y12" i="242"/>
  <c r="G10" i="78"/>
  <c r="F8" i="78"/>
  <c r="X10" i="242"/>
  <c r="T10" i="242"/>
  <c r="Y11" i="242"/>
  <c r="G9" i="78"/>
  <c r="N140" i="174"/>
  <c r="N281" i="174"/>
  <c r="P281" i="174" s="1"/>
  <c r="N187" i="174"/>
  <c r="P187" i="174" s="1"/>
  <c r="E375" i="174"/>
  <c r="G375" i="174" s="1"/>
  <c r="I375" i="174" s="1"/>
  <c r="N93" i="174"/>
  <c r="P93" i="174" s="1"/>
  <c r="N234" i="174"/>
  <c r="P234" i="174" s="1"/>
  <c r="O140" i="174"/>
  <c r="Q140" i="174" s="1"/>
  <c r="O187" i="174"/>
  <c r="Q187" i="174" s="1"/>
  <c r="F375" i="174"/>
  <c r="H375" i="174" s="1"/>
  <c r="J375" i="174" s="1"/>
  <c r="O234" i="174"/>
  <c r="Q234" i="174" s="1"/>
  <c r="O93" i="174"/>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R43" i="185"/>
  <c r="X43" i="185" s="1"/>
  <c r="S43" i="185"/>
  <c r="Y43" i="185" s="1"/>
  <c r="D54" i="184"/>
  <c r="C55" i="184"/>
  <c r="AC42" i="185"/>
  <c r="R280" i="174"/>
  <c r="AB38" i="78"/>
  <c r="AE40" i="185"/>
  <c r="AI40" i="185"/>
  <c r="AQ42" i="223"/>
  <c r="S40" i="78"/>
  <c r="R186" i="174"/>
  <c r="F16" i="78"/>
  <c r="X18" i="242"/>
  <c r="T18" i="242"/>
  <c r="K374" i="174"/>
  <c r="Q93" i="174"/>
  <c r="R139" i="174"/>
  <c r="R233" i="174"/>
  <c r="W37" i="238"/>
  <c r="AA35" i="78"/>
  <c r="AH41" i="185"/>
  <c r="AD41" i="185"/>
  <c r="D55" i="272"/>
  <c r="G41" i="238"/>
  <c r="I41" i="238" s="1"/>
  <c r="K41" i="238" s="1"/>
  <c r="T41" i="238" s="1"/>
  <c r="L41" i="238"/>
  <c r="N41" i="238" s="1"/>
  <c r="AQ40" i="223"/>
  <c r="S38" i="78"/>
  <c r="Z36" i="78"/>
  <c r="V38" i="238"/>
  <c r="R38" i="238"/>
  <c r="AQ41" i="223"/>
  <c r="S39" i="78"/>
  <c r="AQ39" i="223"/>
  <c r="S37" i="78"/>
  <c r="W38" i="242"/>
  <c r="S38" i="242"/>
  <c r="R48" i="242"/>
  <c r="T42" i="145"/>
  <c r="C40" i="78"/>
  <c r="B46" i="78"/>
  <c r="B47" i="78" s="1"/>
  <c r="T43" i="145"/>
  <c r="C41" i="78"/>
  <c r="AD43" i="212"/>
  <c r="AE37" i="212"/>
  <c r="AD37" i="212"/>
  <c r="B372" i="213"/>
  <c r="AC48" i="212"/>
  <c r="B371" i="213"/>
  <c r="AB48" i="212"/>
  <c r="P41" i="229"/>
  <c r="G41" i="229"/>
  <c r="AD35" i="229"/>
  <c r="Z35" i="229"/>
  <c r="Q39" i="229"/>
  <c r="X37" i="229"/>
  <c r="Y36" i="229"/>
  <c r="V34" i="78" s="1"/>
  <c r="AC36" i="229"/>
  <c r="W38" i="229"/>
  <c r="R38" i="229"/>
  <c r="V38" i="229"/>
  <c r="T38" i="229"/>
  <c r="S38" i="229"/>
  <c r="U38" i="229"/>
  <c r="B60" i="78"/>
  <c r="N60" i="78" s="1"/>
  <c r="AQ34" i="223"/>
  <c r="V38" i="212"/>
  <c r="Z38" i="212" s="1"/>
  <c r="Y38" i="212"/>
  <c r="Z43" i="212"/>
  <c r="AS41" i="78" s="1"/>
  <c r="AL48" i="223"/>
  <c r="AQ48" i="223" s="1"/>
  <c r="B85" i="277" s="1"/>
  <c r="B90" i="167"/>
  <c r="G55" i="272"/>
  <c r="D88" i="167"/>
  <c r="M40" i="238" s="1"/>
  <c r="O40" i="238" s="1"/>
  <c r="P40" i="238" s="1"/>
  <c r="Q47" i="78"/>
  <c r="D148" i="174"/>
  <c r="B265" i="213"/>
  <c r="AP48" i="223"/>
  <c r="W48" i="182"/>
  <c r="G179" i="213"/>
  <c r="C68" i="78"/>
  <c r="O68" i="78" s="1"/>
  <c r="C66" i="78"/>
  <c r="O66" i="78" s="1"/>
  <c r="C61" i="78"/>
  <c r="O61" i="78" s="1"/>
  <c r="S48" i="145"/>
  <c r="B43" i="213"/>
  <c r="O47" i="78"/>
  <c r="N58" i="78"/>
  <c r="E27" i="213" s="1"/>
  <c r="M47" i="78"/>
  <c r="B67" i="78"/>
  <c r="C67" i="78"/>
  <c r="O67" i="78" s="1"/>
  <c r="C41" i="277" l="1"/>
  <c r="B42" i="277"/>
  <c r="G8" i="78"/>
  <c r="Y10" i="242"/>
  <c r="H55" i="243"/>
  <c r="B196" i="213" s="1"/>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S44" i="185"/>
  <c r="Y44" i="185" s="1"/>
  <c r="R44" i="185"/>
  <c r="X44" i="185" s="1"/>
  <c r="D55" i="184"/>
  <c r="C56" i="184"/>
  <c r="Y18" i="242"/>
  <c r="G16" i="78"/>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G56" i="272"/>
  <c r="B206" i="213"/>
  <c r="X48" i="170"/>
  <c r="T48" i="145"/>
  <c r="B43" i="277" s="1"/>
  <c r="B44" i="213"/>
  <c r="C57" i="78"/>
  <c r="O57" i="78" s="1"/>
  <c r="F27" i="213" s="1"/>
  <c r="N67" i="78"/>
  <c r="AG47" i="78"/>
  <c r="B52" i="78"/>
  <c r="N52" i="78" s="1"/>
  <c r="E24" i="213" s="1"/>
  <c r="E31" i="213" l="1"/>
  <c r="C89" i="277"/>
  <c r="C91" i="277" s="1"/>
  <c r="B92" i="277" s="1"/>
  <c r="C60" i="78"/>
  <c r="O60" i="78" s="1"/>
  <c r="F377" i="174"/>
  <c r="O283" i="174"/>
  <c r="Q283" i="174" s="1"/>
  <c r="O95" i="174"/>
  <c r="O189" i="174"/>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S45" i="185"/>
  <c r="Y45" i="185" s="1"/>
  <c r="R45" i="185"/>
  <c r="X45" i="185" s="1"/>
  <c r="D56" i="184"/>
  <c r="C57" i="184"/>
  <c r="W39" i="238"/>
  <c r="AA37" i="78"/>
  <c r="P141" i="174"/>
  <c r="R141" i="174" s="1"/>
  <c r="T42" i="238"/>
  <c r="K48" i="238"/>
  <c r="AB40" i="78"/>
  <c r="AI42" i="185"/>
  <c r="AE42" i="185"/>
  <c r="K376" i="174"/>
  <c r="V32" i="242"/>
  <c r="S32" i="242"/>
  <c r="L48" i="242"/>
  <c r="B213" i="213" s="1"/>
  <c r="Q95" i="174"/>
  <c r="H377" i="174"/>
  <c r="J377" i="174" s="1"/>
  <c r="Q189" i="174"/>
  <c r="C52" i="78"/>
  <c r="O52" i="78" s="1"/>
  <c r="F24" i="213"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G57" i="272"/>
  <c r="B373" i="213"/>
  <c r="B222" i="213"/>
  <c r="E148" i="174"/>
  <c r="H149" i="174"/>
  <c r="E149" i="174"/>
  <c r="H148" i="174"/>
  <c r="B221" i="213"/>
  <c r="Y48" i="170"/>
  <c r="W48" i="242"/>
  <c r="B214" i="213"/>
  <c r="B374" i="213"/>
  <c r="AR47" i="78"/>
  <c r="B73" i="78"/>
  <c r="N73" i="78" s="1"/>
  <c r="E34" i="213" s="1"/>
  <c r="H47" i="78"/>
  <c r="B55" i="78"/>
  <c r="Q236" i="174" l="1"/>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X48" i="242" s="1"/>
  <c r="N148" i="174"/>
  <c r="AE38" i="229"/>
  <c r="W36" i="78"/>
  <c r="AJ42" i="185"/>
  <c r="AC40" i="78"/>
  <c r="C58" i="184"/>
  <c r="S46" i="185"/>
  <c r="Y46" i="185" s="1"/>
  <c r="R46" i="185"/>
  <c r="X46" i="185" s="1"/>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G58" i="272"/>
  <c r="D91" i="167"/>
  <c r="M43" i="238" s="1"/>
  <c r="O43" i="238" s="1"/>
  <c r="B223" i="213"/>
  <c r="V48" i="242"/>
  <c r="AS47" i="78"/>
  <c r="C73" i="78"/>
  <c r="O73" i="78" s="1"/>
  <c r="F34" i="213" s="1"/>
  <c r="N55" i="78"/>
  <c r="I47" i="78"/>
  <c r="C55" i="78"/>
  <c r="R242" i="174" l="1"/>
  <c r="P285" i="174"/>
  <c r="P144" i="174"/>
  <c r="P238" i="174"/>
  <c r="P97" i="174"/>
  <c r="G379" i="174"/>
  <c r="I379" i="174" s="1"/>
  <c r="P191" i="174"/>
  <c r="Y32" i="242"/>
  <c r="G30" i="78"/>
  <c r="G46" i="78" s="1"/>
  <c r="G47" i="78" s="1"/>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R47" i="185"/>
  <c r="X47" i="185" s="1"/>
  <c r="S47" i="185"/>
  <c r="Y47" i="185" s="1"/>
  <c r="Q43" i="229"/>
  <c r="W42" i="229"/>
  <c r="S42" i="229"/>
  <c r="U42" i="229"/>
  <c r="V42" i="229"/>
  <c r="T42" i="229"/>
  <c r="R42" i="229"/>
  <c r="G45" i="229"/>
  <c r="P45" i="229"/>
  <c r="Y40" i="229"/>
  <c r="V38" i="78" s="1"/>
  <c r="AC40" i="229"/>
  <c r="AD39" i="229"/>
  <c r="Z39" i="229"/>
  <c r="X41" i="229"/>
  <c r="B94" i="167"/>
  <c r="G59" i="272"/>
  <c r="D92" i="167"/>
  <c r="M44" i="238" s="1"/>
  <c r="O44" i="238" s="1"/>
  <c r="B54" i="78"/>
  <c r="N54" i="78" s="1"/>
  <c r="F30" i="213"/>
  <c r="B215" i="213"/>
  <c r="O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N64" i="78" s="1"/>
  <c r="Z47" i="78"/>
  <c r="X42" i="229"/>
  <c r="X48" i="229" s="1"/>
  <c r="Q44" i="229"/>
  <c r="G46" i="229"/>
  <c r="P46" i="229"/>
  <c r="S43" i="229"/>
  <c r="V43" i="229"/>
  <c r="W43" i="229"/>
  <c r="T43" i="229"/>
  <c r="R43" i="229"/>
  <c r="U43" i="229"/>
  <c r="AD40" i="229"/>
  <c r="Z40" i="229"/>
  <c r="Y41" i="229"/>
  <c r="V39" i="78" s="1"/>
  <c r="AC41" i="229"/>
  <c r="B95" i="167"/>
  <c r="G60" i="272"/>
  <c r="D93" i="167"/>
  <c r="M45" i="238" s="1"/>
  <c r="O45" i="238" s="1"/>
  <c r="C54" i="78"/>
  <c r="O54" i="78" s="1"/>
  <c r="B216" i="213"/>
  <c r="Y42" i="229" l="1"/>
  <c r="V40" i="78" s="1"/>
  <c r="V46" i="78" s="1"/>
  <c r="AC42" i="229"/>
  <c r="P146" i="174"/>
  <c r="P99" i="174"/>
  <c r="G381" i="174"/>
  <c r="I381" i="174" s="1"/>
  <c r="P240" i="174"/>
  <c r="P287" i="174"/>
  <c r="P193" i="174"/>
  <c r="AE40" i="229"/>
  <c r="W38" i="78"/>
  <c r="C64" i="78"/>
  <c r="O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G61" i="272"/>
  <c r="V47" i="78" l="1"/>
  <c r="B63" i="78"/>
  <c r="N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O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20" i="185" l="1"/>
  <c r="AB18" i="78" s="1"/>
  <c r="AD35" i="185"/>
  <c r="AB33" i="78" s="1"/>
  <c r="AC48" i="185"/>
  <c r="AH48" i="185" s="1"/>
  <c r="B309" i="213"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I35"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E35" i="185" l="1"/>
  <c r="AI27" i="185"/>
  <c r="AE27" i="185"/>
  <c r="AE16" i="185"/>
  <c r="AI16" i="185"/>
  <c r="AI36" i="185"/>
  <c r="AE36" i="185"/>
  <c r="AJ36" i="185" s="1"/>
  <c r="AJ30" i="185"/>
  <c r="AC28" i="78"/>
  <c r="AJ29" i="185"/>
  <c r="AC27" i="78"/>
  <c r="AB11" i="78"/>
  <c r="AD48" i="185"/>
  <c r="AI48" i="185" s="1"/>
  <c r="B310" i="213" s="1"/>
  <c r="AJ27" i="185"/>
  <c r="AC25" i="78"/>
  <c r="AE25" i="185"/>
  <c r="AB23" i="78"/>
  <c r="AJ34" i="185"/>
  <c r="AC32" i="78"/>
  <c r="AE21" i="185"/>
  <c r="AB19" i="78"/>
  <c r="AJ32" i="185"/>
  <c r="AC30" i="78"/>
  <c r="AJ23" i="185"/>
  <c r="AC21" i="78"/>
  <c r="AJ33" i="185"/>
  <c r="AC31" i="78"/>
  <c r="AJ18" i="185"/>
  <c r="AC16" i="78"/>
  <c r="AJ20" i="185"/>
  <c r="AC18" i="78"/>
  <c r="AJ35" i="185"/>
  <c r="AC33" i="78"/>
  <c r="AJ39" i="185"/>
  <c r="AC37" i="78"/>
  <c r="AJ31" i="185"/>
  <c r="AC29" i="78"/>
  <c r="AJ28" i="185"/>
  <c r="AC26" i="78"/>
  <c r="AJ24" i="185"/>
  <c r="AC22" i="78"/>
  <c r="AJ37" i="185"/>
  <c r="AC35" i="78"/>
  <c r="AJ19" i="185"/>
  <c r="AC17" i="78"/>
  <c r="AJ16" i="185"/>
  <c r="AC14" i="78"/>
  <c r="AJ22" i="185"/>
  <c r="AC20" i="78"/>
  <c r="AI21" i="185"/>
  <c r="AI25" i="185"/>
  <c r="AE14" i="185"/>
  <c r="AI14" i="185"/>
  <c r="AI13" i="185"/>
  <c r="AE13" i="185"/>
  <c r="AE15" i="185"/>
  <c r="AI15" i="185"/>
  <c r="AI38" i="185"/>
  <c r="AE38" i="185"/>
  <c r="AI26" i="185"/>
  <c r="AE26" i="185"/>
  <c r="AE17" i="185"/>
  <c r="AI17" i="185"/>
  <c r="AC34" i="78" l="1"/>
  <c r="AJ21" i="185"/>
  <c r="AC19" i="78"/>
  <c r="AJ14" i="185"/>
  <c r="AC12" i="78"/>
  <c r="AB46" i="78"/>
  <c r="AJ17" i="185"/>
  <c r="AC15" i="78"/>
  <c r="AJ38" i="185"/>
  <c r="AC36" i="78"/>
  <c r="AJ15" i="185"/>
  <c r="AC13" i="78"/>
  <c r="AJ26" i="185"/>
  <c r="AC24" i="78"/>
  <c r="AJ13" i="185"/>
  <c r="AC11" i="78"/>
  <c r="AE48" i="185"/>
  <c r="AJ48" i="185" s="1"/>
  <c r="B311" i="213" s="1"/>
  <c r="AJ25" i="185"/>
  <c r="AC23" i="78"/>
  <c r="AC46" i="78" l="1"/>
  <c r="AB47" i="78"/>
  <c r="B65" i="78"/>
  <c r="C65" i="78" l="1"/>
  <c r="AC47" i="78"/>
  <c r="N65" i="78"/>
  <c r="E29" i="213" s="1"/>
  <c r="O65" i="78" l="1"/>
  <c r="F29" i="213" s="1"/>
  <c r="C171" i="213" l="1"/>
  <c r="D171" i="213" s="1"/>
  <c r="X48" i="182" l="1"/>
  <c r="V48" i="182"/>
  <c r="B227" i="213"/>
  <c r="B229" i="213" l="1"/>
  <c r="C56" i="78" l="1"/>
  <c r="B230" i="213"/>
  <c r="J47" i="78"/>
  <c r="B56" i="78"/>
  <c r="K47" i="78" l="1"/>
  <c r="N56" i="78"/>
  <c r="E26" i="213" s="1"/>
  <c r="O56" i="78"/>
  <c r="F26" i="213" s="1"/>
  <c r="Q43" i="231" l="1"/>
  <c r="AN41" i="78" l="1"/>
  <c r="AV41" i="78" s="1"/>
  <c r="B40" i="85" s="1"/>
  <c r="B84" i="85" s="1"/>
  <c r="V43" i="231"/>
  <c r="F60" i="174"/>
  <c r="G60" i="174"/>
  <c r="P62" i="174"/>
  <c r="P61" i="174"/>
  <c r="Q61" i="174"/>
  <c r="Q64" i="174" l="1"/>
  <c r="P63" i="174"/>
  <c r="Q63" i="174"/>
  <c r="P64" i="174"/>
  <c r="Q62" i="174"/>
  <c r="R62" i="174" s="1"/>
  <c r="R63" i="174" l="1"/>
  <c r="R64" i="174"/>
  <c r="P65" i="174"/>
  <c r="Q65" i="174"/>
  <c r="R65" i="174" s="1"/>
  <c r="P66" i="174" l="1"/>
  <c r="Q66" i="174"/>
  <c r="R66" i="174" l="1"/>
  <c r="P67" i="174"/>
  <c r="Q67" i="174"/>
  <c r="R67" i="174" s="1"/>
  <c r="P68" i="174" l="1"/>
  <c r="Q68" i="174"/>
  <c r="R68" i="174" l="1"/>
  <c r="P69" i="174"/>
  <c r="Q69" i="174"/>
  <c r="R69" i="174" s="1"/>
  <c r="R101" i="174"/>
  <c r="R102" i="174" l="1"/>
  <c r="R149" i="174"/>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J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H43" i="275" s="1"/>
  <c r="J43" i="275"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N310" i="174"/>
  <c r="N320" i="174"/>
  <c r="N303" i="174"/>
  <c r="F19" i="174" s="1"/>
  <c r="H27" i="272"/>
  <c r="N327" i="174"/>
  <c r="I37" i="272"/>
  <c r="K100" i="174"/>
  <c r="I35" i="272"/>
  <c r="I41" i="272"/>
  <c r="H34" i="272"/>
  <c r="L202" i="174"/>
  <c r="K154" i="174"/>
  <c r="K7" i="275" l="1"/>
  <c r="N40" i="275"/>
  <c r="AD40" i="275" s="1"/>
  <c r="N321" i="174"/>
  <c r="G7" i="275"/>
  <c r="N319" i="174"/>
  <c r="L238" i="174"/>
  <c r="L134" i="174"/>
  <c r="L229" i="174"/>
  <c r="I55" i="272"/>
  <c r="K41" i="274" s="1"/>
  <c r="M41" i="274" s="1"/>
  <c r="N323" i="174"/>
  <c r="F39" i="174" s="1"/>
  <c r="I36" i="272"/>
  <c r="L22" i="231" s="1"/>
  <c r="N22" i="231" s="1"/>
  <c r="L275" i="174"/>
  <c r="C20" i="174"/>
  <c r="L188" i="174"/>
  <c r="S41" i="275" s="1"/>
  <c r="U41" i="275" s="1"/>
  <c r="Y41" i="275" s="1"/>
  <c r="I45" i="272"/>
  <c r="O31" i="275" s="1"/>
  <c r="I56" i="272"/>
  <c r="I42" i="272"/>
  <c r="O28" i="275" s="1"/>
  <c r="B436" i="213"/>
  <c r="I59" i="272"/>
  <c r="O45" i="275" s="1"/>
  <c r="B28" i="174"/>
  <c r="L124" i="174"/>
  <c r="I49" i="272"/>
  <c r="O35" i="275" s="1"/>
  <c r="L284" i="174"/>
  <c r="I27" i="272"/>
  <c r="K13" i="274" s="1"/>
  <c r="M13" i="274" s="1"/>
  <c r="I33" i="272"/>
  <c r="L19" i="231" s="1"/>
  <c r="L77" i="174"/>
  <c r="M77" i="174" s="1"/>
  <c r="H28" i="174" s="1"/>
  <c r="O322" i="174"/>
  <c r="H34" i="275" s="1"/>
  <c r="J34" i="275" s="1"/>
  <c r="E38" i="174"/>
  <c r="K68" i="174"/>
  <c r="L83" i="174"/>
  <c r="C34" i="174"/>
  <c r="F36" i="174"/>
  <c r="P320" i="174"/>
  <c r="G20" i="231"/>
  <c r="G20" i="274"/>
  <c r="G20" i="275"/>
  <c r="O38" i="275"/>
  <c r="K38" i="274"/>
  <c r="L23" i="231"/>
  <c r="O23" i="275"/>
  <c r="K23" i="274"/>
  <c r="O21" i="275"/>
  <c r="L21" i="231"/>
  <c r="K21" i="274"/>
  <c r="C46" i="174"/>
  <c r="L95" i="174"/>
  <c r="F43" i="174"/>
  <c r="P327" i="174"/>
  <c r="O27" i="275"/>
  <c r="K27" i="274"/>
  <c r="L27" i="231"/>
  <c r="L14" i="274"/>
  <c r="M14" i="274"/>
  <c r="G13" i="274"/>
  <c r="G13" i="275"/>
  <c r="G13" i="231"/>
  <c r="S36" i="275"/>
  <c r="U36" i="275" s="1"/>
  <c r="P310" i="174"/>
  <c r="F26" i="174"/>
  <c r="G26" i="174" s="1"/>
  <c r="N301" i="174"/>
  <c r="O323" i="174"/>
  <c r="H35" i="275" s="1"/>
  <c r="J35" i="275" s="1"/>
  <c r="E39" i="174"/>
  <c r="O7" i="275"/>
  <c r="L43" i="274"/>
  <c r="O16" i="275"/>
  <c r="L16" i="231"/>
  <c r="K16" i="274"/>
  <c r="O310" i="174"/>
  <c r="H22" i="275" s="1"/>
  <c r="J22" i="275" s="1"/>
  <c r="G40" i="231"/>
  <c r="G40" i="275"/>
  <c r="G40" i="274"/>
  <c r="L121" i="174"/>
  <c r="L215" i="174"/>
  <c r="L262" i="174"/>
  <c r="N309" i="174"/>
  <c r="L186" i="174"/>
  <c r="I53" i="272"/>
  <c r="L233" i="174"/>
  <c r="L280" i="174"/>
  <c r="M280" i="174" s="1"/>
  <c r="L43" i="174" s="1"/>
  <c r="L139" i="174"/>
  <c r="L209" i="174"/>
  <c r="I29" i="272"/>
  <c r="L162" i="174"/>
  <c r="L115" i="174"/>
  <c r="L256" i="174"/>
  <c r="L107" i="174"/>
  <c r="L154" i="174"/>
  <c r="S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J42" i="275" s="1"/>
  <c r="L268" i="174"/>
  <c r="L221" i="174"/>
  <c r="L127" i="174"/>
  <c r="N315" i="174"/>
  <c r="L174" i="174"/>
  <c r="P305" i="174"/>
  <c r="O43" i="275"/>
  <c r="M320" i="174"/>
  <c r="K179" i="174"/>
  <c r="K32" i="275" s="1"/>
  <c r="M32" i="275" s="1"/>
  <c r="K226" i="174"/>
  <c r="K273" i="174"/>
  <c r="F45" i="174"/>
  <c r="P329" i="174"/>
  <c r="G17" i="274"/>
  <c r="G17" i="275"/>
  <c r="G17" i="231"/>
  <c r="L207" i="174"/>
  <c r="P308" i="174"/>
  <c r="F24" i="174"/>
  <c r="H61" i="272"/>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F35" i="174"/>
  <c r="P319" i="174"/>
  <c r="L212" i="174"/>
  <c r="L118" i="174"/>
  <c r="I32" i="272"/>
  <c r="L259" i="174"/>
  <c r="M259" i="174" s="1"/>
  <c r="L22" i="174" s="1"/>
  <c r="L165" i="174"/>
  <c r="N306" i="174"/>
  <c r="K35" i="274"/>
  <c r="O316" i="174"/>
  <c r="H28" i="275" s="1"/>
  <c r="J28" i="275" s="1"/>
  <c r="E32" i="174"/>
  <c r="L258" i="174"/>
  <c r="L211" i="174"/>
  <c r="L164" i="174"/>
  <c r="L117" i="174"/>
  <c r="I31" i="272"/>
  <c r="O40" i="275"/>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271" i="174"/>
  <c r="N313" i="174"/>
  <c r="E43" i="174"/>
  <c r="O327" i="174"/>
  <c r="H39" i="275" s="1"/>
  <c r="J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O22" i="275"/>
  <c r="L138" i="174"/>
  <c r="L279" i="174"/>
  <c r="L232" i="174"/>
  <c r="N326" i="174"/>
  <c r="L185" i="174"/>
  <c r="P303" i="174"/>
  <c r="L266" i="174"/>
  <c r="L7" i="274"/>
  <c r="L168" i="174"/>
  <c r="O47" i="275"/>
  <c r="K47" i="274"/>
  <c r="E18" i="174"/>
  <c r="O302" i="174"/>
  <c r="H14" i="275" s="1"/>
  <c r="J14" i="275" s="1"/>
  <c r="N14" i="275" s="1"/>
  <c r="AD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D28" i="174" s="1"/>
  <c r="G21" i="231"/>
  <c r="G21" i="275"/>
  <c r="G21" i="274"/>
  <c r="K211" i="174"/>
  <c r="K164" i="174"/>
  <c r="K17" i="275" s="1"/>
  <c r="M17" i="275" s="1"/>
  <c r="M305" i="174"/>
  <c r="K258" i="174"/>
  <c r="K117" i="174"/>
  <c r="H48" i="272"/>
  <c r="K228" i="174"/>
  <c r="K181" i="174"/>
  <c r="K34" i="275" s="1"/>
  <c r="M34" i="275" s="1"/>
  <c r="N34" i="275" s="1"/>
  <c r="AD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J44" i="275"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191" i="174"/>
  <c r="S44" i="275" s="1"/>
  <c r="U44" i="275" s="1"/>
  <c r="K212" i="174"/>
  <c r="K118" i="174"/>
  <c r="K165" i="174"/>
  <c r="K18" i="275" s="1"/>
  <c r="M18" i="275" s="1"/>
  <c r="M306" i="174"/>
  <c r="H32" i="272"/>
  <c r="G39" i="274"/>
  <c r="L214" i="174"/>
  <c r="L167" i="174"/>
  <c r="L261" i="174"/>
  <c r="L120" i="174"/>
  <c r="K203" i="174"/>
  <c r="G7" i="274"/>
  <c r="I25" i="272"/>
  <c r="M333" i="174"/>
  <c r="O333" i="174" s="1"/>
  <c r="H45" i="275" s="1"/>
  <c r="J45" i="275" s="1"/>
  <c r="K239" i="174"/>
  <c r="K192" i="174"/>
  <c r="K45" i="275" s="1"/>
  <c r="M45" i="275" s="1"/>
  <c r="K98" i="174"/>
  <c r="H59" i="272"/>
  <c r="K145" i="174"/>
  <c r="H40" i="272"/>
  <c r="K139" i="174"/>
  <c r="K186" i="174"/>
  <c r="K39" i="275" s="1"/>
  <c r="M39" i="275" s="1"/>
  <c r="N39" i="275" s="1"/>
  <c r="AD39" i="275" s="1"/>
  <c r="K220" i="174"/>
  <c r="K126" i="174"/>
  <c r="K267" i="174"/>
  <c r="M314" i="174"/>
  <c r="K156" i="174"/>
  <c r="M297" i="174"/>
  <c r="O297" i="174" s="1"/>
  <c r="H9" i="275" s="1"/>
  <c r="J9" i="275" s="1"/>
  <c r="K109" i="174"/>
  <c r="K62" i="174"/>
  <c r="M303" i="174"/>
  <c r="K256" i="174"/>
  <c r="K209" i="174"/>
  <c r="K162" i="174"/>
  <c r="K15" i="275" s="1"/>
  <c r="M15" i="275" s="1"/>
  <c r="K115" i="174"/>
  <c r="H29" i="272"/>
  <c r="B19" i="275" s="1"/>
  <c r="G39" i="231"/>
  <c r="K287" i="174"/>
  <c r="K240" i="174"/>
  <c r="H60" i="272"/>
  <c r="K99" i="174"/>
  <c r="K193" i="174"/>
  <c r="K46" i="275" s="1"/>
  <c r="M46" i="275" s="1"/>
  <c r="M334" i="174"/>
  <c r="O334" i="174" s="1"/>
  <c r="H46" i="275" s="1"/>
  <c r="J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M124" i="174" s="1"/>
  <c r="I28" i="174" s="1"/>
  <c r="L158" i="174"/>
  <c r="S11" i="275" s="1"/>
  <c r="U11" i="275" s="1"/>
  <c r="L205" i="174"/>
  <c r="L252" i="174"/>
  <c r="L111" i="174"/>
  <c r="K233" i="174"/>
  <c r="K225" i="174"/>
  <c r="M225" i="174" s="1"/>
  <c r="K35" i="174" s="1"/>
  <c r="M319" i="174"/>
  <c r="K178" i="174"/>
  <c r="K31" i="275" s="1"/>
  <c r="M31" i="275" s="1"/>
  <c r="K131" i="174"/>
  <c r="K272" i="174"/>
  <c r="K141" i="174"/>
  <c r="M329" i="174"/>
  <c r="H55" i="272"/>
  <c r="M7" i="275" l="1"/>
  <c r="U7" i="275"/>
  <c r="K45" i="274"/>
  <c r="M62" i="174"/>
  <c r="N22" i="275"/>
  <c r="AD22" i="275" s="1"/>
  <c r="M203" i="174"/>
  <c r="N21" i="275"/>
  <c r="AD21" i="275" s="1"/>
  <c r="K22" i="274"/>
  <c r="M22" i="274" s="1"/>
  <c r="N29" i="275"/>
  <c r="AD29" i="275" s="1"/>
  <c r="M109" i="174"/>
  <c r="M110" i="174"/>
  <c r="N28" i="275"/>
  <c r="AD28" i="275" s="1"/>
  <c r="M205" i="174"/>
  <c r="O19" i="275"/>
  <c r="N19" i="275"/>
  <c r="AD19" i="275" s="1"/>
  <c r="M253" i="174"/>
  <c r="M111" i="174"/>
  <c r="M112" i="174"/>
  <c r="M251" i="174"/>
  <c r="O41" i="275"/>
  <c r="M206" i="174"/>
  <c r="L41" i="274"/>
  <c r="K19" i="274"/>
  <c r="M19" i="274" s="1"/>
  <c r="M252" i="174"/>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P35" i="275" s="1"/>
  <c r="R35" i="275" s="1"/>
  <c r="M278" i="174"/>
  <c r="L41" i="174" s="1"/>
  <c r="K31" i="274"/>
  <c r="L31" i="274" s="1"/>
  <c r="O31" i="274" s="1"/>
  <c r="P31" i="274" s="1"/>
  <c r="L31" i="231"/>
  <c r="M257" i="174"/>
  <c r="L20" i="174" s="1"/>
  <c r="M261" i="174"/>
  <c r="L24" i="174" s="1"/>
  <c r="M22" i="231"/>
  <c r="P22" i="231" s="1"/>
  <c r="U22" i="231" s="1"/>
  <c r="M116" i="174"/>
  <c r="I20" i="174" s="1"/>
  <c r="L28" i="231"/>
  <c r="M132" i="174"/>
  <c r="I36" i="174" s="1"/>
  <c r="M188" i="174"/>
  <c r="J45" i="174" s="1"/>
  <c r="K28" i="274"/>
  <c r="L28" i="274" s="1"/>
  <c r="O42" i="275"/>
  <c r="L69" i="174"/>
  <c r="K42" i="274"/>
  <c r="M42" i="274" s="1"/>
  <c r="M226" i="174"/>
  <c r="K36" i="174" s="1"/>
  <c r="M216" i="174"/>
  <c r="K26" i="174" s="1"/>
  <c r="M234" i="174"/>
  <c r="K44" i="174" s="1"/>
  <c r="P42" i="231"/>
  <c r="U42" i="231" s="1"/>
  <c r="B20" i="231"/>
  <c r="B20" i="274"/>
  <c r="M276" i="174"/>
  <c r="L39" i="174" s="1"/>
  <c r="M232" i="174"/>
  <c r="K42" i="174" s="1"/>
  <c r="G39" i="174"/>
  <c r="B20" i="275"/>
  <c r="J25" i="274"/>
  <c r="V25" i="274" s="1"/>
  <c r="L13" i="274"/>
  <c r="M128" i="174"/>
  <c r="I32" i="174" s="1"/>
  <c r="M19" i="231"/>
  <c r="N19"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5" i="275" s="1"/>
  <c r="J25" i="275" s="1"/>
  <c r="N25" i="275" s="1"/>
  <c r="AD25" i="275" s="1"/>
  <c r="H24" i="274"/>
  <c r="I24" i="274"/>
  <c r="G42" i="274"/>
  <c r="G42" i="231"/>
  <c r="G42" i="275"/>
  <c r="G37" i="231"/>
  <c r="G37" i="274"/>
  <c r="G37" i="275"/>
  <c r="K254" i="174"/>
  <c r="I290" i="174"/>
  <c r="I289" i="174"/>
  <c r="G8" i="231"/>
  <c r="G8" i="274"/>
  <c r="G8" i="275"/>
  <c r="M117" i="174"/>
  <c r="I21" i="174" s="1"/>
  <c r="B37" i="174"/>
  <c r="K86" i="174"/>
  <c r="F25" i="174"/>
  <c r="G25" i="174" s="1"/>
  <c r="P309" i="174"/>
  <c r="I148" i="174"/>
  <c r="M23" i="231"/>
  <c r="N23" i="231"/>
  <c r="B22" i="174"/>
  <c r="K71" i="174"/>
  <c r="G18" i="231"/>
  <c r="G18" i="275"/>
  <c r="G18" i="274"/>
  <c r="E40" i="174"/>
  <c r="O324" i="174"/>
  <c r="H36" i="275" s="1"/>
  <c r="J36" i="275" s="1"/>
  <c r="M274" i="174"/>
  <c r="L37" i="174" s="1"/>
  <c r="G10" i="231"/>
  <c r="G10" i="275"/>
  <c r="G10" i="274"/>
  <c r="M140" i="174"/>
  <c r="I44" i="174" s="1"/>
  <c r="B34" i="174"/>
  <c r="D34" i="174" s="1"/>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N27" i="231"/>
  <c r="M27" i="231"/>
  <c r="M38" i="274"/>
  <c r="L38" i="274"/>
  <c r="G36" i="274"/>
  <c r="G36" i="231"/>
  <c r="G36" i="275"/>
  <c r="F22" i="174"/>
  <c r="P306" i="174"/>
  <c r="P328" i="174"/>
  <c r="F44" i="174"/>
  <c r="J31" i="274"/>
  <c r="V31" i="274" s="1"/>
  <c r="G26" i="231"/>
  <c r="G26" i="274"/>
  <c r="G26" i="275"/>
  <c r="C24" i="174"/>
  <c r="L73" i="174"/>
  <c r="O306" i="174"/>
  <c r="H18" i="275" s="1"/>
  <c r="J18" i="275" s="1"/>
  <c r="N18" i="275" s="1"/>
  <c r="AD18" i="275" s="1"/>
  <c r="E22" i="174"/>
  <c r="B31" i="174"/>
  <c r="K80" i="174"/>
  <c r="G35" i="231"/>
  <c r="G35" i="275"/>
  <c r="G35" i="274"/>
  <c r="J149" i="174"/>
  <c r="J148" i="174"/>
  <c r="L113" i="174"/>
  <c r="M113" i="174" s="1"/>
  <c r="K78" i="174"/>
  <c r="B29" i="174"/>
  <c r="P15" i="275"/>
  <c r="R15" i="275" s="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M215" i="174"/>
  <c r="K25" i="174" s="1"/>
  <c r="F17" i="174"/>
  <c r="N336" i="174"/>
  <c r="P301" i="174"/>
  <c r="G28" i="231"/>
  <c r="G28" i="275"/>
  <c r="G28" i="274"/>
  <c r="G27" i="275"/>
  <c r="G27" i="274"/>
  <c r="G27" i="231"/>
  <c r="J195" i="174"/>
  <c r="J196" i="174"/>
  <c r="L160" i="174"/>
  <c r="H25" i="231"/>
  <c r="I25" i="231"/>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I17" i="231"/>
  <c r="H17" i="231"/>
  <c r="G9" i="274"/>
  <c r="G9" i="275"/>
  <c r="G9" i="231"/>
  <c r="E45" i="174"/>
  <c r="G45" i="174" s="1"/>
  <c r="O329" i="174"/>
  <c r="M135" i="174"/>
  <c r="I39" i="174" s="1"/>
  <c r="M218" i="174"/>
  <c r="K28" i="174" s="1"/>
  <c r="G12" i="231"/>
  <c r="G12" i="275"/>
  <c r="G12" i="274"/>
  <c r="I21" i="231"/>
  <c r="H21" i="231"/>
  <c r="F41" i="174"/>
  <c r="P325" i="174"/>
  <c r="F23" i="174"/>
  <c r="G23" i="174" s="1"/>
  <c r="P307" i="174"/>
  <c r="F18" i="174"/>
  <c r="G18" i="174" s="1"/>
  <c r="P302" i="174"/>
  <c r="E24" i="174"/>
  <c r="G24" i="174" s="1"/>
  <c r="O308" i="174"/>
  <c r="M264" i="174"/>
  <c r="L27" i="174" s="1"/>
  <c r="L78" i="174"/>
  <c r="C29" i="174"/>
  <c r="O26" i="275"/>
  <c r="L26" i="231"/>
  <c r="K26" i="274"/>
  <c r="P31" i="275"/>
  <c r="R31" i="275" s="1"/>
  <c r="M221" i="174"/>
  <c r="K31" i="174" s="1"/>
  <c r="I32" i="231"/>
  <c r="H32" i="231"/>
  <c r="M115" i="174"/>
  <c r="I19" i="174" s="1"/>
  <c r="L337" i="174"/>
  <c r="G43" i="174"/>
  <c r="O46" i="275"/>
  <c r="K46" i="274"/>
  <c r="H39" i="274"/>
  <c r="I39" i="274"/>
  <c r="S33" i="275"/>
  <c r="U33" i="275" s="1"/>
  <c r="Y33" i="275" s="1"/>
  <c r="M180" i="174"/>
  <c r="J37" i="174" s="1"/>
  <c r="K12" i="274"/>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O44" i="275"/>
  <c r="K44" i="274"/>
  <c r="M166" i="174"/>
  <c r="J23" i="174" s="1"/>
  <c r="S19" i="275"/>
  <c r="U19" i="275" s="1"/>
  <c r="Y19" i="275" s="1"/>
  <c r="O10" i="275"/>
  <c r="K10" i="274"/>
  <c r="O37" i="275"/>
  <c r="K37" i="274"/>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L15" i="231"/>
  <c r="O15" i="275"/>
  <c r="K15" i="274"/>
  <c r="Q310" i="174"/>
  <c r="M26" i="174" s="1"/>
  <c r="P22" i="275"/>
  <c r="R22" i="275" s="1"/>
  <c r="K17" i="274"/>
  <c r="L17" i="231"/>
  <c r="O17" i="275"/>
  <c r="G45" i="274"/>
  <c r="G45" i="275"/>
  <c r="G45" i="231"/>
  <c r="K94" i="174"/>
  <c r="B45" i="174"/>
  <c r="L88" i="174"/>
  <c r="C39" i="174"/>
  <c r="O312" i="174"/>
  <c r="E28" i="174"/>
  <c r="G28" i="174" s="1"/>
  <c r="E30" i="174"/>
  <c r="O314" i="174"/>
  <c r="H26" i="275" s="1"/>
  <c r="J26" i="275" s="1"/>
  <c r="N26" i="275" s="1"/>
  <c r="AD26" i="275" s="1"/>
  <c r="O11" i="275"/>
  <c r="K11" i="274"/>
  <c r="C45" i="174"/>
  <c r="L94" i="174"/>
  <c r="G14" i="231"/>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N21" i="231"/>
  <c r="M21" i="231"/>
  <c r="H20" i="231"/>
  <c r="I20" i="231"/>
  <c r="M168" i="174"/>
  <c r="J25" i="174" s="1"/>
  <c r="S21" i="275"/>
  <c r="U21" i="275" s="1"/>
  <c r="Y21" i="275" s="1"/>
  <c r="K160" i="174"/>
  <c r="K13" i="275" s="1"/>
  <c r="M13" i="275" s="1"/>
  <c r="I196" i="174"/>
  <c r="I195" i="174"/>
  <c r="M186" i="174"/>
  <c r="J43" i="174" s="1"/>
  <c r="S39" i="275"/>
  <c r="U39" i="275" s="1"/>
  <c r="Y39" i="275" s="1"/>
  <c r="G41" i="275"/>
  <c r="G41" i="231"/>
  <c r="G41" i="274"/>
  <c r="H31" i="231"/>
  <c r="I31" i="231"/>
  <c r="G46" i="231"/>
  <c r="G46" i="274"/>
  <c r="G46" i="275"/>
  <c r="B44" i="174"/>
  <c r="K93" i="174"/>
  <c r="G38" i="231"/>
  <c r="G38" i="275"/>
  <c r="G38" i="274"/>
  <c r="O8" i="275"/>
  <c r="K8" i="274"/>
  <c r="Y37" i="275"/>
  <c r="M220" i="174"/>
  <c r="K30" i="174" s="1"/>
  <c r="M139" i="174"/>
  <c r="I43" i="174" s="1"/>
  <c r="N41" i="274"/>
  <c r="P32" i="275"/>
  <c r="R32" i="275" s="1"/>
  <c r="O326" i="174"/>
  <c r="H38" i="275" s="1"/>
  <c r="J38" i="275" s="1"/>
  <c r="E42" i="174"/>
  <c r="S18" i="275"/>
  <c r="U18" i="275" s="1"/>
  <c r="Y18" i="275" s="1"/>
  <c r="M165" i="174"/>
  <c r="J22" i="174" s="1"/>
  <c r="E19" i="174"/>
  <c r="G19" i="174" s="1"/>
  <c r="O303" i="174"/>
  <c r="O319" i="174"/>
  <c r="E35" i="174"/>
  <c r="G35" i="174" s="1"/>
  <c r="F46" i="174"/>
  <c r="G46" i="174" s="1"/>
  <c r="P330" i="174"/>
  <c r="O36" i="275"/>
  <c r="K36" i="274"/>
  <c r="M120" i="174"/>
  <c r="I24" i="174" s="1"/>
  <c r="G23" i="274"/>
  <c r="G23" i="275"/>
  <c r="G23" i="231"/>
  <c r="F20" i="174"/>
  <c r="P304" i="174"/>
  <c r="K67" i="174"/>
  <c r="B18" i="174"/>
  <c r="E27" i="174"/>
  <c r="O311" i="174"/>
  <c r="H23" i="275" s="1"/>
  <c r="J23" i="275" s="1"/>
  <c r="N23" i="275" s="1"/>
  <c r="AD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B42" i="174"/>
  <c r="K91" i="174"/>
  <c r="M283" i="174"/>
  <c r="L46" i="174" s="1"/>
  <c r="M230" i="174"/>
  <c r="K40" i="174" s="1"/>
  <c r="L40" i="274"/>
  <c r="M40" i="274"/>
  <c r="M233" i="174"/>
  <c r="K43" i="174" s="1"/>
  <c r="N16" i="231"/>
  <c r="M16" i="23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N33" i="231"/>
  <c r="M33" i="231"/>
  <c r="M169" i="174"/>
  <c r="J26" i="174" s="1"/>
  <c r="S22" i="275"/>
  <c r="U22" i="275" s="1"/>
  <c r="Y22" i="275" s="1"/>
  <c r="M277" i="174"/>
  <c r="L40" i="174" s="1"/>
  <c r="M35" i="274"/>
  <c r="L35" i="274"/>
  <c r="O9" i="275"/>
  <c r="K9" i="274"/>
  <c r="J243" i="174"/>
  <c r="E37" i="174"/>
  <c r="G37" i="174" s="1"/>
  <c r="O321" i="174"/>
  <c r="O39" i="275"/>
  <c r="K39" i="274"/>
  <c r="H13" i="274"/>
  <c r="I13" i="274"/>
  <c r="V15" i="275" l="1"/>
  <c r="K48" i="275"/>
  <c r="M48" i="275"/>
  <c r="N28" i="231"/>
  <c r="L22" i="274"/>
  <c r="M69" i="174"/>
  <c r="H20" i="174" s="1"/>
  <c r="M31" i="274"/>
  <c r="Q31" i="274" s="1"/>
  <c r="R31" i="274" s="1"/>
  <c r="M28" i="231"/>
  <c r="G40" i="174"/>
  <c r="Q16" i="274"/>
  <c r="R16" i="274" s="1"/>
  <c r="O16" i="274"/>
  <c r="P16" i="274" s="1"/>
  <c r="M31" i="231"/>
  <c r="N31" i="231"/>
  <c r="L19" i="274"/>
  <c r="N19" i="274" s="1"/>
  <c r="O21" i="274"/>
  <c r="P21" i="274" s="1"/>
  <c r="M70" i="174"/>
  <c r="H21" i="174" s="1"/>
  <c r="Q303" i="174"/>
  <c r="M19" i="174" s="1"/>
  <c r="H15" i="275"/>
  <c r="J15" i="275" s="1"/>
  <c r="N15" i="275" s="1"/>
  <c r="AD15" i="275" s="1"/>
  <c r="Q308" i="174"/>
  <c r="M24" i="174" s="1"/>
  <c r="H20" i="275"/>
  <c r="J20" i="275" s="1"/>
  <c r="N20" i="275" s="1"/>
  <c r="AD20" i="275" s="1"/>
  <c r="Q329" i="174"/>
  <c r="M45" i="174" s="1"/>
  <c r="H41" i="275"/>
  <c r="J41" i="275" s="1"/>
  <c r="Q319" i="174"/>
  <c r="M35" i="174" s="1"/>
  <c r="H31" i="275"/>
  <c r="J31" i="275" s="1"/>
  <c r="N31" i="275" s="1"/>
  <c r="AD31" i="275" s="1"/>
  <c r="Q321" i="174"/>
  <c r="M37" i="174" s="1"/>
  <c r="H33" i="275"/>
  <c r="J33" i="275" s="1"/>
  <c r="N33" i="275" s="1"/>
  <c r="AD33" i="275" s="1"/>
  <c r="Q320" i="174"/>
  <c r="M36" i="174" s="1"/>
  <c r="H32" i="275"/>
  <c r="J32" i="275" s="1"/>
  <c r="N32" i="275" s="1"/>
  <c r="AD32" i="275" s="1"/>
  <c r="L42" i="274"/>
  <c r="Q312" i="174"/>
  <c r="M28" i="174" s="1"/>
  <c r="H24" i="275"/>
  <c r="J24" i="275" s="1"/>
  <c r="N24" i="275" s="1"/>
  <c r="AD24" i="275" s="1"/>
  <c r="Q305" i="174"/>
  <c r="M21" i="174" s="1"/>
  <c r="H17" i="275"/>
  <c r="J17" i="275" s="1"/>
  <c r="N17" i="275" s="1"/>
  <c r="AD17" i="275" s="1"/>
  <c r="Q21" i="274"/>
  <c r="R21" i="274" s="1"/>
  <c r="Q13" i="274"/>
  <c r="N13" i="274"/>
  <c r="W13" i="274" s="1"/>
  <c r="O13" i="274"/>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N28" i="274" s="1"/>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H22" i="231"/>
  <c r="I22" i="231"/>
  <c r="I28" i="274"/>
  <c r="H28" i="274"/>
  <c r="O28" i="274" s="1"/>
  <c r="P28" i="274" s="1"/>
  <c r="J16" i="274"/>
  <c r="V16" i="274" s="1"/>
  <c r="Z34" i="275"/>
  <c r="AI34" i="275" s="1"/>
  <c r="AH34" i="275"/>
  <c r="N35" i="274"/>
  <c r="N40" i="274"/>
  <c r="D17" i="174"/>
  <c r="C53" i="174"/>
  <c r="Z19" i="275"/>
  <c r="AI19" i="275" s="1"/>
  <c r="AH19" i="275"/>
  <c r="Z40" i="275"/>
  <c r="AI40" i="275" s="1"/>
  <c r="AH40" i="275"/>
  <c r="D40" i="174"/>
  <c r="Z14" i="275"/>
  <c r="AI14" i="275" s="1"/>
  <c r="AH14" i="275"/>
  <c r="H28" i="231"/>
  <c r="I28" i="231"/>
  <c r="Z27" i="275"/>
  <c r="AI27" i="275" s="1"/>
  <c r="AH27" i="275"/>
  <c r="AE15" i="275"/>
  <c r="H42" i="274"/>
  <c r="I42" i="274"/>
  <c r="R42" i="274" s="1"/>
  <c r="AH38" i="275"/>
  <c r="Z38" i="275"/>
  <c r="AI38" i="275" s="1"/>
  <c r="P21" i="275"/>
  <c r="R21" i="275" s="1"/>
  <c r="Q309" i="174"/>
  <c r="M25" i="174" s="1"/>
  <c r="N23" i="274"/>
  <c r="I26" i="274"/>
  <c r="H26" i="274"/>
  <c r="V17" i="275"/>
  <c r="AE17" i="275" s="1"/>
  <c r="H18" i="274"/>
  <c r="I18" i="274"/>
  <c r="W41" i="274"/>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15" i="231"/>
  <c r="I15" i="231"/>
  <c r="Z35" i="275"/>
  <c r="AI35" i="275" s="1"/>
  <c r="AH35" i="275"/>
  <c r="H26" i="231"/>
  <c r="I26" i="231"/>
  <c r="M24" i="231"/>
  <c r="N24" i="231"/>
  <c r="Q316" i="174"/>
  <c r="M32" i="174" s="1"/>
  <c r="P28" i="275"/>
  <c r="R28" i="275" s="1"/>
  <c r="AH23" i="275"/>
  <c r="Z23" i="275"/>
  <c r="AI23" i="275" s="1"/>
  <c r="M20" i="231"/>
  <c r="N20" i="231"/>
  <c r="H29" i="274"/>
  <c r="I29" i="274"/>
  <c r="Z31" i="275"/>
  <c r="AI31" i="275" s="1"/>
  <c r="AH31" i="275"/>
  <c r="N34" i="231"/>
  <c r="M34" i="231"/>
  <c r="P16" i="275"/>
  <c r="R16" i="275" s="1"/>
  <c r="Q304" i="174"/>
  <c r="M20" i="174" s="1"/>
  <c r="M34" i="274"/>
  <c r="L34" i="274"/>
  <c r="G20" i="174"/>
  <c r="AH37" i="275"/>
  <c r="Z37" i="275"/>
  <c r="AI37" i="275" s="1"/>
  <c r="K31" i="231"/>
  <c r="T31" i="231" s="1"/>
  <c r="W14" i="274"/>
  <c r="N30" i="231"/>
  <c r="M30" i="231"/>
  <c r="M32" i="274"/>
  <c r="L32" i="274"/>
  <c r="O32" i="274" s="1"/>
  <c r="P32" i="274" s="1"/>
  <c r="Q314" i="174"/>
  <c r="M30" i="174" s="1"/>
  <c r="P26" i="275"/>
  <c r="R26" i="275" s="1"/>
  <c r="I15" i="274"/>
  <c r="H15" i="274"/>
  <c r="H30" i="231"/>
  <c r="I30" i="231"/>
  <c r="I18" i="231"/>
  <c r="H18" i="231"/>
  <c r="H8" i="274"/>
  <c r="I8" i="274"/>
  <c r="M15" i="274"/>
  <c r="L15" i="274"/>
  <c r="V24" i="275"/>
  <c r="AE24" i="275" s="1"/>
  <c r="N32" i="231"/>
  <c r="M32" i="231"/>
  <c r="G30" i="174"/>
  <c r="N33" i="274"/>
  <c r="Q307" i="174"/>
  <c r="M23" i="174" s="1"/>
  <c r="P19" i="275"/>
  <c r="R19" i="275" s="1"/>
  <c r="I9" i="274"/>
  <c r="H9" i="274"/>
  <c r="M25" i="274"/>
  <c r="L25" i="274"/>
  <c r="O25" i="274" s="1"/>
  <c r="P25" i="274" s="1"/>
  <c r="H30" i="274"/>
  <c r="I30" i="274"/>
  <c r="P13" i="275"/>
  <c r="R13" i="275" s="1"/>
  <c r="M149" i="174"/>
  <c r="M148" i="174"/>
  <c r="I17" i="174"/>
  <c r="I52" i="174" s="1"/>
  <c r="G44" i="174"/>
  <c r="M10" i="274"/>
  <c r="L10" i="274"/>
  <c r="V33" i="275"/>
  <c r="AE33" i="275" s="1"/>
  <c r="V41" i="275"/>
  <c r="AE41" i="275" s="1"/>
  <c r="W41" i="275"/>
  <c r="V31" i="275"/>
  <c r="AE31" i="275" s="1"/>
  <c r="K17" i="231"/>
  <c r="T17" i="231" s="1"/>
  <c r="N25" i="231"/>
  <c r="M25" i="231"/>
  <c r="Q328" i="174"/>
  <c r="M44" i="174" s="1"/>
  <c r="P40" i="275"/>
  <c r="R40" i="275" s="1"/>
  <c r="M18" i="274"/>
  <c r="L18" i="274"/>
  <c r="M86" i="174"/>
  <c r="H37" i="174" s="1"/>
  <c r="M17" i="274"/>
  <c r="L17" i="274"/>
  <c r="O17" i="274" s="1"/>
  <c r="P17" i="274" s="1"/>
  <c r="I29" i="231"/>
  <c r="H29" i="231"/>
  <c r="M8" i="274"/>
  <c r="L8" i="274"/>
  <c r="M39" i="274"/>
  <c r="R39" i="274" s="1"/>
  <c r="L39" i="274"/>
  <c r="N29" i="231"/>
  <c r="M29" i="231"/>
  <c r="P16" i="231"/>
  <c r="Z28" i="275"/>
  <c r="AI28" i="275" s="1"/>
  <c r="AH28" i="275"/>
  <c r="H23" i="274"/>
  <c r="O23" i="274" s="1"/>
  <c r="P23" i="274" s="1"/>
  <c r="I23" i="274"/>
  <c r="N31" i="274"/>
  <c r="I19" i="274"/>
  <c r="Q19" i="274" s="1"/>
  <c r="H19" i="274"/>
  <c r="AH29" i="275"/>
  <c r="Z29" i="275"/>
  <c r="AI29" i="275" s="1"/>
  <c r="Q317" i="174"/>
  <c r="M33" i="174" s="1"/>
  <c r="P29" i="275"/>
  <c r="R29" i="275" s="1"/>
  <c r="N15" i="231"/>
  <c r="M15" i="231"/>
  <c r="M12" i="274"/>
  <c r="L12" i="274"/>
  <c r="Q325" i="174"/>
  <c r="M41" i="174" s="1"/>
  <c r="P37" i="275"/>
  <c r="R37" i="275" s="1"/>
  <c r="K25" i="231"/>
  <c r="T25" i="231" s="1"/>
  <c r="M71" i="174"/>
  <c r="H22" i="174" s="1"/>
  <c r="Q306" i="174"/>
  <c r="M22" i="174" s="1"/>
  <c r="P18" i="275"/>
  <c r="R18" i="275" s="1"/>
  <c r="N18" i="231"/>
  <c r="M18" i="231"/>
  <c r="D37" i="174"/>
  <c r="D26" i="174"/>
  <c r="H23" i="231"/>
  <c r="I23" i="231"/>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R35" i="274" s="1"/>
  <c r="H35" i="274"/>
  <c r="Z16" i="275"/>
  <c r="AI16" i="275" s="1"/>
  <c r="AH16" i="275"/>
  <c r="V35" i="275"/>
  <c r="AE35" i="275" s="1"/>
  <c r="W35" i="275"/>
  <c r="H19" i="231"/>
  <c r="I19" i="231"/>
  <c r="J20" i="274"/>
  <c r="V20" i="274" s="1"/>
  <c r="Z26" i="275"/>
  <c r="AI26" i="275" s="1"/>
  <c r="AH26" i="275"/>
  <c r="H14" i="274"/>
  <c r="O14" i="274" s="1"/>
  <c r="P14" i="274" s="1"/>
  <c r="I14" i="274"/>
  <c r="P30" i="275"/>
  <c r="R30" i="275" s="1"/>
  <c r="Q318" i="174"/>
  <c r="M34" i="174" s="1"/>
  <c r="D42" i="174"/>
  <c r="D27" i="174"/>
  <c r="D44" i="174"/>
  <c r="Z33" i="275"/>
  <c r="AI33" i="275" s="1"/>
  <c r="AH33" i="275"/>
  <c r="M26" i="231"/>
  <c r="N26" i="231"/>
  <c r="P28" i="231"/>
  <c r="M160" i="174"/>
  <c r="S13" i="275"/>
  <c r="H10" i="274"/>
  <c r="I10" i="274"/>
  <c r="P23" i="231"/>
  <c r="I11" i="274"/>
  <c r="H11" i="274"/>
  <c r="P35" i="231"/>
  <c r="P33" i="231"/>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H44" i="274"/>
  <c r="I44" i="274"/>
  <c r="N22" i="274"/>
  <c r="Z42" i="275"/>
  <c r="AI42" i="275" s="1"/>
  <c r="AH42" i="275"/>
  <c r="Z25" i="275"/>
  <c r="AI25" i="275" s="1"/>
  <c r="AH25" i="275"/>
  <c r="I45" i="274"/>
  <c r="R45" i="274" s="1"/>
  <c r="H45" i="274"/>
  <c r="J39" i="274"/>
  <c r="V39" i="274" s="1"/>
  <c r="I36" i="274"/>
  <c r="H36" i="274"/>
  <c r="O301" i="174"/>
  <c r="M336" i="174"/>
  <c r="E17" i="174"/>
  <c r="H43" i="274"/>
  <c r="I43" i="274"/>
  <c r="R43" i="274" s="1"/>
  <c r="M11" i="274"/>
  <c r="L11" i="274"/>
  <c r="L29" i="274"/>
  <c r="M29" i="274"/>
  <c r="Z22" i="275"/>
  <c r="AI22" i="275" s="1"/>
  <c r="AH22" i="275"/>
  <c r="H33" i="231"/>
  <c r="I33" i="231"/>
  <c r="P13" i="231"/>
  <c r="K17" i="174"/>
  <c r="K52" i="174" s="1"/>
  <c r="M243" i="174"/>
  <c r="M242" i="174"/>
  <c r="I34" i="231"/>
  <c r="H34" i="231"/>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H27" i="231"/>
  <c r="I27" i="231"/>
  <c r="K24" i="231"/>
  <c r="T24" i="231" s="1"/>
  <c r="N38" i="274"/>
  <c r="M9" i="274"/>
  <c r="L9" i="274"/>
  <c r="V20" i="275"/>
  <c r="AE20" i="275" s="1"/>
  <c r="Z24" i="275"/>
  <c r="AI24" i="275" s="1"/>
  <c r="AH24" i="275"/>
  <c r="M24" i="274"/>
  <c r="L24" i="274"/>
  <c r="O24" i="274" s="1"/>
  <c r="P24" i="274" s="1"/>
  <c r="H34" i="274"/>
  <c r="I34" i="274"/>
  <c r="AH21" i="275"/>
  <c r="Z21" i="275"/>
  <c r="AI21" i="275" s="1"/>
  <c r="N17" i="231"/>
  <c r="M17" i="231"/>
  <c r="Z15" i="275"/>
  <c r="AI15" i="275" s="1"/>
  <c r="AH15" i="275"/>
  <c r="H22" i="274"/>
  <c r="O22" i="274" s="1"/>
  <c r="P22" i="274" s="1"/>
  <c r="I22" i="274"/>
  <c r="Q22" i="274" s="1"/>
  <c r="H27" i="274"/>
  <c r="O27" i="274" s="1"/>
  <c r="P27" i="274" s="1"/>
  <c r="I27" i="274"/>
  <c r="N27" i="274"/>
  <c r="K16" i="231"/>
  <c r="T16" i="231" s="1"/>
  <c r="P41" i="231"/>
  <c r="N48" i="231" l="1"/>
  <c r="B98" i="277" s="1"/>
  <c r="M48" i="231"/>
  <c r="B97" i="277" s="1"/>
  <c r="B99" i="277" s="1"/>
  <c r="I48" i="231"/>
  <c r="C98" i="277" s="1"/>
  <c r="H48" i="231"/>
  <c r="C97" i="277" s="1"/>
  <c r="C99" i="277" s="1"/>
  <c r="U13" i="275"/>
  <c r="S48" i="275"/>
  <c r="R48" i="275"/>
  <c r="C73" i="277" s="1"/>
  <c r="O19" i="274"/>
  <c r="P19" i="274" s="1"/>
  <c r="P31" i="231"/>
  <c r="U31" i="231" s="1"/>
  <c r="S13" i="274"/>
  <c r="W20" i="275"/>
  <c r="W15" i="275"/>
  <c r="AF15" i="275" s="1"/>
  <c r="W17" i="275"/>
  <c r="AF17" i="275" s="1"/>
  <c r="Q18" i="274"/>
  <c r="R18" i="274" s="1"/>
  <c r="W33" i="275"/>
  <c r="W31" i="275"/>
  <c r="AF31" i="275" s="1"/>
  <c r="Q15" i="274"/>
  <c r="R15" i="274" s="1"/>
  <c r="O34" i="274"/>
  <c r="P34" i="274" s="1"/>
  <c r="O26" i="274"/>
  <c r="P26" i="274" s="1"/>
  <c r="Q29" i="274"/>
  <c r="R29" i="274" s="1"/>
  <c r="W24" i="275"/>
  <c r="AA24" i="275" s="1"/>
  <c r="W32" i="275"/>
  <c r="AF32" i="275" s="1"/>
  <c r="Q34" i="274"/>
  <c r="R34" i="274" s="1"/>
  <c r="Q28" i="274"/>
  <c r="R28" i="274" s="1"/>
  <c r="T28" i="274" s="1"/>
  <c r="Y28" i="274" s="1"/>
  <c r="Q33" i="274"/>
  <c r="R33" i="274" s="1"/>
  <c r="O18" i="274"/>
  <c r="P18" i="274" s="1"/>
  <c r="Q301" i="174"/>
  <c r="Q337" i="174" s="1"/>
  <c r="H13" i="275"/>
  <c r="J13" i="275" s="1"/>
  <c r="Q26" i="274"/>
  <c r="R26" i="274" s="1"/>
  <c r="P13" i="274"/>
  <c r="O29" i="274"/>
  <c r="P29" i="274" s="1"/>
  <c r="Q24" i="274"/>
  <c r="R24" i="274" s="1"/>
  <c r="Q32" i="274"/>
  <c r="R32" i="274" s="1"/>
  <c r="O15" i="274"/>
  <c r="P15" i="274" s="1"/>
  <c r="Q17" i="274"/>
  <c r="R17" i="274" s="1"/>
  <c r="Q25" i="274"/>
  <c r="R25" i="274" s="1"/>
  <c r="Q27" i="274"/>
  <c r="R27" i="274" s="1"/>
  <c r="T27" i="274" s="1"/>
  <c r="Q14" i="274"/>
  <c r="Q20" i="274"/>
  <c r="R20" i="274" s="1"/>
  <c r="R19" i="274"/>
  <c r="O30" i="274"/>
  <c r="P30" i="274" s="1"/>
  <c r="Q30" i="274"/>
  <c r="R30" i="274" s="1"/>
  <c r="Q23" i="274"/>
  <c r="R23" i="274" s="1"/>
  <c r="R22" i="274"/>
  <c r="R13" i="274"/>
  <c r="AH12" i="275"/>
  <c r="Z12" i="275"/>
  <c r="AA12" i="275"/>
  <c r="Z11" i="275"/>
  <c r="AH11" i="275"/>
  <c r="AA11" i="275"/>
  <c r="Z10" i="275"/>
  <c r="AA10" i="275"/>
  <c r="AH10" i="275"/>
  <c r="M290" i="174"/>
  <c r="M289" i="174"/>
  <c r="AA9" i="275"/>
  <c r="Z9" i="275"/>
  <c r="AH9" i="275"/>
  <c r="T21" i="274"/>
  <c r="T31" i="274"/>
  <c r="G17" i="174"/>
  <c r="G52" i="174" s="1"/>
  <c r="E52" i="174"/>
  <c r="D52" i="174"/>
  <c r="H52" i="174"/>
  <c r="R21" i="231"/>
  <c r="AO19" i="78"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T16" i="274"/>
  <c r="AK14" i="78" s="1"/>
  <c r="R8" i="274"/>
  <c r="J26" i="274"/>
  <c r="V26" i="274" s="1"/>
  <c r="T47" i="274"/>
  <c r="Y47" i="274" s="1"/>
  <c r="K15" i="231"/>
  <c r="T15" i="231" s="1"/>
  <c r="R36" i="274"/>
  <c r="T43" i="274"/>
  <c r="AK41" i="78" s="1"/>
  <c r="AW41" i="78" s="1"/>
  <c r="C40" i="85" s="1"/>
  <c r="D84" i="85" s="1"/>
  <c r="J30" i="274"/>
  <c r="V30" i="274" s="1"/>
  <c r="X13" i="274"/>
  <c r="AJ11" i="78"/>
  <c r="M17" i="174"/>
  <c r="M52" i="174" s="1"/>
  <c r="T45" i="274"/>
  <c r="V30" i="275"/>
  <c r="AE30" i="275" s="1"/>
  <c r="W30" i="275"/>
  <c r="W31" i="274"/>
  <c r="S31" i="274"/>
  <c r="N15" i="274"/>
  <c r="P30" i="231"/>
  <c r="V16" i="275"/>
  <c r="AE16" i="275" s="1"/>
  <c r="W16" i="275"/>
  <c r="U23" i="231"/>
  <c r="T7" i="274"/>
  <c r="AK5" i="78" s="1"/>
  <c r="V14" i="275"/>
  <c r="AE14" i="275" s="1"/>
  <c r="W14" i="275"/>
  <c r="Q31" i="231"/>
  <c r="K53" i="174"/>
  <c r="K35" i="231"/>
  <c r="T35" i="231" s="1"/>
  <c r="R12" i="274"/>
  <c r="K29" i="231"/>
  <c r="T29" i="231" s="1"/>
  <c r="K28" i="231"/>
  <c r="T28" i="231" s="1"/>
  <c r="W27" i="274"/>
  <c r="W38" i="274"/>
  <c r="P37" i="231"/>
  <c r="J35" i="274"/>
  <c r="V35" i="274" s="1"/>
  <c r="P15" i="231"/>
  <c r="V19" i="275"/>
  <c r="AE19" i="275" s="1"/>
  <c r="W19" i="275"/>
  <c r="R44" i="274"/>
  <c r="R31" i="231"/>
  <c r="S40" i="274"/>
  <c r="W40" i="274"/>
  <c r="K42" i="23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U28" i="23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P20" i="231"/>
  <c r="N20" i="274"/>
  <c r="V27" i="275"/>
  <c r="AE27" i="275" s="1"/>
  <c r="W27" i="275"/>
  <c r="V42" i="275"/>
  <c r="AE42" i="275" s="1"/>
  <c r="W42" i="275"/>
  <c r="J37" i="274"/>
  <c r="V37" i="274" s="1"/>
  <c r="U35" i="231"/>
  <c r="K19" i="231"/>
  <c r="W18" i="275"/>
  <c r="V18" i="275"/>
  <c r="AE18" i="275" s="1"/>
  <c r="J19" i="274"/>
  <c r="V19" i="274" s="1"/>
  <c r="N18" i="274"/>
  <c r="X33" i="275"/>
  <c r="AF33" i="275"/>
  <c r="AA33" i="275"/>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W28" i="274"/>
  <c r="AA20" i="275"/>
  <c r="X20" i="275"/>
  <c r="AF20" i="275"/>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B100" i="277" l="1"/>
  <c r="N13" i="275"/>
  <c r="J48" i="275"/>
  <c r="B73" i="277" s="1"/>
  <c r="B75" i="277" s="1"/>
  <c r="Y13" i="275"/>
  <c r="U48" i="275"/>
  <c r="C74" i="277" s="1"/>
  <c r="C75" i="277" s="1"/>
  <c r="X15" i="275"/>
  <c r="AA15" i="275"/>
  <c r="X17" i="275"/>
  <c r="AA17" i="275"/>
  <c r="X31" i="275"/>
  <c r="X24" i="275"/>
  <c r="AA31" i="275"/>
  <c r="AJ31" i="275" s="1"/>
  <c r="AF24" i="275"/>
  <c r="X32" i="275"/>
  <c r="AB32" i="275" s="1"/>
  <c r="AA32" i="275"/>
  <c r="AJ32" i="275" s="1"/>
  <c r="Q336" i="174"/>
  <c r="W13" i="275"/>
  <c r="W48" i="275" s="1"/>
  <c r="AF48" i="275" s="1"/>
  <c r="T13" i="274"/>
  <c r="AK11" i="78" s="1"/>
  <c r="W21" i="231"/>
  <c r="G53" i="174"/>
  <c r="Q48" i="274"/>
  <c r="N48" i="274"/>
  <c r="W48" i="274" s="1"/>
  <c r="B345" i="213" s="1"/>
  <c r="AD13" i="275"/>
  <c r="N48" i="275"/>
  <c r="AD48" i="275" s="1"/>
  <c r="B353" i="213" s="1"/>
  <c r="AK36" i="78"/>
  <c r="R14" i="274"/>
  <c r="T14" i="274" s="1"/>
  <c r="P48" i="274"/>
  <c r="O48" i="274"/>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AJ21" i="78" s="1"/>
  <c r="AK29" i="78"/>
  <c r="Y31" i="274"/>
  <c r="Y21" i="274"/>
  <c r="AK19" i="78"/>
  <c r="T42" i="274"/>
  <c r="T20" i="274"/>
  <c r="Y20" i="274" s="1"/>
  <c r="T22" i="274"/>
  <c r="Y22" i="274" s="1"/>
  <c r="R9" i="274"/>
  <c r="T41" i="274"/>
  <c r="T35" i="274"/>
  <c r="T23" i="274"/>
  <c r="T17" i="274"/>
  <c r="T25" i="274"/>
  <c r="T19" i="274"/>
  <c r="Y19" i="274" s="1"/>
  <c r="T39" i="274"/>
  <c r="AK37" i="78" s="1"/>
  <c r="T24" i="274"/>
  <c r="Y24" i="274" s="1"/>
  <c r="R46" i="274"/>
  <c r="T46" i="274" s="1"/>
  <c r="T33" i="274"/>
  <c r="T32" i="274"/>
  <c r="T36" i="274"/>
  <c r="Y36" i="274"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X42" i="274" s="1"/>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P48" i="231"/>
  <c r="U48" i="231" s="1"/>
  <c r="B363" i="213" s="1"/>
  <c r="Y43" i="274"/>
  <c r="S38" i="274"/>
  <c r="X38" i="274" s="1"/>
  <c r="R41" i="231"/>
  <c r="W41" i="231" s="1"/>
  <c r="Q35" i="231"/>
  <c r="AN33" i="78" s="1"/>
  <c r="Q41" i="231"/>
  <c r="V41" i="231" s="1"/>
  <c r="T18" i="274"/>
  <c r="Y18" i="274" s="1"/>
  <c r="R35" i="231"/>
  <c r="W35" i="231" s="1"/>
  <c r="Q18" i="231"/>
  <c r="AN16" i="78" s="1"/>
  <c r="AG32" i="275"/>
  <c r="V41" i="274"/>
  <c r="S41" i="274"/>
  <c r="W16" i="231"/>
  <c r="AO14" i="78"/>
  <c r="S35" i="274"/>
  <c r="AJ38" i="78"/>
  <c r="X40" i="274"/>
  <c r="Q34" i="231"/>
  <c r="W29" i="274"/>
  <c r="S29" i="274"/>
  <c r="S30" i="274"/>
  <c r="W30" i="274"/>
  <c r="AO11" i="78"/>
  <c r="W13" i="231"/>
  <c r="W31" i="231"/>
  <c r="AO29" i="78"/>
  <c r="AN14" i="78"/>
  <c r="V16" i="231"/>
  <c r="AA16" i="275"/>
  <c r="X16" i="275"/>
  <c r="AF16" i="275"/>
  <c r="AO15" i="78"/>
  <c r="W17" i="231"/>
  <c r="T19" i="231"/>
  <c r="R19" i="231"/>
  <c r="Q19" i="231"/>
  <c r="AF37" i="275"/>
  <c r="AA37" i="275"/>
  <c r="X37" i="275"/>
  <c r="AJ39" i="275"/>
  <c r="AL37" i="78"/>
  <c r="U26" i="231"/>
  <c r="R26" i="231"/>
  <c r="Q26" i="231"/>
  <c r="AA29" i="275"/>
  <c r="AF29" i="275"/>
  <c r="X29" i="275"/>
  <c r="X19" i="275"/>
  <c r="AA19" i="275"/>
  <c r="AF19" i="275"/>
  <c r="AK43" i="78"/>
  <c r="AW43" i="78" s="1"/>
  <c r="C42" i="85" s="1"/>
  <c r="D86" i="85" s="1"/>
  <c r="Y45" i="274"/>
  <c r="AJ15" i="275"/>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AB20" i="275"/>
  <c r="AG20" i="275"/>
  <c r="X38" i="275"/>
  <c r="AA38" i="275"/>
  <c r="AF38" i="275"/>
  <c r="Y7" i="274"/>
  <c r="S15" i="274"/>
  <c r="W15" i="274"/>
  <c r="M53" i="1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AB24" i="275"/>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AF14" i="275"/>
  <c r="X14" i="275"/>
  <c r="AA14" i="275"/>
  <c r="AF30" i="275"/>
  <c r="X30" i="275"/>
  <c r="AA30" i="275"/>
  <c r="AL22" i="78"/>
  <c r="AJ24" i="275"/>
  <c r="R36" i="231"/>
  <c r="U36" i="231"/>
  <c r="Q36" i="231"/>
  <c r="AJ19" i="78"/>
  <c r="X21" i="274"/>
  <c r="J53" i="174"/>
  <c r="S25" i="274"/>
  <c r="W25" i="274"/>
  <c r="T38" i="231"/>
  <c r="R38" i="231"/>
  <c r="Q38" i="231"/>
  <c r="AG15" i="275"/>
  <c r="AB15" i="275"/>
  <c r="Q20" i="231"/>
  <c r="R20" i="231"/>
  <c r="U20" i="231"/>
  <c r="K48" i="231"/>
  <c r="T48" i="231" s="1"/>
  <c r="B362" i="213" s="1"/>
  <c r="T42" i="231"/>
  <c r="R42" i="231"/>
  <c r="Q42" i="231"/>
  <c r="R34" i="231"/>
  <c r="Z13" i="275" l="1"/>
  <c r="AH13" i="275"/>
  <c r="Y48" i="275"/>
  <c r="AH48" i="275" s="1"/>
  <c r="AL29" i="78"/>
  <c r="AL30" i="78"/>
  <c r="Y13" i="274"/>
  <c r="AF13" i="275"/>
  <c r="X13" i="275"/>
  <c r="X48" i="275" s="1"/>
  <c r="AG48" i="275" s="1"/>
  <c r="AA13" i="275"/>
  <c r="AA48" i="275" s="1"/>
  <c r="AJ48" i="275" s="1"/>
  <c r="B355" i="213" s="1"/>
  <c r="AK34" i="78"/>
  <c r="AK17" i="78"/>
  <c r="X23" i="274"/>
  <c r="R48" i="274"/>
  <c r="AK18" i="78"/>
  <c r="AO16" i="78"/>
  <c r="AK22" i="78"/>
  <c r="AK20" i="78"/>
  <c r="Y39" i="274"/>
  <c r="AJ31" i="78"/>
  <c r="S48" i="274"/>
  <c r="X48" i="274" s="1"/>
  <c r="B346" i="213" s="1"/>
  <c r="V35" i="231"/>
  <c r="W22" i="231"/>
  <c r="T9" i="274"/>
  <c r="AK7" i="78"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G26" i="275"/>
  <c r="AB26" i="275"/>
  <c r="AB16" i="275"/>
  <c r="AG16" i="275"/>
  <c r="X41" i="274"/>
  <c r="AJ39" i="78"/>
  <c r="AO36" i="78"/>
  <c r="W38" i="231"/>
  <c r="AN31" i="78"/>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V15" i="78" s="1"/>
  <c r="B14" i="85" s="1"/>
  <c r="B58" i="85" s="1"/>
  <c r="AB27" i="275"/>
  <c r="AG27" i="275"/>
  <c r="AN40" i="78"/>
  <c r="V42" i="231"/>
  <c r="AB18" i="275"/>
  <c r="AG18" i="275"/>
  <c r="AB28" i="275"/>
  <c r="AG28" i="275"/>
  <c r="AJ20" i="78"/>
  <c r="AV20" i="78" s="1"/>
  <c r="B19" i="85" s="1"/>
  <c r="B63" i="85" s="1"/>
  <c r="X22" i="274"/>
  <c r="AL14" i="78"/>
  <c r="AV14" i="78" s="1"/>
  <c r="B13" i="85" s="1"/>
  <c r="B57" i="85" s="1"/>
  <c r="AJ16" i="275"/>
  <c r="AJ28" i="78"/>
  <c r="X30" i="274"/>
  <c r="AG14" i="275"/>
  <c r="AB14" i="275"/>
  <c r="AJ16" i="78"/>
  <c r="X18" i="274"/>
  <c r="V15" i="231"/>
  <c r="AN13" i="78"/>
  <c r="AB37" i="275"/>
  <c r="AG37" i="275"/>
  <c r="AL35" i="78"/>
  <c r="AJ37" i="275"/>
  <c r="AJ27" i="78"/>
  <c r="X29" i="274"/>
  <c r="AM30" i="78"/>
  <c r="AK32" i="275"/>
  <c r="X24" i="274"/>
  <c r="AJ22" i="78"/>
  <c r="AV22" i="78" s="1"/>
  <c r="B21" i="85" s="1"/>
  <c r="B65" i="85" s="1"/>
  <c r="AM29" i="78"/>
  <c r="AW29" i="78" s="1"/>
  <c r="C28" i="85" s="1"/>
  <c r="D72" i="85" s="1"/>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K15" i="275"/>
  <c r="AM13" i="78"/>
  <c r="AO37" i="78"/>
  <c r="W39" i="231"/>
  <c r="AJ30" i="78"/>
  <c r="AV30" i="78" s="1"/>
  <c r="B29" i="85" s="1"/>
  <c r="B73" i="85" s="1"/>
  <c r="X32" i="274"/>
  <c r="AV29" i="78"/>
  <c r="B28" i="85" s="1"/>
  <c r="B72" i="85" s="1"/>
  <c r="AO27" i="78"/>
  <c r="W29" i="231"/>
  <c r="AO25" i="78"/>
  <c r="W27" i="231"/>
  <c r="AJ13" i="78"/>
  <c r="X15" i="274"/>
  <c r="AM18" i="78"/>
  <c r="AK20" i="275"/>
  <c r="AN37" i="78"/>
  <c r="V39" i="231"/>
  <c r="V27" i="231"/>
  <c r="AN25" i="78"/>
  <c r="AW5" i="78"/>
  <c r="Q48" i="231"/>
  <c r="V48" i="231" s="1"/>
  <c r="B364" i="213" s="1"/>
  <c r="AL27" i="78"/>
  <c r="AJ29" i="275"/>
  <c r="AN17" i="78"/>
  <c r="V19" i="231"/>
  <c r="W42" i="231"/>
  <c r="AO40" i="78"/>
  <c r="AJ14" i="275"/>
  <c r="AL12" i="78"/>
  <c r="AK32" i="78"/>
  <c r="Y34" i="274"/>
  <c r="AO13" i="78"/>
  <c r="W15" i="231"/>
  <c r="AO34" i="78"/>
  <c r="W36" i="231"/>
  <c r="W23" i="231"/>
  <c r="AO21" i="78"/>
  <c r="AN36" i="78"/>
  <c r="V38" i="231"/>
  <c r="V28" i="231"/>
  <c r="AN26" i="78"/>
  <c r="AM22" i="78"/>
  <c r="AK24" i="275"/>
  <c r="AL19" i="78"/>
  <c r="AV19" i="78" s="1"/>
  <c r="B18" i="85" s="1"/>
  <c r="B62" i="85" s="1"/>
  <c r="AJ21" i="275"/>
  <c r="X28" i="274"/>
  <c r="AJ26" i="78"/>
  <c r="AB34" i="275"/>
  <c r="AG34" i="275"/>
  <c r="AJ24" i="78"/>
  <c r="X26" i="274"/>
  <c r="AJ37" i="78"/>
  <c r="X39" i="274"/>
  <c r="V26" i="231"/>
  <c r="AN24" i="78"/>
  <c r="AO17" i="78"/>
  <c r="W19" i="231"/>
  <c r="R48" i="231"/>
  <c r="W48" i="231" s="1"/>
  <c r="V34" i="231"/>
  <c r="AN32" i="78"/>
  <c r="AG13" i="275" l="1"/>
  <c r="B365" i="213"/>
  <c r="B101" i="277"/>
  <c r="AB13" i="275"/>
  <c r="Z48" i="275"/>
  <c r="AI48" i="275" s="1"/>
  <c r="AI13" i="275"/>
  <c r="AJ13" i="275"/>
  <c r="AL11" i="78"/>
  <c r="AW20" i="78"/>
  <c r="C19" i="85" s="1"/>
  <c r="D63" i="85" s="1"/>
  <c r="AW22" i="78"/>
  <c r="C21" i="85" s="1"/>
  <c r="D65" i="85" s="1"/>
  <c r="AV31" i="78"/>
  <c r="B30" i="85" s="1"/>
  <c r="B74" i="85" s="1"/>
  <c r="Y9" i="274"/>
  <c r="AW7" i="78"/>
  <c r="C6" i="85" s="1"/>
  <c r="D50" i="85" s="1"/>
  <c r="T48" i="274"/>
  <c r="Y48" i="274" s="1"/>
  <c r="B347" i="213" s="1"/>
  <c r="AV39" i="78"/>
  <c r="B38" i="85" s="1"/>
  <c r="B82" i="85" s="1"/>
  <c r="AW9" i="78"/>
  <c r="C8" i="85" s="1"/>
  <c r="D52" i="85" s="1"/>
  <c r="AW8" i="78"/>
  <c r="C7" i="85" s="1"/>
  <c r="D51" i="85" s="1"/>
  <c r="AW30" i="78"/>
  <c r="C29" i="85" s="1"/>
  <c r="D73" i="85" s="1"/>
  <c r="AW15" i="78"/>
  <c r="C14" i="85" s="1"/>
  <c r="D58" i="85" s="1"/>
  <c r="AK46" i="78"/>
  <c r="C69" i="78" s="1"/>
  <c r="AW33" i="78"/>
  <c r="C32" i="85" s="1"/>
  <c r="D76" i="85" s="1"/>
  <c r="AW39" i="78"/>
  <c r="C38" i="85" s="1"/>
  <c r="D82" i="85" s="1"/>
  <c r="AW18" i="78"/>
  <c r="C17" i="85" s="1"/>
  <c r="D61" i="85" s="1"/>
  <c r="AW13" i="78"/>
  <c r="C12" i="85" s="1"/>
  <c r="D56" i="85" s="1"/>
  <c r="AW31" i="78"/>
  <c r="C30" i="85" s="1"/>
  <c r="D74" i="85" s="1"/>
  <c r="AV28" i="78"/>
  <c r="B27" i="85" s="1"/>
  <c r="B71" i="85" s="1"/>
  <c r="AV35" i="78"/>
  <c r="B34" i="85" s="1"/>
  <c r="B78" i="85" s="1"/>
  <c r="AV17" i="78"/>
  <c r="B16" i="85" s="1"/>
  <c r="B60" i="85" s="1"/>
  <c r="AW37" i="78"/>
  <c r="C36" i="85" s="1"/>
  <c r="D80" i="85" s="1"/>
  <c r="AV21" i="78"/>
  <c r="B20" i="85" s="1"/>
  <c r="B64" i="85" s="1"/>
  <c r="AO46" i="78"/>
  <c r="C71" i="78" s="1"/>
  <c r="O71" i="78" s="1"/>
  <c r="F33" i="213" s="1"/>
  <c r="AV13" i="78"/>
  <c r="B12" i="85" s="1"/>
  <c r="B56" i="85" s="1"/>
  <c r="AV32" i="78"/>
  <c r="B31" i="85" s="1"/>
  <c r="B75" i="85" s="1"/>
  <c r="AN46" i="78"/>
  <c r="AN47" i="78" s="1"/>
  <c r="AV36" i="78"/>
  <c r="B35" i="85" s="1"/>
  <c r="B79" i="85" s="1"/>
  <c r="AV40" i="78"/>
  <c r="B39" i="85" s="1"/>
  <c r="B83" i="85" s="1"/>
  <c r="AV37" i="78"/>
  <c r="B36" i="85" s="1"/>
  <c r="B80" i="85" s="1"/>
  <c r="AV24" i="78"/>
  <c r="B23" i="85" s="1"/>
  <c r="B67" i="85" s="1"/>
  <c r="AV25" i="78"/>
  <c r="B24" i="85" s="1"/>
  <c r="B68" i="85" s="1"/>
  <c r="C4" i="85"/>
  <c r="AM35" i="78"/>
  <c r="AW35" i="78" s="1"/>
  <c r="C34" i="85" s="1"/>
  <c r="D78" i="85" s="1"/>
  <c r="AK37" i="275"/>
  <c r="AV16" i="78"/>
  <c r="B15" i="85" s="1"/>
  <c r="B59" i="85" s="1"/>
  <c r="AK36" i="275"/>
  <c r="AM34" i="78"/>
  <c r="AW34" i="78" s="1"/>
  <c r="C33" i="85" s="1"/>
  <c r="D77" i="85" s="1"/>
  <c r="AM32" i="78"/>
  <c r="AW32" i="78" s="1"/>
  <c r="C31" i="85" s="1"/>
  <c r="D75" i="85" s="1"/>
  <c r="AK34" i="275"/>
  <c r="AM17" i="78"/>
  <c r="AW17" i="78" s="1"/>
  <c r="C16" i="85" s="1"/>
  <c r="D60" i="85" s="1"/>
  <c r="AK19" i="275"/>
  <c r="AK14" i="275"/>
  <c r="AM12" i="78"/>
  <c r="AW12" i="78" s="1"/>
  <c r="C11" i="85" s="1"/>
  <c r="D55" i="85" s="1"/>
  <c r="AV26" i="78"/>
  <c r="B25" i="85" s="1"/>
  <c r="B69" i="85" s="1"/>
  <c r="AM36" i="78"/>
  <c r="AW36" i="78" s="1"/>
  <c r="C35" i="85" s="1"/>
  <c r="D79" i="85" s="1"/>
  <c r="AK38" i="275"/>
  <c r="AM16" i="78"/>
  <c r="AW16" i="78" s="1"/>
  <c r="C15" i="85" s="1"/>
  <c r="D59" i="85" s="1"/>
  <c r="AK18" i="275"/>
  <c r="AK29" i="275"/>
  <c r="AM27" i="78"/>
  <c r="AW27" i="78" s="1"/>
  <c r="C26" i="85" s="1"/>
  <c r="D70" i="85" s="1"/>
  <c r="AK23" i="275"/>
  <c r="AM21" i="78"/>
  <c r="AW21" i="78" s="1"/>
  <c r="C20" i="85" s="1"/>
  <c r="D64" i="85" s="1"/>
  <c r="AV27" i="78"/>
  <c r="B26" i="85" s="1"/>
  <c r="B70" i="85" s="1"/>
  <c r="AK27" i="275"/>
  <c r="AM25" i="78"/>
  <c r="AW25" i="78" s="1"/>
  <c r="C24" i="85" s="1"/>
  <c r="D68" i="85" s="1"/>
  <c r="AM19" i="78"/>
  <c r="AW19" i="78" s="1"/>
  <c r="C18" i="85" s="1"/>
  <c r="D62" i="85" s="1"/>
  <c r="AK21" i="275"/>
  <c r="AK40" i="275"/>
  <c r="AM38" i="78"/>
  <c r="AW38" i="78" s="1"/>
  <c r="C37" i="85" s="1"/>
  <c r="D81" i="85" s="1"/>
  <c r="AL46" i="78"/>
  <c r="AV11" i="78"/>
  <c r="AV12" i="78"/>
  <c r="B11" i="85" s="1"/>
  <c r="B55" i="85" s="1"/>
  <c r="AJ46" i="78"/>
  <c r="AM14" i="78"/>
  <c r="AW14" i="78" s="1"/>
  <c r="C13" i="85" s="1"/>
  <c r="D57" i="85" s="1"/>
  <c r="AK16" i="275"/>
  <c r="AM11" i="78"/>
  <c r="AB48" i="275"/>
  <c r="AK48" i="275" s="1"/>
  <c r="AK13" i="275"/>
  <c r="AM40" i="78"/>
  <c r="AW40" i="78" s="1"/>
  <c r="C39" i="85" s="1"/>
  <c r="D83" i="85" s="1"/>
  <c r="AK42" i="275"/>
  <c r="AV34" i="78"/>
  <c r="B33" i="85" s="1"/>
  <c r="B77" i="85" s="1"/>
  <c r="AM28" i="78"/>
  <c r="AW28" i="78" s="1"/>
  <c r="C27" i="85" s="1"/>
  <c r="D71" i="85" s="1"/>
  <c r="AK30" i="275"/>
  <c r="AV18" i="78"/>
  <c r="B17" i="85" s="1"/>
  <c r="B61" i="85" s="1"/>
  <c r="AK25" i="275"/>
  <c r="AM23" i="78"/>
  <c r="AW23" i="78" s="1"/>
  <c r="C22" i="85" s="1"/>
  <c r="D66" i="85" s="1"/>
  <c r="AK26" i="275"/>
  <c r="AM24" i="78"/>
  <c r="AW24" i="78" s="1"/>
  <c r="C23" i="85" s="1"/>
  <c r="D67" i="85" s="1"/>
  <c r="AM26" i="78"/>
  <c r="AW26" i="78" s="1"/>
  <c r="C25" i="85" s="1"/>
  <c r="D69" i="85" s="1"/>
  <c r="AK28" i="275"/>
  <c r="AV23" i="78"/>
  <c r="B22" i="85" s="1"/>
  <c r="B66" i="85" s="1"/>
  <c r="B356" i="213" l="1"/>
  <c r="B77" i="277"/>
  <c r="AK47" i="78"/>
  <c r="B71" i="78"/>
  <c r="N71" i="78" s="1"/>
  <c r="E33" i="213" s="1"/>
  <c r="AO47" i="78"/>
  <c r="O69" i="78"/>
  <c r="AJ47" i="78"/>
  <c r="B69" i="78"/>
  <c r="AV46" i="78"/>
  <c r="AV47" i="78" s="1"/>
  <c r="B10" i="85"/>
  <c r="D48" i="85"/>
  <c r="AM46" i="78"/>
  <c r="AW11" i="78"/>
  <c r="B70" i="78"/>
  <c r="N70" i="78" s="1"/>
  <c r="B76" i="277" s="1"/>
  <c r="AL47" i="78"/>
  <c r="C10" i="85" l="1"/>
  <c r="AW46" i="78"/>
  <c r="AW47" i="78" s="1"/>
  <c r="B54" i="85"/>
  <c r="B88" i="85" s="1"/>
  <c r="B44" i="85"/>
  <c r="C70" i="78"/>
  <c r="AM47" i="78"/>
  <c r="B75" i="78"/>
  <c r="N75" i="78" s="1"/>
  <c r="E36" i="213" s="1"/>
  <c r="N69" i="78"/>
  <c r="E32" i="213" s="1"/>
  <c r="O70" i="78" l="1"/>
  <c r="F32" i="213" s="1"/>
  <c r="C75" i="78"/>
  <c r="O75" i="78" s="1"/>
  <c r="F36" i="213" s="1"/>
  <c r="H5" i="85"/>
  <c r="H14" i="85" s="1"/>
  <c r="H8" i="85"/>
  <c r="H7" i="85"/>
  <c r="D54" i="85"/>
  <c r="D88" i="85" s="1"/>
  <c r="C44" i="85"/>
  <c r="B14" i="213" l="1"/>
  <c r="B3" i="277"/>
  <c r="I8" i="85"/>
  <c r="I5" i="85"/>
  <c r="I14" i="85" s="1"/>
  <c r="I7" i="85"/>
  <c r="H17" i="85"/>
  <c r="B17" i="213" s="1"/>
  <c r="C11" i="275"/>
  <c r="C11" i="244"/>
  <c r="C12" i="204"/>
  <c r="C12" i="252"/>
  <c r="C12" i="227"/>
  <c r="C12" i="200"/>
  <c r="C12" i="170"/>
  <c r="C12" i="254"/>
  <c r="C11" i="229"/>
  <c r="C12" i="242"/>
  <c r="C12" i="99"/>
  <c r="C12" i="186"/>
  <c r="C12" i="212"/>
  <c r="C12" i="145"/>
  <c r="C12" i="162"/>
  <c r="C12" i="116"/>
  <c r="C12" i="182"/>
  <c r="C12" i="189"/>
  <c r="C10" i="223"/>
  <c r="C12" i="202"/>
  <c r="C12" i="238"/>
  <c r="C12" i="185"/>
  <c r="C12" i="159"/>
  <c r="C12" i="274"/>
  <c r="C12" i="1"/>
  <c r="C12" i="175"/>
  <c r="C12" i="197"/>
  <c r="C12" i="231"/>
  <c r="C11" i="254"/>
  <c r="C11" i="212"/>
  <c r="C11" i="204"/>
  <c r="C11" i="159"/>
  <c r="C11" i="145"/>
  <c r="C11" i="162"/>
  <c r="C11" i="185"/>
  <c r="C10" i="275"/>
  <c r="C11" i="231"/>
  <c r="C11" i="252"/>
  <c r="C10" i="229"/>
  <c r="C11" i="227"/>
  <c r="C11" i="99"/>
  <c r="C11" i="175"/>
  <c r="H16" i="85"/>
  <c r="B5" i="277" s="1"/>
  <c r="C11" i="200"/>
  <c r="C11" i="189"/>
  <c r="C11" i="1"/>
  <c r="C10" i="244"/>
  <c r="C11" i="274"/>
  <c r="C11" i="197"/>
  <c r="C11" i="202"/>
  <c r="B16" i="213"/>
  <c r="C11" i="238"/>
  <c r="C11" i="170"/>
  <c r="C9" i="223"/>
  <c r="C11" i="242"/>
  <c r="C11" i="116"/>
  <c r="C11" i="186"/>
  <c r="C11" i="182"/>
  <c r="C14" i="213" l="1"/>
  <c r="C3" i="277"/>
  <c r="D11" i="231"/>
  <c r="D11" i="145"/>
  <c r="D11" i="99"/>
  <c r="D9" i="223"/>
  <c r="D11" i="175"/>
  <c r="D11" i="227"/>
  <c r="D11" i="254"/>
  <c r="D11" i="162"/>
  <c r="D11" i="189"/>
  <c r="D10" i="244"/>
  <c r="D11" i="185"/>
  <c r="D11" i="238"/>
  <c r="D11" i="159"/>
  <c r="D11" i="186"/>
  <c r="D11" i="182"/>
  <c r="D11" i="116"/>
  <c r="D11" i="274"/>
  <c r="D10" i="229"/>
  <c r="D11" i="252"/>
  <c r="D11" i="242"/>
  <c r="C16" i="213"/>
  <c r="D11" i="212"/>
  <c r="D11" i="1"/>
  <c r="D11" i="204"/>
  <c r="I16" i="85"/>
  <c r="C5" i="277" s="1"/>
  <c r="D11" i="197"/>
  <c r="D10" i="275"/>
  <c r="D11" i="170"/>
  <c r="D11" i="200"/>
  <c r="D11" i="202"/>
  <c r="D12" i="212"/>
  <c r="D12" i="162"/>
  <c r="D12" i="186"/>
  <c r="D10" i="223"/>
  <c r="I17" i="85"/>
  <c r="C17" i="213" s="1"/>
  <c r="D12" i="1"/>
  <c r="D12" i="202"/>
  <c r="D11" i="275"/>
  <c r="D12" i="238"/>
  <c r="D12" i="99"/>
  <c r="D12" i="274"/>
  <c r="D11" i="244"/>
  <c r="D12" i="159"/>
  <c r="D12" i="252"/>
  <c r="D12" i="231"/>
  <c r="D12" i="227"/>
  <c r="D12" i="170"/>
  <c r="D12" i="254"/>
  <c r="D12" i="116"/>
  <c r="D12" i="204"/>
  <c r="D12" i="185"/>
  <c r="D12" i="182"/>
  <c r="D12" i="189"/>
  <c r="D12" i="175"/>
  <c r="D11" i="229"/>
  <c r="D12" i="145"/>
  <c r="D12" i="200"/>
  <c r="D12" i="197"/>
  <c r="D12" i="2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tc={29E22148-42B4-40F7-80ED-13BCA53D07A4}</author>
  </authors>
  <commentList>
    <comment ref="A4" authorId="0" shapeId="0" xr:uid="{29E22148-42B4-40F7-80ED-13BCA53D07A4}">
      <text>
        <t>[Threaded comment]
Your version of Excel allows you to read this threaded comment; however, any edits to it will get removed if the file is opened in a newer version of Excel. Learn more: https://go.microsoft.com/fwlink/?linkid=870924
Comment:
    This is different from Routine Maintenance cost.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tc={AFDA5774-E951-4193-9BA3-3D5A3B453865}</author>
  </authors>
  <commentList>
    <comment ref="B4" authorId="0" shapeId="0" xr:uid="{AFDA5774-E951-4193-9BA3-3D5A3B453865}">
      <text>
        <t>[Threaded comment]
Your version of Excel allows you to read this threaded comment; however, any edits to it will get removed if the file is opened in a newer version of Excel. Learn more: https://go.microsoft.com/fwlink/?linkid=870924
Comment:
     Bus priority should reduce both mean and the variance in bus travel time. A 10% to 15% decrease in bus running times in a bus priority area was identified as a desirable objective.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<sst xmlns="http://schemas.openxmlformats.org/spreadsheetml/2006/main" count="41948" uniqueCount="8203">
  <si>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</si>
  <si>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</si>
  <si>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</si>
  <si>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</si>
  <si>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</si>
  <si>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</si>
  <si>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</si>
  <si>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</si>
  <si>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</si>
  <si>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</si>
  <si>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</si>
  <si>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</si>
  <si>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</si>
  <si>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</si>
  <si>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</si>
  <si>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</si>
  <si>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</si>
  <si>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</si>
  <si>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</si>
  <si>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</si>
  <si>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</si>
  <si>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</si>
  <si>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</si>
  <si>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</si>
  <si>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</si>
  <si>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</si>
  <si>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</si>
  <si>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</si>
  <si>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</si>
  <si>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</si>
  <si>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</si>
  <si>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</si>
  <si>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</si>
  <si>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</si>
  <si>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</si>
  <si>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</si>
  <si>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</si>
  <si>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</si>
  <si>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</si>
  <si>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</si>
  <si>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</si>
  <si>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</si>
  <si>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</si>
  <si>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</si>
  <si>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</si>
  <si>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</si>
  <si>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</si>
  <si>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</si>
  <si>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</si>
  <si>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</si>
  <si>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</si>
  <si>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</si>
  <si>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</si>
  <si>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</si>
  <si>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</si>
  <si>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</si>
  <si>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</si>
  <si>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</si>
  <si>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</si>
  <si>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</si>
  <si>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</si>
  <si>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</si>
  <si>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</si>
  <si>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</si>
  <si>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</si>
  <si>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</si>
  <si>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</si>
  <si>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</si>
  <si>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</si>
  <si>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</si>
  <si>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</si>
  <si>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</si>
  <si>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</si>
  <si>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</si>
  <si>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</si>
  <si>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</si>
  <si>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</si>
  <si>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</si>
  <si>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</si>
  <si>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</si>
  <si>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</si>
  <si>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</si>
  <si>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</si>
  <si>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</si>
  <si>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</si>
  <si>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</si>
  <si>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</si>
  <si>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</si>
  <si>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</si>
  <si>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</si>
  <si>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</si>
  <si>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</si>
  <si>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</si>
  <si>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</si>
  <si>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</si>
  <si>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</si>
  <si>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</si>
  <si>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</si>
  <si>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</si>
  <si>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</si>
  <si>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</si>
  <si>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</si>
  <si>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</si>
  <si>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</si>
  <si>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</si>
  <si>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</si>
  <si>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</si>
  <si>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</si>
  <si>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</si>
  <si>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</si>
  <si>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</si>
  <si>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</si>
  <si>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</si>
  <si>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</si>
  <si>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</si>
  <si>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</si>
  <si>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</si>
  <si>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</si>
  <si>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</si>
  <si>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</si>
  <si>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</si>
  <si>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</si>
  <si>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</si>
  <si>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</si>
  <si>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</si>
  <si>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</si>
  <si>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</si>
  <si>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</si>
  <si>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</si>
  <si>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</si>
  <si>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</si>
  <si>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</si>
  <si>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</si>
  <si>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</si>
  <si>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</si>
  <si>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</si>
  <si>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</si>
  <si>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</si>
  <si>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</si>
  <si>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</si>
  <si>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</si>
  <si>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</si>
  <si>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</si>
  <si>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</si>
  <si>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</si>
  <si>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</si>
  <si>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</si>
  <si>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</si>
  <si>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</si>
  <si>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</si>
  <si>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</si>
  <si>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</si>
  <si>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</si>
  <si>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</si>
  <si>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</si>
  <si>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</si>
  <si>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</si>
  <si>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</si>
  <si>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</si>
  <si>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</si>
  <si>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</si>
  <si>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</si>
  <si>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</si>
  <si>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</si>
  <si>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</si>
  <si>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</si>
  <si>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</si>
  <si>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</si>
  <si>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</si>
  <si>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</si>
  <si>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</si>
  <si>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</si>
  <si>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</si>
  <si>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</si>
  <si>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</si>
  <si>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</si>
  <si>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</si>
  <si>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</si>
  <si>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</si>
  <si>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</si>
  <si>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</si>
  <si>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</si>
  <si>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</si>
  <si>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</si>
  <si>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</si>
  <si>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</si>
  <si>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</si>
  <si>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</si>
  <si>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</si>
  <si>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</si>
  <si>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</si>
  <si>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</si>
  <si>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</si>
  <si>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</si>
  <si>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</si>
  <si>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</si>
  <si>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</si>
  <si>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</si>
  <si>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</si>
  <si>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</si>
  <si>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</si>
  <si>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</si>
  <si>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</si>
  <si>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</si>
  <si>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</si>
  <si>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</si>
  <si>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</si>
  <si>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</si>
  <si>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</si>
  <si>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</si>
  <si>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</si>
  <si>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</si>
  <si>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</si>
  <si>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</si>
  <si>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</si>
  <si>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</si>
  <si>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</si>
  <si>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</si>
  <si>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</si>
  <si>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</si>
  <si>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</si>
  <si>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</si>
  <si>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</si>
  <si>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</si>
  <si>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</si>
  <si>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</si>
  <si>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</si>
  <si>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</si>
  <si>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</si>
  <si>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</si>
  <si>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</si>
  <si>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</si>
  <si>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</si>
  <si>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</si>
  <si>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</si>
  <si>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</si>
  <si>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</si>
  <si>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</si>
  <si>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</si>
  <si>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</si>
  <si>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</si>
  <si>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</si>
  <si>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</si>
  <si>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</si>
  <si>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</si>
  <si>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</si>
  <si>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</si>
  <si>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</si>
  <si>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</si>
  <si>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</si>
  <si>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</si>
  <si>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</si>
  <si>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</si>
  <si>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</si>
  <si>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</si>
  <si>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</si>
  <si>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</si>
  <si>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</si>
  <si>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</si>
  <si>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</si>
  <si>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</si>
  <si>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</si>
  <si>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</si>
  <si>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</si>
  <si>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</si>
  <si>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</si>
  <si>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</si>
  <si>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</si>
  <si>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</si>
  <si>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</si>
  <si>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</si>
  <si>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</si>
  <si>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</si>
  <si>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</si>
  <si>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</si>
  <si>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</si>
  <si>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</si>
  <si>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</si>
  <si>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</si>
  <si>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</si>
  <si>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</si>
  <si>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</si>
  <si>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</si>
  <si>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</si>
  <si>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</si>
  <si>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</si>
  <si>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</si>
  <si>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</si>
  <si>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</si>
  <si>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</si>
  <si>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</si>
  <si>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</si>
  <si>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</si>
  <si>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</si>
  <si>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</si>
  <si>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</si>
  <si>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</si>
  <si>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</si>
  <si>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</si>
  <si>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</si>
  <si>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</si>
  <si>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</si>
  <si>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</si>
  <si>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</si>
  <si>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</si>
  <si>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</si>
  <si>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</si>
  <si>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</si>
  <si>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</si>
  <si>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</si>
  <si>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</si>
  <si>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</si>
  <si>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</si>
  <si>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</si>
  <si>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</si>
  <si>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</si>
  <si>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</si>
  <si>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</si>
  <si>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</si>
  <si>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</si>
  <si>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</si>
  <si>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</si>
  <si>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</si>
  <si>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</si>
  <si>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</si>
  <si>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</si>
  <si>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</si>
  <si>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</si>
  <si>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</si>
  <si>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</si>
  <si>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</si>
  <si>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</si>
  <si>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</si>
  <si>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</si>
  <si>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</si>
  <si>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</si>
  <si>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</si>
  <si>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</si>
  <si>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</si>
  <si>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</si>
  <si>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</si>
  <si>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</si>
  <si>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</si>
  <si>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</si>
  <si>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</si>
  <si>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</si>
  <si>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</si>
  <si>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</si>
  <si>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</si>
  <si>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</si>
  <si>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</si>
  <si>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</si>
  <si>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</si>
  <si>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</si>
  <si>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</si>
  <si>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</si>
  <si>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</si>
  <si>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</si>
  <si>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</si>
  <si>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</si>
  <si>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</si>
  <si>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</si>
  <si>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</si>
  <si>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</si>
  <si>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</si>
  <si>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</si>
  <si>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</si>
  <si>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</si>
  <si>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</si>
  <si>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</si>
  <si>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</si>
  <si>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</si>
  <si>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</si>
  <si>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</si>
  <si>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</si>
  <si>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</si>
  <si>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</si>
  <si>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</si>
  <si>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</si>
  <si>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</si>
  <si>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</si>
  <si>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</si>
  <si>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</si>
  <si>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</si>
  <si>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</si>
  <si>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</si>
  <si>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</si>
  <si>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</si>
  <si>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</si>
  <si>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</si>
  <si>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</si>
  <si>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</si>
  <si>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</si>
  <si>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</si>
  <si>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</si>
  <si>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</si>
  <si>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</si>
  <si>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</si>
  <si>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</si>
  <si>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</si>
  <si>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</si>
  <si>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</si>
  <si>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</si>
  <si>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</si>
  <si>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</si>
  <si>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</si>
  <si>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</si>
  <si>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</si>
  <si>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</si>
  <si>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</si>
  <si>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</si>
  <si>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</si>
  <si>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</si>
  <si>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</si>
  <si>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</si>
  <si>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</si>
  <si>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</si>
  <si>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</si>
  <si>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</si>
  <si>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</si>
  <si>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</si>
  <si>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</si>
  <si>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</si>
  <si>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</si>
  <si>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</si>
  <si>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</si>
  <si>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</si>
  <si>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</si>
  <si>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</si>
  <si>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</si>
  <si>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</si>
  <si>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</si>
  <si>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</si>
  <si>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</si>
  <si>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</si>
  <si>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</si>
  <si>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</si>
  <si>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</si>
  <si>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</si>
  <si>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</si>
  <si>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</si>
  <si>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</si>
  <si>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Totals</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</si>
  <si>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</si>
  <si>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</si>
  <si>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</si>
  <si>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</si>
  <si>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</si>
  <si>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</si>
  <si>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</si>
  <si>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</si>
  <si>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</si>
  <si>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</si>
  <si>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</si>
  <si>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</si>
  <si>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</si>
  <si>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</si>
  <si>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</si>
  <si>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Serve Improve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</si>
  <si>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</si>
  <si>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</si>
  <si>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</si>
  <si>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</si>
  <si>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</si>
  <si>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</si>
  <si>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</si>
  <si>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</si>
  <si>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</si>
  <si>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</si>
  <si>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</si>
  <si>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</si>
  <si>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</si>
  <si>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</si>
  <si>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</si>
  <si>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</si>
  <si>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</si>
  <si>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</si>
  <si>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</si>
  <si>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</si>
  <si>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Facility Improvement - Transit Mode</t>
  </si>
  <si>
    <t>Auto - Fuel Savings</t>
  </si>
  <si>
    <t>Auto - Environmental Benefit</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</si>
  <si>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</si>
  <si>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</si>
  <si>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</si>
  <si>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</si>
  <si>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</si>
  <si>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</si>
  <si>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</si>
  <si>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</si>
  <si>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</si>
  <si>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</si>
  <si>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</si>
  <si>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</si>
  <si>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</si>
  <si>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</si>
  <si>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</si>
  <si>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</si>
  <si>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</si>
  <si>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</si>
  <si>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</si>
  <si>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</si>
  <si>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</si>
  <si>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</si>
  <si>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</si>
  <si>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</si>
  <si>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</si>
  <si>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</si>
  <si>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</si>
  <si>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</si>
  <si>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</si>
  <si>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</si>
  <si>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</si>
  <si>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</si>
  <si>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</si>
  <si>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</si>
  <si>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</si>
  <si>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</si>
  <si>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</si>
  <si>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</si>
  <si>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</si>
  <si>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</si>
  <si>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</si>
  <si>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</si>
  <si>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</si>
  <si>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</si>
  <si>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</si>
  <si>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</si>
  <si>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</si>
  <si>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</si>
  <si>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</si>
  <si>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</si>
  <si>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</si>
  <si>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</si>
  <si>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</si>
  <si>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</si>
  <si>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</si>
  <si>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</si>
  <si>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</si>
  <si>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</si>
  <si>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</si>
  <si>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</si>
  <si>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</si>
  <si>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</si>
  <si>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</si>
  <si>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</si>
  <si>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</si>
  <si>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</si>
  <si>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</si>
  <si>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</si>
  <si>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</si>
  <si>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</si>
  <si>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</si>
  <si>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</si>
  <si>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</si>
  <si>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</si>
  <si>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</si>
  <si>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</si>
  <si>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</si>
  <si>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</si>
  <si>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</si>
  <si>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</si>
  <si>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</si>
  <si>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</si>
  <si>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</si>
  <si>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</si>
  <si>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</si>
  <si>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</si>
  <si>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</si>
  <si>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</si>
  <si>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</si>
  <si>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</si>
  <si>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</si>
  <si>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</si>
  <si>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</si>
  <si>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</si>
  <si>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</si>
  <si>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</si>
  <si>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</si>
  <si>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</si>
  <si>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</si>
  <si>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</si>
  <si>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</si>
  <si>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</si>
  <si>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</si>
  <si>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</si>
  <si>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</si>
  <si>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</si>
  <si>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</si>
  <si>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</si>
  <si>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</si>
  <si>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</si>
  <si>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</si>
  <si>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</si>
  <si>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</si>
  <si>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</si>
  <si>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</si>
  <si>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</si>
  <si>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</si>
  <si>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</si>
  <si>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</si>
  <si>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</si>
  <si>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</si>
  <si>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</si>
  <si>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</si>
  <si>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</si>
  <si>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</si>
  <si>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</si>
  <si>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</si>
  <si>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</si>
  <si>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</si>
  <si>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</si>
  <si>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</si>
  <si>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</si>
  <si>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</si>
  <si>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</si>
  <si>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</si>
  <si>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</si>
  <si>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</si>
  <si>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</si>
  <si>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</si>
  <si>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</si>
  <si>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</si>
  <si>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</si>
  <si>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</si>
  <si>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</si>
  <si>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</si>
  <si>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</si>
  <si>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</si>
  <si>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</si>
  <si>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</si>
  <si>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</si>
  <si>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</si>
  <si>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</si>
  <si>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</si>
  <si>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</si>
  <si>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</si>
  <si>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</si>
  <si>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</si>
  <si>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</si>
  <si>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</si>
  <si>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</si>
  <si>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</si>
  <si>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</si>
  <si>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</si>
  <si>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</si>
  <si>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</si>
  <si>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</si>
  <si>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</si>
  <si>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</si>
  <si>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</si>
  <si>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</si>
  <si>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</si>
  <si>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</si>
  <si>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</si>
  <si>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</si>
  <si>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</si>
  <si>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</si>
  <si>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</si>
  <si>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</si>
  <si>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</si>
  <si>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</si>
  <si>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</si>
  <si>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</si>
  <si>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Go To Sheet</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</si>
  <si>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</si>
  <si>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</si>
  <si>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</si>
  <si>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</si>
  <si>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</si>
  <si>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</si>
  <si>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</si>
  <si>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</si>
  <si>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</si>
  <si>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</si>
  <si>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</si>
  <si>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</si>
  <si>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</si>
  <si>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</si>
  <si>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</si>
  <si>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</si>
  <si>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</si>
  <si>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</si>
  <si>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</si>
  <si>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</si>
  <si>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</si>
  <si>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</si>
  <si>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</si>
  <si>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</si>
  <si>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</si>
  <si>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</si>
  <si>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</si>
  <si>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</si>
  <si>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</si>
  <si>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</si>
  <si>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</si>
  <si>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</si>
  <si>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</si>
  <si>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</si>
  <si>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</si>
  <si>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</si>
  <si>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</si>
  <si>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</si>
  <si>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</si>
  <si>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</si>
  <si>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</si>
  <si>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</si>
  <si>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</si>
  <si>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</si>
  <si>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</si>
  <si>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</si>
  <si>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</si>
  <si>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</si>
  <si>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</si>
  <si>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</si>
  <si>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</si>
  <si>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</si>
  <si>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</si>
  <si>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</si>
  <si>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</si>
  <si>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</si>
  <si>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</si>
  <si>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</si>
  <si>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</si>
  <si>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</si>
  <si>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</si>
  <si>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</si>
  <si>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</si>
  <si>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</si>
  <si>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</si>
  <si>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</si>
  <si>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</si>
  <si>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</si>
  <si>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</si>
  <si>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</si>
  <si>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</si>
  <si>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</si>
  <si>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</si>
  <si>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</si>
  <si>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</si>
  <si>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</si>
  <si>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</si>
  <si>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</si>
  <si>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</si>
  <si>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</si>
  <si>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</si>
  <si>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</si>
  <si>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</si>
  <si>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</si>
  <si>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</si>
  <si>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</si>
  <si>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</si>
  <si>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</si>
  <si>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</si>
  <si>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</si>
  <si>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</si>
  <si>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</si>
  <si>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</si>
  <si>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</si>
  <si>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</si>
  <si>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</si>
  <si>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</si>
  <si>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</si>
  <si>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</si>
  <si>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</si>
  <si>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</si>
  <si>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</si>
  <si>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</si>
  <si>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</si>
  <si>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</si>
  <si>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</si>
  <si>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</si>
  <si>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</si>
  <si>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</si>
  <si>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</si>
  <si>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</si>
  <si>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</si>
  <si>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</si>
  <si>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</si>
  <si>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</si>
  <si>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</si>
  <si>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</si>
  <si>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</si>
  <si>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</si>
  <si>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</si>
  <si>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</si>
  <si>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</si>
  <si>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</si>
  <si>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</si>
  <si>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</si>
  <si>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</si>
  <si>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</si>
  <si>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</si>
  <si>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</si>
  <si>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</si>
  <si>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</si>
  <si>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</si>
  <si>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</si>
  <si>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</si>
  <si>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</si>
  <si>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</si>
  <si>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</si>
  <si>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</si>
  <si>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</si>
  <si>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</si>
  <si>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</si>
  <si>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</si>
  <si>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</si>
  <si>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</si>
  <si>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</si>
  <si>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</si>
  <si>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</si>
  <si>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</si>
  <si>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Crash Reduction Factor for Countermeasure #1</t>
  </si>
  <si>
    <t>Texas Department of Transportation.  Highway Safety Improvement Manual.</t>
  </si>
  <si>
    <t>Crash Reduction Factor for Countermeasure #2</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</si>
  <si>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</si>
  <si>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</si>
  <si>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</si>
  <si>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</si>
  <si>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</si>
  <si>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</si>
  <si>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</si>
  <si>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</si>
  <si>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</si>
  <si>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</si>
  <si>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</si>
  <si>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</si>
  <si>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</si>
  <si>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</si>
  <si>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</si>
  <si>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</si>
  <si>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</si>
  <si>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</si>
  <si>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</si>
  <si>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</si>
  <si>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</si>
  <si>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</si>
  <si>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</si>
  <si>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</si>
  <si>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</si>
  <si>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</si>
  <si>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</si>
  <si>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</si>
  <si>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</si>
  <si>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</si>
  <si>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</si>
  <si>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</si>
  <si>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</si>
  <si>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</si>
  <si>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</si>
  <si>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</si>
  <si>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</si>
  <si>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</si>
  <si>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</si>
  <si>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</si>
  <si>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</si>
  <si>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</si>
  <si>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</si>
  <si>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</si>
  <si>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</si>
  <si>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</si>
  <si>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</si>
  <si>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</si>
  <si>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</si>
  <si>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</si>
  <si>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</si>
  <si>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</si>
  <si>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</si>
  <si>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</si>
  <si>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</si>
  <si>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</si>
  <si>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</si>
  <si>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</si>
  <si>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</si>
  <si>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</si>
  <si>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</si>
  <si>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</si>
  <si>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</si>
  <si>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</si>
  <si>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</si>
  <si>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</si>
  <si>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</si>
  <si>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</si>
  <si>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</si>
  <si>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</si>
  <si>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</si>
  <si>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</si>
  <si>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</si>
  <si>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</si>
  <si>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</si>
  <si>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</si>
  <si>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</si>
  <si>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</si>
  <si>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</si>
  <si>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</si>
  <si>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</si>
  <si>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</si>
  <si>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</si>
  <si>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</si>
  <si>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</si>
  <si>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</si>
  <si>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</si>
  <si>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</si>
  <si>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</si>
  <si>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</si>
  <si>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</si>
  <si>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</si>
  <si>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</si>
  <si>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</si>
  <si>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</si>
  <si>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</si>
  <si>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</si>
  <si>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</si>
  <si>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</si>
  <si>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</si>
  <si>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</si>
  <si>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</si>
  <si>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</si>
  <si>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</si>
  <si>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</si>
  <si>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</si>
  <si>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</si>
  <si>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</si>
  <si>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</si>
  <si>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</si>
  <si>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</si>
  <si>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</si>
  <si>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</si>
  <si>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</si>
  <si>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</si>
  <si>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</si>
  <si>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</si>
  <si>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</si>
  <si>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</si>
  <si>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</si>
  <si>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</si>
  <si>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</si>
  <si>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</si>
  <si>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</si>
  <si>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</si>
  <si>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</si>
  <si>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</si>
  <si>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</si>
  <si>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</si>
  <si>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</si>
  <si>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</si>
  <si>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</si>
  <si>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</si>
  <si>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</si>
  <si>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</si>
  <si>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</si>
  <si>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</si>
  <si>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</si>
  <si>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</si>
  <si>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</si>
  <si>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</si>
  <si>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</si>
  <si>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</si>
  <si>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</si>
  <si>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</si>
  <si>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</si>
  <si>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</si>
  <si>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</si>
  <si>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</si>
  <si>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</si>
  <si>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</si>
  <si>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</si>
  <si>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</si>
  <si>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</si>
  <si>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</si>
  <si>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</si>
  <si>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</si>
  <si>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</si>
  <si>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</si>
  <si>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</si>
  <si>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</si>
  <si>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</si>
  <si>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</si>
  <si>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</si>
  <si>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</si>
  <si>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</si>
  <si>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</si>
  <si>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</si>
  <si>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</si>
  <si>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</si>
  <si>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</si>
  <si>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</si>
  <si>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</si>
  <si>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</si>
  <si>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</si>
  <si>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</si>
  <si>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</si>
  <si>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</si>
  <si>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</si>
  <si>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</si>
  <si>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</si>
  <si>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</si>
  <si>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</si>
  <si>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</si>
  <si>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</si>
  <si>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</si>
  <si>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</si>
  <si>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</si>
  <si>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</si>
  <si>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</si>
  <si>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</si>
  <si>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</si>
  <si>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</si>
  <si>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</si>
  <si>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</si>
  <si>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</si>
  <si>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</si>
  <si>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</si>
  <si>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</si>
  <si>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</si>
  <si>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</si>
  <si>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</si>
  <si>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</si>
  <si>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</si>
  <si>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</si>
  <si>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</si>
  <si>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</si>
  <si>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</si>
  <si>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</si>
  <si>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</si>
  <si>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</si>
  <si>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</si>
  <si>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</si>
  <si>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</si>
  <si>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</si>
  <si>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</si>
  <si>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</si>
  <si>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</si>
  <si>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</si>
  <si>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</si>
  <si>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</si>
  <si>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</si>
  <si>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</si>
  <si>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</si>
  <si>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</si>
  <si>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</si>
  <si>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</si>
  <si>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</si>
  <si>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</si>
  <si>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</si>
  <si>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</si>
  <si>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</si>
  <si>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</si>
  <si>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</si>
  <si>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</si>
  <si>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</si>
  <si>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</si>
  <si>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</si>
  <si>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</si>
  <si>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</si>
  <si>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</si>
  <si>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</si>
  <si>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</si>
  <si>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</si>
  <si>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</si>
  <si>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</si>
  <si>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</si>
  <si>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</si>
  <si>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</si>
  <si>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</si>
  <si>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</si>
  <si>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</si>
  <si>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</si>
  <si>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</si>
  <si>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</si>
  <si>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</si>
  <si>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</si>
  <si>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</si>
  <si>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</si>
  <si>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</si>
  <si>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</si>
  <si>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</si>
  <si>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</si>
  <si>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</si>
  <si>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</si>
  <si>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</si>
  <si>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</si>
  <si>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</si>
  <si>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</si>
  <si>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</si>
  <si>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</si>
  <si>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</si>
  <si>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</si>
  <si>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</si>
  <si>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</si>
  <si>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</si>
  <si>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</si>
  <si>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</si>
  <si>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</si>
  <si>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</si>
  <si>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</si>
  <si>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</si>
  <si>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</si>
  <si>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</si>
  <si>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</si>
  <si>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</si>
  <si>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</si>
  <si>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</si>
  <si>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</si>
  <si>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</si>
  <si>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</si>
  <si>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</si>
  <si>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</si>
  <si>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</si>
  <si>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</si>
  <si>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</si>
  <si>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</si>
  <si>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</si>
  <si>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</si>
  <si>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</si>
  <si>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</si>
  <si>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</si>
  <si>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</si>
  <si>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</si>
  <si>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</si>
  <si>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</si>
  <si>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</si>
  <si>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</si>
  <si>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</si>
  <si>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</si>
  <si>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</si>
  <si>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</si>
  <si>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</si>
  <si>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</si>
  <si>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</si>
  <si>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</si>
  <si>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</si>
  <si>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</si>
  <si>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</si>
  <si>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</si>
  <si>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</si>
  <si>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</si>
  <si>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</si>
  <si>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</si>
  <si>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</si>
  <si>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</si>
  <si>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</si>
  <si>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</si>
  <si>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</si>
  <si>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</si>
  <si>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</si>
  <si>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</si>
  <si>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</si>
  <si>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</si>
  <si>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</si>
  <si>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</si>
  <si>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</si>
  <si>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</si>
  <si>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</si>
  <si>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</si>
  <si>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</si>
  <si>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</si>
  <si>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</si>
  <si>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</si>
  <si>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</si>
  <si>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</si>
  <si>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</si>
  <si>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</si>
  <si>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</si>
  <si>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</si>
  <si>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</si>
  <si>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</si>
  <si>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</si>
  <si>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</si>
  <si>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</si>
  <si>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</si>
  <si>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</si>
  <si>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</si>
  <si>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</si>
  <si>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</si>
  <si>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</si>
  <si>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</si>
  <si>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</si>
  <si>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</si>
  <si>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</si>
  <si>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</si>
  <si>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</si>
  <si>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</si>
  <si>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</si>
  <si>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</si>
  <si>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</si>
  <si>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</si>
  <si>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</si>
  <si>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</si>
  <si>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</si>
  <si>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</si>
  <si>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</si>
  <si>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</si>
  <si>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</si>
  <si>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</si>
  <si>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</si>
  <si>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</si>
  <si>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</si>
  <si>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</si>
  <si>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</si>
  <si>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</si>
  <si>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</si>
  <si>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</si>
  <si>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</si>
  <si>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</si>
  <si>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</si>
  <si>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</si>
  <si>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</si>
  <si>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</si>
  <si>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</si>
  <si>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</si>
  <si>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</si>
  <si>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</si>
  <si>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</si>
  <si>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</si>
  <si>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</si>
  <si>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</si>
  <si>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</si>
  <si>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</si>
  <si>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</si>
  <si>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</si>
  <si>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</si>
  <si>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</si>
  <si>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</si>
  <si>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</si>
  <si>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</si>
  <si>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</si>
  <si>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</si>
  <si>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</si>
  <si>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</si>
  <si>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</si>
  <si>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</si>
  <si>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</si>
  <si>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</si>
  <si>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</si>
  <si>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</si>
  <si>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</si>
  <si>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</si>
  <si>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</si>
  <si>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</si>
  <si>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</si>
  <si>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</si>
  <si>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</si>
  <si>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</si>
  <si>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</si>
  <si>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</si>
  <si>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</si>
  <si>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</si>
  <si>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</si>
  <si>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</si>
  <si>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</si>
  <si>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</si>
  <si>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</si>
  <si>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</si>
  <si>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</si>
  <si>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</si>
  <si>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</si>
  <si>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</si>
  <si>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</si>
  <si>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</si>
  <si>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</si>
  <si>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</si>
  <si>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</si>
  <si>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</si>
  <si>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</si>
  <si>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</si>
  <si>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</si>
  <si>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</si>
  <si>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</si>
  <si>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</si>
  <si>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</si>
  <si>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</si>
  <si>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</si>
  <si>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</si>
  <si>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</si>
  <si>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</si>
  <si>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</si>
  <si>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</si>
  <si>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</si>
  <si>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</si>
  <si>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</si>
  <si>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</si>
  <si>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</si>
  <si>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</si>
  <si>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</si>
  <si>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</si>
  <si>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</si>
  <si>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</si>
  <si>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</si>
  <si>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</si>
  <si>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</si>
  <si>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</si>
  <si>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</si>
  <si>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</si>
  <si>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</si>
  <si>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</si>
  <si>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</si>
  <si>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</si>
  <si>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</si>
  <si>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</si>
  <si>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</si>
  <si>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</si>
  <si>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</si>
  <si>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</si>
  <si>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</si>
  <si>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</si>
  <si>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</si>
  <si>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</si>
  <si>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</si>
  <si>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</si>
  <si>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</si>
  <si>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</si>
  <si>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</si>
  <si>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</si>
  <si>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</si>
  <si>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</si>
  <si>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</si>
  <si>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</si>
  <si>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</si>
  <si>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</si>
  <si>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</si>
  <si>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</si>
  <si>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</si>
  <si>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</si>
  <si>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</si>
  <si>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</si>
  <si>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</si>
  <si>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</si>
  <si>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</si>
  <si>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</si>
  <si>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</si>
  <si>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</si>
  <si>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</si>
  <si>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</si>
  <si>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</si>
  <si>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</si>
  <si>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</si>
  <si>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</si>
  <si>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</si>
  <si>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</si>
  <si>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</si>
  <si>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</si>
  <si>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</si>
  <si>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</si>
  <si>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</si>
  <si>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</si>
  <si>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</si>
  <si>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</si>
  <si>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</si>
  <si>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</si>
  <si>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</si>
  <si>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</si>
  <si>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</si>
  <si>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</si>
  <si>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</si>
  <si>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</si>
  <si>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</si>
  <si>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</si>
  <si>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</si>
  <si>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</si>
  <si>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</si>
  <si>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</si>
  <si>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</si>
  <si>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</si>
  <si>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</si>
  <si>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</si>
  <si>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</si>
  <si>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</si>
  <si>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</si>
  <si>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</si>
  <si>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</si>
  <si>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</si>
  <si>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</si>
  <si>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</si>
  <si>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</si>
  <si>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</si>
  <si>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</si>
  <si>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</si>
  <si>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</si>
  <si>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</si>
  <si>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</si>
  <si>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</si>
  <si>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</si>
  <si>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</si>
  <si>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</si>
  <si>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</si>
  <si>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</si>
  <si>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</si>
  <si>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</si>
  <si>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</si>
  <si>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</si>
  <si>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</si>
  <si>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</si>
  <si>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</si>
  <si>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</si>
  <si>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</si>
  <si>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</si>
  <si>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</si>
  <si>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</si>
  <si>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</si>
  <si>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</si>
  <si>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</si>
  <si>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</si>
  <si>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</si>
  <si>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</si>
  <si>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</si>
  <si>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</si>
  <si>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</si>
  <si>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</si>
  <si>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</si>
  <si>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</si>
  <si>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</si>
  <si>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</si>
  <si>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</si>
  <si>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</si>
  <si>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</si>
  <si>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</si>
  <si>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</si>
  <si>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</si>
  <si>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</si>
  <si>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</si>
  <si>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</si>
  <si>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</si>
  <si>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</si>
  <si>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</si>
  <si>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</si>
  <si>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</si>
  <si>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</si>
  <si>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</si>
  <si>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</si>
  <si>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</si>
  <si>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</si>
  <si>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</si>
  <si>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</si>
  <si>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</si>
  <si>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</si>
  <si>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</si>
  <si>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</si>
  <si>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</si>
  <si>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</si>
  <si>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</si>
  <si>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</si>
  <si>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</si>
  <si>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</si>
  <si>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</si>
  <si>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</si>
  <si>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</si>
  <si>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</si>
  <si>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</si>
  <si>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</si>
  <si>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</si>
  <si>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</si>
  <si>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</si>
  <si>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</si>
  <si>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</si>
  <si>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</si>
  <si>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</si>
  <si>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</si>
  <si>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</si>
  <si>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</si>
  <si>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</si>
  <si>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</si>
  <si>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</si>
  <si>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</si>
  <si>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</si>
  <si>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</si>
  <si>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</si>
  <si>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</si>
  <si>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</si>
  <si>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</si>
  <si>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</si>
  <si>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</si>
  <si>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</si>
  <si>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</si>
  <si>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</si>
  <si>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</si>
  <si>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</si>
  <si>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</si>
  <si>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</si>
  <si>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</si>
  <si>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</si>
  <si>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</si>
  <si>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</si>
  <si>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</si>
  <si>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</si>
  <si>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</si>
  <si>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</si>
  <si>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</si>
  <si>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</si>
  <si>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</si>
  <si>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</si>
  <si>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</si>
  <si>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</si>
  <si>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</si>
  <si>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</si>
  <si>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</si>
  <si>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</si>
  <si>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</si>
  <si>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</si>
  <si>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</si>
  <si>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</si>
  <si>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</si>
  <si>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</si>
  <si>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</si>
  <si>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</si>
  <si>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</si>
  <si>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</si>
  <si>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</si>
  <si>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</si>
  <si>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</si>
  <si>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</si>
  <si>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</si>
  <si>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</si>
  <si>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</si>
  <si>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</si>
  <si>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</si>
  <si>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</si>
  <si>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</si>
  <si>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</si>
  <si>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</si>
  <si>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</si>
  <si>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</si>
  <si>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</si>
  <si>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</si>
  <si>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</si>
  <si>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</si>
  <si>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</si>
  <si>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</si>
  <si>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</si>
  <si>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</si>
  <si>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</si>
  <si>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</si>
  <si>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</si>
  <si>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</si>
  <si>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</si>
  <si>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</si>
  <si>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</si>
  <si>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</si>
  <si>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</si>
  <si>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</si>
  <si>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</si>
  <si>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</si>
  <si>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</si>
  <si>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</si>
  <si>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</si>
  <si>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</si>
  <si>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</si>
  <si>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</si>
  <si>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</si>
  <si>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</si>
  <si>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</si>
  <si>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</si>
  <si>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</si>
  <si>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</si>
  <si>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</si>
  <si>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</si>
  <si>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</si>
  <si>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</si>
  <si>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</si>
  <si>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</si>
  <si>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</si>
  <si>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</si>
  <si>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</si>
  <si>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</si>
  <si>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</si>
  <si>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</si>
  <si>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</si>
  <si>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</si>
  <si>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</si>
  <si>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</si>
  <si>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</si>
  <si>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</si>
  <si>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</si>
  <si>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</si>
  <si>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</si>
  <si>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</si>
  <si>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</si>
  <si>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</si>
  <si>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</si>
  <si>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</si>
  <si>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</si>
  <si>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</si>
  <si>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</si>
  <si>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</si>
  <si>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</si>
  <si>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</si>
  <si>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</si>
  <si>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</si>
  <si>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</si>
  <si>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</si>
  <si>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</si>
  <si>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</si>
  <si>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</si>
  <si>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</si>
  <si>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</si>
  <si>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</si>
  <si>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</si>
  <si>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</si>
  <si>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</si>
  <si>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</si>
  <si>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</si>
  <si>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</si>
  <si>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</si>
  <si>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</si>
  <si>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</si>
  <si>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</si>
  <si>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</si>
  <si>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</si>
  <si>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</si>
  <si>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</si>
  <si>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</si>
  <si>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</si>
  <si>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</si>
  <si>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</si>
  <si>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</si>
  <si>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</si>
  <si>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</si>
  <si>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</si>
  <si>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</si>
  <si>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</si>
  <si>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</si>
  <si>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</si>
  <si>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</si>
  <si>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</si>
  <si>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</si>
  <si>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</si>
  <si>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</si>
  <si>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</si>
  <si>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</si>
  <si>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</si>
  <si>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</si>
  <si>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</si>
  <si>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</si>
  <si>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</si>
  <si>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</si>
  <si>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</si>
  <si>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</si>
  <si>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</si>
  <si>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</si>
  <si>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</si>
  <si>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</si>
  <si>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</si>
  <si>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</si>
  <si>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</si>
  <si>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</si>
  <si>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</si>
  <si>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</si>
  <si>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</si>
  <si>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</si>
  <si>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</si>
  <si>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</si>
  <si>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</si>
  <si>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</si>
  <si>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</si>
  <si>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</si>
  <si>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</si>
  <si>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</si>
  <si>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</si>
  <si>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</si>
  <si>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</si>
  <si>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</si>
  <si>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</si>
  <si>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</si>
  <si>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</si>
  <si>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</si>
  <si>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</si>
  <si>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</si>
  <si>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</si>
  <si>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</si>
  <si>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</si>
  <si>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</si>
  <si>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</si>
  <si>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</si>
  <si>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</si>
  <si>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</si>
  <si>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</si>
  <si>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</si>
  <si>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</si>
  <si>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</si>
  <si>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</si>
  <si>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</si>
  <si>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</si>
  <si>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</si>
  <si>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</si>
  <si>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</si>
  <si>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</si>
  <si>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</si>
  <si>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</si>
  <si>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</si>
  <si>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</si>
  <si>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</si>
  <si>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</si>
  <si>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</si>
  <si>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</si>
  <si>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</si>
  <si>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</si>
  <si>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</si>
  <si>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</si>
  <si>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</si>
  <si>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</si>
  <si>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</si>
  <si>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</si>
  <si>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</si>
  <si>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</si>
  <si>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</si>
  <si>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</si>
  <si>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</si>
  <si>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</si>
  <si>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</si>
  <si>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</si>
  <si>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</si>
  <si>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</si>
  <si>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</si>
  <si>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</si>
  <si>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</si>
  <si>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</si>
  <si>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</si>
  <si>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</si>
  <si>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</si>
  <si>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</si>
  <si>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</si>
  <si>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</si>
  <si>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</si>
  <si>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</si>
  <si>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</si>
  <si>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</si>
  <si>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</si>
  <si>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</si>
  <si>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</si>
  <si>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</si>
  <si>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</si>
  <si>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</si>
  <si>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</si>
  <si>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</si>
  <si>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</si>
  <si>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</si>
  <si>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</si>
  <si>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</si>
  <si>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</si>
  <si>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</si>
  <si>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</si>
  <si>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</si>
  <si>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</si>
  <si>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</si>
  <si>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</si>
  <si>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</si>
  <si>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</si>
  <si>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</si>
  <si>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</si>
  <si>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</si>
  <si>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</si>
  <si>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</si>
  <si>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</si>
  <si>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</si>
  <si>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</si>
  <si>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</si>
  <si>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</si>
  <si>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</si>
  <si>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</si>
  <si>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</si>
  <si>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</si>
  <si>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</si>
  <si>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</si>
  <si>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</si>
  <si>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</si>
  <si>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</si>
  <si>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</si>
  <si>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</si>
  <si>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</si>
  <si>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</si>
  <si>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</si>
  <si>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</si>
  <si>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</si>
  <si>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</si>
  <si>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</si>
  <si>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</si>
  <si>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</si>
  <si>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</si>
  <si>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</si>
  <si>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</si>
  <si>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</si>
  <si>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</si>
  <si>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</si>
  <si>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</si>
  <si>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</si>
  <si>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</si>
  <si>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</si>
  <si>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</si>
  <si>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</si>
  <si>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</si>
  <si>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</si>
  <si>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</si>
  <si>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</si>
  <si>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</si>
  <si>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</si>
  <si>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</si>
  <si>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</si>
  <si>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</si>
  <si>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</si>
  <si>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</si>
  <si>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</si>
  <si>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</si>
  <si>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</si>
  <si>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</si>
  <si>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</si>
  <si>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</si>
  <si>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</si>
  <si>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</si>
  <si>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</si>
  <si>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</si>
  <si>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</si>
  <si>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</si>
  <si>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</si>
  <si>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</si>
  <si>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</si>
  <si>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</si>
  <si>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</si>
  <si>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</si>
  <si>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</si>
  <si>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</si>
  <si>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</si>
  <si>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</si>
  <si>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</si>
  <si>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</si>
  <si>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</si>
  <si>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</si>
  <si>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</si>
  <si>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</si>
  <si>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</si>
  <si>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</si>
  <si>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</si>
  <si>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</si>
  <si>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</si>
  <si>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</si>
  <si>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</si>
  <si>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</si>
  <si>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</si>
  <si>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</si>
  <si>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</si>
  <si>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</si>
  <si>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</si>
  <si>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</si>
  <si>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</si>
  <si>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</si>
  <si>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</si>
  <si>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</si>
  <si>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</si>
  <si>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</si>
  <si>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</si>
  <si>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</si>
  <si>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</si>
  <si>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</si>
  <si>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</si>
  <si>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</si>
  <si>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</si>
  <si>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</si>
  <si>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</si>
  <si>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</si>
  <si>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</si>
  <si>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</si>
  <si>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</si>
  <si>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</si>
  <si>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</si>
  <si>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</si>
  <si>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</si>
  <si>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</si>
  <si>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</si>
  <si>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</si>
  <si>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</si>
  <si>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</si>
  <si>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</si>
  <si>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</si>
  <si>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</si>
  <si>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</si>
  <si>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</si>
  <si>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</si>
  <si>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</si>
  <si>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</si>
  <si>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</si>
  <si>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</si>
  <si>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</si>
  <si>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</si>
  <si>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</si>
  <si>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</si>
  <si>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</si>
  <si>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</si>
  <si>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</si>
  <si>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</si>
  <si>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</si>
  <si>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</si>
  <si>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</si>
  <si>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</si>
  <si>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</si>
  <si>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</si>
  <si>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</si>
  <si>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</si>
  <si>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</si>
  <si>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</si>
  <si>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</si>
  <si>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</si>
  <si>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</si>
  <si>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</si>
  <si>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</si>
  <si>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</si>
  <si>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</si>
  <si>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</si>
  <si>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</si>
  <si>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</si>
  <si>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</si>
  <si>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</si>
  <si>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</si>
  <si>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</si>
  <si>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</si>
  <si>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</si>
  <si>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</si>
  <si>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</si>
  <si>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</si>
  <si>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</si>
  <si>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</si>
  <si>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</si>
  <si>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</si>
  <si>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</si>
  <si>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</si>
  <si>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</si>
  <si>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</si>
  <si>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</si>
  <si>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</si>
  <si>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</si>
  <si>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</si>
  <si>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</si>
  <si>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</si>
  <si>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</si>
  <si>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</si>
  <si>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</si>
  <si>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</si>
  <si>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</si>
  <si>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</si>
  <si>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</si>
  <si>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</si>
  <si>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</si>
  <si>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</si>
  <si>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</si>
  <si>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</si>
  <si>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</si>
  <si>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</si>
  <si>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</si>
  <si>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</si>
  <si>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</si>
  <si>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</si>
  <si>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</si>
  <si>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</si>
  <si>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</si>
  <si>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</si>
  <si>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</si>
  <si>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</si>
  <si>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</si>
  <si>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</si>
  <si>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</si>
  <si>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</si>
  <si>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</si>
  <si>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</si>
  <si>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</si>
  <si>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</si>
  <si>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</si>
  <si>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</si>
  <si>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</si>
  <si>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</si>
  <si>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</si>
  <si>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</si>
  <si>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</si>
  <si>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</si>
  <si>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</si>
  <si>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</si>
  <si>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</si>
  <si>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</si>
  <si>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</si>
  <si>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</si>
  <si>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</si>
  <si>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</si>
  <si>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</si>
  <si>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</si>
  <si>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</si>
  <si>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</si>
  <si>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</si>
  <si>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</si>
  <si>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</si>
  <si>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</si>
  <si>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</si>
  <si>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</si>
  <si>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</si>
  <si>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</si>
  <si>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</si>
  <si>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</si>
  <si>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</si>
  <si>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</si>
  <si>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</si>
  <si>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</si>
  <si>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</si>
  <si>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</si>
  <si>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</si>
  <si>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</si>
  <si>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</si>
  <si>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</si>
  <si>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</si>
  <si>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</si>
  <si>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</si>
  <si>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</si>
  <si>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</si>
  <si>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</si>
  <si>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</si>
  <si>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</si>
  <si>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</si>
  <si>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</si>
  <si>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</si>
  <si>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</si>
  <si>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</si>
  <si>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</si>
  <si>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</si>
  <si>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</si>
  <si>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</si>
  <si>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</si>
  <si>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</si>
  <si>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</si>
  <si>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</si>
  <si>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</si>
  <si>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</si>
  <si>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</si>
  <si>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</si>
  <si>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</si>
  <si>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</si>
  <si>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</si>
  <si>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</si>
  <si>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</si>
  <si>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</si>
  <si>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</si>
  <si>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</si>
  <si>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</si>
  <si>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</si>
  <si>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</si>
  <si>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</si>
  <si>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</si>
  <si>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</si>
  <si>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</si>
  <si>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</si>
  <si>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</si>
  <si>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</si>
  <si>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</si>
  <si>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</si>
  <si>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</si>
  <si>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</si>
  <si>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</si>
  <si>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</si>
  <si>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</si>
  <si>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</si>
  <si>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</si>
  <si>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</si>
  <si>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</si>
  <si>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</si>
  <si>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</si>
  <si>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</si>
  <si>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</si>
  <si>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</si>
  <si>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</si>
  <si>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</si>
  <si>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</si>
  <si>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</si>
  <si>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</si>
  <si>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</si>
  <si>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</si>
  <si>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</si>
  <si>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</si>
  <si>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</si>
  <si>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</si>
  <si>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</si>
  <si>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</si>
  <si>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</si>
  <si>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</si>
  <si>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</si>
  <si>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</si>
  <si>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</si>
  <si>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</si>
  <si>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</si>
  <si>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</si>
  <si>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</si>
  <si>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</si>
  <si>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</si>
  <si>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</si>
  <si>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</si>
  <si>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</si>
  <si>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</si>
  <si>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</si>
  <si>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</si>
  <si>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</si>
  <si>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</si>
  <si>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</si>
  <si>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</si>
  <si>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</si>
  <si>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</si>
  <si>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</si>
  <si>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</si>
  <si>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</si>
  <si>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</si>
  <si>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</si>
  <si>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</si>
  <si>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</si>
  <si>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</si>
  <si>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</si>
  <si>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</si>
  <si>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</si>
  <si>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</si>
  <si>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</si>
  <si>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</si>
  <si>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</si>
  <si>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</si>
  <si>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</si>
  <si>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</si>
  <si>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</si>
  <si>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</si>
  <si>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</si>
  <si>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</si>
  <si>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</si>
  <si>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</si>
  <si>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</si>
  <si>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</si>
  <si>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</si>
  <si>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</si>
  <si>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</si>
  <si>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</si>
  <si>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</si>
  <si>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</si>
  <si>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</si>
  <si>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</si>
  <si>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</si>
  <si>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</si>
  <si>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</si>
  <si>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</si>
  <si>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</si>
  <si>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</si>
  <si>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</si>
  <si>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</si>
  <si>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</si>
  <si>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</si>
  <si>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</si>
  <si>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</si>
  <si>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</si>
  <si>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</si>
  <si>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</si>
  <si>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</si>
  <si>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</si>
  <si>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</si>
  <si>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</si>
  <si>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</si>
  <si>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</si>
  <si>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</si>
  <si>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</si>
  <si>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</si>
  <si>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</si>
  <si>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</si>
  <si>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</si>
  <si>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</si>
  <si>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</si>
  <si>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</si>
  <si>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</si>
  <si>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</si>
  <si>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</si>
  <si>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</si>
  <si>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</si>
  <si>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</si>
  <si>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</si>
  <si>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</si>
  <si>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</si>
  <si>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</si>
  <si>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</si>
  <si>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</si>
  <si>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</si>
  <si>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</si>
  <si>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</si>
  <si>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</si>
  <si>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</si>
  <si>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</si>
  <si>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</si>
  <si>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</si>
  <si>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</si>
  <si>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</si>
  <si>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</si>
  <si>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</si>
  <si>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</si>
  <si>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</si>
  <si>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</si>
  <si>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</si>
  <si>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</si>
  <si>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</si>
  <si>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</si>
  <si>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</si>
  <si>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</si>
  <si>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</si>
  <si>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</si>
  <si>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</si>
  <si>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</si>
  <si>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</si>
  <si>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</si>
  <si>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</si>
  <si>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</si>
  <si>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</si>
  <si>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</si>
  <si>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</si>
  <si>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</si>
  <si>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</si>
  <si>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</si>
  <si>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</si>
  <si>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</si>
  <si>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</si>
  <si>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</si>
  <si>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</si>
  <si>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</si>
  <si>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</si>
  <si>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</si>
  <si>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</si>
  <si>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</si>
  <si>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</si>
  <si>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</si>
  <si>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</si>
  <si>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</si>
  <si>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</si>
  <si>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</si>
  <si>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</si>
  <si>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</si>
  <si>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</si>
  <si>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</si>
  <si>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</si>
  <si>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</si>
  <si>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</si>
  <si>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</si>
  <si>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</si>
  <si>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</si>
  <si>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</si>
  <si>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</si>
  <si>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</si>
  <si>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</si>
  <si>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</si>
  <si>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</si>
  <si>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</si>
  <si>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</si>
  <si>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</si>
  <si>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</si>
  <si>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</si>
  <si>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</si>
  <si>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</si>
  <si>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</si>
  <si>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</si>
  <si>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</si>
  <si>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</si>
  <si>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</si>
  <si>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</si>
  <si>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</si>
  <si>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</si>
  <si>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</si>
  <si>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</si>
  <si>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</si>
  <si>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</si>
  <si>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</si>
  <si>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</si>
  <si>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</si>
  <si>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</si>
  <si>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</si>
  <si>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</si>
  <si>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</si>
  <si>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</si>
  <si>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</si>
  <si>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</si>
  <si>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</si>
  <si>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</si>
  <si>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</si>
  <si>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</si>
  <si>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</si>
  <si>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</si>
  <si>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</si>
  <si>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</si>
  <si>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</si>
  <si>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</si>
  <si>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</si>
  <si>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</si>
  <si>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</si>
  <si>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</si>
  <si>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</si>
  <si>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</si>
  <si>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</si>
  <si>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</si>
  <si>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</si>
  <si>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</si>
  <si>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</si>
  <si>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</si>
  <si>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</si>
  <si>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</si>
  <si>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</si>
  <si>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</si>
  <si>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</si>
  <si>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</si>
  <si>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</si>
  <si>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</si>
  <si>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</si>
  <si>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</si>
  <si>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</si>
  <si>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</si>
  <si>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</si>
  <si>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</si>
  <si>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</si>
  <si>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</si>
  <si>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</si>
  <si>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</si>
  <si>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</si>
  <si>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</si>
  <si>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</si>
  <si>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</si>
  <si>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</si>
  <si>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</si>
  <si>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</si>
  <si>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</si>
  <si>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</si>
  <si>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</si>
  <si>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</si>
  <si>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</si>
  <si>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</si>
  <si>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</si>
  <si>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</si>
  <si>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</si>
  <si>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</si>
  <si>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</si>
  <si>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</si>
  <si>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</si>
  <si>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</si>
  <si>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</si>
  <si>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</si>
  <si>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</si>
  <si>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</si>
  <si>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</si>
  <si>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</si>
  <si>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</si>
  <si>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</si>
  <si>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</si>
  <si>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</si>
  <si>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</si>
  <si>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</si>
  <si>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</si>
  <si>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</si>
  <si>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</si>
  <si>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</si>
  <si>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</si>
  <si>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</si>
  <si>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</si>
  <si>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</si>
  <si>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</si>
  <si>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</si>
  <si>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</si>
  <si>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</si>
  <si>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</si>
  <si>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</si>
  <si>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</si>
  <si>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</si>
  <si>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</si>
  <si>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</si>
  <si>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</si>
  <si>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</si>
  <si>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</si>
  <si>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</si>
  <si>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</si>
  <si>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</si>
  <si>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</si>
  <si>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</si>
  <si>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</si>
  <si>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</si>
  <si>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</si>
  <si>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</si>
  <si>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</si>
  <si>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</si>
  <si>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</si>
  <si>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</si>
  <si>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</si>
  <si>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</si>
  <si>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</si>
  <si>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</si>
  <si>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</si>
  <si>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</si>
  <si>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</si>
  <si>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</si>
  <si>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</si>
  <si>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</si>
  <si>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</si>
  <si>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</si>
  <si>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</si>
  <si>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</si>
  <si>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</si>
  <si>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</si>
  <si>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</si>
  <si>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</si>
  <si>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</si>
  <si>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</si>
  <si>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</si>
  <si>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</si>
  <si>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</si>
  <si>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</si>
  <si>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</si>
  <si>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</si>
  <si>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</si>
  <si>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</si>
  <si>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</si>
  <si>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</si>
  <si>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</si>
  <si>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</si>
  <si>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</si>
  <si>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</si>
  <si>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</si>
  <si>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</si>
  <si>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</si>
  <si>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</si>
  <si>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</si>
  <si>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</si>
  <si>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</si>
  <si>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</si>
  <si>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</si>
  <si>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</si>
  <si>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</si>
  <si>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</si>
  <si>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</si>
  <si>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</si>
  <si>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</si>
  <si>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</si>
  <si>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</si>
  <si>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</si>
  <si>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</si>
  <si>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</si>
  <si>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</si>
  <si>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</si>
  <si>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</si>
  <si>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</si>
  <si>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</si>
  <si>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</si>
  <si>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</si>
  <si>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</si>
  <si>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</si>
  <si>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</si>
  <si>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</si>
  <si>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</si>
  <si>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</si>
  <si>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</si>
  <si>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</si>
  <si>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</si>
  <si>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</si>
  <si>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</si>
  <si>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</si>
  <si>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</si>
  <si>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</si>
  <si>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</si>
  <si>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</si>
  <si>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</si>
  <si>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</si>
  <si>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</si>
  <si>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</si>
  <si>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</si>
  <si>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</si>
  <si>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</si>
  <si>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</si>
  <si>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</si>
  <si>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</si>
  <si>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</si>
  <si>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</si>
  <si>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</si>
  <si>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</si>
  <si>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</si>
  <si>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</si>
  <si>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</si>
  <si>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</si>
  <si>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</si>
  <si>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</si>
  <si>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</si>
  <si>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</si>
  <si>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</si>
  <si>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</si>
  <si>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</si>
  <si>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</si>
  <si>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</si>
  <si>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</si>
  <si>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</si>
  <si>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</si>
  <si>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</si>
  <si>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</si>
  <si>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</si>
  <si>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</si>
  <si>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</si>
  <si>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</si>
  <si>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</si>
  <si>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</si>
  <si>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</si>
  <si>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</si>
  <si>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</si>
  <si>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</si>
  <si>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</si>
  <si>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</si>
  <si>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</si>
  <si>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</si>
  <si>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</si>
  <si>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</si>
  <si>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</si>
  <si>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</si>
  <si>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</si>
  <si>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</si>
  <si>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</si>
  <si>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</si>
  <si>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</si>
  <si>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</si>
  <si>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</si>
  <si>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</si>
  <si>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</si>
  <si>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</si>
  <si>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</si>
  <si>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</si>
  <si>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</si>
  <si>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</si>
  <si>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</si>
  <si>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</si>
  <si>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</si>
  <si>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</si>
  <si>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</si>
  <si>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</si>
  <si>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</si>
  <si>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</si>
  <si>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</si>
  <si>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</si>
  <si>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</si>
  <si>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</si>
  <si>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</si>
  <si>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</si>
  <si>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</si>
  <si>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</si>
  <si>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</si>
  <si>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</si>
  <si>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</si>
  <si>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</si>
  <si>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</si>
  <si>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</si>
  <si>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</si>
  <si>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</si>
  <si>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</si>
  <si>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</si>
  <si>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</si>
  <si>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</si>
  <si>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</si>
  <si>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</si>
  <si>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</si>
  <si>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</si>
  <si>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</si>
  <si>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</si>
  <si>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</si>
  <si>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</si>
  <si>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</si>
  <si>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</si>
  <si>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</si>
  <si>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</si>
  <si>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</si>
  <si>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</si>
  <si>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</si>
  <si>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</si>
  <si>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</si>
  <si>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</si>
  <si>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</si>
  <si>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</si>
  <si>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</si>
  <si>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</si>
  <si>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</si>
  <si>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</si>
  <si>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</si>
  <si>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</si>
  <si>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</si>
  <si>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</si>
  <si>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</si>
  <si>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</si>
  <si>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</si>
  <si>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</si>
  <si>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</si>
  <si>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</si>
  <si>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</si>
  <si>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</si>
  <si>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</si>
  <si>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</si>
  <si>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</si>
  <si>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</si>
  <si>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</si>
  <si>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</si>
  <si>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</si>
  <si>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</si>
  <si>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</si>
  <si>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</si>
  <si>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</si>
  <si>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</si>
  <si>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</si>
  <si>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</si>
  <si>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</si>
  <si>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</si>
  <si>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</si>
  <si>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</si>
  <si>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</si>
  <si>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</si>
  <si>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</si>
  <si>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</si>
  <si>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</si>
  <si>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</si>
  <si>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</si>
  <si>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</si>
  <si>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</si>
  <si>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</si>
  <si>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</si>
  <si>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</si>
  <si>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</si>
  <si>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</si>
  <si>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</si>
  <si>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</si>
  <si>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</si>
  <si>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</si>
  <si>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</si>
  <si>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</si>
  <si>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</si>
  <si>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</si>
  <si>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</si>
  <si>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</si>
  <si>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</si>
  <si>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</si>
  <si>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</si>
  <si>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</si>
  <si>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</si>
  <si>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</si>
  <si>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</si>
  <si>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</si>
  <si>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</si>
  <si>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</si>
  <si>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</si>
  <si>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</si>
  <si>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</si>
  <si>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</si>
  <si>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</si>
  <si>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</si>
  <si>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</si>
  <si>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</si>
  <si>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</si>
  <si>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</si>
  <si>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</si>
  <si>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</si>
  <si>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</si>
  <si>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</si>
  <si>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</si>
  <si>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</si>
  <si>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</si>
  <si>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</si>
  <si>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</si>
  <si>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</si>
  <si>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</si>
  <si>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</si>
  <si>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</si>
  <si>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</si>
  <si>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</si>
  <si>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</si>
  <si>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</si>
  <si>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</si>
  <si>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</si>
  <si>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</si>
  <si>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</si>
  <si>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</si>
  <si>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</si>
  <si>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</si>
  <si>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</si>
  <si>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</si>
  <si>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</si>
  <si>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</si>
  <si>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</si>
  <si>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</si>
  <si>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</si>
  <si>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</si>
  <si>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</si>
  <si>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</si>
  <si>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</si>
  <si>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</si>
  <si>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</si>
  <si>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</si>
  <si>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</si>
  <si>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</si>
  <si>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</si>
  <si>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</si>
  <si>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</si>
  <si>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</si>
  <si>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</si>
  <si>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</si>
  <si>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</si>
  <si>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</si>
  <si>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</si>
  <si>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</si>
  <si>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</si>
  <si>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</si>
  <si>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</si>
  <si>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</si>
  <si>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</si>
  <si>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</si>
  <si>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</si>
  <si>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</si>
  <si>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</si>
  <si>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</si>
  <si>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</si>
  <si>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</si>
  <si>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</si>
  <si>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</si>
  <si>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</si>
  <si>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</si>
  <si>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</si>
  <si>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</si>
  <si>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</si>
  <si>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</si>
  <si>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</si>
  <si>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</si>
  <si>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</si>
  <si>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</si>
  <si>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</si>
  <si>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</si>
  <si>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</si>
  <si>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</si>
  <si>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</si>
  <si>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</si>
  <si>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</si>
  <si>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</si>
  <si>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</si>
  <si>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</si>
  <si>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</si>
  <si>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</si>
  <si>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</si>
  <si>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</si>
  <si>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</si>
  <si>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</si>
  <si>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</si>
  <si>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</si>
  <si>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</si>
  <si>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</si>
  <si>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</si>
  <si>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</si>
  <si>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</si>
  <si>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</si>
  <si>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</si>
  <si>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</si>
  <si>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</si>
  <si>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</si>
  <si>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</si>
  <si>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</si>
  <si>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</si>
  <si>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</si>
  <si>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</si>
  <si>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</si>
  <si>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</si>
  <si>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</si>
  <si>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</si>
  <si>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</si>
  <si>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</si>
  <si>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</si>
  <si>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</si>
  <si>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</si>
  <si>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</si>
  <si>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</si>
  <si>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</si>
  <si>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</si>
  <si>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</si>
  <si>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</si>
  <si>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</si>
  <si>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</si>
  <si>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</si>
  <si>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</si>
  <si>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</si>
  <si>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</si>
  <si>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</si>
  <si>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</si>
  <si>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</si>
  <si>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</si>
  <si>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</si>
  <si>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</si>
  <si>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</si>
  <si>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</si>
  <si>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</si>
  <si>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</si>
  <si>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</si>
  <si>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</si>
  <si>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</si>
  <si>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</si>
  <si>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</si>
  <si>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</si>
  <si>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</si>
  <si>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</si>
  <si>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</si>
  <si>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</si>
  <si>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</si>
  <si>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</si>
  <si>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</si>
  <si>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</si>
  <si>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</si>
  <si>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</si>
  <si>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</si>
  <si>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</si>
  <si>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</si>
  <si>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</si>
  <si>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</si>
  <si>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</si>
  <si>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</si>
  <si>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</si>
  <si>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</si>
  <si>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</si>
  <si>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</si>
  <si>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</si>
  <si>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</si>
  <si>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</si>
  <si>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</si>
  <si>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</si>
  <si>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</si>
  <si>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</si>
  <si>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</si>
  <si>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</si>
  <si>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</si>
  <si>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</si>
  <si>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</si>
  <si>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</si>
  <si>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</si>
  <si>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</si>
  <si>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</si>
  <si>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</si>
  <si>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</si>
  <si>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</si>
  <si>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</si>
  <si>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</si>
  <si>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</si>
  <si>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</si>
  <si>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</si>
  <si>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</si>
  <si>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</si>
  <si>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</si>
  <si>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</si>
  <si>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</si>
  <si>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</si>
  <si>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</si>
  <si>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</si>
  <si>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</si>
  <si>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</si>
  <si>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</si>
  <si>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</si>
  <si>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</si>
  <si>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</si>
  <si>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</si>
  <si>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</si>
  <si>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</si>
  <si>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</si>
  <si>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</si>
  <si>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</si>
  <si>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</si>
  <si>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</si>
  <si>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</si>
  <si>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</si>
  <si>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</si>
  <si>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</si>
  <si>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</si>
  <si>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</si>
  <si>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</si>
  <si>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</si>
  <si>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</si>
  <si>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</si>
  <si>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</si>
  <si>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</si>
  <si>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</si>
  <si>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</si>
  <si>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</si>
  <si>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</si>
  <si>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</si>
  <si>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</si>
  <si>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</si>
  <si>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</si>
  <si>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</si>
  <si>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</si>
  <si>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</si>
  <si>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</si>
  <si>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</si>
  <si>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</si>
  <si>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</si>
  <si>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</si>
  <si>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</si>
  <si>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</si>
  <si>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</si>
  <si>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</si>
  <si>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</si>
  <si>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</si>
  <si>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</si>
  <si>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</si>
  <si>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</si>
  <si>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</si>
  <si>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</si>
  <si>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</si>
  <si>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</si>
  <si>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</si>
  <si>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</si>
  <si>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</si>
  <si>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</si>
  <si>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</si>
  <si>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</si>
  <si>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</si>
  <si>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</si>
  <si>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</si>
  <si>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</si>
  <si>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</si>
  <si>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</si>
  <si>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</si>
  <si>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</si>
  <si>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</si>
  <si>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</si>
  <si>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</si>
  <si>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</si>
  <si>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</si>
  <si>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</si>
  <si>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</si>
  <si>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</si>
  <si>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</si>
  <si>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</si>
  <si>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</si>
  <si>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</si>
  <si>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</si>
  <si>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</si>
  <si>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</si>
  <si>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</si>
  <si>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</si>
  <si>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</si>
  <si>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</si>
  <si>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</si>
  <si>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</si>
  <si>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</si>
  <si>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</si>
  <si>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</si>
  <si>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</si>
  <si>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</si>
  <si>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</si>
  <si>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</si>
  <si>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</si>
  <si>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</si>
  <si>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</si>
  <si>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</si>
  <si>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</si>
  <si>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</si>
  <si>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</si>
  <si>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</si>
  <si>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</si>
  <si>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</si>
  <si>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</si>
  <si>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</si>
  <si>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</si>
  <si>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</si>
  <si>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</si>
  <si>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</si>
  <si>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</si>
  <si>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</si>
  <si>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</si>
  <si>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</si>
  <si>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</si>
  <si>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</si>
  <si>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</si>
  <si>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</si>
  <si>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</si>
  <si>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</si>
  <si>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</si>
  <si>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</si>
  <si>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</si>
  <si>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</si>
  <si>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</si>
  <si>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</si>
  <si>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</si>
  <si>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</si>
  <si>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</si>
  <si>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</si>
  <si>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</si>
  <si>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</si>
  <si>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</si>
  <si>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</si>
  <si>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</si>
  <si>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</si>
  <si>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</si>
  <si>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</si>
  <si>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</si>
  <si>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</si>
  <si>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</si>
  <si>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</si>
  <si>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</si>
  <si>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</si>
  <si>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</si>
  <si>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</si>
  <si>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</si>
  <si>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</si>
  <si>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</si>
  <si>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</si>
  <si>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</si>
  <si>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</si>
  <si>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</si>
  <si>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</si>
  <si>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</si>
  <si>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</si>
  <si>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</si>
  <si>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</si>
  <si>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</si>
  <si>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</si>
  <si>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</si>
  <si>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</si>
  <si>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</si>
  <si>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</si>
  <si>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</si>
  <si>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</si>
  <si>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</si>
  <si>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</si>
  <si>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</si>
  <si>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</si>
  <si>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</si>
  <si>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</si>
  <si>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</si>
  <si>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</si>
  <si>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</si>
  <si>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</si>
  <si>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</si>
  <si>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</si>
  <si>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</si>
  <si>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</si>
  <si>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</si>
  <si>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</si>
  <si>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</si>
  <si>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</si>
  <si>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</si>
  <si>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</si>
  <si>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</si>
  <si>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</si>
  <si>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</si>
  <si>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</si>
  <si>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</si>
  <si>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</si>
  <si>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</si>
  <si>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</si>
  <si>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</si>
  <si>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</si>
  <si>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</si>
  <si>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</si>
  <si>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</si>
  <si>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</si>
  <si>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</si>
  <si>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</si>
  <si>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</si>
  <si>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</si>
  <si>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</si>
  <si>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</si>
  <si>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</si>
  <si>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</si>
  <si>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</si>
  <si>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</si>
  <si>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</si>
  <si>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</si>
  <si>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</si>
  <si>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</si>
  <si>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</si>
  <si>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</si>
  <si>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</si>
  <si>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</si>
  <si>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</si>
  <si>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</si>
  <si>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</si>
  <si>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</si>
  <si>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</si>
  <si>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</si>
  <si>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</si>
  <si>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</si>
  <si>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</si>
  <si>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</si>
  <si>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</si>
  <si>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</si>
  <si>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</si>
  <si>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</si>
  <si>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</si>
  <si>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</si>
  <si>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</si>
  <si>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</si>
  <si>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</si>
  <si>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</si>
  <si>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</si>
  <si>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</si>
  <si>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</si>
  <si>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</si>
  <si>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</si>
  <si>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</si>
  <si>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</si>
  <si>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</si>
  <si>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</si>
  <si>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</si>
  <si>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</si>
  <si>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</si>
  <si>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</si>
  <si>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</si>
  <si>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</si>
  <si>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</si>
  <si>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</si>
  <si>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</si>
  <si>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</si>
  <si>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</si>
  <si>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</si>
  <si>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</si>
  <si>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</si>
  <si>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</si>
  <si>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</si>
  <si>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</si>
  <si>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</si>
  <si>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</si>
  <si>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</si>
  <si>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</si>
  <si>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</si>
  <si>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</si>
  <si>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</si>
  <si>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</si>
  <si>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</si>
  <si>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</si>
  <si>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</si>
  <si>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</si>
  <si>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</si>
  <si>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</si>
  <si>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</si>
  <si>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</si>
  <si>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</si>
  <si>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</si>
  <si>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</si>
  <si>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</si>
  <si>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</si>
  <si>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</si>
  <si>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</si>
  <si>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</si>
  <si>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</si>
  <si>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</si>
  <si>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</si>
  <si>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</si>
  <si>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</si>
  <si>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</si>
  <si>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</si>
  <si>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</si>
  <si>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</si>
  <si>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</si>
  <si>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</si>
  <si>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</si>
  <si>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</si>
  <si>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</si>
  <si>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</si>
  <si>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</si>
  <si>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</si>
  <si>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</si>
  <si>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</si>
  <si>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</si>
  <si>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</si>
  <si>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</si>
  <si>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</si>
  <si>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</si>
  <si>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</si>
  <si>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</si>
  <si>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</si>
  <si>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</si>
  <si>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</si>
  <si>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</si>
  <si>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</si>
  <si>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</si>
  <si>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</si>
  <si>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</si>
  <si>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</si>
  <si>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</si>
  <si>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</si>
  <si>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</si>
  <si>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</si>
  <si>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</si>
  <si>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</si>
  <si>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</si>
  <si>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</si>
  <si>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</si>
  <si>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</si>
  <si>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</si>
  <si>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</si>
  <si>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</si>
  <si>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</si>
  <si>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</si>
  <si>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</si>
  <si>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</si>
  <si>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</si>
  <si>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</si>
  <si>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</si>
  <si>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</si>
  <si>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</si>
  <si>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</si>
  <si>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</si>
  <si>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</si>
  <si>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</si>
  <si>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</si>
  <si>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</si>
  <si>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</si>
  <si>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</si>
  <si>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</si>
  <si>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</si>
  <si>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</si>
  <si>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</si>
  <si>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</si>
  <si>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</si>
  <si>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</si>
  <si>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</si>
  <si>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</si>
  <si>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</si>
  <si>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</si>
  <si>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</si>
  <si>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</si>
  <si>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</si>
  <si>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</si>
  <si>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</si>
  <si>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</si>
  <si>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</si>
  <si>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</si>
  <si>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</si>
  <si>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</si>
  <si>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</si>
  <si>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</si>
  <si>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</si>
  <si>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</si>
  <si>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</si>
  <si>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</si>
  <si>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</si>
  <si>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</si>
  <si>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</si>
  <si>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</si>
  <si>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</si>
  <si>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</si>
  <si>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</si>
  <si>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</si>
  <si>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</si>
  <si>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</si>
  <si>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</si>
  <si>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</si>
  <si>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</si>
  <si>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</si>
  <si>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</si>
  <si>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</si>
  <si>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</si>
  <si>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</si>
  <si>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</si>
  <si>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</si>
  <si>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</si>
  <si>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</si>
  <si>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</si>
  <si>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</si>
  <si>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</si>
  <si>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</si>
  <si>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</si>
  <si>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</si>
  <si>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</si>
  <si>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</si>
  <si>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</si>
  <si>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</si>
  <si>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</si>
  <si>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</si>
  <si>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</si>
  <si>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</si>
  <si>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</si>
  <si>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</si>
  <si>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</si>
  <si>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</si>
  <si>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</si>
  <si>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</si>
  <si>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</si>
  <si>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</si>
  <si>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</si>
  <si>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</si>
  <si>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</si>
  <si>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</si>
  <si>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</si>
  <si>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</si>
  <si>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</si>
  <si>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</si>
  <si>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</si>
  <si>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</si>
  <si>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</si>
  <si>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</si>
  <si>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</si>
  <si>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</si>
  <si>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</si>
  <si>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</si>
  <si>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</si>
  <si>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</si>
  <si>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</si>
  <si>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</si>
  <si>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</si>
  <si>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</si>
  <si>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</si>
  <si>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</si>
  <si>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</si>
  <si>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</si>
  <si>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</si>
  <si>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</si>
  <si>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</si>
  <si>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</si>
  <si>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</si>
  <si>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</si>
  <si>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</si>
  <si>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</si>
  <si>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</si>
  <si>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</si>
  <si>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</si>
  <si>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</si>
  <si>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</si>
  <si>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</si>
  <si>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</si>
  <si>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</si>
  <si>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</si>
  <si>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</si>
  <si>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</si>
  <si>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</si>
  <si>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</si>
  <si>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</si>
  <si>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</si>
  <si>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</si>
  <si>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</si>
  <si>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</si>
  <si>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</si>
  <si>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</si>
  <si>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</si>
  <si>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</si>
  <si>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</si>
  <si>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</si>
  <si>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</si>
  <si>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</si>
  <si>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</si>
  <si>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</si>
  <si>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</si>
  <si>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</si>
  <si>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</si>
  <si>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</si>
  <si>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</si>
  <si>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</si>
  <si>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</si>
  <si>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</si>
  <si>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</si>
  <si>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</si>
  <si>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</si>
  <si>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</si>
  <si>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</si>
  <si>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</si>
  <si>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</si>
  <si>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</si>
  <si>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</si>
  <si>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</si>
  <si>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</si>
  <si>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</si>
  <si>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</si>
  <si>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</si>
  <si>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</si>
  <si>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</si>
  <si>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</si>
  <si>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</si>
  <si>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</si>
  <si>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</si>
  <si>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</si>
  <si>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</si>
  <si>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</si>
  <si>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</si>
  <si>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</si>
  <si>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</si>
  <si>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</si>
  <si>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</si>
  <si>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</si>
  <si>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</si>
  <si>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</si>
  <si>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</si>
  <si>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</si>
  <si>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</si>
  <si>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</si>
  <si>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</si>
  <si>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</si>
  <si>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</si>
  <si>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</si>
  <si>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</si>
  <si>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</si>
  <si>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</si>
  <si>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</si>
  <si>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</si>
  <si>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</si>
  <si>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</si>
  <si>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</si>
  <si>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</si>
  <si>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</si>
  <si>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</si>
  <si>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</si>
  <si>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</si>
  <si>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</si>
  <si>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</si>
  <si>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</si>
  <si>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</si>
  <si>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</si>
  <si>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</si>
  <si>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</si>
  <si>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</si>
  <si>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</si>
  <si>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</si>
  <si>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</si>
  <si>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</si>
  <si>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</si>
  <si>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</si>
  <si>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</si>
  <si>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</si>
  <si>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</si>
  <si>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</si>
  <si>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</si>
  <si>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</si>
  <si>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</si>
  <si>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</si>
  <si>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</si>
  <si>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</si>
  <si>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</si>
  <si>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</si>
  <si>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</si>
  <si>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</si>
  <si>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</si>
  <si>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</si>
  <si>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</si>
  <si>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</si>
  <si>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</si>
  <si>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</si>
  <si>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</si>
  <si>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</si>
  <si>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</si>
  <si>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</si>
  <si>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</si>
  <si>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</si>
  <si>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</si>
  <si>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</si>
  <si>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</si>
  <si>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</si>
  <si>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</si>
  <si>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</si>
  <si>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</si>
  <si>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</si>
  <si>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</si>
  <si>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</si>
  <si>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</si>
  <si>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</si>
  <si>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</si>
  <si>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</si>
  <si>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</si>
  <si>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</si>
  <si>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</si>
  <si>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</si>
  <si>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</si>
  <si>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</si>
  <si>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</si>
  <si>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</si>
  <si>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</si>
  <si>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</si>
  <si>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</si>
  <si>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</si>
  <si>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</si>
  <si>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</si>
  <si>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</si>
  <si>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</si>
  <si>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</si>
  <si>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</si>
  <si>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</si>
  <si>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</si>
  <si>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</si>
  <si>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</si>
  <si>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</si>
  <si>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</si>
  <si>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</si>
  <si>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</si>
  <si>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</si>
  <si>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</si>
  <si>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</si>
  <si>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</si>
  <si>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</si>
  <si>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</si>
  <si>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</si>
  <si>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</si>
  <si>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</si>
  <si>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</si>
  <si>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</si>
  <si>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</si>
  <si>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</si>
  <si>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</si>
  <si>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</si>
  <si>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</si>
  <si>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</si>
  <si>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</si>
  <si>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</si>
  <si>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</si>
  <si>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</si>
  <si>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</si>
  <si>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</si>
  <si>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</si>
  <si>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</si>
  <si>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</si>
  <si>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</si>
  <si>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</si>
  <si>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</si>
  <si>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</si>
  <si>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</si>
  <si>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</si>
  <si>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</si>
  <si>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</si>
  <si>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</si>
  <si>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</si>
  <si>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</si>
  <si>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</si>
  <si>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</si>
  <si>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</si>
  <si>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</si>
  <si>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</si>
  <si>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</si>
  <si>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</si>
  <si>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</si>
  <si>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</si>
  <si>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</si>
  <si>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</si>
  <si>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</si>
  <si>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</si>
  <si>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</si>
  <si>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</si>
  <si>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</si>
  <si>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</si>
  <si>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</si>
  <si>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</si>
  <si>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</si>
  <si>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</si>
  <si>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</si>
  <si>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</si>
  <si>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</si>
  <si>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</si>
  <si>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</si>
  <si>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</si>
  <si>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</si>
  <si>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</si>
  <si>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</si>
  <si>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</si>
  <si>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</si>
  <si>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</si>
  <si>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</si>
  <si>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</si>
  <si>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</si>
  <si>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</si>
  <si>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</si>
  <si>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</si>
  <si>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</si>
  <si>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</si>
  <si>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</si>
  <si>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</si>
  <si>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</si>
  <si>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</si>
  <si>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</si>
  <si>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</si>
  <si>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</si>
  <si>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</si>
  <si>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</si>
  <si>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</si>
  <si>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</si>
  <si>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</si>
  <si>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</si>
  <si>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</si>
  <si>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</si>
  <si>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</si>
  <si>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</si>
  <si>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</si>
  <si>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</si>
  <si>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</si>
  <si>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</si>
  <si>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</si>
  <si>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</si>
  <si>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</si>
  <si>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</si>
  <si>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</si>
  <si>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</si>
  <si>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</si>
  <si>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</si>
  <si>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</si>
  <si>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</si>
  <si>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</si>
  <si>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</si>
  <si>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</si>
  <si>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</si>
  <si>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</si>
  <si>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</si>
  <si>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</si>
  <si>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</si>
  <si>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</si>
  <si>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</si>
  <si>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</si>
  <si>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</si>
  <si>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</si>
  <si>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</si>
  <si>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</si>
  <si>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</si>
  <si>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</si>
  <si>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</si>
  <si>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</si>
  <si>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</si>
  <si>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</si>
  <si>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</si>
  <si>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</si>
  <si>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</si>
  <si>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</si>
  <si>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</si>
  <si>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</si>
  <si>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</si>
  <si>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</si>
  <si>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</si>
  <si>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</si>
  <si>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</si>
  <si>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</si>
  <si>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</si>
  <si>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</si>
  <si>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</si>
  <si>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</si>
  <si>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</si>
  <si>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</si>
  <si>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</si>
  <si>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</si>
  <si>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</si>
  <si>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</si>
  <si>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</si>
  <si>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</si>
  <si>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</si>
  <si>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</si>
  <si>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</si>
  <si>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</si>
  <si>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</si>
  <si>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</si>
  <si>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</si>
  <si>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</si>
  <si>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</si>
  <si>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</si>
  <si>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</si>
  <si>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</si>
  <si>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</si>
  <si>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</si>
  <si>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</si>
  <si>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</si>
  <si>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</si>
  <si>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</si>
  <si>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</si>
  <si>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</si>
  <si>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</si>
  <si>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</si>
  <si>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</si>
  <si>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</si>
  <si>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</si>
  <si>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</si>
  <si>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</si>
  <si>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</si>
  <si>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</si>
  <si>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</si>
  <si>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</si>
  <si>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</si>
  <si>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</si>
  <si>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</si>
  <si>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</si>
  <si>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</si>
  <si>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</si>
  <si>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</si>
  <si>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</si>
  <si>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</si>
  <si>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</si>
  <si>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</si>
  <si>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</si>
  <si>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</si>
  <si>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</si>
  <si>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</si>
  <si>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</si>
  <si>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</si>
  <si>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</si>
  <si>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</si>
  <si>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</si>
  <si>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</si>
  <si>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</si>
  <si>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</si>
  <si>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</si>
  <si>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</si>
  <si>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</si>
  <si>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</si>
  <si>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</si>
  <si>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</si>
  <si>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</si>
  <si>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</si>
  <si>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</si>
  <si>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</si>
  <si>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</si>
  <si>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</si>
  <si>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</si>
  <si>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</si>
  <si>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</si>
  <si>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</si>
  <si>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</si>
  <si>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</si>
  <si>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</si>
  <si>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</si>
  <si>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</si>
  <si>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</si>
  <si>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</si>
  <si>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</si>
  <si>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</si>
  <si>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</si>
  <si>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</si>
  <si>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</si>
  <si>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</si>
  <si>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</si>
  <si>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</si>
  <si>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</si>
  <si>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</si>
  <si>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</si>
  <si>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</si>
  <si>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</si>
  <si>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</si>
  <si>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</si>
  <si>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</si>
  <si>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</si>
  <si>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</si>
  <si>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</si>
  <si>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</si>
  <si>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</si>
  <si>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</si>
  <si>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</si>
  <si>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</si>
  <si>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</si>
  <si>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</si>
  <si>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</si>
  <si>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</si>
  <si>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</si>
  <si>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</si>
  <si>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</si>
  <si>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</si>
  <si>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</si>
  <si>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</si>
  <si>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</si>
  <si>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</si>
  <si>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</si>
  <si>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</si>
  <si>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</si>
  <si>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</si>
  <si>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</si>
  <si>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</si>
  <si>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</si>
  <si>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</si>
  <si>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</si>
  <si>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</si>
  <si>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</si>
  <si>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</si>
  <si>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</si>
  <si>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</si>
  <si>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</si>
  <si>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</si>
  <si>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</si>
  <si>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</si>
  <si>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</si>
  <si>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</si>
  <si>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</si>
  <si>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</si>
  <si>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</si>
  <si>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</si>
  <si>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</si>
  <si>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</si>
  <si>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</si>
  <si>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</si>
  <si>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</si>
  <si>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</si>
  <si>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</si>
  <si>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</si>
  <si>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</si>
  <si>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</si>
  <si>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</si>
  <si>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</si>
  <si>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</si>
  <si>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</si>
  <si>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</si>
  <si>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</si>
  <si>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</si>
  <si>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</si>
  <si>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</si>
  <si>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</si>
  <si>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</si>
  <si>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</si>
  <si>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</si>
  <si>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</si>
  <si>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</si>
  <si>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</si>
  <si>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</si>
  <si>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</si>
  <si>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</si>
  <si>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</si>
  <si>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</si>
  <si>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</si>
  <si>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</si>
  <si>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</si>
  <si>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</si>
  <si>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</si>
  <si>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</si>
  <si>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</si>
  <si>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</si>
  <si>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</si>
  <si>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</si>
  <si>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</si>
  <si>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</si>
  <si>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</si>
  <si>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</si>
  <si>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</si>
  <si>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</si>
  <si>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</si>
  <si>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</si>
  <si>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</si>
  <si>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</si>
  <si>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</si>
  <si>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</si>
  <si>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</si>
  <si>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</si>
  <si>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</si>
  <si>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</si>
  <si>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</si>
  <si>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</si>
  <si>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</si>
  <si>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</si>
  <si>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</si>
  <si>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</si>
  <si>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</si>
  <si>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</si>
  <si>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</si>
  <si>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</si>
  <si>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</si>
  <si>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</si>
  <si>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</si>
  <si>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</si>
  <si>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</si>
  <si>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</si>
  <si>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</si>
  <si>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</si>
  <si>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</si>
  <si>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</si>
  <si>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</si>
  <si>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</si>
  <si>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</si>
  <si>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</si>
  <si>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</si>
  <si>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</si>
  <si>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</si>
  <si>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</si>
  <si>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</si>
  <si>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</si>
  <si>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</si>
  <si>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</si>
  <si>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</si>
  <si>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</si>
  <si>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</si>
  <si>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</si>
  <si>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</si>
  <si>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</si>
  <si>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</si>
  <si>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</si>
  <si>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</si>
  <si>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</si>
  <si>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</si>
  <si>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</si>
  <si>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</si>
  <si>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</si>
  <si>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</si>
  <si>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</si>
  <si>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</si>
  <si>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</si>
  <si>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</si>
  <si>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</si>
  <si>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</si>
  <si>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</si>
  <si>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</si>
  <si>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</si>
  <si>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</si>
  <si>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</si>
  <si>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</si>
  <si>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</si>
  <si>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</si>
  <si>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</si>
  <si>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</si>
  <si>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</si>
  <si>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</si>
  <si>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</si>
  <si>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</si>
  <si>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</si>
  <si>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</si>
  <si>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</si>
  <si>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</si>
  <si>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</si>
  <si>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</si>
  <si>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</si>
  <si>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</si>
  <si>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</si>
  <si>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</si>
  <si>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</si>
  <si>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</si>
  <si>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</si>
  <si>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</si>
  <si>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</si>
  <si>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</si>
  <si>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</si>
  <si>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</si>
  <si>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</si>
  <si>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</si>
  <si>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</si>
  <si>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</si>
  <si>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</si>
  <si>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</si>
  <si>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</si>
  <si>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</si>
  <si>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</si>
  <si>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</si>
  <si>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</si>
  <si>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</si>
  <si>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</si>
  <si>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</si>
  <si>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</si>
  <si>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</si>
  <si>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</si>
  <si>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</si>
  <si>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</si>
  <si>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</si>
  <si>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</si>
  <si>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</si>
  <si>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</si>
  <si>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</si>
  <si>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</si>
  <si>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</si>
  <si>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</si>
  <si>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</si>
  <si>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</si>
  <si>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</si>
  <si>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</si>
  <si>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</si>
  <si>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</si>
  <si>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</si>
  <si>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</si>
  <si>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</si>
  <si>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</si>
  <si>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</si>
  <si>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</si>
  <si>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</si>
  <si>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</si>
  <si>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</si>
  <si>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</si>
  <si>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</si>
  <si>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</si>
  <si>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</si>
  <si>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</si>
  <si>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</si>
  <si>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</si>
  <si>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</si>
  <si>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</si>
  <si>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</si>
  <si>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</si>
  <si>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</si>
  <si>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</si>
  <si>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</si>
  <si>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</si>
  <si>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</si>
  <si>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</si>
  <si>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</si>
  <si>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</si>
  <si>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</si>
  <si>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</si>
  <si>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</si>
  <si>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</si>
  <si>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</si>
  <si>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</si>
  <si>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</si>
  <si>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</si>
  <si>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</si>
  <si>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</si>
  <si>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</si>
  <si>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</si>
  <si>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</si>
  <si>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</si>
  <si>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</si>
  <si>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</si>
  <si>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</si>
  <si>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</si>
  <si>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</si>
  <si>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</si>
  <si>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</si>
  <si>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</si>
  <si>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</si>
  <si>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</si>
  <si>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</si>
  <si>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</si>
  <si>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</si>
  <si>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</si>
  <si>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</si>
  <si>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</si>
  <si>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</si>
  <si>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</si>
  <si>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</si>
  <si>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</si>
  <si>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</si>
  <si>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</si>
  <si>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</si>
  <si>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</si>
  <si>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</si>
  <si>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</si>
  <si>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</si>
  <si>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</si>
  <si>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</si>
  <si>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</si>
  <si>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</si>
  <si>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</si>
  <si>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</si>
  <si>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</si>
  <si>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</si>
  <si>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</si>
  <si>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</si>
  <si>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</si>
  <si>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</si>
  <si>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</si>
  <si>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</si>
  <si>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</si>
  <si>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</si>
  <si>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</si>
  <si>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</si>
  <si>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</si>
  <si>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</si>
  <si>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</si>
  <si>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</si>
  <si>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</si>
  <si>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</si>
  <si>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</si>
  <si>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</si>
  <si>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</si>
  <si>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</si>
  <si>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</si>
  <si>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</si>
  <si>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</si>
  <si>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</si>
  <si>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</si>
  <si>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</si>
  <si>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</si>
  <si>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</si>
  <si>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</si>
  <si>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</si>
  <si>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</si>
  <si>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</si>
  <si>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</si>
  <si>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</si>
  <si>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</si>
  <si>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</si>
  <si>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</si>
  <si>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</si>
  <si>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</si>
  <si>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</si>
  <si>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</si>
  <si>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</si>
  <si>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</si>
  <si>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</si>
  <si>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</si>
  <si>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</si>
  <si>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</si>
  <si>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</si>
  <si>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</si>
  <si>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</si>
  <si>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</si>
  <si>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</si>
  <si>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</si>
  <si>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</si>
  <si>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</si>
  <si>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</si>
  <si>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</si>
  <si>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</si>
  <si>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</si>
  <si>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</si>
  <si>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</si>
  <si>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</si>
  <si>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</si>
  <si>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</si>
  <si>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</si>
  <si>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</si>
  <si>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</si>
  <si>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</si>
  <si>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</si>
  <si>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</si>
  <si>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</si>
  <si>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</si>
  <si>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</si>
  <si>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</si>
  <si>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</si>
  <si>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</si>
  <si>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</si>
  <si>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</si>
  <si>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</si>
  <si>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</si>
  <si>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</si>
  <si>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</si>
  <si>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</si>
  <si>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</si>
  <si>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</si>
  <si>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</si>
  <si>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</si>
  <si>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</si>
  <si>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</si>
  <si>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</si>
  <si>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</si>
  <si>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</si>
  <si>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</si>
  <si>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</si>
  <si>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</si>
  <si>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</si>
  <si>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</si>
  <si>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</si>
  <si>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</si>
  <si>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</si>
  <si>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</si>
  <si>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</si>
  <si>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</si>
  <si>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</si>
  <si>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</si>
  <si>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</si>
  <si>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</si>
  <si>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</si>
  <si>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</si>
  <si>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</si>
  <si>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</si>
  <si>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</si>
  <si>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</si>
  <si>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</si>
  <si>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</si>
  <si>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</si>
  <si>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</si>
  <si>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</si>
  <si>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</si>
  <si>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</si>
  <si>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</si>
  <si>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</si>
  <si>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</si>
  <si>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</si>
  <si>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</si>
  <si>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</si>
  <si>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</si>
  <si>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</si>
  <si>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</si>
  <si>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</si>
  <si>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</si>
  <si>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</si>
  <si>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</si>
  <si>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</si>
  <si>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</si>
  <si>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</si>
  <si>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</si>
  <si>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</si>
  <si>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</si>
  <si>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</si>
  <si>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</si>
  <si>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</si>
  <si>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</si>
  <si>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</si>
  <si>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</si>
  <si>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</si>
  <si>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</si>
  <si>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</si>
  <si>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</si>
  <si>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</si>
  <si>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</si>
  <si>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</si>
  <si>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</si>
  <si>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</si>
  <si>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</si>
  <si>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</si>
  <si>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</si>
  <si>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</si>
  <si>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</si>
  <si>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</si>
  <si>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</si>
  <si>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</si>
  <si>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</si>
  <si>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</si>
  <si>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</si>
  <si>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</si>
  <si>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</si>
  <si>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</si>
  <si>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</si>
  <si>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</si>
  <si>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</si>
  <si>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</si>
  <si>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</si>
  <si>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</si>
  <si>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</si>
  <si>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</si>
  <si>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</si>
  <si>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</si>
  <si>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</si>
  <si>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</si>
  <si>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</si>
  <si>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</si>
  <si>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</si>
  <si>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</si>
  <si>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</si>
  <si>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</si>
  <si>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</si>
  <si>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</si>
  <si>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</si>
  <si>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</si>
  <si>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</si>
  <si>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</si>
  <si>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</si>
  <si>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</si>
  <si>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</si>
  <si>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</si>
  <si>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</si>
  <si>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</si>
  <si>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</si>
  <si>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</si>
  <si>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</si>
  <si>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</si>
  <si>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</si>
  <si>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</si>
  <si>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</si>
  <si>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</si>
  <si>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</si>
  <si>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</si>
  <si>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</si>
  <si>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</si>
  <si>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</si>
  <si>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</si>
  <si>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</si>
  <si>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</si>
  <si>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</si>
  <si>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</si>
  <si>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</si>
  <si>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</si>
  <si>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</si>
  <si>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</si>
  <si>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</si>
  <si>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</si>
  <si>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</si>
  <si>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</si>
  <si>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</si>
  <si>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</si>
  <si>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</si>
  <si>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</si>
  <si>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</si>
  <si>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</si>
  <si>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</si>
  <si>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</si>
  <si>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</si>
  <si>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</si>
  <si>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</si>
  <si>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</si>
  <si>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</si>
  <si>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</si>
  <si>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</si>
  <si>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</si>
  <si>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</si>
  <si>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</si>
  <si>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</si>
  <si>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</si>
  <si>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</si>
  <si>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</si>
  <si>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</si>
  <si>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</si>
  <si>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</si>
  <si>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</si>
  <si>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</si>
  <si>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</si>
  <si>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</si>
  <si>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</si>
  <si>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</si>
  <si>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</si>
  <si>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</si>
  <si>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</si>
  <si>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</si>
  <si>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</si>
  <si>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</si>
  <si>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</si>
  <si>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</si>
  <si>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</si>
  <si>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</si>
  <si>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</si>
  <si>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</si>
  <si>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</si>
  <si>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</si>
  <si>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</si>
  <si>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</si>
  <si>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</si>
  <si>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</si>
  <si>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</si>
  <si>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</si>
  <si>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</si>
  <si>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</si>
  <si>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</si>
  <si>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</si>
  <si>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</si>
  <si>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</si>
  <si>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</si>
  <si>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</si>
  <si>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</si>
  <si>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</si>
  <si>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</si>
  <si>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</si>
  <si>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</si>
  <si>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</si>
  <si>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</si>
  <si>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</si>
  <si>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</si>
  <si>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</si>
  <si>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</si>
  <si>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</si>
  <si>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</si>
  <si>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</si>
  <si>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</si>
  <si>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</si>
  <si>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</si>
  <si>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</si>
  <si>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</si>
  <si>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</si>
  <si>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</si>
  <si>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</si>
  <si>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</si>
  <si>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</si>
  <si>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</si>
  <si>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</si>
  <si>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</si>
  <si>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</si>
  <si>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</si>
  <si>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</si>
  <si>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</si>
  <si>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</si>
  <si>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</si>
  <si>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</si>
  <si>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</si>
  <si>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</si>
  <si>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</si>
  <si>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</si>
  <si>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</si>
  <si>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</si>
  <si>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</si>
  <si>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</si>
  <si>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</si>
  <si>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</si>
  <si>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</si>
  <si>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</si>
  <si>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</si>
  <si>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</si>
  <si>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</si>
  <si>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</si>
  <si>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</si>
  <si>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</si>
  <si>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</si>
  <si>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</si>
  <si>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</si>
  <si>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</si>
  <si>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</si>
  <si>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</si>
  <si>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</si>
  <si>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</si>
  <si>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</si>
  <si>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</si>
  <si>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</si>
  <si>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</si>
  <si>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</si>
  <si>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</si>
  <si>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</si>
  <si>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</si>
  <si>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</si>
  <si>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</si>
  <si>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</si>
  <si>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</si>
  <si>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</si>
  <si>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</si>
  <si>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</si>
  <si>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</si>
  <si>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</si>
  <si>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</si>
  <si>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</si>
  <si>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</si>
  <si>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</si>
  <si>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</si>
  <si>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</si>
  <si>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</si>
  <si>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</si>
  <si>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</si>
  <si>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</si>
  <si>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</si>
  <si>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</si>
  <si>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</si>
  <si>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</si>
  <si>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</si>
  <si>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</si>
  <si>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</si>
  <si>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</si>
  <si>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</si>
  <si>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</si>
  <si>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</si>
  <si>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</si>
  <si>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</si>
  <si>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</si>
  <si>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</si>
  <si>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</si>
  <si>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</si>
  <si>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</si>
  <si>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</si>
  <si>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</si>
  <si>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</si>
  <si>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</si>
  <si>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</si>
  <si>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</si>
  <si>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</si>
  <si>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</si>
  <si>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</si>
  <si>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</si>
  <si>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</si>
  <si>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</si>
  <si>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</si>
  <si>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</si>
  <si>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</si>
  <si>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</si>
  <si>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</si>
  <si>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</si>
  <si>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</si>
  <si>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</si>
  <si>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</si>
  <si>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</si>
  <si>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</si>
  <si>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</si>
  <si>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</si>
  <si>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</si>
  <si>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</si>
  <si>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</si>
  <si>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</si>
  <si>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</si>
  <si>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</si>
  <si>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</si>
  <si>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</si>
  <si>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</si>
  <si>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</si>
  <si>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</si>
  <si>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</si>
  <si>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</si>
  <si>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</si>
  <si>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</si>
  <si>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</si>
  <si>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</si>
  <si>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</si>
  <si>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</si>
  <si>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</si>
  <si>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</si>
  <si>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</si>
  <si>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</si>
  <si>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</si>
  <si>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</si>
  <si>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</si>
  <si>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</si>
  <si>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</si>
  <si>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</si>
  <si>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</si>
  <si>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</si>
  <si>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</si>
  <si>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</si>
  <si>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</si>
  <si>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</si>
  <si>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</si>
  <si>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</si>
  <si>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</si>
  <si>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</si>
  <si>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</si>
  <si>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</si>
  <si>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</si>
  <si>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</si>
  <si>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</si>
  <si>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</si>
  <si>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</si>
  <si>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</si>
  <si>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</si>
  <si>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</si>
  <si>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</si>
  <si>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</si>
  <si>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</si>
  <si>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</si>
  <si>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</si>
  <si>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</si>
  <si>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</si>
  <si>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</si>
  <si>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</si>
  <si>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</si>
  <si>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</si>
  <si>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</si>
  <si>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</si>
  <si>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</si>
  <si>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</si>
  <si>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</si>
  <si>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</si>
  <si>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</si>
  <si>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</si>
  <si>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</si>
  <si>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</si>
  <si>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</si>
  <si>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</si>
  <si>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</si>
  <si>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</si>
  <si>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</si>
  <si>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</si>
  <si>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</si>
  <si>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</si>
  <si>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</si>
  <si>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</si>
  <si>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</si>
  <si>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</si>
  <si>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</si>
  <si>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</si>
  <si>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</si>
  <si>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</si>
  <si>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</si>
  <si>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</si>
  <si>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</si>
  <si>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</si>
  <si>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</si>
  <si>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</si>
  <si>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</si>
  <si>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</si>
  <si>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</si>
  <si>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</si>
  <si>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</si>
  <si>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</si>
  <si>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</si>
  <si>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</si>
  <si>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</si>
  <si>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</si>
  <si>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</si>
  <si>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</si>
  <si>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</si>
  <si>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</si>
  <si>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</si>
  <si>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</si>
  <si>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</si>
  <si>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</si>
  <si>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</si>
  <si>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</si>
  <si>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</si>
  <si>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</si>
  <si>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</si>
  <si>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</si>
  <si>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</si>
  <si>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</si>
  <si>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</si>
  <si>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</si>
  <si>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</si>
  <si>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</si>
  <si>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</si>
  <si>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</si>
  <si>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</si>
  <si>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</si>
  <si>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</si>
  <si>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</si>
  <si>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</si>
  <si>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</si>
  <si>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</si>
  <si>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</si>
  <si>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</si>
  <si>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</si>
  <si>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</si>
  <si>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</si>
  <si>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</si>
  <si>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</si>
  <si>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</si>
  <si>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</si>
  <si>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</si>
  <si>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</si>
  <si>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</si>
  <si>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</si>
  <si>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</si>
  <si>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</si>
  <si>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</si>
  <si>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</si>
  <si>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</si>
  <si>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</si>
  <si>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</si>
  <si>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</si>
  <si>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</si>
  <si>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</si>
  <si>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</si>
  <si>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</si>
  <si>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</si>
  <si>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</si>
  <si>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</si>
  <si>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</si>
  <si>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</si>
  <si>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</si>
  <si>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</si>
  <si>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</si>
  <si>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</si>
  <si>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</si>
  <si>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</si>
  <si>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</si>
  <si>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</si>
  <si>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</si>
  <si>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</si>
  <si>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</si>
  <si>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</si>
  <si>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</si>
  <si>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</si>
  <si>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</si>
  <si>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</si>
  <si>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</si>
  <si>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</si>
  <si>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</si>
  <si>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</si>
  <si>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</si>
  <si>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</si>
  <si>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</si>
  <si>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</si>
  <si>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</si>
  <si>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</si>
  <si>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</si>
  <si>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</si>
  <si>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</si>
  <si>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</si>
  <si>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</si>
  <si>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</si>
  <si>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</si>
  <si>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</si>
  <si>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</si>
  <si>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</si>
  <si>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</si>
  <si>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</si>
  <si>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</si>
  <si>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</si>
  <si>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</si>
  <si>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</si>
  <si>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</si>
  <si>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</si>
  <si>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</si>
  <si>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</si>
  <si>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</si>
  <si>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</si>
  <si>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</si>
  <si>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</si>
  <si>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</si>
  <si>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</si>
  <si>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</si>
  <si>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</si>
  <si>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</si>
  <si>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</si>
  <si>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</si>
  <si>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</si>
  <si>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</si>
  <si>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</si>
  <si>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</si>
  <si>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</si>
  <si>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</si>
  <si>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</si>
  <si>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</si>
  <si>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</si>
  <si>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</si>
  <si>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</si>
  <si>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</si>
  <si>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</si>
  <si>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</si>
  <si>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</si>
  <si>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</si>
  <si>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</si>
  <si>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</si>
  <si>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</si>
  <si>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</si>
  <si>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</si>
  <si>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</si>
  <si>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</si>
  <si>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</si>
  <si>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</si>
  <si>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</si>
  <si>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</si>
  <si>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</si>
  <si>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</si>
  <si>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</si>
  <si>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</si>
  <si>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</si>
  <si>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</si>
  <si>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</si>
  <si>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</si>
  <si>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</si>
  <si>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</si>
  <si>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</si>
  <si>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</si>
  <si>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</si>
  <si>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</si>
  <si>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</si>
  <si>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</si>
  <si>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</si>
  <si>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</si>
  <si>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</si>
  <si>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</si>
  <si>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</si>
  <si>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</si>
  <si>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</si>
  <si>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</si>
  <si>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</si>
  <si>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</si>
  <si>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</si>
  <si>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</si>
  <si>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</si>
  <si>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</si>
  <si>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</si>
  <si>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</si>
  <si>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</si>
  <si>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</si>
  <si>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</si>
  <si>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</si>
  <si>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</si>
  <si>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</si>
  <si>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</si>
  <si>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</si>
  <si>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</si>
  <si>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</si>
  <si>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</si>
  <si>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</si>
  <si>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</si>
  <si>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</si>
  <si>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</si>
  <si>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</si>
  <si>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</si>
  <si>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</si>
  <si>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</si>
  <si>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</si>
  <si>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</si>
  <si>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</si>
  <si>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</si>
  <si>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</si>
  <si>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</si>
  <si>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</si>
  <si>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</si>
  <si>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</si>
  <si>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</si>
  <si>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</si>
  <si>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</si>
  <si>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</si>
  <si>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</si>
  <si>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</si>
  <si>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</si>
  <si>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</si>
  <si>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</si>
  <si>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</si>
  <si>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</si>
  <si>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</si>
  <si>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</si>
  <si>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</si>
  <si>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</si>
  <si>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</si>
  <si>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</si>
  <si>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</si>
  <si>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</si>
  <si>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</si>
  <si>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</si>
  <si>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</si>
  <si>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</si>
  <si>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</si>
  <si>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</si>
  <si>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</si>
  <si>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</si>
  <si>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</si>
  <si>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</si>
  <si>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</si>
  <si>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</si>
  <si>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</si>
  <si>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</si>
  <si>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</si>
  <si>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</si>
  <si>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</si>
  <si>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</si>
  <si>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</si>
  <si>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</si>
  <si>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</si>
  <si>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</si>
  <si>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</si>
  <si>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</si>
  <si>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</si>
  <si>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</si>
  <si>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</si>
  <si>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</si>
  <si>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</si>
  <si>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</si>
  <si>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</si>
  <si>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</si>
  <si>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</si>
  <si>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</si>
  <si>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</si>
  <si>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</si>
  <si>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</si>
  <si>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</si>
  <si>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</si>
  <si>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</si>
  <si>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</si>
  <si>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</si>
  <si>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</si>
  <si>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</si>
  <si>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</si>
  <si>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</si>
  <si>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</si>
  <si>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</si>
  <si>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</si>
  <si>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</si>
  <si>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</si>
  <si>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</si>
  <si>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</si>
  <si>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</si>
  <si>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</si>
  <si>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</si>
  <si>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</si>
  <si>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</si>
  <si>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</si>
  <si>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</si>
  <si>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</si>
  <si>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</si>
  <si>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</si>
  <si>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</si>
  <si>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</si>
  <si>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</si>
  <si>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</si>
  <si>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</si>
  <si>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</si>
  <si>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</si>
  <si>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</si>
  <si>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</si>
  <si>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</si>
  <si>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</si>
  <si>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</si>
  <si>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</si>
  <si>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</si>
  <si>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</si>
  <si>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</si>
  <si>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</si>
  <si>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</si>
  <si>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</si>
  <si>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</si>
  <si>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</si>
  <si>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</si>
  <si>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</si>
  <si>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</si>
  <si>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</si>
  <si>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</si>
  <si>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</si>
  <si>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</si>
  <si>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</si>
  <si>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</si>
  <si>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</si>
  <si>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</si>
  <si>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</si>
  <si>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</si>
  <si>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</si>
  <si>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</si>
  <si>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</si>
  <si>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</si>
  <si>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</si>
  <si>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</si>
  <si>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</si>
  <si>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</si>
  <si>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</si>
  <si>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</si>
  <si>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</si>
  <si>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</si>
  <si>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</si>
  <si>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</si>
  <si>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</si>
  <si>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</si>
  <si>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</si>
  <si>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</si>
  <si>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</si>
  <si>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</si>
  <si>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</si>
  <si>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</si>
  <si>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</si>
  <si>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</si>
  <si>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</si>
  <si>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</si>
  <si>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</si>
  <si>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</si>
  <si>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</si>
  <si>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</si>
  <si>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</si>
  <si>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</si>
  <si>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</si>
  <si>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</si>
  <si>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</si>
  <si>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</si>
  <si>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</si>
  <si>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</si>
  <si>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</si>
  <si>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</si>
  <si>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</si>
  <si>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</si>
  <si>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</si>
  <si>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</si>
  <si>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</si>
  <si>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</si>
  <si>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</si>
  <si>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</si>
  <si>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</si>
  <si>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</si>
  <si>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</si>
  <si>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</si>
  <si>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</si>
  <si>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</si>
  <si>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</si>
  <si>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</si>
  <si>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</si>
  <si>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</si>
  <si>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</si>
  <si>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</si>
  <si>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</si>
  <si>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</si>
  <si>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</si>
  <si>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</si>
  <si>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</si>
  <si>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</si>
  <si>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</si>
  <si>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</si>
  <si>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</si>
  <si>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</si>
  <si>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</si>
  <si>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</si>
  <si>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</si>
  <si>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</si>
  <si>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</si>
  <si>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</si>
  <si>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</si>
  <si>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</si>
  <si>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</si>
  <si>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</si>
  <si>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</si>
  <si>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</si>
  <si>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</si>
  <si>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</si>
  <si>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</si>
  <si>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</si>
  <si>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</si>
  <si>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</si>
  <si>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</si>
  <si>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</si>
  <si>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</si>
  <si>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</si>
  <si>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</si>
  <si>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</si>
  <si>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</si>
  <si>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</si>
  <si>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</si>
  <si>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</si>
  <si>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</si>
  <si>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</si>
  <si>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</si>
  <si>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</si>
  <si>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</si>
  <si>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</si>
  <si>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</si>
  <si>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</si>
  <si>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</si>
  <si>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</si>
  <si>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</si>
  <si>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</si>
  <si>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</si>
  <si>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</si>
  <si>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</si>
  <si>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</si>
  <si>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</si>
  <si>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</si>
  <si>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</si>
  <si>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</si>
  <si>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</si>
  <si>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</si>
  <si>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</si>
  <si>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</si>
  <si>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</si>
  <si>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</si>
  <si>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</si>
  <si>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</si>
  <si>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</si>
  <si>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</si>
  <si>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</si>
  <si>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</si>
  <si>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</si>
  <si>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</si>
  <si>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</si>
  <si>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</si>
  <si>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</si>
  <si>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</si>
  <si>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</si>
  <si>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</si>
  <si>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</si>
  <si>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</si>
  <si>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</si>
  <si>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</si>
  <si>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</si>
  <si>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</si>
  <si>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</si>
  <si>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</si>
  <si>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</si>
  <si>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</si>
  <si>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</si>
  <si>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</si>
  <si>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</si>
  <si>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</si>
  <si>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</si>
  <si>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</si>
  <si>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</si>
  <si>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</si>
  <si>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</si>
  <si>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</si>
  <si>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</si>
  <si>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</si>
  <si>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</si>
  <si>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</si>
  <si>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</si>
  <si>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</si>
  <si>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</si>
  <si>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</si>
  <si>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</si>
  <si>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</si>
  <si>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</si>
  <si>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</si>
  <si>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</si>
  <si>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</si>
  <si>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</si>
  <si>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</si>
  <si>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</si>
  <si>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</si>
  <si>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</si>
  <si>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</si>
  <si>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</si>
  <si>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</si>
  <si>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</si>
  <si>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</si>
  <si>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</si>
  <si>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</si>
  <si>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</si>
  <si>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</si>
  <si>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</si>
  <si>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</si>
  <si>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</si>
  <si>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</si>
  <si>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</si>
  <si>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</si>
  <si>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</si>
  <si>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</si>
  <si>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</si>
  <si>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</si>
  <si>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</si>
  <si>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</si>
  <si>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</si>
  <si>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</si>
  <si>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</si>
  <si>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</si>
  <si>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</si>
  <si>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</si>
  <si>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</si>
  <si>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</si>
  <si>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</si>
  <si>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</si>
  <si>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</si>
  <si>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</si>
  <si>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</si>
  <si>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</si>
  <si>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</si>
  <si>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</si>
  <si>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</si>
  <si>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</si>
  <si>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</si>
  <si>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</si>
  <si>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</si>
  <si>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</si>
  <si>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</si>
  <si>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</si>
  <si>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</si>
  <si>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</si>
  <si>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</si>
  <si>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</si>
  <si>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</si>
  <si>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</si>
  <si>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</si>
  <si>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</si>
  <si>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</si>
  <si>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</si>
  <si>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</si>
  <si>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</si>
  <si>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</si>
  <si>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</si>
  <si>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</si>
  <si>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</si>
  <si>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</si>
  <si>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</si>
  <si>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</si>
  <si>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</si>
  <si>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</si>
  <si>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</si>
  <si>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</si>
  <si>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</si>
  <si>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</si>
  <si>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</si>
  <si>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</si>
  <si>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</si>
  <si>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</si>
  <si>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</si>
  <si>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</si>
  <si>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</si>
  <si>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</si>
  <si>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</si>
  <si>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</si>
  <si>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</si>
  <si>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</si>
  <si>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</si>
  <si>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</si>
  <si>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</si>
  <si>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</si>
  <si>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</si>
  <si>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</si>
  <si>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</si>
  <si>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</si>
  <si>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</si>
  <si>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</si>
  <si>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</si>
  <si>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</si>
  <si>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</si>
  <si>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</si>
  <si>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</si>
  <si>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</si>
  <si>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</si>
  <si>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</si>
  <si>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</si>
  <si>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</si>
  <si>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</si>
  <si>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</si>
  <si>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</si>
  <si>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</si>
  <si>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</si>
  <si>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</si>
  <si>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</si>
  <si>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</si>
  <si>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</si>
  <si>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</si>
  <si>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</si>
  <si>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</si>
  <si>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</si>
  <si>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</si>
  <si>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</si>
  <si>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</si>
  <si>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</si>
  <si>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</si>
  <si>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</si>
  <si>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</si>
  <si>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</si>
  <si>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</si>
  <si>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</si>
  <si>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</si>
  <si>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</si>
  <si>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</si>
  <si>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</si>
  <si>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</si>
  <si>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</si>
  <si>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</si>
  <si>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</si>
  <si>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</si>
  <si>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</si>
  <si>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</si>
  <si>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</si>
  <si>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</si>
  <si>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</si>
  <si>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</si>
  <si>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</si>
  <si>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</si>
  <si>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</si>
  <si>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</si>
  <si>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</si>
  <si>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</si>
  <si>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</si>
  <si>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</si>
  <si>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</si>
  <si>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</si>
  <si>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</si>
  <si>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</si>
  <si>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</si>
  <si>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</si>
  <si>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</si>
  <si>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</si>
  <si>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</si>
  <si>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</si>
  <si>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</si>
  <si>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</si>
  <si>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</si>
  <si>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</si>
  <si>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</si>
  <si>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</si>
  <si>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</si>
  <si>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</si>
  <si>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</si>
  <si>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</si>
  <si>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</si>
  <si>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</si>
  <si>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</si>
  <si>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</si>
  <si>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</si>
  <si>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</si>
  <si>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</si>
  <si>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</si>
  <si>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</si>
  <si>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</si>
  <si>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</si>
  <si>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</si>
  <si>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</si>
  <si>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</si>
  <si>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</si>
  <si>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</si>
  <si>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</si>
  <si>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</si>
  <si>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</si>
  <si>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</si>
  <si>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</si>
  <si>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</si>
  <si>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</si>
  <si>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</si>
  <si>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</si>
  <si>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</si>
  <si>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</si>
  <si>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</si>
  <si>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</si>
  <si>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</si>
  <si>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</si>
  <si>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</si>
  <si>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</si>
  <si>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</si>
  <si>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</si>
  <si>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</si>
  <si>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</si>
  <si>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</si>
  <si>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</si>
  <si>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</si>
  <si>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</si>
  <si>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</si>
  <si>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</si>
  <si>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</si>
  <si>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</si>
  <si>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</si>
  <si>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</si>
  <si>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</si>
  <si>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</si>
  <si>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</si>
  <si>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</si>
  <si>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</si>
  <si>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</si>
  <si>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</si>
  <si>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</si>
  <si>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</si>
  <si>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</si>
  <si>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</si>
  <si>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</si>
  <si>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</si>
  <si>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</si>
  <si>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</si>
  <si>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</si>
  <si>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</si>
  <si>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</si>
  <si>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</si>
  <si>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</si>
  <si>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</si>
  <si>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</si>
  <si>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</si>
  <si>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</si>
  <si>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</si>
  <si>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</si>
  <si>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</si>
  <si>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</si>
  <si>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</si>
  <si>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</si>
  <si>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</si>
  <si>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</si>
  <si>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</si>
  <si>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</si>
  <si>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</si>
  <si>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</si>
  <si>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</si>
  <si>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</si>
  <si>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</si>
  <si>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</si>
  <si>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</si>
  <si>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</si>
  <si>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</si>
  <si>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</si>
  <si>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</si>
  <si>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</si>
  <si>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</si>
  <si>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</si>
  <si>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</si>
  <si>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</si>
  <si>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</si>
  <si>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</si>
  <si>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</si>
  <si>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</si>
  <si>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</si>
  <si>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</si>
  <si>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</si>
  <si>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</si>
  <si>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</si>
  <si>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</si>
  <si>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</si>
  <si>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</si>
  <si>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</si>
  <si>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</si>
  <si>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</si>
  <si>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</si>
  <si>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</si>
  <si>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</si>
  <si>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</si>
  <si>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</si>
  <si>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</si>
  <si>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</si>
  <si>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</si>
  <si>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</si>
  <si>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</si>
  <si>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</si>
  <si>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</si>
  <si>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</si>
  <si>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</si>
  <si>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</si>
  <si>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</si>
  <si>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</si>
  <si>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</si>
  <si>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</si>
  <si>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</si>
  <si>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</si>
  <si>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</si>
  <si>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</si>
  <si>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</si>
  <si>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</si>
  <si>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</si>
  <si>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</si>
  <si>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</si>
  <si>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</si>
  <si>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</si>
  <si>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</si>
  <si>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</si>
  <si>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</si>
  <si>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</si>
  <si>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</si>
  <si>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</si>
  <si>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</si>
  <si>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</si>
  <si>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</si>
  <si>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</si>
  <si>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</si>
  <si>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</si>
  <si>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</si>
  <si>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</si>
  <si>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</si>
  <si>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</si>
  <si>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</si>
  <si>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</si>
  <si>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</si>
  <si>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</si>
  <si>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</si>
  <si>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</si>
  <si>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</si>
  <si>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</si>
  <si>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</si>
  <si>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</si>
  <si>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</si>
  <si>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</si>
  <si>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</si>
  <si>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</si>
  <si>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</si>
  <si>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</si>
  <si>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</si>
  <si>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</si>
  <si>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</si>
  <si>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</si>
  <si>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</si>
  <si>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</si>
  <si>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</si>
  <si>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</si>
  <si>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</si>
  <si>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</si>
  <si>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</si>
  <si>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</si>
  <si>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</si>
  <si>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</si>
  <si>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</si>
  <si>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</si>
  <si>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</si>
  <si>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</si>
  <si>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</si>
  <si>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</si>
  <si>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</si>
  <si>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</si>
  <si>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</si>
  <si>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</si>
  <si>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</si>
  <si>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</si>
  <si>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</si>
  <si>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</si>
  <si>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</si>
  <si>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</si>
  <si>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</si>
  <si>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</si>
  <si>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</si>
  <si>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</si>
  <si>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</si>
  <si>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</si>
  <si>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</si>
  <si>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</si>
  <si>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</si>
  <si>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</si>
  <si>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</si>
  <si>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</si>
  <si>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</si>
  <si>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</si>
  <si>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</si>
  <si>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</si>
  <si>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</si>
  <si>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</si>
  <si>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</si>
  <si>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</si>
  <si>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</si>
  <si>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</si>
  <si>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</si>
  <si>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</si>
  <si>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</si>
  <si>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</si>
  <si>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</si>
  <si>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</si>
  <si>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</si>
  <si>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</si>
  <si>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</si>
  <si>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</si>
  <si>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</si>
  <si>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</si>
  <si>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</si>
  <si>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</si>
  <si>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</si>
  <si>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</si>
  <si>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</si>
  <si>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</si>
  <si>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</si>
  <si>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</si>
  <si>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</si>
  <si>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</si>
  <si>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</si>
  <si>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</si>
  <si>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</si>
  <si>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</si>
  <si>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</si>
  <si>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</si>
  <si>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</si>
  <si>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</si>
  <si>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</si>
  <si>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</si>
  <si>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</si>
  <si>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</si>
  <si>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</si>
  <si>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</si>
  <si>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</si>
  <si>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</si>
  <si>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</si>
  <si>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</si>
  <si>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</si>
  <si>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</si>
  <si>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</si>
  <si>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</si>
  <si>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</si>
  <si>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</si>
  <si>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</si>
  <si>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</si>
  <si>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</si>
  <si>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</si>
  <si>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</si>
  <si>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</si>
  <si>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</si>
  <si>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</si>
  <si>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</si>
  <si>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</si>
  <si>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</si>
  <si>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</si>
  <si>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</si>
  <si>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</si>
  <si>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</si>
  <si>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</si>
  <si>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</si>
  <si>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</si>
  <si>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</si>
  <si>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</si>
  <si>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</si>
  <si>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</si>
  <si>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</si>
  <si>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</si>
  <si>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</si>
  <si>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</si>
  <si>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</si>
  <si>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</si>
  <si>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</si>
  <si>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</si>
  <si>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</si>
  <si>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</si>
  <si>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</si>
  <si>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</si>
  <si>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</si>
  <si>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</si>
  <si>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</si>
  <si>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</si>
  <si>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</si>
  <si>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</si>
  <si>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</si>
  <si>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</si>
  <si>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</si>
  <si>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</si>
  <si>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</si>
  <si>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</si>
  <si>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</si>
  <si>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</si>
  <si>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</si>
  <si>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</si>
  <si>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</si>
  <si>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</si>
  <si>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</si>
  <si>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</si>
  <si>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</si>
  <si>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</si>
  <si>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</si>
  <si>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</si>
  <si>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</si>
  <si>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</si>
  <si>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</si>
  <si>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</si>
  <si>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</si>
  <si>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</si>
  <si>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</si>
  <si>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</si>
  <si>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</si>
  <si>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</si>
  <si>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</si>
  <si>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</si>
  <si>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</si>
  <si>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</si>
  <si>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</si>
  <si>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</si>
  <si>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</si>
  <si>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</si>
  <si>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</si>
  <si>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</si>
  <si>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</si>
  <si>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</si>
  <si>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</si>
  <si>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</si>
  <si>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</si>
  <si>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</si>
  <si>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</si>
  <si>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</si>
  <si>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</si>
  <si>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</si>
  <si>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</si>
  <si>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</si>
  <si>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</si>
  <si>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</si>
  <si>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</si>
  <si>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</si>
  <si>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</si>
  <si>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</si>
  <si>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</si>
  <si>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</si>
  <si>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</si>
  <si>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</si>
  <si>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</si>
  <si>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</si>
  <si>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</si>
  <si>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</si>
  <si>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</si>
  <si>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</si>
  <si>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</si>
  <si>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</si>
  <si>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</si>
  <si>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</si>
  <si>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</si>
  <si>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</si>
  <si>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</si>
  <si>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</si>
  <si>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</si>
  <si>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</si>
  <si>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</si>
  <si>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</si>
  <si>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</si>
  <si>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</si>
  <si>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</si>
  <si>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</si>
  <si>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</si>
  <si>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</si>
  <si>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</si>
  <si>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</si>
  <si>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</si>
  <si>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</si>
  <si>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</si>
  <si>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</si>
  <si>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</si>
  <si>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</si>
  <si>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</si>
  <si>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</si>
  <si>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</si>
  <si>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</si>
  <si>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</si>
  <si>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</si>
  <si>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</si>
  <si>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</si>
  <si>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</si>
  <si>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</si>
  <si>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</si>
  <si>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</si>
  <si>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</si>
  <si>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</si>
  <si>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</si>
  <si>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</si>
  <si>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</si>
  <si>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</si>
  <si>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</si>
  <si>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</si>
  <si>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</si>
  <si>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</si>
  <si>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</si>
  <si>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</si>
  <si>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</si>
  <si>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</si>
  <si>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</si>
  <si>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</si>
  <si>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</si>
  <si>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</si>
  <si>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</si>
  <si>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</si>
  <si>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</si>
  <si>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</si>
  <si>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</si>
  <si>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</si>
  <si>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</si>
  <si>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</si>
  <si>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</si>
  <si>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</si>
  <si>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</si>
  <si>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</si>
  <si>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</si>
  <si>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</si>
  <si>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</si>
  <si>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</si>
  <si>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</si>
  <si>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</si>
  <si>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</si>
  <si>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</si>
  <si>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</si>
  <si>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</si>
  <si>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</si>
  <si>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</si>
  <si>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</si>
  <si>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</si>
  <si>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</si>
  <si>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</si>
  <si>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</si>
  <si>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</si>
  <si>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</si>
  <si>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</si>
  <si>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</si>
  <si>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</si>
  <si>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</si>
  <si>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</si>
  <si>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</si>
  <si>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</si>
  <si>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</si>
  <si>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</si>
  <si>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</si>
  <si>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</si>
  <si>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</si>
  <si>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</si>
  <si>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</si>
  <si>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</si>
  <si>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</si>
  <si>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</si>
  <si>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</si>
  <si>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</si>
  <si>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</si>
  <si>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</si>
  <si>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</si>
  <si>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</si>
  <si>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</si>
  <si>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</si>
  <si>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</si>
  <si>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</si>
  <si>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</si>
  <si>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</si>
  <si>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</si>
  <si>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</si>
  <si>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</si>
  <si>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</si>
  <si>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</si>
  <si>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</si>
  <si>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</si>
  <si>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</si>
  <si>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</si>
  <si>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</si>
  <si>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</si>
  <si>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</si>
  <si>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</si>
  <si>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</si>
  <si>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</si>
  <si>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</si>
  <si>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</si>
  <si>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</si>
  <si>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</si>
  <si>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</si>
  <si>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</si>
  <si>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</si>
  <si>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</si>
  <si>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</si>
  <si>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</si>
  <si>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</si>
  <si>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</si>
  <si>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</si>
  <si>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</si>
  <si>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</si>
  <si>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</si>
  <si>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</si>
  <si>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</si>
  <si>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</si>
  <si>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</si>
  <si>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</si>
  <si>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</si>
  <si>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</si>
  <si>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</si>
  <si>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</si>
  <si>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</si>
  <si>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</si>
  <si>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</si>
  <si>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</si>
  <si>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</si>
  <si>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</si>
  <si>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</si>
  <si>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</si>
  <si>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</si>
  <si>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</si>
  <si>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</si>
  <si>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</si>
  <si>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</si>
  <si>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</si>
  <si>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</si>
  <si>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</si>
  <si>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</si>
  <si>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</si>
  <si>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</si>
  <si>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</si>
  <si>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</si>
  <si>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</si>
  <si>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</si>
  <si>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</si>
  <si>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</si>
  <si>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</si>
  <si>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</si>
  <si>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</si>
  <si>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</si>
  <si>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</si>
  <si>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</si>
  <si>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</si>
  <si>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</si>
  <si>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</si>
  <si>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</si>
  <si>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</si>
  <si>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</si>
  <si>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</si>
  <si>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</si>
  <si>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</si>
  <si>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</si>
  <si>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</si>
  <si>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</si>
  <si>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</si>
  <si>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</si>
  <si>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</si>
  <si>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</si>
  <si>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</si>
  <si>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</si>
  <si>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</si>
  <si>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</si>
  <si>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</si>
  <si>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</si>
  <si>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</si>
  <si>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</si>
  <si>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</si>
  <si>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</si>
  <si>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</si>
  <si>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</si>
  <si>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</si>
  <si>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</si>
  <si>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</si>
  <si>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</si>
  <si>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</si>
  <si>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</si>
  <si>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</si>
  <si>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</si>
  <si>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</si>
  <si>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</si>
  <si>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</si>
  <si>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</si>
  <si>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</si>
  <si>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</si>
  <si>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</si>
  <si>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</si>
  <si>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</si>
  <si>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</si>
  <si>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</si>
  <si>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</si>
  <si>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</si>
  <si>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</si>
  <si>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</si>
  <si>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</si>
  <si>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</si>
  <si>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</si>
  <si>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</si>
  <si>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</si>
  <si>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</si>
  <si>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</si>
  <si>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</si>
  <si>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</si>
  <si>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</si>
  <si>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</si>
  <si>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</si>
  <si>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</si>
  <si>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</si>
  <si>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</si>
  <si>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</si>
  <si>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</si>
  <si>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</si>
  <si>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</si>
  <si>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</si>
  <si>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</si>
  <si>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</si>
  <si>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</si>
  <si>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</si>
  <si>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</si>
  <si>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</si>
  <si>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</si>
  <si>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</si>
  <si>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</si>
  <si>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</si>
  <si>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</si>
  <si>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</si>
  <si>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</si>
  <si>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</si>
  <si>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</si>
  <si>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</si>
  <si>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</si>
  <si>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</si>
  <si>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</si>
  <si>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</si>
  <si>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</si>
  <si>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</si>
  <si>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</si>
  <si>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</si>
  <si>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</si>
  <si>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</si>
  <si>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</si>
  <si>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</si>
  <si>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</si>
  <si>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</si>
  <si>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</si>
  <si>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</si>
  <si>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</si>
  <si>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</si>
  <si>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</si>
  <si>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</si>
  <si>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</si>
  <si>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</si>
  <si>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</si>
  <si>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</si>
  <si>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</si>
  <si>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</si>
  <si>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</si>
  <si>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</si>
  <si>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</si>
  <si>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</si>
  <si>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</si>
  <si>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</si>
  <si>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</si>
  <si>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</si>
  <si>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</si>
  <si>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</si>
  <si>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</si>
  <si>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</si>
  <si>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</si>
  <si>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</si>
  <si>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</si>
  <si>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</si>
  <si>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</si>
  <si>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</si>
  <si>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</si>
  <si>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</si>
  <si>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</si>
  <si>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</si>
  <si>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</si>
  <si>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</si>
  <si>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</si>
  <si>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</si>
  <si>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</si>
  <si>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</si>
  <si>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</si>
  <si>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</si>
  <si>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</si>
  <si>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</si>
  <si>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</si>
  <si>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</si>
  <si>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</si>
  <si>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</si>
  <si>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</si>
  <si>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</si>
  <si>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</si>
  <si>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</si>
  <si>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</si>
  <si>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</si>
  <si>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</si>
  <si>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</si>
  <si>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</si>
  <si>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</si>
  <si>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</si>
  <si>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</si>
  <si>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</si>
  <si>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</si>
  <si>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</si>
  <si>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</si>
  <si>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</si>
  <si>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</si>
  <si>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</si>
  <si>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</si>
  <si>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</si>
  <si>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</si>
  <si>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</si>
  <si>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</si>
  <si>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</si>
  <si>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</si>
  <si>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</si>
  <si>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</si>
  <si>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</si>
  <si>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</si>
  <si>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</si>
  <si>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</si>
  <si>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</si>
  <si>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</si>
  <si>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</si>
  <si>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</si>
  <si>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</si>
  <si>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</si>
  <si>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</si>
  <si>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</si>
  <si>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</si>
  <si>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</si>
  <si>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</si>
  <si>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</si>
  <si>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</si>
  <si>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</si>
  <si>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</si>
  <si>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</si>
  <si>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</si>
  <si>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</si>
  <si>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</si>
  <si>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</si>
  <si>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</si>
  <si>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</si>
  <si>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</si>
  <si>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</si>
  <si>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</si>
  <si>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</si>
  <si>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</si>
  <si>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</si>
  <si>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</si>
  <si>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</si>
  <si>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</si>
  <si>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</si>
  <si>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</si>
  <si>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</si>
  <si>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</si>
  <si>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</si>
  <si>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</si>
  <si>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</si>
  <si>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</si>
  <si>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</si>
  <si>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</si>
  <si>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</si>
  <si>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</si>
  <si>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</si>
  <si>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</si>
  <si>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</si>
  <si>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</si>
  <si>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</si>
  <si>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</si>
  <si>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</si>
  <si>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</si>
  <si>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</si>
  <si>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</si>
  <si>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</si>
  <si>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</si>
  <si>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</si>
  <si>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</si>
  <si>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</si>
  <si>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</si>
  <si>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</si>
  <si>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</si>
  <si>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</si>
  <si>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</si>
  <si>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</si>
  <si>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</si>
  <si>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</si>
  <si>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</si>
  <si>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</si>
  <si>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</si>
  <si>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</si>
  <si>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</si>
  <si>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</si>
  <si>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</si>
  <si>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</si>
  <si>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</si>
  <si>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</si>
  <si>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</si>
  <si>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</si>
  <si>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</si>
  <si>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</si>
  <si>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</si>
  <si>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</si>
  <si>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</si>
  <si>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</si>
  <si>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</si>
  <si>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</si>
  <si>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</si>
  <si>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</si>
  <si>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</si>
  <si>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</si>
  <si>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</si>
  <si>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</si>
  <si>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</si>
  <si>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</si>
  <si>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</si>
  <si>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</si>
  <si>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</si>
  <si>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</si>
  <si>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</si>
  <si>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</si>
  <si>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</si>
  <si>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</si>
  <si>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</si>
  <si>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</si>
  <si>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</si>
  <si>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</si>
  <si>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</si>
  <si>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</si>
  <si>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</si>
  <si>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</si>
  <si>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</si>
  <si>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</si>
  <si>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</si>
  <si>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</si>
  <si>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</si>
  <si>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</si>
  <si>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</si>
  <si>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</si>
  <si>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</si>
  <si>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</si>
  <si>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</si>
  <si>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</si>
  <si>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</si>
  <si>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</si>
  <si>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</si>
  <si>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</si>
  <si>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</si>
  <si>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</si>
  <si>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</si>
  <si>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</si>
  <si>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</si>
  <si>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</si>
  <si>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</si>
  <si>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</si>
  <si>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</si>
  <si>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</si>
  <si>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</si>
  <si>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</si>
  <si>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</si>
  <si>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</si>
  <si>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</si>
  <si>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</si>
  <si>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</si>
  <si>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</si>
  <si>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</si>
  <si>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</si>
  <si>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</si>
  <si>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</si>
  <si>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</si>
  <si>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</si>
  <si>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</si>
  <si>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</si>
  <si>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</si>
  <si>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</si>
  <si>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</si>
  <si>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</si>
  <si>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</si>
  <si>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</si>
  <si>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</si>
  <si>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</si>
  <si>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</si>
  <si>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</si>
  <si>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</si>
  <si>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</si>
  <si>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</si>
  <si>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</si>
  <si>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</si>
  <si>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</si>
  <si>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</si>
  <si>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</si>
  <si>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</si>
  <si>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</si>
  <si>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</si>
  <si>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</si>
  <si>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</si>
  <si>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</si>
  <si>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</si>
  <si>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</si>
  <si>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</si>
  <si>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</si>
  <si>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</si>
  <si>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</si>
  <si>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</si>
  <si>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</si>
  <si>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</si>
  <si>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</si>
  <si>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</si>
  <si>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</si>
  <si>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</si>
  <si>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</si>
  <si>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</si>
  <si>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</si>
  <si>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</si>
  <si>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</si>
  <si>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</si>
  <si>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</si>
  <si>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</si>
  <si>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</si>
  <si>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</si>
  <si>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</si>
  <si>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</si>
  <si>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</si>
  <si>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</si>
  <si>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</si>
  <si>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</si>
  <si>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</si>
  <si>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</si>
  <si>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</si>
  <si>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</si>
  <si>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</si>
  <si>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</si>
  <si>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</si>
  <si>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</si>
  <si>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</si>
  <si>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</si>
  <si>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</si>
  <si>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</si>
  <si>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</si>
  <si>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</si>
  <si>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</si>
  <si>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</si>
  <si>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</si>
  <si>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</si>
  <si>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</si>
  <si>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</si>
  <si>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</si>
  <si>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</si>
  <si>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</si>
  <si>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</si>
  <si>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</si>
  <si>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</si>
  <si>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</si>
  <si>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</si>
  <si>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</si>
  <si>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</si>
  <si>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</si>
  <si>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</si>
  <si>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</si>
  <si>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</si>
  <si>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</si>
  <si>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</si>
  <si>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</si>
  <si>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</si>
  <si>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</si>
  <si>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</si>
  <si>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</si>
  <si>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</si>
  <si>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</si>
  <si>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</si>
  <si>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</si>
  <si>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</si>
  <si>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</si>
  <si>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</si>
  <si>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</si>
  <si>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</si>
  <si>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</si>
  <si>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</si>
  <si>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</si>
  <si>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</si>
  <si>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</si>
  <si>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</si>
  <si>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</si>
  <si>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</si>
  <si>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</si>
  <si>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</si>
  <si>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</si>
  <si>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</si>
  <si>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</si>
  <si>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</si>
  <si>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</si>
  <si>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</si>
  <si>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</si>
  <si>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</si>
  <si>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</si>
  <si>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</si>
  <si>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</si>
  <si>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</si>
  <si>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</si>
  <si>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</si>
  <si>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</si>
  <si>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</si>
  <si>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</si>
  <si>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</si>
  <si>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</si>
  <si>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</si>
  <si>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</si>
  <si>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</si>
  <si>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</si>
  <si>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</si>
  <si>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</si>
  <si>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</si>
  <si>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</si>
  <si>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</si>
  <si>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</si>
  <si>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</si>
  <si>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</si>
  <si>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</si>
  <si>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</si>
  <si>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</si>
  <si>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</si>
  <si>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</si>
  <si>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</si>
  <si>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</si>
  <si>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</si>
  <si>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</si>
  <si>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</si>
  <si>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</si>
  <si>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</si>
  <si>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</si>
  <si>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</si>
  <si>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</si>
  <si>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</si>
  <si>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</si>
  <si>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</si>
  <si>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</si>
  <si>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</si>
  <si>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</si>
  <si>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</si>
  <si>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</si>
  <si>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</si>
  <si>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</si>
  <si>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</si>
  <si>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</si>
  <si>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</si>
  <si>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</si>
  <si>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</si>
  <si>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</si>
  <si>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</si>
  <si>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</si>
  <si>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</si>
  <si>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</si>
  <si>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</si>
  <si>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</si>
  <si>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</si>
  <si>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</si>
  <si>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</si>
  <si>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</si>
  <si>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</si>
  <si>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</si>
  <si>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</si>
  <si>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</si>
  <si>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</si>
  <si>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</si>
  <si>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</si>
  <si>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</si>
  <si>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</si>
  <si>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</si>
  <si>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</si>
  <si>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</si>
  <si>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</si>
  <si>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</si>
  <si>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</si>
  <si>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</si>
  <si>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</si>
  <si>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</si>
  <si>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</si>
  <si>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</si>
  <si>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</si>
  <si>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</si>
  <si>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</si>
  <si>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</si>
  <si>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</si>
  <si>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</si>
  <si>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</si>
  <si>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</si>
  <si>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</si>
  <si>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</si>
  <si>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</si>
  <si>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</si>
  <si>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</si>
  <si>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</si>
  <si>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</si>
  <si>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</si>
  <si>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</si>
  <si>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</si>
  <si>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</si>
  <si>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</si>
  <si>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</si>
  <si>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</si>
  <si>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</si>
  <si>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</si>
  <si>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</si>
  <si>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</si>
  <si>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</si>
  <si>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</si>
  <si>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</si>
  <si>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</si>
  <si>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</si>
  <si>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</si>
  <si>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</si>
  <si>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</si>
  <si>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</si>
  <si>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</si>
  <si>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</si>
  <si>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</si>
  <si>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</si>
  <si>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</si>
  <si>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</si>
  <si>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</si>
  <si>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</si>
  <si>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</si>
  <si>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</si>
  <si>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</si>
  <si>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</si>
  <si>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</si>
  <si>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</si>
  <si>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</si>
  <si>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</si>
  <si>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</si>
  <si>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</si>
  <si>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</si>
  <si>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</si>
  <si>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</si>
  <si>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</si>
  <si>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</si>
  <si>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</si>
  <si>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</si>
  <si>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</si>
  <si>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</si>
  <si>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</si>
  <si>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</si>
  <si>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</si>
  <si>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</si>
  <si>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</si>
  <si>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</si>
  <si>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</si>
  <si>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</si>
  <si>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</si>
  <si>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</si>
  <si>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</si>
  <si>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</si>
  <si>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</si>
  <si>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</si>
  <si>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</si>
  <si>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</si>
  <si>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</si>
  <si>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</si>
  <si>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</si>
  <si>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</si>
  <si>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</si>
  <si>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</si>
  <si>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</si>
  <si>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</si>
  <si>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</si>
  <si>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</si>
  <si>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</si>
  <si>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</si>
  <si>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</si>
  <si>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</si>
  <si>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</si>
  <si>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</si>
  <si>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</si>
  <si>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</si>
  <si>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</si>
  <si>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</si>
  <si>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</si>
  <si>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</si>
  <si>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</si>
  <si>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</si>
  <si>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</si>
  <si>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</si>
  <si>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</si>
  <si>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</si>
  <si>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</si>
  <si>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</si>
  <si>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</si>
  <si>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</si>
  <si>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</si>
  <si>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</si>
  <si>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</si>
  <si>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</si>
  <si>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</si>
  <si>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</si>
  <si>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</si>
  <si>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</si>
  <si>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</si>
  <si>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</si>
  <si>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</si>
  <si>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</si>
  <si>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</si>
  <si>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</si>
  <si>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</si>
  <si>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</si>
  <si>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</si>
  <si>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</si>
  <si>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</si>
  <si>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</si>
  <si>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</si>
  <si>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</si>
  <si>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</si>
  <si>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</si>
  <si>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</si>
  <si>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</si>
  <si>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</si>
  <si>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</si>
  <si>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</si>
  <si>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</si>
  <si>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</si>
  <si>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</si>
  <si>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</si>
  <si>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</si>
  <si>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</si>
  <si>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</si>
  <si>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</si>
  <si>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</si>
  <si>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</si>
  <si>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</si>
  <si>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</si>
  <si>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</si>
  <si>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</si>
  <si>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</si>
  <si>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</si>
  <si>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</si>
  <si>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</si>
  <si>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</si>
  <si>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</si>
  <si>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</si>
  <si>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</si>
  <si>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</si>
  <si>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</si>
  <si>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</si>
  <si>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</si>
  <si>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</si>
  <si>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</si>
  <si>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</si>
  <si>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</si>
  <si>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</si>
  <si>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</si>
  <si>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</si>
  <si>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</si>
  <si>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</si>
  <si>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</si>
  <si>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</si>
  <si>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</si>
  <si>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</si>
  <si>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</si>
  <si>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</si>
  <si>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</si>
  <si>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</si>
  <si>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</si>
  <si>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</si>
  <si>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</si>
  <si>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</si>
  <si>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</si>
  <si>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</si>
  <si>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</si>
  <si>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</si>
  <si>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</si>
  <si>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</si>
  <si>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</si>
  <si>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</si>
  <si>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</si>
  <si>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</si>
  <si>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</si>
  <si>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</si>
  <si>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</si>
  <si>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</si>
  <si>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</si>
  <si>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</si>
  <si>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</si>
  <si>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</si>
  <si>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</si>
  <si>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</si>
  <si>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</si>
  <si>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</si>
  <si>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</si>
  <si>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</si>
  <si>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</si>
  <si>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</si>
  <si>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</si>
  <si>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</si>
  <si>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</si>
  <si>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</si>
  <si>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</si>
  <si>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</si>
  <si>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</si>
  <si>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</si>
  <si>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</si>
  <si>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</si>
  <si>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</si>
  <si>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</si>
  <si>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</si>
  <si>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</si>
  <si>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</si>
  <si>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</si>
  <si>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</si>
  <si>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</si>
  <si>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</si>
  <si>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</si>
  <si>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</si>
  <si>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</si>
  <si>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</si>
  <si>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</si>
  <si>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</si>
  <si>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</si>
  <si>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</si>
  <si>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</si>
  <si>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</si>
  <si>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</si>
  <si>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</si>
  <si>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</si>
  <si>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</si>
  <si>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</si>
  <si>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</si>
  <si>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</si>
  <si>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</si>
  <si>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</si>
  <si>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</si>
  <si>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</si>
  <si>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</si>
  <si>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</si>
  <si>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</si>
  <si>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</si>
  <si>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</si>
  <si>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</si>
  <si>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</si>
  <si>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</si>
  <si>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</si>
  <si>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</si>
  <si>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</si>
  <si>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</si>
  <si>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</si>
  <si>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</si>
  <si>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</si>
  <si>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</si>
  <si>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</si>
  <si>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</si>
  <si>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</si>
  <si>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</si>
  <si>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</si>
  <si>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</si>
  <si>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</si>
  <si>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</si>
  <si>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</si>
  <si>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</si>
  <si>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</si>
  <si>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</si>
  <si>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</si>
  <si>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</si>
  <si>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</si>
  <si>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</si>
  <si>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</si>
  <si>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</si>
  <si>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</si>
  <si>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</si>
  <si>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</si>
  <si>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</si>
  <si>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</si>
  <si>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</si>
  <si>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</si>
  <si>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</si>
  <si>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</si>
  <si>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</si>
  <si>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</si>
  <si>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</si>
  <si>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</si>
  <si>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</si>
  <si>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</si>
  <si>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</si>
  <si>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</si>
  <si>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</si>
  <si>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</si>
  <si>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</si>
  <si>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</si>
  <si>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</si>
  <si>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</si>
  <si>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</si>
  <si>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</si>
  <si>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</si>
  <si>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</si>
  <si>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</si>
  <si>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</si>
  <si>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</si>
  <si>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</si>
  <si>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</si>
  <si>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</si>
  <si>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</si>
  <si>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</si>
  <si>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</si>
  <si>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</si>
  <si>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</si>
  <si>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</si>
  <si>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</si>
  <si>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</si>
  <si>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</si>
  <si>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</si>
  <si>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</si>
  <si>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</si>
  <si>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</si>
  <si>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</si>
  <si>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</si>
  <si>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</si>
  <si>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</si>
  <si>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</si>
  <si>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</si>
  <si>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</si>
  <si>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</si>
  <si>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</si>
  <si>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</si>
  <si>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</si>
  <si>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</si>
  <si>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</si>
  <si>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</si>
  <si>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</si>
  <si>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</si>
  <si>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</si>
  <si>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</si>
  <si>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</si>
  <si>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</si>
  <si>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</si>
  <si>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</si>
  <si>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</si>
  <si>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</si>
  <si>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</si>
  <si>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</si>
  <si>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</si>
  <si>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</si>
  <si>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</si>
  <si>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</si>
  <si>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</si>
  <si>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</si>
  <si>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</si>
  <si>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</si>
  <si>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</si>
  <si>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</si>
  <si>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</si>
  <si>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</si>
  <si>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</si>
  <si>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</si>
  <si>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</si>
  <si>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</si>
  <si>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</si>
  <si>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</si>
  <si>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</si>
  <si>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</si>
  <si>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</si>
  <si>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</si>
  <si>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</si>
  <si>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</si>
  <si>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</si>
  <si>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</si>
  <si>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</si>
  <si>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</si>
  <si>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</si>
  <si>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</si>
  <si>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</si>
  <si>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</si>
  <si>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</si>
  <si>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</si>
  <si>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</si>
  <si>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</si>
  <si>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</si>
  <si>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</si>
  <si>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</si>
  <si>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</si>
  <si>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</si>
  <si>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</si>
  <si>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</si>
  <si>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</si>
  <si>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</si>
  <si>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</si>
  <si>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</si>
  <si>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</si>
  <si>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</si>
  <si>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</si>
  <si>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</si>
  <si>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</si>
  <si>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</si>
  <si>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</si>
  <si>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</si>
  <si>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</si>
  <si>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</si>
  <si>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</si>
  <si>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</si>
  <si>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</si>
  <si>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</si>
  <si>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</si>
  <si>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</si>
  <si>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</si>
  <si>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</si>
  <si>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</si>
  <si>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</si>
  <si>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</si>
  <si>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</si>
  <si>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</si>
  <si>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</si>
  <si>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</si>
  <si>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</si>
  <si>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</si>
  <si>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</si>
  <si>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</si>
  <si>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</si>
  <si>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</si>
  <si>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</si>
  <si>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</si>
  <si>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</si>
  <si>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</si>
  <si>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</si>
  <si>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</si>
  <si>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</si>
  <si>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</si>
  <si>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</si>
  <si>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</si>
  <si>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</si>
  <si>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</si>
  <si>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</si>
  <si>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</si>
  <si>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</si>
  <si>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</si>
  <si>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</si>
  <si>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</si>
  <si>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</si>
  <si>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</si>
  <si>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</si>
  <si>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</si>
  <si>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</si>
  <si>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</si>
  <si>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</si>
  <si>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</si>
  <si>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</si>
  <si>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</si>
  <si>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</si>
  <si>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</si>
  <si>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</si>
  <si>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</si>
  <si>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</si>
  <si>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</si>
  <si>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</si>
  <si>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</si>
  <si>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</si>
  <si>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</si>
  <si>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</si>
  <si>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</si>
  <si>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</si>
  <si>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</si>
  <si>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</si>
  <si>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</si>
  <si>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</si>
  <si>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</si>
  <si>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</si>
  <si>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</si>
  <si>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</si>
  <si>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</si>
  <si>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</si>
  <si>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</si>
  <si>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</si>
  <si>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</si>
  <si>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</si>
  <si>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</si>
  <si>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</si>
  <si>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</si>
  <si>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</si>
  <si>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</si>
  <si>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</si>
  <si>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</si>
  <si>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</si>
  <si>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</si>
  <si>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</si>
  <si>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</si>
  <si>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</si>
  <si>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</si>
  <si>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</si>
  <si>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</si>
  <si>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</si>
  <si>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</si>
  <si>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</si>
  <si>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</si>
  <si>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</si>
  <si>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</si>
  <si>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</si>
  <si>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</si>
  <si>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</si>
  <si>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</si>
  <si>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</si>
  <si>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</si>
  <si>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</si>
  <si>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</si>
  <si>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</si>
  <si>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</si>
  <si>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</si>
  <si>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</si>
  <si>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</si>
  <si>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</si>
  <si>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</si>
  <si>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</si>
  <si>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</si>
  <si>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</si>
  <si>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</si>
  <si>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</si>
  <si>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</si>
  <si>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</si>
  <si>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</si>
  <si>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</si>
  <si>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</si>
  <si>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</si>
  <si>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</si>
  <si>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</si>
  <si>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</si>
  <si>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</si>
  <si>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</si>
  <si>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</si>
  <si>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</si>
  <si>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</si>
  <si>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</si>
  <si>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</si>
  <si>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</si>
  <si>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</si>
  <si>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</si>
  <si>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</si>
  <si>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</si>
  <si>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</si>
  <si>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</si>
  <si>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</si>
  <si>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</si>
  <si>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</si>
  <si>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</si>
  <si>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</si>
  <si>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</si>
  <si>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</si>
  <si>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</si>
  <si>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</si>
  <si>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</si>
  <si>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</si>
  <si>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</si>
  <si>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</si>
  <si>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</si>
  <si>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</si>
  <si>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</si>
  <si>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</si>
  <si>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</si>
  <si>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</si>
  <si>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</si>
  <si>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</si>
  <si>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</si>
  <si>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</si>
  <si>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</si>
  <si>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</si>
  <si>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</si>
  <si>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</si>
  <si>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</si>
  <si>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</si>
  <si>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</si>
  <si>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</si>
  <si>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</si>
  <si>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</si>
  <si>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</si>
  <si>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</si>
  <si>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</si>
  <si>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</si>
  <si>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</si>
  <si>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</si>
  <si>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</si>
  <si>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</si>
  <si>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</si>
  <si>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</si>
  <si>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</si>
  <si>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</si>
  <si>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</si>
  <si>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</si>
  <si>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</si>
  <si>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</si>
  <si>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</si>
  <si>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</si>
  <si>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</si>
  <si>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</si>
  <si>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</si>
  <si>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</si>
  <si>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</si>
  <si>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</si>
  <si>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</si>
  <si>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</si>
  <si>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</si>
  <si>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</si>
  <si>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</si>
  <si>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</si>
  <si>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</si>
  <si>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</si>
  <si>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</si>
  <si>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</si>
  <si>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</si>
  <si>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</si>
  <si>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</si>
  <si>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</si>
  <si>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</si>
  <si>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</si>
  <si>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</si>
  <si>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</si>
  <si>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</si>
  <si>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</si>
  <si>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</si>
  <si>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</si>
  <si>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</si>
  <si>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</si>
  <si>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</si>
  <si>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</si>
  <si>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</si>
  <si>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</si>
  <si>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</si>
  <si>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</si>
  <si>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</si>
  <si>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</si>
  <si>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</si>
  <si>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</si>
  <si>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</si>
  <si>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</si>
  <si>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</si>
  <si>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</si>
  <si>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</si>
  <si>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</si>
  <si>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</si>
  <si>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</si>
  <si>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</si>
  <si>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</si>
  <si>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</si>
  <si>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</si>
  <si>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</si>
  <si>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</si>
  <si>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</si>
  <si>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</si>
  <si>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</si>
  <si>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</si>
  <si>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</si>
  <si>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</si>
  <si>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</si>
  <si>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</si>
  <si>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</si>
  <si>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</si>
  <si>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</si>
  <si>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</si>
  <si>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</si>
  <si>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</si>
  <si>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</si>
  <si>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</si>
  <si>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</si>
  <si>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</si>
  <si>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</si>
  <si>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</si>
  <si>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</si>
  <si>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</si>
  <si>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</si>
  <si>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</si>
  <si>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</si>
  <si>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</si>
  <si>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</si>
  <si>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</si>
  <si>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</si>
  <si>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</si>
  <si>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</si>
  <si>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</si>
  <si>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</si>
  <si>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</si>
  <si>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</si>
  <si>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</si>
  <si>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</si>
  <si>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</si>
  <si>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</si>
  <si>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</si>
  <si>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</si>
  <si>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</si>
  <si>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</si>
  <si>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</si>
  <si>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</si>
  <si>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</si>
  <si>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</si>
  <si>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</si>
  <si>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</si>
  <si>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</si>
  <si>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</si>
  <si>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</si>
  <si>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</si>
  <si>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</si>
  <si>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</si>
  <si>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</si>
  <si>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</si>
  <si>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</si>
  <si>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</si>
  <si>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</si>
  <si>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</si>
  <si>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</si>
  <si>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</si>
  <si>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</si>
  <si>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</si>
  <si>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</si>
  <si>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</si>
  <si>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</si>
  <si>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</si>
  <si>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</si>
  <si>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</si>
  <si>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</si>
  <si>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</si>
  <si>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</si>
  <si>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</si>
  <si>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</si>
  <si>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</si>
  <si>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</si>
  <si>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</si>
  <si>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</si>
  <si>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</si>
  <si>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</si>
  <si>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</si>
  <si>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</si>
  <si>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</si>
  <si>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</si>
  <si>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</si>
  <si>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</si>
  <si>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</si>
  <si>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</si>
  <si>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</si>
  <si>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</si>
  <si>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</si>
  <si>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</si>
  <si>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</si>
  <si>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</si>
  <si>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</si>
  <si>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</si>
  <si>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</si>
  <si>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</si>
  <si>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</si>
  <si>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</si>
  <si>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</si>
  <si>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</si>
  <si>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</si>
  <si>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</si>
  <si>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</si>
  <si>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</si>
  <si>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</si>
  <si>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</si>
  <si>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</si>
  <si>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</si>
  <si>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</si>
  <si>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</si>
  <si>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</si>
  <si>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</si>
  <si>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</si>
  <si>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</si>
  <si>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</si>
  <si>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</si>
  <si>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</si>
  <si>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</si>
  <si>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</si>
  <si>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</si>
  <si>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</si>
  <si>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</si>
  <si>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</si>
  <si>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</si>
  <si>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</si>
  <si>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</si>
  <si>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</si>
  <si>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</si>
  <si>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</si>
  <si>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</si>
  <si>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</si>
  <si>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</si>
  <si>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</si>
  <si>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</si>
  <si>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</si>
  <si>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</si>
  <si>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</si>
  <si>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</si>
  <si>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</si>
  <si>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</si>
  <si>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</si>
  <si>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</si>
  <si>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</si>
  <si>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</si>
  <si>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</si>
  <si>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</si>
  <si>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</si>
  <si>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</si>
  <si>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</si>
  <si>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</si>
  <si>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</si>
  <si>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</si>
  <si>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</si>
  <si>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</si>
  <si>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</si>
  <si>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</si>
  <si>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</si>
  <si>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</si>
  <si>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</si>
  <si>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</si>
  <si>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</si>
  <si>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</si>
  <si>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</si>
  <si>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</si>
  <si>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</si>
  <si>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</si>
  <si>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</si>
  <si>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</si>
  <si>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</si>
  <si>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</si>
  <si>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</si>
  <si>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</si>
  <si>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</si>
  <si>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</si>
  <si>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</si>
  <si>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</si>
  <si>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</si>
  <si>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</si>
  <si>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</si>
  <si>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</si>
  <si>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</si>
  <si>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</si>
  <si>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</si>
  <si>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</si>
  <si>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</si>
  <si>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</si>
  <si>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</si>
  <si>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</si>
  <si>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</si>
  <si>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</si>
  <si>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</si>
  <si>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</si>
  <si>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</si>
  <si>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</si>
  <si>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</si>
  <si>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</si>
  <si>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</si>
  <si>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</si>
  <si>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</si>
  <si>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</si>
  <si>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</si>
  <si>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</si>
  <si>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</si>
  <si>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</si>
  <si>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</si>
  <si>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</si>
  <si>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</si>
  <si>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</si>
  <si>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</si>
  <si>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</si>
  <si>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</si>
  <si>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</si>
  <si>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</si>
  <si>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</si>
  <si>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</si>
  <si>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</si>
  <si>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</si>
  <si>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</si>
  <si>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</si>
  <si>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</si>
  <si>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</si>
  <si>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</si>
  <si>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</si>
  <si>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</si>
  <si>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</si>
  <si>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</si>
  <si>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</si>
  <si>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</si>
  <si>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</si>
  <si>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</si>
  <si>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</si>
  <si>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</si>
  <si>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</si>
  <si>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</si>
  <si>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</si>
  <si>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</si>
  <si>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</si>
  <si>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</si>
  <si>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</si>
  <si>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</si>
  <si>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</si>
  <si>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</si>
  <si>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</si>
  <si>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</si>
  <si>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</si>
  <si>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</si>
  <si>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</si>
  <si>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</si>
  <si>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</si>
  <si>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</si>
  <si>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</si>
  <si>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</si>
  <si>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</si>
  <si>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</si>
  <si>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</si>
  <si>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</si>
  <si>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</si>
  <si>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</si>
  <si>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</si>
  <si>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</si>
  <si>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</si>
  <si>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</si>
  <si>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</si>
  <si>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</si>
  <si>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</si>
  <si>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</si>
  <si>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</si>
  <si>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</si>
  <si>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</si>
  <si>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</si>
  <si>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</si>
  <si>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</si>
  <si>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</si>
  <si>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</si>
  <si>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</si>
  <si>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</si>
  <si>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</si>
  <si>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</si>
  <si>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</si>
  <si>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</si>
  <si>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</si>
  <si>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</si>
  <si>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</si>
  <si>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</si>
  <si>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</si>
  <si>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</si>
  <si>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</si>
  <si>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</si>
  <si>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</si>
  <si>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</si>
  <si>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</si>
  <si>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</si>
  <si>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</si>
  <si>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</si>
  <si>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</si>
  <si>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</si>
  <si>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</si>
  <si>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</si>
  <si>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</si>
  <si>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</si>
  <si>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</si>
  <si>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</si>
  <si>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</si>
  <si>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</si>
  <si>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</si>
  <si>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</si>
  <si>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</si>
  <si>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</si>
  <si>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</si>
  <si>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</si>
  <si>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</si>
  <si>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</si>
  <si>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</si>
  <si>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</si>
  <si>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</si>
  <si>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</si>
  <si>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</si>
  <si>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</si>
  <si>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</si>
  <si>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</si>
  <si>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</si>
  <si>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</si>
  <si>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</si>
  <si>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</si>
  <si>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</si>
  <si>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</si>
  <si>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</si>
  <si>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</si>
  <si>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</si>
  <si>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</si>
  <si>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</si>
  <si>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</si>
  <si>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</si>
  <si>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</si>
  <si>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</si>
  <si>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</si>
  <si>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</si>
  <si>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</si>
  <si>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</si>
  <si>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</si>
  <si>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</si>
  <si>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</si>
  <si>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</si>
  <si>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</si>
  <si>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</si>
  <si>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</si>
  <si>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</si>
  <si>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</si>
  <si>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</si>
  <si>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</si>
  <si>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</si>
  <si>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</si>
  <si>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</si>
  <si>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</si>
  <si>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</si>
  <si>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</si>
  <si>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</si>
  <si>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</si>
  <si>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</si>
  <si>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</si>
  <si>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</si>
  <si>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</si>
  <si>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</si>
  <si>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</si>
  <si>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</si>
  <si>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</si>
  <si>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</si>
  <si>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</si>
  <si>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</si>
  <si>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</si>
  <si>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</si>
  <si>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</si>
  <si>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</si>
  <si>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</si>
  <si>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</si>
  <si>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</si>
  <si>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</si>
  <si>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</si>
  <si>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</si>
  <si>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</si>
  <si>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</si>
  <si>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</si>
  <si>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</si>
  <si>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</si>
  <si>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</si>
  <si>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</si>
  <si>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</si>
  <si>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</si>
  <si>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</si>
  <si>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</si>
  <si>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</si>
  <si>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</si>
  <si>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</si>
  <si>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</si>
  <si>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</si>
  <si>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</si>
  <si>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</si>
  <si>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</si>
  <si>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</si>
  <si>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</si>
  <si>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</si>
  <si>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</si>
  <si>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</si>
  <si>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</si>
  <si>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</si>
  <si>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</si>
  <si>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</si>
  <si>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</si>
  <si>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</si>
  <si>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</si>
  <si>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</si>
  <si>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</si>
  <si>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</si>
  <si>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</si>
  <si>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</si>
  <si>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</si>
  <si>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</si>
  <si>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</si>
  <si>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</si>
  <si>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</si>
  <si>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</si>
  <si>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</si>
  <si>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</si>
  <si>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</si>
  <si>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</si>
  <si>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</si>
  <si>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</si>
  <si>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</si>
  <si>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</si>
  <si>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</si>
  <si>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</si>
  <si>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</si>
  <si>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</si>
  <si>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</si>
  <si>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</si>
  <si>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</si>
  <si>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</si>
  <si>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</si>
  <si>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</si>
  <si>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</si>
  <si>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</si>
  <si>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</si>
  <si>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</si>
  <si>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</si>
  <si>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</si>
  <si>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</si>
  <si>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</si>
  <si>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</si>
  <si>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</si>
  <si>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</si>
  <si>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</si>
  <si>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</si>
  <si>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</si>
  <si>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</si>
  <si>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</si>
  <si>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</si>
  <si>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</si>
  <si>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</si>
  <si>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</si>
  <si>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</si>
  <si>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</si>
  <si>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</si>
  <si>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</si>
  <si>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</si>
  <si>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</si>
  <si>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</si>
  <si>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</si>
  <si>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</si>
  <si>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</si>
  <si>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</si>
  <si>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</si>
  <si>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</si>
  <si>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</si>
  <si>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</si>
  <si>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</si>
  <si>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</si>
  <si>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</si>
  <si>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</si>
  <si>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</si>
  <si>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</si>
  <si>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</si>
  <si>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</si>
  <si>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</si>
  <si>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</si>
  <si>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</si>
  <si>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</si>
  <si>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</si>
  <si>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</si>
  <si>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</si>
  <si>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</si>
  <si>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</si>
  <si>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</si>
  <si>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</si>
  <si>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</si>
  <si>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</si>
  <si>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</si>
  <si>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</si>
  <si>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</si>
  <si>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</si>
  <si>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</si>
  <si>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</si>
  <si>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</si>
  <si>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</si>
  <si>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</si>
  <si>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</si>
  <si>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</si>
  <si>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</si>
  <si>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</si>
  <si>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</si>
  <si>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</si>
  <si>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</si>
  <si>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</si>
  <si>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</si>
  <si>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</si>
  <si>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</si>
  <si>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</si>
  <si>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</si>
  <si>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</si>
  <si>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</si>
  <si>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</si>
  <si>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</si>
  <si>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</si>
  <si>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</si>
  <si>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</si>
  <si>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</si>
  <si>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</si>
  <si>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</si>
  <si>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</si>
  <si>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</si>
  <si>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</si>
  <si>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</si>
  <si>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</si>
  <si>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</si>
  <si>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</si>
  <si>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</si>
  <si>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</si>
  <si>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</si>
  <si>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</si>
  <si>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</si>
  <si>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</si>
  <si>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</si>
  <si>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</si>
  <si>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</si>
  <si>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</si>
  <si>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</si>
  <si>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</si>
  <si>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</si>
  <si>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</si>
  <si>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</si>
  <si>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</si>
  <si>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</si>
  <si>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</si>
  <si>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</si>
  <si>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</si>
  <si>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</si>
  <si>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</si>
  <si>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</si>
  <si>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</si>
  <si>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</si>
  <si>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</si>
  <si>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</si>
  <si>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</si>
  <si>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</si>
  <si>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</si>
  <si>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</si>
  <si>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</si>
  <si>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</si>
  <si>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</si>
  <si>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</si>
  <si>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</si>
  <si>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</si>
  <si>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</si>
  <si>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</si>
  <si>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</si>
  <si>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</si>
  <si>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</si>
  <si>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</si>
  <si>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</si>
  <si>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</si>
  <si>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Master Key</t>
  </si>
  <si>
    <t>Source: National Transit Database. Retrieved in January 2024 from https://www.transit.dot.gov/ntd/transit-agency-profiles/metropolitan-transit-authority-harris-county-texas</t>
  </si>
  <si>
    <t>ADT_YEAR</t>
  </si>
  <si>
    <t>ADT_CUR</t>
  </si>
  <si>
    <t>TRK_AADT_P</t>
  </si>
  <si>
    <t>PCT_SADT</t>
  </si>
  <si>
    <t>AADT_TRUCK</t>
  </si>
  <si>
    <t>LEN_Mile</t>
  </si>
  <si>
    <t>Weighted TRK_AADT_P</t>
  </si>
  <si>
    <t>DESGN_YR</t>
  </si>
  <si>
    <t>AADT_DESGN</t>
  </si>
  <si>
    <t>INCRS_FCTR</t>
  </si>
  <si>
    <t>INCRS_FC_1</t>
  </si>
  <si>
    <t>Weighted Growth Factor</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</si>
  <si>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</si>
  <si>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</si>
  <si>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</si>
  <si>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</si>
  <si>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</si>
  <si>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</si>
  <si>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</si>
  <si>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</si>
  <si>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</si>
  <si>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</si>
  <si>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</si>
  <si>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</si>
  <si>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</si>
  <si>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</si>
  <si>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</si>
  <si>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</si>
  <si>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</si>
  <si>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</si>
  <si>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</si>
  <si>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</si>
  <si>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</si>
  <si>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</si>
  <si>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</si>
  <si>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</si>
  <si>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</si>
  <si>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</si>
  <si>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</si>
  <si>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</si>
  <si>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</si>
  <si>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</si>
  <si>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</si>
  <si>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</si>
  <si>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</si>
  <si>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</si>
  <si>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</si>
  <si>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</si>
  <si>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</si>
  <si>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</si>
  <si>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</si>
  <si>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</si>
  <si>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</si>
  <si>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</si>
  <si>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</si>
  <si>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</si>
  <si>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</si>
  <si>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</si>
  <si>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</si>
  <si>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</si>
  <si>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</si>
  <si>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</si>
  <si>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</si>
  <si>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</si>
  <si>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</si>
  <si>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</si>
  <si>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</si>
  <si>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</si>
  <si>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</si>
  <si>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</si>
  <si>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</si>
  <si>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</si>
  <si>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</si>
  <si>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</si>
  <si>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</si>
  <si>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</si>
  <si>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</si>
  <si>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</si>
  <si>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</si>
  <si>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</si>
  <si>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</si>
  <si>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</si>
  <si>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</si>
  <si>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</si>
  <si>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</si>
  <si>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</si>
  <si>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</si>
  <si>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</si>
  <si>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</si>
  <si>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</si>
  <si>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</si>
  <si>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</si>
  <si>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</si>
  <si>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</si>
  <si>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</si>
  <si>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</si>
  <si>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</si>
  <si>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</si>
  <si>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</si>
  <si>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</si>
  <si>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</si>
  <si>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</si>
  <si>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</si>
  <si>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</si>
  <si>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</si>
  <si>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</si>
  <si>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</si>
  <si>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</si>
  <si>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</si>
  <si>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</si>
  <si>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</si>
  <si>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</si>
  <si>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</si>
  <si>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</si>
  <si>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</si>
  <si>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</si>
  <si>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</si>
  <si>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</si>
  <si>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</si>
  <si>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</si>
  <si>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</si>
  <si>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</si>
  <si>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</si>
  <si>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</si>
  <si>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</si>
  <si>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</si>
  <si>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</si>
  <si>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</si>
  <si>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</si>
  <si>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</si>
  <si>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</si>
  <si>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</si>
  <si>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</si>
  <si>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</si>
  <si>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</si>
  <si>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</si>
  <si>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</si>
  <si>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</si>
  <si>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</si>
  <si>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</si>
  <si>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</si>
  <si>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</si>
  <si>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</si>
  <si>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</si>
  <si>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</si>
  <si>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</si>
  <si>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</si>
  <si>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Curve_Type_ID</t>
  </si>
  <si>
    <t>Curve_Lngth</t>
  </si>
  <si>
    <t>Cd_Degr</t>
  </si>
  <si>
    <t>Delta_Left_Right_ID</t>
  </si>
  <si>
    <t>Dd_Degr</t>
  </si>
  <si>
    <t>Feature_Crossed</t>
  </si>
  <si>
    <t>Structure_Number</t>
  </si>
  <si>
    <t>I_R_Min_Vert_Clear</t>
  </si>
  <si>
    <t>Approach_Width</t>
  </si>
  <si>
    <t>Bridge_Median_ID</t>
  </si>
  <si>
    <t>Bridge_Loading_Type_ID</t>
  </si>
  <si>
    <t>Bridge_Loading_In_1000_Lbs</t>
  </si>
  <si>
    <t>Bridge_Srvc_Type_On_ID</t>
  </si>
  <si>
    <t>Bridge_Srvc_Type_Under_ID</t>
  </si>
  <si>
    <t>Culvert_Type_ID</t>
  </si>
  <si>
    <t>Roadway_Width</t>
  </si>
  <si>
    <t>Deck_Width</t>
  </si>
  <si>
    <t>Bridge_Dir_Of_Traffic_ID</t>
  </si>
  <si>
    <t>Bridge_Rte_Struct_Func_ID</t>
  </si>
  <si>
    <t>Bridge_IR_Struct_Func_ID</t>
  </si>
  <si>
    <t>CrossingNumber</t>
  </si>
  <si>
    <t>RRCo</t>
  </si>
  <si>
    <t>Poscrossing_ID</t>
  </si>
  <si>
    <t>WDCode_ID</t>
  </si>
  <si>
    <t>Standstop</t>
  </si>
  <si>
    <t>Yield</t>
  </si>
  <si>
    <t>Sus_Serious_Injry_Cnt</t>
  </si>
  <si>
    <t>Tot_Injry_Cnt</t>
  </si>
  <si>
    <t>MPO_ID</t>
  </si>
  <si>
    <t>Investigat_Service_ID</t>
  </si>
  <si>
    <t>Investigat_DA_ID</t>
  </si>
  <si>
    <t>Investigator_Narrative</t>
  </si>
  <si>
    <t>PDO_Crash</t>
  </si>
  <si>
    <t>Crash_Year</t>
  </si>
  <si>
    <t>Point</t>
  </si>
  <si>
    <t>N</t>
  </si>
  <si>
    <t>&lt;Null&gt;</t>
  </si>
  <si>
    <t>WHEELER</t>
  </si>
  <si>
    <t>ST</t>
  </si>
  <si>
    <t>Y</t>
  </si>
  <si>
    <t>SAN JACINTO</t>
  </si>
  <si>
    <t>DISPATCH</t>
  </si>
  <si>
    <t>TXHPD0000</t>
  </si>
  <si>
    <t>WHEELER ST</t>
  </si>
  <si>
    <t>SAN JACINTO ST</t>
  </si>
  <si>
    <t>SAT</t>
  </si>
  <si>
    <t>FSRA</t>
  </si>
  <si>
    <t>AVE</t>
  </si>
  <si>
    <t>DISPATCHED</t>
  </si>
  <si>
    <t>TUE</t>
  </si>
  <si>
    <t>0038787919E</t>
  </si>
  <si>
    <t>CONCRETE</t>
  </si>
  <si>
    <t>THU</t>
  </si>
  <si>
    <t>0041849920X</t>
  </si>
  <si>
    <t>0118830120R</t>
  </si>
  <si>
    <t>MON</t>
  </si>
  <si>
    <t>FSGI</t>
  </si>
  <si>
    <t>CAROLINE</t>
  </si>
  <si>
    <t>CAROLINE ST</t>
  </si>
  <si>
    <t>SUN</t>
  </si>
  <si>
    <t>HPD DISPATCH</t>
  </si>
  <si>
    <t>0074737819B</t>
  </si>
  <si>
    <t>0146727019F</t>
  </si>
  <si>
    <t>0118800221F</t>
  </si>
  <si>
    <t>DISPATCEHD</t>
  </si>
  <si>
    <t>0133444821T</t>
  </si>
  <si>
    <t>BARBEE</t>
  </si>
  <si>
    <t>BARBEE ST</t>
  </si>
  <si>
    <t>WED</t>
  </si>
  <si>
    <t>BLODGETT</t>
  </si>
  <si>
    <t>BLODGETT ST</t>
  </si>
  <si>
    <t>FRI</t>
  </si>
  <si>
    <t>FWY</t>
  </si>
  <si>
    <t>WALK IN</t>
  </si>
  <si>
    <t>AUSTIN</t>
  </si>
  <si>
    <t>AUSTIN ST</t>
  </si>
  <si>
    <t>CITY STREET</t>
  </si>
  <si>
    <t>ON-VIEW</t>
  </si>
  <si>
    <t>DRY CONCRETE</t>
  </si>
  <si>
    <t>CEMENT</t>
  </si>
  <si>
    <t>RADIO DISPATCHED</t>
  </si>
  <si>
    <t>TX1015700</t>
  </si>
  <si>
    <t>S</t>
  </si>
  <si>
    <t>SOUTHWEST</t>
  </si>
  <si>
    <t>0009746719M</t>
  </si>
  <si>
    <t>0025136019L</t>
  </si>
  <si>
    <t>030110719U</t>
  </si>
  <si>
    <t>0034508419F</t>
  </si>
  <si>
    <t>VOLUNTEERED</t>
  </si>
  <si>
    <t>0035140819L</t>
  </si>
  <si>
    <t>0037972919S</t>
  </si>
  <si>
    <t>PAVED</t>
  </si>
  <si>
    <t>DISPACTHED</t>
  </si>
  <si>
    <t>0039643119C</t>
  </si>
  <si>
    <t>DISPATCHER</t>
  </si>
  <si>
    <t>0042350919O</t>
  </si>
  <si>
    <t>DIPATCHED</t>
  </si>
  <si>
    <t>0044424219Z</t>
  </si>
  <si>
    <t>0043844919E</t>
  </si>
  <si>
    <t>CONCRETE STREET</t>
  </si>
  <si>
    <t>0049613319U</t>
  </si>
  <si>
    <t>PAVED ROAD</t>
  </si>
  <si>
    <t>E</t>
  </si>
  <si>
    <t>0046311319U</t>
  </si>
  <si>
    <t>0045324419F</t>
  </si>
  <si>
    <t>POLICE DISPATCH</t>
  </si>
  <si>
    <t>ON VIEW</t>
  </si>
  <si>
    <t>0053582419J</t>
  </si>
  <si>
    <t>0055227619D</t>
  </si>
  <si>
    <t>0060134019F</t>
  </si>
  <si>
    <t>0060587719S</t>
  </si>
  <si>
    <t>0061769619H</t>
  </si>
  <si>
    <t>0072126819V</t>
  </si>
  <si>
    <t>0088157019H</t>
  </si>
  <si>
    <t>0091466219B</t>
  </si>
  <si>
    <t>0091478319S</t>
  </si>
  <si>
    <t>097090319E</t>
  </si>
  <si>
    <t>098985919G</t>
  </si>
  <si>
    <t>0101401919M</t>
  </si>
  <si>
    <t>0101188519K</t>
  </si>
  <si>
    <t>0107106919S</t>
  </si>
  <si>
    <t>0113970019J</t>
  </si>
  <si>
    <t>CONSTRUCTION</t>
  </si>
  <si>
    <t>LA BRANCH</t>
  </si>
  <si>
    <t>0140266419J</t>
  </si>
  <si>
    <t>0140253219H</t>
  </si>
  <si>
    <t>0147083619J</t>
  </si>
  <si>
    <t>STREET</t>
  </si>
  <si>
    <t>0153892519E</t>
  </si>
  <si>
    <t>CEMENT STREET</t>
  </si>
  <si>
    <t>0167210219J</t>
  </si>
  <si>
    <t>0167875519G</t>
  </si>
  <si>
    <t>0003116120H</t>
  </si>
  <si>
    <t>0012970520L</t>
  </si>
  <si>
    <t>CONCRETE/WET</t>
  </si>
  <si>
    <t>020315720N</t>
  </si>
  <si>
    <t>0025538320F</t>
  </si>
  <si>
    <t>0027500620Y</t>
  </si>
  <si>
    <t>FLAT/DRY/CONCRETE</t>
  </si>
  <si>
    <t>0073453820G</t>
  </si>
  <si>
    <t>WALK IN REPORT</t>
  </si>
  <si>
    <t>0080038320T</t>
  </si>
  <si>
    <t>CONCERETE</t>
  </si>
  <si>
    <t>0080508320N</t>
  </si>
  <si>
    <t>0085665620C</t>
  </si>
  <si>
    <t>0097697920X</t>
  </si>
  <si>
    <t>0113936020I</t>
  </si>
  <si>
    <t>RD</t>
  </si>
  <si>
    <t>0119087220O</t>
  </si>
  <si>
    <t>LOCAL ROAD</t>
  </si>
  <si>
    <t>0133564620U</t>
  </si>
  <si>
    <t>0137455320F</t>
  </si>
  <si>
    <t>FANNIN</t>
  </si>
  <si>
    <t>0139487120R</t>
  </si>
  <si>
    <t>W</t>
  </si>
  <si>
    <t>FRONT DESK</t>
  </si>
  <si>
    <t>0137978920P</t>
  </si>
  <si>
    <t>0155350020U</t>
  </si>
  <si>
    <t>0163407720X</t>
  </si>
  <si>
    <t>0032390121O</t>
  </si>
  <si>
    <t>PAVE ROAD</t>
  </si>
  <si>
    <t>0035642321K</t>
  </si>
  <si>
    <t>0040973021R</t>
  </si>
  <si>
    <t>0049460721E</t>
  </si>
  <si>
    <t>0069903321S</t>
  </si>
  <si>
    <t>0078265221V</t>
  </si>
  <si>
    <t>0098862221T</t>
  </si>
  <si>
    <t>0101079421N</t>
  </si>
  <si>
    <t>0103877521S</t>
  </si>
  <si>
    <t>0149796421V</t>
  </si>
  <si>
    <t>0149789021Z</t>
  </si>
  <si>
    <t>BLOGETT</t>
  </si>
  <si>
    <t>0159705621B</t>
  </si>
  <si>
    <t>0161523521G</t>
  </si>
  <si>
    <t>0169216521C</t>
  </si>
  <si>
    <t>0001063122T</t>
  </si>
  <si>
    <t>0003311722P</t>
  </si>
  <si>
    <t>ONVIEW</t>
  </si>
  <si>
    <t>0030550122X</t>
  </si>
  <si>
    <t>0040046822M</t>
  </si>
  <si>
    <t>TWO WAY DIVIDED PAVED</t>
  </si>
  <si>
    <t>0045871122P</t>
  </si>
  <si>
    <t>0055869922H</t>
  </si>
  <si>
    <t>0056508822A</t>
  </si>
  <si>
    <t>0056749422O</t>
  </si>
  <si>
    <t>0090082322X</t>
  </si>
  <si>
    <t>0094360522J</t>
  </si>
  <si>
    <t>0096883322R</t>
  </si>
  <si>
    <t>0087445222Q</t>
  </si>
  <si>
    <t>0113156022K</t>
  </si>
  <si>
    <t>0114042822M</t>
  </si>
  <si>
    <t>ONCRETE</t>
  </si>
  <si>
    <t>0114810222Q</t>
  </si>
  <si>
    <t>WALK-IN</t>
  </si>
  <si>
    <t>0116028122B</t>
  </si>
  <si>
    <t>0120698422I</t>
  </si>
  <si>
    <t>BLODGETTE</t>
  </si>
  <si>
    <t>0125086122X</t>
  </si>
  <si>
    <t>0131648522X</t>
  </si>
  <si>
    <t>0134557022O</t>
  </si>
  <si>
    <t>0148500722N</t>
  </si>
  <si>
    <t>0139538922R</t>
  </si>
  <si>
    <t>0144711022Y</t>
  </si>
  <si>
    <t>HOUSTON DISPATCH</t>
  </si>
  <si>
    <t>0167378922J</t>
  </si>
  <si>
    <t>Column Labels</t>
  </si>
  <si>
    <t>Grand Total</t>
  </si>
  <si>
    <t>Sum of Non_Injry_Cnt</t>
  </si>
  <si>
    <t>Sum of Poss_Injry_Cnt</t>
  </si>
  <si>
    <t>Sum of Nonincap_Injry_Cnt</t>
  </si>
  <si>
    <t>Sum of Sus_Serious_Injry_Cnt</t>
  </si>
  <si>
    <t>Sum of Death_Cnt</t>
  </si>
  <si>
    <t>Values</t>
  </si>
  <si>
    <t>Sum of Unkn_Injry_Cnt</t>
  </si>
  <si>
    <t>Crash Reduction Factor for Countermeasure #1 - MEDIAN TREATMENT FOR PED/BIKE SAFETY</t>
  </si>
  <si>
    <t>Crash Reduction Factor for Countermeasure #1 - Installation of a cycle track with a median 2 meters away from a roadway</t>
  </si>
  <si>
    <t>Crash Modification Factors Clearinghouse. https://www.cmfclearinghouse.org/detail.php?facid=4034</t>
  </si>
  <si>
    <t>Crash Modification Factors Clearinghouse. https://www.cmfclearinghouse.org/detail.php?facid=9120</t>
  </si>
  <si>
    <t>Bike ridership increase due to project</t>
  </si>
  <si>
    <t>Source: Neighborhood
Access &amp; Equity
Grant Application
DOT-NAE-FY23-01</t>
  </si>
  <si>
    <t>Source: METRO 2021 Ridership.</t>
  </si>
  <si>
    <t>WHEELER AVE @ SAN JACINTO ST</t>
  </si>
  <si>
    <t>- 25 -</t>
  </si>
  <si>
    <t>15% Estimate from Construction Cost</t>
  </si>
  <si>
    <t>Construction Cost</t>
  </si>
  <si>
    <t>Estimate</t>
  </si>
  <si>
    <t>$2022 Real Dollars</t>
  </si>
  <si>
    <t>3.1% Discount</t>
  </si>
  <si>
    <t>Nominal $</t>
  </si>
  <si>
    <t>Year of Expenditure</t>
  </si>
  <si>
    <t>Real $</t>
  </si>
  <si>
    <t>Project Costs</t>
  </si>
  <si>
    <t>Segment</t>
  </si>
  <si>
    <t>Wheeler Street</t>
  </si>
  <si>
    <t>Caroline Street</t>
  </si>
  <si>
    <t>Corridor Length</t>
  </si>
  <si>
    <t>Daily Induced Demand</t>
  </si>
  <si>
    <t>Daily VMT Reduced</t>
  </si>
  <si>
    <t>Pedestrian</t>
  </si>
  <si>
    <t>Bike</t>
  </si>
  <si>
    <t>Useful Life Calculation</t>
  </si>
  <si>
    <t xml:space="preserve">(x) Remaining Life at End of Planning Horizon </t>
  </si>
  <si>
    <t xml:space="preserve">Total in Real $ </t>
  </si>
  <si>
    <t>Total Monetized Benefit Real $ (No Build – Build)</t>
  </si>
  <si>
    <t>Total Monetized Benefit Discounted @ 3.1% (No Build – Build)</t>
  </si>
  <si>
    <t>Safety – Pedestrian Monetized Benefits</t>
  </si>
  <si>
    <t>Countermeasure #1 - Median Treatment for Ped/Bike Safety</t>
  </si>
  <si>
    <t>Total in Real $</t>
  </si>
  <si>
    <t>Safety – Bicycle Monetized Benefits</t>
  </si>
  <si>
    <t xml:space="preserve">Safety – Total Benefits </t>
  </si>
  <si>
    <t xml:space="preserve">Pedestrian </t>
  </si>
  <si>
    <t>Bicycle</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</si>
  <si>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</si>
  <si>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</si>
  <si>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</si>
  <si>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Facility Improvements Calculation</t>
  </si>
  <si>
    <t>Pedestrian Facility</t>
  </si>
  <si>
    <t>Bike Facility</t>
  </si>
  <si>
    <t>Mortality Reduction Calculation</t>
  </si>
  <si>
    <t>Other Externalities Calculation</t>
  </si>
  <si>
    <t>Congestion Externality</t>
  </si>
  <si>
    <t>Noise Externality</t>
  </si>
  <si>
    <t>$2022 Monetized</t>
  </si>
  <si>
    <t xml:space="preserve">$2022 Real Dollars </t>
  </si>
  <si>
    <t>3.1% Discount Rate</t>
  </si>
  <si>
    <t>Design/Environmental Cost (15%)</t>
  </si>
  <si>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</si>
  <si>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</si>
  <si>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</si>
  <si>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</si>
  <si>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</si>
  <si>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</si>
  <si>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</si>
  <si>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</si>
  <si>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</si>
  <si>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</si>
  <si>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</si>
  <si>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Unit_Count</t>
  </si>
  <si>
    <t>Ped_Relat</t>
  </si>
  <si>
    <t>Bike_Relat</t>
  </si>
  <si>
    <t>CF_1_ID</t>
  </si>
  <si>
    <t>CF_2_ID</t>
  </si>
  <si>
    <t>CF_3_ID</t>
  </si>
  <si>
    <t>CF_P1_ID</t>
  </si>
  <si>
    <t>CF_P2_ID</t>
  </si>
  <si>
    <t>0.0, 65.0</t>
  </si>
  <si>
    <t>nan, nan</t>
  </si>
  <si>
    <t>35.0, 0.0</t>
  </si>
  <si>
    <t>16.0, 0.0</t>
  </si>
  <si>
    <t>15.0, 15.0</t>
  </si>
  <si>
    <t>65.0, 0.0</t>
  </si>
  <si>
    <t>22.0, 0.0, 0.0</t>
  </si>
  <si>
    <t>nan, nan, nan</t>
  </si>
  <si>
    <t>74.0, 0.0</t>
  </si>
  <si>
    <t>0.0, 35.0</t>
  </si>
  <si>
    <t>nan, 0.0, 0.0</t>
  </si>
  <si>
    <t>22.0, nan, nan</t>
  </si>
  <si>
    <t>15.0, 0.0</t>
  </si>
  <si>
    <t>0.0, 15.0</t>
  </si>
  <si>
    <t>71.0, 0.0</t>
  </si>
  <si>
    <t>0.0, 23.0</t>
  </si>
  <si>
    <t>0.0, nan</t>
  </si>
  <si>
    <t>nan, 16.0</t>
  </si>
  <si>
    <t>nan, 20.0</t>
  </si>
  <si>
    <t>0.0, 16.0</t>
  </si>
  <si>
    <t>0080460723I</t>
  </si>
  <si>
    <t>0138189623T</t>
  </si>
  <si>
    <t>4.0, 0.0</t>
  </si>
  <si>
    <t>0163077223X</t>
  </si>
  <si>
    <t>0.0, 74.0</t>
  </si>
  <si>
    <t>35.0, 0.0, 0.0</t>
  </si>
  <si>
    <t>nan, 35.0</t>
  </si>
  <si>
    <t>0.0, 29.0</t>
  </si>
  <si>
    <t>22-14898</t>
  </si>
  <si>
    <t>District 9</t>
  </si>
  <si>
    <t>RICHMOND</t>
  </si>
  <si>
    <t>PKWY</t>
  </si>
  <si>
    <t>TX0790000</t>
  </si>
  <si>
    <t>nan</t>
  </si>
  <si>
    <t>36.0, 59.0</t>
  </si>
  <si>
    <t>37.0, 0.0</t>
  </si>
  <si>
    <t>0080690423R</t>
  </si>
  <si>
    <t>0162629923W</t>
  </si>
  <si>
    <t>WET CONCRETE</t>
  </si>
  <si>
    <t>23.0, 0.0</t>
  </si>
  <si>
    <t>0040095022A</t>
  </si>
  <si>
    <t>SOUTHWEST FREEWAY TRAVIS</t>
  </si>
  <si>
    <t>CONCRETE SERVICE RD</t>
  </si>
  <si>
    <t>IH</t>
  </si>
  <si>
    <t>IH0069</t>
  </si>
  <si>
    <t>SH</t>
  </si>
  <si>
    <t>SH0288</t>
  </si>
  <si>
    <t>17.0, 0.0</t>
  </si>
  <si>
    <t>22-21649</t>
  </si>
  <si>
    <t>District 3</t>
  </si>
  <si>
    <t>22.0, 0.0</t>
  </si>
  <si>
    <t>0154502422W</t>
  </si>
  <si>
    <t>STATE HIGHWAY</t>
  </si>
  <si>
    <t>20-43153</t>
  </si>
  <si>
    <t>District 1</t>
  </si>
  <si>
    <t>0158004520T</t>
  </si>
  <si>
    <t>1902-05265</t>
  </si>
  <si>
    <t>MAIN</t>
  </si>
  <si>
    <t>TX1010000</t>
  </si>
  <si>
    <t>22.0, 4.0</t>
  </si>
  <si>
    <t>0024908219V</t>
  </si>
  <si>
    <t>EMANCIPATION</t>
  </si>
  <si>
    <t>20.0, 20.0</t>
  </si>
  <si>
    <t>19-40559</t>
  </si>
  <si>
    <t>ONE WAY SERVICE ROAD</t>
  </si>
  <si>
    <t>63.0, 23.0</t>
  </si>
  <si>
    <t>0083241123S</t>
  </si>
  <si>
    <t>DR</t>
  </si>
  <si>
    <t>CONCRET</t>
  </si>
  <si>
    <t>0106079623T</t>
  </si>
  <si>
    <t>4.0, 0.0, 0.0</t>
  </si>
  <si>
    <t>0033226223F</t>
  </si>
  <si>
    <t>29.0, 0.0</t>
  </si>
  <si>
    <t>nan, 38.0</t>
  </si>
  <si>
    <t>74.0, 74.0</t>
  </si>
  <si>
    <t>37.0, 59.0</t>
  </si>
  <si>
    <t>0.0, 4.0</t>
  </si>
  <si>
    <t>33.0, 0.0</t>
  </si>
  <si>
    <t>0082270423J</t>
  </si>
  <si>
    <t>CONCRTE</t>
  </si>
  <si>
    <t>SOUTHWEST FWY</t>
  </si>
  <si>
    <t>23.0, 0.0, 0.0, 0.0</t>
  </si>
  <si>
    <t>nan, nan, nan, nan</t>
  </si>
  <si>
    <t>0088762523I</t>
  </si>
  <si>
    <t>0017269223X</t>
  </si>
  <si>
    <t>WAVED DOWN</t>
  </si>
  <si>
    <t>018398223D</t>
  </si>
  <si>
    <t>0.0, 37.0</t>
  </si>
  <si>
    <t>0154471923E</t>
  </si>
  <si>
    <t>NW</t>
  </si>
  <si>
    <t>0.0, 66.0</t>
  </si>
  <si>
    <t>20.0, 0.0</t>
  </si>
  <si>
    <t>nan, 74.0</t>
  </si>
  <si>
    <t>0.0, 33.0, 0.0</t>
  </si>
  <si>
    <t>nan, 0.0</t>
  </si>
  <si>
    <t>20.0, nan</t>
  </si>
  <si>
    <t>66.0, 0.0</t>
  </si>
  <si>
    <t>0064634023D</t>
  </si>
  <si>
    <t>65.0, 0.0, 0.0</t>
  </si>
  <si>
    <t>0011308023D</t>
  </si>
  <si>
    <t>0160044623N</t>
  </si>
  <si>
    <t>0.0, 20.0</t>
  </si>
  <si>
    <t>nan, 71.0</t>
  </si>
  <si>
    <t>23.0, nan</t>
  </si>
  <si>
    <t>nan, 26.0</t>
  </si>
  <si>
    <t>71.0, nan</t>
  </si>
  <si>
    <t>38.0, 0.0</t>
  </si>
  <si>
    <t>0022575723W</t>
  </si>
  <si>
    <t>0.0, 71.0</t>
  </si>
  <si>
    <t>74.0, 0.0, 0.0</t>
  </si>
  <si>
    <t>0114036423B</t>
  </si>
  <si>
    <t>0049556522B</t>
  </si>
  <si>
    <t>0066746122L</t>
  </si>
  <si>
    <t>MULTLANE DIVIDED FREEWAY</t>
  </si>
  <si>
    <t>0077162622U</t>
  </si>
  <si>
    <t>CONCRETE PAVED</t>
  </si>
  <si>
    <t>0098062022A</t>
  </si>
  <si>
    <t>0099015522T</t>
  </si>
  <si>
    <t>FANNIN ST</t>
  </si>
  <si>
    <t>DISAPTCH</t>
  </si>
  <si>
    <t>0124753122V</t>
  </si>
  <si>
    <t>0162542322D</t>
  </si>
  <si>
    <t>0162762522V</t>
  </si>
  <si>
    <t>0175127222M</t>
  </si>
  <si>
    <t>0000795320R</t>
  </si>
  <si>
    <t>67.0, 0.0</t>
  </si>
  <si>
    <t>0006243120Z</t>
  </si>
  <si>
    <t>0023109620C</t>
  </si>
  <si>
    <t>0027031320L</t>
  </si>
  <si>
    <t>SOUTHWEST SER N</t>
  </si>
  <si>
    <t>0028368020O</t>
  </si>
  <si>
    <t>ALABAMA</t>
  </si>
  <si>
    <t>0042639320N</t>
  </si>
  <si>
    <t>0092655820Q</t>
  </si>
  <si>
    <t>0098912520B</t>
  </si>
  <si>
    <t>0113186420A</t>
  </si>
  <si>
    <t>4.0, 4.0</t>
  </si>
  <si>
    <t>0115844720L</t>
  </si>
  <si>
    <t>CONRETE</t>
  </si>
  <si>
    <t>0130299420Y</t>
  </si>
  <si>
    <t>4.0, nan</t>
  </si>
  <si>
    <t>0135096520Z</t>
  </si>
  <si>
    <t>0134007620E</t>
  </si>
  <si>
    <t>22.0, nan</t>
  </si>
  <si>
    <t>0151230220G</t>
  </si>
  <si>
    <t>0167366720P</t>
  </si>
  <si>
    <t>0003317419R</t>
  </si>
  <si>
    <t>0064223819F</t>
  </si>
  <si>
    <t>DRY ASPHAULTH</t>
  </si>
  <si>
    <t>MAIN STREET</t>
  </si>
  <si>
    <t>0072246819Z</t>
  </si>
  <si>
    <t>0096123919M</t>
  </si>
  <si>
    <t>1908-06652</t>
  </si>
  <si>
    <t>EB MAIN LANES</t>
  </si>
  <si>
    <t>26.0, 0.0, 0.0, 0.0, 0.0</t>
  </si>
  <si>
    <t>4.0, nan, nan, nan, nan</t>
  </si>
  <si>
    <t>nan, nan, nan, nan, nan</t>
  </si>
  <si>
    <t>0116222919W</t>
  </si>
  <si>
    <t>HIGHWAY</t>
  </si>
  <si>
    <t>19-36480</t>
  </si>
  <si>
    <t>67.0, nan</t>
  </si>
  <si>
    <t>0126140519I</t>
  </si>
  <si>
    <t>FANNIN EXIT</t>
  </si>
  <si>
    <t>19.0, nan</t>
  </si>
  <si>
    <t>0163862419T</t>
  </si>
  <si>
    <t>CONCERET</t>
  </si>
  <si>
    <t>WALK-IN-REPORT</t>
  </si>
  <si>
    <t>0046806023F</t>
  </si>
  <si>
    <t>EASTEX</t>
  </si>
  <si>
    <t>CONGRESS</t>
  </si>
  <si>
    <t>SO DISPATCHER</t>
  </si>
  <si>
    <t>0063582323Q</t>
  </si>
  <si>
    <t>0065917623V</t>
  </si>
  <si>
    <t>0070777123W</t>
  </si>
  <si>
    <t>0076637123S</t>
  </si>
  <si>
    <t>CONCRETE ROAD</t>
  </si>
  <si>
    <t>ROSEDALE</t>
  </si>
  <si>
    <t>0105186223D</t>
  </si>
  <si>
    <t>0116707923O</t>
  </si>
  <si>
    <t>23.0, 23.0</t>
  </si>
  <si>
    <t>0118786423Z</t>
  </si>
  <si>
    <t>0022722323G</t>
  </si>
  <si>
    <t>0023729923U</t>
  </si>
  <si>
    <t>0026023423X</t>
  </si>
  <si>
    <t>0038878223B</t>
  </si>
  <si>
    <t>LEXINGTON</t>
  </si>
  <si>
    <t>0159204623L</t>
  </si>
  <si>
    <t>STATION WALK IN</t>
  </si>
  <si>
    <t>0176188823V</t>
  </si>
  <si>
    <t>DRY</t>
  </si>
  <si>
    <t>0181095423Z</t>
  </si>
  <si>
    <t>LOCAL FREEWAY</t>
  </si>
  <si>
    <t>0178249623L</t>
  </si>
  <si>
    <t>0184874023H</t>
  </si>
  <si>
    <t>SW</t>
  </si>
  <si>
    <t>0184216723M</t>
  </si>
  <si>
    <t>0000687221D</t>
  </si>
  <si>
    <t>0007363921C</t>
  </si>
  <si>
    <t>nan, 0.0, 0.0, 0.0</t>
  </si>
  <si>
    <t>22.0, nan, nan, nan</t>
  </si>
  <si>
    <t>0007714321W</t>
  </si>
  <si>
    <t>0009887421R</t>
  </si>
  <si>
    <t>0003656221B</t>
  </si>
  <si>
    <t>0017922221Z</t>
  </si>
  <si>
    <t>0054771721W</t>
  </si>
  <si>
    <t>STATION</t>
  </si>
  <si>
    <t>50.0, nan</t>
  </si>
  <si>
    <t>0056631421D</t>
  </si>
  <si>
    <t>COMCRETE</t>
  </si>
  <si>
    <t>22.0, nan, 0.0</t>
  </si>
  <si>
    <t>nan, 22.0, nan</t>
  </si>
  <si>
    <t>0062948321S</t>
  </si>
  <si>
    <t>0063440021V</t>
  </si>
  <si>
    <t>0073149421F</t>
  </si>
  <si>
    <t>0097819321Q</t>
  </si>
  <si>
    <t>23.0, 0.0, 0.0, 0.0, 0.0</t>
  </si>
  <si>
    <t>0133242721A</t>
  </si>
  <si>
    <t>0144800321G</t>
  </si>
  <si>
    <t>SHEPHARD</t>
  </si>
  <si>
    <t>BLVD</t>
  </si>
  <si>
    <t>4.0, nan, nan</t>
  </si>
  <si>
    <t>211000514-C1</t>
  </si>
  <si>
    <t>TX1013100</t>
  </si>
  <si>
    <t>44.0, 0.0</t>
  </si>
  <si>
    <t>0139674521U</t>
  </si>
  <si>
    <t>0159286221T</t>
  </si>
  <si>
    <t>Countermeasure #1 - Installation of a cycle track with a median 2 meters away from a roadway</t>
  </si>
  <si>
    <t>TxDOTCMF</t>
  </si>
  <si>
    <t>(All)</t>
  </si>
  <si>
    <t>Preliminary Engineering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</si>
</sst>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b/>
      <sz val="11"/>
      <color rgb="FFFFFFFF"/>
      <name val="Calibri"/>
      <family val="2"/>
    </font>
    <font>
      <sz val="11"/>
      <color rgb="FF000000"/>
      <name val="Calibri"/>
      <family val="2"/>
    </font>
    <font>
      <b/>
      <sz val="11"/>
      <color rgb="FF000000"/>
      <name val="Calibri"/>
      <family val="2"/>
    </font>
    <font>
      <i/>
      <sz val="11"/>
      <color rgb="FF000000"/>
      <name val="Calibri"/>
      <family val="2"/>
    </font>
    <font>
      <b/>
      <sz val="9"/>
      <name val="Calibri"/>
      <family val="2"/>
    </font>
    <font>
      <sz val="7"/>
      <color rgb="FF000000"/>
      <name val="Calibri"/>
      <family val="2"/>
    </font>
    <font>
      <i/>
      <sz val="10"/>
      <color rgb="FF000000"/>
      <name val="Arial"/>
      <family val="2"/>
    </font>
    <font>
      <b/>
      <sz val="10"/>
      <color rgb="FF000000"/>
      <name val="Arial"/>
      <family val="2"/>
    </font>
    <font>
      <b/>
      <sz val="10"/>
      <color rgb="FF000000"/>
      <name val="Calibri"/>
      <family val="2"/>
    </font>
    <font>
      <b/>
      <i/>
      <sz val="14"/>
      <color rgb="FFFF0000"/>
      <name val="Arial"/>
      <family val="2"/>
    </font>
    <font>
      <b/>
      <i/>
      <sz val="10"/>
      <color rgb="FFFF0000"/>
      <name val="Arial"/>
      <family val="2"/>
    </font>
  </fonts>
  <fills count="37">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002775"/>
        <bgColor indexed="64"/>
      </patternFill>
    </fill>
    <fill>
      <patternFill patternType="solid">
        <fgColor rgb="FFFFFFFF"/>
        <bgColor indexed="64"/>
      </patternFill>
    </fill>
    <fill>
      <patternFill patternType="solid">
        <fgColor rgb="FFE7E6E6"/>
        <bgColor indexed="64"/>
      </patternFill>
    </fill>
    <fill>
      <patternFill patternType="solid">
        <fgColor rgb="FFFF0000"/>
        <bgColor indexed="64"/>
      </patternFill>
    </fill>
  </fills>
  <borders count="1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style="medium">
        <color rgb="FF5B9BD5"/>
      </top>
      <bottom style="medium">
        <color rgb="FF5B9BD5"/>
      </bottom>
      <diagonal/>
    </border>
    <border>
      <left/>
      <right style="medium">
        <color rgb="FF5B9BD5"/>
      </right>
      <top style="medium">
        <color rgb="FF5B9BD5"/>
      </top>
      <bottom/>
      <diagonal/>
    </border>
    <border>
      <left/>
      <right style="medium">
        <color rgb="FF5B9BD5"/>
      </right>
      <top/>
      <bottom style="medium">
        <color rgb="FF5B9BD5"/>
      </bottom>
      <diagonal/>
    </border>
    <border>
      <left style="medium">
        <color rgb="FF5B9BD5"/>
      </left>
      <right style="medium">
        <color rgb="FF5B9BD5"/>
      </right>
      <top/>
      <bottom/>
      <diagonal/>
    </border>
    <border>
      <left/>
      <right style="medium">
        <color rgb="FF5B9BD5"/>
      </right>
      <top/>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top/>
      <bottom style="medium">
        <color rgb="FF5B9BD5"/>
      </bottom>
      <diagonal/>
    </border>
    <border>
      <left style="medium">
        <color rgb="FF5B9BD5"/>
      </left>
      <right/>
      <top style="medium">
        <color rgb="FF5B9BD5"/>
      </top>
      <bottom style="medium">
        <color rgb="FF5B9BD5"/>
      </bottom>
      <diagonal/>
    </border>
    <border>
      <left style="medium">
        <color rgb="FFFF0000"/>
      </left>
      <right/>
      <top style="medium">
        <color rgb="FFFF0000"/>
      </top>
      <bottom/>
      <diagonal/>
    </border>
    <border>
      <left/>
      <right/>
      <top style="medium">
        <color rgb="FFFF0000"/>
      </top>
      <bottom/>
      <diagonal/>
    </border>
    <border>
      <left style="medium">
        <color rgb="FFFF0000"/>
      </left>
      <right style="medium">
        <color rgb="FF5B9BD5"/>
      </right>
      <top style="medium">
        <color rgb="FF5B9BD5"/>
      </top>
      <bottom style="medium">
        <color rgb="FF5B9BD5"/>
      </bottom>
      <diagonal/>
    </border>
    <border>
      <left style="medium">
        <color rgb="FFFF0000"/>
      </left>
      <right style="medium">
        <color rgb="FF5B9BD5"/>
      </right>
      <top/>
      <bottom style="medium">
        <color rgb="FF5B9BD5"/>
      </bottom>
      <diagonal/>
    </border>
    <border>
      <left style="medium">
        <color rgb="FFFF0000"/>
      </left>
      <right style="medium">
        <color rgb="FF5B9BD5"/>
      </right>
      <top/>
      <bottom style="double">
        <color rgb="FF5B9BD5"/>
      </bottom>
      <diagonal/>
    </border>
    <border>
      <left style="medium">
        <color rgb="FFFF0000"/>
      </left>
      <right style="medium">
        <color rgb="FF5B9BD5"/>
      </right>
      <top/>
      <bottom style="medium">
        <color rgb="FFFF0000"/>
      </bottom>
      <diagonal/>
    </border>
    <border>
      <left style="medium">
        <color rgb="FF5B9BD5"/>
      </left>
      <right/>
      <top style="medium">
        <color rgb="FF5B9BD5"/>
      </top>
      <bottom style="medium">
        <color rgb="FFFF0000"/>
      </bottom>
      <diagonal/>
    </border>
    <border>
      <left/>
      <right style="medium">
        <color rgb="FF5B9BD5"/>
      </right>
      <top style="medium">
        <color rgb="FF5B9BD5"/>
      </top>
      <bottom style="medium">
        <color rgb="FFFF0000"/>
      </bottom>
      <diagonal/>
    </border>
  </borders>
  <cellStyleXfs count="212">
    <xf numFmtId="0" fontId="0"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21" fillId="0" borderId="0"/>
    <xf numFmtId="44" fontId="22" fillId="0" borderId="0" applyFont="0" applyFill="0" applyBorder="0" applyAlignment="0" applyProtection="0"/>
    <xf numFmtId="0" fontId="23" fillId="0" borderId="0"/>
    <xf numFmtId="0" fontId="24" fillId="0" borderId="0"/>
    <xf numFmtId="9" fontId="23" fillId="0" borderId="0" applyFont="0" applyFill="0" applyBorder="0" applyAlignment="0" applyProtection="0"/>
    <xf numFmtId="9" fontId="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23" fillId="0" borderId="0" applyFont="0" applyFill="0" applyBorder="0" applyAlignment="0" applyProtection="0"/>
    <xf numFmtId="0" fontId="18"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18" fillId="0" borderId="0"/>
    <xf numFmtId="9" fontId="23" fillId="0" borderId="0" applyFont="0" applyFill="0" applyBorder="0" applyAlignment="0" applyProtection="0"/>
    <xf numFmtId="0" fontId="19" fillId="0" borderId="0"/>
    <xf numFmtId="0" fontId="29" fillId="0" borderId="0"/>
    <xf numFmtId="0" fontId="30"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35" fillId="0" borderId="0"/>
    <xf numFmtId="43" fontId="35" fillId="0" borderId="0" applyFont="0" applyFill="0" applyBorder="0" applyAlignment="0" applyProtection="0"/>
    <xf numFmtId="3" fontId="19" fillId="0" borderId="0" applyFont="0" applyFill="0" applyBorder="0" applyAlignment="0" applyProtection="0"/>
    <xf numFmtId="5" fontId="19" fillId="0" borderId="0" applyFont="0" applyFill="0" applyBorder="0" applyAlignment="0" applyProtection="0"/>
    <xf numFmtId="14" fontId="19" fillId="0" borderId="0" applyFont="0" applyFill="0" applyBorder="0" applyAlignment="0" applyProtection="0"/>
    <xf numFmtId="2" fontId="19" fillId="0" borderId="0" applyFont="0" applyFill="0" applyBorder="0" applyAlignment="0" applyProtection="0"/>
    <xf numFmtId="0" fontId="37" fillId="0" borderId="0" applyNumberFormat="0" applyFont="0" applyFill="0" applyAlignment="0" applyProtection="0"/>
    <xf numFmtId="0" fontId="38" fillId="0" borderId="0" applyNumberFormat="0" applyFont="0" applyFill="0" applyAlignment="0" applyProtection="0"/>
    <xf numFmtId="0" fontId="19" fillId="0" borderId="16" applyNumberFormat="0" applyFont="0" applyBorder="0" applyAlignment="0" applyProtection="0"/>
    <xf numFmtId="0" fontId="33" fillId="0" borderId="0"/>
    <xf numFmtId="0" fontId="44" fillId="0" borderId="0"/>
    <xf numFmtId="0" fontId="19" fillId="0" borderId="0"/>
    <xf numFmtId="44"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43" fillId="0" borderId="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16" fillId="0" borderId="0"/>
    <xf numFmtId="44" fontId="16" fillId="0" borderId="0" applyFont="0" applyFill="0" applyBorder="0" applyAlignment="0" applyProtection="0"/>
    <xf numFmtId="43" fontId="19" fillId="0" borderId="0" applyFont="0" applyFill="0" applyBorder="0" applyAlignment="0" applyProtection="0"/>
    <xf numFmtId="0" fontId="45" fillId="0" borderId="0" applyNumberFormat="0" applyFill="0" applyBorder="0" applyAlignment="0" applyProtection="0">
      <alignment vertical="top"/>
      <protection locked="0"/>
    </xf>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46" fillId="9" borderId="0" applyNumberFormat="0" applyBorder="0" applyAlignment="0" applyProtection="0"/>
    <xf numFmtId="0" fontId="47" fillId="10" borderId="20" applyNumberFormat="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3" fillId="0" borderId="0"/>
    <xf numFmtId="0" fontId="54" fillId="0" borderId="0"/>
    <xf numFmtId="9" fontId="53"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9"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7" fillId="0" borderId="0"/>
    <xf numFmtId="0" fontId="6" fillId="0" borderId="0"/>
    <xf numFmtId="43" fontId="6" fillId="0" borderId="0" applyFont="0" applyFill="0" applyBorder="0" applyAlignment="0" applyProtection="0"/>
    <xf numFmtId="0" fontId="99" fillId="0" borderId="0"/>
    <xf numFmtId="0" fontId="5" fillId="0" borderId="0"/>
    <xf numFmtId="0" fontId="4" fillId="0" borderId="0"/>
  </cellStyleXfs>
  <cellXfs count="2173">
    <xf numFmtId="0" fontId="0" fillId="0" borderId="0" xfId="0"/>
    <xf numFmtId="0" fontId="19" fillId="0" borderId="0" xfId="0" applyFont="1"/>
    <xf numFmtId="0" fontId="26" fillId="0" borderId="0" xfId="0" applyFont="1"/>
    <xf numFmtId="0" fontId="36" fillId="0" borderId="0" xfId="0" applyFont="1"/>
    <xf numFmtId="0" fontId="42" fillId="0" borderId="0" xfId="0" applyFont="1"/>
    <xf numFmtId="0" fontId="15" fillId="0" borderId="0" xfId="112"/>
    <xf numFmtId="0" fontId="28" fillId="0" borderId="0" xfId="112" applyFont="1"/>
    <xf numFmtId="0" fontId="49" fillId="0" borderId="0" xfId="112" applyFont="1"/>
    <xf numFmtId="0" fontId="15" fillId="16" borderId="2" xfId="112" applyFill="1" applyBorder="1"/>
    <xf numFmtId="10" fontId="0" fillId="0" borderId="0" xfId="114" applyNumberFormat="1" applyFont="1"/>
    <xf numFmtId="0" fontId="53" fillId="0" borderId="0" xfId="116" applyAlignment="1">
      <alignment horizontal="left" vertical="top"/>
    </xf>
    <xf numFmtId="0" fontId="0" fillId="0" borderId="0" xfId="0" applyAlignment="1">
      <alignment horizontal="center" vertical="center"/>
    </xf>
    <xf numFmtId="167" fontId="50" fillId="15" borderId="2" xfId="112" applyNumberFormat="1" applyFont="1" applyFill="1" applyBorder="1" applyProtection="1">
      <protection locked="0"/>
    </xf>
    <xf numFmtId="0" fontId="14" fillId="0" borderId="0" xfId="119"/>
    <xf numFmtId="0" fontId="28" fillId="0" borderId="0" xfId="119" applyFont="1"/>
    <xf numFmtId="0" fontId="31" fillId="5" borderId="2" xfId="119" applyFont="1" applyFill="1" applyBorder="1" applyAlignment="1">
      <alignment horizontal="center" vertical="center" wrapText="1"/>
    </xf>
    <xf numFmtId="0" fontId="41" fillId="0" borderId="0" xfId="0" applyFont="1"/>
    <xf numFmtId="0" fontId="58" fillId="0" borderId="0" xfId="0" applyFont="1"/>
    <xf numFmtId="0" fontId="41" fillId="0" borderId="0" xfId="0" applyFont="1" applyAlignment="1">
      <alignment horizontal="center"/>
    </xf>
    <xf numFmtId="164" fontId="28" fillId="6" borderId="27" xfId="26" applyNumberFormat="1" applyFont="1" applyFill="1" applyBorder="1" applyAlignment="1">
      <alignment horizontal="center" vertical="center"/>
    </xf>
    <xf numFmtId="164" fontId="28" fillId="6" borderId="26" xfId="26" applyNumberFormat="1" applyFont="1" applyFill="1" applyBorder="1" applyAlignment="1">
      <alignment horizontal="center" vertical="center"/>
    </xf>
    <xf numFmtId="0" fontId="32" fillId="0" borderId="2" xfId="119" applyFont="1" applyBorder="1" applyAlignment="1">
      <alignment horizontal="center" vertical="center"/>
    </xf>
    <xf numFmtId="0" fontId="32" fillId="0" borderId="18" xfId="119" applyFont="1" applyBorder="1" applyAlignment="1">
      <alignment horizontal="center" vertical="center"/>
    </xf>
    <xf numFmtId="2" fontId="31" fillId="6" borderId="25" xfId="26" applyNumberFormat="1" applyFont="1" applyFill="1" applyBorder="1" applyAlignment="1">
      <alignment horizontal="center" vertical="center" wrapText="1"/>
    </xf>
    <xf numFmtId="2" fontId="31" fillId="6" borderId="17" xfId="26" applyNumberFormat="1" applyFont="1" applyFill="1" applyBorder="1" applyAlignment="1">
      <alignment horizontal="center" vertical="center" wrapText="1"/>
    </xf>
    <xf numFmtId="0" fontId="32" fillId="0" borderId="2" xfId="119" applyFont="1" applyBorder="1" applyAlignment="1">
      <alignment horizontal="center" vertical="center" wrapText="1"/>
    </xf>
    <xf numFmtId="164" fontId="36" fillId="7" borderId="2" xfId="2" applyNumberFormat="1" applyFont="1" applyFill="1" applyBorder="1" applyAlignment="1">
      <alignment horizontal="center"/>
    </xf>
    <xf numFmtId="0" fontId="34" fillId="0" borderId="19" xfId="26" applyFont="1" applyBorder="1" applyAlignment="1">
      <alignment horizontal="center" vertical="center" wrapText="1"/>
    </xf>
    <xf numFmtId="0" fontId="32" fillId="20" borderId="2" xfId="119" applyFont="1" applyFill="1" applyBorder="1" applyAlignment="1">
      <alignment horizontal="center" vertical="center"/>
    </xf>
    <xf numFmtId="0" fontId="28" fillId="20" borderId="2" xfId="119" applyFont="1" applyFill="1" applyBorder="1" applyAlignment="1">
      <alignment horizontal="center" vertical="center" wrapText="1"/>
    </xf>
    <xf numFmtId="0" fontId="32" fillId="21" borderId="2" xfId="119" applyFont="1" applyFill="1" applyBorder="1" applyAlignment="1">
      <alignment horizontal="center" vertical="center"/>
    </xf>
    <xf numFmtId="0" fontId="28" fillId="21" borderId="2" xfId="119" applyFont="1" applyFill="1" applyBorder="1" applyAlignment="1">
      <alignment horizontal="center" vertical="center" wrapText="1"/>
    </xf>
    <xf numFmtId="0" fontId="31" fillId="5" borderId="18" xfId="119" applyFont="1" applyFill="1" applyBorder="1" applyAlignment="1">
      <alignment vertical="center"/>
    </xf>
    <xf numFmtId="0" fontId="27" fillId="0" borderId="0" xfId="0" applyFont="1"/>
    <xf numFmtId="0" fontId="28" fillId="0" borderId="18" xfId="119" applyFont="1" applyBorder="1" applyAlignment="1">
      <alignment horizontal="center" vertical="center"/>
    </xf>
    <xf numFmtId="0" fontId="28" fillId="20" borderId="2" xfId="119" applyFont="1" applyFill="1" applyBorder="1" applyAlignment="1">
      <alignment horizontal="center" vertical="center"/>
    </xf>
    <xf numFmtId="0" fontId="28" fillId="21" borderId="2" xfId="119" applyFont="1" applyFill="1" applyBorder="1" applyAlignment="1">
      <alignment horizontal="center" vertical="center"/>
    </xf>
    <xf numFmtId="164" fontId="26" fillId="7" borderId="2" xfId="2" applyNumberFormat="1" applyFont="1" applyFill="1" applyBorder="1" applyAlignment="1">
      <alignment horizontal="center"/>
    </xf>
    <xf numFmtId="164" fontId="26" fillId="7" borderId="15" xfId="2" applyNumberFormat="1" applyFont="1" applyFill="1" applyBorder="1" applyAlignment="1">
      <alignment horizontal="center"/>
    </xf>
    <xf numFmtId="0" fontId="0" fillId="0" borderId="2" xfId="0" applyBorder="1"/>
    <xf numFmtId="164" fontId="26" fillId="13" borderId="2" xfId="0" applyNumberFormat="1" applyFont="1" applyFill="1" applyBorder="1" applyAlignment="1" applyProtection="1">
      <alignment horizontal="center"/>
      <protection locked="0"/>
    </xf>
    <xf numFmtId="0" fontId="36" fillId="0" borderId="0" xfId="0" applyFont="1" applyAlignment="1">
      <alignment horizontal="center"/>
    </xf>
    <xf numFmtId="164" fontId="31" fillId="19" borderId="0" xfId="0" applyNumberFormat="1" applyFont="1" applyFill="1" applyAlignment="1">
      <alignment horizontal="left" vertical="center"/>
    </xf>
    <xf numFmtId="0" fontId="64" fillId="0" borderId="0" xfId="0" applyFont="1" applyAlignment="1">
      <alignment horizontal="left" vertical="center" readingOrder="1"/>
    </xf>
    <xf numFmtId="0" fontId="36" fillId="2" borderId="0" xfId="0" applyFont="1" applyFill="1" applyAlignment="1">
      <alignment horizontal="center"/>
    </xf>
    <xf numFmtId="0" fontId="65" fillId="0" borderId="0" xfId="0" applyFont="1" applyAlignment="1">
      <alignment horizontal="center"/>
    </xf>
    <xf numFmtId="0" fontId="36" fillId="3" borderId="0" xfId="0" applyFont="1" applyFill="1" applyAlignment="1">
      <alignment horizontal="center"/>
    </xf>
    <xf numFmtId="0" fontId="36" fillId="8" borderId="0" xfId="0" applyFont="1" applyFill="1" applyAlignment="1">
      <alignment horizontal="center"/>
    </xf>
    <xf numFmtId="0" fontId="36" fillId="12" borderId="0" xfId="0" applyFont="1" applyFill="1" applyAlignment="1">
      <alignment horizontal="center"/>
    </xf>
    <xf numFmtId="164" fontId="39" fillId="0" borderId="2" xfId="0" applyNumberFormat="1" applyFont="1" applyBorder="1" applyAlignment="1">
      <alignment horizontal="center" vertical="center"/>
    </xf>
    <xf numFmtId="165" fontId="26" fillId="0" borderId="0" xfId="0" applyNumberFormat="1" applyFont="1"/>
    <xf numFmtId="164" fontId="36" fillId="0" borderId="0" xfId="0" applyNumberFormat="1" applyFont="1"/>
    <xf numFmtId="0" fontId="0" fillId="0" borderId="0" xfId="0" applyAlignment="1">
      <alignment horizontal="center"/>
    </xf>
    <xf numFmtId="0" fontId="63"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xf>
    <xf numFmtId="168" fontId="39" fillId="0" borderId="7" xfId="0" applyNumberFormat="1" applyFont="1" applyBorder="1" applyAlignment="1">
      <alignment horizontal="center" vertical="center"/>
    </xf>
    <xf numFmtId="0" fontId="13" fillId="4" borderId="18" xfId="127" applyFill="1" applyBorder="1" applyAlignment="1">
      <alignment horizontal="center"/>
    </xf>
    <xf numFmtId="0" fontId="13" fillId="0" borderId="0" xfId="127"/>
    <xf numFmtId="0" fontId="31" fillId="5" borderId="4" xfId="127" applyFont="1" applyFill="1" applyBorder="1" applyAlignment="1">
      <alignment horizontal="center" vertical="center"/>
    </xf>
    <xf numFmtId="0" fontId="28" fillId="21" borderId="2" xfId="127" applyFont="1" applyFill="1" applyBorder="1" applyAlignment="1">
      <alignment horizontal="center" vertical="center" wrapText="1"/>
    </xf>
    <xf numFmtId="0" fontId="31" fillId="5" borderId="2" xfId="127" applyFont="1" applyFill="1" applyBorder="1" applyAlignment="1">
      <alignment horizontal="center" vertical="center" wrapText="1"/>
    </xf>
    <xf numFmtId="0" fontId="28" fillId="20" borderId="2" xfId="127" applyFont="1" applyFill="1" applyBorder="1" applyAlignment="1">
      <alignment horizontal="center" vertical="center" wrapText="1"/>
    </xf>
    <xf numFmtId="0" fontId="31" fillId="5" borderId="18" xfId="127" applyFont="1" applyFill="1" applyBorder="1" applyAlignment="1">
      <alignment horizontal="center" vertical="center"/>
    </xf>
    <xf numFmtId="0" fontId="31" fillId="5" borderId="18" xfId="127" applyFont="1" applyFill="1" applyBorder="1" applyAlignment="1">
      <alignment vertical="center"/>
    </xf>
    <xf numFmtId="0" fontId="28" fillId="21" borderId="2" xfId="127" applyFont="1" applyFill="1" applyBorder="1" applyAlignment="1">
      <alignment horizontal="center" vertical="center"/>
    </xf>
    <xf numFmtId="0" fontId="28" fillId="0" borderId="2" xfId="127" applyFont="1" applyBorder="1" applyAlignment="1">
      <alignment horizontal="center" vertical="center" wrapText="1"/>
    </xf>
    <xf numFmtId="0" fontId="28" fillId="20" borderId="2" xfId="127" applyFont="1" applyFill="1" applyBorder="1" applyAlignment="1">
      <alignment horizontal="center" vertical="center"/>
    </xf>
    <xf numFmtId="0" fontId="28" fillId="0" borderId="2" xfId="127" applyFont="1" applyBorder="1" applyAlignment="1">
      <alignment horizontal="center" vertical="center"/>
    </xf>
    <xf numFmtId="0" fontId="28" fillId="0" borderId="18" xfId="127" applyFont="1" applyBorder="1" applyAlignment="1">
      <alignment horizontal="center" vertical="center"/>
    </xf>
    <xf numFmtId="0" fontId="13" fillId="0" borderId="0" xfId="127" applyAlignment="1">
      <alignment horizontal="center" vertical="center"/>
    </xf>
    <xf numFmtId="0" fontId="13" fillId="19" borderId="0" xfId="127" applyFill="1" applyAlignment="1">
      <alignment horizontal="center" vertical="center"/>
    </xf>
    <xf numFmtId="0" fontId="13" fillId="0" borderId="0" xfId="129"/>
    <xf numFmtId="0" fontId="13"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3" fillId="0" borderId="0" xfId="129" applyAlignment="1">
      <alignment horizontal="left" vertical="center"/>
    </xf>
    <xf numFmtId="164" fontId="13" fillId="0" borderId="0" xfId="129" applyNumberFormat="1" applyAlignment="1">
      <alignment horizontal="center" vertical="center"/>
    </xf>
    <xf numFmtId="3" fontId="13" fillId="0" borderId="0" xfId="129" applyNumberFormat="1" applyAlignment="1">
      <alignment horizontal="center" vertical="center"/>
    </xf>
    <xf numFmtId="9" fontId="13" fillId="0" borderId="0" xfId="129" applyNumberFormat="1" applyAlignment="1">
      <alignment horizontal="center"/>
    </xf>
    <xf numFmtId="9" fontId="13" fillId="0" borderId="0" xfId="129" applyNumberFormat="1" applyAlignment="1">
      <alignment horizontal="center" vertical="center"/>
    </xf>
    <xf numFmtId="0" fontId="28" fillId="14" borderId="4" xfId="129" applyFont="1" applyFill="1" applyBorder="1" applyAlignment="1">
      <alignment horizontal="center" vertical="center"/>
    </xf>
    <xf numFmtId="0" fontId="28" fillId="14" borderId="4" xfId="129" applyFont="1" applyFill="1" applyBorder="1" applyAlignment="1">
      <alignment horizontal="center"/>
    </xf>
    <xf numFmtId="164" fontId="13" fillId="0" borderId="37" xfId="129" applyNumberFormat="1" applyBorder="1" applyAlignment="1">
      <alignment horizontal="center"/>
    </xf>
    <xf numFmtId="3" fontId="13" fillId="0" borderId="37" xfId="129" applyNumberFormat="1" applyBorder="1" applyAlignment="1">
      <alignment horizontal="center"/>
    </xf>
    <xf numFmtId="0" fontId="13" fillId="0" borderId="37" xfId="129" applyBorder="1" applyAlignment="1">
      <alignment horizontal="left"/>
    </xf>
    <xf numFmtId="0" fontId="13" fillId="0" borderId="37" xfId="129" applyBorder="1" applyAlignment="1">
      <alignment horizontal="center"/>
    </xf>
    <xf numFmtId="0" fontId="28" fillId="0" borderId="38" xfId="129" applyFont="1" applyBorder="1" applyAlignment="1">
      <alignment horizontal="center" wrapText="1"/>
    </xf>
    <xf numFmtId="0" fontId="28" fillId="0" borderId="38" xfId="129" applyFont="1" applyBorder="1" applyAlignment="1">
      <alignment horizontal="center"/>
    </xf>
    <xf numFmtId="0" fontId="28" fillId="0" borderId="38" xfId="129" applyFont="1" applyBorder="1" applyAlignment="1">
      <alignment horizontal="left"/>
    </xf>
    <xf numFmtId="0" fontId="28" fillId="14" borderId="3" xfId="129" applyFont="1" applyFill="1" applyBorder="1"/>
    <xf numFmtId="0" fontId="28" fillId="0" borderId="0" xfId="126" applyFont="1"/>
    <xf numFmtId="0" fontId="28" fillId="0" borderId="0" xfId="129" applyFont="1" applyAlignment="1">
      <alignment horizontal="left" vertical="center"/>
    </xf>
    <xf numFmtId="0" fontId="39" fillId="0" borderId="0" xfId="129" applyFont="1" applyAlignment="1">
      <alignment vertical="center"/>
    </xf>
    <xf numFmtId="2" fontId="13" fillId="0" borderId="0" xfId="129" applyNumberFormat="1" applyAlignment="1">
      <alignment horizontal="center" vertical="center"/>
    </xf>
    <xf numFmtId="3" fontId="13" fillId="0" borderId="0" xfId="129" applyNumberFormat="1" applyAlignment="1">
      <alignment horizontal="center"/>
    </xf>
    <xf numFmtId="0" fontId="13" fillId="2" borderId="0" xfId="129" applyFill="1" applyAlignment="1">
      <alignment horizontal="center" vertical="center"/>
    </xf>
    <xf numFmtId="0" fontId="50" fillId="0" borderId="0" xfId="129" applyFont="1"/>
    <xf numFmtId="0" fontId="50" fillId="0" borderId="0" xfId="129" quotePrefix="1" applyFont="1"/>
    <xf numFmtId="2" fontId="0" fillId="0" borderId="0" xfId="0" applyNumberFormat="1"/>
    <xf numFmtId="0" fontId="68" fillId="0" borderId="0" xfId="0" applyFont="1"/>
    <xf numFmtId="8" fontId="0" fillId="0" borderId="0" xfId="0" applyNumberFormat="1"/>
    <xf numFmtId="0" fontId="19" fillId="0" borderId="2" xfId="0" applyFont="1" applyBorder="1" applyAlignment="1">
      <alignment horizontal="center"/>
    </xf>
    <xf numFmtId="16" fontId="13" fillId="0" borderId="0" xfId="129" applyNumberFormat="1" applyAlignment="1">
      <alignment horizontal="center" vertical="center"/>
    </xf>
    <xf numFmtId="0" fontId="19" fillId="0" borderId="2" xfId="0" applyFont="1" applyBorder="1" applyAlignment="1">
      <alignment horizontal="center" wrapText="1"/>
    </xf>
    <xf numFmtId="9" fontId="0" fillId="0" borderId="0" xfId="3" applyFont="1"/>
    <xf numFmtId="0" fontId="63" fillId="0" borderId="0" xfId="0" applyFont="1"/>
    <xf numFmtId="2" fontId="13" fillId="0" borderId="0" xfId="129" applyNumberFormat="1" applyAlignment="1">
      <alignment horizontal="center"/>
    </xf>
    <xf numFmtId="0" fontId="34" fillId="0" borderId="12" xfId="126" applyFont="1" applyBorder="1" applyAlignment="1">
      <alignment vertical="center" wrapText="1"/>
    </xf>
    <xf numFmtId="0" fontId="34" fillId="0" borderId="19" xfId="126" applyFont="1" applyBorder="1" applyAlignment="1">
      <alignment vertical="center" wrapText="1"/>
    </xf>
    <xf numFmtId="164" fontId="34" fillId="0" borderId="19" xfId="126" applyNumberFormat="1" applyFont="1" applyBorder="1" applyAlignment="1">
      <alignment vertical="center" wrapText="1"/>
    </xf>
    <xf numFmtId="0" fontId="34" fillId="0" borderId="12" xfId="26" applyFont="1" applyBorder="1" applyAlignment="1">
      <alignment vertical="center" wrapText="1"/>
    </xf>
    <xf numFmtId="0" fontId="34" fillId="0" borderId="19" xfId="26" applyFont="1" applyBorder="1" applyAlignment="1">
      <alignment vertical="center" wrapText="1"/>
    </xf>
    <xf numFmtId="164" fontId="28" fillId="21" borderId="43" xfId="2" applyNumberFormat="1" applyFont="1" applyFill="1" applyBorder="1" applyAlignment="1">
      <alignment horizontal="center"/>
    </xf>
    <xf numFmtId="164" fontId="28" fillId="20" borderId="27" xfId="2" applyNumberFormat="1" applyFont="1" applyFill="1" applyBorder="1" applyAlignment="1">
      <alignment horizontal="center"/>
    </xf>
    <xf numFmtId="164" fontId="28" fillId="21" borderId="27" xfId="2" applyNumberFormat="1" applyFont="1" applyFill="1" applyBorder="1" applyAlignment="1">
      <alignment horizontal="center"/>
    </xf>
    <xf numFmtId="43" fontId="13" fillId="0" borderId="0" xfId="129" applyNumberFormat="1" applyAlignment="1">
      <alignment horizontal="center" vertical="center"/>
    </xf>
    <xf numFmtId="164" fontId="28" fillId="14" borderId="4" xfId="129" applyNumberFormat="1" applyFont="1" applyFill="1" applyBorder="1" applyAlignment="1">
      <alignment horizontal="center" vertical="center"/>
    </xf>
    <xf numFmtId="2" fontId="27" fillId="6" borderId="25" xfId="126" applyNumberFormat="1" applyFont="1" applyFill="1" applyBorder="1" applyAlignment="1">
      <alignment horizontal="center" vertical="center" wrapText="1"/>
    </xf>
    <xf numFmtId="2" fontId="27" fillId="6" borderId="17" xfId="126" applyNumberFormat="1" applyFont="1" applyFill="1" applyBorder="1" applyAlignment="1">
      <alignment horizontal="center" vertical="center" wrapText="1"/>
    </xf>
    <xf numFmtId="164" fontId="27" fillId="6" borderId="27" xfId="126" applyNumberFormat="1" applyFont="1" applyFill="1" applyBorder="1" applyAlignment="1">
      <alignment horizontal="center" vertical="center"/>
    </xf>
    <xf numFmtId="164" fontId="27" fillId="6" borderId="26" xfId="126" applyNumberFormat="1" applyFont="1" applyFill="1" applyBorder="1" applyAlignment="1">
      <alignment horizontal="center" vertical="center"/>
    </xf>
    <xf numFmtId="0" fontId="13" fillId="0" borderId="0" xfId="129" applyAlignment="1">
      <alignment horizontal="center"/>
    </xf>
    <xf numFmtId="0" fontId="28" fillId="14" borderId="3" xfId="129" applyFont="1" applyFill="1" applyBorder="1" applyAlignment="1">
      <alignment horizontal="left"/>
    </xf>
    <xf numFmtId="0" fontId="12" fillId="19" borderId="0" xfId="130" applyFill="1"/>
    <xf numFmtId="0" fontId="12" fillId="0" borderId="0" xfId="130"/>
    <xf numFmtId="0" fontId="12" fillId="0" borderId="0" xfId="130" applyAlignment="1">
      <alignment horizontal="center" vertical="center"/>
    </xf>
    <xf numFmtId="0" fontId="12" fillId="0" borderId="0" xfId="130" applyAlignment="1">
      <alignment horizontal="left" vertical="center" wrapText="1"/>
    </xf>
    <xf numFmtId="0" fontId="32" fillId="0" borderId="18" xfId="130" applyFont="1" applyBorder="1" applyAlignment="1">
      <alignment horizontal="center" vertical="center"/>
    </xf>
    <xf numFmtId="0" fontId="32" fillId="0" borderId="2" xfId="130" applyFont="1" applyBorder="1" applyAlignment="1">
      <alignment horizontal="center" vertical="center" wrapText="1"/>
    </xf>
    <xf numFmtId="0" fontId="32" fillId="0" borderId="2" xfId="130" applyFont="1" applyBorder="1" applyAlignment="1">
      <alignment horizontal="center" vertical="center"/>
    </xf>
    <xf numFmtId="0" fontId="32" fillId="20" borderId="2" xfId="130" applyFont="1" applyFill="1" applyBorder="1" applyAlignment="1">
      <alignment horizontal="center" vertical="center"/>
    </xf>
    <xf numFmtId="0" fontId="32" fillId="21" borderId="2" xfId="130" applyFont="1" applyFill="1" applyBorder="1" applyAlignment="1">
      <alignment horizontal="center" vertical="center"/>
    </xf>
    <xf numFmtId="0" fontId="31" fillId="5" borderId="18" xfId="130" applyFont="1" applyFill="1" applyBorder="1" applyAlignment="1">
      <alignment vertical="center"/>
    </xf>
    <xf numFmtId="0" fontId="31" fillId="5" borderId="2" xfId="130" applyFont="1" applyFill="1" applyBorder="1" applyAlignment="1">
      <alignment horizontal="center" vertical="center" wrapText="1"/>
    </xf>
    <xf numFmtId="0" fontId="28" fillId="20" borderId="2" xfId="130" applyFont="1" applyFill="1" applyBorder="1" applyAlignment="1">
      <alignment horizontal="center" vertical="center" wrapText="1"/>
    </xf>
    <xf numFmtId="0" fontId="28" fillId="21" borderId="2" xfId="130" applyFont="1" applyFill="1" applyBorder="1" applyAlignment="1">
      <alignment horizontal="center" vertical="center" wrapText="1"/>
    </xf>
    <xf numFmtId="2" fontId="31" fillId="6" borderId="25" xfId="131" applyNumberFormat="1" applyFont="1" applyFill="1" applyBorder="1" applyAlignment="1">
      <alignment horizontal="center" vertical="center" wrapText="1"/>
    </xf>
    <xf numFmtId="2" fontId="31" fillId="6" borderId="17" xfId="131" applyNumberFormat="1" applyFont="1" applyFill="1" applyBorder="1" applyAlignment="1">
      <alignment horizontal="center" vertical="center" wrapText="1"/>
    </xf>
    <xf numFmtId="0" fontId="34" fillId="0" borderId="12" xfId="131" applyFont="1" applyBorder="1" applyAlignment="1">
      <alignment vertical="center" wrapText="1"/>
    </xf>
    <xf numFmtId="0" fontId="34" fillId="0" borderId="19" xfId="131" applyFont="1" applyBorder="1" applyAlignment="1">
      <alignment vertical="center" wrapText="1"/>
    </xf>
    <xf numFmtId="0" fontId="34" fillId="0" borderId="19" xfId="131" applyFont="1" applyBorder="1" applyAlignment="1">
      <alignment horizontal="center" vertical="center" wrapText="1"/>
    </xf>
    <xf numFmtId="164" fontId="28" fillId="6" borderId="27" xfId="131" applyNumberFormat="1" applyFont="1" applyFill="1" applyBorder="1" applyAlignment="1">
      <alignment horizontal="center" vertical="center"/>
    </xf>
    <xf numFmtId="164" fontId="28" fillId="6" borderId="26" xfId="131" applyNumberFormat="1" applyFont="1" applyFill="1" applyBorder="1" applyAlignment="1">
      <alignment horizontal="center" vertical="center"/>
    </xf>
    <xf numFmtId="0" fontId="12" fillId="0" borderId="0" xfId="134" applyAlignment="1">
      <alignment horizontal="center" vertical="center"/>
    </xf>
    <xf numFmtId="0" fontId="28" fillId="0" borderId="0" xfId="134" applyFont="1" applyAlignment="1">
      <alignment horizontal="left" vertical="center"/>
    </xf>
    <xf numFmtId="0" fontId="12" fillId="0" borderId="0" xfId="134"/>
    <xf numFmtId="0" fontId="15" fillId="2" borderId="2" xfId="112" applyFill="1" applyBorder="1"/>
    <xf numFmtId="0" fontId="28" fillId="20" borderId="0" xfId="119" applyFont="1" applyFill="1" applyAlignment="1">
      <alignment horizontal="center" vertical="center" wrapText="1"/>
    </xf>
    <xf numFmtId="0" fontId="28" fillId="21" borderId="0" xfId="119" applyFont="1" applyFill="1" applyAlignment="1">
      <alignment horizontal="center" vertical="center" wrapText="1"/>
    </xf>
    <xf numFmtId="0" fontId="28" fillId="20" borderId="0" xfId="0" applyFont="1" applyFill="1" applyAlignment="1">
      <alignment vertical="center"/>
    </xf>
    <xf numFmtId="0" fontId="51" fillId="20" borderId="0" xfId="0" applyFont="1" applyFill="1" applyAlignment="1">
      <alignment vertical="center"/>
    </xf>
    <xf numFmtId="0" fontId="28" fillId="21" borderId="0" xfId="0" applyFont="1" applyFill="1" applyAlignment="1">
      <alignment vertical="center"/>
    </xf>
    <xf numFmtId="0" fontId="11" fillId="0" borderId="2" xfId="135" applyBorder="1" applyAlignment="1">
      <alignment horizontal="center" vertical="center"/>
    </xf>
    <xf numFmtId="0" fontId="11" fillId="0" borderId="8" xfId="135" applyBorder="1" applyAlignment="1">
      <alignment horizontal="center" vertical="center"/>
    </xf>
    <xf numFmtId="0" fontId="11" fillId="0" borderId="1" xfId="135" applyBorder="1" applyAlignment="1">
      <alignment horizontal="center" vertical="center"/>
    </xf>
    <xf numFmtId="0" fontId="11" fillId="0" borderId="0" xfId="135" applyAlignment="1">
      <alignment horizontal="center" vertical="center"/>
    </xf>
    <xf numFmtId="165" fontId="28" fillId="20" borderId="27" xfId="2" applyNumberFormat="1" applyFont="1" applyFill="1" applyBorder="1" applyAlignment="1">
      <alignment horizontal="center"/>
    </xf>
    <xf numFmtId="0" fontId="27" fillId="14" borderId="3" xfId="129" applyFont="1" applyFill="1" applyBorder="1" applyAlignment="1">
      <alignment horizontal="center" vertical="center"/>
    </xf>
    <xf numFmtId="2" fontId="11" fillId="0" borderId="0" xfId="135" applyNumberFormat="1" applyAlignment="1">
      <alignment horizontal="center" vertical="center"/>
    </xf>
    <xf numFmtId="168" fontId="11" fillId="0" borderId="0" xfId="135" applyNumberFormat="1" applyAlignment="1">
      <alignment horizontal="center" vertical="center"/>
    </xf>
    <xf numFmtId="6" fontId="11" fillId="0" borderId="0" xfId="135" applyNumberFormat="1" applyAlignment="1">
      <alignment horizontal="center" vertical="center"/>
    </xf>
    <xf numFmtId="0" fontId="13" fillId="2" borderId="0" xfId="129" applyFill="1" applyAlignment="1">
      <alignment horizontal="center"/>
    </xf>
    <xf numFmtId="0" fontId="11" fillId="0" borderId="6" xfId="135" applyBorder="1" applyAlignment="1">
      <alignment horizontal="center" vertical="center"/>
    </xf>
    <xf numFmtId="0" fontId="11" fillId="0" borderId="6" xfId="135" applyBorder="1" applyAlignment="1">
      <alignment horizontal="center" vertical="center" wrapText="1"/>
    </xf>
    <xf numFmtId="0" fontId="28" fillId="26" borderId="0" xfId="135" applyFont="1" applyFill="1" applyAlignment="1">
      <alignment vertical="top"/>
    </xf>
    <xf numFmtId="0" fontId="28" fillId="26" borderId="0" xfId="135" applyFont="1" applyFill="1" applyAlignment="1">
      <alignment horizontal="center" vertical="center"/>
    </xf>
    <xf numFmtId="0" fontId="11" fillId="26" borderId="0" xfId="135" applyFill="1" applyAlignment="1">
      <alignment horizontal="center" vertical="center"/>
    </xf>
    <xf numFmtId="0" fontId="13" fillId="0" borderId="6" xfId="129" applyBorder="1" applyAlignment="1">
      <alignment horizontal="center" vertical="center"/>
    </xf>
    <xf numFmtId="3" fontId="13" fillId="2" borderId="38" xfId="129" applyNumberFormat="1" applyFill="1" applyBorder="1" applyAlignment="1">
      <alignment horizontal="center"/>
    </xf>
    <xf numFmtId="0" fontId="13" fillId="2" borderId="2" xfId="129" applyFill="1" applyBorder="1" applyAlignment="1">
      <alignment horizontal="center" vertical="center"/>
    </xf>
    <xf numFmtId="0" fontId="11" fillId="0" borderId="0" xfId="135" applyAlignment="1">
      <alignment horizontal="center" vertical="center" wrapText="1"/>
    </xf>
    <xf numFmtId="0" fontId="28" fillId="0" borderId="38" xfId="129" applyFont="1" applyBorder="1" applyAlignment="1">
      <alignment horizontal="center" vertical="center" wrapText="1"/>
    </xf>
    <xf numFmtId="0" fontId="28" fillId="0" borderId="7" xfId="129" applyFont="1" applyBorder="1" applyAlignment="1">
      <alignment horizontal="center" vertical="center" wrapText="1"/>
    </xf>
    <xf numFmtId="164" fontId="11" fillId="0" borderId="0" xfId="135" applyNumberFormat="1" applyAlignment="1">
      <alignment horizontal="center" vertical="center"/>
    </xf>
    <xf numFmtId="0" fontId="10" fillId="0" borderId="0" xfId="136"/>
    <xf numFmtId="0" fontId="10" fillId="0" borderId="0" xfId="136" applyAlignment="1">
      <alignment horizontal="center" vertical="center"/>
    </xf>
    <xf numFmtId="0" fontId="10" fillId="0" borderId="0" xfId="137"/>
    <xf numFmtId="0" fontId="28" fillId="0" borderId="0" xfId="137" applyFont="1"/>
    <xf numFmtId="0" fontId="10" fillId="19" borderId="0" xfId="136" applyFill="1" applyAlignment="1">
      <alignment horizontal="center" vertical="center"/>
    </xf>
    <xf numFmtId="0" fontId="10" fillId="19" borderId="0" xfId="139" applyFill="1" applyAlignment="1">
      <alignment horizontal="center" vertical="center"/>
    </xf>
    <xf numFmtId="0" fontId="26" fillId="0" borderId="0" xfId="63" applyFont="1"/>
    <xf numFmtId="165" fontId="26" fillId="0" borderId="0" xfId="63" applyNumberFormat="1" applyFont="1"/>
    <xf numFmtId="164" fontId="28" fillId="6" borderId="27" xfId="137" applyNumberFormat="1" applyFont="1" applyFill="1" applyBorder="1" applyAlignment="1">
      <alignment horizontal="center" vertical="center"/>
    </xf>
    <xf numFmtId="0" fontId="34" fillId="0" borderId="19" xfId="137" applyFont="1" applyBorder="1" applyAlignment="1">
      <alignment vertical="center" wrapText="1"/>
    </xf>
    <xf numFmtId="0" fontId="34" fillId="0" borderId="12" xfId="140" applyFont="1" applyBorder="1" applyAlignment="1">
      <alignment horizontal="left" vertical="center"/>
    </xf>
    <xf numFmtId="0" fontId="10" fillId="4" borderId="18" xfId="139" applyFill="1" applyBorder="1" applyAlignment="1">
      <alignment horizontal="center"/>
    </xf>
    <xf numFmtId="0" fontId="10" fillId="0" borderId="0" xfId="141"/>
    <xf numFmtId="2" fontId="31" fillId="6" borderId="17" xfId="137" applyNumberFormat="1" applyFont="1" applyFill="1" applyBorder="1" applyAlignment="1">
      <alignment horizontal="center" vertical="center" wrapText="1"/>
    </xf>
    <xf numFmtId="2" fontId="31" fillId="6" borderId="25" xfId="137" applyNumberFormat="1" applyFont="1" applyFill="1" applyBorder="1" applyAlignment="1">
      <alignment horizontal="center" vertical="center" wrapText="1"/>
    </xf>
    <xf numFmtId="0" fontId="28" fillId="21" borderId="2" xfId="141" applyFont="1" applyFill="1" applyBorder="1" applyAlignment="1">
      <alignment horizontal="center" vertical="center" wrapText="1"/>
    </xf>
    <xf numFmtId="0" fontId="31" fillId="5" borderId="2" xfId="141" applyFont="1" applyFill="1" applyBorder="1" applyAlignment="1">
      <alignment horizontal="center" vertical="center" wrapText="1"/>
    </xf>
    <xf numFmtId="0" fontId="28" fillId="20" borderId="2" xfId="141" applyFont="1" applyFill="1" applyBorder="1" applyAlignment="1">
      <alignment horizontal="center" vertical="center" wrapText="1"/>
    </xf>
    <xf numFmtId="0" fontId="31" fillId="5" borderId="18" xfId="139" applyFont="1" applyFill="1" applyBorder="1" applyAlignment="1">
      <alignment horizontal="center" vertical="center"/>
    </xf>
    <xf numFmtId="0" fontId="28" fillId="20" borderId="2" xfId="139" applyFont="1" applyFill="1" applyBorder="1" applyAlignment="1">
      <alignment horizontal="center" vertical="center" wrapText="1"/>
    </xf>
    <xf numFmtId="0" fontId="31" fillId="5" borderId="18" xfId="139" applyFont="1" applyFill="1" applyBorder="1" applyAlignment="1">
      <alignment vertical="center"/>
    </xf>
    <xf numFmtId="0" fontId="28" fillId="21" borderId="2" xfId="141" applyFont="1" applyFill="1" applyBorder="1" applyAlignment="1">
      <alignment horizontal="center" vertical="center"/>
    </xf>
    <xf numFmtId="0" fontId="28" fillId="20" borderId="2" xfId="141" applyFont="1" applyFill="1" applyBorder="1" applyAlignment="1">
      <alignment horizontal="center" vertical="center"/>
    </xf>
    <xf numFmtId="0" fontId="28" fillId="0" borderId="18" xfId="141" applyFont="1" applyBorder="1" applyAlignment="1">
      <alignment horizontal="center" vertical="center"/>
    </xf>
    <xf numFmtId="0" fontId="10" fillId="0" borderId="0" xfId="141" applyAlignment="1">
      <alignment horizontal="center" vertical="center"/>
    </xf>
    <xf numFmtId="0" fontId="10" fillId="19" borderId="0" xfId="141" applyFill="1" applyAlignment="1">
      <alignment horizontal="center" vertical="center"/>
    </xf>
    <xf numFmtId="164" fontId="31" fillId="19" borderId="0" xfId="63" applyNumberFormat="1" applyFont="1" applyFill="1" applyAlignment="1">
      <alignment horizontal="left" vertical="center"/>
    </xf>
    <xf numFmtId="0" fontId="28" fillId="26" borderId="0" xfId="137" applyFont="1" applyFill="1"/>
    <xf numFmtId="0" fontId="38" fillId="15" borderId="0" xfId="0" applyFont="1" applyFill="1"/>
    <xf numFmtId="0" fontId="10" fillId="15" borderId="0" xfId="141" applyFill="1"/>
    <xf numFmtId="1" fontId="0" fillId="0" borderId="0" xfId="0" applyNumberFormat="1"/>
    <xf numFmtId="0" fontId="41" fillId="21" borderId="0" xfId="0" applyFont="1" applyFill="1" applyAlignment="1">
      <alignment vertical="center"/>
    </xf>
    <xf numFmtId="0" fontId="28" fillId="0" borderId="2" xfId="119" applyFont="1" applyBorder="1" applyAlignment="1">
      <alignment horizontal="center"/>
    </xf>
    <xf numFmtId="3" fontId="14" fillId="0" borderId="2" xfId="119" applyNumberFormat="1" applyBorder="1" applyAlignment="1">
      <alignment horizontal="center" vertical="center"/>
    </xf>
    <xf numFmtId="0" fontId="57" fillId="0" borderId="0" xfId="125"/>
    <xf numFmtId="0" fontId="12" fillId="0" borderId="0" xfId="130" applyAlignment="1">
      <alignment vertical="center" wrapText="1"/>
    </xf>
    <xf numFmtId="3" fontId="10" fillId="0" borderId="2" xfId="138" applyNumberFormat="1" applyBorder="1" applyAlignment="1">
      <alignment horizontal="center" wrapText="1"/>
    </xf>
    <xf numFmtId="0" fontId="10" fillId="0" borderId="18" xfId="138" applyBorder="1" applyAlignment="1">
      <alignment horizontal="left"/>
    </xf>
    <xf numFmtId="0" fontId="9" fillId="19" borderId="0" xfId="145" applyFill="1"/>
    <xf numFmtId="0" fontId="9" fillId="0" borderId="0" xfId="145"/>
    <xf numFmtId="0" fontId="9" fillId="0" borderId="0" xfId="145" applyAlignment="1">
      <alignment horizontal="center" vertical="center"/>
    </xf>
    <xf numFmtId="0" fontId="32" fillId="0" borderId="18" xfId="145" applyFont="1" applyBorder="1" applyAlignment="1">
      <alignment horizontal="center" vertical="center"/>
    </xf>
    <xf numFmtId="0" fontId="32" fillId="0" borderId="2" xfId="145" applyFont="1" applyBorder="1" applyAlignment="1">
      <alignment horizontal="center" vertical="center" wrapText="1"/>
    </xf>
    <xf numFmtId="0" fontId="32" fillId="0" borderId="2" xfId="145" applyFont="1" applyBorder="1" applyAlignment="1">
      <alignment horizontal="center" vertical="center"/>
    </xf>
    <xf numFmtId="0" fontId="32" fillId="20" borderId="2" xfId="145" applyFont="1" applyFill="1" applyBorder="1" applyAlignment="1">
      <alignment horizontal="center" vertical="center"/>
    </xf>
    <xf numFmtId="0" fontId="32" fillId="21" borderId="2" xfId="145" applyFont="1" applyFill="1" applyBorder="1" applyAlignment="1">
      <alignment horizontal="center" vertical="center"/>
    </xf>
    <xf numFmtId="0" fontId="31" fillId="5" borderId="18" xfId="145" applyFont="1" applyFill="1" applyBorder="1" applyAlignment="1">
      <alignment vertical="center"/>
    </xf>
    <xf numFmtId="0" fontId="31" fillId="5" borderId="2" xfId="145" applyFont="1" applyFill="1" applyBorder="1" applyAlignment="1">
      <alignment horizontal="center" vertical="center" wrapText="1"/>
    </xf>
    <xf numFmtId="0" fontId="28" fillId="20" borderId="2" xfId="145" applyFont="1" applyFill="1" applyBorder="1" applyAlignment="1">
      <alignment horizontal="center" vertical="center" wrapText="1"/>
    </xf>
    <xf numFmtId="0" fontId="28" fillId="21" borderId="2" xfId="145" applyFont="1" applyFill="1" applyBorder="1" applyAlignment="1">
      <alignment horizontal="center" vertical="center" wrapText="1"/>
    </xf>
    <xf numFmtId="0" fontId="59" fillId="5" borderId="2" xfId="145" applyFont="1" applyFill="1" applyBorder="1" applyAlignment="1">
      <alignment horizontal="center" vertical="center" wrapText="1"/>
    </xf>
    <xf numFmtId="2" fontId="31" fillId="6" borderId="25" xfId="146" applyNumberFormat="1" applyFont="1" applyFill="1" applyBorder="1" applyAlignment="1">
      <alignment horizontal="center" vertical="center" wrapText="1"/>
    </xf>
    <xf numFmtId="2" fontId="31" fillId="6" borderId="17" xfId="146" applyNumberFormat="1" applyFont="1" applyFill="1" applyBorder="1" applyAlignment="1">
      <alignment horizontal="center" vertical="center" wrapText="1"/>
    </xf>
    <xf numFmtId="0" fontId="9" fillId="4" borderId="18" xfId="145" applyFill="1" applyBorder="1" applyAlignment="1">
      <alignment horizontal="center"/>
    </xf>
    <xf numFmtId="164" fontId="9" fillId="4" borderId="28" xfId="145" applyNumberFormat="1" applyFill="1" applyBorder="1" applyAlignment="1">
      <alignment horizontal="center"/>
    </xf>
    <xf numFmtId="3" fontId="9" fillId="0" borderId="6" xfId="145" applyNumberFormat="1" applyBorder="1"/>
    <xf numFmtId="0" fontId="34" fillId="0" borderId="12" xfId="146" applyFont="1" applyBorder="1" applyAlignment="1">
      <alignment vertical="center" wrapText="1"/>
    </xf>
    <xf numFmtId="0" fontId="34" fillId="0" borderId="19" xfId="146" applyFont="1" applyBorder="1" applyAlignment="1">
      <alignment vertical="center" wrapText="1"/>
    </xf>
    <xf numFmtId="164" fontId="28" fillId="6" borderId="27" xfId="146" applyNumberFormat="1" applyFont="1" applyFill="1" applyBorder="1" applyAlignment="1">
      <alignment horizontal="center" vertical="center"/>
    </xf>
    <xf numFmtId="164" fontId="28" fillId="6" borderId="26" xfId="146" applyNumberFormat="1" applyFont="1" applyFill="1" applyBorder="1" applyAlignment="1">
      <alignment horizontal="center" vertical="center"/>
    </xf>
    <xf numFmtId="0" fontId="39" fillId="0" borderId="0" xfId="148" applyFont="1" applyAlignment="1">
      <alignment vertical="center"/>
    </xf>
    <xf numFmtId="0" fontId="28" fillId="0" borderId="0" xfId="148" applyFont="1" applyAlignment="1">
      <alignment horizontal="left" vertical="center"/>
    </xf>
    <xf numFmtId="0" fontId="9" fillId="0" borderId="0" xfId="148" applyAlignment="1">
      <alignment horizontal="center" vertical="center"/>
    </xf>
    <xf numFmtId="0" fontId="28" fillId="0" borderId="0" xfId="149" applyFont="1"/>
    <xf numFmtId="0" fontId="9" fillId="0" borderId="0" xfId="148"/>
    <xf numFmtId="0" fontId="0" fillId="0" borderId="6" xfId="0" applyBorder="1"/>
    <xf numFmtId="0" fontId="0" fillId="26" borderId="2" xfId="0" applyFill="1" applyBorder="1"/>
    <xf numFmtId="0" fontId="34" fillId="0" borderId="0" xfId="146" applyFont="1" applyAlignment="1">
      <alignment vertical="center" wrapText="1"/>
    </xf>
    <xf numFmtId="6" fontId="74" fillId="0" borderId="6" xfId="0" applyNumberFormat="1" applyFont="1" applyBorder="1" applyAlignment="1">
      <alignment horizontal="center" vertical="center"/>
    </xf>
    <xf numFmtId="0" fontId="63" fillId="26" borderId="6" xfId="0" applyFont="1" applyFill="1" applyBorder="1" applyAlignment="1">
      <alignment horizontal="center"/>
    </xf>
    <xf numFmtId="3" fontId="9" fillId="0" borderId="4" xfId="145" applyNumberFormat="1" applyBorder="1"/>
    <xf numFmtId="3" fontId="9" fillId="2" borderId="6" xfId="145" applyNumberFormat="1" applyFill="1" applyBorder="1" applyAlignment="1">
      <alignment horizontal="center"/>
    </xf>
    <xf numFmtId="3" fontId="9" fillId="0" borderId="6" xfId="145" applyNumberFormat="1" applyBorder="1" applyAlignment="1">
      <alignment horizontal="center"/>
    </xf>
    <xf numFmtId="164" fontId="9" fillId="2" borderId="6" xfId="145" applyNumberFormat="1" applyFill="1" applyBorder="1"/>
    <xf numFmtId="164" fontId="9" fillId="0" borderId="6" xfId="145" applyNumberFormat="1" applyBorder="1"/>
    <xf numFmtId="164" fontId="9" fillId="0" borderId="0" xfId="148" applyNumberFormat="1" applyAlignment="1">
      <alignment horizontal="center" vertical="center"/>
    </xf>
    <xf numFmtId="164" fontId="63" fillId="26" borderId="6" xfId="0" applyNumberFormat="1" applyFont="1" applyFill="1" applyBorder="1" applyAlignment="1">
      <alignment horizontal="center"/>
    </xf>
    <xf numFmtId="164" fontId="0" fillId="0" borderId="6" xfId="0" applyNumberFormat="1" applyBorder="1"/>
    <xf numFmtId="164" fontId="9" fillId="0" borderId="6" xfId="148" applyNumberFormat="1" applyBorder="1"/>
    <xf numFmtId="164" fontId="9" fillId="0" borderId="0" xfId="148" applyNumberFormat="1"/>
    <xf numFmtId="164" fontId="9" fillId="0" borderId="4" xfId="148" applyNumberFormat="1" applyBorder="1"/>
    <xf numFmtId="164" fontId="9" fillId="0" borderId="4" xfId="145" applyNumberFormat="1" applyBorder="1"/>
    <xf numFmtId="164" fontId="9" fillId="2" borderId="4" xfId="145" applyNumberFormat="1" applyFill="1" applyBorder="1"/>
    <xf numFmtId="6" fontId="9" fillId="0" borderId="6" xfId="148" applyNumberFormat="1" applyBorder="1" applyAlignment="1">
      <alignment horizontal="center" vertical="center"/>
    </xf>
    <xf numFmtId="168" fontId="39" fillId="0" borderId="2" xfId="0" applyNumberFormat="1" applyFont="1" applyBorder="1" applyAlignment="1">
      <alignment horizontal="center" vertical="center"/>
    </xf>
    <xf numFmtId="175" fontId="9" fillId="4" borderId="28" xfId="145" applyNumberFormat="1" applyFill="1" applyBorder="1" applyAlignment="1">
      <alignment horizontal="center"/>
    </xf>
    <xf numFmtId="169" fontId="74" fillId="0" borderId="4" xfId="0" applyNumberFormat="1" applyFont="1" applyBorder="1" applyAlignment="1">
      <alignment horizontal="center" vertical="center"/>
    </xf>
    <xf numFmtId="0" fontId="0" fillId="2" borderId="0" xfId="0" applyFill="1" applyAlignment="1">
      <alignment horizontal="center"/>
    </xf>
    <xf numFmtId="164" fontId="26" fillId="19" borderId="0" xfId="0" applyNumberFormat="1" applyFont="1" applyFill="1"/>
    <xf numFmtId="0" fontId="13" fillId="19" borderId="0" xfId="127" applyFill="1"/>
    <xf numFmtId="0" fontId="13" fillId="19" borderId="0" xfId="129" applyFill="1" applyAlignment="1">
      <alignment horizontal="center" vertical="center"/>
    </xf>
    <xf numFmtId="0" fontId="10" fillId="19" borderId="0" xfId="141" applyFill="1"/>
    <xf numFmtId="0" fontId="31" fillId="19" borderId="0" xfId="0" applyFont="1" applyFill="1" applyAlignment="1">
      <alignment horizontal="left" vertical="center"/>
    </xf>
    <xf numFmtId="0" fontId="31" fillId="19" borderId="0" xfId="112" applyFont="1" applyFill="1" applyAlignment="1">
      <alignment horizontal="left" vertical="center"/>
    </xf>
    <xf numFmtId="0" fontId="31" fillId="19" borderId="0" xfId="134" applyFont="1" applyFill="1" applyAlignment="1">
      <alignment horizontal="left" vertical="center"/>
    </xf>
    <xf numFmtId="0" fontId="59" fillId="19" borderId="0" xfId="134" applyFont="1" applyFill="1" applyAlignment="1">
      <alignment horizontal="center" vertical="center"/>
    </xf>
    <xf numFmtId="0" fontId="31" fillId="19" borderId="0" xfId="148" applyFont="1" applyFill="1" applyAlignment="1">
      <alignment horizontal="left" vertical="center"/>
    </xf>
    <xf numFmtId="0" fontId="59" fillId="19" borderId="0" xfId="148" applyFont="1" applyFill="1" applyAlignment="1">
      <alignment horizontal="center" vertical="center"/>
    </xf>
    <xf numFmtId="0" fontId="36" fillId="28" borderId="0" xfId="0" applyFont="1" applyFill="1" applyAlignment="1">
      <alignment horizontal="center"/>
    </xf>
    <xf numFmtId="0" fontId="36" fillId="0" borderId="0" xfId="0" applyFont="1" applyAlignment="1">
      <alignment horizontal="right"/>
    </xf>
    <xf numFmtId="0" fontId="36" fillId="0" borderId="4" xfId="0" applyFont="1" applyBorder="1" applyAlignment="1">
      <alignment horizontal="left"/>
    </xf>
    <xf numFmtId="0" fontId="59" fillId="5" borderId="2" xfId="119" applyFont="1" applyFill="1" applyBorder="1" applyAlignment="1">
      <alignment horizontal="center" vertical="center" wrapText="1"/>
    </xf>
    <xf numFmtId="171" fontId="34" fillId="0" borderId="19" xfId="26" applyNumberFormat="1" applyFont="1" applyBorder="1" applyAlignment="1">
      <alignment vertical="center" wrapText="1"/>
    </xf>
    <xf numFmtId="0" fontId="32" fillId="0" borderId="40" xfId="119" applyFont="1" applyBorder="1" applyAlignment="1">
      <alignment horizontal="center" vertical="center"/>
    </xf>
    <xf numFmtId="0" fontId="32" fillId="0" borderId="1" xfId="119" applyFont="1" applyBorder="1" applyAlignment="1">
      <alignment horizontal="center" vertical="center" wrapText="1"/>
    </xf>
    <xf numFmtId="0" fontId="32" fillId="0" borderId="1" xfId="119" applyFont="1" applyBorder="1" applyAlignment="1">
      <alignment horizontal="center" vertical="center"/>
    </xf>
    <xf numFmtId="0" fontId="32" fillId="20" borderId="1" xfId="119" applyFont="1" applyFill="1" applyBorder="1" applyAlignment="1">
      <alignment horizontal="center" vertical="center"/>
    </xf>
    <xf numFmtId="0" fontId="32" fillId="21" borderId="1" xfId="119" applyFont="1" applyFill="1" applyBorder="1" applyAlignment="1">
      <alignment horizontal="center" vertical="center"/>
    </xf>
    <xf numFmtId="5" fontId="13" fillId="0" borderId="0" xfId="129" applyNumberFormat="1" applyAlignment="1">
      <alignment horizontal="center" vertical="center"/>
    </xf>
    <xf numFmtId="0" fontId="26" fillId="29" borderId="0" xfId="63" applyFont="1" applyFill="1"/>
    <xf numFmtId="0" fontId="26" fillId="29" borderId="0" xfId="0" applyFont="1" applyFill="1"/>
    <xf numFmtId="0" fontId="15" fillId="29" borderId="0" xfId="112" applyFill="1"/>
    <xf numFmtId="0" fontId="14" fillId="29" borderId="0" xfId="119" applyFill="1"/>
    <xf numFmtId="0" fontId="9" fillId="29" borderId="0" xfId="145" applyFill="1"/>
    <xf numFmtId="0" fontId="57" fillId="0" borderId="0" xfId="125" applyAlignment="1">
      <alignment horizontal="center" vertical="center"/>
    </xf>
    <xf numFmtId="0" fontId="19" fillId="0" borderId="0" xfId="63"/>
    <xf numFmtId="0" fontId="77" fillId="0" borderId="0" xfId="63" applyFont="1" applyAlignment="1">
      <alignment vertical="center"/>
    </xf>
    <xf numFmtId="0" fontId="28" fillId="2" borderId="38" xfId="129" applyFont="1" applyFill="1" applyBorder="1" applyAlignment="1">
      <alignment horizontal="center"/>
    </xf>
    <xf numFmtId="0" fontId="27" fillId="2" borderId="3" xfId="129" applyFont="1" applyFill="1" applyBorder="1" applyAlignment="1">
      <alignment horizontal="center" vertical="center"/>
    </xf>
    <xf numFmtId="164" fontId="26" fillId="13" borderId="1" xfId="0" applyNumberFormat="1" applyFont="1" applyFill="1" applyBorder="1" applyAlignment="1" applyProtection="1">
      <alignment horizontal="center"/>
      <protection locked="0"/>
    </xf>
    <xf numFmtId="0" fontId="31" fillId="19" borderId="0" xfId="63" applyFont="1" applyFill="1" applyAlignment="1">
      <alignment horizontal="left" vertical="center" wrapText="1"/>
    </xf>
    <xf numFmtId="0" fontId="10" fillId="0" borderId="0" xfId="141" applyAlignment="1">
      <alignment wrapText="1"/>
    </xf>
    <xf numFmtId="0" fontId="28" fillId="20" borderId="0" xfId="0" applyFont="1" applyFill="1" applyAlignment="1">
      <alignment vertical="center" wrapText="1"/>
    </xf>
    <xf numFmtId="0" fontId="26" fillId="0" borderId="0" xfId="0" applyFont="1" applyAlignment="1">
      <alignment wrapText="1"/>
    </xf>
    <xf numFmtId="0" fontId="28" fillId="21" borderId="0" xfId="0" applyFont="1" applyFill="1" applyAlignment="1">
      <alignment vertical="center" wrapText="1"/>
    </xf>
    <xf numFmtId="0" fontId="26" fillId="0" borderId="0" xfId="63" applyFont="1" applyAlignment="1">
      <alignment wrapText="1"/>
    </xf>
    <xf numFmtId="175" fontId="0" fillId="0" borderId="0" xfId="0" applyNumberFormat="1"/>
    <xf numFmtId="0" fontId="31" fillId="19" borderId="0" xfId="0" applyFont="1" applyFill="1" applyAlignment="1">
      <alignment horizontal="left" vertical="center" wrapText="1"/>
    </xf>
    <xf numFmtId="0" fontId="19" fillId="0" borderId="0" xfId="0" applyFont="1" applyAlignment="1">
      <alignment wrapText="1"/>
    </xf>
    <xf numFmtId="0" fontId="0" fillId="0" borderId="0" xfId="0" applyAlignment="1">
      <alignment vertical="center" wrapText="1"/>
    </xf>
    <xf numFmtId="0" fontId="19"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19" fillId="0" borderId="72" xfId="0" applyFont="1" applyBorder="1" applyAlignment="1">
      <alignment horizontal="right" wrapText="1"/>
    </xf>
    <xf numFmtId="0" fontId="19" fillId="0" borderId="2" xfId="0" applyFont="1" applyBorder="1" applyAlignment="1">
      <alignment horizontal="right" wrapText="1"/>
    </xf>
    <xf numFmtId="0" fontId="19" fillId="0" borderId="2" xfId="0" applyFont="1" applyBorder="1" applyAlignment="1">
      <alignment horizontal="left" wrapText="1"/>
    </xf>
    <xf numFmtId="0" fontId="19" fillId="0" borderId="2" xfId="0" applyFont="1" applyBorder="1" applyAlignment="1">
      <alignment horizontal="left"/>
    </xf>
    <xf numFmtId="0" fontId="19" fillId="0" borderId="2" xfId="0" applyFont="1" applyBorder="1"/>
    <xf numFmtId="0" fontId="0" fillId="0" borderId="68" xfId="0" applyBorder="1" applyAlignment="1">
      <alignment vertical="center" wrapText="1"/>
    </xf>
    <xf numFmtId="0" fontId="79" fillId="0" borderId="74" xfId="0" applyFont="1" applyBorder="1" applyAlignment="1">
      <alignment horizontal="right" wrapText="1"/>
    </xf>
    <xf numFmtId="0" fontId="80" fillId="0" borderId="0" xfId="0" applyFont="1" applyAlignment="1">
      <alignment horizontal="left"/>
    </xf>
    <xf numFmtId="0" fontId="0" fillId="0" borderId="81" xfId="0" applyBorder="1"/>
    <xf numFmtId="0" fontId="70" fillId="0" borderId="0" xfId="0" applyFont="1" applyAlignment="1">
      <alignment horizontal="left"/>
    </xf>
    <xf numFmtId="175" fontId="0" fillId="0" borderId="81" xfId="0" applyNumberFormat="1" applyBorder="1"/>
    <xf numFmtId="0" fontId="63" fillId="0" borderId="82" xfId="0" applyFont="1" applyBorder="1" applyAlignment="1">
      <alignment horizontal="right"/>
    </xf>
    <xf numFmtId="175" fontId="0" fillId="0" borderId="83" xfId="0" applyNumberFormat="1" applyBorder="1"/>
    <xf numFmtId="0" fontId="19" fillId="0" borderId="51" xfId="0" applyFont="1" applyBorder="1" applyAlignment="1">
      <alignment horizontal="right" wrapText="1"/>
    </xf>
    <xf numFmtId="0" fontId="19" fillId="0" borderId="25" xfId="0" applyFont="1" applyBorder="1" applyAlignment="1">
      <alignment horizontal="left" wrapText="1"/>
    </xf>
    <xf numFmtId="0" fontId="19"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19" fillId="0" borderId="0" xfId="0" applyNumberFormat="1" applyFont="1"/>
    <xf numFmtId="0" fontId="19" fillId="0" borderId="25" xfId="0" applyFont="1" applyBorder="1"/>
    <xf numFmtId="0" fontId="19" fillId="0" borderId="51" xfId="0" applyFont="1" applyBorder="1" applyAlignment="1">
      <alignment wrapText="1"/>
    </xf>
    <xf numFmtId="0" fontId="0" fillId="0" borderId="78" xfId="0" applyBorder="1" applyAlignment="1">
      <alignment vertical="center" wrapText="1"/>
    </xf>
    <xf numFmtId="0" fontId="19"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164" fontId="26" fillId="13" borderId="1" xfId="2" applyNumberFormat="1" applyFont="1" applyFill="1" applyBorder="1" applyAlignment="1" applyProtection="1">
      <alignment horizontal="center"/>
      <protection locked="0"/>
    </xf>
    <xf numFmtId="0" fontId="51" fillId="20" borderId="0" xfId="0" applyFont="1" applyFill="1" applyAlignment="1">
      <alignment vertical="center" wrapText="1"/>
    </xf>
    <xf numFmtId="0" fontId="41" fillId="21" borderId="0" xfId="0" applyFont="1" applyFill="1" applyAlignment="1">
      <alignment vertical="center" wrapText="1"/>
    </xf>
    <xf numFmtId="0" fontId="36" fillId="0" borderId="0" xfId="0" applyFont="1" applyAlignment="1">
      <alignment vertical="center" wrapText="1"/>
    </xf>
    <xf numFmtId="0" fontId="14" fillId="0" borderId="0" xfId="119" applyAlignment="1">
      <alignment vertical="center" wrapText="1"/>
    </xf>
    <xf numFmtId="0" fontId="12" fillId="0" borderId="11" xfId="130" applyBorder="1"/>
    <xf numFmtId="0" fontId="36" fillId="0" borderId="9" xfId="0" applyFont="1" applyBorder="1"/>
    <xf numFmtId="179" fontId="36" fillId="0" borderId="0" xfId="0" applyNumberFormat="1" applyFont="1"/>
    <xf numFmtId="0" fontId="59"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3" fillId="0" borderId="11" xfId="0" applyFont="1" applyBorder="1"/>
    <xf numFmtId="0" fontId="26" fillId="0" borderId="0" xfId="0" applyFont="1" applyAlignment="1">
      <alignment horizontal="center"/>
    </xf>
    <xf numFmtId="0" fontId="0" fillId="0" borderId="9" xfId="0" applyBorder="1"/>
    <xf numFmtId="0" fontId="0" fillId="0" borderId="19" xfId="0" applyBorder="1"/>
    <xf numFmtId="9" fontId="0" fillId="0" borderId="0" xfId="0" applyNumberFormat="1"/>
    <xf numFmtId="0" fontId="31" fillId="5" borderId="58" xfId="119" applyFont="1" applyFill="1" applyBorder="1" applyAlignment="1">
      <alignment horizontal="center" vertical="center"/>
    </xf>
    <xf numFmtId="0" fontId="31" fillId="5" borderId="61" xfId="119" applyFont="1" applyFill="1" applyBorder="1" applyAlignment="1">
      <alignment horizontal="center" vertical="center"/>
    </xf>
    <xf numFmtId="0" fontId="36" fillId="0" borderId="11" xfId="0" applyFont="1" applyBorder="1"/>
    <xf numFmtId="0" fontId="26" fillId="0" borderId="19" xfId="0" applyFont="1" applyBorder="1"/>
    <xf numFmtId="178" fontId="36" fillId="0" borderId="0" xfId="0" applyNumberFormat="1" applyFont="1"/>
    <xf numFmtId="0" fontId="26" fillId="0" borderId="0" xfId="0" applyFont="1" applyAlignment="1">
      <alignment vertical="center"/>
    </xf>
    <xf numFmtId="0" fontId="31" fillId="5" borderId="58" xfId="119" applyFont="1" applyFill="1" applyBorder="1" applyAlignment="1">
      <alignment horizontal="center" vertical="center" wrapText="1"/>
    </xf>
    <xf numFmtId="165" fontId="36"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7" fillId="0" borderId="0" xfId="125" applyNumberFormat="1" applyAlignment="1">
      <alignment horizontal="left" vertical="center"/>
    </xf>
    <xf numFmtId="4" fontId="11" fillId="0" borderId="2" xfId="135" applyNumberFormat="1" applyBorder="1" applyAlignment="1">
      <alignment horizontal="center" vertical="center"/>
    </xf>
    <xf numFmtId="3" fontId="7" fillId="2" borderId="38" xfId="206" applyNumberFormat="1" applyFill="1" applyBorder="1" applyAlignment="1">
      <alignment horizontal="center"/>
    </xf>
    <xf numFmtId="171" fontId="0" fillId="0" borderId="0" xfId="0" applyNumberFormat="1"/>
    <xf numFmtId="2" fontId="11" fillId="0" borderId="1" xfId="135" applyNumberFormat="1" applyBorder="1" applyAlignment="1">
      <alignment horizontal="center" vertical="center"/>
    </xf>
    <xf numFmtId="164" fontId="28" fillId="0" borderId="27" xfId="2" applyNumberFormat="1" applyFont="1" applyFill="1" applyBorder="1" applyAlignment="1">
      <alignment horizontal="center"/>
    </xf>
    <xf numFmtId="0" fontId="31" fillId="5" borderId="58" xfId="130" applyFont="1" applyFill="1" applyBorder="1" applyAlignment="1">
      <alignment horizontal="center" vertical="center"/>
    </xf>
    <xf numFmtId="0" fontId="28" fillId="0" borderId="56" xfId="138" applyFont="1" applyBorder="1" applyAlignment="1">
      <alignment horizontal="left"/>
    </xf>
    <xf numFmtId="0" fontId="28" fillId="0" borderId="25" xfId="138" applyFont="1" applyBorder="1" applyAlignment="1">
      <alignment horizontal="center" wrapText="1"/>
    </xf>
    <xf numFmtId="0" fontId="10" fillId="0" borderId="52" xfId="138" applyBorder="1" applyAlignment="1">
      <alignment horizontal="left"/>
    </xf>
    <xf numFmtId="0" fontId="59" fillId="5" borderId="5" xfId="119" applyFont="1" applyFill="1" applyBorder="1" applyAlignment="1">
      <alignment horizontal="center" vertical="center" wrapText="1"/>
    </xf>
    <xf numFmtId="0" fontId="26" fillId="0" borderId="94" xfId="0" applyFont="1" applyBorder="1" applyAlignment="1">
      <alignment vertical="center"/>
    </xf>
    <xf numFmtId="165" fontId="36" fillId="0" borderId="94" xfId="0" applyNumberFormat="1" applyFont="1" applyBorder="1" applyAlignment="1">
      <alignment horizontal="center" vertical="center"/>
    </xf>
    <xf numFmtId="0" fontId="31" fillId="5" borderId="95" xfId="119" applyFont="1" applyFill="1" applyBorder="1" applyAlignment="1">
      <alignment horizontal="center" vertical="center" wrapText="1"/>
    </xf>
    <xf numFmtId="0" fontId="31" fillId="5" borderId="96" xfId="119" applyFont="1" applyFill="1" applyBorder="1" applyAlignment="1">
      <alignment horizontal="center" vertical="center"/>
    </xf>
    <xf numFmtId="0" fontId="19" fillId="2" borderId="94" xfId="0" applyFont="1" applyFill="1" applyBorder="1" applyAlignment="1">
      <alignment horizontal="center"/>
    </xf>
    <xf numFmtId="0" fontId="36" fillId="0" borderId="99" xfId="0" applyFont="1" applyBorder="1"/>
    <xf numFmtId="0" fontId="36" fillId="0" borderId="102" xfId="0" applyFont="1" applyBorder="1"/>
    <xf numFmtId="0" fontId="36" fillId="0" borderId="9" xfId="0" applyFont="1" applyBorder="1" applyAlignment="1">
      <alignment vertical="center"/>
    </xf>
    <xf numFmtId="0" fontId="31" fillId="5" borderId="61" xfId="130" applyFont="1" applyFill="1" applyBorder="1" applyAlignment="1">
      <alignment horizontal="center" vertical="center"/>
    </xf>
    <xf numFmtId="164" fontId="31" fillId="5" borderId="2" xfId="119" applyNumberFormat="1" applyFont="1" applyFill="1" applyBorder="1" applyAlignment="1">
      <alignment horizontal="center" vertical="center" wrapText="1"/>
    </xf>
    <xf numFmtId="164" fontId="34" fillId="0" borderId="19" xfId="26" applyNumberFormat="1" applyFont="1" applyBorder="1" applyAlignment="1">
      <alignment vertical="center" wrapText="1"/>
    </xf>
    <xf numFmtId="0" fontId="31" fillId="5" borderId="62" xfId="119" applyFont="1" applyFill="1" applyBorder="1" applyAlignment="1">
      <alignment horizontal="center" vertical="center"/>
    </xf>
    <xf numFmtId="0" fontId="26" fillId="0" borderId="11" xfId="0" applyFont="1" applyBorder="1" applyAlignment="1">
      <alignment horizontal="center"/>
    </xf>
    <xf numFmtId="0" fontId="26" fillId="0" borderId="19" xfId="0" applyFont="1" applyBorder="1" applyAlignment="1">
      <alignment horizontal="center"/>
    </xf>
    <xf numFmtId="0" fontId="26" fillId="0" borderId="9" xfId="0" applyFont="1" applyBorder="1" applyAlignment="1">
      <alignment horizontal="center"/>
    </xf>
    <xf numFmtId="0" fontId="26" fillId="0" borderId="10" xfId="0" applyFont="1" applyBorder="1"/>
    <xf numFmtId="0" fontId="26" fillId="0" borderId="12" xfId="0" applyFont="1" applyBorder="1"/>
    <xf numFmtId="0" fontId="31" fillId="0" borderId="0" xfId="112" applyFont="1" applyAlignment="1">
      <alignment horizontal="left" vertical="center"/>
    </xf>
    <xf numFmtId="0" fontId="59" fillId="0" borderId="0" xfId="112" applyFont="1"/>
    <xf numFmtId="0" fontId="28" fillId="0" borderId="0" xfId="129" applyFont="1" applyAlignment="1">
      <alignment horizontal="center" vertical="center"/>
    </xf>
    <xf numFmtId="1" fontId="13" fillId="2" borderId="0" xfId="129" applyNumberFormat="1" applyFill="1" applyAlignment="1">
      <alignment horizontal="center" vertical="center"/>
    </xf>
    <xf numFmtId="164" fontId="27" fillId="0" borderId="0" xfId="0" applyNumberFormat="1" applyFont="1" applyAlignment="1">
      <alignment wrapText="1"/>
    </xf>
    <xf numFmtId="164" fontId="36" fillId="0" borderId="0" xfId="0" applyNumberFormat="1" applyFont="1" applyAlignment="1">
      <alignment wrapText="1"/>
    </xf>
    <xf numFmtId="164" fontId="32" fillId="0" borderId="2" xfId="119" applyNumberFormat="1" applyFont="1" applyBorder="1" applyAlignment="1">
      <alignment horizontal="center" vertical="center" wrapText="1"/>
    </xf>
    <xf numFmtId="164" fontId="59" fillId="5" borderId="5" xfId="119" applyNumberFormat="1" applyFont="1" applyFill="1" applyBorder="1" applyAlignment="1">
      <alignment horizontal="center" vertical="center" wrapText="1"/>
    </xf>
    <xf numFmtId="1" fontId="27" fillId="0" borderId="0" xfId="0" applyNumberFormat="1" applyFont="1" applyAlignment="1">
      <alignment wrapText="1"/>
    </xf>
    <xf numFmtId="1" fontId="36" fillId="0" borderId="0" xfId="0" applyNumberFormat="1" applyFont="1" applyAlignment="1">
      <alignment wrapText="1"/>
    </xf>
    <xf numFmtId="1" fontId="32" fillId="0" borderId="2" xfId="119" applyNumberFormat="1" applyFont="1" applyBorder="1" applyAlignment="1">
      <alignment horizontal="center" vertical="center" wrapText="1"/>
    </xf>
    <xf numFmtId="1" fontId="31" fillId="5" borderId="2" xfId="119" applyNumberFormat="1" applyFont="1" applyFill="1" applyBorder="1" applyAlignment="1">
      <alignment horizontal="center" vertical="center" wrapText="1"/>
    </xf>
    <xf numFmtId="1" fontId="59" fillId="5" borderId="5" xfId="119" applyNumberFormat="1" applyFont="1" applyFill="1" applyBorder="1" applyAlignment="1">
      <alignment horizontal="center" vertical="center" wrapText="1"/>
    </xf>
    <xf numFmtId="1" fontId="34" fillId="0" borderId="19" xfId="26" applyNumberFormat="1" applyFont="1" applyBorder="1" applyAlignment="1">
      <alignment vertical="center" wrapText="1"/>
    </xf>
    <xf numFmtId="3" fontId="36" fillId="0" borderId="0" xfId="0" applyNumberFormat="1" applyFont="1"/>
    <xf numFmtId="0" fontId="99" fillId="0" borderId="0" xfId="209" applyAlignment="1">
      <alignment horizontal="left" vertical="top"/>
    </xf>
    <xf numFmtId="2" fontId="53" fillId="0" borderId="0" xfId="209" applyNumberFormat="1" applyFont="1" applyAlignment="1">
      <alignment horizontal="right" vertical="top"/>
    </xf>
    <xf numFmtId="0" fontId="53" fillId="0" borderId="0" xfId="209" applyFont="1" applyAlignment="1">
      <alignment horizontal="right" vertical="top"/>
    </xf>
    <xf numFmtId="0" fontId="99" fillId="0" borderId="0" xfId="209" applyAlignment="1">
      <alignment horizontal="right" vertical="top"/>
    </xf>
    <xf numFmtId="0" fontId="53" fillId="0" borderId="36" xfId="209" applyFont="1" applyBorder="1" applyAlignment="1">
      <alignment horizontal="right" vertical="top"/>
    </xf>
    <xf numFmtId="0" fontId="100" fillId="0" borderId="0" xfId="209" applyFont="1" applyAlignment="1">
      <alignment horizontal="left" vertical="top"/>
    </xf>
    <xf numFmtId="2" fontId="28" fillId="0" borderId="0" xfId="209" applyNumberFormat="1" applyFont="1" applyAlignment="1">
      <alignment horizontal="right"/>
    </xf>
    <xf numFmtId="0" fontId="100" fillId="0" borderId="0" xfId="209" applyFont="1" applyAlignment="1">
      <alignment horizontal="right" vertical="top"/>
    </xf>
    <xf numFmtId="0" fontId="100" fillId="0" borderId="36" xfId="209" applyFont="1" applyBorder="1" applyAlignment="1">
      <alignment horizontal="right" vertical="top"/>
    </xf>
    <xf numFmtId="2" fontId="99" fillId="0" borderId="0" xfId="209" applyNumberFormat="1" applyAlignment="1">
      <alignment horizontal="right" vertical="top"/>
    </xf>
    <xf numFmtId="9" fontId="99" fillId="0" borderId="0" xfId="209" applyNumberFormat="1" applyAlignment="1">
      <alignment horizontal="right" vertical="top"/>
    </xf>
    <xf numFmtId="9" fontId="99" fillId="0" borderId="36" xfId="209" applyNumberFormat="1" applyBorder="1" applyAlignment="1">
      <alignment horizontal="right" vertical="top"/>
    </xf>
    <xf numFmtId="0" fontId="99" fillId="2" borderId="0" xfId="209" applyFill="1" applyAlignment="1">
      <alignment horizontal="left" vertical="top"/>
    </xf>
    <xf numFmtId="2" fontId="99" fillId="2" borderId="0" xfId="209" applyNumberFormat="1" applyFill="1" applyAlignment="1">
      <alignment horizontal="right" vertical="top"/>
    </xf>
    <xf numFmtId="2" fontId="100" fillId="0" borderId="0" xfId="209" applyNumberFormat="1" applyFont="1" applyAlignment="1">
      <alignment horizontal="right" vertical="top"/>
    </xf>
    <xf numFmtId="9" fontId="100" fillId="0" borderId="0" xfId="209" applyNumberFormat="1" applyFont="1" applyAlignment="1">
      <alignment horizontal="right" vertical="top"/>
    </xf>
    <xf numFmtId="9" fontId="100" fillId="0" borderId="36" xfId="209" applyNumberFormat="1" applyFont="1" applyBorder="1" applyAlignment="1">
      <alignment horizontal="right" vertical="top"/>
    </xf>
    <xf numFmtId="9" fontId="100" fillId="2" borderId="0" xfId="209" applyNumberFormat="1" applyFont="1" applyFill="1" applyAlignment="1">
      <alignment horizontal="right" vertical="top"/>
    </xf>
    <xf numFmtId="9" fontId="100" fillId="2" borderId="36" xfId="209" applyNumberFormat="1" applyFont="1" applyFill="1" applyBorder="1" applyAlignment="1">
      <alignment horizontal="right" vertical="top"/>
    </xf>
    <xf numFmtId="0" fontId="100" fillId="2" borderId="0" xfId="209" applyFont="1" applyFill="1" applyAlignment="1">
      <alignment horizontal="left" vertical="top"/>
    </xf>
    <xf numFmtId="0" fontId="100" fillId="0" borderId="0" xfId="116" applyFont="1" applyAlignment="1">
      <alignment horizontal="left" vertical="top"/>
    </xf>
    <xf numFmtId="0" fontId="101" fillId="0" borderId="0" xfId="116" applyFont="1" applyAlignment="1">
      <alignment horizontal="left" vertical="top"/>
    </xf>
    <xf numFmtId="0" fontId="102" fillId="0" borderId="0" xfId="116" applyFont="1" applyAlignment="1">
      <alignment horizontal="left" vertical="top"/>
    </xf>
    <xf numFmtId="0" fontId="63" fillId="0" borderId="2" xfId="0" applyFont="1" applyBorder="1" applyAlignment="1">
      <alignment horizontal="center"/>
    </xf>
    <xf numFmtId="0" fontId="19" fillId="0" borderId="10" xfId="0" applyFont="1" applyBorder="1"/>
    <xf numFmtId="0" fontId="19" fillId="0" borderId="11" xfId="0" applyFont="1" applyBorder="1"/>
    <xf numFmtId="0" fontId="28" fillId="0" borderId="0" xfId="210" applyFont="1"/>
    <xf numFmtId="0" fontId="5" fillId="0" borderId="0" xfId="210"/>
    <xf numFmtId="0" fontId="19" fillId="0" borderId="18" xfId="0" applyFont="1" applyBorder="1" applyAlignment="1">
      <alignment horizontal="center"/>
    </xf>
    <xf numFmtId="168" fontId="0" fillId="0" borderId="0" xfId="0" applyNumberFormat="1"/>
    <xf numFmtId="168" fontId="63" fillId="0" borderId="0" xfId="0" applyNumberFormat="1" applyFont="1"/>
    <xf numFmtId="0" fontId="31" fillId="0" borderId="0" xfId="0" applyFont="1" applyAlignment="1">
      <alignment horizontal="left" vertical="center"/>
    </xf>
    <xf numFmtId="164" fontId="31" fillId="0" borderId="0" xfId="0" applyNumberFormat="1" applyFont="1" applyAlignment="1">
      <alignment horizontal="left" vertical="center"/>
    </xf>
    <xf numFmtId="0" fontId="10" fillId="0" borderId="0" xfId="139" applyAlignment="1">
      <alignment horizontal="center" vertical="center"/>
    </xf>
    <xf numFmtId="0" fontId="28" fillId="0" borderId="0" xfId="136" applyFont="1"/>
    <xf numFmtId="3" fontId="10" fillId="0" borderId="2" xfId="136" applyNumberFormat="1" applyBorder="1" applyAlignment="1">
      <alignment horizontal="center" vertical="center"/>
    </xf>
    <xf numFmtId="3" fontId="10" fillId="0" borderId="51" xfId="136" applyNumberFormat="1" applyBorder="1" applyAlignment="1">
      <alignment horizontal="center" vertical="center"/>
    </xf>
    <xf numFmtId="164" fontId="26" fillId="13" borderId="2" xfId="63" applyNumberFormat="1" applyFont="1" applyFill="1" applyBorder="1" applyAlignment="1" applyProtection="1">
      <alignment horizontal="center"/>
      <protection locked="0"/>
    </xf>
    <xf numFmtId="2" fontId="105" fillId="0" borderId="18" xfId="137" applyNumberFormat="1" applyFont="1" applyBorder="1" applyAlignment="1">
      <alignment horizontal="center" vertical="center"/>
    </xf>
    <xf numFmtId="2" fontId="10" fillId="0" borderId="2" xfId="136" applyNumberFormat="1" applyBorder="1" applyAlignment="1">
      <alignment horizontal="center" vertical="center"/>
    </xf>
    <xf numFmtId="2" fontId="10" fillId="0" borderId="15" xfId="136" applyNumberFormat="1" applyBorder="1" applyAlignment="1">
      <alignment horizontal="center" vertical="center"/>
    </xf>
    <xf numFmtId="2" fontId="28" fillId="0" borderId="18" xfId="137" applyNumberFormat="1" applyFont="1" applyBorder="1"/>
    <xf numFmtId="2" fontId="10" fillId="2" borderId="2" xfId="136" applyNumberFormat="1" applyFill="1" applyBorder="1" applyAlignment="1">
      <alignment horizontal="center" vertical="center"/>
    </xf>
    <xf numFmtId="2" fontId="28" fillId="0" borderId="52" xfId="137" applyNumberFormat="1" applyFont="1" applyBorder="1"/>
    <xf numFmtId="2" fontId="10" fillId="2" borderId="51" xfId="136" applyNumberFormat="1" applyFill="1" applyBorder="1" applyAlignment="1">
      <alignment horizontal="center" vertical="center"/>
    </xf>
    <xf numFmtId="2" fontId="10" fillId="0" borderId="51" xfId="136" applyNumberFormat="1" applyBorder="1" applyAlignment="1">
      <alignment horizontal="center" vertical="center"/>
    </xf>
    <xf numFmtId="2" fontId="10" fillId="0" borderId="59" xfId="136" applyNumberFormat="1" applyBorder="1" applyAlignment="1">
      <alignment horizontal="center" vertical="center"/>
    </xf>
    <xf numFmtId="0" fontId="19" fillId="2" borderId="0" xfId="0" applyFont="1" applyFill="1" applyAlignment="1">
      <alignment horizontal="right"/>
    </xf>
    <xf numFmtId="164" fontId="28" fillId="0" borderId="19" xfId="2" applyNumberFormat="1" applyFont="1" applyFill="1" applyBorder="1" applyAlignment="1">
      <alignment horizontal="center"/>
    </xf>
    <xf numFmtId="3" fontId="31" fillId="5" borderId="2" xfId="141" applyNumberFormat="1" applyFont="1" applyFill="1" applyBorder="1" applyAlignment="1">
      <alignment horizontal="center" vertical="center" wrapText="1"/>
    </xf>
    <xf numFmtId="0" fontId="63" fillId="0" borderId="2" xfId="0" applyFont="1" applyBorder="1" applyAlignment="1">
      <alignment horizontal="center" vertical="center"/>
    </xf>
    <xf numFmtId="168" fontId="0" fillId="0" borderId="15" xfId="0" applyNumberFormat="1" applyBorder="1"/>
    <xf numFmtId="0" fontId="0" fillId="0" borderId="15" xfId="0" applyBorder="1" applyAlignment="1">
      <alignment horizontal="center" vertical="center"/>
    </xf>
    <xf numFmtId="0" fontId="0" fillId="0" borderId="59" xfId="0" applyBorder="1" applyAlignment="1">
      <alignment horizontal="center" vertical="center"/>
    </xf>
    <xf numFmtId="0" fontId="31" fillId="19" borderId="0" xfId="112" applyFont="1" applyFill="1" applyAlignment="1">
      <alignment vertical="center"/>
    </xf>
    <xf numFmtId="0" fontId="31" fillId="0" borderId="0" xfId="112" applyFont="1" applyAlignment="1">
      <alignment vertical="center"/>
    </xf>
    <xf numFmtId="0" fontId="19" fillId="2" borderId="0" xfId="0" applyFont="1" applyFill="1"/>
    <xf numFmtId="3" fontId="10" fillId="0" borderId="15" xfId="136" applyNumberFormat="1" applyBorder="1" applyAlignment="1">
      <alignment horizontal="center" vertical="center"/>
    </xf>
    <xf numFmtId="3" fontId="10" fillId="0" borderId="59" xfId="136" applyNumberFormat="1" applyBorder="1" applyAlignment="1">
      <alignment horizontal="center" vertical="center"/>
    </xf>
    <xf numFmtId="9" fontId="10" fillId="0" borderId="0" xfId="136" applyNumberFormat="1" applyAlignment="1">
      <alignment horizontal="center" vertical="center"/>
    </xf>
    <xf numFmtId="0" fontId="105" fillId="0" borderId="0" xfId="0" applyFont="1" applyAlignment="1">
      <alignment horizontal="left" vertical="center"/>
    </xf>
    <xf numFmtId="10" fontId="10" fillId="2" borderId="0" xfId="136" applyNumberFormat="1" applyFill="1" applyAlignment="1">
      <alignment horizontal="center" vertical="center"/>
    </xf>
    <xf numFmtId="0" fontId="63" fillId="0" borderId="21" xfId="0" applyFont="1" applyBorder="1" applyAlignment="1">
      <alignment horizontal="center"/>
    </xf>
    <xf numFmtId="0" fontId="19" fillId="0" borderId="0" xfId="0" applyFont="1" applyAlignment="1">
      <alignment horizontal="right"/>
    </xf>
    <xf numFmtId="0" fontId="10" fillId="0" borderId="0" xfId="136" applyAlignment="1">
      <alignment horizontal="left" vertical="center"/>
    </xf>
    <xf numFmtId="0" fontId="28" fillId="0" borderId="0" xfId="137" applyFont="1" applyAlignment="1">
      <alignment horizontal="left" vertical="center" wrapText="1"/>
    </xf>
    <xf numFmtId="2" fontId="28" fillId="0" borderId="2" xfId="136" applyNumberFormat="1" applyFont="1" applyBorder="1" applyAlignment="1">
      <alignment horizontal="center" vertical="center"/>
    </xf>
    <xf numFmtId="2" fontId="28" fillId="0" borderId="15" xfId="136" applyNumberFormat="1" applyFont="1" applyBorder="1" applyAlignment="1">
      <alignment horizontal="center" vertical="center"/>
    </xf>
    <xf numFmtId="2" fontId="105" fillId="0" borderId="39" xfId="137" applyNumberFormat="1" applyFont="1" applyBorder="1" applyAlignment="1">
      <alignment horizontal="center" vertical="center"/>
    </xf>
    <xf numFmtId="0" fontId="75" fillId="2" borderId="39" xfId="0" applyFont="1" applyFill="1" applyBorder="1"/>
    <xf numFmtId="2" fontId="28" fillId="0" borderId="46" xfId="137" applyNumberFormat="1" applyFont="1" applyBorder="1" applyAlignment="1">
      <alignment horizontal="right"/>
    </xf>
    <xf numFmtId="2" fontId="28" fillId="0" borderId="5" xfId="136" applyNumberFormat="1" applyFont="1" applyBorder="1" applyAlignment="1">
      <alignment horizontal="center" vertical="center"/>
    </xf>
    <xf numFmtId="2" fontId="28" fillId="0" borderId="18" xfId="136" applyNumberFormat="1" applyFont="1" applyBorder="1" applyAlignment="1">
      <alignment horizontal="center" vertical="center"/>
    </xf>
    <xf numFmtId="0" fontId="14" fillId="0" borderId="18" xfId="119" applyBorder="1" applyAlignment="1">
      <alignment horizontal="center"/>
    </xf>
    <xf numFmtId="0" fontId="14" fillId="0" borderId="52" xfId="119" applyBorder="1" applyAlignment="1">
      <alignment horizontal="center"/>
    </xf>
    <xf numFmtId="3" fontId="14" fillId="0" borderId="51" xfId="119" applyNumberFormat="1" applyBorder="1" applyAlignment="1">
      <alignment horizontal="center" vertical="center"/>
    </xf>
    <xf numFmtId="171" fontId="63" fillId="0" borderId="2" xfId="0" applyNumberFormat="1" applyFont="1" applyBorder="1" applyAlignment="1">
      <alignment horizontal="center"/>
    </xf>
    <xf numFmtId="171" fontId="63" fillId="0" borderId="15" xfId="0" applyNumberFormat="1" applyFont="1" applyBorder="1" applyAlignment="1">
      <alignment horizontal="center"/>
    </xf>
    <xf numFmtId="0" fontId="19" fillId="0" borderId="65" xfId="0" applyFont="1" applyBorder="1"/>
    <xf numFmtId="0" fontId="19" fillId="2" borderId="39" xfId="0" applyFont="1" applyFill="1" applyBorder="1"/>
    <xf numFmtId="171" fontId="63" fillId="0" borderId="5" xfId="0" applyNumberFormat="1" applyFont="1" applyBorder="1" applyAlignment="1">
      <alignment horizontal="center"/>
    </xf>
    <xf numFmtId="171" fontId="63" fillId="0" borderId="18" xfId="0" applyNumberFormat="1" applyFont="1" applyBorder="1" applyAlignment="1">
      <alignment horizontal="center"/>
    </xf>
    <xf numFmtId="171" fontId="63" fillId="0" borderId="2" xfId="0" applyNumberFormat="1" applyFont="1" applyBorder="1"/>
    <xf numFmtId="0" fontId="63" fillId="0" borderId="15" xfId="0" applyFont="1" applyBorder="1"/>
    <xf numFmtId="0" fontId="28" fillId="0" borderId="0" xfId="134" applyFont="1"/>
    <xf numFmtId="0" fontId="19" fillId="0" borderId="39" xfId="0" applyFont="1" applyBorder="1"/>
    <xf numFmtId="0" fontId="19" fillId="2" borderId="10" xfId="0" applyFont="1" applyFill="1" applyBorder="1"/>
    <xf numFmtId="3" fontId="28" fillId="0" borderId="49" xfId="0" applyNumberFormat="1" applyFont="1" applyBorder="1" applyAlignment="1">
      <alignment horizontal="center" vertical="center"/>
    </xf>
    <xf numFmtId="171" fontId="28" fillId="0" borderId="49" xfId="0" applyNumberFormat="1" applyFont="1" applyBorder="1" applyAlignment="1">
      <alignment horizontal="center" vertical="center"/>
    </xf>
    <xf numFmtId="3" fontId="28" fillId="0" borderId="47" xfId="0" applyNumberFormat="1" applyFont="1" applyBorder="1" applyAlignment="1">
      <alignment horizontal="center" vertical="center"/>
    </xf>
    <xf numFmtId="3" fontId="12" fillId="0" borderId="18" xfId="134" applyNumberFormat="1" applyBorder="1"/>
    <xf numFmtId="3" fontId="0" fillId="0" borderId="2" xfId="0" applyNumberFormat="1" applyBorder="1"/>
    <xf numFmtId="0" fontId="28" fillId="0" borderId="58" xfId="134" applyFont="1" applyBorder="1" applyAlignment="1">
      <alignment horizontal="center" vertical="center"/>
    </xf>
    <xf numFmtId="3" fontId="12" fillId="2" borderId="18" xfId="134" applyNumberFormat="1" applyFill="1" applyBorder="1" applyAlignment="1">
      <alignment horizontal="center" vertical="center"/>
    </xf>
    <xf numFmtId="3" fontId="12" fillId="2" borderId="15" xfId="134" applyNumberFormat="1" applyFill="1" applyBorder="1" applyAlignment="1">
      <alignment horizontal="center" vertical="center"/>
    </xf>
    <xf numFmtId="3" fontId="28" fillId="0" borderId="106" xfId="0" applyNumberFormat="1" applyFont="1" applyBorder="1" applyAlignment="1">
      <alignment horizontal="center" vertical="center"/>
    </xf>
    <xf numFmtId="3" fontId="28" fillId="0" borderId="50" xfId="0" applyNumberFormat="1" applyFont="1" applyBorder="1" applyAlignment="1">
      <alignment horizontal="center" vertical="center"/>
    </xf>
    <xf numFmtId="171" fontId="28" fillId="0" borderId="106" xfId="0" applyNumberFormat="1" applyFont="1" applyBorder="1" applyAlignment="1">
      <alignment horizontal="center" vertical="center"/>
    </xf>
    <xf numFmtId="171" fontId="28" fillId="0" borderId="47" xfId="0" applyNumberFormat="1" applyFont="1" applyBorder="1" applyAlignment="1">
      <alignment horizontal="center" vertical="center"/>
    </xf>
    <xf numFmtId="0" fontId="28" fillId="0" borderId="0" xfId="134" applyFont="1" applyAlignment="1">
      <alignment horizontal="center"/>
    </xf>
    <xf numFmtId="4" fontId="0" fillId="0" borderId="2" xfId="0" applyNumberFormat="1" applyBorder="1"/>
    <xf numFmtId="4" fontId="0" fillId="0" borderId="15" xfId="0" applyNumberFormat="1" applyBorder="1"/>
    <xf numFmtId="3" fontId="12"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0" fillId="2" borderId="18" xfId="136" applyNumberFormat="1" applyFill="1" applyBorder="1" applyAlignment="1">
      <alignment horizontal="center" vertical="center"/>
    </xf>
    <xf numFmtId="171" fontId="10" fillId="2" borderId="2" xfId="136" applyNumberFormat="1" applyFill="1" applyBorder="1" applyAlignment="1">
      <alignment horizontal="center" vertical="center"/>
    </xf>
    <xf numFmtId="171" fontId="10" fillId="2" borderId="15" xfId="136" applyNumberFormat="1" applyFill="1" applyBorder="1" applyAlignment="1">
      <alignment horizontal="center" vertical="center"/>
    </xf>
    <xf numFmtId="171" fontId="10" fillId="2" borderId="5" xfId="136" applyNumberFormat="1" applyFill="1" applyBorder="1" applyAlignment="1">
      <alignment horizontal="center" vertical="center"/>
    </xf>
    <xf numFmtId="171" fontId="10" fillId="0" borderId="18" xfId="136" applyNumberFormat="1" applyBorder="1" applyAlignment="1">
      <alignment horizontal="center" vertical="center"/>
    </xf>
    <xf numFmtId="171" fontId="10" fillId="0" borderId="15" xfId="136" applyNumberFormat="1" applyBorder="1" applyAlignment="1">
      <alignment horizontal="center" vertical="center"/>
    </xf>
    <xf numFmtId="171" fontId="28" fillId="0" borderId="52" xfId="136" applyNumberFormat="1" applyFont="1" applyBorder="1" applyAlignment="1">
      <alignment horizontal="center" vertical="center"/>
    </xf>
    <xf numFmtId="171" fontId="28" fillId="0" borderId="51" xfId="136" applyNumberFormat="1" applyFont="1" applyBorder="1" applyAlignment="1">
      <alignment horizontal="center" vertical="center"/>
    </xf>
    <xf numFmtId="171" fontId="28" fillId="0" borderId="59" xfId="136" applyNumberFormat="1" applyFont="1" applyBorder="1" applyAlignment="1">
      <alignment horizontal="center" vertical="center"/>
    </xf>
    <xf numFmtId="171" fontId="28" fillId="0" borderId="64" xfId="136" applyNumberFormat="1" applyFont="1" applyBorder="1" applyAlignment="1">
      <alignment horizontal="center" vertical="center"/>
    </xf>
    <xf numFmtId="171" fontId="10" fillId="0" borderId="0" xfId="136" applyNumberFormat="1" applyAlignment="1">
      <alignment horizontal="center" vertical="center"/>
    </xf>
    <xf numFmtId="0" fontId="75" fillId="2" borderId="107" xfId="0" applyFont="1" applyFill="1" applyBorder="1"/>
    <xf numFmtId="171" fontId="10" fillId="2" borderId="7" xfId="136" applyNumberFormat="1" applyFill="1" applyBorder="1" applyAlignment="1">
      <alignment horizontal="center" vertical="center"/>
    </xf>
    <xf numFmtId="171" fontId="10" fillId="2" borderId="105" xfId="136" applyNumberFormat="1" applyFill="1" applyBorder="1" applyAlignment="1">
      <alignment horizontal="center" vertical="center"/>
    </xf>
    <xf numFmtId="171" fontId="10" fillId="0" borderId="53" xfId="136" applyNumberFormat="1" applyBorder="1" applyAlignment="1">
      <alignment horizontal="center" vertical="center"/>
    </xf>
    <xf numFmtId="171" fontId="10" fillId="0" borderId="105" xfId="136" applyNumberFormat="1" applyBorder="1" applyAlignment="1">
      <alignment horizontal="center" vertical="center"/>
    </xf>
    <xf numFmtId="171" fontId="10" fillId="0" borderId="0" xfId="136" applyNumberFormat="1"/>
    <xf numFmtId="0" fontId="10" fillId="0" borderId="0" xfId="136" applyAlignment="1">
      <alignment horizontal="right"/>
    </xf>
    <xf numFmtId="0" fontId="28" fillId="26" borderId="0" xfId="137" applyFont="1" applyFill="1" applyAlignment="1">
      <alignment horizontal="left" wrapText="1"/>
    </xf>
    <xf numFmtId="3" fontId="10" fillId="0" borderId="15" xfId="138" applyNumberFormat="1" applyBorder="1" applyAlignment="1">
      <alignment horizontal="center" wrapText="1"/>
    </xf>
    <xf numFmtId="3" fontId="28" fillId="0" borderId="25" xfId="136" applyNumberFormat="1" applyFont="1" applyBorder="1" applyAlignment="1">
      <alignment horizontal="center" vertical="center"/>
    </xf>
    <xf numFmtId="3" fontId="28" fillId="0" borderId="2" xfId="138" applyNumberFormat="1" applyFont="1" applyBorder="1" applyAlignment="1">
      <alignment horizontal="center" wrapText="1"/>
    </xf>
    <xf numFmtId="3" fontId="28" fillId="0" borderId="2" xfId="136" applyNumberFormat="1" applyFont="1" applyBorder="1" applyAlignment="1">
      <alignment horizontal="center" vertical="center"/>
    </xf>
    <xf numFmtId="3" fontId="28" fillId="0" borderId="15" xfId="138" applyNumberFormat="1" applyFont="1" applyBorder="1" applyAlignment="1">
      <alignment horizontal="center" wrapText="1"/>
    </xf>
    <xf numFmtId="3" fontId="10" fillId="0" borderId="0" xfId="136" applyNumberFormat="1" applyAlignment="1">
      <alignment horizontal="center" vertical="center"/>
    </xf>
    <xf numFmtId="171" fontId="5" fillId="0" borderId="0" xfId="210" applyNumberFormat="1"/>
    <xf numFmtId="0" fontId="26" fillId="2" borderId="0" xfId="0" applyFont="1" applyFill="1" applyAlignment="1">
      <alignment horizontal="center"/>
    </xf>
    <xf numFmtId="0" fontId="31" fillId="0" borderId="11" xfId="119" applyFont="1" applyBorder="1" applyAlignment="1">
      <alignment horizontal="center" vertical="center"/>
    </xf>
    <xf numFmtId="0" fontId="26" fillId="0" borderId="11" xfId="0" applyFont="1" applyBorder="1" applyAlignment="1">
      <alignment vertical="center"/>
    </xf>
    <xf numFmtId="165" fontId="36" fillId="0" borderId="0" xfId="0" applyNumberFormat="1" applyFont="1" applyAlignment="1">
      <alignment horizontal="center"/>
    </xf>
    <xf numFmtId="0" fontId="31" fillId="0" borderId="108" xfId="119" applyFont="1" applyBorder="1" applyAlignment="1">
      <alignment horizontal="center" vertical="center"/>
    </xf>
    <xf numFmtId="0" fontId="10" fillId="0" borderId="0" xfId="141" applyAlignment="1">
      <alignment horizontal="center"/>
    </xf>
    <xf numFmtId="0" fontId="31" fillId="5" borderId="58" xfId="141" applyFont="1" applyFill="1" applyBorder="1" applyAlignment="1">
      <alignment horizontal="center" vertical="center" wrapText="1"/>
    </xf>
    <xf numFmtId="0" fontId="31" fillId="5" borderId="61" xfId="141" applyFont="1" applyFill="1" applyBorder="1" applyAlignment="1">
      <alignment horizontal="center" vertical="center"/>
    </xf>
    <xf numFmtId="0" fontId="10" fillId="0" borderId="11" xfId="141" applyBorder="1"/>
    <xf numFmtId="165" fontId="10" fillId="0" borderId="0" xfId="141" applyNumberFormat="1" applyAlignment="1">
      <alignment horizontal="center"/>
    </xf>
    <xf numFmtId="0" fontId="91" fillId="2" borderId="10" xfId="63" applyFont="1" applyFill="1" applyBorder="1" applyAlignment="1">
      <alignment wrapText="1"/>
    </xf>
    <xf numFmtId="0" fontId="26" fillId="0" borderId="11" xfId="63" applyFont="1" applyBorder="1"/>
    <xf numFmtId="0" fontId="10" fillId="0" borderId="10" xfId="141" applyBorder="1" applyAlignment="1">
      <alignment wrapText="1"/>
    </xf>
    <xf numFmtId="0" fontId="10" fillId="0" borderId="12" xfId="141" applyBorder="1" applyAlignment="1">
      <alignment wrapText="1"/>
    </xf>
    <xf numFmtId="0" fontId="26" fillId="0" borderId="19" xfId="63" applyFont="1" applyBorder="1"/>
    <xf numFmtId="0" fontId="10" fillId="0" borderId="9" xfId="141" applyBorder="1"/>
    <xf numFmtId="0" fontId="26" fillId="0" borderId="11" xfId="0" applyFont="1" applyBorder="1"/>
    <xf numFmtId="2" fontId="26" fillId="0" borderId="19" xfId="0" applyNumberFormat="1" applyFont="1" applyBorder="1" applyAlignment="1">
      <alignment horizontal="center"/>
    </xf>
    <xf numFmtId="0" fontId="26" fillId="0" borderId="9" xfId="0" applyFont="1" applyBorder="1"/>
    <xf numFmtId="1" fontId="19" fillId="0" borderId="0" xfId="0" applyNumberFormat="1" applyFont="1" applyAlignment="1">
      <alignment horizontal="left"/>
    </xf>
    <xf numFmtId="0" fontId="12" fillId="0" borderId="12" xfId="130" applyBorder="1"/>
    <xf numFmtId="0" fontId="12" fillId="0" borderId="19" xfId="130" applyBorder="1" applyAlignment="1">
      <alignment horizontal="center"/>
    </xf>
    <xf numFmtId="0" fontId="12" fillId="0" borderId="9" xfId="130" applyBorder="1"/>
    <xf numFmtId="0" fontId="31" fillId="5" borderId="58" xfId="127" applyFont="1" applyFill="1" applyBorder="1" applyAlignment="1">
      <alignment horizontal="center" vertical="center"/>
    </xf>
    <xf numFmtId="0" fontId="31" fillId="5" borderId="61" xfId="127" applyFont="1" applyFill="1" applyBorder="1" applyAlignment="1">
      <alignment horizontal="center" vertical="center"/>
    </xf>
    <xf numFmtId="0" fontId="27" fillId="0" borderId="11" xfId="0" applyFont="1" applyBorder="1" applyAlignment="1">
      <alignment wrapText="1"/>
    </xf>
    <xf numFmtId="0" fontId="26" fillId="2" borderId="19" xfId="0" applyFont="1" applyFill="1" applyBorder="1" applyAlignment="1">
      <alignment horizontal="center"/>
    </xf>
    <xf numFmtId="1" fontId="26" fillId="0" borderId="0" xfId="0" applyNumberFormat="1" applyFont="1"/>
    <xf numFmtId="3" fontId="10" fillId="2" borderId="2" xfId="136" applyNumberFormat="1" applyFill="1" applyBorder="1" applyAlignment="1">
      <alignment horizontal="center" vertical="center"/>
    </xf>
    <xf numFmtId="3" fontId="10" fillId="2" borderId="51" xfId="136" applyNumberFormat="1" applyFill="1" applyBorder="1" applyAlignment="1">
      <alignment horizontal="center" vertical="center"/>
    </xf>
    <xf numFmtId="10" fontId="10" fillId="2" borderId="0" xfId="136" applyNumberFormat="1" applyFill="1" applyAlignment="1">
      <alignment horizontal="left" vertical="center"/>
    </xf>
    <xf numFmtId="171" fontId="28" fillId="0" borderId="17" xfId="138" applyNumberFormat="1" applyFont="1" applyBorder="1" applyAlignment="1">
      <alignment horizontal="center" wrapText="1"/>
    </xf>
    <xf numFmtId="3" fontId="10" fillId="0" borderId="51" xfId="138" applyNumberFormat="1" applyBorder="1" applyAlignment="1">
      <alignment horizontal="center" wrapText="1"/>
    </xf>
    <xf numFmtId="171" fontId="10" fillId="0" borderId="59" xfId="136" applyNumberFormat="1" applyBorder="1" applyAlignment="1">
      <alignment horizontal="center" vertical="center"/>
    </xf>
    <xf numFmtId="2" fontId="36" fillId="0" borderId="0" xfId="0" applyNumberFormat="1" applyFont="1"/>
    <xf numFmtId="0" fontId="28" fillId="0" borderId="0" xfId="127" applyFont="1" applyAlignment="1">
      <alignment horizontal="center" vertical="center"/>
    </xf>
    <xf numFmtId="0" fontId="28" fillId="0" borderId="0" xfId="127" applyFont="1" applyAlignment="1">
      <alignment vertical="center"/>
    </xf>
    <xf numFmtId="0" fontId="63" fillId="0" borderId="15" xfId="0" applyFont="1" applyBorder="1" applyAlignment="1">
      <alignment horizontal="center" vertical="center"/>
    </xf>
    <xf numFmtId="0" fontId="0" fillId="0" borderId="13" xfId="0" applyBorder="1"/>
    <xf numFmtId="0" fontId="63" fillId="0" borderId="39" xfId="0" applyFont="1" applyBorder="1"/>
    <xf numFmtId="0" fontId="63" fillId="0" borderId="46" xfId="0" applyFont="1" applyBorder="1"/>
    <xf numFmtId="0" fontId="63" fillId="0" borderId="5" xfId="0" applyFont="1" applyBorder="1" applyAlignment="1">
      <alignment horizontal="center" vertical="center"/>
    </xf>
    <xf numFmtId="0" fontId="0" fillId="0" borderId="5" xfId="0" applyBorder="1" applyAlignment="1">
      <alignment horizontal="center" vertical="center"/>
    </xf>
    <xf numFmtId="0" fontId="0" fillId="0" borderId="64" xfId="0" applyBorder="1" applyAlignment="1">
      <alignment horizontal="center" vertical="center"/>
    </xf>
    <xf numFmtId="0" fontId="63" fillId="0" borderId="18" xfId="0" applyFont="1" applyBorder="1" applyAlignment="1">
      <alignment horizontal="center" vertical="center"/>
    </xf>
    <xf numFmtId="0" fontId="0" fillId="0" borderId="18" xfId="0" applyBorder="1" applyAlignment="1">
      <alignment horizontal="center" vertical="center"/>
    </xf>
    <xf numFmtId="0" fontId="0" fillId="0" borderId="52" xfId="0" applyBorder="1" applyAlignment="1">
      <alignment horizontal="center" vertical="center"/>
    </xf>
    <xf numFmtId="0" fontId="63" fillId="0" borderId="10" xfId="0" applyFont="1" applyBorder="1"/>
    <xf numFmtId="0" fontId="0" fillId="0" borderId="10" xfId="0" applyBorder="1"/>
    <xf numFmtId="0" fontId="0" fillId="0" borderId="12" xfId="0" applyBorder="1"/>
    <xf numFmtId="0" fontId="38" fillId="0" borderId="0" xfId="0" applyFont="1"/>
    <xf numFmtId="0" fontId="34" fillId="0" borderId="52" xfId="126" applyFont="1" applyBorder="1" applyAlignment="1">
      <alignment vertical="center" wrapText="1"/>
    </xf>
    <xf numFmtId="0" fontId="34" fillId="0" borderId="51" xfId="126" applyFont="1" applyBorder="1" applyAlignment="1">
      <alignment vertical="center" wrapText="1"/>
    </xf>
    <xf numFmtId="164" fontId="28" fillId="20" borderId="51" xfId="2" applyNumberFormat="1" applyFont="1" applyFill="1" applyBorder="1" applyAlignment="1">
      <alignment horizontal="center"/>
    </xf>
    <xf numFmtId="164" fontId="28" fillId="21" borderId="51" xfId="2" applyNumberFormat="1" applyFont="1" applyFill="1" applyBorder="1" applyAlignment="1">
      <alignment horizontal="center"/>
    </xf>
    <xf numFmtId="164" fontId="27" fillId="6" borderId="51" xfId="126" applyNumberFormat="1" applyFont="1" applyFill="1" applyBorder="1" applyAlignment="1">
      <alignment horizontal="center" vertical="center"/>
    </xf>
    <xf numFmtId="164" fontId="27" fillId="6" borderId="59" xfId="126" applyNumberFormat="1" applyFont="1" applyFill="1" applyBorder="1" applyAlignment="1">
      <alignment horizontal="center" vertical="center"/>
    </xf>
    <xf numFmtId="1" fontId="31" fillId="5" borderId="58" xfId="119" applyNumberFormat="1" applyFont="1" applyFill="1" applyBorder="1" applyAlignment="1">
      <alignment horizontal="center" vertical="center"/>
    </xf>
    <xf numFmtId="1" fontId="31" fillId="5" borderId="61" xfId="119" applyNumberFormat="1" applyFont="1" applyFill="1" applyBorder="1" applyAlignment="1">
      <alignment horizontal="center" vertical="center"/>
    </xf>
    <xf numFmtId="1" fontId="31" fillId="0" borderId="11" xfId="119" applyNumberFormat="1" applyFont="1" applyBorder="1" applyAlignment="1">
      <alignment horizontal="center" vertical="center"/>
    </xf>
    <xf numFmtId="1" fontId="26" fillId="0" borderId="10" xfId="0" applyNumberFormat="1" applyFont="1" applyBorder="1"/>
    <xf numFmtId="1" fontId="0" fillId="0" borderId="11" xfId="0" applyNumberFormat="1" applyBorder="1"/>
    <xf numFmtId="0" fontId="19" fillId="0" borderId="12" xfId="0" applyFont="1" applyBorder="1"/>
    <xf numFmtId="6" fontId="26" fillId="2" borderId="19" xfId="0" applyNumberFormat="1" applyFont="1" applyFill="1" applyBorder="1" applyAlignment="1">
      <alignment horizontal="center"/>
    </xf>
    <xf numFmtId="1" fontId="26" fillId="0" borderId="19" xfId="0" applyNumberFormat="1" applyFont="1" applyBorder="1"/>
    <xf numFmtId="1" fontId="0" fillId="0" borderId="9" xfId="0" applyNumberFormat="1" applyBorder="1"/>
    <xf numFmtId="6" fontId="26" fillId="2" borderId="0" xfId="0" applyNumberFormat="1" applyFont="1" applyFill="1" applyAlignment="1">
      <alignment horizontal="center"/>
    </xf>
    <xf numFmtId="0" fontId="31" fillId="5" borderId="62" xfId="127" applyFont="1" applyFill="1" applyBorder="1" applyAlignment="1">
      <alignment vertical="center"/>
    </xf>
    <xf numFmtId="0" fontId="26" fillId="2" borderId="0" xfId="0" applyFont="1" applyFill="1"/>
    <xf numFmtId="171" fontId="10" fillId="0" borderId="0" xfId="141" applyNumberFormat="1" applyAlignment="1">
      <alignment horizontal="center"/>
    </xf>
    <xf numFmtId="168" fontId="0" fillId="2" borderId="2" xfId="0" applyNumberFormat="1" applyFill="1" applyBorder="1"/>
    <xf numFmtId="0" fontId="19" fillId="2" borderId="2" xfId="0" applyFont="1" applyFill="1" applyBorder="1"/>
    <xf numFmtId="169" fontId="14" fillId="2" borderId="0" xfId="119" applyNumberFormat="1" applyFill="1"/>
    <xf numFmtId="0" fontId="13" fillId="0" borderId="19" xfId="129" applyBorder="1" applyAlignment="1">
      <alignment horizontal="center" vertical="center"/>
    </xf>
    <xf numFmtId="0" fontId="26" fillId="0" borderId="10" xfId="0" applyFont="1" applyBorder="1" applyAlignment="1">
      <alignment horizontal="left"/>
    </xf>
    <xf numFmtId="0" fontId="13" fillId="0" borderId="10" xfId="129" applyBorder="1" applyAlignment="1">
      <alignment horizontal="left" vertical="center"/>
    </xf>
    <xf numFmtId="0" fontId="13" fillId="0" borderId="12" xfId="129" applyBorder="1" applyAlignment="1">
      <alignment horizontal="left" vertical="center"/>
    </xf>
    <xf numFmtId="0" fontId="31" fillId="17" borderId="2" xfId="112" applyFont="1" applyFill="1" applyBorder="1"/>
    <xf numFmtId="0" fontId="31" fillId="17" borderId="2" xfId="112" applyFont="1" applyFill="1" applyBorder="1" applyAlignment="1">
      <alignment horizontal="center"/>
    </xf>
    <xf numFmtId="175" fontId="9" fillId="32" borderId="28" xfId="145" applyNumberFormat="1" applyFill="1" applyBorder="1" applyAlignment="1">
      <alignment horizontal="center"/>
    </xf>
    <xf numFmtId="14" fontId="0" fillId="0" borderId="0" xfId="0" applyNumberFormat="1"/>
    <xf numFmtId="0" fontId="0" fillId="3" borderId="0" xfId="0" applyFill="1"/>
    <xf numFmtId="0" fontId="63" fillId="3" borderId="0" xfId="0" applyFont="1" applyFill="1"/>
    <xf numFmtId="2" fontId="0" fillId="2" borderId="2" xfId="0" applyNumberFormat="1" applyFill="1" applyBorder="1"/>
    <xf numFmtId="169" fontId="13" fillId="0" borderId="0" xfId="129" applyNumberFormat="1" applyAlignment="1">
      <alignment horizontal="center" vertical="center"/>
    </xf>
    <xf numFmtId="3" fontId="13" fillId="2" borderId="0" xfId="129" applyNumberFormat="1" applyFill="1" applyAlignment="1">
      <alignment horizontal="center"/>
    </xf>
    <xf numFmtId="0" fontId="26" fillId="0" borderId="0" xfId="0" applyFont="1" applyAlignment="1">
      <alignment horizontal="left" vertical="center"/>
    </xf>
    <xf numFmtId="6" fontId="0" fillId="0" borderId="2" xfId="0" applyNumberFormat="1" applyBorder="1"/>
    <xf numFmtId="0" fontId="55" fillId="0" borderId="0" xfId="123"/>
    <xf numFmtId="3" fontId="13" fillId="2" borderId="0" xfId="129" applyNumberFormat="1" applyFill="1" applyAlignment="1">
      <alignment horizontal="center" vertical="center"/>
    </xf>
    <xf numFmtId="0" fontId="63" fillId="0" borderId="2" xfId="0" applyFont="1" applyBorder="1"/>
    <xf numFmtId="0" fontId="63" fillId="0" borderId="0" xfId="0" applyFont="1" applyAlignment="1">
      <alignment horizontal="center"/>
    </xf>
    <xf numFmtId="0" fontId="28" fillId="0" borderId="0" xfId="129" applyFont="1" applyAlignment="1">
      <alignment horizontal="left"/>
    </xf>
    <xf numFmtId="0" fontId="28" fillId="0" borderId="0" xfId="129" applyFont="1" applyAlignment="1">
      <alignment horizontal="center"/>
    </xf>
    <xf numFmtId="164" fontId="28" fillId="0" borderId="0" xfId="129" applyNumberFormat="1" applyFont="1" applyAlignment="1">
      <alignment horizontal="center" vertical="center"/>
    </xf>
    <xf numFmtId="1" fontId="26" fillId="2" borderId="0" xfId="0" applyNumberFormat="1" applyFont="1" applyFill="1" applyAlignment="1">
      <alignment horizontal="center"/>
    </xf>
    <xf numFmtId="1" fontId="11" fillId="0" borderId="0" xfId="135" applyNumberFormat="1" applyAlignment="1">
      <alignment horizontal="center" vertical="center"/>
    </xf>
    <xf numFmtId="0" fontId="28" fillId="0" borderId="0" xfId="135" applyFont="1" applyAlignment="1">
      <alignment vertical="top"/>
    </xf>
    <xf numFmtId="0" fontId="28" fillId="0" borderId="0" xfId="135" applyFont="1" applyAlignment="1">
      <alignment horizontal="center" vertical="center"/>
    </xf>
    <xf numFmtId="0" fontId="13" fillId="2" borderId="0" xfId="129" applyFill="1"/>
    <xf numFmtId="0" fontId="28" fillId="0" borderId="0" xfId="129" quotePrefix="1" applyFont="1"/>
    <xf numFmtId="8" fontId="11" fillId="0" borderId="0" xfId="135" applyNumberFormat="1" applyAlignment="1">
      <alignment horizontal="center" vertical="center"/>
    </xf>
    <xf numFmtId="178" fontId="26" fillId="0" borderId="0" xfId="0" applyNumberFormat="1" applyFont="1" applyAlignment="1">
      <alignment horizontal="center" vertical="center"/>
    </xf>
    <xf numFmtId="179" fontId="26" fillId="0" borderId="0" xfId="0" applyNumberFormat="1" applyFont="1"/>
    <xf numFmtId="178" fontId="26" fillId="0" borderId="19" xfId="0" applyNumberFormat="1" applyFont="1" applyBorder="1" applyAlignment="1">
      <alignment horizontal="center" vertical="center"/>
    </xf>
    <xf numFmtId="0" fontId="32" fillId="21" borderId="3" xfId="130" applyFont="1" applyFill="1" applyBorder="1" applyAlignment="1">
      <alignment horizontal="center" vertical="center"/>
    </xf>
    <xf numFmtId="0" fontId="28" fillId="21" borderId="3" xfId="130" applyFont="1" applyFill="1" applyBorder="1" applyAlignment="1">
      <alignment horizontal="center" vertical="center" wrapText="1"/>
    </xf>
    <xf numFmtId="2" fontId="28" fillId="23" borderId="18" xfId="131" applyNumberFormat="1" applyFont="1" applyFill="1" applyBorder="1" applyAlignment="1">
      <alignment horizontal="center" vertical="center" wrapText="1"/>
    </xf>
    <xf numFmtId="2" fontId="28" fillId="23" borderId="15" xfId="131" applyNumberFormat="1" applyFont="1" applyFill="1" applyBorder="1" applyAlignment="1">
      <alignment horizontal="center" vertical="center" wrapText="1"/>
    </xf>
    <xf numFmtId="2" fontId="31" fillId="6" borderId="63" xfId="131" applyNumberFormat="1" applyFont="1" applyFill="1" applyBorder="1" applyAlignment="1">
      <alignment horizontal="center" vertical="center" wrapText="1"/>
    </xf>
    <xf numFmtId="164" fontId="26" fillId="7" borderId="5" xfId="2" applyNumberFormat="1" applyFont="1" applyFill="1" applyBorder="1" applyAlignment="1">
      <alignment horizontal="center"/>
    </xf>
    <xf numFmtId="0" fontId="28" fillId="22" borderId="40" xfId="130" applyFont="1" applyFill="1" applyBorder="1" applyAlignment="1">
      <alignment horizontal="center" vertical="center" wrapText="1"/>
    </xf>
    <xf numFmtId="0" fontId="28" fillId="22" borderId="48" xfId="130" applyFont="1" applyFill="1" applyBorder="1" applyAlignment="1">
      <alignment horizontal="center" vertical="center" wrapText="1"/>
    </xf>
    <xf numFmtId="0" fontId="32" fillId="0" borderId="4" xfId="130" applyFont="1" applyBorder="1" applyAlignment="1">
      <alignment horizontal="center" vertical="center"/>
    </xf>
    <xf numFmtId="3" fontId="10" fillId="0" borderId="59" xfId="138" applyNumberFormat="1" applyBorder="1" applyAlignment="1">
      <alignment horizontal="center" wrapText="1"/>
    </xf>
    <xf numFmtId="0" fontId="28" fillId="0" borderId="2" xfId="136" applyFont="1" applyBorder="1" applyAlignment="1">
      <alignment horizontal="center"/>
    </xf>
    <xf numFmtId="0" fontId="28" fillId="0" borderId="15" xfId="136" applyFont="1" applyBorder="1" applyAlignment="1">
      <alignment horizontal="center"/>
    </xf>
    <xf numFmtId="0" fontId="63" fillId="0" borderId="58" xfId="0" applyFont="1" applyBorder="1"/>
    <xf numFmtId="0" fontId="0" fillId="2" borderId="62" xfId="0" applyFill="1" applyBorder="1" applyAlignment="1">
      <alignment horizontal="center"/>
    </xf>
    <xf numFmtId="10" fontId="0" fillId="0" borderId="11" xfId="0" applyNumberFormat="1" applyBorder="1"/>
    <xf numFmtId="10" fontId="26" fillId="0" borderId="0" xfId="0" applyNumberFormat="1" applyFont="1" applyAlignment="1">
      <alignment horizontal="center"/>
    </xf>
    <xf numFmtId="0" fontId="28" fillId="0" borderId="0" xfId="129" applyFont="1"/>
    <xf numFmtId="0" fontId="31" fillId="5" borderId="58" xfId="145" applyFont="1" applyFill="1" applyBorder="1" applyAlignment="1">
      <alignment horizontal="center" vertical="center"/>
    </xf>
    <xf numFmtId="0" fontId="31" fillId="5" borderId="61" xfId="145" applyFont="1" applyFill="1" applyBorder="1" applyAlignment="1">
      <alignment horizontal="center" vertical="center"/>
    </xf>
    <xf numFmtId="0" fontId="9" fillId="0" borderId="10" xfId="145" applyBorder="1"/>
    <xf numFmtId="0" fontId="9" fillId="0" borderId="0" xfId="145" applyAlignment="1">
      <alignment horizontal="center"/>
    </xf>
    <xf numFmtId="0" fontId="9" fillId="0" borderId="11" xfId="145" applyBorder="1"/>
    <xf numFmtId="6" fontId="74" fillId="0" borderId="0" xfId="0" applyNumberFormat="1" applyFont="1" applyAlignment="1">
      <alignment horizontal="center" vertical="center"/>
    </xf>
    <xf numFmtId="3" fontId="9" fillId="0" borderId="10" xfId="145" applyNumberFormat="1" applyBorder="1"/>
    <xf numFmtId="169" fontId="74" fillId="0" borderId="0" xfId="0" applyNumberFormat="1" applyFont="1" applyAlignment="1">
      <alignment horizontal="center" vertical="center"/>
    </xf>
    <xf numFmtId="3" fontId="9" fillId="0" borderId="12" xfId="145" applyNumberFormat="1" applyBorder="1"/>
    <xf numFmtId="0" fontId="9" fillId="0" borderId="19" xfId="145" applyBorder="1"/>
    <xf numFmtId="0" fontId="27" fillId="21" borderId="0" xfId="0" applyFont="1" applyFill="1" applyAlignment="1">
      <alignment vertical="center"/>
    </xf>
    <xf numFmtId="0" fontId="36" fillId="24" borderId="0" xfId="0" applyFont="1" applyFill="1" applyAlignment="1">
      <alignment horizontal="center"/>
    </xf>
    <xf numFmtId="0" fontId="132" fillId="0" borderId="0" xfId="0" applyFont="1"/>
    <xf numFmtId="0" fontId="136" fillId="0" borderId="0" xfId="0" applyFont="1"/>
    <xf numFmtId="0" fontId="136" fillId="0" borderId="0" xfId="0" applyFont="1" applyAlignment="1">
      <alignment vertical="center"/>
    </xf>
    <xf numFmtId="0" fontId="135" fillId="0" borderId="0" xfId="0" applyFont="1" applyAlignment="1">
      <alignment horizontal="left" vertical="center" wrapText="1"/>
    </xf>
    <xf numFmtId="6" fontId="135" fillId="0" borderId="0" xfId="0" applyNumberFormat="1" applyFont="1" applyAlignment="1">
      <alignment horizontal="center" vertical="center" wrapText="1"/>
    </xf>
    <xf numFmtId="0" fontId="135" fillId="0" borderId="126" xfId="0" applyFont="1" applyBorder="1" applyAlignment="1">
      <alignment horizontal="left" vertical="center" wrapText="1"/>
    </xf>
    <xf numFmtId="3" fontId="135" fillId="0" borderId="126" xfId="0" applyNumberFormat="1" applyFont="1" applyBorder="1" applyAlignment="1">
      <alignment horizontal="center" vertical="center" wrapText="1"/>
    </xf>
    <xf numFmtId="6" fontId="135" fillId="0" borderId="126" xfId="0" applyNumberFormat="1" applyFont="1" applyBorder="1" applyAlignment="1">
      <alignment horizontal="center" vertical="center" wrapText="1"/>
    </xf>
    <xf numFmtId="0" fontId="136" fillId="0" borderId="137" xfId="0" applyFont="1" applyBorder="1"/>
    <xf numFmtId="0" fontId="137" fillId="0" borderId="130" xfId="0" applyFont="1" applyBorder="1" applyAlignment="1">
      <alignment horizontal="center" vertical="center" wrapText="1"/>
    </xf>
    <xf numFmtId="0" fontId="135" fillId="0" borderId="131" xfId="0" applyFont="1" applyBorder="1" applyAlignment="1">
      <alignment horizontal="left" vertical="center" wrapText="1"/>
    </xf>
    <xf numFmtId="6" fontId="135" fillId="0" borderId="131" xfId="0" applyNumberFormat="1" applyFont="1" applyBorder="1" applyAlignment="1">
      <alignment horizontal="center" vertical="center" wrapText="1"/>
    </xf>
    <xf numFmtId="6" fontId="135" fillId="0" borderId="142" xfId="0" applyNumberFormat="1" applyFont="1" applyBorder="1" applyAlignment="1">
      <alignment horizontal="center" vertical="center" wrapText="1"/>
    </xf>
    <xf numFmtId="0" fontId="137" fillId="0" borderId="130" xfId="0" applyFont="1" applyBorder="1" applyAlignment="1">
      <alignment horizontal="left" vertical="center" wrapText="1"/>
    </xf>
    <xf numFmtId="0" fontId="137" fillId="0" borderId="148" xfId="0" applyFont="1" applyBorder="1" applyAlignment="1">
      <alignment horizontal="center" vertical="center" wrapText="1"/>
    </xf>
    <xf numFmtId="0" fontId="137" fillId="0" borderId="133" xfId="0" applyFont="1" applyBorder="1" applyAlignment="1">
      <alignment horizontal="center" vertical="center" wrapText="1"/>
    </xf>
    <xf numFmtId="0" fontId="137" fillId="0" borderId="150" xfId="0" applyFont="1" applyBorder="1" applyAlignment="1">
      <alignment horizontal="center" vertical="center" wrapText="1"/>
    </xf>
    <xf numFmtId="0" fontId="137" fillId="0" borderId="134" xfId="0" applyFont="1" applyBorder="1" applyAlignment="1">
      <alignment horizontal="center" vertical="center" wrapText="1"/>
    </xf>
    <xf numFmtId="0" fontId="137" fillId="0" borderId="133" xfId="0" applyFont="1" applyBorder="1" applyAlignment="1">
      <alignment horizontal="left" vertical="center" wrapText="1"/>
    </xf>
    <xf numFmtId="0" fontId="137" fillId="0" borderId="126" xfId="0" applyFont="1" applyBorder="1" applyAlignment="1">
      <alignment horizontal="center" vertical="center" wrapText="1"/>
    </xf>
    <xf numFmtId="6" fontId="135" fillId="0" borderId="132" xfId="0" applyNumberFormat="1" applyFont="1" applyBorder="1" applyAlignment="1">
      <alignment horizontal="center" vertical="center" wrapText="1"/>
    </xf>
    <xf numFmtId="6" fontId="135" fillId="0" borderId="135" xfId="0" applyNumberFormat="1" applyFont="1" applyBorder="1" applyAlignment="1">
      <alignment horizontal="center" vertical="center" wrapText="1"/>
    </xf>
    <xf numFmtId="6" fontId="135" fillId="0" borderId="139" xfId="0" applyNumberFormat="1" applyFont="1" applyBorder="1" applyAlignment="1">
      <alignment horizontal="center" vertical="center" wrapText="1"/>
    </xf>
    <xf numFmtId="6" fontId="135" fillId="0" borderId="141" xfId="0" applyNumberFormat="1" applyFont="1" applyBorder="1" applyAlignment="1">
      <alignment horizontal="center" vertical="center" wrapText="1"/>
    </xf>
    <xf numFmtId="6" fontId="135" fillId="0" borderId="140" xfId="0" applyNumberFormat="1" applyFont="1" applyBorder="1" applyAlignment="1">
      <alignment horizontal="center" vertical="center" wrapText="1"/>
    </xf>
    <xf numFmtId="6" fontId="135" fillId="0" borderId="143" xfId="0" applyNumberFormat="1" applyFont="1" applyBorder="1" applyAlignment="1">
      <alignment horizontal="center" vertical="center" wrapText="1"/>
    </xf>
    <xf numFmtId="0" fontId="72" fillId="0" borderId="0" xfId="0" applyFont="1"/>
    <xf numFmtId="0" fontId="26" fillId="0" borderId="149" xfId="0" applyFont="1" applyBorder="1" applyAlignment="1">
      <alignment horizontal="left" vertical="center" wrapText="1"/>
    </xf>
    <xf numFmtId="6" fontId="26" fillId="0" borderId="150" xfId="0" applyNumberFormat="1" applyFont="1" applyBorder="1" applyAlignment="1">
      <alignment horizontal="center" vertical="center" wrapText="1"/>
    </xf>
    <xf numFmtId="6" fontId="26" fillId="0" borderId="149" xfId="0" applyNumberFormat="1" applyFont="1" applyBorder="1" applyAlignment="1">
      <alignment horizontal="center" vertical="center" wrapText="1"/>
    </xf>
    <xf numFmtId="0" fontId="26" fillId="0" borderId="130" xfId="0" applyFont="1" applyBorder="1" applyAlignment="1">
      <alignment horizontal="left" vertical="center" wrapText="1"/>
    </xf>
    <xf numFmtId="6" fontId="26" fillId="0" borderId="130" xfId="0" applyNumberFormat="1" applyFont="1" applyBorder="1" applyAlignment="1">
      <alignment horizontal="center" vertical="center" wrapText="1"/>
    </xf>
    <xf numFmtId="0" fontId="27" fillId="0" borderId="130" xfId="0" applyFont="1" applyBorder="1" applyAlignment="1">
      <alignment horizontal="left" vertical="center" wrapText="1"/>
    </xf>
    <xf numFmtId="6" fontId="27" fillId="0" borderId="130" xfId="0" applyNumberFormat="1" applyFont="1" applyBorder="1" applyAlignment="1">
      <alignment horizontal="center" vertical="center" wrapText="1"/>
    </xf>
    <xf numFmtId="0" fontId="26" fillId="0" borderId="150" xfId="0" applyFont="1" applyBorder="1" applyAlignment="1">
      <alignment horizontal="left" vertical="center" wrapText="1"/>
    </xf>
    <xf numFmtId="181" fontId="26" fillId="0" borderId="130" xfId="0" applyNumberFormat="1" applyFont="1" applyBorder="1" applyAlignment="1">
      <alignment horizontal="center" vertical="center" wrapText="1"/>
    </xf>
    <xf numFmtId="0" fontId="134" fillId="0" borderId="130" xfId="0" applyFont="1" applyBorder="1" applyAlignment="1">
      <alignment horizontal="left" vertical="center" wrapText="1"/>
    </xf>
    <xf numFmtId="0" fontId="36" fillId="0" borderId="130" xfId="0" applyFont="1" applyBorder="1" applyAlignment="1">
      <alignment horizontal="center" vertical="center" wrapText="1"/>
    </xf>
    <xf numFmtId="6" fontId="3" fillId="0" borderId="130" xfId="0" applyNumberFormat="1" applyFont="1" applyBorder="1" applyAlignment="1">
      <alignment horizontal="right" vertical="center" wrapText="1"/>
    </xf>
    <xf numFmtId="0" fontId="36" fillId="0" borderId="130" xfId="0" applyFont="1" applyBorder="1"/>
    <xf numFmtId="0" fontId="41" fillId="0" borderId="130" xfId="0" applyFont="1" applyBorder="1"/>
    <xf numFmtId="6" fontId="41" fillId="0" borderId="130" xfId="0" applyNumberFormat="1" applyFont="1" applyBorder="1"/>
    <xf numFmtId="6" fontId="41" fillId="0" borderId="0" xfId="0" applyNumberFormat="1" applyFont="1"/>
    <xf numFmtId="0" fontId="36" fillId="0" borderId="128" xfId="0" applyFont="1" applyBorder="1"/>
    <xf numFmtId="0" fontId="74" fillId="0" borderId="138" xfId="0" applyFont="1" applyBorder="1" applyAlignment="1">
      <alignment horizontal="left" vertical="center" wrapText="1"/>
    </xf>
    <xf numFmtId="6" fontId="74" fillId="0" borderId="136" xfId="0" applyNumberFormat="1" applyFont="1" applyBorder="1" applyAlignment="1">
      <alignment horizontal="center" vertical="center" wrapText="1"/>
    </xf>
    <xf numFmtId="0" fontId="27" fillId="0" borderId="132" xfId="0" applyFont="1" applyBorder="1" applyAlignment="1">
      <alignment horizontal="left" vertical="center" wrapText="1"/>
    </xf>
    <xf numFmtId="6" fontId="74" fillId="0" borderId="0" xfId="0" applyNumberFormat="1" applyFont="1" applyAlignment="1">
      <alignment horizontal="center" vertical="center" wrapText="1"/>
    </xf>
    <xf numFmtId="0" fontId="36" fillId="0" borderId="126" xfId="0" applyFont="1" applyBorder="1"/>
    <xf numFmtId="6" fontId="74" fillId="0" borderId="147" xfId="0" applyNumberFormat="1" applyFont="1" applyBorder="1" applyAlignment="1">
      <alignment horizontal="center" vertical="center" wrapText="1"/>
    </xf>
    <xf numFmtId="6" fontId="74" fillId="0" borderId="135" xfId="0" applyNumberFormat="1" applyFont="1" applyBorder="1" applyAlignment="1">
      <alignment horizontal="center" vertical="center" wrapText="1"/>
    </xf>
    <xf numFmtId="0" fontId="26" fillId="0" borderId="150" xfId="0" applyFont="1" applyBorder="1" applyAlignment="1">
      <alignment horizontal="center" vertical="center" wrapText="1"/>
    </xf>
    <xf numFmtId="2" fontId="26" fillId="0" borderId="150" xfId="0" applyNumberFormat="1" applyFont="1" applyBorder="1" applyAlignment="1">
      <alignment horizontal="center" vertical="center" wrapText="1"/>
    </xf>
    <xf numFmtId="3" fontId="26" fillId="0" borderId="150" xfId="0" applyNumberFormat="1" applyFont="1" applyBorder="1" applyAlignment="1">
      <alignment horizontal="center" vertical="center" wrapText="1"/>
    </xf>
    <xf numFmtId="10" fontId="26" fillId="0" borderId="150" xfId="0" applyNumberFormat="1" applyFont="1" applyBorder="1" applyAlignment="1">
      <alignment horizontal="center" vertical="center" wrapText="1"/>
    </xf>
    <xf numFmtId="0" fontId="26" fillId="0" borderId="130" xfId="0" applyFont="1" applyBorder="1" applyAlignment="1">
      <alignment horizontal="center" vertical="center" wrapText="1"/>
    </xf>
    <xf numFmtId="2" fontId="26" fillId="0" borderId="130" xfId="0" applyNumberFormat="1" applyFont="1" applyBorder="1" applyAlignment="1">
      <alignment horizontal="center" vertical="center" wrapText="1"/>
    </xf>
    <xf numFmtId="3" fontId="26" fillId="0" borderId="130" xfId="0" applyNumberFormat="1" applyFont="1" applyBorder="1" applyAlignment="1">
      <alignment horizontal="center" vertical="center" wrapText="1"/>
    </xf>
    <xf numFmtId="10" fontId="26" fillId="0" borderId="130" xfId="0" applyNumberFormat="1" applyFont="1" applyBorder="1" applyAlignment="1">
      <alignment horizontal="center" vertical="center" wrapText="1"/>
    </xf>
    <xf numFmtId="2" fontId="26" fillId="0" borderId="149" xfId="0" applyNumberFormat="1" applyFont="1" applyBorder="1" applyAlignment="1">
      <alignment horizontal="center" vertical="center" wrapText="1"/>
    </xf>
    <xf numFmtId="0" fontId="36" fillId="0" borderId="0" xfId="0" quotePrefix="1" applyFont="1"/>
    <xf numFmtId="9" fontId="26" fillId="0" borderId="150" xfId="0" applyNumberFormat="1" applyFont="1" applyBorder="1" applyAlignment="1">
      <alignment horizontal="center" vertical="center" wrapText="1"/>
    </xf>
    <xf numFmtId="6" fontId="74" fillId="0" borderId="150" xfId="0" applyNumberFormat="1" applyFont="1" applyBorder="1" applyAlignment="1">
      <alignment horizontal="center" vertical="center" wrapText="1"/>
    </xf>
    <xf numFmtId="9" fontId="26" fillId="0" borderId="130" xfId="0" applyNumberFormat="1" applyFont="1" applyBorder="1" applyAlignment="1">
      <alignment horizontal="center" vertical="center" wrapText="1"/>
    </xf>
    <xf numFmtId="6" fontId="74" fillId="0" borderId="130" xfId="0" applyNumberFormat="1" applyFont="1" applyBorder="1" applyAlignment="1">
      <alignment horizontal="center" vertical="center" wrapText="1"/>
    </xf>
    <xf numFmtId="0" fontId="26" fillId="0" borderId="45" xfId="0" applyFont="1" applyBorder="1" applyAlignment="1">
      <alignment horizontal="left" vertical="center"/>
    </xf>
    <xf numFmtId="0" fontId="26" fillId="0" borderId="0" xfId="0" applyFont="1" applyAlignment="1">
      <alignment horizontal="center" vertical="center" wrapText="1"/>
    </xf>
    <xf numFmtId="0" fontId="36" fillId="0" borderId="137" xfId="0" applyFont="1" applyBorder="1"/>
    <xf numFmtId="0" fontId="26" fillId="0" borderId="149" xfId="0" applyFont="1" applyBorder="1" applyAlignment="1">
      <alignment horizontal="center" vertical="center" wrapText="1"/>
    </xf>
    <xf numFmtId="0" fontId="26" fillId="0" borderId="0" xfId="0" applyFont="1" applyAlignment="1">
      <alignment horizontal="left" vertical="center" wrapText="1"/>
    </xf>
    <xf numFmtId="9" fontId="26" fillId="0" borderId="0" xfId="0" applyNumberFormat="1" applyFont="1" applyAlignment="1">
      <alignment horizontal="center" vertical="center" wrapText="1"/>
    </xf>
    <xf numFmtId="171" fontId="26" fillId="0" borderId="0" xfId="0" applyNumberFormat="1" applyFont="1" applyAlignment="1">
      <alignment horizontal="center" vertical="center" wrapText="1"/>
    </xf>
    <xf numFmtId="6" fontId="26" fillId="0" borderId="0" xfId="0" applyNumberFormat="1" applyFont="1" applyAlignment="1">
      <alignment horizontal="center" vertical="center" wrapText="1"/>
    </xf>
    <xf numFmtId="0" fontId="36" fillId="0" borderId="150" xfId="0" applyFont="1" applyBorder="1" applyAlignment="1">
      <alignment horizontal="left" vertical="center" wrapText="1"/>
    </xf>
    <xf numFmtId="6" fontId="26" fillId="0" borderId="129" xfId="0" applyNumberFormat="1" applyFont="1" applyBorder="1" applyAlignment="1">
      <alignment horizontal="center" vertical="center" wrapText="1"/>
    </xf>
    <xf numFmtId="0" fontId="26" fillId="0" borderId="126" xfId="0" applyFont="1" applyBorder="1" applyAlignment="1">
      <alignment horizontal="left" vertical="center" wrapText="1"/>
    </xf>
    <xf numFmtId="6" fontId="26" fillId="0" borderId="126" xfId="0" applyNumberFormat="1" applyFont="1" applyBorder="1" applyAlignment="1">
      <alignment horizontal="center" vertical="center" wrapText="1"/>
    </xf>
    <xf numFmtId="6" fontId="74" fillId="0" borderId="138" xfId="0" applyNumberFormat="1" applyFont="1" applyBorder="1" applyAlignment="1">
      <alignment horizontal="center" vertical="center" wrapText="1"/>
    </xf>
    <xf numFmtId="6" fontId="27" fillId="0" borderId="132" xfId="0" applyNumberFormat="1" applyFont="1" applyBorder="1" applyAlignment="1">
      <alignment horizontal="center" vertical="center" wrapText="1"/>
    </xf>
    <xf numFmtId="6" fontId="27" fillId="0" borderId="142" xfId="0" applyNumberFormat="1" applyFont="1" applyBorder="1" applyAlignment="1">
      <alignment horizontal="center" vertical="center" wrapText="1"/>
    </xf>
    <xf numFmtId="6" fontId="27" fillId="0" borderId="135" xfId="0" applyNumberFormat="1" applyFont="1" applyBorder="1" applyAlignment="1">
      <alignment horizontal="center" vertical="center" wrapText="1"/>
    </xf>
    <xf numFmtId="6" fontId="74" fillId="0" borderId="144" xfId="0" applyNumberFormat="1" applyFont="1" applyBorder="1" applyAlignment="1">
      <alignment horizontal="center" vertical="center" wrapText="1"/>
    </xf>
    <xf numFmtId="0" fontId="26" fillId="0" borderId="126" xfId="0" applyFont="1" applyBorder="1"/>
    <xf numFmtId="0" fontId="74" fillId="0" borderId="133" xfId="0" applyFont="1" applyBorder="1" applyAlignment="1">
      <alignment horizontal="left" vertical="center" wrapText="1"/>
    </xf>
    <xf numFmtId="6" fontId="74" fillId="0" borderId="134" xfId="0" applyNumberFormat="1" applyFont="1" applyBorder="1" applyAlignment="1">
      <alignment horizontal="center" vertical="center" wrapText="1"/>
    </xf>
    <xf numFmtId="0" fontId="41" fillId="0" borderId="0" xfId="0" applyFont="1" applyAlignment="1">
      <alignment vertical="center"/>
    </xf>
    <xf numFmtId="0" fontId="3" fillId="19" borderId="0" xfId="119" applyFont="1" applyFill="1"/>
    <xf numFmtId="0" fontId="3" fillId="0" borderId="0" xfId="119" applyFont="1"/>
    <xf numFmtId="0" fontId="3" fillId="0" borderId="10" xfId="119" applyFont="1" applyBorder="1"/>
    <xf numFmtId="0" fontId="3" fillId="0" borderId="0" xfId="119" applyFont="1" applyAlignment="1">
      <alignment horizontal="center" vertical="center"/>
    </xf>
    <xf numFmtId="0" fontId="3" fillId="0" borderId="11" xfId="119" applyFont="1" applyBorder="1"/>
    <xf numFmtId="0" fontId="3" fillId="0" borderId="0" xfId="119" applyFont="1" applyAlignment="1">
      <alignment horizontal="left" vertical="center" wrapText="1"/>
    </xf>
    <xf numFmtId="0" fontId="3" fillId="4" borderId="18" xfId="119" applyFont="1" applyFill="1" applyBorder="1" applyAlignment="1">
      <alignment horizontal="center"/>
    </xf>
    <xf numFmtId="164" fontId="3" fillId="4" borderId="28" xfId="119" applyNumberFormat="1" applyFont="1" applyFill="1" applyBorder="1" applyAlignment="1">
      <alignment horizontal="center"/>
    </xf>
    <xf numFmtId="165" fontId="3" fillId="20" borderId="2" xfId="2" applyNumberFormat="1" applyFont="1" applyFill="1" applyBorder="1" applyAlignment="1">
      <alignment horizontal="center"/>
    </xf>
    <xf numFmtId="165" fontId="3" fillId="21" borderId="1" xfId="2" applyNumberFormat="1" applyFont="1" applyFill="1" applyBorder="1" applyAlignment="1">
      <alignment horizontal="center"/>
    </xf>
    <xf numFmtId="0" fontId="3" fillId="0" borderId="114" xfId="119" applyFont="1" applyBorder="1"/>
    <xf numFmtId="0" fontId="3" fillId="0" borderId="0" xfId="119" applyFont="1" applyAlignment="1">
      <alignment horizontal="center"/>
    </xf>
    <xf numFmtId="0" fontId="3" fillId="0" borderId="108" xfId="119" applyFont="1" applyBorder="1"/>
    <xf numFmtId="0" fontId="3" fillId="0" borderId="12" xfId="119" applyFont="1" applyBorder="1"/>
    <xf numFmtId="9" fontId="3" fillId="0" borderId="19" xfId="3" applyFont="1" applyFill="1" applyBorder="1" applyAlignment="1">
      <alignment horizontal="center"/>
    </xf>
    <xf numFmtId="0" fontId="3" fillId="0" borderId="9" xfId="119" applyFont="1" applyBorder="1"/>
    <xf numFmtId="0" fontId="3" fillId="4" borderId="18" xfId="127" applyFont="1" applyFill="1" applyBorder="1" applyAlignment="1">
      <alignment horizontal="center"/>
    </xf>
    <xf numFmtId="164" fontId="3" fillId="4" borderId="2" xfId="127" applyNumberFormat="1" applyFont="1" applyFill="1" applyBorder="1" applyAlignment="1">
      <alignment horizontal="center"/>
    </xf>
    <xf numFmtId="164" fontId="3" fillId="20" borderId="2" xfId="2" applyNumberFormat="1" applyFont="1" applyFill="1" applyBorder="1" applyAlignment="1">
      <alignment horizontal="center"/>
    </xf>
    <xf numFmtId="164" fontId="3" fillId="4" borderId="2" xfId="3" applyNumberFormat="1" applyFont="1" applyFill="1" applyBorder="1" applyAlignment="1">
      <alignment horizontal="center"/>
    </xf>
    <xf numFmtId="165" fontId="3" fillId="21" borderId="2" xfId="2" applyNumberFormat="1" applyFont="1" applyFill="1" applyBorder="1" applyAlignment="1">
      <alignment horizontal="center"/>
    </xf>
    <xf numFmtId="1" fontId="3" fillId="0" borderId="0" xfId="119" applyNumberFormat="1" applyFont="1"/>
    <xf numFmtId="1" fontId="3" fillId="0" borderId="11" xfId="119" applyNumberFormat="1" applyFont="1" applyBorder="1"/>
    <xf numFmtId="10" fontId="3" fillId="0" borderId="0" xfId="3" applyNumberFormat="1" applyFont="1" applyFill="1" applyBorder="1" applyAlignment="1">
      <alignment horizontal="center"/>
    </xf>
    <xf numFmtId="164" fontId="3" fillId="4" borderId="51" xfId="3" applyNumberFormat="1" applyFont="1" applyFill="1" applyBorder="1" applyAlignment="1">
      <alignment horizontal="center"/>
    </xf>
    <xf numFmtId="164" fontId="3" fillId="4" borderId="1" xfId="3" applyNumberFormat="1" applyFont="1" applyFill="1" applyBorder="1" applyAlignment="1">
      <alignment horizontal="center"/>
    </xf>
    <xf numFmtId="164" fontId="3" fillId="4" borderId="28" xfId="3" applyNumberFormat="1" applyFont="1" applyFill="1" applyBorder="1" applyAlignment="1">
      <alignment horizontal="center"/>
    </xf>
    <xf numFmtId="2" fontId="3" fillId="0" borderId="0" xfId="119" applyNumberFormat="1" applyFont="1" applyAlignment="1">
      <alignment horizontal="center"/>
    </xf>
    <xf numFmtId="165" fontId="3" fillId="0" borderId="0" xfId="119" applyNumberFormat="1" applyFont="1" applyAlignment="1">
      <alignment horizontal="center"/>
    </xf>
    <xf numFmtId="9" fontId="3" fillId="0" borderId="0" xfId="119" applyNumberFormat="1" applyFont="1" applyAlignment="1">
      <alignment horizontal="center"/>
    </xf>
    <xf numFmtId="1" fontId="3" fillId="2" borderId="0" xfId="119" applyNumberFormat="1" applyFont="1" applyFill="1" applyAlignment="1">
      <alignment horizontal="center"/>
    </xf>
    <xf numFmtId="164" fontId="3" fillId="2" borderId="0" xfId="119" applyNumberFormat="1" applyFont="1" applyFill="1" applyAlignment="1">
      <alignment horizontal="center"/>
    </xf>
    <xf numFmtId="0" fontId="3" fillId="0" borderId="19" xfId="119" applyFont="1" applyBorder="1" applyAlignment="1">
      <alignment horizontal="center"/>
    </xf>
    <xf numFmtId="0" fontId="3" fillId="0" borderId="0" xfId="129" applyFont="1"/>
    <xf numFmtId="165" fontId="3" fillId="0" borderId="0" xfId="2" applyNumberFormat="1" applyFont="1" applyBorder="1" applyAlignment="1">
      <alignment horizontal="center" vertical="center"/>
    </xf>
    <xf numFmtId="0" fontId="3" fillId="0" borderId="2" xfId="129" applyFont="1" applyBorder="1"/>
    <xf numFmtId="9" fontId="3" fillId="0" borderId="2" xfId="129" applyNumberFormat="1" applyFont="1" applyBorder="1" applyAlignment="1">
      <alignment horizontal="center"/>
    </xf>
    <xf numFmtId="165" fontId="3" fillId="0" borderId="2" xfId="2" applyNumberFormat="1" applyFont="1" applyBorder="1" applyAlignment="1">
      <alignment horizontal="center" vertical="center"/>
    </xf>
    <xf numFmtId="0" fontId="3" fillId="0" borderId="8" xfId="129" applyFont="1" applyBorder="1"/>
    <xf numFmtId="9" fontId="3" fillId="0" borderId="8" xfId="129" applyNumberFormat="1" applyFont="1" applyBorder="1" applyAlignment="1">
      <alignment horizontal="center"/>
    </xf>
    <xf numFmtId="165" fontId="3" fillId="0" borderId="8" xfId="2" applyNumberFormat="1" applyFont="1" applyBorder="1" applyAlignment="1">
      <alignment horizontal="center" vertical="center"/>
    </xf>
    <xf numFmtId="0" fontId="3" fillId="0" borderId="1" xfId="129" applyFont="1" applyBorder="1"/>
    <xf numFmtId="165" fontId="3" fillId="0" borderId="1" xfId="2" applyNumberFormat="1" applyFont="1" applyBorder="1" applyAlignment="1">
      <alignment horizontal="center" vertical="center"/>
    </xf>
    <xf numFmtId="0" fontId="3" fillId="2" borderId="2" xfId="129" applyFont="1" applyFill="1" applyBorder="1" applyAlignment="1">
      <alignment horizontal="center" vertical="center"/>
    </xf>
    <xf numFmtId="10" fontId="3" fillId="0" borderId="38" xfId="3" applyNumberFormat="1" applyFont="1" applyBorder="1" applyAlignment="1">
      <alignment horizontal="center" vertical="center"/>
    </xf>
    <xf numFmtId="0" fontId="3" fillId="2" borderId="37" xfId="129" applyFont="1" applyFill="1" applyBorder="1" applyAlignment="1">
      <alignment horizontal="center"/>
    </xf>
    <xf numFmtId="0" fontId="3" fillId="0" borderId="37" xfId="129" applyFont="1" applyBorder="1" applyAlignment="1">
      <alignment horizontal="center"/>
    </xf>
    <xf numFmtId="3" fontId="3" fillId="0" borderId="37" xfId="129" applyNumberFormat="1" applyFont="1" applyBorder="1" applyAlignment="1">
      <alignment horizontal="center"/>
    </xf>
    <xf numFmtId="0" fontId="3" fillId="0" borderId="0" xfId="129" applyFont="1" applyAlignment="1">
      <alignment horizontal="center"/>
    </xf>
    <xf numFmtId="0" fontId="3" fillId="0" borderId="0" xfId="129" applyFont="1" applyAlignment="1">
      <alignment horizontal="center" vertical="center"/>
    </xf>
    <xf numFmtId="0" fontId="3" fillId="2" borderId="0" xfId="129" applyFont="1" applyFill="1" applyAlignment="1">
      <alignment horizontal="center" vertical="center"/>
    </xf>
    <xf numFmtId="166" fontId="3" fillId="0" borderId="0" xfId="1" applyNumberFormat="1" applyFont="1" applyAlignment="1">
      <alignment horizontal="center" vertical="center"/>
    </xf>
    <xf numFmtId="0" fontId="3" fillId="0" borderId="0" xfId="129" applyFont="1" applyAlignment="1">
      <alignment horizontal="left" vertical="center"/>
    </xf>
    <xf numFmtId="9" fontId="3" fillId="0" borderId="0" xfId="3" applyFont="1" applyAlignment="1">
      <alignment horizontal="center" vertical="center"/>
    </xf>
    <xf numFmtId="164" fontId="3" fillId="2" borderId="0" xfId="129" applyNumberFormat="1" applyFont="1" applyFill="1" applyAlignment="1">
      <alignment horizontal="center" vertical="center"/>
    </xf>
    <xf numFmtId="180" fontId="3" fillId="0" borderId="0" xfId="2" applyNumberFormat="1" applyFont="1" applyAlignment="1">
      <alignment horizontal="center" vertical="center"/>
    </xf>
    <xf numFmtId="164" fontId="3" fillId="0" borderId="0" xfId="2" applyNumberFormat="1" applyFont="1" applyAlignment="1">
      <alignment horizontal="center" vertical="center"/>
    </xf>
    <xf numFmtId="39" fontId="3" fillId="0" borderId="0" xfId="1" applyNumberFormat="1" applyFont="1" applyAlignment="1">
      <alignment horizontal="center" vertical="center"/>
    </xf>
    <xf numFmtId="170" fontId="3" fillId="0" borderId="0" xfId="3" applyNumberFormat="1" applyFont="1" applyAlignment="1">
      <alignment horizontal="center" vertical="center"/>
    </xf>
    <xf numFmtId="173" fontId="3" fillId="0" borderId="0" xfId="3" applyNumberFormat="1" applyFont="1" applyAlignment="1">
      <alignment horizontal="center" vertical="center"/>
    </xf>
    <xf numFmtId="2" fontId="3" fillId="0" borderId="0" xfId="3" applyNumberFormat="1" applyFont="1" applyAlignment="1">
      <alignment horizontal="center" vertical="center"/>
    </xf>
    <xf numFmtId="171" fontId="3" fillId="0" borderId="0" xfId="3" applyNumberFormat="1" applyFont="1" applyAlignment="1">
      <alignment horizontal="center" vertical="center"/>
    </xf>
    <xf numFmtId="1" fontId="3" fillId="0" borderId="0" xfId="3" applyNumberFormat="1" applyFont="1" applyAlignment="1">
      <alignment horizontal="center" vertical="center"/>
    </xf>
    <xf numFmtId="10" fontId="3" fillId="0" borderId="0" xfId="3" applyNumberFormat="1" applyFont="1" applyAlignment="1">
      <alignment horizontal="center" vertical="center"/>
    </xf>
    <xf numFmtId="0" fontId="3" fillId="0" borderId="6" xfId="129" applyFont="1" applyBorder="1" applyAlignment="1">
      <alignment horizontal="center" vertical="center"/>
    </xf>
    <xf numFmtId="0" fontId="3" fillId="0" borderId="6" xfId="129" applyFont="1" applyBorder="1" applyAlignment="1">
      <alignment horizontal="center" vertical="center" wrapText="1"/>
    </xf>
    <xf numFmtId="0" fontId="3" fillId="0" borderId="6" xfId="135" applyFont="1" applyBorder="1" applyAlignment="1">
      <alignment horizontal="center" vertical="center" wrapText="1"/>
    </xf>
    <xf numFmtId="9" fontId="3" fillId="0" borderId="0" xfId="3" applyFont="1" applyBorder="1" applyAlignment="1">
      <alignment horizontal="center"/>
    </xf>
    <xf numFmtId="0" fontId="3" fillId="0" borderId="2" xfId="129" applyFont="1" applyBorder="1" applyAlignment="1">
      <alignment horizontal="left" vertical="center"/>
    </xf>
    <xf numFmtId="3" fontId="3" fillId="2" borderId="0" xfId="129" applyNumberFormat="1" applyFont="1" applyFill="1"/>
    <xf numFmtId="164" fontId="3" fillId="2" borderId="0" xfId="129" applyNumberFormat="1" applyFont="1" applyFill="1"/>
    <xf numFmtId="164" fontId="3" fillId="0" borderId="0" xfId="129" applyNumberFormat="1" applyFont="1"/>
    <xf numFmtId="0" fontId="3" fillId="0" borderId="0" xfId="112" applyFont="1"/>
    <xf numFmtId="0" fontId="3" fillId="0" borderId="0" xfId="112" applyFont="1" applyAlignment="1">
      <alignment horizontal="center" vertical="center"/>
    </xf>
    <xf numFmtId="164" fontId="3" fillId="0" borderId="0" xfId="119" applyNumberFormat="1" applyFont="1" applyAlignment="1">
      <alignment horizontal="center"/>
    </xf>
    <xf numFmtId="0" fontId="3" fillId="0" borderId="10" xfId="119" applyFont="1" applyBorder="1" applyAlignment="1">
      <alignment horizontal="left"/>
    </xf>
    <xf numFmtId="0" fontId="3" fillId="0" borderId="0" xfId="129" applyFont="1" applyAlignment="1">
      <alignment vertical="center"/>
    </xf>
    <xf numFmtId="164" fontId="3" fillId="0" borderId="0" xfId="129" applyNumberFormat="1" applyFont="1" applyAlignment="1">
      <alignment horizontal="center" vertical="center" wrapText="1"/>
    </xf>
    <xf numFmtId="0" fontId="3" fillId="0" borderId="0" xfId="129" applyFont="1" applyAlignment="1">
      <alignment horizontal="right"/>
    </xf>
    <xf numFmtId="172" fontId="3" fillId="0" borderId="0" xfId="1" applyNumberFormat="1" applyFont="1" applyAlignment="1">
      <alignment horizontal="center" vertical="center"/>
    </xf>
    <xf numFmtId="0" fontId="3" fillId="0" borderId="0" xfId="129" applyFont="1" applyAlignment="1">
      <alignment vertical="center" wrapText="1"/>
    </xf>
    <xf numFmtId="0" fontId="3" fillId="19" borderId="0" xfId="119" applyFont="1" applyFill="1" applyAlignment="1">
      <alignment horizontal="center" vertical="center"/>
    </xf>
    <xf numFmtId="164" fontId="3" fillId="21" borderId="1" xfId="2" applyNumberFormat="1" applyFont="1" applyFill="1" applyBorder="1" applyAlignment="1">
      <alignment horizontal="center"/>
    </xf>
    <xf numFmtId="10" fontId="3" fillId="2" borderId="10" xfId="119" applyNumberFormat="1" applyFont="1" applyFill="1" applyBorder="1" applyAlignment="1">
      <alignment horizontal="left"/>
    </xf>
    <xf numFmtId="10" fontId="3" fillId="2" borderId="0" xfId="119" applyNumberFormat="1" applyFont="1" applyFill="1" applyAlignment="1">
      <alignment horizontal="center"/>
    </xf>
    <xf numFmtId="10" fontId="3" fillId="2" borderId="12" xfId="119" applyNumberFormat="1" applyFont="1" applyFill="1" applyBorder="1" applyAlignment="1">
      <alignment horizontal="left"/>
    </xf>
    <xf numFmtId="10" fontId="3" fillId="2" borderId="19" xfId="119" applyNumberFormat="1" applyFont="1" applyFill="1" applyBorder="1" applyAlignment="1">
      <alignment horizontal="center"/>
    </xf>
    <xf numFmtId="0" fontId="3" fillId="16" borderId="2" xfId="112" applyFont="1" applyFill="1" applyBorder="1"/>
    <xf numFmtId="0" fontId="3" fillId="0" borderId="0" xfId="119" applyFont="1" applyAlignment="1">
      <alignment vertical="center" wrapText="1"/>
    </xf>
    <xf numFmtId="164" fontId="3" fillId="21" borderId="2" xfId="2" applyNumberFormat="1" applyFont="1" applyFill="1" applyBorder="1" applyAlignment="1">
      <alignment horizontal="center"/>
    </xf>
    <xf numFmtId="3" fontId="3" fillId="0" borderId="0" xfId="3" applyNumberFormat="1" applyFont="1" applyFill="1" applyBorder="1" applyAlignment="1">
      <alignment horizontal="center"/>
    </xf>
    <xf numFmtId="4" fontId="3" fillId="0" borderId="0" xfId="3" applyNumberFormat="1" applyFont="1" applyFill="1" applyBorder="1" applyAlignment="1">
      <alignment horizontal="center"/>
    </xf>
    <xf numFmtId="165" fontId="3" fillId="0" borderId="0" xfId="3" applyNumberFormat="1" applyFont="1" applyFill="1" applyBorder="1" applyAlignment="1">
      <alignment horizontal="center"/>
    </xf>
    <xf numFmtId="172" fontId="3" fillId="4" borderId="28" xfId="1" applyNumberFormat="1" applyFont="1" applyFill="1" applyBorder="1" applyAlignment="1">
      <alignment horizontal="center"/>
    </xf>
    <xf numFmtId="3" fontId="3" fillId="0" borderId="10" xfId="119" applyNumberFormat="1" applyFont="1" applyBorder="1" applyAlignment="1">
      <alignment vertical="center" wrapText="1"/>
    </xf>
    <xf numFmtId="3" fontId="3" fillId="0" borderId="11" xfId="119" applyNumberFormat="1" applyFont="1" applyBorder="1"/>
    <xf numFmtId="3" fontId="3" fillId="0" borderId="0" xfId="119" applyNumberFormat="1" applyFont="1"/>
    <xf numFmtId="3" fontId="3" fillId="0" borderId="12" xfId="119" applyNumberFormat="1" applyFont="1" applyBorder="1" applyAlignment="1">
      <alignment vertical="center" wrapText="1"/>
    </xf>
    <xf numFmtId="3" fontId="3" fillId="4" borderId="28" xfId="119" applyNumberFormat="1" applyFont="1" applyFill="1" applyBorder="1" applyAlignment="1">
      <alignment horizontal="center"/>
    </xf>
    <xf numFmtId="1" fontId="3" fillId="0" borderId="19" xfId="3" applyNumberFormat="1" applyFont="1" applyFill="1" applyBorder="1" applyAlignment="1">
      <alignment horizontal="center"/>
    </xf>
    <xf numFmtId="3" fontId="3" fillId="0" borderId="19" xfId="119" applyNumberFormat="1" applyFont="1" applyBorder="1"/>
    <xf numFmtId="0" fontId="3" fillId="0" borderId="98" xfId="119" applyFont="1" applyBorder="1" applyAlignment="1">
      <alignment vertical="center" wrapText="1"/>
    </xf>
    <xf numFmtId="0" fontId="3" fillId="0" borderId="94" xfId="119" applyFont="1" applyBorder="1" applyAlignment="1">
      <alignment horizontal="center"/>
    </xf>
    <xf numFmtId="0" fontId="3" fillId="0" borderId="94" xfId="119" applyFont="1" applyBorder="1"/>
    <xf numFmtId="0" fontId="3" fillId="0" borderId="99" xfId="119" applyFont="1" applyBorder="1"/>
    <xf numFmtId="3" fontId="3" fillId="0" borderId="98" xfId="119" applyNumberFormat="1" applyFont="1" applyBorder="1" applyAlignment="1">
      <alignment vertical="center" wrapText="1"/>
    </xf>
    <xf numFmtId="3" fontId="3" fillId="0" borderId="99" xfId="119" applyNumberFormat="1" applyFont="1" applyBorder="1"/>
    <xf numFmtId="3" fontId="3" fillId="0" borderId="94" xfId="3" applyNumberFormat="1" applyFont="1" applyFill="1" applyBorder="1" applyAlignment="1">
      <alignment horizontal="center"/>
    </xf>
    <xf numFmtId="3" fontId="3" fillId="0" borderId="94" xfId="119" applyNumberFormat="1" applyFont="1" applyBorder="1"/>
    <xf numFmtId="3" fontId="3" fillId="0" borderId="100" xfId="119" applyNumberFormat="1" applyFont="1" applyBorder="1" applyAlignment="1">
      <alignment vertical="center" wrapText="1"/>
    </xf>
    <xf numFmtId="3" fontId="3" fillId="0" borderId="101" xfId="3" applyNumberFormat="1" applyFont="1" applyFill="1" applyBorder="1" applyAlignment="1">
      <alignment horizontal="center"/>
    </xf>
    <xf numFmtId="0" fontId="3" fillId="0" borderId="10" xfId="119" applyFont="1" applyBorder="1" applyAlignment="1">
      <alignment vertical="center" wrapText="1"/>
    </xf>
    <xf numFmtId="3" fontId="3" fillId="0" borderId="19" xfId="3" applyNumberFormat="1" applyFont="1" applyFill="1" applyBorder="1" applyAlignment="1">
      <alignment horizontal="center"/>
    </xf>
    <xf numFmtId="3" fontId="3" fillId="0" borderId="2" xfId="119" applyNumberFormat="1" applyFont="1" applyBorder="1" applyAlignment="1">
      <alignment horizontal="center" vertical="center"/>
    </xf>
    <xf numFmtId="3" fontId="3" fillId="4" borderId="2" xfId="3" applyNumberFormat="1" applyFont="1" applyFill="1" applyBorder="1" applyAlignment="1">
      <alignment horizontal="center"/>
    </xf>
    <xf numFmtId="0" fontId="3" fillId="0" borderId="10" xfId="141" applyFont="1" applyBorder="1" applyAlignment="1">
      <alignment wrapText="1"/>
    </xf>
    <xf numFmtId="0" fontId="3" fillId="2" borderId="10" xfId="141" applyFont="1" applyFill="1" applyBorder="1" applyAlignment="1">
      <alignment wrapText="1"/>
    </xf>
    <xf numFmtId="9" fontId="3" fillId="0" borderId="0" xfId="3" applyFont="1" applyFill="1" applyBorder="1" applyAlignment="1">
      <alignment horizontal="center"/>
    </xf>
    <xf numFmtId="2" fontId="3" fillId="0" borderId="2" xfId="136" applyNumberFormat="1" applyFont="1" applyBorder="1" applyAlignment="1">
      <alignment horizontal="center" vertical="center"/>
    </xf>
    <xf numFmtId="2" fontId="3" fillId="2" borderId="2" xfId="136" applyNumberFormat="1" applyFont="1" applyFill="1" applyBorder="1" applyAlignment="1">
      <alignment horizontal="center" vertical="center"/>
    </xf>
    <xf numFmtId="2" fontId="3" fillId="2" borderId="51" xfId="136" applyNumberFormat="1" applyFont="1" applyFill="1" applyBorder="1" applyAlignment="1">
      <alignment horizontal="center" vertical="center"/>
    </xf>
    <xf numFmtId="0" fontId="3" fillId="2" borderId="0" xfId="136" applyFont="1" applyFill="1" applyAlignment="1">
      <alignment vertical="center"/>
    </xf>
    <xf numFmtId="3" fontId="3" fillId="0" borderId="2" xfId="138" applyNumberFormat="1" applyFont="1" applyBorder="1" applyAlignment="1">
      <alignment horizontal="center" wrapText="1"/>
    </xf>
    <xf numFmtId="171" fontId="3" fillId="0" borderId="15" xfId="136" applyNumberFormat="1" applyFont="1" applyBorder="1" applyAlignment="1">
      <alignment horizontal="center" vertical="center"/>
    </xf>
    <xf numFmtId="0" fontId="3" fillId="0" borderId="0" xfId="136" applyFont="1"/>
    <xf numFmtId="0" fontId="3" fillId="0" borderId="0" xfId="136" applyFont="1" applyAlignment="1">
      <alignment horizontal="right"/>
    </xf>
    <xf numFmtId="171" fontId="3" fillId="2" borderId="18" xfId="136" applyNumberFormat="1" applyFont="1" applyFill="1" applyBorder="1" applyAlignment="1">
      <alignment horizontal="center" vertical="center"/>
    </xf>
    <xf numFmtId="171" fontId="3" fillId="2" borderId="2" xfId="136" applyNumberFormat="1" applyFont="1" applyFill="1" applyBorder="1" applyAlignment="1">
      <alignment horizontal="center" vertical="center"/>
    </xf>
    <xf numFmtId="171" fontId="3" fillId="2" borderId="5" xfId="136" applyNumberFormat="1" applyFont="1" applyFill="1" applyBorder="1" applyAlignment="1">
      <alignment horizontal="center" vertical="center"/>
    </xf>
    <xf numFmtId="171" fontId="3" fillId="2" borderId="53" xfId="136" applyNumberFormat="1" applyFont="1" applyFill="1" applyBorder="1" applyAlignment="1">
      <alignment horizontal="center" vertical="center"/>
    </xf>
    <xf numFmtId="171" fontId="3" fillId="2" borderId="7" xfId="136" applyNumberFormat="1" applyFont="1" applyFill="1" applyBorder="1" applyAlignment="1">
      <alignment horizontal="center" vertical="center"/>
    </xf>
    <xf numFmtId="171" fontId="3" fillId="2" borderId="90" xfId="136" applyNumberFormat="1" applyFont="1" applyFill="1" applyBorder="1" applyAlignment="1">
      <alignment horizontal="center" vertical="center"/>
    </xf>
    <xf numFmtId="0" fontId="3" fillId="0" borderId="0" xfId="136" applyFont="1" applyAlignment="1">
      <alignment vertical="center"/>
    </xf>
    <xf numFmtId="3" fontId="3" fillId="0" borderId="51" xfId="138" applyNumberFormat="1" applyFont="1" applyBorder="1" applyAlignment="1">
      <alignment horizontal="center" wrapText="1"/>
    </xf>
    <xf numFmtId="3" fontId="3" fillId="0" borderId="51" xfId="119" applyNumberFormat="1" applyFont="1" applyBorder="1" applyAlignment="1">
      <alignment horizontal="center" vertical="center"/>
    </xf>
    <xf numFmtId="1" fontId="3" fillId="4" borderId="5" xfId="119" applyNumberFormat="1" applyFont="1" applyFill="1" applyBorder="1" applyAlignment="1">
      <alignment horizontal="center" wrapText="1"/>
    </xf>
    <xf numFmtId="164" fontId="3" fillId="4" borderId="5" xfId="119" applyNumberFormat="1" applyFont="1" applyFill="1" applyBorder="1" applyAlignment="1">
      <alignment horizontal="center" wrapText="1"/>
    </xf>
    <xf numFmtId="172" fontId="3" fillId="4" borderId="2" xfId="1" applyNumberFormat="1" applyFont="1" applyFill="1" applyBorder="1" applyAlignment="1">
      <alignment horizontal="center"/>
    </xf>
    <xf numFmtId="3" fontId="3" fillId="0" borderId="10" xfId="119" applyNumberFormat="1" applyFont="1" applyBorder="1"/>
    <xf numFmtId="0" fontId="3" fillId="0" borderId="0" xfId="130" applyFont="1" applyAlignment="1">
      <alignment horizontal="left" vertical="center" wrapText="1"/>
    </xf>
    <xf numFmtId="0" fontId="3" fillId="4" borderId="18" xfId="130" applyFont="1" applyFill="1" applyBorder="1" applyAlignment="1">
      <alignment horizontal="center"/>
    </xf>
    <xf numFmtId="3" fontId="3" fillId="4" borderId="5" xfId="130" applyNumberFormat="1" applyFont="1" applyFill="1" applyBorder="1" applyAlignment="1">
      <alignment horizontal="center"/>
    </xf>
    <xf numFmtId="164" fontId="3" fillId="4" borderId="5" xfId="130" applyNumberFormat="1" applyFont="1" applyFill="1" applyBorder="1" applyAlignment="1">
      <alignment horizontal="center"/>
    </xf>
    <xf numFmtId="164" fontId="3" fillId="21" borderId="29" xfId="2" applyNumberFormat="1" applyFont="1" applyFill="1" applyBorder="1" applyAlignment="1">
      <alignment horizontal="center"/>
    </xf>
    <xf numFmtId="164" fontId="3" fillId="23" borderId="18" xfId="2" applyNumberFormat="1" applyFont="1" applyFill="1" applyBorder="1" applyAlignment="1">
      <alignment horizontal="center"/>
    </xf>
    <xf numFmtId="164" fontId="3" fillId="23" borderId="15" xfId="2" applyNumberFormat="1" applyFont="1" applyFill="1" applyBorder="1" applyAlignment="1">
      <alignment horizontal="center"/>
    </xf>
    <xf numFmtId="164" fontId="3" fillId="22" borderId="40" xfId="2" applyNumberFormat="1" applyFont="1" applyFill="1" applyBorder="1" applyAlignment="1">
      <alignment horizontal="center"/>
    </xf>
    <xf numFmtId="164" fontId="3" fillId="22" borderId="48" xfId="2" applyNumberFormat="1" applyFont="1" applyFill="1" applyBorder="1" applyAlignment="1">
      <alignment horizontal="center"/>
    </xf>
    <xf numFmtId="0" fontId="3" fillId="0" borderId="0" xfId="130" applyFont="1"/>
    <xf numFmtId="0" fontId="3" fillId="0" borderId="11" xfId="130" applyFont="1" applyBorder="1"/>
    <xf numFmtId="0" fontId="3" fillId="0" borderId="10" xfId="130" applyFont="1" applyBorder="1"/>
    <xf numFmtId="3" fontId="3" fillId="0" borderId="0" xfId="130" applyNumberFormat="1" applyFont="1" applyAlignment="1">
      <alignment horizontal="center"/>
    </xf>
    <xf numFmtId="0" fontId="3" fillId="2" borderId="10" xfId="130" applyFont="1" applyFill="1" applyBorder="1"/>
    <xf numFmtId="0" fontId="3" fillId="2" borderId="0" xfId="130" applyFont="1" applyFill="1"/>
    <xf numFmtId="0" fontId="3" fillId="0" borderId="0" xfId="130" applyFont="1" applyAlignment="1">
      <alignment vertical="center"/>
    </xf>
    <xf numFmtId="3" fontId="3" fillId="4" borderId="28" xfId="1" applyNumberFormat="1" applyFont="1" applyFill="1" applyBorder="1" applyAlignment="1">
      <alignment horizontal="center"/>
    </xf>
    <xf numFmtId="164" fontId="3" fillId="4" borderId="28" xfId="130" applyNumberFormat="1" applyFont="1" applyFill="1" applyBorder="1" applyAlignment="1">
      <alignment horizontal="center"/>
    </xf>
    <xf numFmtId="165" fontId="3" fillId="2" borderId="0" xfId="3" applyNumberFormat="1" applyFont="1" applyFill="1" applyBorder="1" applyAlignment="1">
      <alignment horizontal="center"/>
    </xf>
    <xf numFmtId="0" fontId="3" fillId="0" borderId="19" xfId="130" applyFont="1" applyBorder="1"/>
    <xf numFmtId="171" fontId="3" fillId="4" borderId="2" xfId="119" applyNumberFormat="1" applyFont="1" applyFill="1" applyBorder="1" applyAlignment="1">
      <alignment horizontal="center"/>
    </xf>
    <xf numFmtId="0" fontId="3" fillId="0" borderId="0" xfId="134" applyFont="1" applyAlignment="1">
      <alignment horizontal="center" vertical="center"/>
    </xf>
    <xf numFmtId="9" fontId="3" fillId="0" borderId="0" xfId="134" applyNumberFormat="1" applyFont="1" applyAlignment="1">
      <alignment horizontal="left" vertical="center"/>
    </xf>
    <xf numFmtId="171" fontId="3" fillId="2" borderId="18" xfId="0" applyNumberFormat="1" applyFont="1" applyFill="1" applyBorder="1" applyAlignment="1">
      <alignment horizontal="center" vertical="center"/>
    </xf>
    <xf numFmtId="171" fontId="3" fillId="2" borderId="2" xfId="0" applyNumberFormat="1" applyFont="1" applyFill="1" applyBorder="1" applyAlignment="1">
      <alignment horizontal="center" vertical="center"/>
    </xf>
    <xf numFmtId="171" fontId="3" fillId="2" borderId="2" xfId="134" applyNumberFormat="1" applyFont="1" applyFill="1" applyBorder="1" applyAlignment="1">
      <alignment horizontal="center" vertical="center"/>
    </xf>
    <xf numFmtId="171" fontId="3" fillId="2" borderId="15" xfId="134" applyNumberFormat="1" applyFont="1" applyFill="1" applyBorder="1" applyAlignment="1">
      <alignment horizontal="center" vertical="center"/>
    </xf>
    <xf numFmtId="3" fontId="3" fillId="2" borderId="18" xfId="134" applyNumberFormat="1" applyFont="1" applyFill="1" applyBorder="1" applyAlignment="1">
      <alignment horizontal="center" vertical="center"/>
    </xf>
    <xf numFmtId="3" fontId="3" fillId="2" borderId="2" xfId="134" applyNumberFormat="1" applyFont="1" applyFill="1" applyBorder="1" applyAlignment="1">
      <alignment horizontal="center" vertical="center"/>
    </xf>
    <xf numFmtId="3" fontId="3" fillId="2" borderId="15" xfId="134" applyNumberFormat="1" applyFont="1" applyFill="1" applyBorder="1" applyAlignment="1">
      <alignment horizontal="center" vertical="center"/>
    </xf>
    <xf numFmtId="3" fontId="3" fillId="2" borderId="5" xfId="134" applyNumberFormat="1" applyFont="1" applyFill="1" applyBorder="1" applyAlignment="1">
      <alignment horizontal="center" vertical="center"/>
    </xf>
    <xf numFmtId="171" fontId="3" fillId="2" borderId="15" xfId="134" applyNumberFormat="1" applyFont="1" applyFill="1" applyBorder="1" applyAlignment="1">
      <alignment horizontal="center" vertical="center" wrapText="1"/>
    </xf>
    <xf numFmtId="171" fontId="3" fillId="2" borderId="2" xfId="134" applyNumberFormat="1" applyFont="1" applyFill="1" applyBorder="1" applyAlignment="1">
      <alignment horizontal="center" vertical="center" wrapText="1"/>
    </xf>
    <xf numFmtId="164" fontId="3" fillId="4" borderId="28" xfId="1" applyNumberFormat="1" applyFont="1" applyFill="1" applyBorder="1" applyAlignment="1">
      <alignment horizontal="center"/>
    </xf>
    <xf numFmtId="3" fontId="3" fillId="2" borderId="0" xfId="3" applyNumberFormat="1" applyFont="1" applyFill="1" applyBorder="1" applyAlignment="1">
      <alignment horizontal="center"/>
    </xf>
    <xf numFmtId="0" fontId="3" fillId="0" borderId="12" xfId="130" applyFont="1" applyBorder="1"/>
    <xf numFmtId="0" fontId="3" fillId="0" borderId="19" xfId="130" applyFont="1" applyBorder="1" applyAlignment="1">
      <alignment vertical="center"/>
    </xf>
    <xf numFmtId="0" fontId="3" fillId="0" borderId="0" xfId="145" applyFont="1"/>
    <xf numFmtId="3" fontId="3" fillId="0" borderId="10" xfId="145" applyNumberFormat="1" applyFont="1" applyBorder="1"/>
    <xf numFmtId="3" fontId="3" fillId="0" borderId="12" xfId="145" applyNumberFormat="1" applyFont="1" applyBorder="1"/>
    <xf numFmtId="169" fontId="3" fillId="0" borderId="19" xfId="3" applyNumberFormat="1" applyFont="1" applyFill="1" applyBorder="1" applyAlignment="1">
      <alignment horizontal="center"/>
    </xf>
    <xf numFmtId="0" fontId="3" fillId="0" borderId="19" xfId="145" applyFont="1" applyBorder="1"/>
    <xf numFmtId="3" fontId="3" fillId="0" borderId="4" xfId="145" applyNumberFormat="1" applyFont="1" applyBorder="1" applyAlignment="1">
      <alignment horizontal="left"/>
    </xf>
    <xf numFmtId="3" fontId="3" fillId="0" borderId="6" xfId="145" applyNumberFormat="1" applyFont="1" applyBorder="1" applyAlignment="1">
      <alignment horizontal="left"/>
    </xf>
    <xf numFmtId="169" fontId="3" fillId="0" borderId="6" xfId="3" applyNumberFormat="1" applyFont="1" applyFill="1" applyBorder="1" applyAlignment="1">
      <alignment horizontal="center"/>
    </xf>
    <xf numFmtId="164" fontId="3" fillId="0" borderId="0" xfId="3" applyNumberFormat="1" applyFont="1" applyFill="1" applyBorder="1" applyAlignment="1">
      <alignment horizontal="center"/>
    </xf>
    <xf numFmtId="164" fontId="3" fillId="0" borderId="19" xfId="3" applyNumberFormat="1" applyFont="1" applyFill="1" applyBorder="1" applyAlignment="1">
      <alignment horizontal="center"/>
    </xf>
    <xf numFmtId="164" fontId="3" fillId="0" borderId="6" xfId="3" applyNumberFormat="1" applyFont="1" applyFill="1" applyBorder="1" applyAlignment="1">
      <alignment horizontal="center"/>
    </xf>
    <xf numFmtId="0" fontId="3" fillId="0" borderId="10" xfId="145" applyFont="1" applyBorder="1"/>
    <xf numFmtId="169" fontId="3" fillId="0" borderId="4" xfId="3" applyNumberFormat="1" applyFont="1" applyFill="1" applyBorder="1" applyAlignment="1">
      <alignment horizontal="center"/>
    </xf>
    <xf numFmtId="0" fontId="141" fillId="33" borderId="155" xfId="0" applyFont="1" applyFill="1" applyBorder="1" applyAlignment="1">
      <alignment horizontal="center" vertical="center" wrapText="1"/>
    </xf>
    <xf numFmtId="0" fontId="141" fillId="33" borderId="156" xfId="0" applyFont="1" applyFill="1" applyBorder="1" applyAlignment="1">
      <alignment horizontal="center" vertical="center" wrapText="1"/>
    </xf>
    <xf numFmtId="0" fontId="142" fillId="34" borderId="153" xfId="0" applyFont="1" applyFill="1" applyBorder="1" applyAlignment="1">
      <alignment vertical="center" wrapText="1"/>
    </xf>
    <xf numFmtId="6" fontId="142" fillId="34" borderId="156" xfId="0" applyNumberFormat="1" applyFont="1" applyFill="1" applyBorder="1" applyAlignment="1">
      <alignment horizontal="center" vertical="center" wrapText="1"/>
    </xf>
    <xf numFmtId="0" fontId="142" fillId="34" borderId="156" xfId="0" applyFont="1" applyFill="1" applyBorder="1" applyAlignment="1">
      <alignment horizontal="center" vertical="center" wrapText="1"/>
    </xf>
    <xf numFmtId="2" fontId="142" fillId="34" borderId="156" xfId="0" applyNumberFormat="1" applyFont="1" applyFill="1" applyBorder="1" applyAlignment="1">
      <alignment horizontal="center" vertical="center" wrapText="1"/>
    </xf>
    <xf numFmtId="0" fontId="141" fillId="33" borderId="158" xfId="0" applyFont="1" applyFill="1" applyBorder="1" applyAlignment="1">
      <alignment horizontal="center" vertical="center" wrapText="1"/>
    </xf>
    <xf numFmtId="6" fontId="141" fillId="33" borderId="158" xfId="0" applyNumberFormat="1" applyFont="1" applyFill="1" applyBorder="1" applyAlignment="1">
      <alignment horizontal="center" vertical="center" wrapText="1"/>
    </xf>
    <xf numFmtId="0" fontId="0" fillId="33" borderId="156" xfId="0" applyFill="1" applyBorder="1" applyAlignment="1">
      <alignment vertical="center" wrapText="1"/>
    </xf>
    <xf numFmtId="0" fontId="143" fillId="34" borderId="153" xfId="0" applyFont="1" applyFill="1" applyBorder="1" applyAlignment="1">
      <alignment vertical="center" wrapText="1"/>
    </xf>
    <xf numFmtId="0" fontId="141" fillId="33" borderId="151" xfId="0" applyFont="1" applyFill="1" applyBorder="1" applyAlignment="1">
      <alignment vertical="center" wrapText="1"/>
    </xf>
    <xf numFmtId="0" fontId="141" fillId="33" borderId="154" xfId="0" applyFont="1" applyFill="1" applyBorder="1" applyAlignment="1">
      <alignment horizontal="center" vertical="center" wrapText="1"/>
    </xf>
    <xf numFmtId="3" fontId="142" fillId="34" borderId="156" xfId="0" applyNumberFormat="1" applyFont="1" applyFill="1" applyBorder="1" applyAlignment="1">
      <alignment horizontal="center" vertical="center" wrapText="1"/>
    </xf>
    <xf numFmtId="10" fontId="142" fillId="34" borderId="156" xfId="0" applyNumberFormat="1" applyFont="1" applyFill="1" applyBorder="1" applyAlignment="1">
      <alignment horizontal="center" vertical="center" wrapText="1"/>
    </xf>
    <xf numFmtId="0" fontId="141" fillId="33" borderId="152" xfId="0" applyFont="1" applyFill="1" applyBorder="1" applyAlignment="1">
      <alignment vertical="center" wrapText="1"/>
    </xf>
    <xf numFmtId="0" fontId="141" fillId="33" borderId="153" xfId="0" applyFont="1" applyFill="1" applyBorder="1" applyAlignment="1">
      <alignment vertical="center" wrapText="1"/>
    </xf>
    <xf numFmtId="0" fontId="142" fillId="34" borderId="159" xfId="0" applyFont="1" applyFill="1" applyBorder="1" applyAlignment="1">
      <alignment vertical="center" wrapText="1"/>
    </xf>
    <xf numFmtId="3" fontId="142" fillId="34" borderId="160" xfId="0" applyNumberFormat="1" applyFont="1" applyFill="1" applyBorder="1" applyAlignment="1">
      <alignment horizontal="center" vertical="center" wrapText="1"/>
    </xf>
    <xf numFmtId="3" fontId="142" fillId="35" borderId="160" xfId="0" applyNumberFormat="1" applyFont="1" applyFill="1" applyBorder="1" applyAlignment="1">
      <alignment horizontal="center" vertical="center" wrapText="1"/>
    </xf>
    <xf numFmtId="2" fontId="142" fillId="35" borderId="156" xfId="0" applyNumberFormat="1" applyFont="1" applyFill="1" applyBorder="1" applyAlignment="1">
      <alignment horizontal="center" vertical="center" wrapText="1"/>
    </xf>
    <xf numFmtId="0" fontId="144" fillId="34" borderId="159" xfId="0" applyFont="1" applyFill="1" applyBorder="1" applyAlignment="1">
      <alignment vertical="center" wrapText="1"/>
    </xf>
    <xf numFmtId="0" fontId="143" fillId="35" borderId="153" xfId="0" applyFont="1" applyFill="1" applyBorder="1" applyAlignment="1">
      <alignment vertical="center" wrapText="1"/>
    </xf>
    <xf numFmtId="0" fontId="141" fillId="33" borderId="151" xfId="0" applyFont="1" applyFill="1" applyBorder="1" applyAlignment="1">
      <alignment vertical="center"/>
    </xf>
    <xf numFmtId="0" fontId="141" fillId="33" borderId="154" xfId="0" applyFont="1" applyFill="1" applyBorder="1" applyAlignment="1">
      <alignment horizontal="center" vertical="center"/>
    </xf>
    <xf numFmtId="0" fontId="142" fillId="34" borderId="153" xfId="0" applyFont="1" applyFill="1" applyBorder="1" applyAlignment="1">
      <alignment vertical="center"/>
    </xf>
    <xf numFmtId="6" fontId="142" fillId="34" borderId="156" xfId="0" applyNumberFormat="1" applyFont="1" applyFill="1" applyBorder="1" applyAlignment="1">
      <alignment horizontal="center" vertical="center"/>
    </xf>
    <xf numFmtId="0" fontId="142" fillId="34" borderId="159" xfId="0" applyFont="1" applyFill="1" applyBorder="1" applyAlignment="1">
      <alignment vertical="center"/>
    </xf>
    <xf numFmtId="0" fontId="142" fillId="34" borderId="160" xfId="0" applyFont="1" applyFill="1" applyBorder="1" applyAlignment="1">
      <alignment horizontal="center" vertical="center"/>
    </xf>
    <xf numFmtId="9" fontId="142" fillId="34" borderId="160" xfId="0" applyNumberFormat="1" applyFont="1" applyFill="1" applyBorder="1" applyAlignment="1">
      <alignment horizontal="center" vertical="center"/>
    </xf>
    <xf numFmtId="0" fontId="144" fillId="34" borderId="159" xfId="0" applyFont="1" applyFill="1" applyBorder="1" applyAlignment="1">
      <alignment vertical="center"/>
    </xf>
    <xf numFmtId="6" fontId="142" fillId="34" borderId="160" xfId="0" applyNumberFormat="1" applyFont="1" applyFill="1" applyBorder="1" applyAlignment="1">
      <alignment horizontal="center" vertical="center"/>
    </xf>
    <xf numFmtId="0" fontId="143" fillId="35" borderId="159" xfId="0" applyFont="1" applyFill="1" applyBorder="1" applyAlignment="1">
      <alignment vertical="center"/>
    </xf>
    <xf numFmtId="0" fontId="143" fillId="35" borderId="153" xfId="0" applyFont="1" applyFill="1" applyBorder="1" applyAlignment="1">
      <alignment vertical="center"/>
    </xf>
    <xf numFmtId="0" fontId="145" fillId="0" borderId="0" xfId="0" applyFont="1" applyAlignment="1">
      <alignment vertical="center"/>
    </xf>
    <xf numFmtId="6" fontId="144" fillId="34" borderId="160" xfId="0" applyNumberFormat="1" applyFont="1" applyFill="1" applyBorder="1" applyAlignment="1">
      <alignment horizontal="center" vertical="center" wrapText="1"/>
    </xf>
    <xf numFmtId="6" fontId="144" fillId="34" borderId="156" xfId="0" applyNumberFormat="1" applyFont="1" applyFill="1" applyBorder="1" applyAlignment="1">
      <alignment horizontal="center" vertical="center" wrapText="1"/>
    </xf>
    <xf numFmtId="0" fontId="52" fillId="0" borderId="0" xfId="0" applyFont="1" applyAlignment="1">
      <alignment vertical="center"/>
    </xf>
    <xf numFmtId="6" fontId="147" fillId="34" borderId="156" xfId="0" applyNumberFormat="1" applyFont="1" applyFill="1" applyBorder="1" applyAlignment="1">
      <alignment horizontal="center" vertical="center" wrapText="1"/>
    </xf>
    <xf numFmtId="6" fontId="0" fillId="0" borderId="0" xfId="0" applyNumberFormat="1"/>
    <xf numFmtId="6" fontId="142" fillId="34" borderId="153" xfId="0" applyNumberFormat="1" applyFont="1" applyFill="1" applyBorder="1" applyAlignment="1">
      <alignment vertical="center" wrapText="1"/>
    </xf>
    <xf numFmtId="6" fontId="149" fillId="34" borderId="153" xfId="0" applyNumberFormat="1" applyFont="1" applyFill="1" applyBorder="1" applyAlignment="1">
      <alignment vertical="center" wrapText="1"/>
    </xf>
    <xf numFmtId="6" fontId="149" fillId="34" borderId="156" xfId="0" applyNumberFormat="1" applyFont="1" applyFill="1" applyBorder="1" applyAlignment="1">
      <alignment horizontal="center" vertical="center" wrapText="1"/>
    </xf>
    <xf numFmtId="6" fontId="0" fillId="36" borderId="0" xfId="0" applyNumberFormat="1" applyFill="1"/>
    <xf numFmtId="0" fontId="0" fillId="0" borderId="167" xfId="0" applyBorder="1"/>
    <xf numFmtId="0" fontId="0" fillId="0" borderId="168" xfId="0" applyBorder="1"/>
    <xf numFmtId="0" fontId="141" fillId="33" borderId="169" xfId="0" applyFont="1" applyFill="1" applyBorder="1" applyAlignment="1">
      <alignment vertical="center" wrapText="1"/>
    </xf>
    <xf numFmtId="0" fontId="142" fillId="34" borderId="170" xfId="0" applyFont="1" applyFill="1" applyBorder="1" applyAlignment="1">
      <alignment vertical="center" wrapText="1"/>
    </xf>
    <xf numFmtId="0" fontId="144" fillId="34" borderId="171" xfId="0" applyFont="1" applyFill="1" applyBorder="1" applyAlignment="1">
      <alignment vertical="center" wrapText="1"/>
    </xf>
    <xf numFmtId="0" fontId="143" fillId="35" borderId="170" xfId="0" applyFont="1" applyFill="1" applyBorder="1" applyAlignment="1">
      <alignment vertical="center" wrapText="1"/>
    </xf>
    <xf numFmtId="0" fontId="143" fillId="35" borderId="172" xfId="0" applyFont="1" applyFill="1" applyBorder="1" applyAlignment="1">
      <alignment vertical="center" wrapText="1"/>
    </xf>
    <xf numFmtId="0" fontId="151" fillId="0" borderId="0" xfId="0" applyFont="1"/>
    <xf numFmtId="0" fontId="150" fillId="0" borderId="0" xfId="0" applyFont="1" applyAlignment="1">
      <alignment vertical="center" wrapText="1"/>
    </xf>
    <xf numFmtId="6" fontId="143" fillId="33" borderId="151" xfId="0" applyNumberFormat="1" applyFont="1" applyFill="1" applyBorder="1" applyAlignment="1">
      <alignment vertical="center" wrapText="1"/>
    </xf>
    <xf numFmtId="6" fontId="143" fillId="33" borderId="154" xfId="0" applyNumberFormat="1" applyFont="1" applyFill="1" applyBorder="1" applyAlignment="1">
      <alignment horizontal="center" vertical="center" wrapText="1"/>
    </xf>
    <xf numFmtId="0" fontId="31" fillId="19" borderId="0" xfId="0" applyFont="1" applyFill="1" applyAlignment="1" applyProtection="1">
      <alignment horizontal="left" vertical="center"/>
      <protection hidden="1"/>
    </xf>
    <xf numFmtId="0" fontId="31" fillId="19" borderId="0" xfId="0" applyFont="1" applyFill="1" applyAlignment="1" applyProtection="1">
      <alignment vertical="center"/>
      <protection hidden="1"/>
    </xf>
    <xf numFmtId="0" fontId="27" fillId="0" borderId="0" xfId="0" applyFont="1" applyProtection="1">
      <protection hidden="1"/>
    </xf>
    <xf numFmtId="0" fontId="65" fillId="0" borderId="0" xfId="0" applyFont="1" applyAlignment="1" applyProtection="1">
      <alignment horizontal="center"/>
      <protection hidden="1"/>
    </xf>
    <xf numFmtId="0" fontId="0" fillId="0" borderId="0" xfId="0" applyProtection="1">
      <protection hidden="1"/>
    </xf>
    <xf numFmtId="0" fontId="0" fillId="0" borderId="0" xfId="0" applyAlignment="1" applyProtection="1">
      <alignment wrapText="1"/>
      <protection hidden="1"/>
    </xf>
    <xf numFmtId="0" fontId="38" fillId="0" borderId="0" xfId="0" applyFont="1" applyProtection="1">
      <protection hidden="1"/>
    </xf>
    <xf numFmtId="0" fontId="3" fillId="0" borderId="0" xfId="141" applyFont="1" applyProtection="1">
      <protection hidden="1"/>
    </xf>
    <xf numFmtId="0" fontId="10" fillId="0" borderId="0" xfId="14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19"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18" fontId="0" fillId="0" borderId="0" xfId="0" applyNumberFormat="1" applyProtection="1">
      <protection hidden="1"/>
    </xf>
    <xf numFmtId="14" fontId="0" fillId="0" borderId="0" xfId="0" applyNumberFormat="1" applyProtection="1">
      <protection hidden="1"/>
    </xf>
    <xf numFmtId="0" fontId="31" fillId="19" borderId="0" xfId="112" applyFont="1" applyFill="1" applyAlignment="1" applyProtection="1">
      <alignment horizontal="left" vertical="center"/>
      <protection hidden="1"/>
    </xf>
    <xf numFmtId="0" fontId="31" fillId="19" borderId="0" xfId="112" applyFont="1" applyFill="1" applyAlignment="1" applyProtection="1">
      <alignment vertical="center"/>
      <protection hidden="1"/>
    </xf>
    <xf numFmtId="0" fontId="31" fillId="19" borderId="0" xfId="119" applyFont="1" applyFill="1" applyProtection="1">
      <protection hidden="1"/>
    </xf>
    <xf numFmtId="0" fontId="59" fillId="19" borderId="0" xfId="119" applyFont="1" applyFill="1" applyProtection="1">
      <protection hidden="1"/>
    </xf>
    <xf numFmtId="0" fontId="65" fillId="0" borderId="0" xfId="0" applyFont="1" applyProtection="1">
      <protection hidden="1"/>
    </xf>
    <xf numFmtId="0" fontId="28" fillId="0" borderId="10" xfId="119" applyFont="1" applyBorder="1" applyProtection="1">
      <protection hidden="1"/>
    </xf>
    <xf numFmtId="0" fontId="28" fillId="0" borderId="0" xfId="119" applyFont="1" applyAlignment="1" applyProtection="1">
      <alignment horizontal="right"/>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0" fontId="0" fillId="0" borderId="65" xfId="0" applyBorder="1" applyAlignment="1" applyProtection="1">
      <alignment horizontal="center" wrapText="1"/>
      <protection hidden="1"/>
    </xf>
    <xf numFmtId="168" fontId="0" fillId="15"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19" fillId="20" borderId="5" xfId="0" applyNumberFormat="1" applyFont="1" applyFill="1" applyBorder="1" applyAlignment="1" applyProtection="1">
      <alignment horizontal="center" vertical="center"/>
      <protection hidden="1"/>
    </xf>
    <xf numFmtId="168" fontId="19" fillId="20" borderId="15" xfId="0" applyNumberFormat="1" applyFont="1" applyFill="1" applyBorder="1" applyAlignment="1" applyProtection="1">
      <alignment horizontal="center" vertical="center"/>
      <protection hidden="1"/>
    </xf>
    <xf numFmtId="0" fontId="19" fillId="0" borderId="0" xfId="0" applyFont="1" applyProtection="1">
      <protection hidden="1"/>
    </xf>
    <xf numFmtId="0" fontId="63" fillId="15" borderId="58" xfId="0" applyFont="1" applyFill="1" applyBorder="1" applyProtection="1">
      <protection hidden="1"/>
    </xf>
    <xf numFmtId="0" fontId="63" fillId="15" borderId="61" xfId="0" applyFont="1" applyFill="1" applyBorder="1" applyProtection="1">
      <protection hidden="1"/>
    </xf>
    <xf numFmtId="0" fontId="19"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25"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19"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19"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19" fillId="15" borderId="3" xfId="0" applyFont="1" applyFill="1" applyBorder="1" applyAlignment="1" applyProtection="1">
      <alignment horizontal="center" vertical="center" wrapText="1"/>
      <protection hidden="1"/>
    </xf>
    <xf numFmtId="0" fontId="19" fillId="18" borderId="18" xfId="0" applyFont="1" applyFill="1" applyBorder="1" applyAlignment="1" applyProtection="1">
      <alignment horizontal="center" wrapText="1"/>
      <protection hidden="1"/>
    </xf>
    <xf numFmtId="0" fontId="19" fillId="18" borderId="2" xfId="0" applyFont="1" applyFill="1" applyBorder="1" applyAlignment="1" applyProtection="1">
      <alignment horizontal="center" wrapText="1"/>
      <protection hidden="1"/>
    </xf>
    <xf numFmtId="0" fontId="19" fillId="11" borderId="2" xfId="0" applyFont="1" applyFill="1" applyBorder="1" applyAlignment="1" applyProtection="1">
      <alignment horizontal="center" wrapText="1"/>
      <protection hidden="1"/>
    </xf>
    <xf numFmtId="0" fontId="19" fillId="11" borderId="15"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19"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19"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168" fontId="0" fillId="2" borderId="3" xfId="0" applyNumberFormat="1" applyFill="1" applyBorder="1" applyAlignment="1" applyProtection="1">
      <alignment horizontal="center"/>
      <protection hidden="1"/>
    </xf>
    <xf numFmtId="168" fontId="19" fillId="20" borderId="2" xfId="0" applyNumberFormat="1" applyFont="1" applyFill="1" applyBorder="1" applyAlignment="1" applyProtection="1">
      <alignment horizontal="center" vertical="center"/>
      <protection hidden="1"/>
    </xf>
    <xf numFmtId="3" fontId="63" fillId="29" borderId="40" xfId="0" applyNumberFormat="1" applyFont="1" applyFill="1" applyBorder="1" applyAlignment="1" applyProtection="1">
      <alignment horizontal="center"/>
      <protection hidden="1"/>
    </xf>
    <xf numFmtId="0" fontId="19" fillId="0" borderId="0" xfId="0" applyFont="1" applyAlignment="1" applyProtection="1">
      <alignment horizontal="right" indent="1"/>
      <protection hidden="1"/>
    </xf>
    <xf numFmtId="174" fontId="63" fillId="11" borderId="40" xfId="0" applyNumberFormat="1" applyFont="1" applyFill="1" applyBorder="1" applyAlignment="1" applyProtection="1">
      <alignment horizontal="center"/>
      <protection hidden="1"/>
    </xf>
    <xf numFmtId="174" fontId="63" fillId="23" borderId="40" xfId="0" applyNumberFormat="1" applyFont="1" applyFill="1" applyBorder="1" applyAlignment="1" applyProtection="1">
      <alignment horizontal="center"/>
      <protection hidden="1"/>
    </xf>
    <xf numFmtId="174" fontId="63" fillId="16" borderId="40" xfId="0" applyNumberFormat="1" applyFont="1" applyFill="1" applyBorder="1" applyAlignment="1" applyProtection="1">
      <alignment horizontal="center"/>
      <protection hidden="1"/>
    </xf>
    <xf numFmtId="174" fontId="63" fillId="20" borderId="40" xfId="0" applyNumberFormat="1" applyFont="1" applyFill="1" applyBorder="1" applyAlignment="1" applyProtection="1">
      <alignment horizontal="center"/>
      <protection hidden="1"/>
    </xf>
    <xf numFmtId="0" fontId="19" fillId="0" borderId="0" xfId="0" applyFont="1" applyAlignment="1" applyProtection="1">
      <alignment horizontal="right"/>
      <protection hidden="1"/>
    </xf>
    <xf numFmtId="3" fontId="63" fillId="29" borderId="52" xfId="0" applyNumberFormat="1" applyFont="1" applyFill="1" applyBorder="1" applyAlignment="1" applyProtection="1">
      <alignment horizontal="center"/>
      <protection hidden="1"/>
    </xf>
    <xf numFmtId="174" fontId="63" fillId="11" borderId="52" xfId="0" applyNumberFormat="1" applyFont="1" applyFill="1" applyBorder="1" applyAlignment="1" applyProtection="1">
      <alignment horizontal="center"/>
      <protection hidden="1"/>
    </xf>
    <xf numFmtId="174" fontId="63" fillId="23" borderId="52" xfId="0" applyNumberFormat="1" applyFont="1" applyFill="1" applyBorder="1" applyAlignment="1" applyProtection="1">
      <alignment horizontal="center"/>
      <protection hidden="1"/>
    </xf>
    <xf numFmtId="174" fontId="63" fillId="16" borderId="52" xfId="0" applyNumberFormat="1" applyFont="1" applyFill="1" applyBorder="1" applyAlignment="1" applyProtection="1">
      <alignment horizontal="center"/>
      <protection hidden="1"/>
    </xf>
    <xf numFmtId="174" fontId="63" fillId="20" borderId="52" xfId="0" applyNumberFormat="1" applyFont="1" applyFill="1" applyBorder="1" applyAlignment="1" applyProtection="1">
      <alignment horizontal="center"/>
      <protection hidden="1"/>
    </xf>
    <xf numFmtId="0" fontId="63" fillId="15" borderId="56" xfId="0" applyFont="1" applyFill="1" applyBorder="1" applyProtection="1">
      <protection hidden="1"/>
    </xf>
    <xf numFmtId="0" fontId="63" fillId="2" borderId="25" xfId="0" applyFont="1" applyFill="1" applyBorder="1" applyProtection="1">
      <protection hidden="1"/>
    </xf>
    <xf numFmtId="0" fontId="63" fillId="15" borderId="25" xfId="0" applyFont="1" applyFill="1" applyBorder="1" applyProtection="1">
      <protection hidden="1"/>
    </xf>
    <xf numFmtId="0" fontId="19"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19"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19"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19" fillId="20" borderId="51" xfId="0" applyNumberFormat="1" applyFont="1" applyFill="1" applyBorder="1" applyAlignment="1" applyProtection="1">
      <alignment horizontal="center" vertical="center"/>
      <protection hidden="1"/>
    </xf>
    <xf numFmtId="168" fontId="19"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19" fillId="16" borderId="15" xfId="0" applyFont="1" applyFill="1" applyBorder="1" applyAlignment="1" applyProtection="1">
      <alignment horizontal="center" wrapText="1"/>
      <protection hidden="1"/>
    </xf>
    <xf numFmtId="0" fontId="19"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19" fillId="0" borderId="0" xfId="0" applyNumberFormat="1" applyFont="1" applyAlignment="1" applyProtection="1">
      <alignment horizontal="right" indent="1"/>
      <protection hidden="1"/>
    </xf>
    <xf numFmtId="3" fontId="63" fillId="16" borderId="40" xfId="0" applyNumberFormat="1" applyFont="1" applyFill="1" applyBorder="1" applyAlignment="1" applyProtection="1">
      <alignment horizontal="center"/>
      <protection hidden="1"/>
    </xf>
    <xf numFmtId="3" fontId="63" fillId="16" borderId="52" xfId="0" applyNumberFormat="1" applyFont="1" applyFill="1" applyBorder="1" applyAlignment="1" applyProtection="1">
      <alignment horizontal="center"/>
      <protection hidden="1"/>
    </xf>
    <xf numFmtId="0" fontId="31" fillId="19" borderId="0" xfId="134" applyFont="1" applyFill="1" applyAlignment="1" applyProtection="1">
      <alignment horizontal="left" vertical="center"/>
      <protection hidden="1"/>
    </xf>
    <xf numFmtId="0" fontId="31" fillId="19" borderId="0" xfId="134" applyFont="1" applyFill="1" applyAlignment="1" applyProtection="1">
      <alignment vertical="center"/>
      <protection hidden="1"/>
    </xf>
    <xf numFmtId="0" fontId="59" fillId="19" borderId="0" xfId="134" applyFont="1" applyFill="1" applyAlignment="1" applyProtection="1">
      <alignment vertical="center"/>
      <protection hidden="1"/>
    </xf>
    <xf numFmtId="0" fontId="31" fillId="5" borderId="92" xfId="119" applyFont="1" applyFill="1" applyBorder="1" applyAlignment="1" applyProtection="1">
      <alignment horizontal="center" vertical="center"/>
      <protection hidden="1"/>
    </xf>
    <xf numFmtId="0" fontId="31" fillId="5" borderId="118" xfId="119" applyFont="1" applyFill="1" applyBorder="1" applyAlignment="1" applyProtection="1">
      <alignment horizontal="center" vertical="center"/>
      <protection hidden="1"/>
    </xf>
    <xf numFmtId="0" fontId="31" fillId="5" borderId="93" xfId="119" applyFont="1" applyFill="1" applyBorder="1" applyAlignment="1" applyProtection="1">
      <alignment horizontal="center" vertical="center"/>
      <protection hidden="1"/>
    </xf>
    <xf numFmtId="0" fontId="3" fillId="0" borderId="76" xfId="119" applyFont="1" applyBorder="1" applyProtection="1">
      <protection hidden="1"/>
    </xf>
    <xf numFmtId="0" fontId="3" fillId="0" borderId="0" xfId="119" applyFont="1" applyAlignment="1" applyProtection="1">
      <alignment horizontal="center"/>
      <protection hidden="1"/>
    </xf>
    <xf numFmtId="0" fontId="3" fillId="0" borderId="81" xfId="119" applyFont="1" applyBorder="1" applyProtection="1">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164" fontId="31" fillId="19" borderId="0" xfId="0" applyNumberFormat="1" applyFont="1" applyFill="1" applyAlignment="1" applyProtection="1">
      <alignment vertical="center"/>
      <protection hidden="1"/>
    </xf>
    <xf numFmtId="0" fontId="12" fillId="19" borderId="0" xfId="130" applyFill="1" applyProtection="1">
      <protection hidden="1"/>
    </xf>
    <xf numFmtId="0" fontId="36" fillId="0" borderId="0" xfId="0" applyFont="1" applyProtection="1">
      <protection hidden="1"/>
    </xf>
    <xf numFmtId="0" fontId="12" fillId="0" borderId="0" xfId="130" applyProtection="1">
      <protection hidden="1"/>
    </xf>
    <xf numFmtId="0" fontId="51" fillId="20" borderId="0" xfId="0" applyFont="1" applyFill="1" applyAlignment="1" applyProtection="1">
      <alignment vertical="center"/>
      <protection hidden="1"/>
    </xf>
    <xf numFmtId="0" fontId="12" fillId="0" borderId="0" xfId="130" applyAlignment="1" applyProtection="1">
      <alignment horizontal="center" vertical="center"/>
      <protection hidden="1"/>
    </xf>
    <xf numFmtId="0" fontId="14" fillId="0" borderId="0" xfId="119" applyProtection="1">
      <protection hidden="1"/>
    </xf>
    <xf numFmtId="0" fontId="12" fillId="0" borderId="0" xfId="130" applyAlignment="1" applyProtection="1">
      <alignment horizontal="left" vertical="center" wrapText="1"/>
      <protection hidden="1"/>
    </xf>
    <xf numFmtId="0" fontId="32" fillId="0" borderId="18" xfId="130" applyFont="1" applyBorder="1" applyAlignment="1" applyProtection="1">
      <alignment horizontal="center" vertical="center"/>
      <protection hidden="1"/>
    </xf>
    <xf numFmtId="0" fontId="32" fillId="20" borderId="2" xfId="130" applyFont="1" applyFill="1" applyBorder="1" applyAlignment="1" applyProtection="1">
      <alignment horizontal="center" vertical="center"/>
      <protection hidden="1"/>
    </xf>
    <xf numFmtId="0" fontId="32" fillId="0" borderId="2" xfId="130" applyFont="1" applyBorder="1" applyAlignment="1" applyProtection="1">
      <alignment horizontal="center" vertical="center" wrapText="1"/>
      <protection hidden="1"/>
    </xf>
    <xf numFmtId="0" fontId="32" fillId="21" borderId="3" xfId="130" applyFont="1" applyFill="1" applyBorder="1" applyAlignment="1" applyProtection="1">
      <alignment horizontal="center" vertical="center"/>
      <protection hidden="1"/>
    </xf>
    <xf numFmtId="0" fontId="14" fillId="29" borderId="0" xfId="119" applyFill="1" applyProtection="1">
      <protection hidden="1"/>
    </xf>
    <xf numFmtId="0" fontId="32" fillId="20" borderId="2" xfId="119" applyFont="1" applyFill="1" applyBorder="1" applyAlignment="1" applyProtection="1">
      <alignment horizontal="center" vertical="center"/>
      <protection hidden="1"/>
    </xf>
    <xf numFmtId="0" fontId="32" fillId="21" borderId="2" xfId="119" applyFont="1" applyFill="1" applyBorder="1" applyAlignment="1" applyProtection="1">
      <alignment horizontal="center" vertical="center"/>
      <protection hidden="1"/>
    </xf>
    <xf numFmtId="0" fontId="3" fillId="2" borderId="10" xfId="130" applyFont="1" applyFill="1" applyBorder="1" applyProtection="1">
      <protection hidden="1"/>
    </xf>
    <xf numFmtId="0" fontId="3" fillId="2" borderId="0" xfId="130" applyFont="1" applyFill="1" applyProtection="1">
      <protection hidden="1"/>
    </xf>
    <xf numFmtId="0" fontId="3" fillId="0" borderId="0" xfId="130" applyFont="1" applyAlignment="1" applyProtection="1">
      <alignment vertical="center"/>
      <protection hidden="1"/>
    </xf>
    <xf numFmtId="0" fontId="26" fillId="0" borderId="11" xfId="0" applyFont="1" applyBorder="1" applyAlignment="1" applyProtection="1">
      <alignment vertical="center"/>
      <protection hidden="1"/>
    </xf>
    <xf numFmtId="0" fontId="3" fillId="4" borderId="18" xfId="130" applyFont="1" applyFill="1" applyBorder="1" applyAlignment="1" applyProtection="1">
      <alignment horizontal="center"/>
      <protection hidden="1"/>
    </xf>
    <xf numFmtId="3" fontId="3" fillId="4" borderId="5" xfId="130" applyNumberFormat="1" applyFont="1" applyFill="1" applyBorder="1" applyAlignment="1" applyProtection="1">
      <alignment horizontal="center"/>
      <protection hidden="1"/>
    </xf>
    <xf numFmtId="164" fontId="3" fillId="4" borderId="5" xfId="130" applyNumberFormat="1" applyFont="1" applyFill="1" applyBorder="1" applyAlignment="1" applyProtection="1">
      <alignment horizontal="center"/>
      <protection hidden="1"/>
    </xf>
    <xf numFmtId="164" fontId="3" fillId="20" borderId="2" xfId="2" applyNumberFormat="1" applyFont="1" applyFill="1" applyBorder="1" applyAlignment="1" applyProtection="1">
      <alignment horizontal="center"/>
      <protection hidden="1"/>
    </xf>
    <xf numFmtId="3" fontId="3" fillId="4" borderId="28" xfId="1" applyNumberFormat="1" applyFont="1" applyFill="1" applyBorder="1" applyAlignment="1" applyProtection="1">
      <alignment horizontal="center"/>
      <protection hidden="1"/>
    </xf>
    <xf numFmtId="164" fontId="3" fillId="21" borderId="29" xfId="2" applyNumberFormat="1" applyFont="1" applyFill="1" applyBorder="1" applyAlignment="1" applyProtection="1">
      <alignment horizontal="center"/>
      <protection hidden="1"/>
    </xf>
    <xf numFmtId="164" fontId="26" fillId="7" borderId="5" xfId="2" applyNumberFormat="1" applyFont="1" applyFill="1" applyBorder="1" applyAlignment="1" applyProtection="1">
      <alignment horizontal="center"/>
      <protection hidden="1"/>
    </xf>
    <xf numFmtId="164" fontId="26" fillId="7" borderId="15" xfId="2" applyNumberFormat="1" applyFont="1" applyFill="1" applyBorder="1" applyAlignment="1" applyProtection="1">
      <alignment horizontal="center"/>
      <protection hidden="1"/>
    </xf>
    <xf numFmtId="164" fontId="3" fillId="21" borderId="2" xfId="2" applyNumberFormat="1" applyFont="1" applyFill="1" applyBorder="1" applyAlignment="1" applyProtection="1">
      <alignment horizontal="center"/>
      <protection hidden="1"/>
    </xf>
    <xf numFmtId="164" fontId="36" fillId="7" borderId="2" xfId="2" applyNumberFormat="1" applyFont="1" applyFill="1" applyBorder="1" applyAlignment="1" applyProtection="1">
      <alignment horizontal="center"/>
      <protection hidden="1"/>
    </xf>
    <xf numFmtId="0" fontId="3" fillId="19" borderId="0" xfId="119" applyFont="1" applyFill="1" applyProtection="1">
      <protection hidden="1"/>
    </xf>
    <xf numFmtId="0" fontId="3" fillId="0" borderId="0" xfId="119" applyFont="1" applyProtection="1">
      <protection hidden="1"/>
    </xf>
    <xf numFmtId="0" fontId="3" fillId="0" borderId="0" xfId="119" applyFont="1" applyAlignment="1" applyProtection="1">
      <alignment horizontal="center" vertical="center"/>
      <protection hidden="1"/>
    </xf>
    <xf numFmtId="0" fontId="3" fillId="0" borderId="0" xfId="119" applyFont="1" applyAlignment="1" applyProtection="1">
      <alignment horizontal="left" vertical="center" wrapText="1"/>
      <protection hidden="1"/>
    </xf>
    <xf numFmtId="0" fontId="32" fillId="0" borderId="40" xfId="119" applyFont="1" applyBorder="1" applyAlignment="1" applyProtection="1">
      <alignment horizontal="center" vertical="center"/>
      <protection hidden="1"/>
    </xf>
    <xf numFmtId="0" fontId="32" fillId="0" borderId="1" xfId="119" applyFont="1" applyBorder="1" applyAlignment="1" applyProtection="1">
      <alignment horizontal="center" vertical="center" wrapText="1"/>
      <protection hidden="1"/>
    </xf>
    <xf numFmtId="0" fontId="32" fillId="0" borderId="1" xfId="119" applyFont="1" applyBorder="1" applyAlignment="1" applyProtection="1">
      <alignment horizontal="center" vertical="center"/>
      <protection hidden="1"/>
    </xf>
    <xf numFmtId="0" fontId="32" fillId="20" borderId="1" xfId="119" applyFont="1" applyFill="1" applyBorder="1" applyAlignment="1" applyProtection="1">
      <alignment horizontal="center" vertical="center"/>
      <protection hidden="1"/>
    </xf>
    <xf numFmtId="0" fontId="32" fillId="21" borderId="1" xfId="119" applyFont="1" applyFill="1" applyBorder="1" applyAlignment="1" applyProtection="1">
      <alignment horizontal="center" vertical="center"/>
      <protection hidden="1"/>
    </xf>
    <xf numFmtId="0" fontId="3" fillId="4" borderId="18" xfId="119" applyFont="1" applyFill="1" applyBorder="1" applyAlignment="1" applyProtection="1">
      <alignment horizontal="center"/>
      <protection hidden="1"/>
    </xf>
    <xf numFmtId="172" fontId="3" fillId="4" borderId="1" xfId="1" applyNumberFormat="1" applyFont="1" applyFill="1" applyBorder="1" applyAlignment="1" applyProtection="1">
      <alignment horizontal="center"/>
      <protection hidden="1"/>
    </xf>
    <xf numFmtId="171" fontId="3" fillId="4" borderId="1" xfId="119" applyNumberFormat="1" applyFont="1" applyFill="1" applyBorder="1" applyAlignment="1" applyProtection="1">
      <alignment horizontal="center"/>
      <protection hidden="1"/>
    </xf>
    <xf numFmtId="164" fontId="3" fillId="4" borderId="28" xfId="119" applyNumberFormat="1" applyFont="1" applyFill="1" applyBorder="1" applyAlignment="1" applyProtection="1">
      <alignment horizontal="center"/>
      <protection hidden="1"/>
    </xf>
    <xf numFmtId="168" fontId="3" fillId="4" borderId="2" xfId="119" applyNumberFormat="1" applyFont="1" applyFill="1" applyBorder="1" applyAlignment="1" applyProtection="1">
      <alignment horizontal="center"/>
      <protection hidden="1"/>
    </xf>
    <xf numFmtId="3" fontId="36" fillId="0" borderId="0" xfId="0" applyNumberFormat="1" applyFont="1" applyProtection="1">
      <protection hidden="1"/>
    </xf>
    <xf numFmtId="3" fontId="65" fillId="0" borderId="0" xfId="0" applyNumberFormat="1" applyFont="1" applyAlignment="1" applyProtection="1">
      <alignment horizontal="center"/>
      <protection hidden="1"/>
    </xf>
    <xf numFmtId="0" fontId="3" fillId="0" borderId="0" xfId="119" applyFont="1" applyAlignment="1" applyProtection="1">
      <alignment horizontal="left" vertical="center"/>
      <protection hidden="1"/>
    </xf>
    <xf numFmtId="0" fontId="32" fillId="0" borderId="18" xfId="119" applyFont="1" applyBorder="1" applyAlignment="1" applyProtection="1">
      <alignment horizontal="center" vertical="center"/>
      <protection hidden="1"/>
    </xf>
    <xf numFmtId="3" fontId="32" fillId="0" borderId="2" xfId="119" applyNumberFormat="1" applyFont="1" applyBorder="1" applyAlignment="1" applyProtection="1">
      <alignment horizontal="center" vertical="center" wrapText="1"/>
      <protection hidden="1"/>
    </xf>
    <xf numFmtId="0" fontId="32" fillId="0" borderId="2" xfId="119" applyFont="1" applyBorder="1" applyAlignment="1" applyProtection="1">
      <alignment horizontal="center" vertical="center" wrapText="1"/>
      <protection hidden="1"/>
    </xf>
    <xf numFmtId="0" fontId="32" fillId="0" borderId="2" xfId="119" applyFont="1" applyBorder="1" applyAlignment="1" applyProtection="1">
      <alignment horizontal="center" vertical="center"/>
      <protection hidden="1"/>
    </xf>
    <xf numFmtId="3" fontId="3" fillId="0" borderId="10" xfId="119" applyNumberFormat="1" applyFont="1" applyBorder="1" applyProtection="1">
      <protection hidden="1"/>
    </xf>
    <xf numFmtId="165" fontId="3" fillId="0" borderId="0" xfId="3" applyNumberFormat="1" applyFont="1" applyFill="1" applyBorder="1" applyAlignment="1" applyProtection="1">
      <alignment horizontal="center"/>
      <protection hidden="1"/>
    </xf>
    <xf numFmtId="0" fontId="26" fillId="0" borderId="0" xfId="0" applyFont="1" applyProtection="1">
      <protection hidden="1"/>
    </xf>
    <xf numFmtId="3" fontId="3" fillId="0" borderId="11" xfId="119" applyNumberFormat="1" applyFont="1" applyBorder="1" applyProtection="1">
      <protection hidden="1"/>
    </xf>
    <xf numFmtId="3" fontId="3" fillId="4" borderId="2" xfId="1" applyNumberFormat="1" applyFont="1" applyFill="1" applyBorder="1" applyAlignment="1" applyProtection="1">
      <alignment horizontal="center"/>
      <protection hidden="1"/>
    </xf>
    <xf numFmtId="164" fontId="3" fillId="4" borderId="2" xfId="119" applyNumberFormat="1" applyFont="1" applyFill="1" applyBorder="1" applyAlignment="1" applyProtection="1">
      <alignment horizontal="center"/>
      <protection hidden="1"/>
    </xf>
    <xf numFmtId="164" fontId="3" fillId="21" borderId="1" xfId="2" applyNumberFormat="1" applyFont="1" applyFill="1" applyBorder="1" applyAlignment="1" applyProtection="1">
      <alignment horizontal="center"/>
      <protection hidden="1"/>
    </xf>
    <xf numFmtId="0" fontId="78" fillId="0" borderId="0" xfId="0" applyFont="1" applyProtection="1">
      <protection hidden="1"/>
    </xf>
    <xf numFmtId="3" fontId="57" fillId="0" borderId="0" xfId="125" applyNumberFormat="1" applyAlignment="1" applyProtection="1">
      <protection hidden="1"/>
    </xf>
    <xf numFmtId="172" fontId="3" fillId="4" borderId="2" xfId="1" applyNumberFormat="1" applyFont="1" applyFill="1" applyBorder="1" applyAlignment="1" applyProtection="1">
      <alignment horizontal="center"/>
      <protection hidden="1"/>
    </xf>
    <xf numFmtId="0" fontId="31" fillId="0" borderId="0" xfId="112" applyFont="1" applyAlignment="1" applyProtection="1">
      <alignment vertical="center"/>
      <protection hidden="1"/>
    </xf>
    <xf numFmtId="0" fontId="28" fillId="0" borderId="0" xfId="112" applyFont="1" applyAlignment="1" applyProtection="1">
      <alignment horizontal="left" vertical="center"/>
      <protection hidden="1"/>
    </xf>
    <xf numFmtId="0" fontId="3" fillId="2" borderId="0" xfId="112" applyFont="1" applyFill="1" applyAlignment="1" applyProtection="1">
      <alignment horizontal="center" vertical="center"/>
      <protection hidden="1"/>
    </xf>
    <xf numFmtId="0" fontId="19" fillId="0" borderId="0" xfId="0" applyFont="1" applyAlignment="1" applyProtection="1">
      <alignment horizontal="left" vertical="center"/>
      <protection hidden="1"/>
    </xf>
    <xf numFmtId="0" fontId="31" fillId="0" borderId="0" xfId="112" applyFont="1" applyAlignment="1" applyProtection="1">
      <alignment horizontal="center" vertical="center"/>
      <protection hidden="1"/>
    </xf>
    <xf numFmtId="0" fontId="104" fillId="0" borderId="0" xfId="112" applyFont="1" applyAlignment="1" applyProtection="1">
      <alignment vertical="center"/>
      <protection hidden="1"/>
    </xf>
    <xf numFmtId="0" fontId="103" fillId="0" borderId="0" xfId="112" applyFont="1" applyAlignment="1" applyProtection="1">
      <alignment horizontal="center" vertical="center"/>
      <protection hidden="1"/>
    </xf>
    <xf numFmtId="1" fontId="0" fillId="2" borderId="10" xfId="0" applyNumberFormat="1" applyFill="1" applyBorder="1" applyAlignment="1" applyProtection="1">
      <alignment horizontal="center"/>
      <protection hidden="1"/>
    </xf>
    <xf numFmtId="1" fontId="0" fillId="2" borderId="0" xfId="0" applyNumberFormat="1" applyFill="1" applyProtection="1">
      <protection hidden="1"/>
    </xf>
    <xf numFmtId="1" fontId="19" fillId="2" borderId="0" xfId="0" applyNumberFormat="1" applyFont="1" applyFill="1" applyProtection="1">
      <protection hidden="1"/>
    </xf>
    <xf numFmtId="1" fontId="0" fillId="2" borderId="11" xfId="0" applyNumberFormat="1" applyFill="1" applyBorder="1" applyAlignment="1" applyProtection="1">
      <alignment horizontal="center"/>
      <protection hidden="1"/>
    </xf>
    <xf numFmtId="1" fontId="0" fillId="2" borderId="0" xfId="0" applyNumberFormat="1" applyFill="1" applyAlignment="1" applyProtection="1">
      <alignment horizontal="center"/>
      <protection hidden="1"/>
    </xf>
    <xf numFmtId="1" fontId="0" fillId="0" borderId="11" xfId="0" applyNumberFormat="1" applyBorder="1" applyAlignment="1" applyProtection="1">
      <alignment horizontal="center"/>
      <protection hidden="1"/>
    </xf>
    <xf numFmtId="1" fontId="19" fillId="2" borderId="10"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hidden="1"/>
    </xf>
    <xf numFmtId="1" fontId="0" fillId="0" borderId="0" xfId="0" applyNumberFormat="1" applyProtection="1">
      <protection hidden="1"/>
    </xf>
    <xf numFmtId="0" fontId="19" fillId="0" borderId="10" xfId="0" applyFont="1" applyBorder="1" applyProtection="1">
      <protection hidden="1"/>
    </xf>
    <xf numFmtId="0" fontId="0" fillId="0" borderId="11" xfId="0" applyBorder="1" applyAlignment="1" applyProtection="1">
      <alignment horizontal="center"/>
      <protection hidden="1"/>
    </xf>
    <xf numFmtId="0" fontId="28" fillId="0" borderId="0" xfId="119" applyFont="1" applyProtection="1">
      <protection hidden="1"/>
    </xf>
    <xf numFmtId="0" fontId="0" fillId="0" borderId="2" xfId="0" applyBorder="1" applyAlignment="1" applyProtection="1">
      <alignment horizontal="center"/>
      <protection hidden="1"/>
    </xf>
    <xf numFmtId="3" fontId="19" fillId="0" borderId="2" xfId="0" applyNumberFormat="1" applyFont="1" applyBorder="1" applyAlignment="1" applyProtection="1">
      <alignment horizontal="center"/>
      <protection hidden="1"/>
    </xf>
    <xf numFmtId="0" fontId="0" fillId="2" borderId="2" xfId="0" applyFill="1" applyBorder="1" applyAlignment="1" applyProtection="1">
      <alignment horizontal="center"/>
      <protection hidden="1"/>
    </xf>
    <xf numFmtId="0" fontId="0" fillId="0" borderId="2" xfId="0" applyBorder="1" applyProtection="1">
      <protection hidden="1"/>
    </xf>
    <xf numFmtId="0" fontId="2" fillId="0" borderId="0" xfId="119" applyFont="1" applyProtection="1">
      <protection hidden="1"/>
    </xf>
    <xf numFmtId="169" fontId="26" fillId="0" borderId="0" xfId="0" applyNumberFormat="1" applyFont="1" applyProtection="1">
      <protection hidden="1"/>
    </xf>
    <xf numFmtId="0" fontId="26" fillId="0" borderId="2" xfId="0" applyFont="1" applyBorder="1" applyAlignment="1" applyProtection="1">
      <alignment horizontal="center"/>
      <protection hidden="1"/>
    </xf>
    <xf numFmtId="43" fontId="26" fillId="0" borderId="2" xfId="1" applyFont="1" applyBorder="1" applyAlignment="1" applyProtection="1">
      <alignment horizontal="center"/>
      <protection hidden="1"/>
    </xf>
    <xf numFmtId="0" fontId="26" fillId="0" borderId="2" xfId="0" applyFont="1" applyBorder="1" applyProtection="1">
      <protection hidden="1"/>
    </xf>
    <xf numFmtId="0" fontId="28" fillId="0" borderId="2" xfId="119" applyFont="1" applyBorder="1" applyAlignment="1" applyProtection="1">
      <alignment horizontal="center" wrapText="1"/>
      <protection hidden="1"/>
    </xf>
    <xf numFmtId="0" fontId="28" fillId="16" borderId="2" xfId="119" applyFont="1" applyFill="1" applyBorder="1" applyAlignment="1" applyProtection="1">
      <alignment horizontal="center" wrapText="1"/>
      <protection hidden="1"/>
    </xf>
    <xf numFmtId="0" fontId="28" fillId="2" borderId="2" xfId="119" applyFont="1" applyFill="1" applyBorder="1" applyAlignment="1" applyProtection="1">
      <alignment horizontal="center" wrapText="1"/>
      <protection hidden="1"/>
    </xf>
    <xf numFmtId="0" fontId="31" fillId="19" borderId="0" xfId="0" applyFont="1" applyFill="1" applyAlignment="1" applyProtection="1">
      <alignment horizontal="left" vertical="center" wrapText="1"/>
      <protection hidden="1"/>
    </xf>
    <xf numFmtId="0" fontId="31" fillId="0" borderId="0" xfId="0" applyFont="1" applyAlignment="1" applyProtection="1">
      <alignment wrapText="1"/>
      <protection hidden="1"/>
    </xf>
    <xf numFmtId="0" fontId="3" fillId="0" borderId="0" xfId="119" applyFont="1" applyAlignment="1" applyProtection="1">
      <alignment vertical="center" wrapText="1"/>
      <protection hidden="1"/>
    </xf>
    <xf numFmtId="0" fontId="51" fillId="20" borderId="0" xfId="0" applyFont="1" applyFill="1" applyAlignment="1" applyProtection="1">
      <alignment vertical="center" wrapText="1"/>
      <protection hidden="1"/>
    </xf>
    <xf numFmtId="3" fontId="3" fillId="0" borderId="10" xfId="119" applyNumberFormat="1" applyFont="1" applyBorder="1" applyAlignment="1" applyProtection="1">
      <alignment vertical="center" wrapText="1"/>
      <protection hidden="1"/>
    </xf>
    <xf numFmtId="167" fontId="3" fillId="2" borderId="0" xfId="3" applyNumberFormat="1" applyFont="1" applyFill="1" applyBorder="1" applyAlignment="1" applyProtection="1">
      <alignment horizontal="center"/>
      <protection hidden="1"/>
    </xf>
    <xf numFmtId="3" fontId="131" fillId="0" borderId="0" xfId="119" applyNumberFormat="1" applyFont="1" applyProtection="1">
      <protection hidden="1"/>
    </xf>
    <xf numFmtId="172" fontId="3" fillId="4" borderId="28" xfId="1" applyNumberFormat="1" applyFont="1" applyFill="1" applyBorder="1" applyAlignment="1" applyProtection="1">
      <alignment horizontal="center"/>
      <protection hidden="1"/>
    </xf>
    <xf numFmtId="0" fontId="125" fillId="0" borderId="0" xfId="0" applyFont="1" applyAlignment="1" applyProtection="1">
      <alignment vertical="center"/>
      <protection hidden="1"/>
    </xf>
    <xf numFmtId="0" fontId="127" fillId="0" borderId="0" xfId="0" applyFont="1" applyProtection="1">
      <protection hidden="1"/>
    </xf>
    <xf numFmtId="0" fontId="14" fillId="0" borderId="0" xfId="119" applyAlignment="1" applyProtection="1">
      <alignment vertical="center" wrapText="1"/>
      <protection hidden="1"/>
    </xf>
    <xf numFmtId="0" fontId="36" fillId="0" borderId="0" xfId="0" applyFont="1" applyAlignment="1" applyProtection="1">
      <alignment vertical="center" wrapText="1"/>
      <protection hidden="1"/>
    </xf>
    <xf numFmtId="3" fontId="3" fillId="0" borderId="114" xfId="119" applyNumberFormat="1" applyFont="1" applyBorder="1" applyAlignment="1" applyProtection="1">
      <alignment vertical="center" wrapText="1"/>
      <protection hidden="1"/>
    </xf>
    <xf numFmtId="4" fontId="3" fillId="0" borderId="0" xfId="3" applyNumberFormat="1" applyFont="1" applyFill="1" applyBorder="1" applyAlignment="1" applyProtection="1">
      <alignment horizontal="center"/>
      <protection hidden="1"/>
    </xf>
    <xf numFmtId="171" fontId="3" fillId="0" borderId="0" xfId="3" applyNumberFormat="1" applyFont="1" applyFill="1" applyBorder="1" applyAlignment="1" applyProtection="1">
      <alignment horizontal="left"/>
      <protection hidden="1"/>
    </xf>
    <xf numFmtId="0" fontId="36" fillId="0" borderId="108" xfId="0" applyFont="1" applyBorder="1" applyProtection="1">
      <protection hidden="1"/>
    </xf>
    <xf numFmtId="37" fontId="3" fillId="4" borderId="1" xfId="1" applyNumberFormat="1" applyFont="1" applyFill="1" applyBorder="1" applyAlignment="1" applyProtection="1">
      <alignment horizontal="center"/>
      <protection hidden="1"/>
    </xf>
    <xf numFmtId="0" fontId="3" fillId="0" borderId="114" xfId="119" applyFont="1" applyBorder="1" applyAlignment="1" applyProtection="1">
      <alignment vertical="center" wrapText="1"/>
      <protection hidden="1"/>
    </xf>
    <xf numFmtId="171" fontId="3" fillId="2" borderId="0" xfId="3" applyNumberFormat="1" applyFont="1" applyFill="1" applyBorder="1" applyAlignment="1" applyProtection="1">
      <alignment horizontal="center"/>
      <protection hidden="1"/>
    </xf>
    <xf numFmtId="171" fontId="3" fillId="0" borderId="108" xfId="3" applyNumberFormat="1" applyFont="1" applyFill="1" applyBorder="1" applyAlignment="1" applyProtection="1">
      <alignment horizontal="center"/>
      <protection hidden="1"/>
    </xf>
    <xf numFmtId="0" fontId="28" fillId="0" borderId="114" xfId="119" applyFont="1" applyBorder="1" applyAlignment="1" applyProtection="1">
      <alignment horizontal="center" vertical="center" wrapText="1"/>
      <protection hidden="1"/>
    </xf>
    <xf numFmtId="171" fontId="28" fillId="0" borderId="0" xfId="3" applyNumberFormat="1" applyFont="1" applyFill="1" applyBorder="1" applyAlignment="1" applyProtection="1">
      <alignment horizontal="center" wrapText="1"/>
      <protection hidden="1"/>
    </xf>
    <xf numFmtId="0" fontId="3" fillId="0" borderId="108" xfId="119" applyFont="1" applyBorder="1" applyProtection="1">
      <protection hidden="1"/>
    </xf>
    <xf numFmtId="0" fontId="59" fillId="19" borderId="0" xfId="112" applyFont="1" applyFill="1" applyProtection="1">
      <protection hidden="1"/>
    </xf>
    <xf numFmtId="0" fontId="15" fillId="0" borderId="0" xfId="112" applyProtection="1">
      <protection hidden="1"/>
    </xf>
    <xf numFmtId="1" fontId="28" fillId="0" borderId="0" xfId="112" applyNumberFormat="1" applyFont="1" applyAlignment="1" applyProtection="1">
      <alignment horizontal="left"/>
      <protection hidden="1"/>
    </xf>
    <xf numFmtId="0" fontId="3" fillId="0" borderId="0" xfId="112" applyFont="1" applyProtection="1">
      <protection hidden="1"/>
    </xf>
    <xf numFmtId="0" fontId="15" fillId="0" borderId="0" xfId="112" applyAlignment="1" applyProtection="1">
      <alignment horizontal="center"/>
      <protection hidden="1"/>
    </xf>
    <xf numFmtId="0" fontId="10" fillId="19" borderId="0" xfId="141" applyFill="1" applyAlignment="1" applyProtection="1">
      <alignment vertical="center"/>
      <protection hidden="1"/>
    </xf>
    <xf numFmtId="0" fontId="10" fillId="19" borderId="0" xfId="141" applyFill="1" applyProtection="1">
      <protection hidden="1"/>
    </xf>
    <xf numFmtId="0" fontId="38" fillId="15" borderId="0" xfId="0" applyFont="1" applyFill="1" applyProtection="1">
      <protection hidden="1"/>
    </xf>
    <xf numFmtId="0" fontId="10" fillId="15" borderId="0" xfId="141" applyFill="1" applyProtection="1">
      <protection hidden="1"/>
    </xf>
    <xf numFmtId="0" fontId="31" fillId="0" borderId="0" xfId="112" applyFont="1" applyAlignment="1" applyProtection="1">
      <alignment horizontal="left" vertical="center"/>
      <protection hidden="1"/>
    </xf>
    <xf numFmtId="0" fontId="59" fillId="0" borderId="0" xfId="112" applyFont="1" applyProtection="1">
      <protection hidden="1"/>
    </xf>
    <xf numFmtId="0" fontId="0" fillId="0" borderId="0" xfId="0" pivotButton="1" applyProtection="1">
      <protection hidden="1"/>
    </xf>
    <xf numFmtId="0" fontId="28" fillId="0" borderId="0" xfId="112" applyFont="1" applyProtection="1">
      <protection hidden="1"/>
    </xf>
    <xf numFmtId="0" fontId="15" fillId="16" borderId="2" xfId="112" applyFill="1" applyBorder="1" applyProtection="1">
      <protection hidden="1"/>
    </xf>
    <xf numFmtId="0" fontId="15" fillId="2" borderId="2" xfId="112" applyFill="1" applyBorder="1" applyProtection="1">
      <protection hidden="1"/>
    </xf>
    <xf numFmtId="167" fontId="50" fillId="15" borderId="2" xfId="112" applyNumberFormat="1" applyFont="1" applyFill="1" applyBorder="1" applyProtection="1">
      <protection locked="0" hidden="1"/>
    </xf>
    <xf numFmtId="0" fontId="3" fillId="16" borderId="2" xfId="112" applyFont="1" applyFill="1" applyBorder="1" applyProtection="1">
      <protection hidden="1"/>
    </xf>
    <xf numFmtId="0" fontId="3" fillId="19" borderId="0" xfId="119" applyFont="1" applyFill="1" applyAlignment="1" applyProtection="1">
      <alignment vertical="center"/>
      <protection hidden="1"/>
    </xf>
    <xf numFmtId="10" fontId="0" fillId="0" borderId="0" xfId="114" applyNumberFormat="1" applyFont="1" applyProtection="1">
      <protection hidden="1"/>
    </xf>
    <xf numFmtId="0" fontId="28" fillId="20" borderId="0" xfId="0" applyFont="1" applyFill="1" applyAlignment="1" applyProtection="1">
      <alignment vertical="center"/>
      <protection hidden="1"/>
    </xf>
    <xf numFmtId="0" fontId="28" fillId="0" borderId="13" xfId="119" applyFont="1" applyBorder="1" applyAlignment="1" applyProtection="1">
      <alignment vertical="center"/>
      <protection hidden="1"/>
    </xf>
    <xf numFmtId="0" fontId="28" fillId="0" borderId="23" xfId="119" applyFont="1" applyBorder="1" applyAlignment="1" applyProtection="1">
      <alignment vertical="center"/>
      <protection hidden="1"/>
    </xf>
    <xf numFmtId="0" fontId="28" fillId="0" borderId="14" xfId="119" applyFont="1" applyBorder="1" applyAlignment="1" applyProtection="1">
      <alignment vertical="center"/>
      <protection hidden="1"/>
    </xf>
    <xf numFmtId="0" fontId="15" fillId="29" borderId="0" xfId="112" applyFill="1" applyProtection="1">
      <protection hidden="1"/>
    </xf>
    <xf numFmtId="0" fontId="49" fillId="0" borderId="0" xfId="112" applyFont="1" applyProtection="1">
      <protection hidden="1"/>
    </xf>
    <xf numFmtId="0" fontId="28" fillId="0" borderId="18" xfId="119" applyFont="1" applyBorder="1" applyAlignment="1" applyProtection="1">
      <alignment horizontal="center" vertical="center"/>
      <protection hidden="1"/>
    </xf>
    <xf numFmtId="0" fontId="28" fillId="0" borderId="2" xfId="119" applyFont="1" applyBorder="1" applyAlignment="1" applyProtection="1">
      <alignment horizontal="center" vertical="center" wrapText="1"/>
      <protection hidden="1"/>
    </xf>
    <xf numFmtId="0" fontId="28" fillId="20" borderId="2" xfId="119" applyFont="1" applyFill="1" applyBorder="1" applyAlignment="1" applyProtection="1">
      <alignment horizontal="center" vertical="center"/>
      <protection hidden="1"/>
    </xf>
    <xf numFmtId="0" fontId="28" fillId="21" borderId="2" xfId="119" applyFont="1" applyFill="1" applyBorder="1" applyAlignment="1" applyProtection="1">
      <alignment horizontal="center" vertical="center"/>
      <protection hidden="1"/>
    </xf>
    <xf numFmtId="0" fontId="26" fillId="2" borderId="10" xfId="0" applyFont="1" applyFill="1" applyBorder="1" applyProtection="1">
      <protection hidden="1"/>
    </xf>
    <xf numFmtId="10" fontId="3" fillId="2" borderId="0" xfId="119" applyNumberFormat="1" applyFont="1" applyFill="1" applyAlignment="1" applyProtection="1">
      <alignment horizontal="center"/>
      <protection hidden="1"/>
    </xf>
    <xf numFmtId="0" fontId="3" fillId="0" borderId="11" xfId="119" applyFont="1" applyBorder="1" applyProtection="1">
      <protection hidden="1"/>
    </xf>
    <xf numFmtId="164" fontId="26" fillId="13" borderId="2" xfId="0" applyNumberFormat="1" applyFont="1" applyFill="1" applyBorder="1" applyAlignment="1" applyProtection="1">
      <alignment horizontal="center"/>
      <protection locked="0" hidden="1"/>
    </xf>
    <xf numFmtId="164" fontId="26" fillId="13" borderId="1" xfId="0" applyNumberFormat="1" applyFont="1" applyFill="1" applyBorder="1" applyAlignment="1" applyProtection="1">
      <alignment horizontal="center"/>
      <protection locked="0" hidden="1"/>
    </xf>
    <xf numFmtId="164" fontId="26" fillId="7" borderId="2" xfId="2" applyNumberFormat="1" applyFont="1" applyFill="1" applyBorder="1" applyAlignment="1" applyProtection="1">
      <alignment horizontal="center"/>
      <protection hidden="1"/>
    </xf>
    <xf numFmtId="0" fontId="31" fillId="5" borderId="58" xfId="119" applyFont="1" applyFill="1" applyBorder="1" applyAlignment="1" applyProtection="1">
      <alignment horizontal="center" vertical="center"/>
      <protection hidden="1"/>
    </xf>
    <xf numFmtId="0" fontId="31" fillId="5" borderId="61" xfId="119" applyFont="1" applyFill="1" applyBorder="1" applyAlignment="1" applyProtection="1">
      <alignment horizontal="center" vertical="center"/>
      <protection hidden="1"/>
    </xf>
    <xf numFmtId="0" fontId="31" fillId="5" borderId="62" xfId="119" applyFont="1" applyFill="1" applyBorder="1" applyAlignment="1" applyProtection="1">
      <alignment horizontal="center" vertical="center"/>
      <protection hidden="1"/>
    </xf>
    <xf numFmtId="0" fontId="83" fillId="0" borderId="0" xfId="0" applyFont="1" applyProtection="1">
      <protection hidden="1"/>
    </xf>
    <xf numFmtId="0" fontId="84" fillId="0" borderId="0" xfId="0" applyFont="1" applyProtection="1">
      <protection hidden="1"/>
    </xf>
    <xf numFmtId="0" fontId="98" fillId="0" borderId="0" xfId="0" applyFont="1" applyProtection="1">
      <protection hidden="1"/>
    </xf>
    <xf numFmtId="9" fontId="98" fillId="0" borderId="0" xfId="0" applyNumberFormat="1" applyFont="1" applyProtection="1">
      <protection hidden="1"/>
    </xf>
    <xf numFmtId="0" fontId="96" fillId="0" borderId="0" xfId="0" applyFont="1" applyAlignment="1" applyProtection="1">
      <alignment horizontal="left" vertical="top" wrapText="1"/>
      <protection hidden="1"/>
    </xf>
    <xf numFmtId="0" fontId="26" fillId="0" borderId="10" xfId="0" applyFont="1" applyBorder="1" applyProtection="1">
      <protection hidden="1"/>
    </xf>
    <xf numFmtId="0" fontId="26" fillId="2" borderId="0" xfId="0" applyFont="1" applyFill="1" applyAlignment="1" applyProtection="1">
      <alignment horizontal="center"/>
      <protection hidden="1"/>
    </xf>
    <xf numFmtId="0" fontId="26" fillId="0" borderId="0" xfId="0" applyFont="1" applyAlignment="1" applyProtection="1">
      <alignment horizontal="center"/>
      <protection hidden="1"/>
    </xf>
    <xf numFmtId="0" fontId="26" fillId="0" borderId="11" xfId="0" applyFont="1" applyBorder="1" applyAlignment="1" applyProtection="1">
      <alignment horizontal="center"/>
      <protection hidden="1"/>
    </xf>
    <xf numFmtId="0" fontId="27" fillId="0" borderId="0" xfId="0" applyFont="1" applyAlignment="1" applyProtection="1">
      <alignment vertical="center"/>
      <protection hidden="1"/>
    </xf>
    <xf numFmtId="0" fontId="65" fillId="0" borderId="0" xfId="0" applyFont="1" applyAlignment="1" applyProtection="1">
      <alignment vertical="center"/>
      <protection hidden="1"/>
    </xf>
    <xf numFmtId="0" fontId="28" fillId="20" borderId="0" xfId="119" applyFont="1" applyFill="1" applyAlignment="1" applyProtection="1">
      <alignment horizontal="center" vertical="center" wrapText="1"/>
      <protection hidden="1"/>
    </xf>
    <xf numFmtId="0" fontId="36" fillId="29" borderId="0" xfId="0" applyFont="1" applyFill="1" applyProtection="1">
      <protection hidden="1"/>
    </xf>
    <xf numFmtId="0" fontId="3" fillId="0" borderId="12" xfId="119" applyFont="1" applyBorder="1" applyProtection="1">
      <protection hidden="1"/>
    </xf>
    <xf numFmtId="9" fontId="3" fillId="0" borderId="19" xfId="3" applyFont="1" applyFill="1" applyBorder="1" applyAlignment="1" applyProtection="1">
      <alignment horizontal="center"/>
      <protection hidden="1"/>
    </xf>
    <xf numFmtId="0" fontId="3" fillId="0" borderId="19" xfId="119" applyFont="1" applyBorder="1" applyProtection="1">
      <protection hidden="1"/>
    </xf>
    <xf numFmtId="0" fontId="3" fillId="0" borderId="9" xfId="119" applyFont="1" applyBorder="1" applyProtection="1">
      <protection hidden="1"/>
    </xf>
    <xf numFmtId="164" fontId="3" fillId="4" borderId="2" xfId="2" applyNumberFormat="1" applyFont="1" applyFill="1" applyBorder="1" applyAlignment="1" applyProtection="1">
      <alignment horizontal="center"/>
      <protection hidden="1"/>
    </xf>
    <xf numFmtId="9" fontId="3" fillId="4" borderId="5" xfId="3" applyFont="1" applyFill="1" applyBorder="1" applyAlignment="1" applyProtection="1">
      <alignment horizontal="center"/>
      <protection hidden="1"/>
    </xf>
    <xf numFmtId="165" fontId="3" fillId="20" borderId="2" xfId="2" applyNumberFormat="1" applyFont="1" applyFill="1" applyBorder="1" applyAlignment="1" applyProtection="1">
      <alignment horizontal="center"/>
      <protection hidden="1"/>
    </xf>
    <xf numFmtId="165" fontId="3" fillId="21" borderId="1" xfId="2" applyNumberFormat="1" applyFont="1" applyFill="1" applyBorder="1" applyAlignment="1" applyProtection="1">
      <alignment horizontal="center"/>
      <protection hidden="1"/>
    </xf>
    <xf numFmtId="164" fontId="26" fillId="19" borderId="0" xfId="0" applyNumberFormat="1" applyFont="1" applyFill="1" applyProtection="1">
      <protection hidden="1"/>
    </xf>
    <xf numFmtId="0" fontId="65" fillId="0" borderId="0" xfId="0" applyFont="1" applyAlignment="1" applyProtection="1">
      <alignment horizontal="center" vertical="center"/>
      <protection hidden="1"/>
    </xf>
    <xf numFmtId="164" fontId="26" fillId="0" borderId="0" xfId="0" applyNumberFormat="1" applyFont="1" applyProtection="1">
      <protection hidden="1"/>
    </xf>
    <xf numFmtId="0" fontId="40" fillId="0" borderId="33" xfId="0" applyFont="1" applyBorder="1" applyProtection="1">
      <protection hidden="1"/>
    </xf>
    <xf numFmtId="0" fontId="40" fillId="0" borderId="21" xfId="0" applyFont="1" applyBorder="1" applyAlignment="1" applyProtection="1">
      <alignment horizontal="center"/>
      <protection hidden="1"/>
    </xf>
    <xf numFmtId="0" fontId="40" fillId="0" borderId="22" xfId="0" applyFont="1" applyBorder="1" applyAlignment="1" applyProtection="1">
      <alignment horizontal="center"/>
      <protection hidden="1"/>
    </xf>
    <xf numFmtId="0" fontId="40" fillId="0" borderId="35" xfId="0" applyFont="1" applyBorder="1" applyProtection="1">
      <protection hidden="1"/>
    </xf>
    <xf numFmtId="0" fontId="26" fillId="0" borderId="13" xfId="0" applyFont="1" applyBorder="1" applyAlignment="1" applyProtection="1">
      <alignment horizontal="center" vertical="center"/>
      <protection hidden="1"/>
    </xf>
    <xf numFmtId="0" fontId="26" fillId="0" borderId="13" xfId="0" applyFont="1" applyBorder="1" applyAlignment="1" applyProtection="1">
      <alignment horizontal="center" vertical="center" wrapText="1"/>
      <protection hidden="1"/>
    </xf>
    <xf numFmtId="0" fontId="26" fillId="0" borderId="14" xfId="0" applyFont="1" applyBorder="1" applyAlignment="1" applyProtection="1">
      <alignment horizontal="center" vertical="center" wrapText="1"/>
      <protection hidden="1"/>
    </xf>
    <xf numFmtId="0" fontId="3" fillId="0" borderId="36" xfId="119" applyFont="1" applyBorder="1" applyAlignment="1" applyProtection="1">
      <alignment horizontal="center"/>
      <protection hidden="1"/>
    </xf>
    <xf numFmtId="164" fontId="26" fillId="0" borderId="10" xfId="0" applyNumberFormat="1" applyFont="1" applyBorder="1" applyAlignment="1" applyProtection="1">
      <alignment horizontal="center"/>
      <protection hidden="1"/>
    </xf>
    <xf numFmtId="164" fontId="26" fillId="0" borderId="11" xfId="0" applyNumberFormat="1" applyFont="1" applyBorder="1" applyAlignment="1" applyProtection="1">
      <alignment horizontal="center"/>
      <protection hidden="1"/>
    </xf>
    <xf numFmtId="164" fontId="26" fillId="0" borderId="0" xfId="0" applyNumberFormat="1" applyFont="1" applyAlignment="1" applyProtection="1">
      <alignment horizontal="center"/>
      <protection hidden="1"/>
    </xf>
    <xf numFmtId="0" fontId="26" fillId="0" borderId="34" xfId="0" applyFont="1" applyBorder="1" applyAlignment="1" applyProtection="1">
      <alignment horizontal="center" vertical="center"/>
      <protection hidden="1"/>
    </xf>
    <xf numFmtId="0" fontId="26" fillId="0" borderId="23" xfId="0" applyFont="1" applyBorder="1" applyAlignment="1" applyProtection="1">
      <alignment horizontal="center" vertical="center" wrapText="1"/>
      <protection hidden="1"/>
    </xf>
    <xf numFmtId="0" fontId="3" fillId="0" borderId="45" xfId="119" applyFont="1" applyBorder="1" applyAlignment="1" applyProtection="1">
      <alignment horizontal="center"/>
      <protection hidden="1"/>
    </xf>
    <xf numFmtId="0" fontId="26" fillId="0" borderId="12" xfId="0" applyFont="1" applyBorder="1" applyProtection="1">
      <protection hidden="1"/>
    </xf>
    <xf numFmtId="9" fontId="26" fillId="0" borderId="19" xfId="0" applyNumberFormat="1" applyFont="1" applyBorder="1" applyAlignment="1" applyProtection="1">
      <alignment horizontal="center" vertical="center"/>
      <protection hidden="1"/>
    </xf>
    <xf numFmtId="0" fontId="26" fillId="0" borderId="9" xfId="0" applyFont="1" applyBorder="1" applyProtection="1">
      <protection hidden="1"/>
    </xf>
    <xf numFmtId="1" fontId="26" fillId="0" borderId="0" xfId="0" applyNumberFormat="1" applyFont="1" applyAlignment="1" applyProtection="1">
      <alignment horizontal="center"/>
      <protection hidden="1"/>
    </xf>
    <xf numFmtId="0" fontId="48" fillId="0" borderId="0" xfId="0" applyFont="1" applyProtection="1">
      <protection hidden="1"/>
    </xf>
    <xf numFmtId="0" fontId="27" fillId="16" borderId="0" xfId="0" applyFont="1" applyFill="1" applyAlignment="1" applyProtection="1">
      <alignment horizontal="center"/>
      <protection hidden="1"/>
    </xf>
    <xf numFmtId="164" fontId="39" fillId="0" borderId="2" xfId="0" applyNumberFormat="1" applyFont="1" applyBorder="1" applyAlignment="1" applyProtection="1">
      <alignment horizontal="center" vertical="center"/>
      <protection hidden="1"/>
    </xf>
    <xf numFmtId="164" fontId="48" fillId="0" borderId="0" xfId="0" applyNumberFormat="1" applyFont="1" applyProtection="1">
      <protection hidden="1"/>
    </xf>
    <xf numFmtId="0" fontId="63" fillId="0" borderId="0" xfId="0" applyFont="1" applyProtection="1">
      <protection hidden="1"/>
    </xf>
    <xf numFmtId="0" fontId="19" fillId="0" borderId="0" xfId="0" applyFont="1" applyAlignment="1" applyProtection="1">
      <alignment horizontal="left"/>
      <protection hidden="1"/>
    </xf>
    <xf numFmtId="0" fontId="0" fillId="0" borderId="0" xfId="0" applyAlignment="1" applyProtection="1">
      <alignment horizontal="left"/>
      <protection hidden="1"/>
    </xf>
    <xf numFmtId="0" fontId="28" fillId="0" borderId="0" xfId="112" applyFont="1" applyAlignment="1" applyProtection="1">
      <alignment horizontal="left"/>
      <protection hidden="1"/>
    </xf>
    <xf numFmtId="0" fontId="43" fillId="0" borderId="10" xfId="0" applyFont="1" applyBorder="1" applyAlignment="1" applyProtection="1">
      <alignment vertical="center" wrapText="1"/>
      <protection hidden="1"/>
    </xf>
    <xf numFmtId="0" fontId="43" fillId="0" borderId="11" xfId="0" applyFont="1" applyBorder="1" applyProtection="1">
      <protection hidden="1"/>
    </xf>
    <xf numFmtId="0" fontId="90" fillId="0" borderId="0" xfId="0" applyFont="1" applyAlignment="1" applyProtection="1">
      <alignment horizontal="left"/>
      <protection hidden="1"/>
    </xf>
    <xf numFmtId="0" fontId="43" fillId="0" borderId="10" xfId="0" applyFont="1" applyBorder="1" applyProtection="1">
      <protection hidden="1"/>
    </xf>
    <xf numFmtId="0" fontId="76" fillId="0" borderId="0" xfId="0" applyFont="1" applyAlignment="1" applyProtection="1">
      <alignment horizontal="left"/>
      <protection hidden="1"/>
    </xf>
    <xf numFmtId="165" fontId="0" fillId="0" borderId="0" xfId="0" applyNumberFormat="1" applyProtection="1">
      <protection hidden="1"/>
    </xf>
    <xf numFmtId="0" fontId="63" fillId="0" borderId="58" xfId="0" applyFont="1" applyBorder="1" applyAlignment="1" applyProtection="1">
      <alignment horizontal="left"/>
      <protection hidden="1"/>
    </xf>
    <xf numFmtId="0" fontId="63" fillId="0" borderId="62" xfId="0" applyFont="1" applyBorder="1" applyProtection="1">
      <protection hidden="1"/>
    </xf>
    <xf numFmtId="1" fontId="0" fillId="0" borderId="10" xfId="0" applyNumberFormat="1" applyBorder="1" applyAlignment="1" applyProtection="1">
      <alignment horizontal="left"/>
      <protection hidden="1"/>
    </xf>
    <xf numFmtId="164" fontId="0" fillId="0" borderId="0" xfId="0" applyNumberFormat="1" applyProtection="1">
      <protection hidden="1"/>
    </xf>
    <xf numFmtId="164" fontId="0" fillId="0" borderId="11" xfId="0" applyNumberFormat="1" applyBorder="1" applyProtection="1">
      <protection hidden="1"/>
    </xf>
    <xf numFmtId="0" fontId="63" fillId="0" borderId="0" xfId="0" applyFont="1" applyAlignment="1" applyProtection="1">
      <alignment horizontal="left"/>
      <protection hidden="1"/>
    </xf>
    <xf numFmtId="0" fontId="63" fillId="0" borderId="58" xfId="0" applyFont="1" applyBorder="1" applyAlignment="1" applyProtection="1">
      <alignment vertical="center"/>
      <protection hidden="1"/>
    </xf>
    <xf numFmtId="0" fontId="63" fillId="0" borderId="10" xfId="0" applyFont="1" applyBorder="1" applyAlignment="1" applyProtection="1">
      <alignment vertical="center"/>
      <protection hidden="1"/>
    </xf>
    <xf numFmtId="0" fontId="63" fillId="0" borderId="0" xfId="0" applyFont="1" applyAlignment="1" applyProtection="1">
      <alignment horizontal="right"/>
      <protection hidden="1"/>
    </xf>
    <xf numFmtId="0" fontId="63" fillId="0" borderId="11" xfId="0" applyFont="1" applyBorder="1" applyAlignment="1" applyProtection="1">
      <alignment horizontal="right"/>
      <protection hidden="1"/>
    </xf>
    <xf numFmtId="0" fontId="19" fillId="0" borderId="10" xfId="0" applyFont="1" applyBorder="1" applyAlignment="1" applyProtection="1">
      <alignment horizontal="lef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19" fillId="0" borderId="0" xfId="0" applyNumberFormat="1" applyFont="1" applyAlignment="1" applyProtection="1">
      <alignment horizontal="right"/>
      <protection hidden="1"/>
    </xf>
    <xf numFmtId="0" fontId="19" fillId="0" borderId="12" xfId="0" applyFont="1" applyBorder="1" applyAlignment="1" applyProtection="1">
      <alignment horizontal="left"/>
      <protection hidden="1"/>
    </xf>
    <xf numFmtId="165" fontId="19"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0" fillId="0" borderId="0" xfId="0" applyFont="1" applyAlignment="1" applyProtection="1">
      <alignment horizontal="left" vertical="top"/>
      <protection hidden="1"/>
    </xf>
    <xf numFmtId="0" fontId="86" fillId="0" borderId="0" xfId="0" applyFont="1" applyProtection="1">
      <protection hidden="1"/>
    </xf>
    <xf numFmtId="0" fontId="19" fillId="0" borderId="61" xfId="0" applyFont="1" applyBorder="1" applyProtection="1">
      <protection hidden="1"/>
    </xf>
    <xf numFmtId="0" fontId="19" fillId="0" borderId="62" xfId="0" applyFont="1" applyBorder="1" applyProtection="1">
      <protection hidden="1"/>
    </xf>
    <xf numFmtId="0" fontId="19" fillId="2" borderId="10" xfId="0" applyFont="1" applyFill="1" applyBorder="1" applyAlignment="1" applyProtection="1">
      <alignment horizontal="left"/>
      <protection hidden="1"/>
    </xf>
    <xf numFmtId="165" fontId="19" fillId="2" borderId="0" xfId="0" applyNumberFormat="1" applyFont="1" applyFill="1" applyProtection="1">
      <protection hidden="1"/>
    </xf>
    <xf numFmtId="165" fontId="19" fillId="2" borderId="11" xfId="0" applyNumberFormat="1" applyFont="1" applyFill="1" applyBorder="1" applyProtection="1">
      <protection hidden="1"/>
    </xf>
    <xf numFmtId="0" fontId="43" fillId="0" borderId="10" xfId="0" applyFont="1" applyBorder="1" applyAlignment="1" applyProtection="1">
      <alignment vertical="center"/>
      <protection hidden="1"/>
    </xf>
    <xf numFmtId="8" fontId="43" fillId="0" borderId="0" xfId="0" applyNumberFormat="1" applyFont="1" applyAlignment="1" applyProtection="1">
      <alignment horizontal="right" vertical="center"/>
      <protection hidden="1"/>
    </xf>
    <xf numFmtId="8" fontId="43" fillId="0" borderId="11" xfId="0" applyNumberFormat="1" applyFont="1" applyBorder="1" applyAlignment="1" applyProtection="1">
      <alignment horizontal="right" vertical="center"/>
      <protection hidden="1"/>
    </xf>
    <xf numFmtId="0" fontId="88" fillId="0" borderId="0" xfId="0" applyFont="1" applyProtection="1">
      <protection hidden="1"/>
    </xf>
    <xf numFmtId="0" fontId="43" fillId="0" borderId="12" xfId="0" applyFont="1" applyBorder="1" applyAlignment="1" applyProtection="1">
      <alignment vertical="center"/>
      <protection hidden="1"/>
    </xf>
    <xf numFmtId="8" fontId="43" fillId="0" borderId="19" xfId="0" applyNumberFormat="1" applyFont="1" applyBorder="1" applyAlignment="1" applyProtection="1">
      <alignment horizontal="right" vertical="center"/>
      <protection hidden="1"/>
    </xf>
    <xf numFmtId="8" fontId="43" fillId="0" borderId="9" xfId="0" applyNumberFormat="1" applyFont="1" applyBorder="1" applyAlignment="1" applyProtection="1">
      <alignment horizontal="right" vertical="center"/>
      <protection hidden="1"/>
    </xf>
    <xf numFmtId="0" fontId="43" fillId="0" borderId="0" xfId="0" applyFont="1" applyAlignment="1" applyProtection="1">
      <alignment vertical="center"/>
      <protection hidden="1"/>
    </xf>
    <xf numFmtId="0" fontId="122" fillId="0" borderId="0" xfId="0" applyFont="1" applyProtection="1">
      <protection hidden="1"/>
    </xf>
    <xf numFmtId="0" fontId="104" fillId="0" borderId="58" xfId="0" applyFont="1" applyBorder="1" applyAlignment="1" applyProtection="1">
      <alignment vertical="center" wrapText="1"/>
      <protection hidden="1"/>
    </xf>
    <xf numFmtId="0" fontId="104" fillId="0" borderId="61" xfId="0" applyFont="1" applyBorder="1" applyAlignment="1" applyProtection="1">
      <alignment horizontal="right" vertical="top" wrapText="1"/>
      <protection hidden="1"/>
    </xf>
    <xf numFmtId="0" fontId="104" fillId="0" borderId="61" xfId="0" applyFont="1" applyBorder="1" applyProtection="1">
      <protection hidden="1"/>
    </xf>
    <xf numFmtId="0" fontId="104" fillId="0" borderId="62" xfId="0" applyFont="1" applyBorder="1" applyProtection="1">
      <protection hidden="1"/>
    </xf>
    <xf numFmtId="0" fontId="43" fillId="0" borderId="0" xfId="0" applyFont="1" applyAlignment="1" applyProtection="1">
      <alignment horizontal="right" vertical="center"/>
      <protection hidden="1"/>
    </xf>
    <xf numFmtId="0" fontId="43" fillId="0" borderId="0" xfId="0" applyFont="1" applyProtection="1">
      <protection hidden="1"/>
    </xf>
    <xf numFmtId="9" fontId="43" fillId="0" borderId="0" xfId="0" applyNumberFormat="1" applyFont="1" applyProtection="1">
      <protection hidden="1"/>
    </xf>
    <xf numFmtId="9" fontId="43" fillId="0" borderId="11" xfId="0" applyNumberFormat="1" applyFont="1" applyBorder="1" applyProtection="1">
      <protection hidden="1"/>
    </xf>
    <xf numFmtId="0" fontId="43" fillId="0" borderId="19" xfId="0" applyFont="1" applyBorder="1" applyAlignment="1" applyProtection="1">
      <alignment horizontal="right" vertical="center"/>
      <protection hidden="1"/>
    </xf>
    <xf numFmtId="0" fontId="43" fillId="0" borderId="19" xfId="0" applyFont="1" applyBorder="1" applyProtection="1">
      <protection hidden="1"/>
    </xf>
    <xf numFmtId="9" fontId="43" fillId="0" borderId="19" xfId="0" applyNumberFormat="1" applyFont="1" applyBorder="1" applyProtection="1">
      <protection hidden="1"/>
    </xf>
    <xf numFmtId="9" fontId="43" fillId="0" borderId="9" xfId="0" applyNumberFormat="1" applyFont="1" applyBorder="1" applyProtection="1">
      <protection hidden="1"/>
    </xf>
    <xf numFmtId="0" fontId="122" fillId="0" borderId="0" xfId="0" applyFont="1" applyAlignment="1" applyProtection="1">
      <alignment vertical="center"/>
      <protection hidden="1"/>
    </xf>
    <xf numFmtId="0" fontId="63" fillId="0" borderId="34" xfId="0" applyFont="1" applyBorder="1" applyAlignment="1" applyProtection="1">
      <alignment horizontal="left"/>
      <protection hidden="1"/>
    </xf>
    <xf numFmtId="0" fontId="63" fillId="0" borderId="45" xfId="0" applyFont="1" applyBorder="1" applyAlignment="1" applyProtection="1">
      <alignment horizontal="left"/>
      <protection hidden="1"/>
    </xf>
    <xf numFmtId="0" fontId="63" fillId="0" borderId="10" xfId="0" applyFont="1" applyBorder="1" applyAlignment="1" applyProtection="1">
      <alignment horizontal="right"/>
      <protection hidden="1"/>
    </xf>
    <xf numFmtId="0" fontId="104" fillId="0" borderId="0" xfId="0" applyFont="1" applyAlignment="1" applyProtection="1">
      <alignment horizontal="right"/>
      <protection hidden="1"/>
    </xf>
    <xf numFmtId="0" fontId="104"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19"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0" fillId="0" borderId="0" xfId="0" applyFont="1" applyAlignment="1" applyProtection="1">
      <alignment wrapText="1"/>
      <protection hidden="1"/>
    </xf>
    <xf numFmtId="0" fontId="76" fillId="0" borderId="0" xfId="0" applyFont="1" applyProtection="1">
      <protection hidden="1"/>
    </xf>
    <xf numFmtId="0" fontId="57" fillId="0" borderId="0" xfId="125" applyAlignment="1" applyProtection="1">
      <alignment vertical="center"/>
      <protection hidden="1"/>
    </xf>
    <xf numFmtId="0" fontId="31" fillId="0" borderId="0" xfId="0" applyFont="1" applyAlignment="1" applyProtection="1">
      <alignment horizontal="left" vertical="center"/>
      <protection hidden="1"/>
    </xf>
    <xf numFmtId="164" fontId="31" fillId="0" borderId="0" xfId="0" applyNumberFormat="1" applyFont="1" applyAlignment="1" applyProtection="1">
      <alignment horizontal="left" vertical="center"/>
      <protection hidden="1"/>
    </xf>
    <xf numFmtId="0" fontId="57" fillId="0" borderId="0" xfId="125" applyFill="1" applyAlignment="1" applyProtection="1">
      <alignment horizontal="center" vertical="center"/>
      <protection hidden="1"/>
    </xf>
    <xf numFmtId="0" fontId="26" fillId="0" borderId="0" xfId="0" applyFont="1" applyAlignment="1" applyProtection="1">
      <alignment horizontal="left"/>
      <protection hidden="1"/>
    </xf>
    <xf numFmtId="171" fontId="0" fillId="0" borderId="0" xfId="0" applyNumberFormat="1" applyProtection="1">
      <protection hidden="1"/>
    </xf>
    <xf numFmtId="0" fontId="36" fillId="0" borderId="0" xfId="0" applyFont="1" applyAlignment="1" applyProtection="1">
      <alignment horizontal="center"/>
      <protection hidden="1"/>
    </xf>
    <xf numFmtId="0" fontId="58" fillId="0" borderId="0" xfId="0" applyFont="1" applyProtection="1">
      <protection hidden="1"/>
    </xf>
    <xf numFmtId="10" fontId="26" fillId="0" borderId="0" xfId="3" applyNumberFormat="1" applyFont="1" applyAlignment="1" applyProtection="1">
      <alignment horizontal="center"/>
      <protection hidden="1"/>
    </xf>
    <xf numFmtId="169" fontId="26" fillId="2" borderId="0" xfId="0" applyNumberFormat="1" applyFont="1" applyFill="1" applyAlignment="1" applyProtection="1">
      <alignment horizontal="center" vertical="center"/>
      <protection hidden="1"/>
    </xf>
    <xf numFmtId="2" fontId="26" fillId="2" borderId="0" xfId="0" applyNumberFormat="1" applyFont="1" applyFill="1" applyAlignment="1" applyProtection="1">
      <alignment horizontal="center" vertical="center"/>
      <protection hidden="1"/>
    </xf>
    <xf numFmtId="0" fontId="130" fillId="0" borderId="0" xfId="0" applyFont="1" applyProtection="1">
      <protection hidden="1"/>
    </xf>
    <xf numFmtId="0" fontId="36" fillId="17" borderId="0" xfId="0" applyFont="1" applyFill="1" applyProtection="1">
      <protection hidden="1"/>
    </xf>
    <xf numFmtId="0" fontId="36" fillId="0" borderId="0" xfId="0" applyFont="1" applyAlignment="1" applyProtection="1">
      <alignment horizontal="left"/>
      <protection hidden="1"/>
    </xf>
    <xf numFmtId="2" fontId="36" fillId="0" borderId="0" xfId="0" applyNumberFormat="1" applyFont="1" applyProtection="1">
      <protection hidden="1"/>
    </xf>
    <xf numFmtId="0" fontId="68" fillId="0" borderId="0" xfId="0" applyFont="1" applyAlignment="1" applyProtection="1">
      <alignment horizontal="left"/>
      <protection hidden="1"/>
    </xf>
    <xf numFmtId="0" fontId="28" fillId="27" borderId="57" xfId="0" applyFont="1" applyFill="1" applyBorder="1" applyProtection="1">
      <protection hidden="1"/>
    </xf>
    <xf numFmtId="0" fontId="28" fillId="27" borderId="57" xfId="0" applyFont="1" applyFill="1" applyBorder="1" applyAlignment="1" applyProtection="1">
      <alignment horizontal="center"/>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63" fillId="2" borderId="0" xfId="0" applyFont="1" applyFill="1" applyAlignment="1" applyProtection="1">
      <alignment horizontal="right"/>
      <protection hidden="1"/>
    </xf>
    <xf numFmtId="0" fontId="70" fillId="28" borderId="0" xfId="0" applyFont="1" applyFill="1" applyProtection="1">
      <protection hidden="1"/>
    </xf>
    <xf numFmtId="0" fontId="63" fillId="29" borderId="25" xfId="0" applyFont="1" applyFill="1" applyBorder="1" applyAlignment="1" applyProtection="1">
      <alignment horizontal="center"/>
      <protection hidden="1"/>
    </xf>
    <xf numFmtId="0" fontId="63" fillId="29" borderId="17" xfId="0" applyFont="1" applyFill="1" applyBorder="1" applyAlignment="1" applyProtection="1">
      <alignment horizontal="center"/>
      <protection hidden="1"/>
    </xf>
    <xf numFmtId="0" fontId="19" fillId="29" borderId="18" xfId="0" applyFont="1" applyFill="1" applyBorder="1" applyAlignment="1" applyProtection="1">
      <alignment horizontal="center" wrapText="1"/>
      <protection hidden="1"/>
    </xf>
    <xf numFmtId="0" fontId="19" fillId="29" borderId="2" xfId="0" applyFont="1" applyFill="1" applyBorder="1" applyAlignment="1" applyProtection="1">
      <alignment horizontal="center" wrapText="1"/>
      <protection hidden="1"/>
    </xf>
    <xf numFmtId="0" fontId="19" fillId="29" borderId="15" xfId="0" applyFont="1" applyFill="1" applyBorder="1" applyAlignment="1" applyProtection="1">
      <alignment horizontal="center" wrapText="1"/>
      <protection hidden="1"/>
    </xf>
    <xf numFmtId="167" fontId="63" fillId="29" borderId="18" xfId="0" applyNumberFormat="1" applyFont="1" applyFill="1" applyBorder="1" applyAlignment="1" applyProtection="1">
      <alignment horizontal="center"/>
      <protection hidden="1"/>
    </xf>
    <xf numFmtId="167" fontId="63" fillId="29" borderId="52" xfId="0" applyNumberFormat="1" applyFont="1" applyFill="1" applyBorder="1" applyAlignment="1" applyProtection="1">
      <alignment horizontal="center"/>
      <protection hidden="1"/>
    </xf>
    <xf numFmtId="167" fontId="63" fillId="29" borderId="51" xfId="0" applyNumberFormat="1" applyFont="1" applyFill="1" applyBorder="1" applyAlignment="1" applyProtection="1">
      <alignment horizontal="center"/>
      <protection hidden="1"/>
    </xf>
    <xf numFmtId="168" fontId="19" fillId="0" borderId="0" xfId="0" applyNumberFormat="1" applyFont="1" applyProtection="1">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19" fillId="18" borderId="3" xfId="0" applyFont="1" applyFill="1" applyBorder="1" applyAlignment="1" applyProtection="1">
      <alignment horizontal="center" wrapText="1"/>
      <protection hidden="1"/>
    </xf>
    <xf numFmtId="0" fontId="19" fillId="11" borderId="5" xfId="0" applyFont="1" applyFill="1" applyBorder="1" applyAlignment="1" applyProtection="1">
      <alignment horizontal="center" wrapText="1"/>
      <protection hidden="1"/>
    </xf>
    <xf numFmtId="0" fontId="0" fillId="2" borderId="65" xfId="0" applyFill="1" applyBorder="1" applyAlignment="1" applyProtection="1">
      <alignment horizontal="center" wrapText="1"/>
      <protection hidden="1"/>
    </xf>
    <xf numFmtId="168" fontId="0" fillId="11" borderId="5"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174" fontId="63" fillId="29" borderId="40" xfId="0" applyNumberFormat="1" applyFont="1" applyFill="1" applyBorder="1" applyAlignment="1" applyProtection="1">
      <alignment horizontal="center"/>
      <protection hidden="1"/>
    </xf>
    <xf numFmtId="174" fontId="63" fillId="29" borderId="52" xfId="0" applyNumberFormat="1" applyFont="1" applyFill="1" applyBorder="1" applyAlignment="1" applyProtection="1">
      <alignment horizontal="center"/>
      <protection hidden="1"/>
    </xf>
    <xf numFmtId="3" fontId="3" fillId="0" borderId="0" xfId="3" applyNumberFormat="1" applyFont="1" applyFill="1" applyBorder="1" applyAlignment="1" applyProtection="1">
      <alignment horizontal="center"/>
      <protection hidden="1"/>
    </xf>
    <xf numFmtId="3" fontId="28" fillId="0" borderId="121" xfId="119" applyNumberFormat="1" applyFont="1" applyBorder="1" applyProtection="1">
      <protection hidden="1"/>
    </xf>
    <xf numFmtId="3" fontId="28" fillId="0" borderId="61" xfId="119" applyNumberFormat="1" applyFont="1" applyBorder="1" applyProtection="1">
      <protection hidden="1"/>
    </xf>
    <xf numFmtId="3" fontId="28" fillId="0" borderId="122" xfId="119" applyNumberFormat="1" applyFont="1" applyBorder="1" applyProtection="1">
      <protection hidden="1"/>
    </xf>
    <xf numFmtId="3" fontId="3" fillId="0" borderId="76" xfId="119" applyNumberFormat="1" applyFont="1" applyBorder="1" applyProtection="1">
      <protection hidden="1"/>
    </xf>
    <xf numFmtId="3" fontId="3" fillId="0" borderId="81" xfId="119" applyNumberFormat="1" applyFont="1" applyBorder="1" applyProtection="1">
      <protection hidden="1"/>
    </xf>
    <xf numFmtId="0" fontId="26" fillId="0" borderId="119" xfId="0" applyFont="1" applyBorder="1" applyProtection="1">
      <protection hidden="1"/>
    </xf>
    <xf numFmtId="4" fontId="3" fillId="2" borderId="19" xfId="3" quotePrefix="1" applyNumberFormat="1" applyFont="1" applyFill="1" applyBorder="1" applyAlignment="1" applyProtection="1">
      <alignment horizontal="center"/>
      <protection hidden="1"/>
    </xf>
    <xf numFmtId="0" fontId="3" fillId="0" borderId="120" xfId="119" applyFont="1" applyBorder="1" applyProtection="1">
      <protection hidden="1"/>
    </xf>
    <xf numFmtId="0" fontId="27" fillId="0" borderId="121" xfId="0" applyFont="1" applyBorder="1" applyProtection="1">
      <protection hidden="1"/>
    </xf>
    <xf numFmtId="4" fontId="3" fillId="0" borderId="61" xfId="3" quotePrefix="1" applyNumberFormat="1" applyFont="1" applyFill="1" applyBorder="1" applyAlignment="1" applyProtection="1">
      <alignment horizontal="center"/>
      <protection hidden="1"/>
    </xf>
    <xf numFmtId="0" fontId="3" fillId="0" borderId="122" xfId="119" applyFont="1" applyBorder="1" applyProtection="1">
      <protection hidden="1"/>
    </xf>
    <xf numFmtId="2" fontId="26" fillId="2" borderId="19" xfId="0" quotePrefix="1" applyNumberFormat="1" applyFont="1" applyFill="1" applyBorder="1" applyAlignment="1" applyProtection="1">
      <alignment horizontal="center"/>
      <protection hidden="1"/>
    </xf>
    <xf numFmtId="0" fontId="27" fillId="0" borderId="76" xfId="0" applyFont="1" applyBorder="1" applyProtection="1">
      <protection hidden="1"/>
    </xf>
    <xf numFmtId="2" fontId="26" fillId="0" borderId="0" xfId="0" quotePrefix="1" applyNumberFormat="1" applyFont="1" applyAlignment="1" applyProtection="1">
      <alignment horizontal="center"/>
      <protection hidden="1"/>
    </xf>
    <xf numFmtId="0" fontId="3" fillId="0" borderId="77" xfId="119" applyFont="1" applyBorder="1" applyProtection="1">
      <protection hidden="1"/>
    </xf>
    <xf numFmtId="4" fontId="3" fillId="0" borderId="82" xfId="3" applyNumberFormat="1" applyFont="1" applyFill="1" applyBorder="1" applyAlignment="1" applyProtection="1">
      <alignment horizontal="center"/>
      <protection hidden="1"/>
    </xf>
    <xf numFmtId="3" fontId="3" fillId="0" borderId="83" xfId="119" applyNumberFormat="1" applyFont="1" applyBorder="1" applyProtection="1">
      <protection hidden="1"/>
    </xf>
    <xf numFmtId="0" fontId="0" fillId="0" borderId="58" xfId="0" applyBorder="1" applyProtection="1">
      <protection hidden="1"/>
    </xf>
    <xf numFmtId="0" fontId="63" fillId="0" borderId="12" xfId="0" applyFont="1" applyBorder="1" applyAlignment="1" applyProtection="1">
      <alignment horizontal="right"/>
      <protection hidden="1"/>
    </xf>
    <xf numFmtId="0" fontId="63" fillId="0" borderId="12" xfId="0" applyFont="1" applyBorder="1" applyAlignment="1" applyProtection="1">
      <alignment horizontal="center" wrapText="1"/>
      <protection hidden="1"/>
    </xf>
    <xf numFmtId="0" fontId="63" fillId="0" borderId="19" xfId="0" applyFont="1" applyBorder="1" applyAlignment="1" applyProtection="1">
      <alignment horizontal="center"/>
      <protection hidden="1"/>
    </xf>
    <xf numFmtId="0" fontId="63" fillId="0" borderId="9" xfId="0" applyFont="1" applyBorder="1" applyAlignment="1" applyProtection="1">
      <alignment horizontal="center"/>
      <protection hidden="1"/>
    </xf>
    <xf numFmtId="0" fontId="63" fillId="22" borderId="19" xfId="0" applyFont="1" applyFill="1" applyBorder="1" applyAlignment="1" applyProtection="1">
      <alignment horizontal="center"/>
      <protection hidden="1"/>
    </xf>
    <xf numFmtId="0" fontId="63" fillId="22" borderId="9" xfId="0" applyFon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41" fillId="21" borderId="0" xfId="0" applyFont="1" applyFill="1" applyAlignment="1" applyProtection="1">
      <alignment vertical="center"/>
      <protection hidden="1"/>
    </xf>
    <xf numFmtId="0" fontId="31" fillId="5" borderId="18" xfId="130" applyFont="1" applyFill="1" applyBorder="1" applyAlignment="1" applyProtection="1">
      <alignment vertical="center"/>
      <protection hidden="1"/>
    </xf>
    <xf numFmtId="0" fontId="31" fillId="5" borderId="2" xfId="130" applyFont="1" applyFill="1" applyBorder="1" applyAlignment="1" applyProtection="1">
      <alignment horizontal="center" vertical="center" wrapText="1"/>
      <protection hidden="1"/>
    </xf>
    <xf numFmtId="0" fontId="28" fillId="20" borderId="2" xfId="130" applyFont="1" applyFill="1" applyBorder="1" applyAlignment="1" applyProtection="1">
      <alignment horizontal="center" vertical="center" wrapText="1"/>
      <protection hidden="1"/>
    </xf>
    <xf numFmtId="0" fontId="28" fillId="21" borderId="3" xfId="130" applyFont="1" applyFill="1" applyBorder="1" applyAlignment="1" applyProtection="1">
      <alignment horizontal="center" vertical="center" wrapText="1"/>
      <protection hidden="1"/>
    </xf>
    <xf numFmtId="0" fontId="28" fillId="20" borderId="2" xfId="119" applyFont="1" applyFill="1" applyBorder="1" applyAlignment="1" applyProtection="1">
      <alignment horizontal="center" vertical="center" wrapText="1"/>
      <protection hidden="1"/>
    </xf>
    <xf numFmtId="0" fontId="28" fillId="21" borderId="2" xfId="119" applyFont="1" applyFill="1" applyBorder="1" applyAlignment="1" applyProtection="1">
      <alignment horizontal="center" vertical="center" wrapText="1"/>
      <protection hidden="1"/>
    </xf>
    <xf numFmtId="0" fontId="12" fillId="0" borderId="0" xfId="130" applyAlignment="1" applyProtection="1">
      <alignment vertical="center" wrapText="1"/>
      <protection hidden="1"/>
    </xf>
    <xf numFmtId="0" fontId="59" fillId="5" borderId="2" xfId="130" applyFont="1" applyFill="1" applyBorder="1" applyAlignment="1" applyProtection="1">
      <alignment horizontal="center" vertical="center" wrapText="1"/>
      <protection hidden="1"/>
    </xf>
    <xf numFmtId="2" fontId="31" fillId="6" borderId="63" xfId="131" applyNumberFormat="1" applyFont="1" applyFill="1" applyBorder="1" applyAlignment="1" applyProtection="1">
      <alignment horizontal="center" vertical="center" wrapText="1"/>
      <protection hidden="1"/>
    </xf>
    <xf numFmtId="2" fontId="31" fillId="6" borderId="17" xfId="131" applyNumberFormat="1" applyFont="1" applyFill="1" applyBorder="1" applyAlignment="1" applyProtection="1">
      <alignment horizontal="center" vertical="center" wrapText="1"/>
      <protection hidden="1"/>
    </xf>
    <xf numFmtId="2" fontId="31" fillId="6" borderId="25" xfId="26" applyNumberFormat="1" applyFont="1" applyFill="1" applyBorder="1" applyAlignment="1" applyProtection="1">
      <alignment horizontal="center" vertical="center" wrapText="1"/>
      <protection hidden="1"/>
    </xf>
    <xf numFmtId="2" fontId="31" fillId="6" borderId="17" xfId="26" applyNumberFormat="1" applyFont="1" applyFill="1" applyBorder="1" applyAlignment="1" applyProtection="1">
      <alignment horizontal="center" vertical="center" wrapText="1"/>
      <protection hidden="1"/>
    </xf>
    <xf numFmtId="164" fontId="66" fillId="0" borderId="2" xfId="0" applyNumberFormat="1" applyFont="1" applyBorder="1" applyAlignment="1" applyProtection="1">
      <alignment horizontal="center" vertical="center"/>
      <protection hidden="1"/>
    </xf>
    <xf numFmtId="168" fontId="39" fillId="0" borderId="7" xfId="0" applyNumberFormat="1" applyFont="1" applyBorder="1" applyAlignment="1" applyProtection="1">
      <alignment horizontal="center" vertical="center"/>
      <protection hidden="1"/>
    </xf>
    <xf numFmtId="0" fontId="31" fillId="5" borderId="58" xfId="130" applyFont="1" applyFill="1" applyBorder="1" applyAlignment="1" applyProtection="1">
      <alignment horizontal="center" vertical="center"/>
      <protection hidden="1"/>
    </xf>
    <xf numFmtId="0" fontId="31" fillId="5" borderId="61" xfId="130" applyFont="1" applyFill="1" applyBorder="1" applyAlignment="1" applyProtection="1">
      <alignment horizontal="center" vertical="center"/>
      <protection hidden="1"/>
    </xf>
    <xf numFmtId="0" fontId="3" fillId="0" borderId="10" xfId="119" applyFont="1" applyBorder="1" applyProtection="1">
      <protection hidden="1"/>
    </xf>
    <xf numFmtId="0" fontId="31" fillId="0" borderId="11" xfId="119" applyFont="1" applyBorder="1" applyAlignment="1" applyProtection="1">
      <alignment horizontal="center" vertical="center"/>
      <protection hidden="1"/>
    </xf>
    <xf numFmtId="0" fontId="3" fillId="0" borderId="0" xfId="130" applyFont="1" applyProtection="1">
      <protection hidden="1"/>
    </xf>
    <xf numFmtId="0" fontId="3" fillId="0" borderId="11" xfId="130" applyFont="1" applyBorder="1" applyProtection="1">
      <protection hidden="1"/>
    </xf>
    <xf numFmtId="0" fontId="3" fillId="0" borderId="10" xfId="130" applyFont="1" applyBorder="1" applyProtection="1">
      <protection hidden="1"/>
    </xf>
    <xf numFmtId="3" fontId="3" fillId="0" borderId="0" xfId="130" applyNumberFormat="1" applyFont="1" applyAlignment="1" applyProtection="1">
      <alignment horizontal="center"/>
      <protection hidden="1"/>
    </xf>
    <xf numFmtId="178" fontId="26" fillId="0" borderId="0" xfId="0" applyNumberFormat="1" applyFont="1" applyAlignment="1" applyProtection="1">
      <alignment horizontal="center" vertical="center"/>
      <protection hidden="1"/>
    </xf>
    <xf numFmtId="179" fontId="26" fillId="0" borderId="0" xfId="0" applyNumberFormat="1" applyFont="1" applyProtection="1">
      <protection hidden="1"/>
    </xf>
    <xf numFmtId="0" fontId="26" fillId="0" borderId="11" xfId="0" applyFont="1" applyBorder="1" applyProtection="1">
      <protection hidden="1"/>
    </xf>
    <xf numFmtId="178" fontId="26" fillId="0" borderId="19" xfId="0" applyNumberFormat="1" applyFont="1" applyBorder="1" applyAlignment="1" applyProtection="1">
      <alignment horizontal="center" vertical="center"/>
      <protection hidden="1"/>
    </xf>
    <xf numFmtId="0" fontId="26" fillId="0" borderId="19" xfId="0" applyFont="1" applyBorder="1" applyProtection="1">
      <protection hidden="1"/>
    </xf>
    <xf numFmtId="0" fontId="34" fillId="0" borderId="12" xfId="131" applyFont="1" applyBorder="1" applyAlignment="1" applyProtection="1">
      <alignment vertical="center" wrapText="1"/>
      <protection hidden="1"/>
    </xf>
    <xf numFmtId="0" fontId="34" fillId="0" borderId="19" xfId="131" applyFont="1" applyBorder="1" applyAlignment="1" applyProtection="1">
      <alignment vertical="center" wrapText="1"/>
      <protection hidden="1"/>
    </xf>
    <xf numFmtId="164" fontId="34" fillId="0" borderId="19" xfId="131" applyNumberFormat="1" applyFont="1" applyBorder="1" applyAlignment="1" applyProtection="1">
      <alignment vertical="center" wrapText="1"/>
      <protection hidden="1"/>
    </xf>
    <xf numFmtId="164" fontId="28" fillId="20" borderId="27" xfId="2" applyNumberFormat="1" applyFont="1" applyFill="1" applyBorder="1" applyAlignment="1" applyProtection="1">
      <alignment horizontal="center"/>
      <protection hidden="1"/>
    </xf>
    <xf numFmtId="164" fontId="28" fillId="21" borderId="91" xfId="2" applyNumberFormat="1" applyFont="1" applyFill="1" applyBorder="1" applyAlignment="1" applyProtection="1">
      <alignment horizontal="center"/>
      <protection hidden="1"/>
    </xf>
    <xf numFmtId="164" fontId="28" fillId="6" borderId="125" xfId="131" applyNumberFormat="1" applyFont="1" applyFill="1" applyBorder="1" applyAlignment="1" applyProtection="1">
      <alignment horizontal="center" vertical="center"/>
      <protection hidden="1"/>
    </xf>
    <xf numFmtId="164" fontId="28" fillId="6" borderId="26" xfId="131" applyNumberFormat="1" applyFont="1" applyFill="1" applyBorder="1" applyAlignment="1" applyProtection="1">
      <alignment horizontal="center" vertical="center"/>
      <protection hidden="1"/>
    </xf>
    <xf numFmtId="164" fontId="28" fillId="21" borderId="27" xfId="2" applyNumberFormat="1" applyFont="1" applyFill="1" applyBorder="1" applyAlignment="1" applyProtection="1">
      <alignment horizontal="center"/>
      <protection hidden="1"/>
    </xf>
    <xf numFmtId="164" fontId="28" fillId="6" borderId="27" xfId="26" applyNumberFormat="1" applyFont="1" applyFill="1" applyBorder="1" applyAlignment="1" applyProtection="1">
      <alignment horizontal="center" vertical="center"/>
      <protection hidden="1"/>
    </xf>
    <xf numFmtId="164" fontId="28" fillId="6" borderId="26" xfId="26" applyNumberFormat="1" applyFont="1" applyFill="1" applyBorder="1" applyAlignment="1" applyProtection="1">
      <alignment horizontal="center" vertical="center"/>
      <protection hidden="1"/>
    </xf>
    <xf numFmtId="164" fontId="36" fillId="0" borderId="0" xfId="0" applyNumberFormat="1" applyFont="1" applyProtection="1">
      <protection hidden="1"/>
    </xf>
    <xf numFmtId="0" fontId="31" fillId="5" borderId="18" xfId="119" applyFont="1" applyFill="1" applyBorder="1" applyAlignment="1" applyProtection="1">
      <alignment vertical="center"/>
      <protection hidden="1"/>
    </xf>
    <xf numFmtId="0" fontId="31" fillId="5" borderId="2" xfId="119" applyFont="1" applyFill="1" applyBorder="1" applyAlignment="1" applyProtection="1">
      <alignment horizontal="center" vertical="center" wrapText="1"/>
      <protection hidden="1"/>
    </xf>
    <xf numFmtId="0" fontId="59" fillId="5" borderId="2" xfId="119" applyFont="1" applyFill="1" applyBorder="1" applyAlignment="1" applyProtection="1">
      <alignment horizontal="center" vertical="center" wrapText="1"/>
      <protection hidden="1"/>
    </xf>
    <xf numFmtId="3" fontId="3" fillId="0" borderId="0" xfId="119" applyNumberFormat="1" applyFont="1" applyProtection="1">
      <protection hidden="1"/>
    </xf>
    <xf numFmtId="3" fontId="3" fillId="0" borderId="12" xfId="119" applyNumberFormat="1" applyFont="1" applyBorder="1" applyProtection="1">
      <protection hidden="1"/>
    </xf>
    <xf numFmtId="3" fontId="3" fillId="0" borderId="19" xfId="3" applyNumberFormat="1" applyFont="1" applyFill="1" applyBorder="1" applyAlignment="1" applyProtection="1">
      <alignment horizontal="center"/>
      <protection hidden="1"/>
    </xf>
    <xf numFmtId="3" fontId="3" fillId="0" borderId="19" xfId="119" applyNumberFormat="1" applyFont="1" applyBorder="1" applyProtection="1">
      <protection hidden="1"/>
    </xf>
    <xf numFmtId="3" fontId="3" fillId="0" borderId="9" xfId="119" applyNumberFormat="1" applyFont="1" applyBorder="1" applyProtection="1">
      <protection hidden="1"/>
    </xf>
    <xf numFmtId="0" fontId="34" fillId="0" borderId="12" xfId="26" applyFont="1" applyBorder="1" applyAlignment="1" applyProtection="1">
      <alignment vertical="center" wrapText="1"/>
      <protection hidden="1"/>
    </xf>
    <xf numFmtId="0" fontId="34" fillId="0" borderId="19" xfId="26" applyFont="1" applyBorder="1" applyAlignment="1" applyProtection="1">
      <alignment vertical="center" wrapText="1"/>
      <protection hidden="1"/>
    </xf>
    <xf numFmtId="171" fontId="34" fillId="0" borderId="19" xfId="26" applyNumberFormat="1" applyFont="1" applyBorder="1" applyAlignment="1" applyProtection="1">
      <alignment vertical="center" wrapText="1"/>
      <protection hidden="1"/>
    </xf>
    <xf numFmtId="164" fontId="34" fillId="0" borderId="19" xfId="26" applyNumberFormat="1" applyFont="1" applyBorder="1" applyAlignment="1" applyProtection="1">
      <alignment vertical="center" wrapText="1"/>
      <protection hidden="1"/>
    </xf>
    <xf numFmtId="164" fontId="28" fillId="21" borderId="43" xfId="2" applyNumberFormat="1" applyFont="1" applyFill="1" applyBorder="1" applyAlignment="1" applyProtection="1">
      <alignment horizontal="center"/>
      <protection hidden="1"/>
    </xf>
    <xf numFmtId="3" fontId="31" fillId="5" borderId="2" xfId="119" applyNumberFormat="1" applyFont="1" applyFill="1" applyBorder="1" applyAlignment="1" applyProtection="1">
      <alignment horizontal="center" vertical="center" wrapText="1"/>
      <protection hidden="1"/>
    </xf>
    <xf numFmtId="0" fontId="3" fillId="0" borderId="0" xfId="119" applyFont="1" applyAlignment="1" applyProtection="1">
      <alignment vertical="center"/>
      <protection hidden="1"/>
    </xf>
    <xf numFmtId="3" fontId="3" fillId="0" borderId="24" xfId="119" applyNumberFormat="1" applyFont="1" applyBorder="1" applyProtection="1">
      <protection hidden="1"/>
    </xf>
    <xf numFmtId="9" fontId="26" fillId="0" borderId="0" xfId="0" applyNumberFormat="1" applyFont="1" applyAlignment="1" applyProtection="1">
      <alignment horizontal="center"/>
      <protection hidden="1"/>
    </xf>
    <xf numFmtId="9" fontId="26" fillId="0" borderId="19" xfId="0" applyNumberFormat="1" applyFont="1" applyBorder="1" applyAlignment="1" applyProtection="1">
      <alignment horizontal="center"/>
      <protection hidden="1"/>
    </xf>
    <xf numFmtId="0" fontId="36" fillId="0" borderId="11" xfId="0" applyFont="1" applyBorder="1" applyProtection="1">
      <protection hidden="1"/>
    </xf>
    <xf numFmtId="0" fontId="41" fillId="0" borderId="0" xfId="0" applyFont="1" applyProtection="1">
      <protection hidden="1"/>
    </xf>
    <xf numFmtId="3" fontId="3" fillId="0" borderId="51" xfId="1" applyNumberFormat="1" applyFont="1" applyFill="1" applyBorder="1" applyAlignment="1" applyProtection="1">
      <alignment horizontal="center"/>
      <protection hidden="1"/>
    </xf>
    <xf numFmtId="164" fontId="3" fillId="0" borderId="51" xfId="119" applyNumberFormat="1" applyFont="1" applyBorder="1" applyAlignment="1" applyProtection="1">
      <alignment horizontal="center"/>
      <protection hidden="1"/>
    </xf>
    <xf numFmtId="164" fontId="28" fillId="0" borderId="27" xfId="2" applyNumberFormat="1" applyFont="1" applyFill="1" applyBorder="1" applyAlignment="1" applyProtection="1">
      <alignment horizontal="center"/>
      <protection hidden="1"/>
    </xf>
    <xf numFmtId="164" fontId="28" fillId="0" borderId="26" xfId="2" applyNumberFormat="1" applyFont="1" applyFill="1" applyBorder="1" applyAlignment="1" applyProtection="1">
      <alignment horizontal="center"/>
      <protection hidden="1"/>
    </xf>
    <xf numFmtId="0" fontId="36" fillId="0" borderId="9" xfId="0" applyFont="1" applyBorder="1" applyProtection="1">
      <protection hidden="1"/>
    </xf>
    <xf numFmtId="3" fontId="3" fillId="0" borderId="2" xfId="1" applyNumberFormat="1" applyFont="1" applyFill="1" applyBorder="1" applyAlignment="1" applyProtection="1">
      <alignment horizontal="center"/>
      <protection hidden="1"/>
    </xf>
    <xf numFmtId="164" fontId="3" fillId="0" borderId="2" xfId="119" applyNumberFormat="1" applyFont="1" applyBorder="1" applyAlignment="1" applyProtection="1">
      <alignment horizontal="center"/>
      <protection hidden="1"/>
    </xf>
    <xf numFmtId="172" fontId="3" fillId="0" borderId="2" xfId="1" applyNumberFormat="1" applyFont="1" applyFill="1" applyBorder="1" applyAlignment="1" applyProtection="1">
      <alignment horizontal="center"/>
      <protection hidden="1"/>
    </xf>
    <xf numFmtId="1" fontId="63" fillId="0" borderId="10" xfId="1" applyNumberFormat="1" applyFont="1" applyBorder="1" applyAlignment="1" applyProtection="1">
      <alignment horizontal="center" vertical="center" wrapText="1"/>
      <protection hidden="1"/>
    </xf>
    <xf numFmtId="1" fontId="63" fillId="0" borderId="0" xfId="1" applyNumberFormat="1" applyFont="1" applyBorder="1" applyAlignment="1" applyProtection="1">
      <alignment horizontal="center" vertical="center" wrapText="1"/>
      <protection hidden="1"/>
    </xf>
    <xf numFmtId="1" fontId="63" fillId="0" borderId="11" xfId="1" applyNumberFormat="1" applyFont="1" applyFill="1" applyBorder="1" applyAlignment="1" applyProtection="1">
      <alignment horizontal="center" vertical="center" wrapText="1"/>
      <protection hidden="1"/>
    </xf>
    <xf numFmtId="0" fontId="63" fillId="0" borderId="10" xfId="0" applyFont="1" applyBorder="1" applyAlignment="1" applyProtection="1">
      <alignment horizontal="center" vertical="center" wrapText="1"/>
      <protection hidden="1"/>
    </xf>
    <xf numFmtId="39" fontId="63" fillId="0" borderId="0" xfId="1" applyNumberFormat="1" applyFont="1" applyBorder="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39" fontId="63" fillId="0" borderId="11" xfId="1" applyNumberFormat="1" applyFont="1" applyBorder="1" applyAlignment="1" applyProtection="1">
      <alignment horizontal="center" vertical="center" wrapText="1"/>
      <protection hidden="1"/>
    </xf>
    <xf numFmtId="0" fontId="57" fillId="0" borderId="0" xfId="125" applyProtection="1">
      <protection hidden="1"/>
    </xf>
    <xf numFmtId="1" fontId="0" fillId="2" borderId="12" xfId="0" applyNumberFormat="1" applyFill="1" applyBorder="1" applyAlignment="1" applyProtection="1">
      <alignment horizontal="center"/>
      <protection hidden="1"/>
    </xf>
    <xf numFmtId="1" fontId="0" fillId="2" borderId="19" xfId="0" applyNumberFormat="1" applyFill="1" applyBorder="1" applyProtection="1">
      <protection hidden="1"/>
    </xf>
    <xf numFmtId="1" fontId="19" fillId="2" borderId="19" xfId="0" applyNumberFormat="1" applyFont="1" applyFill="1" applyBorder="1" applyProtection="1">
      <protection hidden="1"/>
    </xf>
    <xf numFmtId="1" fontId="0" fillId="2" borderId="9" xfId="0" applyNumberFormat="1" applyFill="1" applyBorder="1" applyAlignment="1" applyProtection="1">
      <alignment horizontal="center"/>
      <protection hidden="1"/>
    </xf>
    <xf numFmtId="1" fontId="0" fillId="2" borderId="19" xfId="0" applyNumberFormat="1" applyFill="1" applyBorder="1" applyAlignment="1" applyProtection="1">
      <alignment horizontal="center"/>
      <protection hidden="1"/>
    </xf>
    <xf numFmtId="1" fontId="0" fillId="0" borderId="9" xfId="0" applyNumberFormat="1" applyBorder="1" applyAlignment="1" applyProtection="1">
      <alignment horizontal="center"/>
      <protection hidden="1"/>
    </xf>
    <xf numFmtId="1" fontId="19" fillId="2" borderId="12" xfId="0" applyNumberFormat="1" applyFont="1" applyFill="1" applyBorder="1" applyAlignment="1" applyProtection="1">
      <alignment horizontal="center"/>
      <protection hidden="1"/>
    </xf>
    <xf numFmtId="1" fontId="63" fillId="0" borderId="0" xfId="0" applyNumberFormat="1" applyFont="1" applyAlignment="1" applyProtection="1">
      <alignment horizontal="center"/>
      <protection hidden="1"/>
    </xf>
    <xf numFmtId="169"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0" fontId="0" fillId="0" borderId="62" xfId="0" applyBorder="1" applyAlignment="1" applyProtection="1">
      <alignment horizontal="center"/>
      <protection hidden="1"/>
    </xf>
    <xf numFmtId="9" fontId="0" fillId="0" borderId="0" xfId="0" applyNumberFormat="1" applyAlignment="1" applyProtection="1">
      <alignment horizontal="center"/>
      <protection hidden="1"/>
    </xf>
    <xf numFmtId="0" fontId="19" fillId="0" borderId="11" xfId="0" applyFont="1" applyBorder="1" applyProtection="1">
      <protection hidden="1"/>
    </xf>
    <xf numFmtId="0" fontId="19" fillId="0" borderId="10" xfId="0" applyFont="1" applyBorder="1" applyAlignment="1" applyProtection="1">
      <alignment horizontal="left" vertical="center"/>
      <protection hidden="1"/>
    </xf>
    <xf numFmtId="10" fontId="19" fillId="2" borderId="0" xfId="0" applyNumberFormat="1" applyFont="1" applyFill="1" applyAlignment="1" applyProtection="1">
      <alignment horizontal="center" vertical="center"/>
      <protection hidden="1"/>
    </xf>
    <xf numFmtId="0" fontId="19" fillId="0" borderId="11" xfId="0" applyFont="1" applyBorder="1" applyAlignment="1" applyProtection="1">
      <alignment horizontal="left"/>
      <protection hidden="1"/>
    </xf>
    <xf numFmtId="0" fontId="19" fillId="18" borderId="10" xfId="0" applyFont="1" applyFill="1" applyBorder="1" applyProtection="1">
      <protection hidden="1"/>
    </xf>
    <xf numFmtId="3" fontId="0" fillId="18" borderId="0" xfId="0" applyNumberFormat="1" applyFill="1" applyAlignment="1" applyProtection="1">
      <alignment horizontal="center"/>
      <protection hidden="1"/>
    </xf>
    <xf numFmtId="0" fontId="63" fillId="0" borderId="56" xfId="0" applyFont="1" applyBorder="1" applyAlignment="1" applyProtection="1">
      <alignment horizontal="center"/>
      <protection hidden="1"/>
    </xf>
    <xf numFmtId="0" fontId="63" fillId="0" borderId="17" xfId="0" applyFont="1" applyBorder="1" applyAlignment="1" applyProtection="1">
      <alignment horizontal="left"/>
      <protection hidden="1"/>
    </xf>
    <xf numFmtId="0" fontId="0" fillId="0" borderId="18" xfId="0" applyBorder="1" applyProtection="1">
      <protection hidden="1"/>
    </xf>
    <xf numFmtId="3" fontId="0" fillId="0" borderId="15" xfId="0" applyNumberFormat="1" applyBorder="1" applyProtection="1">
      <protection hidden="1"/>
    </xf>
    <xf numFmtId="0" fontId="63" fillId="22" borderId="10" xfId="0" applyFont="1" applyFill="1" applyBorder="1" applyProtection="1">
      <protection hidden="1"/>
    </xf>
    <xf numFmtId="3" fontId="63" fillId="22" borderId="0" xfId="0" applyNumberFormat="1" applyFont="1" applyFill="1" applyAlignment="1" applyProtection="1">
      <alignment horizontal="center"/>
      <protection hidden="1"/>
    </xf>
    <xf numFmtId="0" fontId="19" fillId="22" borderId="12" xfId="0" applyFont="1" applyFill="1" applyBorder="1" applyProtection="1">
      <protection hidden="1"/>
    </xf>
    <xf numFmtId="0" fontId="0" fillId="0" borderId="9" xfId="0" applyBorder="1" applyAlignment="1" applyProtection="1">
      <alignment horizontal="center"/>
      <protection hidden="1"/>
    </xf>
    <xf numFmtId="0" fontId="19" fillId="15" borderId="52" xfId="0" applyFont="1" applyFill="1" applyBorder="1" applyProtection="1">
      <protection hidden="1"/>
    </xf>
    <xf numFmtId="10" fontId="0" fillId="15" borderId="59" xfId="121" applyNumberFormat="1" applyFont="1" applyFill="1" applyBorder="1" applyProtection="1">
      <protection hidden="1"/>
    </xf>
    <xf numFmtId="1" fontId="19" fillId="0" borderId="0" xfId="0" applyNumberFormat="1" applyFont="1" applyAlignment="1" applyProtection="1">
      <alignment horizontal="left"/>
      <protection hidden="1"/>
    </xf>
    <xf numFmtId="0" fontId="28" fillId="0" borderId="2" xfId="119" applyFont="1" applyBorder="1" applyAlignment="1" applyProtection="1">
      <alignment horizontal="center"/>
      <protection hidden="1"/>
    </xf>
    <xf numFmtId="0" fontId="14" fillId="0" borderId="2" xfId="119" applyBorder="1" applyAlignment="1" applyProtection="1">
      <alignment horizontal="center"/>
      <protection hidden="1"/>
    </xf>
    <xf numFmtId="3" fontId="14" fillId="0" borderId="2" xfId="119" applyNumberFormat="1" applyBorder="1" applyAlignment="1" applyProtection="1">
      <alignment horizontal="center" vertical="center"/>
      <protection hidden="1"/>
    </xf>
    <xf numFmtId="3" fontId="3" fillId="0" borderId="2" xfId="119" applyNumberFormat="1" applyFont="1" applyBorder="1" applyAlignment="1" applyProtection="1">
      <alignment horizontal="center" vertical="center"/>
      <protection hidden="1"/>
    </xf>
    <xf numFmtId="0" fontId="55" fillId="0" borderId="0" xfId="125" applyFont="1" applyAlignment="1" applyProtection="1">
      <alignment vertical="center"/>
      <protection hidden="1"/>
    </xf>
    <xf numFmtId="0" fontId="27" fillId="0" borderId="0" xfId="0" applyFont="1" applyAlignment="1" applyProtection="1">
      <alignment horizontal="left" vertical="center"/>
      <protection hidden="1"/>
    </xf>
    <xf numFmtId="0" fontId="50" fillId="0" borderId="0" xfId="0" applyFont="1" applyProtection="1">
      <protection hidden="1"/>
    </xf>
    <xf numFmtId="0" fontId="50" fillId="0" borderId="0" xfId="119" applyFont="1" applyProtection="1">
      <protection hidden="1"/>
    </xf>
    <xf numFmtId="0" fontId="26" fillId="0" borderId="7" xfId="0" applyFont="1" applyBorder="1" applyAlignment="1" applyProtection="1">
      <alignment vertical="center" wrapText="1"/>
      <protection hidden="1"/>
    </xf>
    <xf numFmtId="0" fontId="26" fillId="0" borderId="7" xfId="0" applyFont="1" applyBorder="1" applyAlignment="1" applyProtection="1">
      <alignment horizontal="center" vertical="center"/>
      <protection hidden="1"/>
    </xf>
    <xf numFmtId="10" fontId="26" fillId="0" borderId="2" xfId="3" applyNumberFormat="1" applyFont="1" applyBorder="1" applyAlignment="1" applyProtection="1">
      <alignment horizontal="center" vertical="center"/>
      <protection hidden="1"/>
    </xf>
    <xf numFmtId="0" fontId="26" fillId="0" borderId="0" xfId="0" applyFont="1" applyAlignment="1" applyProtection="1">
      <alignment vertical="center" wrapText="1"/>
      <protection hidden="1"/>
    </xf>
    <xf numFmtId="0" fontId="26" fillId="0" borderId="0" xfId="0" applyFont="1" applyAlignment="1" applyProtection="1">
      <alignment horizontal="center" vertical="center"/>
      <protection hidden="1"/>
    </xf>
    <xf numFmtId="10" fontId="26" fillId="0" borderId="0" xfId="3" applyNumberFormat="1" applyFont="1" applyBorder="1" applyAlignment="1" applyProtection="1">
      <alignment horizontal="center" vertical="center"/>
      <protection hidden="1"/>
    </xf>
    <xf numFmtId="0" fontId="28" fillId="0" borderId="0" xfId="0" applyFont="1" applyProtection="1">
      <protection hidden="1"/>
    </xf>
    <xf numFmtId="0" fontId="26" fillId="2" borderId="0" xfId="0" applyFont="1" applyFill="1" applyAlignment="1" applyProtection="1">
      <alignment horizontal="left" vertical="center"/>
      <protection hidden="1"/>
    </xf>
    <xf numFmtId="9" fontId="26" fillId="0" borderId="0" xfId="0" applyNumberFormat="1" applyFont="1" applyAlignment="1" applyProtection="1">
      <alignment horizontal="center"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wrapText="1"/>
      <protection hidden="1"/>
    </xf>
    <xf numFmtId="0" fontId="28" fillId="2" borderId="0" xfId="119" applyFont="1" applyFill="1" applyAlignment="1" applyProtection="1">
      <alignment horizontal="center" wrapText="1"/>
      <protection hidden="1"/>
    </xf>
    <xf numFmtId="3" fontId="0" fillId="2" borderId="2" xfId="0" applyNumberFormat="1" applyFill="1" applyBorder="1" applyAlignment="1" applyProtection="1">
      <alignment horizontal="center"/>
      <protection hidden="1"/>
    </xf>
    <xf numFmtId="0" fontId="26" fillId="0" borderId="0" xfId="0" applyFont="1" applyAlignment="1" applyProtection="1">
      <alignment vertical="center"/>
      <protection hidden="1"/>
    </xf>
    <xf numFmtId="0" fontId="55" fillId="0" borderId="0" xfId="125" applyFont="1" applyFill="1" applyAlignment="1" applyProtection="1">
      <alignment vertical="center"/>
      <protection hidden="1"/>
    </xf>
    <xf numFmtId="0" fontId="26" fillId="0" borderId="71" xfId="0" applyFont="1" applyBorder="1" applyProtection="1">
      <protection hidden="1"/>
    </xf>
    <xf numFmtId="0" fontId="26" fillId="0" borderId="72" xfId="0" applyFont="1" applyBorder="1" applyProtection="1">
      <protection hidden="1"/>
    </xf>
    <xf numFmtId="0" fontId="26" fillId="0" borderId="73" xfId="0" applyFont="1" applyBorder="1" applyProtection="1">
      <protection hidden="1"/>
    </xf>
    <xf numFmtId="0" fontId="26" fillId="0" borderId="68" xfId="0" applyFont="1" applyBorder="1" applyProtection="1">
      <protection hidden="1"/>
    </xf>
    <xf numFmtId="169" fontId="26" fillId="0" borderId="74" xfId="0" applyNumberFormat="1" applyFont="1" applyBorder="1" applyProtection="1">
      <protection hidden="1"/>
    </xf>
    <xf numFmtId="169" fontId="26" fillId="0" borderId="69" xfId="0" applyNumberFormat="1" applyFont="1" applyBorder="1" applyProtection="1">
      <protection hidden="1"/>
    </xf>
    <xf numFmtId="0" fontId="28" fillId="0" borderId="0" xfId="137" applyFont="1" applyProtection="1">
      <protection hidden="1"/>
    </xf>
    <xf numFmtId="0" fontId="26" fillId="0" borderId="2" xfId="0" applyFont="1" applyBorder="1" applyAlignment="1" applyProtection="1">
      <alignment horizontal="left"/>
      <protection hidden="1"/>
    </xf>
    <xf numFmtId="4" fontId="26" fillId="2" borderId="2" xfId="0" applyNumberFormat="1" applyFont="1" applyFill="1" applyBorder="1" applyAlignment="1" applyProtection="1">
      <alignment horizontal="center"/>
      <protection hidden="1"/>
    </xf>
    <xf numFmtId="166" fontId="26" fillId="0" borderId="2" xfId="1" applyNumberFormat="1" applyFont="1" applyBorder="1" applyAlignment="1" applyProtection="1">
      <alignment horizontal="center"/>
      <protection hidden="1"/>
    </xf>
    <xf numFmtId="10" fontId="3" fillId="0" borderId="2" xfId="3" applyNumberFormat="1" applyFont="1" applyBorder="1" applyAlignment="1" applyProtection="1">
      <alignment horizontal="center" vertical="center"/>
      <protection hidden="1"/>
    </xf>
    <xf numFmtId="0" fontId="26" fillId="0" borderId="2" xfId="0" applyFont="1" applyBorder="1" applyAlignment="1" applyProtection="1">
      <alignment wrapText="1"/>
      <protection hidden="1"/>
    </xf>
    <xf numFmtId="9" fontId="26" fillId="2" borderId="2" xfId="3" applyFont="1" applyFill="1" applyBorder="1" applyAlignment="1" applyProtection="1">
      <alignment horizontal="center"/>
      <protection hidden="1"/>
    </xf>
    <xf numFmtId="169" fontId="26" fillId="2" borderId="2" xfId="3" applyNumberFormat="1" applyFont="1" applyFill="1" applyBorder="1" applyAlignment="1" applyProtection="1">
      <alignment horizontal="center"/>
      <protection hidden="1"/>
    </xf>
    <xf numFmtId="169" fontId="26" fillId="0" borderId="0" xfId="3" applyNumberFormat="1" applyFont="1" applyFill="1" applyBorder="1" applyAlignment="1" applyProtection="1">
      <alignment horizontal="center"/>
      <protection hidden="1"/>
    </xf>
    <xf numFmtId="1" fontId="19" fillId="0" borderId="2" xfId="0" applyNumberFormat="1" applyFont="1" applyBorder="1" applyAlignment="1" applyProtection="1">
      <alignment horizontal="center"/>
      <protection hidden="1"/>
    </xf>
    <xf numFmtId="0" fontId="0" fillId="2" borderId="2" xfId="0" applyFill="1" applyBorder="1" applyProtection="1">
      <protection hidden="1"/>
    </xf>
    <xf numFmtId="167" fontId="0" fillId="16" borderId="2" xfId="0" applyNumberFormat="1" applyFill="1" applyBorder="1" applyAlignment="1" applyProtection="1">
      <alignment horizontal="center"/>
      <protection hidden="1"/>
    </xf>
    <xf numFmtId="0" fontId="41" fillId="21" borderId="0" xfId="0" applyFont="1" applyFill="1" applyAlignment="1" applyProtection="1">
      <alignment vertical="center" wrapText="1"/>
      <protection hidden="1"/>
    </xf>
    <xf numFmtId="0" fontId="31" fillId="5" borderId="111" xfId="119" applyFont="1" applyFill="1" applyBorder="1" applyAlignment="1" applyProtection="1">
      <alignment horizontal="center" vertical="center" wrapText="1"/>
      <protection hidden="1"/>
    </xf>
    <xf numFmtId="0" fontId="31" fillId="5" borderId="109" xfId="119" applyFont="1" applyFill="1" applyBorder="1" applyAlignment="1" applyProtection="1">
      <alignment horizontal="center" vertical="center"/>
      <protection hidden="1"/>
    </xf>
    <xf numFmtId="0" fontId="3" fillId="0" borderId="10" xfId="119" applyFont="1" applyBorder="1" applyAlignment="1" applyProtection="1">
      <alignment horizontal="left" vertical="center" wrapText="1"/>
      <protection hidden="1"/>
    </xf>
    <xf numFmtId="0" fontId="26" fillId="2" borderId="0" xfId="0" applyFont="1" applyFill="1" applyAlignment="1" applyProtection="1">
      <alignment horizontal="left" vertical="center" wrapText="1"/>
      <protection hidden="1"/>
    </xf>
    <xf numFmtId="165" fontId="36" fillId="0" borderId="0" xfId="0" applyNumberFormat="1" applyFont="1" applyAlignment="1" applyProtection="1">
      <alignment horizontal="center" vertical="center"/>
      <protection hidden="1"/>
    </xf>
    <xf numFmtId="3" fontId="3" fillId="0" borderId="12" xfId="119" applyNumberFormat="1" applyFont="1" applyBorder="1" applyAlignment="1" applyProtection="1">
      <alignment vertical="center" wrapText="1"/>
      <protection hidden="1"/>
    </xf>
    <xf numFmtId="4" fontId="3" fillId="0" borderId="19" xfId="3" applyNumberFormat="1" applyFont="1" applyFill="1" applyBorder="1" applyAlignment="1" applyProtection="1">
      <alignment horizontal="center"/>
      <protection hidden="1"/>
    </xf>
    <xf numFmtId="3" fontId="3" fillId="0" borderId="0" xfId="119" applyNumberFormat="1" applyFont="1" applyAlignment="1" applyProtection="1">
      <alignment vertical="center" wrapText="1"/>
      <protection hidden="1"/>
    </xf>
    <xf numFmtId="0" fontId="125" fillId="0" borderId="123" xfId="0" applyFont="1" applyBorder="1" applyAlignment="1" applyProtection="1">
      <alignment vertical="center" wrapText="1"/>
      <protection hidden="1"/>
    </xf>
    <xf numFmtId="0" fontId="126" fillId="0" borderId="123" xfId="0" applyFont="1" applyBorder="1" applyAlignment="1" applyProtection="1">
      <alignment vertical="center" wrapText="1"/>
      <protection hidden="1"/>
    </xf>
    <xf numFmtId="0" fontId="34" fillId="0" borderId="19" xfId="26" applyFont="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31" fillId="5" borderId="112" xfId="119" applyFont="1" applyFill="1" applyBorder="1" applyAlignment="1" applyProtection="1">
      <alignment horizontal="center" vertical="center" wrapText="1"/>
      <protection hidden="1"/>
    </xf>
    <xf numFmtId="0" fontId="31" fillId="5" borderId="103" xfId="119" applyFont="1" applyFill="1" applyBorder="1" applyAlignment="1" applyProtection="1">
      <alignment horizontal="center" vertical="center"/>
      <protection hidden="1"/>
    </xf>
    <xf numFmtId="0" fontId="3" fillId="0" borderId="114" xfId="119" applyFont="1" applyBorder="1" applyProtection="1">
      <protection hidden="1"/>
    </xf>
    <xf numFmtId="0" fontId="31" fillId="0" borderId="108" xfId="119" applyFont="1" applyBorder="1" applyAlignment="1" applyProtection="1">
      <alignment horizontal="center" vertical="center"/>
      <protection hidden="1"/>
    </xf>
    <xf numFmtId="0" fontId="10" fillId="0" borderId="114" xfId="141" applyBorder="1" applyAlignment="1" applyProtection="1">
      <alignment wrapText="1"/>
      <protection hidden="1"/>
    </xf>
    <xf numFmtId="0" fontId="10" fillId="0" borderId="0" xfId="141" applyAlignment="1" applyProtection="1">
      <alignment horizontal="center"/>
      <protection hidden="1"/>
    </xf>
    <xf numFmtId="0" fontId="26" fillId="0" borderId="0" xfId="63" applyFont="1" applyProtection="1">
      <protection hidden="1"/>
    </xf>
    <xf numFmtId="3" fontId="28" fillId="0" borderId="112" xfId="119" applyNumberFormat="1" applyFont="1" applyBorder="1" applyAlignment="1" applyProtection="1">
      <alignment horizontal="center" vertical="center" wrapText="1"/>
      <protection hidden="1"/>
    </xf>
    <xf numFmtId="4" fontId="3" fillId="0" borderId="103" xfId="3" applyNumberFormat="1" applyFont="1" applyFill="1" applyBorder="1" applyAlignment="1" applyProtection="1">
      <alignment horizontal="center"/>
      <protection hidden="1"/>
    </xf>
    <xf numFmtId="0" fontId="26" fillId="0" borderId="103" xfId="0" applyFont="1" applyBorder="1" applyProtection="1">
      <protection hidden="1"/>
    </xf>
    <xf numFmtId="0" fontId="36" fillId="0" borderId="113" xfId="0" applyFont="1" applyBorder="1" applyProtection="1">
      <protection hidden="1"/>
    </xf>
    <xf numFmtId="171" fontId="3" fillId="0" borderId="0" xfId="3" applyNumberFormat="1" applyFont="1" applyFill="1" applyBorder="1" applyAlignment="1" applyProtection="1">
      <alignment horizontal="center"/>
      <protection hidden="1"/>
    </xf>
    <xf numFmtId="171" fontId="131" fillId="0" borderId="0" xfId="3" applyNumberFormat="1" applyFont="1" applyFill="1" applyBorder="1" applyAlignment="1" applyProtection="1">
      <alignment horizontal="left"/>
      <protection hidden="1"/>
    </xf>
    <xf numFmtId="171" fontId="3" fillId="0" borderId="108" xfId="3" quotePrefix="1" applyNumberFormat="1" applyFont="1" applyFill="1" applyBorder="1" applyAlignment="1" applyProtection="1">
      <alignment horizontal="center"/>
      <protection hidden="1"/>
    </xf>
    <xf numFmtId="0" fontId="3" fillId="0" borderId="115" xfId="119" applyFont="1" applyBorder="1" applyAlignment="1" applyProtection="1">
      <alignment vertical="center" wrapText="1"/>
      <protection hidden="1"/>
    </xf>
    <xf numFmtId="171" fontId="3" fillId="2" borderId="116" xfId="3" applyNumberFormat="1" applyFont="1" applyFill="1" applyBorder="1" applyAlignment="1" applyProtection="1">
      <alignment horizontal="center"/>
      <protection hidden="1"/>
    </xf>
    <xf numFmtId="171" fontId="3" fillId="0" borderId="116" xfId="3" applyNumberFormat="1" applyFont="1" applyFill="1" applyBorder="1" applyAlignment="1" applyProtection="1">
      <alignment horizontal="left"/>
      <protection hidden="1"/>
    </xf>
    <xf numFmtId="171" fontId="3" fillId="0" borderId="117" xfId="3" applyNumberFormat="1" applyFont="1" applyFill="1" applyBorder="1" applyAlignment="1" applyProtection="1">
      <alignment horizontal="center"/>
      <protection hidden="1"/>
    </xf>
    <xf numFmtId="179" fontId="3" fillId="0" borderId="0" xfId="3" applyNumberFormat="1" applyFont="1" applyFill="1" applyBorder="1" applyAlignment="1" applyProtection="1">
      <alignment horizontal="center"/>
      <protection hidden="1"/>
    </xf>
    <xf numFmtId="165" fontId="3" fillId="0" borderId="116" xfId="3" applyNumberFormat="1" applyFont="1" applyFill="1" applyBorder="1" applyAlignment="1" applyProtection="1">
      <alignment horizontal="center"/>
      <protection hidden="1"/>
    </xf>
    <xf numFmtId="0" fontId="26" fillId="0" borderId="116" xfId="0" applyFont="1" applyBorder="1" applyProtection="1">
      <protection hidden="1"/>
    </xf>
    <xf numFmtId="3" fontId="3" fillId="0" borderId="117" xfId="119" applyNumberFormat="1" applyFont="1" applyBorder="1" applyProtection="1">
      <protection hidden="1"/>
    </xf>
    <xf numFmtId="0" fontId="126" fillId="0" borderId="0" xfId="0" applyFont="1" applyProtection="1">
      <protection hidden="1"/>
    </xf>
    <xf numFmtId="0" fontId="81" fillId="0" borderId="0" xfId="0" applyFont="1" applyAlignment="1" applyProtection="1">
      <alignment vertical="center"/>
      <protection hidden="1"/>
    </xf>
    <xf numFmtId="0" fontId="112" fillId="0" borderId="0" xfId="0" applyFont="1" applyProtection="1">
      <protection hidden="1"/>
    </xf>
    <xf numFmtId="0" fontId="113" fillId="0" borderId="0" xfId="0" applyFont="1" applyAlignment="1" applyProtection="1">
      <alignment vertical="center"/>
      <protection hidden="1"/>
    </xf>
    <xf numFmtId="0" fontId="31" fillId="17" borderId="2" xfId="112" applyFont="1" applyFill="1" applyBorder="1" applyProtection="1">
      <protection hidden="1"/>
    </xf>
    <xf numFmtId="0" fontId="31" fillId="17" borderId="2" xfId="112" applyFont="1" applyFill="1" applyBorder="1" applyAlignment="1" applyProtection="1">
      <alignment horizontal="center"/>
      <protection hidden="1"/>
    </xf>
    <xf numFmtId="167" fontId="50" fillId="0" borderId="0" xfId="112" applyNumberFormat="1" applyFont="1" applyProtection="1">
      <protection locked="0" hidden="1"/>
    </xf>
    <xf numFmtId="0" fontId="28" fillId="21" borderId="0" xfId="0" applyFont="1" applyFill="1" applyAlignment="1" applyProtection="1">
      <alignment vertical="center"/>
      <protection hidden="1"/>
    </xf>
    <xf numFmtId="0" fontId="26" fillId="2" borderId="12" xfId="0" applyFont="1" applyFill="1" applyBorder="1" applyProtection="1">
      <protection hidden="1"/>
    </xf>
    <xf numFmtId="0" fontId="52" fillId="0" borderId="19" xfId="0" applyFont="1" applyBorder="1" applyProtection="1">
      <protection hidden="1"/>
    </xf>
    <xf numFmtId="0" fontId="26" fillId="0" borderId="19" xfId="0" applyFont="1" applyBorder="1" applyAlignment="1" applyProtection="1">
      <alignment horizontal="center"/>
      <protection hidden="1"/>
    </xf>
    <xf numFmtId="0" fontId="26" fillId="0" borderId="9" xfId="0" applyFont="1" applyBorder="1" applyAlignment="1" applyProtection="1">
      <alignment horizontal="center"/>
      <protection hidden="1"/>
    </xf>
    <xf numFmtId="0" fontId="107" fillId="0" borderId="0" xfId="0" applyFont="1" applyProtection="1">
      <protection hidden="1"/>
    </xf>
    <xf numFmtId="0" fontId="108" fillId="0" borderId="0" xfId="0" applyFont="1" applyProtection="1">
      <protection hidden="1"/>
    </xf>
    <xf numFmtId="0" fontId="109" fillId="0" borderId="0" xfId="0" applyFont="1" applyProtection="1">
      <protection hidden="1"/>
    </xf>
    <xf numFmtId="0" fontId="85" fillId="0" borderId="0" xfId="0" applyFont="1" applyAlignment="1" applyProtection="1">
      <alignment horizontal="center" wrapText="1"/>
      <protection hidden="1"/>
    </xf>
    <xf numFmtId="165" fontId="26" fillId="0" borderId="0" xfId="0" applyNumberFormat="1" applyFont="1" applyProtection="1">
      <protection hidden="1"/>
    </xf>
    <xf numFmtId="0" fontId="85" fillId="0" borderId="0" xfId="0" applyFont="1" applyProtection="1">
      <protection hidden="1"/>
    </xf>
    <xf numFmtId="0" fontId="31" fillId="5" borderId="75" xfId="119" applyFont="1" applyFill="1" applyBorder="1" applyAlignment="1" applyProtection="1">
      <alignment horizontal="center" vertical="center"/>
      <protection hidden="1"/>
    </xf>
    <xf numFmtId="0" fontId="31" fillId="5" borderId="54" xfId="119" applyFont="1" applyFill="1" applyBorder="1" applyAlignment="1" applyProtection="1">
      <alignment horizontal="center" vertical="center"/>
      <protection hidden="1"/>
    </xf>
    <xf numFmtId="0" fontId="3" fillId="0" borderId="58" xfId="119" applyFont="1" applyBorder="1" applyProtection="1">
      <protection hidden="1"/>
    </xf>
    <xf numFmtId="0" fontId="3" fillId="0" borderId="61" xfId="119" applyFont="1" applyBorder="1" applyAlignment="1" applyProtection="1">
      <alignment horizontal="center"/>
      <protection hidden="1"/>
    </xf>
    <xf numFmtId="0" fontId="3" fillId="0" borderId="61" xfId="119" applyFont="1" applyBorder="1" applyProtection="1">
      <protection hidden="1"/>
    </xf>
    <xf numFmtId="0" fontId="31" fillId="0" borderId="62" xfId="119" applyFont="1" applyBorder="1" applyAlignment="1" applyProtection="1">
      <alignment horizontal="center" vertical="center"/>
      <protection hidden="1"/>
    </xf>
    <xf numFmtId="10" fontId="3" fillId="2" borderId="19" xfId="119" applyNumberFormat="1" applyFont="1" applyFill="1" applyBorder="1" applyAlignment="1" applyProtection="1">
      <alignment horizontal="center"/>
      <protection hidden="1"/>
    </xf>
    <xf numFmtId="0" fontId="26" fillId="2" borderId="19" xfId="0" applyFont="1" applyFill="1" applyBorder="1" applyAlignment="1" applyProtection="1">
      <alignment horizontal="center"/>
      <protection hidden="1"/>
    </xf>
    <xf numFmtId="0" fontId="28" fillId="21" borderId="0" xfId="119" applyFont="1" applyFill="1" applyAlignment="1" applyProtection="1">
      <alignment horizontal="center" vertical="center" wrapText="1"/>
      <protection hidden="1"/>
    </xf>
    <xf numFmtId="0" fontId="31" fillId="5" borderId="2" xfId="119" applyFont="1" applyFill="1" applyBorder="1" applyAlignment="1" applyProtection="1">
      <alignment horizontal="center" vertical="center"/>
      <protection hidden="1"/>
    </xf>
    <xf numFmtId="0" fontId="3" fillId="2" borderId="0" xfId="119" applyFont="1" applyFill="1" applyProtection="1">
      <protection hidden="1"/>
    </xf>
    <xf numFmtId="0" fontId="34" fillId="0" borderId="41" xfId="26" applyFont="1" applyBorder="1" applyAlignment="1" applyProtection="1">
      <alignment vertical="center" wrapText="1"/>
      <protection hidden="1"/>
    </xf>
    <xf numFmtId="0" fontId="34" fillId="0" borderId="42" xfId="26" applyFont="1" applyBorder="1" applyAlignment="1" applyProtection="1">
      <alignment vertical="center" wrapText="1"/>
      <protection hidden="1"/>
    </xf>
    <xf numFmtId="165" fontId="28" fillId="20" borderId="43" xfId="2" applyNumberFormat="1" applyFont="1" applyFill="1" applyBorder="1" applyAlignment="1" applyProtection="1">
      <alignment horizontal="center"/>
      <protection hidden="1"/>
    </xf>
    <xf numFmtId="164" fontId="28" fillId="6" borderId="43" xfId="26" applyNumberFormat="1" applyFont="1" applyFill="1" applyBorder="1" applyAlignment="1" applyProtection="1">
      <alignment horizontal="center" vertical="center"/>
      <protection hidden="1"/>
    </xf>
    <xf numFmtId="164" fontId="28" fillId="6" borderId="44" xfId="26" applyNumberFormat="1" applyFont="1" applyFill="1" applyBorder="1" applyAlignment="1" applyProtection="1">
      <alignment horizontal="center" vertical="center"/>
      <protection hidden="1"/>
    </xf>
    <xf numFmtId="0" fontId="26" fillId="24" borderId="12" xfId="0" applyFont="1" applyFill="1" applyBorder="1" applyAlignment="1" applyProtection="1">
      <alignment horizontal="center"/>
      <protection hidden="1"/>
    </xf>
    <xf numFmtId="164" fontId="26" fillId="24" borderId="12" xfId="0" applyNumberFormat="1" applyFont="1" applyFill="1" applyBorder="1" applyAlignment="1" applyProtection="1">
      <alignment horizontal="center"/>
      <protection hidden="1"/>
    </xf>
    <xf numFmtId="164" fontId="26" fillId="24" borderId="9" xfId="0" applyNumberFormat="1" applyFont="1" applyFill="1" applyBorder="1" applyAlignment="1" applyProtection="1">
      <alignment horizontal="center"/>
      <protection hidden="1"/>
    </xf>
    <xf numFmtId="164" fontId="26" fillId="24" borderId="19" xfId="0" applyNumberFormat="1" applyFont="1" applyFill="1" applyBorder="1" applyAlignment="1" applyProtection="1">
      <alignment horizontal="center"/>
      <protection hidden="1"/>
    </xf>
    <xf numFmtId="0" fontId="27" fillId="0" borderId="2" xfId="0" applyFont="1" applyBorder="1" applyProtection="1">
      <protection hidden="1"/>
    </xf>
    <xf numFmtId="0" fontId="27" fillId="0" borderId="2" xfId="0" applyFont="1" applyBorder="1" applyAlignment="1" applyProtection="1">
      <alignment horizontal="center"/>
      <protection hidden="1"/>
    </xf>
    <xf numFmtId="0" fontId="27" fillId="0" borderId="2" xfId="0" applyFont="1" applyBorder="1" applyAlignment="1" applyProtection="1">
      <alignment horizontal="center" vertical="center" wrapText="1"/>
      <protection hidden="1"/>
    </xf>
    <xf numFmtId="0" fontId="26" fillId="0" borderId="2" xfId="0" applyFont="1" applyBorder="1" applyAlignment="1" applyProtection="1">
      <alignment horizontal="right" vertical="center"/>
      <protection hidden="1"/>
    </xf>
    <xf numFmtId="164" fontId="26" fillId="0" borderId="2" xfId="0" applyNumberFormat="1" applyFont="1" applyBorder="1" applyAlignment="1" applyProtection="1">
      <alignment horizontal="center"/>
      <protection hidden="1"/>
    </xf>
    <xf numFmtId="0" fontId="27" fillId="24" borderId="2" xfId="0" applyFont="1" applyFill="1" applyBorder="1" applyAlignment="1" applyProtection="1">
      <alignment horizontal="right"/>
      <protection hidden="1"/>
    </xf>
    <xf numFmtId="164" fontId="27" fillId="24" borderId="2" xfId="0" applyNumberFormat="1" applyFont="1" applyFill="1" applyBorder="1" applyAlignment="1" applyProtection="1">
      <alignment horizontal="center"/>
      <protection hidden="1"/>
    </xf>
    <xf numFmtId="0" fontId="49" fillId="0" borderId="0" xfId="0" applyFont="1" applyProtection="1">
      <protection hidden="1"/>
    </xf>
    <xf numFmtId="0" fontId="26" fillId="0" borderId="8" xfId="0" applyFont="1" applyBorder="1" applyAlignment="1" applyProtection="1">
      <alignment horizontal="right" vertical="center"/>
      <protection hidden="1"/>
    </xf>
    <xf numFmtId="164" fontId="26" fillId="0" borderId="8" xfId="0" applyNumberFormat="1" applyFont="1" applyBorder="1" applyAlignment="1" applyProtection="1">
      <alignment horizontal="center"/>
      <protection hidden="1"/>
    </xf>
    <xf numFmtId="164" fontId="39" fillId="0" borderId="0" xfId="0" applyNumberFormat="1" applyFont="1" applyAlignment="1" applyProtection="1">
      <alignment horizontal="center" vertical="center"/>
      <protection hidden="1"/>
    </xf>
    <xf numFmtId="168" fontId="39" fillId="0" borderId="0" xfId="0" applyNumberFormat="1" applyFont="1" applyAlignment="1" applyProtection="1">
      <alignment horizontal="center" vertical="center"/>
      <protection hidden="1"/>
    </xf>
    <xf numFmtId="0" fontId="31" fillId="0" borderId="0" xfId="119" applyFont="1" applyAlignment="1" applyProtection="1">
      <alignment horizontal="center" vertical="center"/>
      <protection hidden="1"/>
    </xf>
    <xf numFmtId="10" fontId="3" fillId="0" borderId="0" xfId="3" applyNumberFormat="1" applyFont="1" applyFill="1" applyBorder="1" applyAlignment="1" applyProtection="1">
      <alignment horizontal="center" vertical="center"/>
      <protection hidden="1"/>
    </xf>
    <xf numFmtId="0" fontId="31" fillId="5" borderId="58" xfId="119" applyFont="1" applyFill="1" applyBorder="1" applyAlignment="1" applyProtection="1">
      <alignment vertical="center"/>
      <protection hidden="1"/>
    </xf>
    <xf numFmtId="164" fontId="26" fillId="2" borderId="0" xfId="0" applyNumberFormat="1" applyFont="1" applyFill="1" applyProtection="1">
      <protection hidden="1"/>
    </xf>
    <xf numFmtId="1" fontId="26" fillId="2" borderId="0" xfId="0" applyNumberFormat="1" applyFont="1" applyFill="1" applyAlignment="1" applyProtection="1">
      <alignment horizontal="center"/>
      <protection hidden="1"/>
    </xf>
    <xf numFmtId="1" fontId="26" fillId="2" borderId="11" xfId="0" applyNumberFormat="1" applyFont="1" applyFill="1" applyBorder="1" applyAlignment="1" applyProtection="1">
      <alignment horizontal="left"/>
      <protection hidden="1"/>
    </xf>
    <xf numFmtId="164" fontId="26" fillId="2" borderId="19" xfId="0" applyNumberFormat="1" applyFont="1" applyFill="1" applyBorder="1" applyProtection="1">
      <protection hidden="1"/>
    </xf>
    <xf numFmtId="1" fontId="26" fillId="2" borderId="19" xfId="0" applyNumberFormat="1" applyFont="1" applyFill="1" applyBorder="1" applyAlignment="1" applyProtection="1">
      <alignment horizontal="center"/>
      <protection hidden="1"/>
    </xf>
    <xf numFmtId="1" fontId="26" fillId="2" borderId="9" xfId="0" applyNumberFormat="1" applyFont="1" applyFill="1" applyBorder="1" applyAlignment="1" applyProtection="1">
      <alignment horizontal="left"/>
      <protection hidden="1"/>
    </xf>
    <xf numFmtId="0" fontId="27" fillId="0" borderId="33" xfId="0" applyFont="1" applyBorder="1" applyProtection="1">
      <protection hidden="1"/>
    </xf>
    <xf numFmtId="164" fontId="26" fillId="0" borderId="21" xfId="0" applyNumberFormat="1" applyFont="1" applyBorder="1" applyAlignment="1" applyProtection="1">
      <alignment horizontal="center"/>
      <protection hidden="1"/>
    </xf>
    <xf numFmtId="164" fontId="26" fillId="0" borderId="60" xfId="0" applyNumberFormat="1" applyFont="1" applyBorder="1" applyAlignment="1" applyProtection="1">
      <alignment horizontal="center"/>
      <protection hidden="1"/>
    </xf>
    <xf numFmtId="164" fontId="26" fillId="0" borderId="22" xfId="0" applyNumberFormat="1" applyFont="1" applyBorder="1" applyAlignment="1" applyProtection="1">
      <alignment horizontal="center"/>
      <protection hidden="1"/>
    </xf>
    <xf numFmtId="0" fontId="27" fillId="0" borderId="35" xfId="0" applyFont="1" applyBorder="1" applyProtection="1">
      <protection hidden="1"/>
    </xf>
    <xf numFmtId="164" fontId="26" fillId="0" borderId="12" xfId="0" applyNumberFormat="1" applyFont="1" applyBorder="1" applyAlignment="1" applyProtection="1">
      <alignment horizontal="center"/>
      <protection hidden="1"/>
    </xf>
    <xf numFmtId="164" fontId="26" fillId="0" borderId="19" xfId="0" applyNumberFormat="1" applyFont="1" applyBorder="1" applyAlignment="1" applyProtection="1">
      <alignment horizontal="center"/>
      <protection hidden="1"/>
    </xf>
    <xf numFmtId="164" fontId="26" fillId="0" borderId="9" xfId="0" applyNumberFormat="1" applyFont="1" applyBorder="1" applyAlignment="1" applyProtection="1">
      <alignment horizontal="center"/>
      <protection hidden="1"/>
    </xf>
    <xf numFmtId="8" fontId="26" fillId="0" borderId="0" xfId="0" applyNumberFormat="1" applyFont="1" applyProtection="1">
      <protection hidden="1"/>
    </xf>
    <xf numFmtId="1" fontId="26" fillId="0" borderId="0" xfId="0" applyNumberFormat="1" applyFont="1" applyProtection="1">
      <protection hidden="1"/>
    </xf>
    <xf numFmtId="164" fontId="39" fillId="0" borderId="7" xfId="2" applyNumberFormat="1" applyFont="1" applyBorder="1" applyAlignment="1" applyProtection="1">
      <alignment horizontal="center" vertical="center"/>
      <protection hidden="1"/>
    </xf>
    <xf numFmtId="164" fontId="66" fillId="0" borderId="8" xfId="0" applyNumberFormat="1" applyFont="1" applyBorder="1" applyAlignment="1" applyProtection="1">
      <alignment horizontal="center" vertical="center"/>
      <protection hidden="1"/>
    </xf>
    <xf numFmtId="164" fontId="39" fillId="0" borderId="8" xfId="0" applyNumberFormat="1" applyFont="1" applyBorder="1" applyAlignment="1" applyProtection="1">
      <alignment horizontal="center" vertical="center"/>
      <protection hidden="1"/>
    </xf>
    <xf numFmtId="164" fontId="66" fillId="0" borderId="1" xfId="0" applyNumberFormat="1" applyFont="1" applyBorder="1" applyAlignment="1" applyProtection="1">
      <alignment horizontal="center" vertical="center"/>
      <protection hidden="1"/>
    </xf>
    <xf numFmtId="2" fontId="39" fillId="0" borderId="36" xfId="0" applyNumberFormat="1" applyFont="1" applyBorder="1" applyAlignment="1" applyProtection="1">
      <alignment horizontal="center" vertical="center"/>
      <protection hidden="1"/>
    </xf>
    <xf numFmtId="0" fontId="27" fillId="24" borderId="29" xfId="0" applyFont="1" applyFill="1" applyBorder="1" applyAlignment="1" applyProtection="1">
      <alignment horizontal="center"/>
      <protection hidden="1"/>
    </xf>
    <xf numFmtId="164" fontId="27" fillId="24" borderId="6" xfId="0" applyNumberFormat="1" applyFont="1" applyFill="1" applyBorder="1" applyAlignment="1" applyProtection="1">
      <alignment horizontal="center" vertical="center"/>
      <protection hidden="1"/>
    </xf>
    <xf numFmtId="0" fontId="27" fillId="16" borderId="0" xfId="0" applyFont="1" applyFill="1" applyProtection="1">
      <protection hidden="1"/>
    </xf>
    <xf numFmtId="0" fontId="28" fillId="0" borderId="58" xfId="112" applyFont="1" applyBorder="1" applyAlignment="1" applyProtection="1">
      <alignment horizontal="left"/>
      <protection hidden="1"/>
    </xf>
    <xf numFmtId="0" fontId="28" fillId="0" borderId="62" xfId="112" applyFont="1" applyBorder="1" applyAlignment="1" applyProtection="1">
      <alignment horizontal="center"/>
      <protection hidden="1"/>
    </xf>
    <xf numFmtId="0" fontId="3" fillId="0" borderId="10" xfId="112" applyFont="1" applyBorder="1" applyAlignment="1" applyProtection="1">
      <alignment horizontal="left"/>
      <protection hidden="1"/>
    </xf>
    <xf numFmtId="164" fontId="15" fillId="0" borderId="11" xfId="112" applyNumberFormat="1" applyBorder="1" applyProtection="1">
      <protection hidden="1"/>
    </xf>
    <xf numFmtId="0" fontId="3" fillId="0" borderId="12" xfId="112" applyFont="1" applyBorder="1" applyAlignment="1" applyProtection="1">
      <alignment horizontal="left"/>
      <protection hidden="1"/>
    </xf>
    <xf numFmtId="164" fontId="15" fillId="0" borderId="9" xfId="112" applyNumberFormat="1" applyBorder="1" applyProtection="1">
      <protection hidden="1"/>
    </xf>
    <xf numFmtId="164" fontId="28" fillId="0" borderId="0" xfId="112" applyNumberFormat="1" applyFont="1" applyProtection="1">
      <protection hidden="1"/>
    </xf>
    <xf numFmtId="0" fontId="19" fillId="0" borderId="0" xfId="0" applyFont="1" applyAlignment="1" applyProtection="1">
      <alignment wrapText="1"/>
      <protection hidden="1"/>
    </xf>
    <xf numFmtId="6" fontId="15" fillId="0" borderId="0" xfId="112" applyNumberFormat="1" applyProtection="1">
      <protection hidden="1"/>
    </xf>
    <xf numFmtId="0" fontId="104" fillId="0" borderId="58" xfId="0" applyFont="1" applyBorder="1" applyAlignment="1" applyProtection="1">
      <alignment horizontal="left" wrapText="1"/>
      <protection hidden="1"/>
    </xf>
    <xf numFmtId="165" fontId="43" fillId="0" borderId="11" xfId="0" applyNumberFormat="1" applyFont="1" applyBorder="1" applyProtection="1">
      <protection hidden="1"/>
    </xf>
    <xf numFmtId="0" fontId="43" fillId="0" borderId="12" xfId="0" applyFont="1" applyBorder="1" applyAlignment="1" applyProtection="1">
      <alignment vertical="center" wrapText="1"/>
      <protection hidden="1"/>
    </xf>
    <xf numFmtId="165" fontId="43" fillId="0" borderId="9" xfId="0" applyNumberFormat="1" applyFont="1" applyBorder="1" applyProtection="1">
      <protection hidden="1"/>
    </xf>
    <xf numFmtId="4" fontId="0" fillId="0" borderId="11" xfId="0" applyNumberFormat="1" applyBorder="1" applyProtection="1">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6" fillId="0" borderId="0" xfId="0" applyNumberFormat="1" applyFont="1" applyProtection="1">
      <protection hidden="1"/>
    </xf>
    <xf numFmtId="0" fontId="111" fillId="0" borderId="0" xfId="0" applyFont="1" applyProtection="1">
      <protection hidden="1"/>
    </xf>
    <xf numFmtId="0" fontId="63" fillId="0" borderId="92" xfId="0" applyFont="1" applyBorder="1" applyProtection="1">
      <protection hidden="1"/>
    </xf>
    <xf numFmtId="0" fontId="63" fillId="0" borderId="77" xfId="0" applyFont="1" applyBorder="1" applyAlignment="1" applyProtection="1">
      <alignment horizontal="left" wrapText="1"/>
      <protection hidden="1"/>
    </xf>
    <xf numFmtId="0" fontId="104" fillId="0" borderId="82" xfId="0" applyFont="1" applyBorder="1" applyAlignment="1" applyProtection="1">
      <alignment vertical="center"/>
      <protection hidden="1"/>
    </xf>
    <xf numFmtId="0" fontId="104"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81" xfId="0" applyNumberFormat="1" applyBorder="1" applyProtection="1">
      <protection hidden="1"/>
    </xf>
    <xf numFmtId="0" fontId="19" fillId="0" borderId="76" xfId="0" applyFont="1" applyBorder="1" applyAlignment="1" applyProtection="1">
      <alignment horizontal="left"/>
      <protection hidden="1"/>
    </xf>
    <xf numFmtId="0" fontId="19"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19" fillId="0" borderId="77" xfId="0" applyFont="1" applyBorder="1" applyAlignment="1" applyProtection="1">
      <alignment horizontal="left"/>
      <protection hidden="1"/>
    </xf>
    <xf numFmtId="165" fontId="0" fillId="0" borderId="82" xfId="0" applyNumberFormat="1" applyBorder="1" applyProtection="1">
      <protection hidden="1"/>
    </xf>
    <xf numFmtId="0" fontId="19" fillId="0" borderId="82" xfId="0" applyFont="1" applyBorder="1" applyAlignment="1" applyProtection="1">
      <alignment horizontal="right"/>
      <protection hidden="1"/>
    </xf>
    <xf numFmtId="0" fontId="19" fillId="0" borderId="83" xfId="0" applyFont="1" applyBorder="1" applyAlignment="1" applyProtection="1">
      <alignment horizontal="right"/>
      <protection hidden="1"/>
    </xf>
    <xf numFmtId="0" fontId="63" fillId="0" borderId="61" xfId="0" applyFont="1" applyBorder="1" applyAlignment="1" applyProtection="1">
      <alignment horizontal="right"/>
      <protection hidden="1"/>
    </xf>
    <xf numFmtId="0" fontId="63" fillId="0" borderId="62" xfId="0" applyFont="1" applyBorder="1" applyAlignment="1" applyProtection="1">
      <alignment horizontal="right"/>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6" fillId="0" borderId="0" xfId="0" applyNumberFormat="1" applyFont="1" applyAlignment="1" applyProtection="1">
      <alignment horizontal="left"/>
      <protection hidden="1"/>
    </xf>
    <xf numFmtId="164" fontId="76"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0" fillId="0" borderId="11" xfId="0" applyBorder="1" applyProtection="1">
      <protection hidden="1"/>
    </xf>
    <xf numFmtId="179" fontId="0" fillId="0" borderId="0" xfId="0" applyNumberFormat="1" applyProtection="1">
      <protection hidden="1"/>
    </xf>
    <xf numFmtId="0" fontId="63" fillId="0" borderId="10" xfId="0" applyFont="1" applyBorder="1" applyAlignment="1" applyProtection="1">
      <alignment horizontal="left"/>
      <protection hidden="1"/>
    </xf>
    <xf numFmtId="0" fontId="104" fillId="0" borderId="0" xfId="0" applyFont="1" applyProtection="1">
      <protection hidden="1"/>
    </xf>
    <xf numFmtId="165" fontId="0" fillId="0" borderId="19" xfId="0" applyNumberFormat="1" applyBorder="1" applyProtection="1">
      <protection hidden="1"/>
    </xf>
    <xf numFmtId="0" fontId="0" fillId="0" borderId="9" xfId="0" applyBorder="1" applyProtection="1">
      <protection hidden="1"/>
    </xf>
    <xf numFmtId="0" fontId="104" fillId="0" borderId="58" xfId="0" applyFont="1" applyBorder="1" applyAlignment="1" applyProtection="1">
      <alignment horizontal="left"/>
      <protection hidden="1"/>
    </xf>
    <xf numFmtId="0" fontId="43" fillId="0" borderId="0" xfId="0" applyFont="1" applyAlignment="1" applyProtection="1">
      <alignment vertical="center" wrapText="1"/>
      <protection hidden="1"/>
    </xf>
    <xf numFmtId="165" fontId="0" fillId="0" borderId="0" xfId="0" applyNumberFormat="1" applyAlignment="1" applyProtection="1">
      <alignment wrapText="1"/>
      <protection hidden="1"/>
    </xf>
    <xf numFmtId="165" fontId="63" fillId="0" borderId="61" xfId="0" applyNumberFormat="1" applyFont="1" applyBorder="1" applyProtection="1">
      <protection hidden="1"/>
    </xf>
    <xf numFmtId="0" fontId="63" fillId="0" borderId="61" xfId="0" applyFont="1" applyBorder="1" applyProtection="1">
      <protection hidden="1"/>
    </xf>
    <xf numFmtId="0" fontId="104" fillId="0" borderId="10" xfId="0" applyFont="1" applyBorder="1" applyAlignment="1" applyProtection="1">
      <alignment horizontal="left"/>
      <protection hidden="1"/>
    </xf>
    <xf numFmtId="165" fontId="63" fillId="0" borderId="0" xfId="0" applyNumberFormat="1" applyFont="1" applyProtection="1">
      <protection hidden="1"/>
    </xf>
    <xf numFmtId="0" fontId="63" fillId="0" borderId="11" xfId="0" applyFont="1" applyBorder="1" applyProtection="1">
      <protection hidden="1"/>
    </xf>
    <xf numFmtId="0" fontId="90" fillId="0" borderId="0" xfId="0" applyFont="1" applyProtection="1">
      <protection hidden="1"/>
    </xf>
    <xf numFmtId="0" fontId="89" fillId="0" borderId="0" xfId="0" applyFont="1" applyProtection="1">
      <protection hidden="1"/>
    </xf>
    <xf numFmtId="0" fontId="122" fillId="0" borderId="0" xfId="0" applyFont="1" applyAlignment="1" applyProtection="1">
      <alignment horizontal="left"/>
      <protection hidden="1"/>
    </xf>
    <xf numFmtId="6" fontId="148" fillId="35" borderId="165" xfId="0" applyNumberFormat="1" applyFont="1" applyFill="1" applyBorder="1" applyAlignment="1">
      <alignment horizontal="center" vertical="center" wrapText="1"/>
    </xf>
    <xf numFmtId="6" fontId="148" fillId="35" borderId="156" xfId="0" applyNumberFormat="1" applyFont="1" applyFill="1" applyBorder="1" applyAlignment="1">
      <alignment horizontal="center" vertical="center" wrapText="1"/>
    </xf>
    <xf numFmtId="6" fontId="148" fillId="35" borderId="166" xfId="0" applyNumberFormat="1" applyFont="1" applyFill="1" applyBorder="1" applyAlignment="1">
      <alignment horizontal="center" vertical="center" wrapText="1"/>
    </xf>
    <xf numFmtId="6" fontId="148" fillId="35" borderId="154" xfId="0" applyNumberFormat="1" applyFont="1" applyFill="1" applyBorder="1" applyAlignment="1">
      <alignment horizontal="center" vertical="center" wrapText="1"/>
    </xf>
    <xf numFmtId="6" fontId="143" fillId="35" borderId="165" xfId="0" applyNumberFormat="1" applyFont="1" applyFill="1" applyBorder="1" applyAlignment="1">
      <alignment horizontal="center" vertical="center" wrapText="1"/>
    </xf>
    <xf numFmtId="6" fontId="143" fillId="35" borderId="156" xfId="0" applyNumberFormat="1" applyFont="1" applyFill="1" applyBorder="1" applyAlignment="1">
      <alignment horizontal="center" vertical="center" wrapText="1"/>
    </xf>
    <xf numFmtId="6" fontId="143" fillId="35" borderId="173" xfId="0" applyNumberFormat="1" applyFont="1" applyFill="1" applyBorder="1" applyAlignment="1">
      <alignment horizontal="center" vertical="center" wrapText="1"/>
    </xf>
    <xf numFmtId="6" fontId="143" fillId="35" borderId="174" xfId="0" applyNumberFormat="1" applyFont="1" applyFill="1" applyBorder="1" applyAlignment="1">
      <alignment horizontal="center" vertical="center" wrapText="1"/>
    </xf>
    <xf numFmtId="0" fontId="141" fillId="33" borderId="152" xfId="0" applyFont="1" applyFill="1" applyBorder="1" applyAlignment="1">
      <alignment horizontal="center" vertical="center" wrapText="1"/>
    </xf>
    <xf numFmtId="0" fontId="141" fillId="33" borderId="153" xfId="0" applyFont="1" applyFill="1" applyBorder="1" applyAlignment="1">
      <alignment horizontal="center" vertical="center" wrapText="1"/>
    </xf>
    <xf numFmtId="6" fontId="143" fillId="34" borderId="166" xfId="0" applyNumberFormat="1" applyFont="1" applyFill="1" applyBorder="1" applyAlignment="1">
      <alignment horizontal="center" vertical="center" wrapText="1"/>
    </xf>
    <xf numFmtId="6" fontId="143" fillId="34" borderId="154" xfId="0" applyNumberFormat="1" applyFont="1" applyFill="1" applyBorder="1" applyAlignment="1">
      <alignment horizontal="center" vertical="center" wrapText="1"/>
    </xf>
    <xf numFmtId="6" fontId="143" fillId="35" borderId="166" xfId="0" applyNumberFormat="1" applyFont="1" applyFill="1" applyBorder="1" applyAlignment="1">
      <alignment horizontal="center" vertical="center" wrapText="1"/>
    </xf>
    <xf numFmtId="6" fontId="143" fillId="35" borderId="154" xfId="0" applyNumberFormat="1" applyFont="1" applyFill="1" applyBorder="1" applyAlignment="1">
      <alignment horizontal="center" vertical="center" wrapText="1"/>
    </xf>
    <xf numFmtId="6" fontId="143" fillId="35" borderId="161" xfId="0" applyNumberFormat="1" applyFont="1" applyFill="1" applyBorder="1" applyAlignment="1">
      <alignment horizontal="center" vertical="center"/>
    </xf>
    <xf numFmtId="6" fontId="143" fillId="35" borderId="162" xfId="0" applyNumberFormat="1" applyFont="1" applyFill="1" applyBorder="1" applyAlignment="1">
      <alignment horizontal="center" vertical="center"/>
    </xf>
    <xf numFmtId="6" fontId="143" fillId="35" borderId="163" xfId="0" applyNumberFormat="1" applyFont="1" applyFill="1" applyBorder="1" applyAlignment="1">
      <alignment horizontal="center" vertical="center"/>
    </xf>
    <xf numFmtId="6" fontId="143" fillId="35" borderId="164" xfId="0" applyNumberFormat="1" applyFont="1" applyFill="1" applyBorder="1" applyAlignment="1">
      <alignment horizontal="center" vertical="center"/>
    </xf>
    <xf numFmtId="0" fontId="141" fillId="33" borderId="157" xfId="0" applyFont="1" applyFill="1" applyBorder="1" applyAlignment="1">
      <alignment horizontal="center" vertical="center" wrapText="1"/>
    </xf>
    <xf numFmtId="0" fontId="141" fillId="33" borderId="152" xfId="0" applyFont="1" applyFill="1" applyBorder="1" applyAlignment="1">
      <alignment vertical="center" wrapText="1"/>
    </xf>
    <xf numFmtId="0" fontId="141" fillId="33" borderId="153" xfId="0" applyFont="1" applyFill="1" applyBorder="1" applyAlignment="1">
      <alignment vertical="center" wrapText="1"/>
    </xf>
    <xf numFmtId="0" fontId="137" fillId="0" borderId="130" xfId="0" applyFont="1" applyBorder="1" applyAlignment="1">
      <alignment horizontal="center" vertical="center" wrapText="1"/>
    </xf>
    <xf numFmtId="0" fontId="137" fillId="0" borderId="133" xfId="0" applyFont="1" applyBorder="1" applyAlignment="1">
      <alignment horizontal="center" vertical="center" wrapText="1"/>
    </xf>
    <xf numFmtId="0" fontId="138" fillId="30" borderId="130" xfId="0" applyFont="1" applyFill="1" applyBorder="1" applyAlignment="1">
      <alignment horizontal="center" vertical="center" wrapText="1"/>
    </xf>
    <xf numFmtId="0" fontId="137" fillId="0" borderId="130" xfId="0" applyFont="1" applyBorder="1" applyAlignment="1">
      <alignment horizontal="left" vertical="center" wrapText="1"/>
    </xf>
    <xf numFmtId="0" fontId="137" fillId="0" borderId="133" xfId="0" applyFont="1" applyBorder="1" applyAlignment="1">
      <alignment horizontal="left" vertical="center" wrapText="1"/>
    </xf>
    <xf numFmtId="0" fontId="138" fillId="30" borderId="129" xfId="0" applyFont="1" applyFill="1" applyBorder="1" applyAlignment="1">
      <alignment horizontal="center" vertical="center" wrapText="1"/>
    </xf>
    <xf numFmtId="0" fontId="138" fillId="30" borderId="127" xfId="0" applyFont="1" applyFill="1" applyBorder="1" applyAlignment="1">
      <alignment horizontal="center" vertical="center" wrapText="1"/>
    </xf>
    <xf numFmtId="0" fontId="133" fillId="30" borderId="130" xfId="0" applyFont="1" applyFill="1" applyBorder="1" applyAlignment="1">
      <alignment horizontal="center" vertical="center" wrapText="1"/>
    </xf>
    <xf numFmtId="0" fontId="133" fillId="30" borderId="129" xfId="0" applyFont="1" applyFill="1" applyBorder="1" applyAlignment="1">
      <alignment horizontal="center" vertical="center" wrapText="1"/>
    </xf>
    <xf numFmtId="0" fontId="133" fillId="30" borderId="127" xfId="0" applyFont="1" applyFill="1" applyBorder="1" applyAlignment="1">
      <alignment horizontal="center" vertical="center" wrapText="1"/>
    </xf>
    <xf numFmtId="0" fontId="133" fillId="30" borderId="146" xfId="0" applyFont="1" applyFill="1" applyBorder="1" applyAlignment="1">
      <alignment horizontal="center" vertical="center" wrapText="1"/>
    </xf>
    <xf numFmtId="0" fontId="133" fillId="30" borderId="145" xfId="0" applyFont="1" applyFill="1" applyBorder="1" applyAlignment="1">
      <alignment horizontal="center" vertical="center" wrapText="1"/>
    </xf>
    <xf numFmtId="0" fontId="138" fillId="30" borderId="137" xfId="0" applyFont="1" applyFill="1" applyBorder="1" applyAlignment="1">
      <alignment horizontal="center" vertical="center" wrapText="1"/>
    </xf>
    <xf numFmtId="0" fontId="138" fillId="30" borderId="129" xfId="0" applyFont="1" applyFill="1" applyBorder="1" applyAlignment="1">
      <alignment horizontal="center" vertical="top" wrapText="1"/>
    </xf>
    <xf numFmtId="0" fontId="138" fillId="30" borderId="127" xfId="0" applyFont="1" applyFill="1" applyBorder="1" applyAlignment="1">
      <alignment horizontal="center" vertical="top" wrapText="1"/>
    </xf>
    <xf numFmtId="0" fontId="138" fillId="30" borderId="146" xfId="0" applyFont="1" applyFill="1" applyBorder="1" applyAlignment="1">
      <alignment horizontal="center" vertical="center" wrapText="1"/>
    </xf>
    <xf numFmtId="0" fontId="138" fillId="30" borderId="145" xfId="0" applyFont="1" applyFill="1" applyBorder="1" applyAlignment="1">
      <alignment horizontal="center" vertical="center" wrapText="1"/>
    </xf>
    <xf numFmtId="0" fontId="104" fillId="0" borderId="58" xfId="0" applyFont="1" applyBorder="1" applyAlignment="1" applyProtection="1">
      <alignment horizontal="center" vertical="center" wrapText="1"/>
      <protection hidden="1"/>
    </xf>
    <xf numFmtId="0" fontId="104" fillId="0" borderId="61" xfId="0" applyFont="1" applyBorder="1" applyAlignment="1" applyProtection="1">
      <alignment horizontal="center" vertical="center" wrapText="1"/>
      <protection hidden="1"/>
    </xf>
    <xf numFmtId="0" fontId="104" fillId="0" borderId="62" xfId="0" applyFont="1" applyBorder="1" applyAlignment="1" applyProtection="1">
      <alignment horizontal="center" vertical="center" wrapText="1"/>
      <protection hidden="1"/>
    </xf>
    <xf numFmtId="0" fontId="63" fillId="0" borderId="61" xfId="0" applyFont="1" applyBorder="1" applyAlignment="1" applyProtection="1">
      <alignment horizontal="center"/>
      <protection hidden="1"/>
    </xf>
    <xf numFmtId="0" fontId="63" fillId="0" borderId="62" xfId="0" applyFont="1" applyBorder="1" applyAlignment="1" applyProtection="1">
      <alignment horizontal="center"/>
      <protection hidden="1"/>
    </xf>
    <xf numFmtId="0" fontId="63" fillId="0" borderId="118" xfId="0" applyFont="1" applyBorder="1" applyAlignment="1" applyProtection="1">
      <alignment horizontal="center"/>
      <protection hidden="1"/>
    </xf>
    <xf numFmtId="0" fontId="63" fillId="0" borderId="93" xfId="0" applyFont="1" applyBorder="1" applyAlignment="1" applyProtection="1">
      <alignment horizontal="center"/>
      <protection hidden="1"/>
    </xf>
    <xf numFmtId="0" fontId="63" fillId="0" borderId="76" xfId="0" applyFont="1" applyBorder="1" applyAlignment="1" applyProtection="1">
      <alignment horizontal="left"/>
      <protection hidden="1"/>
    </xf>
    <xf numFmtId="0" fontId="63" fillId="0" borderId="0" xfId="0" applyFont="1" applyAlignment="1" applyProtection="1">
      <alignment horizontal="left"/>
      <protection hidden="1"/>
    </xf>
    <xf numFmtId="0" fontId="63" fillId="0" borderId="81" xfId="0" applyFont="1" applyBorder="1" applyAlignment="1" applyProtection="1">
      <alignment horizontal="left"/>
      <protection hidden="1"/>
    </xf>
    <xf numFmtId="0" fontId="63" fillId="0" borderId="121" xfId="0" applyFont="1" applyBorder="1" applyAlignment="1" applyProtection="1">
      <alignment horizontal="left"/>
      <protection hidden="1"/>
    </xf>
    <xf numFmtId="0" fontId="63" fillId="0" borderId="61" xfId="0" applyFont="1" applyBorder="1" applyAlignment="1" applyProtection="1">
      <alignment horizontal="left"/>
      <protection hidden="1"/>
    </xf>
    <xf numFmtId="0" fontId="63" fillId="0" borderId="122" xfId="0" applyFont="1" applyBorder="1" applyAlignment="1" applyProtection="1">
      <alignment horizontal="left"/>
      <protection hidden="1"/>
    </xf>
    <xf numFmtId="0" fontId="39" fillId="0" borderId="2" xfId="0" applyFont="1" applyBorder="1" applyAlignment="1" applyProtection="1">
      <alignment horizontal="center" vertical="center"/>
      <protection hidden="1"/>
    </xf>
    <xf numFmtId="164" fontId="39" fillId="0" borderId="3" xfId="0" applyNumberFormat="1" applyFont="1" applyBorder="1" applyAlignment="1" applyProtection="1">
      <alignment horizontal="center" vertical="center"/>
      <protection hidden="1"/>
    </xf>
    <xf numFmtId="164" fontId="39" fillId="0" borderId="4" xfId="0" applyNumberFormat="1" applyFont="1" applyBorder="1" applyAlignment="1" applyProtection="1">
      <alignment horizontal="center" vertical="center"/>
      <protection hidden="1"/>
    </xf>
    <xf numFmtId="164" fontId="39" fillId="0" borderId="5" xfId="0" applyNumberFormat="1" applyFont="1" applyBorder="1" applyAlignment="1" applyProtection="1">
      <alignment horizontal="center" vertical="center"/>
      <protection hidden="1"/>
    </xf>
    <xf numFmtId="164" fontId="39" fillId="0" borderId="2" xfId="0" applyNumberFormat="1" applyFont="1" applyBorder="1" applyAlignment="1" applyProtection="1">
      <alignment horizontal="center" vertical="center"/>
      <protection hidden="1"/>
    </xf>
    <xf numFmtId="164" fontId="66" fillId="0" borderId="2" xfId="0" applyNumberFormat="1" applyFont="1" applyBorder="1" applyAlignment="1" applyProtection="1">
      <alignment horizontal="center" vertical="center"/>
      <protection hidden="1"/>
    </xf>
    <xf numFmtId="0" fontId="31" fillId="0" borderId="0" xfId="119" applyFont="1" applyAlignment="1" applyProtection="1">
      <alignment horizontal="center" vertical="center"/>
      <protection hidden="1"/>
    </xf>
    <xf numFmtId="0" fontId="40" fillId="0" borderId="21" xfId="0" applyFont="1" applyBorder="1" applyAlignment="1" applyProtection="1">
      <alignment horizontal="center"/>
      <protection hidden="1"/>
    </xf>
    <xf numFmtId="0" fontId="40" fillId="0" borderId="22" xfId="0" applyFont="1" applyBorder="1" applyAlignment="1" applyProtection="1">
      <alignment horizontal="center"/>
      <protection hidden="1"/>
    </xf>
    <xf numFmtId="0" fontId="65" fillId="0" borderId="33" xfId="0" applyFont="1" applyBorder="1" applyAlignment="1" applyProtection="1">
      <alignment horizontal="center" vertical="center"/>
      <protection hidden="1"/>
    </xf>
    <xf numFmtId="2" fontId="31" fillId="6" borderId="31" xfId="26" applyNumberFormat="1" applyFont="1" applyFill="1" applyBorder="1" applyAlignment="1" applyProtection="1">
      <alignment horizontal="center" vertical="center" wrapText="1"/>
      <protection hidden="1"/>
    </xf>
    <xf numFmtId="2" fontId="31" fillId="6" borderId="32" xfId="26" applyNumberFormat="1" applyFont="1" applyFill="1" applyBorder="1" applyAlignment="1" applyProtection="1">
      <alignment horizontal="center" vertical="center" wrapText="1"/>
      <protection hidden="1"/>
    </xf>
    <xf numFmtId="2" fontId="31" fillId="6" borderId="29" xfId="26" applyNumberFormat="1" applyFont="1" applyFill="1" applyBorder="1" applyAlignment="1" applyProtection="1">
      <alignment horizontal="center" vertical="center" wrapText="1"/>
      <protection hidden="1"/>
    </xf>
    <xf numFmtId="2" fontId="31" fillId="6" borderId="30" xfId="26" applyNumberFormat="1" applyFont="1" applyFill="1" applyBorder="1" applyAlignment="1" applyProtection="1">
      <alignment horizontal="center" vertical="center" wrapText="1"/>
      <protection hidden="1"/>
    </xf>
    <xf numFmtId="0" fontId="32" fillId="0" borderId="13" xfId="119" applyFont="1" applyBorder="1" applyAlignment="1" applyProtection="1">
      <alignment horizontal="center" vertical="center"/>
      <protection hidden="1"/>
    </xf>
    <xf numFmtId="0" fontId="32" fillId="0" borderId="23" xfId="119" applyFont="1" applyBorder="1" applyAlignment="1" applyProtection="1">
      <alignment horizontal="center" vertical="center"/>
      <protection hidden="1"/>
    </xf>
    <xf numFmtId="0" fontId="32" fillId="0" borderId="14" xfId="119" applyFont="1" applyBorder="1" applyAlignment="1" applyProtection="1">
      <alignment horizontal="center" vertical="center"/>
      <protection hidden="1"/>
    </xf>
    <xf numFmtId="0" fontId="3" fillId="20" borderId="0" xfId="119" applyFont="1" applyFill="1" applyAlignment="1" applyProtection="1">
      <alignment horizontal="left" vertical="center" wrapText="1"/>
      <protection hidden="1"/>
    </xf>
    <xf numFmtId="0" fontId="3" fillId="21" borderId="0" xfId="119" applyFont="1" applyFill="1" applyAlignment="1" applyProtection="1">
      <alignment horizontal="left" vertical="center" wrapText="1"/>
      <protection hidden="1"/>
    </xf>
    <xf numFmtId="0" fontId="31" fillId="5" borderId="61" xfId="119" applyFont="1" applyFill="1" applyBorder="1" applyAlignment="1" applyProtection="1">
      <alignment horizontal="center" vertical="center"/>
      <protection hidden="1"/>
    </xf>
    <xf numFmtId="0" fontId="31" fillId="5" borderId="62" xfId="119" applyFont="1" applyFill="1" applyBorder="1" applyAlignment="1" applyProtection="1">
      <alignment horizontal="center" vertical="center"/>
      <protection hidden="1"/>
    </xf>
    <xf numFmtId="2" fontId="27" fillId="6" borderId="2" xfId="126" applyNumberFormat="1" applyFont="1" applyFill="1" applyBorder="1" applyAlignment="1">
      <alignment horizontal="center" vertical="center" wrapText="1"/>
    </xf>
    <xf numFmtId="2" fontId="27" fillId="6" borderId="15" xfId="126" applyNumberFormat="1" applyFont="1" applyFill="1" applyBorder="1" applyAlignment="1">
      <alignment horizontal="center" vertical="center" wrapText="1"/>
    </xf>
    <xf numFmtId="0" fontId="28" fillId="0" borderId="56" xfId="127" applyFont="1" applyBorder="1" applyAlignment="1">
      <alignment horizontal="center" vertical="center"/>
    </xf>
    <xf numFmtId="0" fontId="28" fillId="0" borderId="25" xfId="127" applyFont="1" applyBorder="1" applyAlignment="1">
      <alignment horizontal="center" vertical="center"/>
    </xf>
    <xf numFmtId="0" fontId="28" fillId="0" borderId="17" xfId="127" applyFont="1" applyBorder="1" applyAlignment="1">
      <alignment horizontal="center" vertical="center"/>
    </xf>
    <xf numFmtId="0" fontId="3" fillId="20" borderId="0" xfId="119" applyFont="1" applyFill="1" applyAlignment="1">
      <alignment horizontal="left" vertical="center" wrapText="1"/>
    </xf>
    <xf numFmtId="0" fontId="3" fillId="21" borderId="0" xfId="119" applyFont="1" applyFill="1" applyAlignment="1">
      <alignment horizontal="left" vertical="center" wrapText="1"/>
    </xf>
    <xf numFmtId="1" fontId="31" fillId="5" borderId="61" xfId="119" applyNumberFormat="1" applyFont="1" applyFill="1" applyBorder="1" applyAlignment="1">
      <alignment horizontal="center" vertical="center"/>
    </xf>
    <xf numFmtId="1" fontId="31" fillId="5" borderId="62" xfId="119" applyNumberFormat="1" applyFont="1" applyFill="1" applyBorder="1" applyAlignment="1">
      <alignment horizontal="center" vertical="center"/>
    </xf>
    <xf numFmtId="164" fontId="39" fillId="0" borderId="3" xfId="0" applyNumberFormat="1" applyFont="1" applyBorder="1" applyAlignment="1">
      <alignment horizontal="center" vertical="center"/>
    </xf>
    <xf numFmtId="164" fontId="39" fillId="0" borderId="4" xfId="0" applyNumberFormat="1" applyFont="1" applyBorder="1" applyAlignment="1">
      <alignment horizontal="center" vertical="center"/>
    </xf>
    <xf numFmtId="164" fontId="39" fillId="0" borderId="5" xfId="0" applyNumberFormat="1" applyFont="1" applyBorder="1" applyAlignment="1">
      <alignment horizontal="center" vertical="center"/>
    </xf>
    <xf numFmtId="164" fontId="39" fillId="0" borderId="2" xfId="0" applyNumberFormat="1" applyFont="1" applyBorder="1" applyAlignment="1">
      <alignment horizontal="center" vertical="center"/>
    </xf>
    <xf numFmtId="164" fontId="66" fillId="0" borderId="2" xfId="0" applyNumberFormat="1" applyFont="1" applyBorder="1" applyAlignment="1">
      <alignment horizontal="center" vertical="center"/>
    </xf>
    <xf numFmtId="0" fontId="3" fillId="20" borderId="0" xfId="127" applyFont="1" applyFill="1" applyAlignment="1">
      <alignment horizontal="left" vertical="center" wrapText="1"/>
    </xf>
    <xf numFmtId="0" fontId="13" fillId="20" borderId="0" xfId="127" applyFill="1" applyAlignment="1">
      <alignment horizontal="left" vertical="center" wrapText="1"/>
    </xf>
    <xf numFmtId="0" fontId="28" fillId="0" borderId="13" xfId="127" applyFont="1" applyBorder="1" applyAlignment="1">
      <alignment horizontal="center" vertical="center"/>
    </xf>
    <xf numFmtId="0" fontId="28" fillId="0" borderId="23" xfId="127" applyFont="1" applyBorder="1" applyAlignment="1">
      <alignment horizontal="center" vertical="center"/>
    </xf>
    <xf numFmtId="0" fontId="28" fillId="0" borderId="14" xfId="127" applyFont="1" applyBorder="1" applyAlignment="1">
      <alignment horizontal="center" vertical="center"/>
    </xf>
    <xf numFmtId="0" fontId="27" fillId="0" borderId="6" xfId="0" applyFont="1" applyBorder="1" applyAlignment="1">
      <alignment horizontal="center" vertical="center"/>
    </xf>
    <xf numFmtId="2" fontId="27" fillId="6" borderId="31" xfId="126" applyNumberFormat="1" applyFont="1" applyFill="1" applyBorder="1" applyAlignment="1">
      <alignment horizontal="center" vertical="center" wrapText="1"/>
    </xf>
    <xf numFmtId="2" fontId="27" fillId="6" borderId="32" xfId="126" applyNumberFormat="1" applyFont="1" applyFill="1" applyBorder="1" applyAlignment="1">
      <alignment horizontal="center" vertical="center" wrapText="1"/>
    </xf>
    <xf numFmtId="2" fontId="27" fillId="6" borderId="29" xfId="126" applyNumberFormat="1" applyFont="1" applyFill="1" applyBorder="1" applyAlignment="1">
      <alignment horizontal="center" vertical="center" wrapText="1"/>
    </xf>
    <xf numFmtId="2" fontId="27" fillId="6" borderId="30" xfId="126" applyNumberFormat="1" applyFont="1" applyFill="1" applyBorder="1" applyAlignment="1">
      <alignment horizontal="center" vertical="center" wrapText="1"/>
    </xf>
    <xf numFmtId="0" fontId="31" fillId="5" borderId="3" xfId="127" applyFont="1" applyFill="1" applyBorder="1" applyAlignment="1">
      <alignment horizontal="center" vertical="center" wrapText="1"/>
    </xf>
    <xf numFmtId="0" fontId="31" fillId="5" borderId="4" xfId="127" applyFont="1" applyFill="1" applyBorder="1" applyAlignment="1">
      <alignment horizontal="center" vertical="center" wrapText="1"/>
    </xf>
    <xf numFmtId="0" fontId="31" fillId="5" borderId="5" xfId="127" applyFont="1" applyFill="1" applyBorder="1" applyAlignment="1">
      <alignment horizontal="center" vertical="center" wrapText="1"/>
    </xf>
    <xf numFmtId="0" fontId="31" fillId="5" borderId="61" xfId="127" applyFont="1" applyFill="1" applyBorder="1" applyAlignment="1">
      <alignment horizontal="center" vertical="center"/>
    </xf>
    <xf numFmtId="0" fontId="31" fillId="5" borderId="62" xfId="127" applyFont="1"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7" fillId="14" borderId="7" xfId="129" applyFont="1" applyFill="1" applyBorder="1" applyAlignment="1">
      <alignment horizontal="center" vertical="center"/>
    </xf>
    <xf numFmtId="0" fontId="27" fillId="14" borderId="1" xfId="129" applyFont="1" applyFill="1" applyBorder="1" applyAlignment="1">
      <alignment horizontal="center" vertical="center"/>
    </xf>
    <xf numFmtId="0" fontId="27" fillId="14" borderId="2" xfId="129" applyFont="1" applyFill="1" applyBorder="1" applyAlignment="1">
      <alignment horizontal="center" vertical="center" wrapText="1"/>
    </xf>
    <xf numFmtId="0" fontId="72" fillId="25" borderId="24" xfId="129" applyFont="1" applyFill="1" applyBorder="1" applyAlignment="1">
      <alignment horizontal="center" vertical="center"/>
    </xf>
    <xf numFmtId="0" fontId="72" fillId="25" borderId="0" xfId="129" applyFont="1" applyFill="1" applyAlignment="1">
      <alignment horizontal="center" vertical="center"/>
    </xf>
    <xf numFmtId="0" fontId="72" fillId="21" borderId="24" xfId="129" applyFont="1" applyFill="1" applyBorder="1" applyAlignment="1">
      <alignment horizontal="center" vertical="center"/>
    </xf>
    <xf numFmtId="0" fontId="72" fillId="21" borderId="0" xfId="129" applyFont="1" applyFill="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164" fontId="31" fillId="19" borderId="0" xfId="0" applyNumberFormat="1" applyFont="1" applyFill="1" applyAlignment="1">
      <alignment horizontal="left" vertical="center"/>
    </xf>
    <xf numFmtId="0" fontId="63" fillId="0" borderId="56" xfId="0" applyFont="1" applyBorder="1" applyAlignment="1">
      <alignment horizontal="center" vertical="center"/>
    </xf>
    <xf numFmtId="0" fontId="63" fillId="0" borderId="17" xfId="0" applyFont="1" applyBorder="1" applyAlignment="1">
      <alignment horizontal="center" vertical="center"/>
    </xf>
    <xf numFmtId="0" fontId="63" fillId="0" borderId="63" xfId="0" applyFont="1" applyBorder="1" applyAlignment="1">
      <alignment horizontal="center" vertical="center"/>
    </xf>
    <xf numFmtId="0" fontId="63" fillId="0" borderId="58" xfId="0" applyFont="1" applyBorder="1" applyAlignment="1">
      <alignment horizontal="center"/>
    </xf>
    <xf numFmtId="0" fontId="63" fillId="0" borderId="61" xfId="0" applyFont="1" applyBorder="1" applyAlignment="1">
      <alignment horizontal="center"/>
    </xf>
    <xf numFmtId="0" fontId="63" fillId="0" borderId="62" xfId="0" applyFont="1" applyBorder="1" applyAlignment="1">
      <alignment horizontal="center"/>
    </xf>
    <xf numFmtId="0" fontId="31" fillId="19" borderId="0" xfId="0" applyFont="1" applyFill="1" applyAlignment="1">
      <alignment horizontal="left" vertical="center"/>
    </xf>
    <xf numFmtId="2" fontId="31" fillId="6" borderId="31" xfId="26" applyNumberFormat="1" applyFont="1" applyFill="1" applyBorder="1" applyAlignment="1">
      <alignment horizontal="center" vertical="center" wrapText="1"/>
    </xf>
    <xf numFmtId="2" fontId="31" fillId="6" borderId="32" xfId="26" applyNumberFormat="1" applyFont="1" applyFill="1" applyBorder="1" applyAlignment="1">
      <alignment horizontal="center" vertical="center" wrapText="1"/>
    </xf>
    <xf numFmtId="2" fontId="31" fillId="6" borderId="29" xfId="26" applyNumberFormat="1" applyFont="1" applyFill="1" applyBorder="1" applyAlignment="1">
      <alignment horizontal="center" vertical="center" wrapText="1"/>
    </xf>
    <xf numFmtId="2" fontId="31" fillId="6" borderId="30" xfId="26" applyNumberFormat="1" applyFont="1" applyFill="1" applyBorder="1" applyAlignment="1">
      <alignment horizontal="center" vertical="center" wrapText="1"/>
    </xf>
    <xf numFmtId="0" fontId="28" fillId="0" borderId="6" xfId="112" applyFont="1" applyBorder="1" applyAlignment="1">
      <alignment horizontal="center" vertical="center"/>
    </xf>
    <xf numFmtId="0" fontId="31" fillId="5" borderId="61" xfId="119" applyFont="1" applyFill="1" applyBorder="1" applyAlignment="1">
      <alignment horizontal="center" vertical="center"/>
    </xf>
    <xf numFmtId="0" fontId="31" fillId="5" borderId="62" xfId="119" applyFont="1" applyFill="1" applyBorder="1" applyAlignment="1">
      <alignment horizontal="center" vertical="center"/>
    </xf>
    <xf numFmtId="0" fontId="28" fillId="0" borderId="13" xfId="119" applyFont="1" applyBorder="1" applyAlignment="1">
      <alignment horizontal="center" vertical="center"/>
    </xf>
    <xf numFmtId="0" fontId="28" fillId="0" borderId="23" xfId="119" applyFont="1" applyBorder="1" applyAlignment="1">
      <alignment horizontal="center" vertical="center"/>
    </xf>
    <xf numFmtId="0" fontId="28" fillId="0" borderId="14" xfId="119" applyFont="1" applyBorder="1" applyAlignment="1">
      <alignment horizontal="center" vertical="center"/>
    </xf>
    <xf numFmtId="2" fontId="31" fillId="6" borderId="91" xfId="26" applyNumberFormat="1" applyFont="1" applyFill="1" applyBorder="1" applyAlignment="1">
      <alignment horizontal="center" vertical="center" wrapText="1"/>
    </xf>
    <xf numFmtId="2" fontId="31" fillId="6" borderId="9" xfId="26" applyNumberFormat="1" applyFont="1" applyFill="1" applyBorder="1" applyAlignment="1">
      <alignment horizontal="center" vertical="center" wrapText="1"/>
    </xf>
    <xf numFmtId="0" fontId="28" fillId="0" borderId="3" xfId="119" applyFont="1" applyBorder="1" applyAlignment="1">
      <alignment horizontal="center" vertical="center" wrapText="1"/>
    </xf>
    <xf numFmtId="0" fontId="28" fillId="0" borderId="4" xfId="119" applyFont="1" applyBorder="1" applyAlignment="1">
      <alignment horizontal="center" vertical="center" wrapText="1"/>
    </xf>
    <xf numFmtId="0" fontId="28" fillId="0" borderId="5" xfId="119" applyFont="1" applyBorder="1" applyAlignment="1">
      <alignment horizontal="center" vertical="center" wrapText="1"/>
    </xf>
    <xf numFmtId="0" fontId="96" fillId="31" borderId="0" xfId="0" applyFont="1" applyFill="1" applyAlignment="1">
      <alignment horizontal="left" vertical="top" wrapText="1"/>
    </xf>
    <xf numFmtId="0" fontId="31" fillId="19" borderId="0" xfId="112" applyFont="1" applyFill="1" applyAlignment="1">
      <alignment horizontal="center" vertical="center"/>
    </xf>
    <xf numFmtId="0" fontId="28" fillId="0" borderId="6" xfId="112" applyFont="1" applyBorder="1" applyAlignment="1" applyProtection="1">
      <alignment horizontal="center" vertical="center"/>
      <protection hidden="1"/>
    </xf>
    <xf numFmtId="0" fontId="31" fillId="5" borderId="54" xfId="119" applyFont="1" applyFill="1" applyBorder="1" applyAlignment="1" applyProtection="1">
      <alignment horizontal="center" vertical="center"/>
      <protection hidden="1"/>
    </xf>
    <xf numFmtId="0" fontId="31" fillId="5" borderId="55" xfId="119" applyFont="1" applyFill="1" applyBorder="1" applyAlignment="1" applyProtection="1">
      <alignment horizontal="center" vertical="center"/>
      <protection hidden="1"/>
    </xf>
    <xf numFmtId="0" fontId="32" fillId="0" borderId="3" xfId="119" applyFont="1" applyBorder="1" applyAlignment="1" applyProtection="1">
      <alignment horizontal="center" vertical="center" wrapText="1"/>
      <protection hidden="1"/>
    </xf>
    <xf numFmtId="0" fontId="32" fillId="0" borderId="4" xfId="119" applyFont="1" applyBorder="1" applyAlignment="1" applyProtection="1">
      <alignment horizontal="center" vertical="center" wrapText="1"/>
      <protection hidden="1"/>
    </xf>
    <xf numFmtId="0" fontId="32" fillId="0" borderId="5" xfId="119" applyFont="1" applyBorder="1" applyAlignment="1" applyProtection="1">
      <alignment horizontal="center" vertical="center" wrapText="1"/>
      <protection hidden="1"/>
    </xf>
    <xf numFmtId="0" fontId="96" fillId="31" borderId="0" xfId="0" applyFont="1" applyFill="1" applyAlignment="1" applyProtection="1">
      <alignment horizontal="left" vertical="top" wrapText="1"/>
      <protection hidden="1"/>
    </xf>
    <xf numFmtId="0" fontId="85" fillId="0" borderId="0" xfId="0" applyFont="1" applyAlignment="1" applyProtection="1">
      <alignment horizontal="center" vertical="center" wrapText="1"/>
      <protection hidden="1"/>
    </xf>
    <xf numFmtId="0" fontId="85" fillId="0" borderId="0" xfId="0" applyFont="1" applyAlignment="1" applyProtection="1">
      <alignment horizontal="center" wrapText="1"/>
      <protection hidden="1"/>
    </xf>
    <xf numFmtId="10" fontId="3" fillId="0" borderId="0" xfId="119" applyNumberFormat="1" applyFont="1" applyAlignment="1" applyProtection="1">
      <alignment horizontal="center" vertical="center"/>
      <protection hidden="1"/>
    </xf>
    <xf numFmtId="10" fontId="3" fillId="0" borderId="19" xfId="119" applyNumberFormat="1" applyFont="1" applyBorder="1" applyAlignment="1" applyProtection="1">
      <alignment horizontal="center" vertical="center"/>
      <protection hidden="1"/>
    </xf>
    <xf numFmtId="0" fontId="28" fillId="0" borderId="6" xfId="119" applyFont="1" applyBorder="1" applyAlignment="1" applyProtection="1">
      <alignment horizontal="center" vertical="center"/>
      <protection hidden="1"/>
    </xf>
    <xf numFmtId="2" fontId="31" fillId="6" borderId="91" xfId="26" applyNumberFormat="1" applyFont="1" applyFill="1" applyBorder="1" applyAlignment="1" applyProtection="1">
      <alignment horizontal="center" vertical="center" wrapText="1"/>
      <protection hidden="1"/>
    </xf>
    <xf numFmtId="2" fontId="31" fillId="6" borderId="9" xfId="26" applyNumberFormat="1" applyFont="1" applyFill="1" applyBorder="1" applyAlignment="1" applyProtection="1">
      <alignment horizontal="center" vertical="center" wrapText="1"/>
      <protection hidden="1"/>
    </xf>
    <xf numFmtId="0" fontId="26" fillId="21" borderId="0" xfId="0" applyFont="1" applyFill="1" applyAlignment="1" applyProtection="1">
      <alignment horizontal="left" vertical="center" wrapText="1"/>
      <protection hidden="1"/>
    </xf>
    <xf numFmtId="0" fontId="95" fillId="0" borderId="103" xfId="0" applyFont="1" applyBorder="1" applyAlignment="1" applyProtection="1">
      <alignment horizontal="left" vertical="center" wrapText="1"/>
      <protection hidden="1"/>
    </xf>
    <xf numFmtId="0" fontId="31" fillId="5" borderId="103" xfId="119" applyFont="1" applyFill="1" applyBorder="1" applyAlignment="1" applyProtection="1">
      <alignment horizontal="center" vertical="center"/>
      <protection hidden="1"/>
    </xf>
    <xf numFmtId="0" fontId="31" fillId="5" borderId="113" xfId="119" applyFont="1" applyFill="1" applyBorder="1" applyAlignment="1" applyProtection="1">
      <alignment horizontal="center" vertical="center"/>
      <protection hidden="1"/>
    </xf>
    <xf numFmtId="0" fontId="31" fillId="5" borderId="109" xfId="119" applyFont="1" applyFill="1" applyBorder="1" applyAlignment="1" applyProtection="1">
      <alignment horizontal="center" vertical="center"/>
      <protection hidden="1"/>
    </xf>
    <xf numFmtId="0" fontId="31" fillId="5" borderId="110" xfId="119" applyFont="1" applyFill="1" applyBorder="1" applyAlignment="1" applyProtection="1">
      <alignment horizontal="center" vertical="center"/>
      <protection hidden="1"/>
    </xf>
    <xf numFmtId="0" fontId="93" fillId="0" borderId="0" xfId="119" applyFont="1" applyAlignment="1" applyProtection="1">
      <alignment horizontal="center" vertical="center" wrapText="1"/>
      <protection hidden="1"/>
    </xf>
    <xf numFmtId="0" fontId="93" fillId="0" borderId="0" xfId="0" applyFont="1" applyAlignment="1">
      <alignment horizontal="center" vertical="center" wrapText="1"/>
    </xf>
    <xf numFmtId="0" fontId="32" fillId="0" borderId="13" xfId="119" applyFont="1" applyBorder="1" applyAlignment="1">
      <alignment horizontal="center" vertical="center"/>
    </xf>
    <xf numFmtId="0" fontId="32" fillId="0" borderId="23" xfId="119" applyFont="1" applyBorder="1" applyAlignment="1">
      <alignment horizontal="center" vertical="center"/>
    </xf>
    <xf numFmtId="0" fontId="32" fillId="0" borderId="14" xfId="119" applyFont="1" applyBorder="1" applyAlignment="1">
      <alignment horizontal="center" vertical="center"/>
    </xf>
    <xf numFmtId="0" fontId="28" fillId="0" borderId="6" xfId="119" applyFont="1" applyBorder="1" applyAlignment="1">
      <alignment horizontal="center" vertical="center"/>
    </xf>
    <xf numFmtId="0" fontId="26" fillId="21" borderId="0" xfId="0" applyFont="1" applyFill="1" applyAlignment="1">
      <alignment horizontal="left" vertical="center" wrapText="1"/>
    </xf>
    <xf numFmtId="0" fontId="94" fillId="0" borderId="0" xfId="119" applyFont="1" applyAlignment="1">
      <alignment horizontal="left" vertical="center" wrapText="1"/>
    </xf>
    <xf numFmtId="0" fontId="31" fillId="5" borderId="96" xfId="119" applyFont="1" applyFill="1" applyBorder="1" applyAlignment="1">
      <alignment horizontal="center" vertical="center"/>
    </xf>
    <xf numFmtId="0" fontId="31" fillId="5" borderId="97" xfId="119" applyFont="1" applyFill="1" applyBorder="1" applyAlignment="1">
      <alignment horizontal="center" vertical="center"/>
    </xf>
    <xf numFmtId="0" fontId="93" fillId="0" borderId="0" xfId="119" applyFont="1" applyAlignment="1">
      <alignment horizontal="center" vertical="center" wrapText="1"/>
    </xf>
    <xf numFmtId="0" fontId="28" fillId="0" borderId="0" xfId="119" applyFont="1" applyAlignment="1" applyProtection="1">
      <alignment horizontal="left" vertical="top" wrapText="1"/>
      <protection hidden="1"/>
    </xf>
    <xf numFmtId="0" fontId="28" fillId="0" borderId="0" xfId="119" applyFont="1" applyAlignment="1" applyProtection="1">
      <alignment horizontal="left" vertical="top"/>
      <protection hidden="1"/>
    </xf>
    <xf numFmtId="0" fontId="27" fillId="0" borderId="0" xfId="0" applyFont="1" applyAlignment="1" applyProtection="1">
      <alignment horizontal="left" vertical="top"/>
      <protection hidden="1"/>
    </xf>
    <xf numFmtId="0" fontId="104" fillId="0" borderId="58" xfId="112" applyFont="1" applyBorder="1" applyAlignment="1" applyProtection="1">
      <alignment horizontal="center" vertical="center"/>
      <protection hidden="1"/>
    </xf>
    <xf numFmtId="0" fontId="104" fillId="0" borderId="61" xfId="112" applyFont="1" applyBorder="1" applyAlignment="1" applyProtection="1">
      <alignment horizontal="center" vertical="center"/>
      <protection hidden="1"/>
    </xf>
    <xf numFmtId="0" fontId="104" fillId="0" borderId="62" xfId="112" applyFont="1" applyBorder="1" applyAlignment="1" applyProtection="1">
      <alignment horizontal="center" vertical="center"/>
      <protection hidden="1"/>
    </xf>
    <xf numFmtId="1" fontId="63" fillId="0" borderId="62" xfId="0" applyNumberFormat="1" applyFont="1" applyBorder="1" applyAlignment="1" applyProtection="1">
      <alignment horizontal="center" vertical="center"/>
      <protection hidden="1"/>
    </xf>
    <xf numFmtId="1" fontId="63" fillId="0" borderId="11" xfId="0" applyNumberFormat="1" applyFont="1" applyBorder="1" applyAlignment="1" applyProtection="1">
      <alignment horizontal="center" vertical="center"/>
      <protection hidden="1"/>
    </xf>
    <xf numFmtId="0" fontId="63" fillId="0" borderId="10" xfId="0" applyFont="1" applyBorder="1" applyAlignment="1" applyProtection="1">
      <alignment horizontal="center"/>
      <protection hidden="1"/>
    </xf>
    <xf numFmtId="0" fontId="63" fillId="0" borderId="0" xfId="0" applyFont="1" applyAlignment="1" applyProtection="1">
      <alignment horizontal="center"/>
      <protection hidden="1"/>
    </xf>
    <xf numFmtId="0" fontId="63" fillId="0" borderId="58" xfId="0" applyFont="1" applyBorder="1" applyAlignment="1" applyProtection="1">
      <alignment horizontal="center" vertical="center"/>
      <protection hidden="1"/>
    </xf>
    <xf numFmtId="0" fontId="63" fillId="0" borderId="61" xfId="0" applyFont="1" applyBorder="1" applyAlignment="1" applyProtection="1">
      <alignment horizontal="center" vertical="center"/>
      <protection hidden="1"/>
    </xf>
    <xf numFmtId="0" fontId="63" fillId="0" borderId="6" xfId="0" applyFont="1" applyBorder="1" applyAlignment="1" applyProtection="1">
      <alignment horizontal="center"/>
      <protection hidden="1"/>
    </xf>
    <xf numFmtId="1" fontId="63" fillId="0" borderId="58" xfId="0" applyNumberFormat="1" applyFont="1" applyBorder="1" applyAlignment="1" applyProtection="1">
      <alignment horizontal="center" vertical="center"/>
      <protection hidden="1"/>
    </xf>
    <xf numFmtId="1" fontId="63" fillId="0" borderId="61" xfId="0" applyNumberFormat="1" applyFont="1" applyBorder="1" applyAlignment="1" applyProtection="1">
      <alignment horizontal="center" vertical="center"/>
      <protection hidden="1"/>
    </xf>
    <xf numFmtId="1" fontId="63" fillId="0" borderId="0" xfId="0" applyNumberFormat="1" applyFont="1" applyAlignment="1" applyProtection="1">
      <alignment horizontal="center" vertical="center"/>
      <protection hidden="1"/>
    </xf>
    <xf numFmtId="1" fontId="63" fillId="0" borderId="10" xfId="0" applyNumberFormat="1" applyFont="1" applyBorder="1" applyAlignment="1" applyProtection="1">
      <alignment horizontal="center" vertical="center"/>
      <protection hidden="1"/>
    </xf>
    <xf numFmtId="165" fontId="10" fillId="0" borderId="0" xfId="141" applyNumberFormat="1" applyAlignment="1">
      <alignment horizontal="center"/>
    </xf>
    <xf numFmtId="0" fontId="26" fillId="0" borderId="0" xfId="63" applyFont="1" applyAlignment="1">
      <alignment horizontal="center"/>
    </xf>
    <xf numFmtId="0" fontId="26" fillId="0" borderId="11" xfId="63" applyFont="1" applyBorder="1" applyAlignment="1">
      <alignment horizontal="center"/>
    </xf>
    <xf numFmtId="2" fontId="31" fillId="6" borderId="31" xfId="137" applyNumberFormat="1" applyFont="1" applyFill="1" applyBorder="1" applyAlignment="1">
      <alignment horizontal="center" vertical="center" wrapText="1"/>
    </xf>
    <xf numFmtId="2" fontId="31" fillId="6" borderId="32" xfId="137" applyNumberFormat="1" applyFont="1" applyFill="1" applyBorder="1" applyAlignment="1">
      <alignment horizontal="center" vertical="center" wrapText="1"/>
    </xf>
    <xf numFmtId="2" fontId="31" fillId="6" borderId="29" xfId="137" applyNumberFormat="1" applyFont="1" applyFill="1" applyBorder="1" applyAlignment="1">
      <alignment horizontal="center" vertical="center" wrapText="1"/>
    </xf>
    <xf numFmtId="2" fontId="31" fillId="6" borderId="30" xfId="137" applyNumberFormat="1" applyFont="1" applyFill="1" applyBorder="1" applyAlignment="1">
      <alignment horizontal="center" vertical="center" wrapText="1"/>
    </xf>
    <xf numFmtId="0" fontId="27" fillId="29" borderId="6" xfId="63" applyFont="1" applyFill="1" applyBorder="1" applyAlignment="1">
      <alignment horizontal="center" vertical="center"/>
    </xf>
    <xf numFmtId="0" fontId="28" fillId="0" borderId="13" xfId="141" applyFont="1" applyBorder="1" applyAlignment="1">
      <alignment horizontal="center" vertical="center"/>
    </xf>
    <xf numFmtId="0" fontId="28" fillId="0" borderId="23" xfId="141" applyFont="1" applyBorder="1" applyAlignment="1">
      <alignment horizontal="center" vertical="center"/>
    </xf>
    <xf numFmtId="0" fontId="28" fillId="0" borderId="14" xfId="141" applyFont="1" applyBorder="1" applyAlignment="1">
      <alignment horizontal="center" vertical="center"/>
    </xf>
    <xf numFmtId="0" fontId="31" fillId="5" borderId="61" xfId="141" applyFont="1" applyFill="1" applyBorder="1" applyAlignment="1">
      <alignment horizontal="center" vertical="center"/>
    </xf>
    <xf numFmtId="0" fontId="31" fillId="5" borderId="62" xfId="141" applyFont="1" applyFill="1" applyBorder="1" applyAlignment="1">
      <alignment horizontal="center" vertical="center"/>
    </xf>
    <xf numFmtId="0" fontId="28" fillId="0" borderId="3" xfId="141" applyFont="1" applyBorder="1" applyAlignment="1">
      <alignment horizontal="center" vertical="center" wrapText="1"/>
    </xf>
    <xf numFmtId="0" fontId="28" fillId="0" borderId="4" xfId="141" applyFont="1" applyBorder="1" applyAlignment="1">
      <alignment horizontal="center" vertical="center" wrapText="1"/>
    </xf>
    <xf numFmtId="0" fontId="28" fillId="0" borderId="5" xfId="141" applyFont="1" applyBorder="1" applyAlignment="1">
      <alignment horizontal="center" vertical="center" wrapText="1"/>
    </xf>
    <xf numFmtId="2" fontId="105" fillId="0" borderId="75" xfId="137" applyNumberFormat="1" applyFont="1" applyBorder="1" applyAlignment="1">
      <alignment horizontal="center" vertical="center" wrapText="1"/>
    </xf>
    <xf numFmtId="2" fontId="105" fillId="0" borderId="40" xfId="137" applyNumberFormat="1" applyFont="1" applyBorder="1" applyAlignment="1">
      <alignment horizontal="center" vertical="center"/>
    </xf>
    <xf numFmtId="2" fontId="105" fillId="0" borderId="2" xfId="136" applyNumberFormat="1" applyFont="1" applyBorder="1" applyAlignment="1">
      <alignment horizontal="center" vertical="center" wrapText="1"/>
    </xf>
    <xf numFmtId="2" fontId="105" fillId="0" borderId="15" xfId="136" applyNumberFormat="1" applyFont="1" applyBorder="1" applyAlignment="1">
      <alignment horizontal="center" vertical="center" wrapText="1"/>
    </xf>
    <xf numFmtId="2" fontId="105" fillId="0" borderId="25" xfId="136" applyNumberFormat="1" applyFont="1" applyBorder="1" applyAlignment="1">
      <alignment horizontal="center" vertical="center"/>
    </xf>
    <xf numFmtId="2" fontId="105" fillId="0" borderId="17" xfId="136" applyNumberFormat="1" applyFont="1" applyBorder="1" applyAlignment="1">
      <alignment horizontal="center" vertical="center"/>
    </xf>
    <xf numFmtId="0" fontId="28" fillId="0" borderId="56" xfId="138" applyFont="1" applyBorder="1" applyAlignment="1">
      <alignment horizontal="center" vertical="center"/>
    </xf>
    <xf numFmtId="0" fontId="28" fillId="0" borderId="18" xfId="138" applyFont="1" applyBorder="1" applyAlignment="1">
      <alignment horizontal="center" vertical="center"/>
    </xf>
    <xf numFmtId="3" fontId="28" fillId="0" borderId="25" xfId="136" applyNumberFormat="1" applyFont="1" applyBorder="1" applyAlignment="1">
      <alignment horizontal="center" vertical="center"/>
    </xf>
    <xf numFmtId="3" fontId="28" fillId="0" borderId="17" xfId="136" applyNumberFormat="1" applyFont="1" applyBorder="1" applyAlignment="1">
      <alignment horizontal="center" vertical="center"/>
    </xf>
    <xf numFmtId="2" fontId="105" fillId="0" borderId="56" xfId="136" applyNumberFormat="1" applyFont="1" applyBorder="1" applyAlignment="1">
      <alignment horizontal="center" vertical="center"/>
    </xf>
    <xf numFmtId="2" fontId="105" fillId="0" borderId="18" xfId="136" applyNumberFormat="1" applyFont="1" applyBorder="1" applyAlignment="1">
      <alignment horizontal="center" vertical="center" wrapText="1"/>
    </xf>
    <xf numFmtId="2" fontId="105" fillId="0" borderId="13" xfId="137" applyNumberFormat="1" applyFont="1" applyBorder="1" applyAlignment="1">
      <alignment horizontal="center" vertical="center" wrapText="1"/>
    </xf>
    <xf numFmtId="2" fontId="105" fillId="0" borderId="39" xfId="137" applyNumberFormat="1" applyFont="1" applyBorder="1" applyAlignment="1">
      <alignment horizontal="center" vertical="center"/>
    </xf>
    <xf numFmtId="2" fontId="105" fillId="0" borderId="5" xfId="136" applyNumberFormat="1" applyFont="1" applyBorder="1" applyAlignment="1">
      <alignment horizontal="center" vertical="center" wrapText="1"/>
    </xf>
    <xf numFmtId="0" fontId="28" fillId="0" borderId="25" xfId="119" applyFont="1" applyBorder="1" applyAlignment="1">
      <alignment horizontal="center"/>
    </xf>
    <xf numFmtId="0" fontId="28" fillId="0" borderId="17" xfId="119" applyFont="1" applyBorder="1" applyAlignment="1">
      <alignment horizontal="center"/>
    </xf>
    <xf numFmtId="0" fontId="28" fillId="26" borderId="19" xfId="137" applyFont="1" applyFill="1" applyBorder="1" applyAlignment="1">
      <alignment horizontal="center"/>
    </xf>
    <xf numFmtId="2" fontId="105" fillId="0" borderId="63" xfId="136" applyNumberFormat="1" applyFont="1" applyBorder="1" applyAlignment="1">
      <alignment horizontal="center" vertical="center"/>
    </xf>
    <xf numFmtId="0" fontId="28" fillId="0" borderId="56" xfId="119" applyFont="1" applyBorder="1" applyAlignment="1">
      <alignment horizontal="center"/>
    </xf>
    <xf numFmtId="0" fontId="28" fillId="0" borderId="18" xfId="119" applyFont="1" applyBorder="1" applyAlignment="1">
      <alignment horizontal="center"/>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19" fillId="0" borderId="86" xfId="0" applyFont="1"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79" fillId="0" borderId="0" xfId="0" applyFont="1" applyAlignment="1">
      <alignment horizontal="center" wrapText="1"/>
    </xf>
    <xf numFmtId="0" fontId="19" fillId="0" borderId="66" xfId="0" applyFont="1" applyBorder="1" applyAlignment="1">
      <alignment horizontal="center" vertical="center" wrapText="1"/>
    </xf>
    <xf numFmtId="0" fontId="19" fillId="0" borderId="88" xfId="0" applyFont="1" applyBorder="1" applyAlignment="1">
      <alignment horizontal="center" vertical="center" wrapText="1"/>
    </xf>
    <xf numFmtId="0" fontId="63" fillId="0" borderId="0" xfId="0" applyFont="1" applyAlignment="1">
      <alignment horizontal="center" vertical="center"/>
    </xf>
    <xf numFmtId="0" fontId="63" fillId="0" borderId="0" xfId="0" applyFont="1" applyAlignment="1">
      <alignment horizontal="center" vertical="center" wrapText="1"/>
    </xf>
    <xf numFmtId="0" fontId="63" fillId="0" borderId="25" xfId="0" applyFont="1" applyBorder="1" applyAlignment="1">
      <alignment horizontal="center" vertical="center"/>
    </xf>
    <xf numFmtId="168" fontId="63" fillId="0" borderId="17" xfId="0" applyNumberFormat="1" applyFont="1" applyBorder="1" applyAlignment="1">
      <alignment horizontal="center" vertical="center"/>
    </xf>
    <xf numFmtId="168" fontId="63" fillId="0" borderId="15" xfId="0" applyNumberFormat="1" applyFont="1" applyBorder="1" applyAlignment="1">
      <alignment horizontal="center" vertical="center"/>
    </xf>
    <xf numFmtId="0" fontId="63" fillId="0" borderId="25" xfId="0" applyFont="1" applyBorder="1" applyAlignment="1">
      <alignment horizontal="center"/>
    </xf>
    <xf numFmtId="0" fontId="63" fillId="0" borderId="56" xfId="0" applyFont="1" applyBorder="1" applyAlignment="1">
      <alignment horizontal="center" wrapText="1"/>
    </xf>
    <xf numFmtId="0" fontId="63" fillId="0" borderId="18" xfId="0" applyFont="1" applyBorder="1" applyAlignment="1">
      <alignment horizontal="center" wrapText="1"/>
    </xf>
    <xf numFmtId="0" fontId="36" fillId="21" borderId="0" xfId="0" applyFont="1" applyFill="1" applyAlignment="1">
      <alignment horizontal="left" vertical="center" wrapText="1"/>
    </xf>
    <xf numFmtId="0" fontId="36" fillId="21" borderId="0" xfId="0" applyFont="1" applyFill="1" applyAlignment="1" applyProtection="1">
      <alignment horizontal="left" vertical="center" wrapText="1"/>
      <protection hidden="1"/>
    </xf>
    <xf numFmtId="0" fontId="3" fillId="20" borderId="0" xfId="130" applyFont="1" applyFill="1" applyAlignment="1">
      <alignment horizontal="left" vertical="center" wrapText="1"/>
    </xf>
    <xf numFmtId="0" fontId="32" fillId="0" borderId="13" xfId="130" applyFont="1" applyBorder="1" applyAlignment="1">
      <alignment horizontal="center" vertical="center"/>
    </xf>
    <xf numFmtId="0" fontId="32" fillId="0" borderId="23" xfId="130" applyFont="1" applyBorder="1" applyAlignment="1">
      <alignment horizontal="center" vertical="center"/>
    </xf>
    <xf numFmtId="0" fontId="32" fillId="0" borderId="61" xfId="130" applyFont="1" applyBorder="1" applyAlignment="1">
      <alignment horizontal="center" vertical="center"/>
    </xf>
    <xf numFmtId="0" fontId="32" fillId="0" borderId="14" xfId="130" applyFont="1" applyBorder="1" applyAlignment="1">
      <alignment horizontal="center" vertical="center"/>
    </xf>
    <xf numFmtId="0" fontId="32" fillId="0" borderId="3" xfId="130" applyFont="1" applyBorder="1" applyAlignment="1">
      <alignment horizontal="center" vertical="center" wrapText="1"/>
    </xf>
    <xf numFmtId="0" fontId="32" fillId="0" borderId="4" xfId="130" applyFont="1" applyBorder="1" applyAlignment="1">
      <alignment horizontal="center" vertical="center" wrapText="1"/>
    </xf>
    <xf numFmtId="0" fontId="32" fillId="0" borderId="5" xfId="130" applyFont="1" applyBorder="1" applyAlignment="1">
      <alignment horizontal="center" vertical="center" wrapText="1"/>
    </xf>
    <xf numFmtId="0" fontId="32" fillId="0" borderId="4" xfId="130" applyFont="1" applyBorder="1" applyAlignment="1">
      <alignment horizontal="center" vertical="center"/>
    </xf>
    <xf numFmtId="0" fontId="32" fillId="0" borderId="5" xfId="130" applyFont="1" applyBorder="1" applyAlignment="1">
      <alignment horizontal="center" vertical="center"/>
    </xf>
    <xf numFmtId="2" fontId="28" fillId="23" borderId="56" xfId="131" applyNumberFormat="1" applyFont="1" applyFill="1" applyBorder="1" applyAlignment="1">
      <alignment horizontal="center" vertical="center" wrapText="1"/>
    </xf>
    <xf numFmtId="2" fontId="28" fillId="23" borderId="17" xfId="131" applyNumberFormat="1" applyFont="1" applyFill="1" applyBorder="1" applyAlignment="1">
      <alignment horizontal="center" vertical="center" wrapText="1"/>
    </xf>
    <xf numFmtId="2" fontId="28" fillId="23" borderId="18" xfId="131" applyNumberFormat="1" applyFont="1" applyFill="1" applyBorder="1" applyAlignment="1">
      <alignment horizontal="center" vertical="center" wrapText="1"/>
    </xf>
    <xf numFmtId="2" fontId="28" fillId="23" borderId="15" xfId="131" applyNumberFormat="1" applyFont="1" applyFill="1" applyBorder="1" applyAlignment="1">
      <alignment horizontal="center" vertical="center" wrapText="1"/>
    </xf>
    <xf numFmtId="0" fontId="32" fillId="22" borderId="58" xfId="130" applyFont="1" applyFill="1" applyBorder="1" applyAlignment="1">
      <alignment horizontal="center" vertical="center" wrapText="1"/>
    </xf>
    <xf numFmtId="0" fontId="32" fillId="22" borderId="62" xfId="130" applyFont="1" applyFill="1" applyBorder="1" applyAlignment="1">
      <alignment horizontal="center" vertical="center"/>
    </xf>
    <xf numFmtId="0" fontId="32" fillId="22" borderId="70" xfId="130" applyFont="1" applyFill="1" applyBorder="1" applyAlignment="1">
      <alignment horizontal="center" vertical="center"/>
    </xf>
    <xf numFmtId="0" fontId="32" fillId="22" borderId="30" xfId="130" applyFont="1" applyFill="1" applyBorder="1" applyAlignment="1">
      <alignment horizontal="center" vertical="center"/>
    </xf>
    <xf numFmtId="2" fontId="31" fillId="6" borderId="124" xfId="131" applyNumberFormat="1" applyFont="1" applyFill="1" applyBorder="1" applyAlignment="1">
      <alignment horizontal="center" vertical="center" wrapText="1"/>
    </xf>
    <xf numFmtId="2" fontId="31" fillId="6" borderId="32" xfId="131" applyNumberFormat="1" applyFont="1" applyFill="1" applyBorder="1" applyAlignment="1">
      <alignment horizontal="center" vertical="center" wrapText="1"/>
    </xf>
    <xf numFmtId="2" fontId="31" fillId="6" borderId="6" xfId="131" applyNumberFormat="1" applyFont="1" applyFill="1" applyBorder="1" applyAlignment="1">
      <alignment horizontal="center" vertical="center" wrapText="1"/>
    </xf>
    <xf numFmtId="2" fontId="31" fillId="6" borderId="30" xfId="131" applyNumberFormat="1" applyFont="1" applyFill="1" applyBorder="1" applyAlignment="1">
      <alignment horizontal="center" vertical="center" wrapText="1"/>
    </xf>
    <xf numFmtId="0" fontId="31" fillId="5" borderId="61" xfId="130" applyFont="1" applyFill="1" applyBorder="1" applyAlignment="1">
      <alignment horizontal="center" vertical="center"/>
    </xf>
    <xf numFmtId="0" fontId="31" fillId="5" borderId="62" xfId="130" applyFont="1" applyFill="1" applyBorder="1" applyAlignment="1">
      <alignment horizontal="center" vertical="center"/>
    </xf>
    <xf numFmtId="2" fontId="31" fillId="6" borderId="24" xfId="26" applyNumberFormat="1" applyFont="1" applyFill="1" applyBorder="1" applyAlignment="1" applyProtection="1">
      <alignment horizontal="center" vertical="center" wrapText="1"/>
      <protection hidden="1"/>
    </xf>
    <xf numFmtId="2" fontId="31" fillId="6" borderId="11" xfId="26" applyNumberFormat="1" applyFont="1" applyFill="1" applyBorder="1" applyAlignment="1" applyProtection="1">
      <alignment horizontal="center" vertical="center" wrapText="1"/>
      <protection hidden="1"/>
    </xf>
    <xf numFmtId="2" fontId="59" fillId="6" borderId="24" xfId="26" applyNumberFormat="1" applyFont="1" applyFill="1" applyBorder="1" applyAlignment="1" applyProtection="1">
      <alignment horizontal="center" vertical="center" wrapText="1"/>
      <protection hidden="1"/>
    </xf>
    <xf numFmtId="0" fontId="32" fillId="0" borderId="21" xfId="119" applyFont="1" applyBorder="1" applyAlignment="1" applyProtection="1">
      <alignment horizontal="center" vertical="center"/>
      <protection hidden="1"/>
    </xf>
    <xf numFmtId="0" fontId="32" fillId="0" borderId="60" xfId="119" applyFont="1" applyBorder="1" applyAlignment="1" applyProtection="1">
      <alignment horizontal="center" vertical="center"/>
      <protection hidden="1"/>
    </xf>
    <xf numFmtId="0" fontId="32" fillId="0" borderId="22" xfId="119" applyFont="1" applyBorder="1" applyAlignment="1" applyProtection="1">
      <alignment horizontal="center" vertical="center"/>
      <protection hidden="1"/>
    </xf>
    <xf numFmtId="0" fontId="31" fillId="5" borderId="61" xfId="130" applyFont="1" applyFill="1" applyBorder="1" applyAlignment="1" applyProtection="1">
      <alignment horizontal="center" vertical="center"/>
      <protection hidden="1"/>
    </xf>
    <xf numFmtId="0" fontId="31" fillId="5" borderId="62" xfId="130" applyFont="1" applyFill="1" applyBorder="1" applyAlignment="1" applyProtection="1">
      <alignment horizontal="center" vertical="center"/>
      <protection hidden="1"/>
    </xf>
    <xf numFmtId="0" fontId="3" fillId="20" borderId="0" xfId="130" applyFont="1" applyFill="1" applyAlignment="1" applyProtection="1">
      <alignment horizontal="left" vertical="center" wrapText="1"/>
      <protection hidden="1"/>
    </xf>
    <xf numFmtId="0" fontId="12" fillId="20" borderId="0" xfId="130" applyFill="1" applyAlignment="1" applyProtection="1">
      <alignment horizontal="left" vertical="center" wrapText="1"/>
      <protection hidden="1"/>
    </xf>
    <xf numFmtId="0" fontId="32" fillId="0" borderId="13" xfId="130" applyFont="1" applyBorder="1" applyAlignment="1" applyProtection="1">
      <alignment horizontal="center" vertical="center"/>
      <protection hidden="1"/>
    </xf>
    <xf numFmtId="0" fontId="32" fillId="0" borderId="23" xfId="130" applyFont="1" applyBorder="1" applyAlignment="1" applyProtection="1">
      <alignment horizontal="center" vertical="center"/>
      <protection hidden="1"/>
    </xf>
    <xf numFmtId="0" fontId="32" fillId="0" borderId="14" xfId="130" applyFont="1" applyBorder="1" applyAlignment="1" applyProtection="1">
      <alignment horizontal="center" vertical="center"/>
      <protection hidden="1"/>
    </xf>
    <xf numFmtId="2" fontId="31" fillId="6" borderId="124" xfId="131" applyNumberFormat="1" applyFont="1" applyFill="1" applyBorder="1" applyAlignment="1" applyProtection="1">
      <alignment horizontal="center" vertical="center" wrapText="1"/>
      <protection hidden="1"/>
    </xf>
    <xf numFmtId="2" fontId="31" fillId="6" borderId="32" xfId="131" applyNumberFormat="1" applyFont="1" applyFill="1" applyBorder="1" applyAlignment="1" applyProtection="1">
      <alignment horizontal="center" vertical="center" wrapText="1"/>
      <protection hidden="1"/>
    </xf>
    <xf numFmtId="2" fontId="31" fillId="6" borderId="6" xfId="131" applyNumberFormat="1" applyFont="1" applyFill="1" applyBorder="1" applyAlignment="1" applyProtection="1">
      <alignment horizontal="center" vertical="center" wrapText="1"/>
      <protection hidden="1"/>
    </xf>
    <xf numFmtId="2" fontId="31" fillId="6" borderId="30" xfId="131" applyNumberFormat="1" applyFont="1" applyFill="1" applyBorder="1" applyAlignment="1" applyProtection="1">
      <alignment horizontal="center" vertical="center" wrapText="1"/>
      <protection hidden="1"/>
    </xf>
    <xf numFmtId="0" fontId="32" fillId="0" borderId="3" xfId="130" applyFont="1" applyBorder="1" applyAlignment="1" applyProtection="1">
      <alignment horizontal="center" vertical="center" wrapText="1"/>
      <protection hidden="1"/>
    </xf>
    <xf numFmtId="0" fontId="32" fillId="0" borderId="4" xfId="130" applyFont="1" applyBorder="1" applyAlignment="1" applyProtection="1">
      <alignment horizontal="center" vertical="center" wrapText="1"/>
      <protection hidden="1"/>
    </xf>
    <xf numFmtId="0" fontId="32" fillId="0" borderId="3" xfId="130" applyFont="1" applyBorder="1" applyAlignment="1" applyProtection="1">
      <alignment horizontal="center" vertical="center"/>
      <protection hidden="1"/>
    </xf>
    <xf numFmtId="0" fontId="32" fillId="0" borderId="4" xfId="130" applyFont="1" applyBorder="1" applyAlignment="1" applyProtection="1">
      <alignment horizontal="center" vertical="center"/>
      <protection hidden="1"/>
    </xf>
    <xf numFmtId="0" fontId="63" fillId="0" borderId="58" xfId="0" applyFont="1" applyBorder="1" applyAlignment="1" applyProtection="1">
      <alignment horizontal="center"/>
      <protection hidden="1"/>
    </xf>
    <xf numFmtId="0" fontId="63" fillId="22" borderId="61" xfId="0" applyFont="1" applyFill="1" applyBorder="1" applyAlignment="1" applyProtection="1">
      <alignment horizontal="center"/>
      <protection hidden="1"/>
    </xf>
    <xf numFmtId="0" fontId="63" fillId="22" borderId="62" xfId="0" applyFont="1" applyFill="1" applyBorder="1" applyAlignment="1" applyProtection="1">
      <alignment horizontal="center"/>
      <protection hidden="1"/>
    </xf>
    <xf numFmtId="0" fontId="63" fillId="0" borderId="56" xfId="0" applyFont="1" applyBorder="1" applyAlignment="1" applyProtection="1">
      <alignment horizontal="center" vertical="center"/>
      <protection hidden="1"/>
    </xf>
    <xf numFmtId="0" fontId="63" fillId="0" borderId="25" xfId="0" applyFont="1" applyBorder="1" applyAlignment="1" applyProtection="1">
      <alignment horizontal="center" vertical="center"/>
      <protection hidden="1"/>
    </xf>
    <xf numFmtId="0" fontId="63" fillId="0" borderId="17" xfId="0" applyFont="1" applyBorder="1" applyAlignment="1" applyProtection="1">
      <alignment horizontal="center" vertical="center"/>
      <protection hidden="1"/>
    </xf>
    <xf numFmtId="0" fontId="19" fillId="0" borderId="63" xfId="0" applyFont="1" applyBorder="1" applyAlignment="1" applyProtection="1">
      <alignment horizontal="center" vertical="center"/>
      <protection hidden="1"/>
    </xf>
    <xf numFmtId="0" fontId="19" fillId="0" borderId="25" xfId="0" applyFont="1" applyBorder="1" applyAlignment="1" applyProtection="1">
      <alignment horizontal="center" vertical="center"/>
      <protection hidden="1"/>
    </xf>
    <xf numFmtId="0" fontId="19" fillId="0" borderId="17" xfId="0" applyFont="1" applyBorder="1" applyAlignment="1" applyProtection="1">
      <alignment horizontal="center" vertical="center"/>
      <protection hidden="1"/>
    </xf>
    <xf numFmtId="0" fontId="63" fillId="0" borderId="21" xfId="0" applyFont="1" applyBorder="1" applyAlignment="1" applyProtection="1">
      <alignment horizontal="center"/>
      <protection hidden="1"/>
    </xf>
    <xf numFmtId="0" fontId="63" fillId="0" borderId="60" xfId="0" applyFont="1" applyBorder="1" applyAlignment="1" applyProtection="1">
      <alignment horizontal="center"/>
      <protection hidden="1"/>
    </xf>
    <xf numFmtId="0" fontId="63" fillId="0" borderId="22" xfId="0" applyFont="1" applyBorder="1" applyAlignment="1" applyProtection="1">
      <alignment horizontal="center"/>
      <protection hidden="1"/>
    </xf>
    <xf numFmtId="0" fontId="19"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19" fillId="0" borderId="0" xfId="0" applyFont="1" applyAlignment="1" applyProtection="1">
      <alignment horizontal="right" indent="1"/>
      <protection hidden="1"/>
    </xf>
    <xf numFmtId="0" fontId="0" fillId="0" borderId="0" xfId="0" applyAlignment="1" applyProtection="1">
      <alignment horizontal="right" indent="1"/>
      <protection hidden="1"/>
    </xf>
    <xf numFmtId="0" fontId="19"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19" fillId="0" borderId="0" xfId="0" applyFont="1" applyAlignment="1" applyProtection="1">
      <alignment horizontal="right"/>
      <protection hidden="1"/>
    </xf>
    <xf numFmtId="0" fontId="19" fillId="0" borderId="11" xfId="0" applyFont="1" applyBorder="1" applyAlignment="1" applyProtection="1">
      <alignment horizontal="right"/>
      <protection hidden="1"/>
    </xf>
    <xf numFmtId="0" fontId="63" fillId="0" borderId="25" xfId="0" applyFont="1" applyBorder="1" applyAlignment="1" applyProtection="1">
      <alignment horizontal="center"/>
      <protection hidden="1"/>
    </xf>
    <xf numFmtId="0" fontId="19" fillId="0" borderId="61" xfId="0" applyFont="1" applyBorder="1" applyAlignment="1" applyProtection="1">
      <alignment horizontal="right"/>
      <protection hidden="1"/>
    </xf>
    <xf numFmtId="0" fontId="19" fillId="0" borderId="62" xfId="0" applyFont="1" applyBorder="1" applyAlignment="1" applyProtection="1">
      <alignment horizontal="right"/>
      <protection hidden="1"/>
    </xf>
    <xf numFmtId="0" fontId="19" fillId="0" borderId="11" xfId="0" applyFont="1" applyBorder="1" applyAlignment="1" applyProtection="1">
      <alignment horizontal="right" indent="1"/>
      <protection hidden="1"/>
    </xf>
    <xf numFmtId="0" fontId="63" fillId="0" borderId="17" xfId="0" applyFont="1" applyBorder="1" applyAlignment="1" applyProtection="1">
      <alignment horizontal="center"/>
      <protection hidden="1"/>
    </xf>
    <xf numFmtId="0" fontId="63" fillId="29" borderId="56" xfId="0" applyFont="1" applyFill="1" applyBorder="1" applyAlignment="1" applyProtection="1">
      <alignment horizontal="center"/>
      <protection hidden="1"/>
    </xf>
    <xf numFmtId="0" fontId="63" fillId="29" borderId="25" xfId="0" applyFont="1" applyFill="1" applyBorder="1" applyAlignment="1" applyProtection="1">
      <alignment horizontal="center"/>
      <protection hidden="1"/>
    </xf>
    <xf numFmtId="0" fontId="19"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12" fillId="20" borderId="0" xfId="130" applyFill="1" applyAlignment="1">
      <alignment horizontal="left" vertical="center" wrapText="1"/>
    </xf>
    <xf numFmtId="2" fontId="31" fillId="6" borderId="31" xfId="131" applyNumberFormat="1" applyFont="1" applyFill="1" applyBorder="1" applyAlignment="1">
      <alignment horizontal="center" vertical="center" wrapText="1"/>
    </xf>
    <xf numFmtId="2" fontId="31" fillId="6" borderId="29" xfId="131" applyNumberFormat="1" applyFont="1" applyFill="1" applyBorder="1" applyAlignment="1">
      <alignment horizontal="center" vertical="center" wrapText="1"/>
    </xf>
    <xf numFmtId="0" fontId="32" fillId="0" borderId="21" xfId="119" applyFont="1" applyBorder="1" applyAlignment="1">
      <alignment horizontal="center" vertical="center"/>
    </xf>
    <xf numFmtId="0" fontId="32" fillId="0" borderId="60" xfId="119" applyFont="1" applyBorder="1" applyAlignment="1">
      <alignment horizontal="center" vertical="center"/>
    </xf>
    <xf numFmtId="0" fontId="32" fillId="0" borderId="22" xfId="119" applyFont="1" applyBorder="1" applyAlignment="1">
      <alignment horizontal="center" vertical="center"/>
    </xf>
    <xf numFmtId="2" fontId="31" fillId="6" borderId="24" xfId="26" applyNumberFormat="1" applyFont="1" applyFill="1" applyBorder="1" applyAlignment="1">
      <alignment horizontal="center" vertical="center" wrapText="1"/>
    </xf>
    <xf numFmtId="2" fontId="31" fillId="6" borderId="11" xfId="26" applyNumberFormat="1" applyFont="1" applyFill="1" applyBorder="1" applyAlignment="1">
      <alignment horizontal="center" vertical="center" wrapText="1"/>
    </xf>
    <xf numFmtId="2" fontId="59" fillId="6" borderId="24" xfId="26" applyNumberFormat="1" applyFont="1" applyFill="1" applyBorder="1" applyAlignment="1">
      <alignment horizontal="center" vertical="center" wrapText="1"/>
    </xf>
    <xf numFmtId="0" fontId="63" fillId="0" borderId="13" xfId="0" applyFont="1" applyBorder="1" applyAlignment="1">
      <alignment horizontal="center"/>
    </xf>
    <xf numFmtId="0" fontId="63" fillId="0" borderId="39" xfId="0" applyFont="1" applyBorder="1" applyAlignment="1">
      <alignment horizontal="center"/>
    </xf>
    <xf numFmtId="171" fontId="63" fillId="0" borderId="104" xfId="0" applyNumberFormat="1" applyFont="1" applyBorder="1" applyAlignment="1">
      <alignment horizontal="center"/>
    </xf>
    <xf numFmtId="171" fontId="63" fillId="0" borderId="23" xfId="0" applyNumberFormat="1" applyFont="1" applyBorder="1" applyAlignment="1">
      <alignment horizontal="center"/>
    </xf>
    <xf numFmtId="171" fontId="63" fillId="0" borderId="14" xfId="0" applyNumberFormat="1" applyFont="1" applyBorder="1" applyAlignment="1">
      <alignment horizontal="center"/>
    </xf>
    <xf numFmtId="0" fontId="28" fillId="0" borderId="75" xfId="134" applyFont="1" applyBorder="1" applyAlignment="1">
      <alignment horizontal="center" vertical="center"/>
    </xf>
    <xf numFmtId="0" fontId="28" fillId="0" borderId="40" xfId="134" applyFont="1" applyBorder="1" applyAlignment="1">
      <alignment horizontal="center" vertical="center"/>
    </xf>
    <xf numFmtId="171" fontId="63" fillId="0" borderId="56" xfId="0" applyNumberFormat="1" applyFont="1" applyBorder="1" applyAlignment="1">
      <alignment horizontal="center"/>
    </xf>
    <xf numFmtId="171" fontId="63" fillId="0" borderId="25" xfId="0" applyNumberFormat="1" applyFont="1" applyBorder="1" applyAlignment="1">
      <alignment horizontal="center"/>
    </xf>
    <xf numFmtId="171" fontId="63" fillId="0" borderId="17" xfId="0" applyNumberFormat="1" applyFont="1" applyBorder="1" applyAlignment="1">
      <alignment horizontal="center"/>
    </xf>
    <xf numFmtId="171" fontId="63" fillId="0" borderId="18" xfId="0" applyNumberFormat="1" applyFont="1" applyBorder="1" applyAlignment="1">
      <alignment horizontal="center"/>
    </xf>
    <xf numFmtId="171" fontId="63" fillId="0" borderId="2" xfId="0" applyNumberFormat="1" applyFont="1" applyBorder="1" applyAlignment="1">
      <alignment horizontal="center"/>
    </xf>
    <xf numFmtId="171" fontId="63" fillId="0" borderId="15" xfId="0" applyNumberFormat="1" applyFont="1" applyBorder="1" applyAlignment="1">
      <alignment horizontal="center"/>
    </xf>
    <xf numFmtId="0" fontId="63" fillId="0" borderId="13" xfId="0" applyFont="1" applyBorder="1" applyAlignment="1">
      <alignment horizontal="center" vertical="center" wrapText="1"/>
    </xf>
    <xf numFmtId="0" fontId="63" fillId="0" borderId="39" xfId="0" applyFont="1" applyBorder="1" applyAlignment="1">
      <alignment horizontal="center" vertical="center"/>
    </xf>
    <xf numFmtId="0" fontId="28" fillId="2" borderId="60" xfId="134" applyFont="1" applyFill="1" applyBorder="1" applyAlignment="1">
      <alignment horizontal="center" vertical="center"/>
    </xf>
    <xf numFmtId="0" fontId="28" fillId="2" borderId="22" xfId="134" applyFont="1" applyFill="1" applyBorder="1" applyAlignment="1">
      <alignment horizontal="center" vertical="center"/>
    </xf>
    <xf numFmtId="0" fontId="28" fillId="2" borderId="21" xfId="134" applyFont="1" applyFill="1" applyBorder="1" applyAlignment="1">
      <alignment horizontal="center" vertical="center"/>
    </xf>
    <xf numFmtId="171" fontId="63" fillId="0" borderId="58" xfId="0" applyNumberFormat="1" applyFont="1" applyBorder="1" applyAlignment="1">
      <alignment horizontal="center" vertical="center"/>
    </xf>
    <xf numFmtId="171" fontId="63" fillId="0" borderId="62" xfId="0" applyNumberFormat="1" applyFont="1" applyBorder="1" applyAlignment="1">
      <alignment horizontal="center" vertical="center"/>
    </xf>
    <xf numFmtId="171" fontId="63" fillId="0" borderId="70" xfId="0" applyNumberFormat="1" applyFont="1" applyBorder="1" applyAlignment="1">
      <alignment horizontal="center" vertical="center"/>
    </xf>
    <xf numFmtId="171" fontId="63" fillId="0" borderId="30" xfId="0" applyNumberFormat="1" applyFont="1" applyBorder="1" applyAlignment="1">
      <alignment horizontal="center" vertical="center"/>
    </xf>
    <xf numFmtId="171" fontId="63" fillId="0" borderId="63" xfId="0" applyNumberFormat="1" applyFont="1" applyBorder="1" applyAlignment="1">
      <alignment horizontal="center"/>
    </xf>
    <xf numFmtId="171" fontId="63" fillId="0" borderId="5" xfId="0" applyNumberFormat="1" applyFont="1" applyBorder="1" applyAlignment="1">
      <alignment horizontal="center"/>
    </xf>
    <xf numFmtId="0" fontId="93" fillId="0" borderId="0" xfId="130" applyFont="1" applyAlignment="1">
      <alignment horizontal="left" vertical="center" wrapText="1"/>
    </xf>
    <xf numFmtId="0" fontId="31" fillId="5" borderId="61" xfId="145" applyFont="1" applyFill="1" applyBorder="1" applyAlignment="1">
      <alignment horizontal="center" vertical="center"/>
    </xf>
    <xf numFmtId="0" fontId="31" fillId="5" borderId="62" xfId="145" applyFont="1" applyFill="1" applyBorder="1" applyAlignment="1">
      <alignment horizontal="center" vertical="center"/>
    </xf>
    <xf numFmtId="2" fontId="31" fillId="6" borderId="31" xfId="146" applyNumberFormat="1" applyFont="1" applyFill="1" applyBorder="1" applyAlignment="1">
      <alignment horizontal="center" vertical="center" wrapText="1"/>
    </xf>
    <xf numFmtId="2" fontId="31" fillId="6" borderId="32" xfId="146" applyNumberFormat="1" applyFont="1" applyFill="1" applyBorder="1" applyAlignment="1">
      <alignment horizontal="center" vertical="center" wrapText="1"/>
    </xf>
    <xf numFmtId="2" fontId="31" fillId="6" borderId="29" xfId="146" applyNumberFormat="1" applyFont="1" applyFill="1" applyBorder="1" applyAlignment="1">
      <alignment horizontal="center" vertical="center" wrapText="1"/>
    </xf>
    <xf numFmtId="2" fontId="31" fillId="6" borderId="30" xfId="146" applyNumberFormat="1" applyFont="1" applyFill="1" applyBorder="1" applyAlignment="1">
      <alignment horizontal="center" vertical="center" wrapText="1"/>
    </xf>
    <xf numFmtId="0" fontId="3" fillId="0" borderId="6" xfId="145" applyFont="1" applyBorder="1" applyAlignment="1">
      <alignment horizontal="center" vertical="center"/>
    </xf>
    <xf numFmtId="0" fontId="9" fillId="0" borderId="6" xfId="145" applyBorder="1" applyAlignment="1">
      <alignment horizontal="center" vertical="center"/>
    </xf>
    <xf numFmtId="0" fontId="32" fillId="0" borderId="13" xfId="145" applyFont="1" applyBorder="1" applyAlignment="1">
      <alignment horizontal="center" vertical="center"/>
    </xf>
    <xf numFmtId="0" fontId="32" fillId="0" borderId="23" xfId="145" applyFont="1" applyBorder="1" applyAlignment="1">
      <alignment horizontal="center" vertical="center"/>
    </xf>
    <xf numFmtId="0" fontId="32" fillId="0" borderId="14" xfId="145" applyFont="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microsoft.com/office/2017/10/relationships/person" Target="persons/perso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pivotCacheDefinition" Target="pivotCache/pivotCacheDefinition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eetMetadata" Target="metadata.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pivotCacheDefinition" Target="pivotCache/pivotCacheDefinition1.xml"/><Relationship Id="rId81" Type="http://schemas.openxmlformats.org/officeDocument/2006/relationships/styles" Target="styles.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236445</xdr:colOff>
      <xdr:row>40</xdr:row>
      <xdr:rowOff>185681</xdr:rowOff>
    </xdr:from>
    <xdr:to>
      <xdr:col>20</xdr:col>
      <xdr:colOff>307094</xdr:colOff>
      <xdr:row>64</xdr:row>
      <xdr:rowOff>13440</xdr:rowOff>
    </xdr:to>
    <xdr:pic>
      <xdr:nvPicPr>
        <xdr:cNvPr id="2" name="Picture 1">
          <a:extLst>
            <a:ext uri="{FF2B5EF4-FFF2-40B4-BE49-F238E27FC236}">
              <a16:creationId xmlns:a16="http://schemas.microsoft.com/office/drawing/2014/main" id="{2D4EBAF9-85C5-1D5D-D5FF-EC515712DE9B}"/>
            </a:ext>
          </a:extLst>
        </xdr:cNvPr>
        <xdr:cNvPicPr>
          <a:picLocks noChangeAspect="1"/>
        </xdr:cNvPicPr>
      </xdr:nvPicPr>
      <xdr:blipFill>
        <a:blip xmlns:r="http://schemas.openxmlformats.org/officeDocument/2006/relationships" r:embed="rId1"/>
        <a:stretch>
          <a:fillRect/>
        </a:stretch>
      </xdr:blipFill>
      <xdr:spPr>
        <a:xfrm>
          <a:off x="13336121" y="5911887"/>
          <a:ext cx="9887002" cy="4791965"/>
        </a:xfrm>
        <a:prstGeom prst="rect">
          <a:avLst/>
        </a:prstGeom>
      </xdr:spPr>
    </xdr:pic>
    <xdr:clientData/>
  </xdr:twoCellAnchor>
  <xdr:twoCellAnchor editAs="oneCell">
    <xdr:from>
      <xdr:col>6</xdr:col>
      <xdr:colOff>224119</xdr:colOff>
      <xdr:row>64</xdr:row>
      <xdr:rowOff>78442</xdr:rowOff>
    </xdr:from>
    <xdr:to>
      <xdr:col>20</xdr:col>
      <xdr:colOff>345185</xdr:colOff>
      <xdr:row>89</xdr:row>
      <xdr:rowOff>1</xdr:rowOff>
    </xdr:to>
    <xdr:pic>
      <xdr:nvPicPr>
        <xdr:cNvPr id="3" name="Picture 2">
          <a:extLst>
            <a:ext uri="{FF2B5EF4-FFF2-40B4-BE49-F238E27FC236}">
              <a16:creationId xmlns:a16="http://schemas.microsoft.com/office/drawing/2014/main" id="{7AB1740C-94CA-4E73-9EDF-C73377C882C5}"/>
            </a:ext>
          </a:extLst>
        </xdr:cNvPr>
        <xdr:cNvPicPr>
          <a:picLocks noChangeAspect="1"/>
        </xdr:cNvPicPr>
      </xdr:nvPicPr>
      <xdr:blipFill>
        <a:blip xmlns:r="http://schemas.openxmlformats.org/officeDocument/2006/relationships" r:embed="rId2"/>
        <a:stretch>
          <a:fillRect/>
        </a:stretch>
      </xdr:blipFill>
      <xdr:spPr>
        <a:xfrm>
          <a:off x="13323795" y="10768854"/>
          <a:ext cx="9937419" cy="4684059"/>
        </a:xfrm>
        <a:prstGeom prst="rect">
          <a:avLst/>
        </a:prstGeom>
      </xdr:spPr>
    </xdr:pic>
    <xdr:clientData/>
  </xdr:twoCellAnchor>
  <xdr:twoCellAnchor editAs="oneCell">
    <xdr:from>
      <xdr:col>6</xdr:col>
      <xdr:colOff>291353</xdr:colOff>
      <xdr:row>89</xdr:row>
      <xdr:rowOff>168088</xdr:rowOff>
    </xdr:from>
    <xdr:to>
      <xdr:col>19</xdr:col>
      <xdr:colOff>12455</xdr:colOff>
      <xdr:row>123</xdr:row>
      <xdr:rowOff>178518</xdr:rowOff>
    </xdr:to>
    <xdr:pic>
      <xdr:nvPicPr>
        <xdr:cNvPr id="4" name="Picture 3">
          <a:extLst>
            <a:ext uri="{FF2B5EF4-FFF2-40B4-BE49-F238E27FC236}">
              <a16:creationId xmlns:a16="http://schemas.microsoft.com/office/drawing/2014/main" id="{92E09742-0BE4-95E6-CD88-61B09BFBC510}"/>
            </a:ext>
          </a:extLst>
        </xdr:cNvPr>
        <xdr:cNvPicPr>
          <a:picLocks noChangeAspect="1"/>
        </xdr:cNvPicPr>
      </xdr:nvPicPr>
      <xdr:blipFill>
        <a:blip xmlns:r="http://schemas.openxmlformats.org/officeDocument/2006/relationships" r:embed="rId3"/>
        <a:stretch>
          <a:fillRect/>
        </a:stretch>
      </xdr:blipFill>
      <xdr:spPr>
        <a:xfrm>
          <a:off x="13391029" y="15621000"/>
          <a:ext cx="8954750" cy="64874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1524000</xdr:colOff>
      <xdr:row>16</xdr:row>
      <xdr:rowOff>304800</xdr:rowOff>
    </xdr:from>
    <xdr:to>
      <xdr:col>18</xdr:col>
      <xdr:colOff>173743</xdr:colOff>
      <xdr:row>42</xdr:row>
      <xdr:rowOff>8734</xdr:rowOff>
    </xdr:to>
    <xdr:pic>
      <xdr:nvPicPr>
        <xdr:cNvPr id="2" name="Picture 1">
          <a:extLst>
            <a:ext uri="{FF2B5EF4-FFF2-40B4-BE49-F238E27FC236}">
              <a16:creationId xmlns:a16="http://schemas.microsoft.com/office/drawing/2014/main" id="{7EE35462-FA10-4DC8-AEDE-80AEEEC3828F}"/>
            </a:ext>
          </a:extLst>
        </xdr:cNvPr>
        <xdr:cNvPicPr>
          <a:picLocks noChangeAspect="1"/>
        </xdr:cNvPicPr>
      </xdr:nvPicPr>
      <xdr:blipFill>
        <a:blip xmlns:r="http://schemas.openxmlformats.org/officeDocument/2006/relationships" r:embed="rId1"/>
        <a:stretch>
          <a:fillRect/>
        </a:stretch>
      </xdr:blipFill>
      <xdr:spPr>
        <a:xfrm>
          <a:off x="6619875" y="2133600"/>
          <a:ext cx="9860668" cy="4790284"/>
        </a:xfrm>
        <a:prstGeom prst="rect">
          <a:avLst/>
        </a:prstGeom>
      </xdr:spPr>
    </xdr:pic>
    <xdr:clientData/>
  </xdr:twoCellAnchor>
  <xdr:twoCellAnchor editAs="oneCell">
    <xdr:from>
      <xdr:col>4</xdr:col>
      <xdr:colOff>1545022</xdr:colOff>
      <xdr:row>42</xdr:row>
      <xdr:rowOff>123824</xdr:rowOff>
    </xdr:from>
    <xdr:to>
      <xdr:col>18</xdr:col>
      <xdr:colOff>94401</xdr:colOff>
      <xdr:row>66</xdr:row>
      <xdr:rowOff>152399</xdr:rowOff>
    </xdr:to>
    <xdr:pic>
      <xdr:nvPicPr>
        <xdr:cNvPr id="3" name="Picture 2">
          <a:extLst>
            <a:ext uri="{FF2B5EF4-FFF2-40B4-BE49-F238E27FC236}">
              <a16:creationId xmlns:a16="http://schemas.microsoft.com/office/drawing/2014/main" id="{E062BD0D-AE88-5907-BDE4-891C9B22B054}"/>
            </a:ext>
          </a:extLst>
        </xdr:cNvPr>
        <xdr:cNvPicPr>
          <a:picLocks noChangeAspect="1"/>
        </xdr:cNvPicPr>
      </xdr:nvPicPr>
      <xdr:blipFill>
        <a:blip xmlns:r="http://schemas.openxmlformats.org/officeDocument/2006/relationships" r:embed="rId2"/>
        <a:stretch>
          <a:fillRect/>
        </a:stretch>
      </xdr:blipFill>
      <xdr:spPr>
        <a:xfrm>
          <a:off x="6640897" y="7038974"/>
          <a:ext cx="9760304" cy="4600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426E9918-EF38-4928-B27D-449973AA1CDD}" userId="Boya Dai" providerId="None"/>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09_MID_CW_NHHIP/TGC%20BCA/For%20HGAC/2024%20MID%20CW%20NHHIP%20BCA%20(Locked).xlsm?050D9E7A" TargetMode="External"/><Relationship Id="rId2" Type="http://schemas.openxmlformats.org/officeDocument/2006/relationships/externalLinkPath" Target="file:///\\050D9E7A\2024%20MID%20CW%20NHHIP%20BCA%20(Locked).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2_109_MID_CW_NHHIP/TGC%20BCA/For%20HGAC/2024%20MID%20CW%20NHHIP%20BCA%20(Locked).xlsm?050D9E7A" TargetMode="External"/><Relationship Id="rId2" Type="http://schemas.openxmlformats.org/officeDocument/2006/relationships/externalLinkPath" Target="file:///\\050D9E7A\2024%20MID%20CW%20NHHIP%20BCA%20(Locked).xlsm"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78.63571574074" createdVersion="8" refreshedVersion="8" minRefreshableVersion="3" recordCount="5" xr:uid="{DFA7A50F-B20A-4032-85E5-0B200948D613}">
  <cacheSource type="worksheet">
    <worksheetSource ref="A4:GM9" sheet="Bike S Data CRTMeasure " r:id="rId2"/>
  </cacheSource>
  <cacheFields count="195">
    <cacheField name="OBJECTID *" numFmtId="0">
      <sharedItems containsSemiMixedTypes="0" containsString="0" containsNumber="1" containsInteger="1" minValue="100" maxValue="183"/>
    </cacheField>
    <cacheField name="Shape *" numFmtId="0">
      <sharedItems/>
    </cacheField>
    <cacheField name="Crash_ID" numFmtId="0">
      <sharedItems containsSemiMixedTypes="0" containsString="0" containsNumber="1" containsInteger="1" minValue="17162431" maxValue="19866067"/>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Date="1" containsString="0" containsMixedTypes="1" minDate="1900-01-03T08:50:04" maxDate="2021-10-04T00:00:00"/>
    </cacheField>
    <cacheField name="Crash_Time" numFmtId="0">
      <sharedItems containsSemiMixedTypes="0" containsDate="1" containsString="0" containsMixedTypes="1" minDate="1899-12-30T20:35:00" maxDate="1899-12-30T20:35: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4200" maxValue="44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40"/>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8"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SemiMixedTypes="0" containsString="0" containsNumber="1" containsInteger="1" minValue="1100" maxValue="13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2" maxValue="12"/>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0" maxValue="4"/>
    </cacheField>
    <cacheField name="Road_Type_ID" numFmtId="0">
      <sharedItems containsSemiMixedTypes="0" containsString="0" containsNumber="1" containsInteger="1" minValue="1" maxValue="4"/>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2"/>
    </cacheField>
    <cacheField name="Traffic_Cntl_ID" numFmtId="0">
      <sharedItems containsSemiMixedTypes="0" containsString="0" containsNumber="1" containsInteger="1" minValue="3" maxValue="20"/>
    </cacheField>
    <cacheField name="Investigat_Notify_Time" numFmtId="18">
      <sharedItems containsSemiMixedTypes="0" containsNonDate="0" containsDate="1" containsString="0" minDate="1899-12-30T05:39:00" maxDate="1899-12-30T20:35:00"/>
    </cacheField>
    <cacheField name="Investigat_Notify_Meth" numFmtId="0">
      <sharedItems/>
    </cacheField>
    <cacheField name="Investigat_Arrv_Time" numFmtId="18">
      <sharedItems containsSemiMixedTypes="0" containsNonDate="0" containsDate="1" containsString="0" minDate="1899-12-30T05:55:00" maxDate="1899-12-30T20:46:00"/>
    </cacheField>
    <cacheField name="Report_Date" numFmtId="14">
      <sharedItems containsSemiMixedTypes="0" containsNonDate="0" containsDate="1" containsString="0" minDate="2019-07-04T00:00:00" maxDate="2023-11-15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13" maxValue="113"/>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5" maxValue="5"/>
    </cacheField>
    <cacheField name="Intrsct_Relat_ID" numFmtId="0">
      <sharedItems containsSemiMixedTypes="0" containsString="0" containsNumber="1" containsInteger="1" minValue="1" maxValue="2"/>
    </cacheField>
    <cacheField name="FHE_Collsn_ID" numFmtId="0">
      <sharedItems containsSemiMixedTypes="0" containsString="0" containsNumber="1" containsInteger="1" minValue="1"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3"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3"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732458999999999" maxValue="29.733094999999999"/>
    </cacheField>
    <cacheField name="Longitude" numFmtId="0">
      <sharedItems containsSemiMixedTypes="0" containsString="0" containsNumber="1" minValue="-95.381282999999996" maxValue="-95.38046300000000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4399" maxValue="4399"/>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1" maxValue="5"/>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0" maxValue="2"/>
    </cacheField>
    <cacheField name="Unkn_Injry_Cnt" numFmtId="0">
      <sharedItems containsSemiMixedTypes="0" containsString="0" containsNumber="1" containsInteger="1" minValue="0" maxValue="1"/>
    </cacheField>
    <cacheField name="Tot_Injry_Cnt" numFmtId="0">
      <sharedItems containsSemiMixedTypes="0" containsString="0" containsNumber="1" containsInteger="1" minValue="0"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9" maxValue="29"/>
    </cacheField>
    <cacheField name="Investigat_DA_ID" numFmtId="0">
      <sharedItems containsSemiMixedTypes="0" containsString="0" containsNumber="1" containsInteger="1" minValue="6" maxValue="6"/>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ontainsMixedTypes="1" containsNumber="1" containsInteger="1" minValue="35" maxValue="35"/>
    </cacheField>
    <cacheField name="Investigat_Time_Rwy_Clrd" numFmtId="0">
      <sharedItems containsDate="1" containsMixedTypes="1" minDate="1899-12-30T19:45:00" maxDate="1899-12-30T19:45:00"/>
    </cacheField>
    <cacheField name="Investigat_Time_Scn_Clrd" numFmtId="0">
      <sharedItems containsDate="1" containsMixedTypes="1" minDate="1899-12-30T19:50:00" maxDate="1899-12-30T19:50:00"/>
    </cacheField>
    <cacheField name="Investigat_Notify_Date" numFmtId="0">
      <sharedItems containsDate="1" containsMixedTypes="1" minDate="2023-11-13T00:00:00" maxDate="2023-11-14T00:00:00"/>
    </cacheField>
    <cacheField name="Investigat_Arrv_Date" numFmtId="0">
      <sharedItems containsDate="1" containsMixedTypes="1" minDate="2023-11-13T00:00:00" maxDate="2023-11-14T00:00:00"/>
    </cacheField>
    <cacheField name="Investigat_Date_Rwy_Clrd" numFmtId="0">
      <sharedItems containsDate="1" containsMixedTypes="1" minDate="2023-11-13T00:00:00" maxDate="2023-11-14T00:00:00"/>
    </cacheField>
    <cacheField name="Investigat_Date_Scn_Clrd" numFmtId="0">
      <sharedItems containsDate="1" containsMixedTypes="1" minDate="2023-11-13T00:00:00" maxDate="2023-11-14T00:00:00"/>
    </cacheField>
    <cacheField name="Crash_Year" numFmtId="0">
      <sharedItems containsSemiMixedTypes="0" containsString="0" containsNumber="1" containsInteger="1" minValue="2019" maxValue="2023" count="3">
        <n v="2019"/>
        <n v="2021"/>
        <n v="2023"/>
      </sharedItems>
    </cacheField>
    <cacheField name="PDO_Crash" numFmtId="0">
      <sharedItems count="2">
        <s v="No"/>
        <s v="Yes"/>
      </sharedItems>
    </cacheField>
    <cacheField name="Unit_Count" numFmtId="0">
      <sharedItems containsSemiMixedTypes="0" containsString="0" containsNumber="1" containsInteger="1" minValue="2" maxValue="2"/>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78.636529861113" createdVersion="8" refreshedVersion="8" minRefreshableVersion="3" recordCount="4" xr:uid="{8B1AF3E0-2B3F-47F8-B3DD-778D03F02B54}">
  <cacheSource type="worksheet">
    <worksheetSource ref="A4:GL8" sheet="Ped S Data CRTMeasure" r:id="rId2"/>
  </cacheSource>
  <cacheFields count="194">
    <cacheField name="OBJECTID *" numFmtId="0">
      <sharedItems containsSemiMixedTypes="0" containsString="0" containsNumber="1" containsInteger="1" minValue="48" maxValue="154"/>
    </cacheField>
    <cacheField name="Shape *" numFmtId="0">
      <sharedItems/>
    </cacheField>
    <cacheField name="Crash_ID" numFmtId="0">
      <sharedItems containsSemiMixedTypes="0" containsString="0" containsNumber="1" containsInteger="1" minValue="16978652" maxValue="19876548"/>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Date="1" containsString="0" containsMixedTypes="1" minDate="1900-01-05T17:50:04" maxDate="2020-03-29T00:00:00"/>
    </cacheField>
    <cacheField name="Crash_Time" numFmtId="0">
      <sharedItems containsSemiMixedTypes="0" containsDate="1" containsString="0" containsMixedTypes="1" minDate="1900-01-02T11:52:03" maxDate="1899-12-30T20:00:00"/>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MixedTypes="1" containsNumber="1" containsInteger="1" minValue="1200" maxValue="44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0" maxValue="3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MixedTypes="1" containsNumber="1" containsInteger="1" minValue="1100" maxValue="44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11" maxValue="12"/>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0" maxValue="4"/>
    </cacheField>
    <cacheField name="Road_Type_ID" numFmtId="0">
      <sharedItems containsSemiMixedTypes="0" containsString="0" containsNumber="1" containsInteger="1" minValue="1" maxValue="4"/>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1"/>
    </cacheField>
    <cacheField name="Traffic_Cntl_ID" numFmtId="0">
      <sharedItems containsSemiMixedTypes="0" containsString="0" containsNumber="1" containsInteger="1" minValue="5" maxValue="21"/>
    </cacheField>
    <cacheField name="Investigat_Notify_Time" numFmtId="18">
      <sharedItems containsSemiMixedTypes="0" containsNonDate="0" containsDate="1" containsString="0" minDate="1899-12-30T11:35:00" maxDate="1899-12-30T23:20:00"/>
    </cacheField>
    <cacheField name="Investigat_Notify_Meth" numFmtId="0">
      <sharedItems/>
    </cacheField>
    <cacheField name="Investigat_Arrv_Time" numFmtId="18">
      <sharedItems containsSemiMixedTypes="0" containsNonDate="0" containsDate="1" containsString="0" minDate="1899-12-30T11:38:00" maxDate="1899-12-30T23:26:00"/>
    </cacheField>
    <cacheField name="Report_Date" numFmtId="14">
      <sharedItems containsSemiMixedTypes="0" containsNonDate="0" containsDate="1" containsString="0" minDate="2019-03-28T00:00:00" maxDate="2023-11-15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13" maxValue="113"/>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1" maxValue="1"/>
    </cacheField>
    <cacheField name="Intrsct_Relat_ID" numFmtId="0">
      <sharedItems containsSemiMixedTypes="0" containsString="0" containsNumber="1" containsInteger="1" minValue="2" maxValue="2"/>
    </cacheField>
    <cacheField name="FHE_Collsn_ID" numFmtId="0">
      <sharedItems containsSemiMixedTypes="0" containsString="0" containsNumber="1" containsInteger="1" minValue="1"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54"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733094999999999" maxValue="29.733094999999999"/>
    </cacheField>
    <cacheField name="Longitude" numFmtId="0">
      <sharedItems containsSemiMixedTypes="0" containsString="0" containsNumber="1" minValue="-95.381282999999996" maxValue="-95.38128299999999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SemiMixedTypes="0" containsString="0" containsNumber="1" containsInteger="1" minValue="1201" maxValue="4399"/>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1"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0" maxValue="1"/>
    </cacheField>
    <cacheField name="Unkn_Injry_Cnt" numFmtId="0">
      <sharedItems containsSemiMixedTypes="0" containsString="0" containsNumber="1" containsInteger="1" minValue="0" maxValue="1"/>
    </cacheField>
    <cacheField name="Tot_Injry_Cnt" numFmtId="0">
      <sharedItems containsSemiMixedTypes="0" containsString="0" containsNumber="1" containsInteger="1" minValue="1"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9" maxValue="29"/>
    </cacheField>
    <cacheField name="Investigat_DA_ID" numFmtId="0">
      <sharedItems containsSemiMixedTypes="0" containsString="0" containsNumber="1" containsInteger="1" minValue="6" maxValue="6"/>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ontainsMixedTypes="1" containsNumber="1" containsInteger="1" minValue="35" maxValue="35"/>
    </cacheField>
    <cacheField name="Investigat_Time_Rwy_Clrd" numFmtId="0">
      <sharedItems containsDate="1" containsMixedTypes="1" minDate="1899-12-30T18:20:00" maxDate="1899-12-30T18:20:00"/>
    </cacheField>
    <cacheField name="Investigat_Time_Scn_Clrd" numFmtId="0">
      <sharedItems containsDate="1" containsMixedTypes="1" minDate="1899-12-30T18:20:00" maxDate="1899-12-30T18:20:00"/>
    </cacheField>
    <cacheField name="Investigat_Notify_Date" numFmtId="0">
      <sharedItems containsDate="1" containsMixedTypes="1" minDate="2023-11-14T00:00:00" maxDate="2023-11-15T00:00:00"/>
    </cacheField>
    <cacheField name="Investigat_Arrv_Date" numFmtId="0">
      <sharedItems containsDate="1" containsMixedTypes="1" minDate="2023-11-14T00:00:00" maxDate="2023-11-15T00:00:00"/>
    </cacheField>
    <cacheField name="Investigat_Date_Rwy_Clrd" numFmtId="0">
      <sharedItems containsDate="1" containsMixedTypes="1" minDate="2023-11-14T00:00:00" maxDate="2023-11-15T00:00:00"/>
    </cacheField>
    <cacheField name="Investigat_Date_Scn_Clrd" numFmtId="0">
      <sharedItems containsDate="1" containsMixedTypes="1" minDate="2023-11-14T00:00:00" maxDate="2023-11-15T00:00:00"/>
    </cacheField>
    <cacheField name="Crash_Year" numFmtId="0">
      <sharedItems containsSemiMixedTypes="0" containsString="0" containsNumber="1" containsInteger="1" minValue="2019" maxValue="2023" count="3">
        <n v="2023"/>
        <n v="2020"/>
        <n v="2019"/>
      </sharedItems>
    </cacheField>
    <cacheField name="PDO_Crash" numFmtId="0">
      <sharedItems count="1">
        <s v="No"/>
      </sharedItems>
    </cacheField>
    <cacheField name="Unit_Count" numFmtId="0">
      <sharedItems containsSemiMixedTypes="0" containsString="0" containsNumber="1" containsInteger="1" minValue="2" maxValue="2"/>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00"/>
    <s v="Point"/>
    <n v="17162431"/>
    <s v="N"/>
    <s v="N"/>
    <s v="N"/>
    <s v="N"/>
    <s v="N"/>
    <s v="N"/>
    <s v="N"/>
    <n v="43629"/>
    <n v="0.2013888888888889"/>
    <s v="0074737819B"/>
    <s v="&lt;Null&gt;"/>
    <n v="101"/>
    <n v="208"/>
    <s v="N"/>
    <s v="Y"/>
    <s v="&lt;Null&gt;"/>
    <s v="&lt;Null&gt;"/>
    <n v="19"/>
    <s v="&lt;Null&gt;"/>
    <s v="&lt;Null&gt;"/>
    <n v="1"/>
    <n v="4400"/>
    <s v="&lt;Null&gt;"/>
    <s v="SAN JACINTO"/>
    <s v="&lt;Null&gt;"/>
    <s v="N"/>
    <s v="N"/>
    <n v="40"/>
    <s v="N"/>
    <s v="N"/>
    <s v="CONCRETE"/>
    <s v="Y"/>
    <n v="19"/>
    <s v="&lt;Null&gt;"/>
    <s v="&lt;Null&gt;"/>
    <n v="1"/>
    <n v="1100"/>
    <s v="&lt;Null&gt;"/>
    <s v="WHEELER"/>
    <s v="&lt;Null&gt;"/>
    <s v="&lt;Null&gt;"/>
    <s v="&lt;Null&gt;"/>
    <s v="&lt;Null&gt;"/>
    <s v="&lt;Null&gt;"/>
    <s v="&lt;Null&gt;"/>
    <s v="&lt;Null&gt;"/>
    <n v="11"/>
    <n v="4"/>
    <n v="4"/>
    <n v="2"/>
    <n v="1"/>
    <n v="1"/>
    <n v="5"/>
    <d v="1899-12-30T05:39:00"/>
    <s v="DISPATCH"/>
    <d v="1899-12-30T05:55:00"/>
    <d v="2019-07-04T00:00:00"/>
    <s v="Y"/>
    <s v="TXHPD0000"/>
    <n v="2469"/>
    <s v="&lt;Null&gt;"/>
    <s v="&lt;Null&gt;"/>
    <n v="113"/>
    <n v="8"/>
    <n v="5"/>
    <n v="2"/>
    <n v="3"/>
    <n v="64"/>
    <n v="54"/>
    <n v="1"/>
    <n v="5"/>
    <n v="1"/>
    <n v="21"/>
    <n v="21"/>
    <n v="101"/>
    <n v="208"/>
    <n v="29.733094999999999"/>
    <n v="-95.381282999999996"/>
    <s v="&lt;Null&gt;"/>
    <s v="&lt;Null&gt;"/>
    <s v="&lt;Null&gt;"/>
    <s v="&lt;Null&gt;"/>
    <s v="SAN JACINTO ST"/>
    <n v="4399"/>
    <s v="&lt;Null&gt;"/>
    <s v="&lt;Null&gt;"/>
    <s v="&lt;Null&gt;"/>
    <s v="&lt;Null&gt;"/>
    <s v="&lt;Null&gt;"/>
    <s v="&lt;Null&gt;"/>
    <s v="&lt;Null&gt;"/>
    <s v="&lt;Null&gt;"/>
    <s v="WHEELER S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0"/>
    <x v="0"/>
    <n v="2"/>
    <s v="No"/>
    <s v="Yes"/>
    <s v="0.0, 23.0"/>
    <s v="nan, nan"/>
    <s v="nan, nan"/>
    <s v="nan, nan"/>
    <s v="nan, nan"/>
    <s v="Countermeasure #1 - Installation of a cycle track with a median 2 meters away from a roadway"/>
  </r>
  <r>
    <n v="118"/>
    <s v="Point"/>
    <n v="17391586"/>
    <s v="N"/>
    <s v="N"/>
    <s v="N"/>
    <s v="N"/>
    <s v="N"/>
    <s v="N"/>
    <s v="N"/>
    <n v="43776"/>
    <n v="0.58333333333333337"/>
    <s v="0146727019F"/>
    <s v="&lt;Null&gt;"/>
    <n v="101"/>
    <n v="208"/>
    <s v="N"/>
    <s v="N"/>
    <s v="&lt;Null&gt;"/>
    <s v="&lt;Null&gt;"/>
    <n v="19"/>
    <s v="&lt;Null&gt;"/>
    <s v="&lt;Null&gt;"/>
    <n v="1"/>
    <n v="4400"/>
    <s v="&lt;Null&gt;"/>
    <s v="SAN JACINTO"/>
    <s v="&lt;Null&gt;"/>
    <s v="N"/>
    <s v="N"/>
    <n v="35"/>
    <s v="N"/>
    <s v="N"/>
    <s v="CONCRETE"/>
    <s v="Y"/>
    <n v="19"/>
    <s v="&lt;Null&gt;"/>
    <s v="&lt;Null&gt;"/>
    <n v="1"/>
    <n v="1200"/>
    <s v="&lt;Null&gt;"/>
    <s v="WHEELER"/>
    <s v="&lt;Null&gt;"/>
    <s v="&lt;Null&gt;"/>
    <s v="&lt;Null&gt;"/>
    <s v="&lt;Null&gt;"/>
    <s v="&lt;Null&gt;"/>
    <s v="&lt;Null&gt;"/>
    <s v="&lt;Null&gt;"/>
    <n v="2"/>
    <n v="1"/>
    <n v="4"/>
    <n v="2"/>
    <n v="1"/>
    <n v="2"/>
    <n v="5"/>
    <d v="1899-12-30T14:00:00"/>
    <s v="DISPATCHED"/>
    <d v="1899-12-30T14:00:00"/>
    <d v="2019-11-07T00:00:00"/>
    <s v="Y"/>
    <s v="TXHPD0000"/>
    <n v="2469"/>
    <s v="&lt;Null&gt;"/>
    <s v="&lt;Null&gt;"/>
    <n v="113"/>
    <n v="8"/>
    <n v="5"/>
    <n v="1"/>
    <n v="3"/>
    <n v="64"/>
    <n v="3"/>
    <n v="1"/>
    <n v="5"/>
    <n v="1"/>
    <n v="21"/>
    <n v="21"/>
    <n v="101"/>
    <n v="208"/>
    <n v="29.733094999999999"/>
    <n v="-95.381282999999996"/>
    <s v="&lt;Null&gt;"/>
    <s v="&lt;Null&gt;"/>
    <s v="&lt;Null&gt;"/>
    <s v="&lt;Null&gt;"/>
    <s v="SAN JACINTO ST"/>
    <n v="4399"/>
    <s v="&lt;Null&gt;"/>
    <s v="&lt;Null&gt;"/>
    <s v="&lt;Null&gt;"/>
    <s v="&lt;Null&gt;"/>
    <s v="&lt;Null&gt;"/>
    <s v="&lt;Null&gt;"/>
    <s v="&lt;Null&gt;"/>
    <s v="&lt;Null&gt;"/>
    <s v="WHEELER S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0"/>
    <x v="0"/>
    <n v="2"/>
    <s v="No"/>
    <s v="Yes"/>
    <s v="0.0, nan"/>
    <s v="nan, nan"/>
    <s v="nan, nan"/>
    <s v="nan, 20.0"/>
    <s v="nan, nan"/>
    <s v="Countermeasure #1 - Installation of a cycle track with a median 2 meters away from a roadway"/>
  </r>
  <r>
    <n v="181"/>
    <s v="Point"/>
    <n v="18453466"/>
    <s v="N"/>
    <s v="N"/>
    <s v="N"/>
    <s v="N"/>
    <s v="N"/>
    <s v="N"/>
    <s v="N"/>
    <n v="44441"/>
    <n v="0.82152777777777775"/>
    <s v="0118800221F"/>
    <s v="FSGI"/>
    <n v="101"/>
    <n v="208"/>
    <s v="N"/>
    <s v="Y"/>
    <s v="&lt;Null&gt;"/>
    <s v="&lt;Null&gt;"/>
    <n v="19"/>
    <s v="&lt;Null&gt;"/>
    <s v="&lt;Null&gt;"/>
    <n v="1"/>
    <n v="4300"/>
    <s v="&lt;Null&gt;"/>
    <s v="CAROLINE"/>
    <s v="ST"/>
    <s v="N"/>
    <s v="N"/>
    <n v="35"/>
    <s v="N"/>
    <s v="N"/>
    <s v="&lt;Null&gt;"/>
    <s v="Y"/>
    <n v="19"/>
    <s v="&lt;Null&gt;"/>
    <s v="&lt;Null&gt;"/>
    <n v="1"/>
    <n v="1200"/>
    <s v="&lt;Null&gt;"/>
    <s v="WHEELER"/>
    <s v="ST"/>
    <s v="&lt;Null&gt;"/>
    <s v="&lt;Null&gt;"/>
    <s v="&lt;Null&gt;"/>
    <s v="&lt;Null&gt;"/>
    <s v="&lt;Null&gt;"/>
    <s v="&lt;Null&gt;"/>
    <n v="11"/>
    <n v="1"/>
    <n v="2"/>
    <n v="1"/>
    <n v="1"/>
    <n v="1"/>
    <n v="3"/>
    <d v="1899-12-30T19:46:00"/>
    <s v="DISPATCEHD"/>
    <d v="1899-12-30T19:49:00"/>
    <d v="2021-09-02T00:00:00"/>
    <s v="Y"/>
    <s v="TXHPD0000"/>
    <n v="2469"/>
    <s v="&lt;Null&gt;"/>
    <s v="&lt;Null&gt;"/>
    <n v="113"/>
    <n v="8"/>
    <n v="5"/>
    <n v="1"/>
    <n v="1"/>
    <n v="64"/>
    <n v="54"/>
    <n v="1"/>
    <n v="5"/>
    <n v="1"/>
    <n v="21"/>
    <n v="21"/>
    <n v="101"/>
    <n v="208"/>
    <n v="29.732565000000001"/>
    <n v="-95.380463000000006"/>
    <s v="&lt;Null&gt;"/>
    <s v="&lt;Null&gt;"/>
    <s v="&lt;Null&gt;"/>
    <s v="&lt;Null&gt;"/>
    <s v="CAROLINE ST"/>
    <s v="&lt;Null&gt;"/>
    <s v="&lt;Null&gt;"/>
    <s v="&lt;Null&gt;"/>
    <s v="&lt;Null&gt;"/>
    <s v="&lt;Null&gt;"/>
    <s v="&lt;Null&gt;"/>
    <s v="&lt;Null&gt;"/>
    <s v="&lt;Null&gt;"/>
    <s v="&lt;Null&gt;"/>
    <s v="WHEELER ST"/>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29"/>
    <n v="6"/>
    <s v="&lt;Null&gt;"/>
    <s v="&lt;Null&gt;"/>
    <s v="&lt;Null&gt;"/>
    <s v="&lt;Null&gt;"/>
    <s v="&lt;Null&gt;"/>
    <s v="&lt;Null&gt;"/>
    <s v="&lt;Null&gt;"/>
    <s v="&lt;Null&gt;"/>
    <s v="&lt;Null&gt;"/>
    <s v="&lt;Null&gt;"/>
    <s v="&lt;Null&gt;"/>
    <s v="&lt;Null&gt;"/>
    <x v="1"/>
    <x v="0"/>
    <n v="2"/>
    <s v="No"/>
    <s v="Yes"/>
    <s v="0.0, nan"/>
    <s v="nan, nan"/>
    <s v="nan, nan"/>
    <s v="nan, 35.0"/>
    <s v="nan, nan"/>
    <s v="Countermeasure #1 - Installation of a cycle track with a median 2 meters away from a roadway"/>
  </r>
  <r>
    <n v="152"/>
    <s v="Point"/>
    <n v="19866067"/>
    <s v="N"/>
    <s v="N"/>
    <s v="N"/>
    <s v="N"/>
    <s v="N"/>
    <s v="Y"/>
    <s v="N"/>
    <n v="45243"/>
    <n v="0.79236111111111107"/>
    <s v="0162629923W"/>
    <s v="&lt;Null&gt;"/>
    <n v="101"/>
    <n v="208"/>
    <s v="N"/>
    <s v="Y"/>
    <s v="&lt;Null&gt;"/>
    <s v="&lt;Null&gt;"/>
    <n v="19"/>
    <s v="&lt;Null&gt;"/>
    <s v="&lt;Null&gt;"/>
    <n v="1"/>
    <n v="4399"/>
    <s v="&lt;Null&gt;"/>
    <s v="SAN JACINTO"/>
    <s v="&lt;Null&gt;"/>
    <s v="N"/>
    <s v="N"/>
    <n v="35"/>
    <s v="N"/>
    <s v="N"/>
    <s v="WET CONCRETE"/>
    <s v="Y"/>
    <n v="18"/>
    <s v="&lt;Null&gt;"/>
    <s v="&lt;Null&gt;"/>
    <n v="1"/>
    <n v="1199"/>
    <s v="&lt;Null&gt;"/>
    <s v="WHEELER"/>
    <s v="ST"/>
    <s v="&lt;Null&gt;"/>
    <s v="&lt;Null&gt;"/>
    <s v="&lt;Null&gt;"/>
    <s v="&lt;Null&gt;"/>
    <s v="WET CONCRETE"/>
    <s v="&lt;Null&gt;"/>
    <n v="12"/>
    <n v="4"/>
    <n v="4"/>
    <n v="4"/>
    <n v="1"/>
    <n v="2"/>
    <n v="5"/>
    <d v="1899-12-30T19:02:00"/>
    <s v="DISPATCHED"/>
    <d v="1899-12-30T19:04:00"/>
    <d v="2023-11-14T00:00:00"/>
    <s v="Y"/>
    <s v="TXHPD0000"/>
    <n v="2469"/>
    <s v="&lt;Null&gt;"/>
    <s v="&lt;Null&gt;"/>
    <n v="113"/>
    <n v="8"/>
    <n v="5"/>
    <n v="2"/>
    <n v="1"/>
    <n v="64"/>
    <n v="54"/>
    <n v="1"/>
    <n v="3"/>
    <n v="1"/>
    <n v="21"/>
    <n v="21"/>
    <n v="101"/>
    <n v="208"/>
    <n v="29.733094999999999"/>
    <n v="-95.381282999999996"/>
    <s v="&lt;Null&gt;"/>
    <s v="&lt;Null&gt;"/>
    <s v="&lt;Null&gt;"/>
    <s v="&lt;Null&gt;"/>
    <s v="SAN JACINTO ST"/>
    <n v="4399"/>
    <s v="&lt;Null&gt;"/>
    <s v="&lt;Null&gt;"/>
    <s v="&lt;Null&gt;"/>
    <s v="&lt;Null&gt;"/>
    <s v="&lt;Null&gt;"/>
    <s v="&lt;Null&gt;"/>
    <s v="&lt;Null&gt;"/>
    <s v="&lt;Null&gt;"/>
    <s v="UNKNOWN"/>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6"/>
    <s v="&lt;Null&gt;"/>
    <s v="&lt;Null&gt;"/>
    <s v="&lt;Null&gt;"/>
    <s v="N"/>
    <s v="N"/>
    <n v="35"/>
    <d v="1899-12-30T19:45:00"/>
    <d v="1899-12-30T19:50:00"/>
    <d v="2023-11-13T00:00:00"/>
    <d v="2023-11-13T00:00:00"/>
    <d v="2023-11-13T00:00:00"/>
    <d v="2023-11-13T00:00:00"/>
    <x v="2"/>
    <x v="1"/>
    <n v="2"/>
    <s v="No"/>
    <s v="Yes"/>
    <s v="15.0, 0.0"/>
    <s v="nan, nan"/>
    <s v="nan, nan"/>
    <s v="nan, nan"/>
    <s v="nan, nan"/>
    <s v="Countermeasure #1 - Installation of a cycle track with a median 2 meters away from a roadway"/>
  </r>
  <r>
    <n v="183"/>
    <s v="Point"/>
    <n v="18598695"/>
    <s v="N"/>
    <s v="N"/>
    <s v="N"/>
    <s v="N"/>
    <s v="N"/>
    <s v="N"/>
    <s v="N"/>
    <d v="2021-10-03T00:00:00"/>
    <d v="1899-12-30T20:35:00"/>
    <s v="0133444821T"/>
    <s v="&lt;Null&gt;"/>
    <n v="101"/>
    <n v="208"/>
    <s v="N"/>
    <s v="N"/>
    <s v="&lt;Null&gt;"/>
    <s v="&lt;Null&gt;"/>
    <n v="19"/>
    <s v="&lt;Null&gt;"/>
    <s v="&lt;Null&gt;"/>
    <n v="1"/>
    <n v="4200"/>
    <s v="&lt;Null&gt;"/>
    <s v="CAROLINE"/>
    <s v="ST"/>
    <s v="N"/>
    <s v="N"/>
    <n v="35"/>
    <s v="N"/>
    <s v="N"/>
    <s v="CONCRETE"/>
    <s v="N"/>
    <n v="19"/>
    <s v="&lt;Null&gt;"/>
    <s v="&lt;Null&gt;"/>
    <n v="1"/>
    <n v="1300"/>
    <s v="&lt;Null&gt;"/>
    <s v="BARBEE"/>
    <s v="ST"/>
    <s v="&lt;Null&gt;"/>
    <s v="&lt;Null&gt;"/>
    <s v="&lt;Null&gt;"/>
    <s v="&lt;Null&gt;"/>
    <s v="&lt;Null&gt;"/>
    <s v="&lt;Null&gt;"/>
    <n v="11"/>
    <n v="4"/>
    <n v="0"/>
    <n v="4"/>
    <n v="1"/>
    <n v="1"/>
    <n v="20"/>
    <d v="1899-12-30T20:35:00"/>
    <s v="DISPATCHED"/>
    <d v="1899-12-30T20:46:00"/>
    <d v="2021-11-12T00:00:00"/>
    <s v="Y"/>
    <s v="TXHPD0000"/>
    <n v="2469"/>
    <s v="&lt;Null&gt;"/>
    <s v="&lt;Null&gt;"/>
    <n v="113"/>
    <n v="8"/>
    <n v="5"/>
    <n v="2"/>
    <n v="1"/>
    <n v="64"/>
    <n v="9"/>
    <n v="1"/>
    <n v="5"/>
    <n v="1"/>
    <n v="21"/>
    <n v="21"/>
    <n v="101"/>
    <n v="208"/>
    <n v="29.732458999999999"/>
    <n v="-95.380544999999998"/>
    <s v="&lt;Null&gt;"/>
    <s v="&lt;Null&gt;"/>
    <s v="&lt;Null&gt;"/>
    <s v="&lt;Null&gt;"/>
    <s v="CAROLINE ST"/>
    <s v="&lt;Null&gt;"/>
    <s v="&lt;Null&gt;"/>
    <s v="&lt;Null&gt;"/>
    <s v="&lt;Null&gt;"/>
    <s v="&lt;Null&gt;"/>
    <s v="&lt;Null&gt;"/>
    <s v="&lt;Null&gt;"/>
    <s v="&lt;Null&gt;"/>
    <s v="&lt;Null&gt;"/>
    <s v="BARBEE S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1"/>
    <x v="0"/>
    <n v="2"/>
    <s v="No"/>
    <s v="Yes"/>
    <s v="0.0, 4.0"/>
    <s v="nan, nan"/>
    <s v="nan, nan"/>
    <s v="nan, nan"/>
    <s v="nan, nan"/>
    <s v="Countermeasure #1 - Installation of a cycle track with a median 2 meters away from a roadway"/>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n v="154"/>
    <s v="Point"/>
    <n v="19876548"/>
    <s v="N"/>
    <s v="N"/>
    <s v="N"/>
    <s v="N"/>
    <s v="N"/>
    <s v="N"/>
    <s v="N"/>
    <n v="45244"/>
    <n v="0.72569444444444442"/>
    <s v="0163077223X"/>
    <s v="&lt;Null&gt;"/>
    <n v="101"/>
    <n v="208"/>
    <s v="N"/>
    <s v="Y"/>
    <s v="&lt;Null&gt;"/>
    <s v="&lt;Null&gt;"/>
    <n v="19"/>
    <s v="&lt;Null&gt;"/>
    <s v="&lt;Null&gt;"/>
    <n v="1"/>
    <n v="4399"/>
    <s v="&lt;Null&gt;"/>
    <s v="SAN JACINTO"/>
    <s v="&lt;Null&gt;"/>
    <s v="N"/>
    <s v="N"/>
    <n v="35"/>
    <s v="N"/>
    <s v="N"/>
    <s v="DRY CONCRETE"/>
    <s v="Y"/>
    <n v="19"/>
    <s v="&lt;Null&gt;"/>
    <s v="&lt;Null&gt;"/>
    <n v="1"/>
    <n v="1199"/>
    <s v="&lt;Null&gt;"/>
    <s v="WHEELER"/>
    <s v="ST"/>
    <s v="&lt;Null&gt;"/>
    <s v="&lt;Null&gt;"/>
    <s v="&lt;Null&gt;"/>
    <s v="&lt;Null&gt;"/>
    <s v="DRY CONCRETE"/>
    <s v="&lt;Null&gt;"/>
    <n v="12"/>
    <n v="1"/>
    <n v="4"/>
    <n v="4"/>
    <n v="1"/>
    <n v="1"/>
    <n v="20"/>
    <d v="1899-12-30T17:29:00"/>
    <s v="DISPATCHED"/>
    <d v="1899-12-30T17:31:00"/>
    <d v="2023-11-14T00:00:00"/>
    <s v="Y"/>
    <s v="TXHPD0000"/>
    <n v="2469"/>
    <s v="&lt;Null&gt;"/>
    <s v="&lt;Null&gt;"/>
    <n v="113"/>
    <n v="8"/>
    <n v="1"/>
    <n v="2"/>
    <n v="1"/>
    <n v="64"/>
    <n v="54"/>
    <n v="1"/>
    <n v="5"/>
    <n v="1"/>
    <n v="21"/>
    <n v="21"/>
    <n v="101"/>
    <n v="208"/>
    <n v="29.733094999999999"/>
    <n v="-95.381282999999996"/>
    <s v="&lt;Null&gt;"/>
    <s v="&lt;Null&gt;"/>
    <s v="&lt;Null&gt;"/>
    <s v="&lt;Null&gt;"/>
    <s v="SAN JACINTO ST"/>
    <n v="4399"/>
    <s v="&lt;Null&gt;"/>
    <s v="&lt;Null&gt;"/>
    <s v="&lt;Null&gt;"/>
    <s v="&lt;Null&gt;"/>
    <s v="&lt;Null&gt;"/>
    <s v="&lt;Null&gt;"/>
    <s v="&lt;Null&gt;"/>
    <s v="&lt;Null&gt;"/>
    <s v="WHEELER ST"/>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N"/>
    <s v="E"/>
    <n v="35"/>
    <d v="1899-12-30T18:20:00"/>
    <d v="1899-12-30T18:20:00"/>
    <d v="2023-11-14T00:00:00"/>
    <d v="2023-11-14T00:00:00"/>
    <d v="2023-11-14T00:00:00"/>
    <d v="2023-11-14T00:00:00"/>
    <x v="0"/>
    <x v="0"/>
    <n v="2"/>
    <s v="Yes"/>
    <s v="No"/>
    <s v="0.0, 74.0"/>
    <s v="nan, nan"/>
    <s v="nan, nan"/>
    <s v="nan, nan"/>
    <s v="nan, nan"/>
  </r>
  <r>
    <n v="61"/>
    <s v="Point"/>
    <n v="17862015"/>
    <s v="N"/>
    <s v="N"/>
    <s v="N"/>
    <s v="N"/>
    <s v="N"/>
    <s v="Y"/>
    <s v="N"/>
    <n v="44081"/>
    <n v="0.96527777777777779"/>
    <s v="0118830120R"/>
    <s v="FSRA"/>
    <n v="101"/>
    <n v="208"/>
    <s v="N"/>
    <s v="Y"/>
    <s v="&lt;Null&gt;"/>
    <s v="&lt;Null&gt;"/>
    <n v="19"/>
    <s v="&lt;Null&gt;"/>
    <s v="&lt;Null&gt;"/>
    <n v="1"/>
    <n v="4400"/>
    <s v="&lt;Null&gt;"/>
    <s v="SAN JACINTO"/>
    <s v="&lt;Null&gt;"/>
    <s v="N"/>
    <s v="N"/>
    <n v="35"/>
    <s v="N"/>
    <s v="N"/>
    <s v="CONCRETE"/>
    <s v="Y"/>
    <n v="19"/>
    <s v="&lt;Null&gt;"/>
    <s v="&lt;Null&gt;"/>
    <n v="1"/>
    <n v="1100"/>
    <s v="&lt;Null&gt;"/>
    <s v="WHEELER"/>
    <s v="&lt;Null&gt;"/>
    <s v="&lt;Null&gt;"/>
    <s v="&lt;Null&gt;"/>
    <s v="&lt;Null&gt;"/>
    <s v="&lt;Null&gt;"/>
    <s v="&lt;Null&gt;"/>
    <s v="&lt;Null&gt;"/>
    <n v="11"/>
    <n v="4"/>
    <n v="2"/>
    <n v="4"/>
    <n v="1"/>
    <n v="1"/>
    <n v="15"/>
    <d v="1899-12-30T23:20:00"/>
    <s v="DISPATCHED"/>
    <d v="1899-12-30T23:26:00"/>
    <d v="2020-09-24T00:00:00"/>
    <s v="Y"/>
    <s v="TXHPD0000"/>
    <n v="2469"/>
    <s v="&lt;Null&gt;"/>
    <s v="&lt;Null&gt;"/>
    <n v="113"/>
    <n v="8"/>
    <n v="1"/>
    <n v="2"/>
    <n v="1"/>
    <n v="64"/>
    <n v="54"/>
    <n v="1"/>
    <n v="5"/>
    <n v="1"/>
    <n v="21"/>
    <n v="21"/>
    <n v="101"/>
    <n v="208"/>
    <n v="29.733094999999999"/>
    <n v="-95.381282999999996"/>
    <s v="&lt;Null&gt;"/>
    <s v="&lt;Null&gt;"/>
    <s v="&lt;Null&gt;"/>
    <s v="&lt;Null&gt;"/>
    <s v="SAN JACINTO ST"/>
    <n v="4399"/>
    <s v="&lt;Null&gt;"/>
    <s v="&lt;Null&gt;"/>
    <s v="&lt;Null&gt;"/>
    <s v="&lt;Null&gt;"/>
    <s v="&lt;Null&gt;"/>
    <s v="&lt;Null&gt;"/>
    <s v="&lt;Null&gt;"/>
    <s v="&lt;Null&gt;"/>
    <s v="UNKNOWN"/>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0"/>
    <n v="1"/>
    <n v="1"/>
    <n v="0"/>
    <n v="15"/>
    <n v="29"/>
    <n v="6"/>
    <s v="&lt;Null&gt;"/>
    <s v="&lt;Null&gt;"/>
    <s v="&lt;Null&gt;"/>
    <s v="&lt;Null&gt;"/>
    <s v="&lt;Null&gt;"/>
    <s v="&lt;Null&gt;"/>
    <s v="&lt;Null&gt;"/>
    <s v="&lt;Null&gt;"/>
    <s v="&lt;Null&gt;"/>
    <s v="&lt;Null&gt;"/>
    <s v="&lt;Null&gt;"/>
    <s v="&lt;Null&gt;"/>
    <x v="1"/>
    <x v="0"/>
    <n v="2"/>
    <s v="Yes"/>
    <s v="No"/>
    <s v="nan, nan"/>
    <s v="nan, nan"/>
    <s v="nan, nan"/>
    <s v="36.0, 59.0"/>
    <s v="nan, nan"/>
  </r>
  <r>
    <n v="48"/>
    <s v="Point"/>
    <n v="17641326"/>
    <s v="N"/>
    <s v="N"/>
    <s v="N"/>
    <s v="N"/>
    <s v="N"/>
    <s v="N"/>
    <s v="N"/>
    <d v="2020-03-28T00:00:00"/>
    <d v="1899-12-30T20:00:00"/>
    <s v="0041849920X"/>
    <s v="FSRA"/>
    <n v="101"/>
    <n v="208"/>
    <s v="N"/>
    <s v="N"/>
    <s v="&lt;Null&gt;"/>
    <s v="&lt;Null&gt;"/>
    <n v="19"/>
    <s v="&lt;Null&gt;"/>
    <s v="&lt;Null&gt;"/>
    <n v="1"/>
    <n v="1200"/>
    <s v="&lt;Null&gt;"/>
    <s v="WHEELER"/>
    <s v="AVE"/>
    <s v="N"/>
    <s v="N"/>
    <n v="35"/>
    <s v="N"/>
    <s v="N"/>
    <s v="CONCRETE"/>
    <s v="Y"/>
    <n v="19"/>
    <s v="&lt;Null&gt;"/>
    <s v="&lt;Null&gt;"/>
    <n v="1"/>
    <n v="4400"/>
    <s v="&lt;Null&gt;"/>
    <s v="SAN JACINTO"/>
    <s v="ST"/>
    <s v="&lt;Null&gt;"/>
    <s v="&lt;Null&gt;"/>
    <s v="&lt;Null&gt;"/>
    <s v="&lt;Null&gt;"/>
    <s v="&lt;Null&gt;"/>
    <s v="&lt;Null&gt;"/>
    <n v="12"/>
    <n v="4"/>
    <n v="0"/>
    <n v="1"/>
    <n v="1"/>
    <n v="1"/>
    <n v="21"/>
    <d v="1899-12-30T21:28:00"/>
    <s v="DISPATCH"/>
    <d v="1899-12-30T21:35:00"/>
    <d v="2020-03-28T00:00:00"/>
    <s v="Y"/>
    <s v="TXHPD0000"/>
    <n v="2469"/>
    <s v="&lt;Null&gt;"/>
    <s v="&lt;Null&gt;"/>
    <n v="113"/>
    <n v="8"/>
    <n v="1"/>
    <n v="2"/>
    <n v="1"/>
    <n v="64"/>
    <n v="54"/>
    <n v="1"/>
    <n v="5"/>
    <n v="1"/>
    <n v="21"/>
    <n v="21"/>
    <n v="101"/>
    <n v="208"/>
    <n v="29.733094999999999"/>
    <n v="-95.381282999999996"/>
    <s v="&lt;Null&gt;"/>
    <s v="&lt;Null&gt;"/>
    <s v="&lt;Null&gt;"/>
    <s v="&lt;Null&gt;"/>
    <s v="WHEELER ST"/>
    <n v="1201"/>
    <s v="&lt;Null&gt;"/>
    <s v="&lt;Null&gt;"/>
    <s v="&lt;Null&gt;"/>
    <s v="&lt;Null&gt;"/>
    <s v="&lt;Null&gt;"/>
    <s v="&lt;Null&gt;"/>
    <s v="&lt;Null&gt;"/>
    <s v="&lt;Null&gt;"/>
    <s v="SAN JACINTO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9"/>
    <n v="6"/>
    <s v="&lt;Null&gt;"/>
    <s v="&lt;Null&gt;"/>
    <s v="&lt;Null&gt;"/>
    <s v="&lt;Null&gt;"/>
    <s v="&lt;Null&gt;"/>
    <s v="&lt;Null&gt;"/>
    <s v="&lt;Null&gt;"/>
    <s v="&lt;Null&gt;"/>
    <s v="&lt;Null&gt;"/>
    <s v="&lt;Null&gt;"/>
    <s v="&lt;Null&gt;"/>
    <s v="&lt;Null&gt;"/>
    <x v="1"/>
    <x v="0"/>
    <n v="2"/>
    <s v="Yes"/>
    <s v="No"/>
    <s v="22.0, 0.0"/>
    <s v="nan, nan"/>
    <s v="nan, nan"/>
    <s v="nan, nan"/>
    <s v="nan, nan"/>
  </r>
  <r>
    <n v="84"/>
    <s v="Point"/>
    <n v="16978652"/>
    <s v="N"/>
    <s v="N"/>
    <s v="N"/>
    <s v="N"/>
    <s v="N"/>
    <s v="N"/>
    <s v="N"/>
    <d v="2019-03-28T00:00:00"/>
    <d v="1899-12-30T11:29:00"/>
    <s v="0038787919E"/>
    <s v="&lt;Null&gt;"/>
    <n v="101"/>
    <n v="208"/>
    <s v="N"/>
    <s v="N"/>
    <s v="&lt;Null&gt;"/>
    <s v="&lt;Null&gt;"/>
    <n v="19"/>
    <s v="&lt;Null&gt;"/>
    <s v="&lt;Null&gt;"/>
    <n v="1"/>
    <s v="&lt;Null&gt;"/>
    <s v="&lt;Null&gt;"/>
    <s v="WHEELER"/>
    <s v="&lt;Null&gt;"/>
    <s v="N"/>
    <s v="N"/>
    <n v="30"/>
    <s v="N"/>
    <s v="N"/>
    <s v="CONCRETE"/>
    <s v="Y"/>
    <n v="19"/>
    <s v="&lt;Null&gt;"/>
    <s v="&lt;Null&gt;"/>
    <n v="1"/>
    <s v="&lt;Null&gt;"/>
    <s v="&lt;Null&gt;"/>
    <s v="SAN JACINTO"/>
    <s v="&lt;Null&gt;"/>
    <s v="&lt;Null&gt;"/>
    <s v="&lt;Null&gt;"/>
    <s v="&lt;Null&gt;"/>
    <s v="&lt;Null&gt;"/>
    <s v="&lt;Null&gt;"/>
    <s v="&lt;Null&gt;"/>
    <n v="11"/>
    <n v="1"/>
    <n v="0"/>
    <n v="1"/>
    <n v="1"/>
    <n v="1"/>
    <n v="5"/>
    <d v="1899-12-30T11:35:00"/>
    <s v="DISPATCH"/>
    <d v="1899-12-30T11:38:00"/>
    <d v="2019-03-28T00:00:00"/>
    <s v="Y"/>
    <s v="TXHPD0000"/>
    <n v="2469"/>
    <s v="&lt;Null&gt;"/>
    <s v="&lt;Null&gt;"/>
    <n v="113"/>
    <n v="8"/>
    <n v="1"/>
    <n v="2"/>
    <n v="3"/>
    <n v="64"/>
    <n v="54"/>
    <n v="1"/>
    <n v="5"/>
    <n v="1"/>
    <n v="21"/>
    <n v="21"/>
    <n v="101"/>
    <n v="208"/>
    <n v="29.733094999999999"/>
    <n v="-95.381282999999996"/>
    <s v="&lt;Null&gt;"/>
    <s v="&lt;Null&gt;"/>
    <s v="&lt;Null&gt;"/>
    <s v="&lt;Null&gt;"/>
    <s v="WHEELER ST"/>
    <n v="1201"/>
    <s v="&lt;Null&gt;"/>
    <s v="&lt;Null&gt;"/>
    <s v="&lt;Null&gt;"/>
    <s v="&lt;Null&gt;"/>
    <s v="&lt;Null&gt;"/>
    <s v="&lt;Null&gt;"/>
    <s v="&lt;Null&gt;"/>
    <s v="&lt;Null&gt;"/>
    <s v="SAN JACINTO S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9"/>
    <n v="6"/>
    <s v="&lt;Null&gt;"/>
    <s v="&lt;Null&gt;"/>
    <s v="&lt;Null&gt;"/>
    <s v="&lt;Null&gt;"/>
    <s v="&lt;Null&gt;"/>
    <s v="&lt;Null&gt;"/>
    <s v="&lt;Null&gt;"/>
    <s v="&lt;Null&gt;"/>
    <s v="&lt;Null&gt;"/>
    <s v="&lt;Null&gt;"/>
    <s v="&lt;Null&gt;"/>
    <s v="&lt;Null&gt;"/>
    <x v="2"/>
    <x v="0"/>
    <n v="2"/>
    <s v="Yes"/>
    <s v="No"/>
    <s v="nan, nan"/>
    <s v="nan, nan"/>
    <s v="nan, nan"/>
    <s v="37.0, 59.0"/>
    <s v="nan, na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0B01A41-2FA6-400B-89FB-9ED0B1A230A0}" name="PivotTable2" cacheId="374"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N12" firstHeaderRow="1" firstDataRow="2" firstDataCol="1" rowPageCount="1" colPageCount="1"/>
  <pivotFields count="19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2"/>
        <item x="1"/>
        <item x="0"/>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Fields count="1">
    <field x="184"/>
  </colFields>
  <colItems count="4">
    <i>
      <x/>
    </i>
    <i>
      <x v="1"/>
    </i>
    <i>
      <x v="2"/>
    </i>
    <i t="grand">
      <x/>
    </i>
  </colItems>
  <pageFields count="1">
    <pageField fld="185"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C608F61-5849-431D-B2E6-508623227B0C}" name="PivotTable1" cacheId="37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N12"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Fields count="1">
    <field x="184"/>
  </colFields>
  <colItems count="4">
    <i>
      <x/>
    </i>
    <i>
      <x v="1"/>
    </i>
    <i>
      <x v="2"/>
    </i>
    <i t="grand">
      <x/>
    </i>
  </colItems>
  <pageFields count="1">
    <pageField fld="185"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A4" dT="2023-12-06T20:00:15.09" personId="{E20728A3-55F1-454D-8474-2FA5048CCBA6}" id="{29E22148-42B4-40F7-80ED-13BCA53D07A4}">
    <text>This is different from Routine Maintenance cost.</text>
  </threadedComment>
</ThreadedComments>
</file>

<file path=xl/threadedComments/threadedComment3.xml><?xml version="1.0" encoding="utf-8"?>
<ThreadedComments xmlns="http://schemas.microsoft.com/office/spreadsheetml/2018/threadedcomments" xmlns:x="http://schemas.openxmlformats.org/spreadsheetml/2006/main">
  <threadedComment ref="B4" personId="{426E9918-EF38-4928-B27D-449973AA1CDD}" id="{AFDA5774-E951-4193-9BA3-3D5A3B453865}">
    <text xml:space="preserve"> Bus priority should reduce both mean and the variance in bus travel time. A 10% to 15% decrease in bus running times in a bus priority area was identified as a desirable objective.</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ftp.dot.state.tx.us/pub/txdot-info/brg/transportation-asset-management-plan-2022.pdf" TargetMode="External"/><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cmfclearinghouse.org/detail.php?facid=4034"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7.bin"/><Relationship Id="rId4" Type="http://schemas.microsoft.com/office/2017/10/relationships/threadedComment" Target="../threadedComments/threadedComment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5ADC7-02F0-4B59-9282-8D4ECBF39913}">
  <dimension ref="A1:K114"/>
  <sheetViews>
    <sheetView topLeftCell="A85" workbookViewId="0">
      <selection activeCell="C102" sqref="C102"/>
    </sheetView>
  </sheetViews>
  <sheetFormatPr defaultRowHeight="13.2"/>
  <cols>
    <col min="1" max="1" width="53.44140625" bestFit="1" customWidth="1"/>
    <col min="2" max="4" width="20.44140625" customWidth="1"/>
    <col min="5" max="5" width="53.44140625" bestFit="1" customWidth="1"/>
    <col min="6" max="7" width="20.44140625" customWidth="1"/>
    <col min="9" max="9" width="53.44140625" bestFit="1" customWidth="1"/>
    <col min="10" max="11" width="20.44140625" customWidth="1"/>
  </cols>
  <sheetData>
    <row r="1" spans="1:4" ht="14.4">
      <c r="A1" s="1815" t="s">
        <v>2</v>
      </c>
      <c r="B1" s="1815" t="s">
        <v>7914</v>
      </c>
      <c r="C1" s="955" t="s">
        <v>7914</v>
      </c>
    </row>
    <row r="2" spans="1:4" ht="15" thickBot="1">
      <c r="A2" s="1816"/>
      <c r="B2" s="1816"/>
      <c r="C2" s="956" t="s">
        <v>7915</v>
      </c>
    </row>
    <row r="3" spans="1:4" ht="15" thickBot="1">
      <c r="A3" s="957" t="s">
        <v>9</v>
      </c>
      <c r="B3" s="958">
        <f>'BCA Summary'!H14</f>
        <v>21447000</v>
      </c>
      <c r="C3" s="958">
        <f>'BCA Summary'!I14</f>
        <v>11684000</v>
      </c>
    </row>
    <row r="4" spans="1:4" ht="15" thickBot="1">
      <c r="A4" s="957" t="s">
        <v>10</v>
      </c>
      <c r="B4" s="958">
        <f>'BCA Summary'!H15</f>
        <v>21210000</v>
      </c>
      <c r="C4" s="958">
        <f>'BCA Summary'!I15</f>
        <v>18614000</v>
      </c>
    </row>
    <row r="5" spans="1:4" ht="15" thickBot="1">
      <c r="A5" s="957" t="s">
        <v>11</v>
      </c>
      <c r="B5" s="960">
        <f>'BCA Summary'!H16</f>
        <v>1</v>
      </c>
      <c r="C5" s="960">
        <f>'BCA Summary'!I16</f>
        <v>0.6</v>
      </c>
    </row>
    <row r="7" spans="1:4" ht="13.8" thickBot="1"/>
    <row r="8" spans="1:4" ht="14.4">
      <c r="A8" s="1815" t="s">
        <v>666</v>
      </c>
      <c r="B8" s="955" t="s">
        <v>7916</v>
      </c>
      <c r="C8" s="955" t="s">
        <v>7918</v>
      </c>
      <c r="D8" s="955" t="s">
        <v>7915</v>
      </c>
    </row>
    <row r="9" spans="1:4" ht="14.4">
      <c r="A9" s="1825"/>
      <c r="B9" s="961" t="s">
        <v>7917</v>
      </c>
      <c r="C9" s="962">
        <v>2022</v>
      </c>
      <c r="D9" s="962">
        <v>2022</v>
      </c>
    </row>
    <row r="10" spans="1:4" ht="15" thickBot="1">
      <c r="A10" s="1816"/>
      <c r="B10" s="956" t="s">
        <v>419</v>
      </c>
      <c r="C10" s="956" t="s">
        <v>419</v>
      </c>
      <c r="D10" s="963"/>
    </row>
    <row r="11" spans="1:4" ht="15" thickBot="1">
      <c r="A11" s="957" t="s">
        <v>3</v>
      </c>
      <c r="B11" s="958">
        <f>'Cost Summary'!I46</f>
        <v>100000</v>
      </c>
      <c r="C11" s="958">
        <f>'Cost Summary'!J46</f>
        <v>100000</v>
      </c>
      <c r="D11" s="958">
        <f>'Cost Summary'!K46</f>
        <v>100000</v>
      </c>
    </row>
    <row r="12" spans="1:4" ht="15" thickBot="1">
      <c r="A12" s="957" t="s">
        <v>4</v>
      </c>
      <c r="B12" s="958">
        <f>'Cost Summary'!L46</f>
        <v>2990000</v>
      </c>
      <c r="C12" s="958">
        <f>'Cost Summary'!M46</f>
        <v>2753000</v>
      </c>
      <c r="D12" s="958">
        <f>'Cost Summary'!N46</f>
        <v>2512000</v>
      </c>
    </row>
    <row r="13" spans="1:4" ht="15" thickBot="1">
      <c r="A13" s="957" t="s">
        <v>5</v>
      </c>
      <c r="B13" s="958">
        <f>'Cost Summary'!O46</f>
        <v>20778000</v>
      </c>
      <c r="C13" s="958">
        <f>'Cost Summary'!P46</f>
        <v>18356000</v>
      </c>
      <c r="D13" s="958">
        <f>'Cost Summary'!Q46</f>
        <v>16002000</v>
      </c>
    </row>
    <row r="14" spans="1:4" ht="15" thickBot="1">
      <c r="A14" s="964" t="s">
        <v>7919</v>
      </c>
      <c r="B14" s="958">
        <f>'Cost Summary'!U46</f>
        <v>23868000</v>
      </c>
      <c r="C14" s="958">
        <f>'Cost Summary'!V46</f>
        <v>21210000</v>
      </c>
      <c r="D14" s="958">
        <f>'Cost Summary'!W46</f>
        <v>18614000</v>
      </c>
    </row>
    <row r="15" spans="1:4">
      <c r="B15" s="993"/>
      <c r="C15" s="993"/>
      <c r="D15" s="993"/>
    </row>
    <row r="16" spans="1:4" ht="15" hidden="1" thickBot="1">
      <c r="A16" s="965" t="s">
        <v>7920</v>
      </c>
      <c r="B16" s="966">
        <v>2022</v>
      </c>
      <c r="C16" s="966">
        <v>2042</v>
      </c>
      <c r="D16" s="966" t="s">
        <v>1305</v>
      </c>
    </row>
    <row r="17" spans="1:5" ht="15" hidden="1" thickBot="1">
      <c r="A17" s="957" t="s">
        <v>7921</v>
      </c>
      <c r="B17" s="967">
        <v>8050</v>
      </c>
      <c r="C17" s="967">
        <v>11850</v>
      </c>
      <c r="D17" s="968">
        <v>1.95E-2</v>
      </c>
    </row>
    <row r="18" spans="1:5" ht="15" hidden="1" thickBot="1">
      <c r="A18" s="957" t="s">
        <v>7922</v>
      </c>
      <c r="B18" s="967">
        <v>3225</v>
      </c>
      <c r="C18" s="967">
        <v>4740</v>
      </c>
      <c r="D18" s="968">
        <v>1.95E-2</v>
      </c>
    </row>
    <row r="19" spans="1:5" ht="13.8" thickBot="1"/>
    <row r="20" spans="1:5" ht="15" thickBot="1">
      <c r="A20" s="965" t="s">
        <v>7920</v>
      </c>
      <c r="B20" s="966">
        <v>2022</v>
      </c>
      <c r="C20" s="966">
        <v>2047</v>
      </c>
      <c r="D20" s="966" t="s">
        <v>1305</v>
      </c>
    </row>
    <row r="21" spans="1:5" ht="15" thickBot="1">
      <c r="A21" s="957" t="s">
        <v>7921</v>
      </c>
      <c r="B21" s="967">
        <v>8050</v>
      </c>
      <c r="C21" s="967">
        <f>B21*($D$21+1)^(C20-B20)</f>
        <v>13045.977741793393</v>
      </c>
      <c r="D21" s="968">
        <v>1.95E-2</v>
      </c>
    </row>
    <row r="22" spans="1:5" ht="15" thickBot="1">
      <c r="A22" s="957" t="s">
        <v>7922</v>
      </c>
      <c r="B22" s="967">
        <v>3225</v>
      </c>
      <c r="C22" s="967">
        <f>B22*($D$21+1)^(C20-B20)</f>
        <v>5226.4941884824466</v>
      </c>
      <c r="D22" s="968">
        <v>1.95E-2</v>
      </c>
    </row>
    <row r="23" spans="1:5" ht="13.8" thickBot="1"/>
    <row r="24" spans="1:5" ht="14.4">
      <c r="A24" s="1826" t="s">
        <v>7920</v>
      </c>
      <c r="B24" s="955" t="s">
        <v>7923</v>
      </c>
      <c r="C24" s="1815">
        <v>2022</v>
      </c>
      <c r="D24" s="1815">
        <v>2047</v>
      </c>
    </row>
    <row r="25" spans="1:5" ht="15" thickBot="1">
      <c r="A25" s="1827"/>
      <c r="B25" s="956" t="s">
        <v>575</v>
      </c>
      <c r="C25" s="1816"/>
      <c r="D25" s="1816"/>
    </row>
    <row r="26" spans="1:5" ht="15" thickBot="1">
      <c r="A26" s="957" t="s">
        <v>7921</v>
      </c>
      <c r="B26" s="959">
        <v>0.1</v>
      </c>
      <c r="C26" s="967">
        <f>$B$26*B21</f>
        <v>805</v>
      </c>
      <c r="D26" s="967">
        <f>$B$26*C21</f>
        <v>1304.5977741793395</v>
      </c>
    </row>
    <row r="27" spans="1:5" ht="15" thickBot="1">
      <c r="A27" s="957" t="s">
        <v>7922</v>
      </c>
      <c r="B27" s="959">
        <v>0.1</v>
      </c>
      <c r="C27" s="967">
        <f>$B$26*B22</f>
        <v>322.5</v>
      </c>
      <c r="D27" s="967">
        <f>$B$27*C22</f>
        <v>522.64941884824464</v>
      </c>
    </row>
    <row r="29" spans="1:5" ht="13.8" thickBot="1"/>
    <row r="30" spans="1:5" ht="14.4">
      <c r="A30" s="1815" t="s">
        <v>379</v>
      </c>
      <c r="B30" s="955" t="s">
        <v>7924</v>
      </c>
      <c r="C30" s="955" t="s">
        <v>7924</v>
      </c>
      <c r="D30" s="955" t="s">
        <v>7925</v>
      </c>
      <c r="E30" s="955" t="s">
        <v>7925</v>
      </c>
    </row>
    <row r="31" spans="1:5" ht="15" thickBot="1">
      <c r="A31" s="1816"/>
      <c r="B31" s="956">
        <v>2028</v>
      </c>
      <c r="C31" s="956">
        <v>2048</v>
      </c>
      <c r="D31" s="956">
        <v>2028</v>
      </c>
      <c r="E31" s="956">
        <v>2048</v>
      </c>
    </row>
    <row r="32" spans="1:5" ht="15" thickBot="1">
      <c r="A32" s="957" t="s">
        <v>7926</v>
      </c>
      <c r="B32" s="967">
        <f>'Pedestrian Demand'!D51</f>
        <v>2.9004248688944578</v>
      </c>
      <c r="C32" s="967">
        <f>'Pedestrian Demand'!D70</f>
        <v>2.966515207346216</v>
      </c>
      <c r="D32" s="974">
        <f>B32*$B$26</f>
        <v>0.29004248688944578</v>
      </c>
      <c r="E32" s="974">
        <f>C32*$B$26</f>
        <v>0.29665152073462159</v>
      </c>
    </row>
    <row r="33" spans="1:5" ht="15" thickBot="1">
      <c r="A33" s="957" t="s">
        <v>7927</v>
      </c>
      <c r="B33" s="967">
        <f>'Bike Demand'!D31</f>
        <v>168.39254848273887</v>
      </c>
      <c r="C33" s="967">
        <f>'Bike Demand'!D50</f>
        <v>222.35778985097136</v>
      </c>
      <c r="D33" s="974">
        <f>B33*$B$26</f>
        <v>16.839254848273889</v>
      </c>
      <c r="E33" s="974">
        <f>C33*$B$26</f>
        <v>22.235778985097138</v>
      </c>
    </row>
    <row r="34" spans="1:5" ht="15" thickBot="1">
      <c r="A34" s="971" t="s">
        <v>7216</v>
      </c>
      <c r="B34" s="972">
        <f>'Transit Demand'!D63</f>
        <v>2266.9621508820019</v>
      </c>
      <c r="C34" s="972">
        <f>'Transit Demand'!D82</f>
        <v>2441.1632298699333</v>
      </c>
      <c r="D34" s="973">
        <f>B34*5.67</f>
        <v>12853.67539550095</v>
      </c>
      <c r="E34" s="973">
        <f>C34*5.67</f>
        <v>13841.395513362522</v>
      </c>
    </row>
    <row r="35" spans="1:5" ht="15.6" thickTop="1" thickBot="1">
      <c r="A35" s="957" t="s">
        <v>473</v>
      </c>
      <c r="B35" s="967">
        <f>SUM(B32:B34)</f>
        <v>2438.2551242336353</v>
      </c>
      <c r="C35" s="967">
        <f>SUM(C32:C34)</f>
        <v>2666.4875349282511</v>
      </c>
      <c r="D35" s="967">
        <f t="shared" ref="D35:E35" si="0">SUM(D32:D34)</f>
        <v>12870.804692836113</v>
      </c>
      <c r="E35" s="967">
        <f t="shared" si="0"/>
        <v>13863.927943868353</v>
      </c>
    </row>
    <row r="37" spans="1:5" ht="13.8" thickBot="1"/>
    <row r="38" spans="1:5" ht="15" thickBot="1">
      <c r="A38" s="977" t="s">
        <v>7928</v>
      </c>
      <c r="B38" s="978" t="s">
        <v>66</v>
      </c>
      <c r="C38" s="978" t="s">
        <v>131</v>
      </c>
    </row>
    <row r="39" spans="1:5" ht="15" thickBot="1">
      <c r="A39" s="979" t="s">
        <v>7912</v>
      </c>
      <c r="B39" s="980">
        <v>0</v>
      </c>
      <c r="C39" s="980">
        <f>ROUND('Useful Life'!G14+'Useful Life'!G13,-3)</f>
        <v>18356000</v>
      </c>
    </row>
    <row r="40" spans="1:5" ht="15" thickBot="1">
      <c r="A40" s="981" t="s">
        <v>7929</v>
      </c>
      <c r="B40" s="982"/>
      <c r="C40" s="983">
        <v>0.4</v>
      </c>
    </row>
    <row r="41" spans="1:5" ht="15.6" thickTop="1" thickBot="1">
      <c r="A41" s="984" t="s">
        <v>7930</v>
      </c>
      <c r="B41" s="985">
        <v>0</v>
      </c>
      <c r="C41" s="985">
        <f>'Useful Life'!S48</f>
        <v>11014000</v>
      </c>
    </row>
    <row r="42" spans="1:5" ht="15.6" thickTop="1" thickBot="1">
      <c r="A42" s="986" t="s">
        <v>7931</v>
      </c>
      <c r="B42" s="1821">
        <f>'Useful Life'!S48</f>
        <v>11014000</v>
      </c>
      <c r="C42" s="1822"/>
    </row>
    <row r="43" spans="1:5" ht="15.6" thickTop="1" thickBot="1">
      <c r="A43" s="987" t="s">
        <v>7932</v>
      </c>
      <c r="B43" s="1823">
        <f>'Useful Life'!T48</f>
        <v>5134000</v>
      </c>
      <c r="C43" s="1824"/>
    </row>
    <row r="48" spans="1:5" ht="13.8" thickBot="1">
      <c r="A48" s="988"/>
    </row>
    <row r="49" spans="1:3" ht="15" thickBot="1">
      <c r="A49" s="965" t="s">
        <v>7933</v>
      </c>
      <c r="B49" s="966" t="s">
        <v>66</v>
      </c>
      <c r="C49" s="966" t="s">
        <v>131</v>
      </c>
    </row>
    <row r="50" spans="1:3" ht="15" thickBot="1">
      <c r="A50" s="957" t="s">
        <v>7934</v>
      </c>
      <c r="B50" s="958">
        <f>'Pedestrian Safety'!T48</f>
        <v>8000000</v>
      </c>
      <c r="C50" s="958">
        <f>'Pedestrian Safety'!U48</f>
        <v>6880000</v>
      </c>
    </row>
    <row r="51" spans="1:3" ht="15" thickBot="1">
      <c r="A51" s="975" t="s">
        <v>7935</v>
      </c>
      <c r="B51" s="989">
        <f>SUM(B50)</f>
        <v>8000000</v>
      </c>
      <c r="C51" s="989">
        <f>SUM(C50)</f>
        <v>6880000</v>
      </c>
    </row>
    <row r="52" spans="1:3" ht="15.6" thickTop="1" thickBot="1">
      <c r="A52" s="976" t="s">
        <v>7931</v>
      </c>
      <c r="B52" s="1811">
        <f>'Pedestrian Safety'!V48</f>
        <v>1120000</v>
      </c>
      <c r="C52" s="1812"/>
    </row>
    <row r="53" spans="1:3" ht="29.4" thickBot="1">
      <c r="A53" s="964" t="s">
        <v>7932</v>
      </c>
      <c r="B53" s="1817">
        <f>'Pedestrian Safety'!W48</f>
        <v>709000</v>
      </c>
      <c r="C53" s="1818"/>
    </row>
    <row r="54" spans="1:3" ht="14.4">
      <c r="A54" s="991"/>
    </row>
    <row r="55" spans="1:3" ht="13.8" thickBot="1">
      <c r="A55" s="988"/>
    </row>
    <row r="56" spans="1:3" ht="15" thickBot="1">
      <c r="A56" s="965" t="s">
        <v>7936</v>
      </c>
      <c r="B56" s="966" t="s">
        <v>66</v>
      </c>
      <c r="C56" s="966" t="s">
        <v>131</v>
      </c>
    </row>
    <row r="57" spans="1:3" ht="15" thickBot="1">
      <c r="A57" s="957" t="s">
        <v>7934</v>
      </c>
      <c r="B57" s="958">
        <f>'Bike Safety'!L48</f>
        <v>7552000</v>
      </c>
      <c r="C57" s="958">
        <f>'Bike Safety'!W48</f>
        <v>4154000</v>
      </c>
    </row>
    <row r="58" spans="1:3" ht="15" thickBot="1">
      <c r="A58" s="975" t="s">
        <v>7935</v>
      </c>
      <c r="B58" s="989">
        <f>SUM(B57)</f>
        <v>7552000</v>
      </c>
      <c r="C58" s="989">
        <f>SUM(C57)</f>
        <v>4154000</v>
      </c>
    </row>
    <row r="59" spans="1:3" ht="15.6" thickTop="1" thickBot="1">
      <c r="A59" s="976" t="s">
        <v>7931</v>
      </c>
      <c r="B59" s="1811">
        <f>'Bike Safety'!X48</f>
        <v>3398000</v>
      </c>
      <c r="C59" s="1812"/>
    </row>
    <row r="60" spans="1:3" ht="29.4" thickBot="1">
      <c r="A60" s="964" t="s">
        <v>7932</v>
      </c>
      <c r="B60" s="1817">
        <f>'Bike Safety'!Y48</f>
        <v>2150000</v>
      </c>
      <c r="C60" s="1818"/>
    </row>
    <row r="61" spans="1:3" ht="14.4">
      <c r="A61" s="991"/>
    </row>
    <row r="62" spans="1:3" ht="13.8" thickBot="1">
      <c r="A62" s="988"/>
    </row>
    <row r="63" spans="1:3" ht="15" thickBot="1">
      <c r="A63" s="965" t="s">
        <v>7937</v>
      </c>
      <c r="B63" s="966" t="s">
        <v>66</v>
      </c>
      <c r="C63" s="966" t="s">
        <v>131</v>
      </c>
    </row>
    <row r="64" spans="1:3" ht="15" thickBot="1">
      <c r="A64" s="957" t="s">
        <v>7938</v>
      </c>
      <c r="B64" s="958">
        <f>B50</f>
        <v>8000000</v>
      </c>
      <c r="C64" s="958">
        <f>C50</f>
        <v>6880000</v>
      </c>
    </row>
    <row r="65" spans="1:11" ht="15" thickBot="1">
      <c r="A65" s="957" t="s">
        <v>7939</v>
      </c>
      <c r="B65" s="958">
        <f>B58</f>
        <v>7552000</v>
      </c>
      <c r="C65" s="958">
        <f>C58</f>
        <v>4154000</v>
      </c>
    </row>
    <row r="66" spans="1:11" ht="15" thickBot="1">
      <c r="A66" s="975" t="s">
        <v>7935</v>
      </c>
      <c r="B66" s="989">
        <f>SUM(B64:B65)</f>
        <v>15552000</v>
      </c>
      <c r="C66" s="989">
        <f>SUM(C64:C65)</f>
        <v>11034000</v>
      </c>
    </row>
    <row r="67" spans="1:11" ht="15.6" thickTop="1" thickBot="1">
      <c r="A67" s="976" t="s">
        <v>7931</v>
      </c>
      <c r="B67" s="1811">
        <f>B52+B59</f>
        <v>4518000</v>
      </c>
      <c r="C67" s="1812"/>
      <c r="D67" s="993"/>
    </row>
    <row r="68" spans="1:11" ht="31.2" customHeight="1" thickBot="1">
      <c r="A68" s="976" t="s">
        <v>7932</v>
      </c>
      <c r="B68" s="1811">
        <f>B53+B60</f>
        <v>2859000</v>
      </c>
      <c r="C68" s="1812"/>
      <c r="I68" s="1006"/>
      <c r="J68" s="1006"/>
      <c r="K68" s="1006"/>
    </row>
    <row r="69" spans="1:11" ht="12.6" customHeight="1">
      <c r="I69" s="1006"/>
      <c r="J69" s="1006"/>
      <c r="K69" s="1006"/>
    </row>
    <row r="70" spans="1:11" ht="13.5" customHeight="1" thickBot="1">
      <c r="A70" s="1005"/>
      <c r="I70" s="1006"/>
      <c r="J70" s="1006"/>
      <c r="K70" s="1006"/>
    </row>
    <row r="71" spans="1:11" ht="18" thickBot="1">
      <c r="A71" s="998"/>
      <c r="B71" s="999"/>
      <c r="C71" s="999"/>
      <c r="I71" s="1006"/>
      <c r="J71" s="1006"/>
      <c r="K71" s="1006"/>
    </row>
    <row r="72" spans="1:11" ht="18" thickBot="1">
      <c r="A72" s="1000" t="s">
        <v>7940</v>
      </c>
      <c r="B72" s="966" t="s">
        <v>66</v>
      </c>
      <c r="C72" s="966" t="s">
        <v>131</v>
      </c>
      <c r="I72" s="1006"/>
      <c r="J72" s="1006"/>
      <c r="K72" s="1006"/>
    </row>
    <row r="73" spans="1:11" ht="18" thickBot="1">
      <c r="A73" s="1001" t="s">
        <v>7941</v>
      </c>
      <c r="B73" s="958">
        <f>'Emission Reduction (Metric Ton)'!J48</f>
        <v>1473000</v>
      </c>
      <c r="C73" s="958">
        <f>'Emission Reduction (Metric Ton)'!R48</f>
        <v>1698000</v>
      </c>
      <c r="I73" s="1006"/>
      <c r="J73" s="1006"/>
      <c r="K73" s="1006"/>
    </row>
    <row r="74" spans="1:11" ht="18" thickBot="1">
      <c r="A74" s="1001" t="s">
        <v>7942</v>
      </c>
      <c r="B74" s="958">
        <f>'Emission Reduction (Metric Ton)'!L48</f>
        <v>673000</v>
      </c>
      <c r="C74" s="958">
        <f>'Emission Reduction (Metric Ton)'!U48</f>
        <v>126000</v>
      </c>
      <c r="I74" s="1006"/>
      <c r="J74" s="1006"/>
      <c r="K74" s="1006"/>
    </row>
    <row r="75" spans="1:11" ht="18" thickBot="1">
      <c r="A75" s="1002" t="s">
        <v>7935</v>
      </c>
      <c r="B75" s="990">
        <f>SUM(B73:B74)</f>
        <v>2146000</v>
      </c>
      <c r="C75" s="989">
        <f>SUM(C73:C74)</f>
        <v>1824000</v>
      </c>
      <c r="I75" s="1006"/>
      <c r="J75" s="1006"/>
      <c r="K75" s="1006"/>
    </row>
    <row r="76" spans="1:11" ht="18.600000000000001" thickTop="1" thickBot="1">
      <c r="A76" s="1003" t="s">
        <v>7931</v>
      </c>
      <c r="B76" s="1811">
        <f>'Benefits Summary'!N70</f>
        <v>240000</v>
      </c>
      <c r="C76" s="1812"/>
      <c r="I76" s="1006"/>
      <c r="J76" s="1006"/>
      <c r="K76" s="1006"/>
    </row>
    <row r="77" spans="1:11" ht="29.4" thickBot="1">
      <c r="A77" s="1004" t="s">
        <v>7932</v>
      </c>
      <c r="B77" s="1813">
        <f>'Emission Reduction (Metric Ton)'!AK48</f>
        <v>153000</v>
      </c>
      <c r="C77" s="1814"/>
      <c r="I77" s="1006"/>
      <c r="J77" s="1006"/>
      <c r="K77" s="1006"/>
    </row>
    <row r="78" spans="1:11" ht="17.399999999999999">
      <c r="I78" s="1006"/>
      <c r="J78" s="1006"/>
      <c r="K78" s="1006"/>
    </row>
    <row r="79" spans="1:11" ht="18" thickBot="1">
      <c r="I79" s="1006"/>
      <c r="J79" s="1006"/>
      <c r="K79" s="1006"/>
    </row>
    <row r="80" spans="1:11" ht="18" thickBot="1">
      <c r="A80" s="965" t="s">
        <v>7943</v>
      </c>
      <c r="B80" s="966" t="s">
        <v>66</v>
      </c>
      <c r="C80" s="966" t="s">
        <v>131</v>
      </c>
      <c r="I80" s="1006"/>
      <c r="J80" s="1006"/>
      <c r="K80" s="1006"/>
    </row>
    <row r="81" spans="1:11" ht="18" thickBot="1">
      <c r="A81" s="957" t="s">
        <v>7944</v>
      </c>
      <c r="B81" s="958">
        <v>0</v>
      </c>
      <c r="C81" s="958">
        <f>'Facility Improve - Ped'!AO48</f>
        <v>690000</v>
      </c>
      <c r="I81" s="1006"/>
      <c r="J81" s="1006"/>
      <c r="K81" s="1006"/>
    </row>
    <row r="82" spans="1:11" ht="15" thickBot="1">
      <c r="A82" s="957" t="s">
        <v>7945</v>
      </c>
      <c r="B82" s="958">
        <v>0</v>
      </c>
      <c r="C82" s="958">
        <f>'Facility Improve - Bike'!V48</f>
        <v>733000</v>
      </c>
    </row>
    <row r="83" spans="1:11" ht="15" thickBot="1">
      <c r="A83" s="975" t="s">
        <v>7935</v>
      </c>
      <c r="B83" s="989">
        <v>0</v>
      </c>
      <c r="C83" s="990">
        <f>SUM(C82+C81)</f>
        <v>1423000</v>
      </c>
    </row>
    <row r="84" spans="1:11" ht="15.6" thickTop="1" thickBot="1">
      <c r="A84" s="976" t="s">
        <v>7931</v>
      </c>
      <c r="B84" s="1811">
        <f>C83</f>
        <v>1423000</v>
      </c>
      <c r="C84" s="1812"/>
    </row>
    <row r="85" spans="1:11" ht="29.4" thickBot="1">
      <c r="A85" s="976" t="s">
        <v>7932</v>
      </c>
      <c r="B85" s="1819">
        <f>'Facility Improve - Ped'!AQ48+'Facility Improve - Bike'!W48</f>
        <v>887000</v>
      </c>
      <c r="C85" s="1820"/>
    </row>
    <row r="87" spans="1:11" ht="13.8" thickBot="1"/>
    <row r="88" spans="1:11" ht="15" thickBot="1">
      <c r="A88" s="965" t="s">
        <v>7946</v>
      </c>
      <c r="B88" s="966" t="s">
        <v>66</v>
      </c>
      <c r="C88" s="966" t="s">
        <v>131</v>
      </c>
    </row>
    <row r="89" spans="1:11" ht="15" thickBot="1">
      <c r="A89" s="957" t="s">
        <v>7944</v>
      </c>
      <c r="B89" s="958">
        <v>0</v>
      </c>
      <c r="C89" s="958">
        <f>'Benefits Summary'!N67</f>
        <v>79000</v>
      </c>
    </row>
    <row r="90" spans="1:11" ht="15" thickBot="1">
      <c r="A90" s="957" t="s">
        <v>7945</v>
      </c>
      <c r="B90" s="958">
        <v>0</v>
      </c>
      <c r="C90" s="958">
        <f>'Benefits Summary'!N68</f>
        <v>4051000</v>
      </c>
    </row>
    <row r="91" spans="1:11" ht="15" thickBot="1">
      <c r="A91" s="975" t="s">
        <v>7935</v>
      </c>
      <c r="B91" s="989">
        <v>0</v>
      </c>
      <c r="C91" s="992">
        <f>SUM(C89:C90)</f>
        <v>4130000</v>
      </c>
    </row>
    <row r="92" spans="1:11" ht="15.6" thickTop="1" thickBot="1">
      <c r="A92" s="976" t="s">
        <v>7931</v>
      </c>
      <c r="B92" s="1807">
        <f>C91</f>
        <v>4130000</v>
      </c>
      <c r="C92" s="1808"/>
    </row>
    <row r="93" spans="1:11" ht="29.4" thickBot="1">
      <c r="A93" s="976" t="s">
        <v>7932</v>
      </c>
      <c r="B93" s="1809">
        <f>'Mortality Reduction - Walk'!U48+'Mortality Reduction - Bike'!U48</f>
        <v>2576000</v>
      </c>
      <c r="C93" s="1810"/>
    </row>
    <row r="95" spans="1:11" ht="13.8" thickBot="1"/>
    <row r="96" spans="1:11" ht="15" thickBot="1">
      <c r="A96" s="965" t="s">
        <v>7947</v>
      </c>
      <c r="B96" s="966" t="s">
        <v>66</v>
      </c>
      <c r="C96" s="966" t="s">
        <v>131</v>
      </c>
    </row>
    <row r="97" spans="1:11" ht="15" thickBot="1">
      <c r="A97" s="957" t="s">
        <v>7948</v>
      </c>
      <c r="B97" s="958">
        <f>'Other Highway Use Externalities'!M48</f>
        <v>526500</v>
      </c>
      <c r="C97" s="958">
        <f>'Other Highway Use Externalities'!H48</f>
        <v>409700</v>
      </c>
      <c r="J97">
        <v>410000</v>
      </c>
      <c r="K97">
        <v>526000</v>
      </c>
    </row>
    <row r="98" spans="1:11" ht="15" thickBot="1">
      <c r="A98" s="957" t="s">
        <v>7949</v>
      </c>
      <c r="B98" s="958">
        <f>'Other Highway Use Externalities'!N48</f>
        <v>17400</v>
      </c>
      <c r="C98" s="958">
        <f>'Other Highway Use Externalities'!I48</f>
        <v>13600</v>
      </c>
      <c r="J98">
        <v>14000</v>
      </c>
      <c r="K98">
        <v>17000</v>
      </c>
    </row>
    <row r="99" spans="1:11" ht="15" thickBot="1">
      <c r="A99" s="975" t="s">
        <v>7935</v>
      </c>
      <c r="B99" s="989">
        <f>SUM(B97:B98)</f>
        <v>543900</v>
      </c>
      <c r="C99" s="992">
        <f>SUM(C97:C98)</f>
        <v>423300</v>
      </c>
      <c r="J99">
        <v>424000</v>
      </c>
      <c r="K99">
        <v>543000</v>
      </c>
    </row>
    <row r="100" spans="1:11" ht="15.6" thickTop="1" thickBot="1">
      <c r="A100" s="976" t="s">
        <v>7931</v>
      </c>
      <c r="B100" s="1807">
        <f>ROUND(B99-C99,-3)</f>
        <v>121000</v>
      </c>
      <c r="C100" s="1808"/>
      <c r="J100">
        <v>-119000</v>
      </c>
    </row>
    <row r="101" spans="1:11" ht="15" customHeight="1" thickBot="1">
      <c r="A101" s="976" t="s">
        <v>7932</v>
      </c>
      <c r="B101" s="1809">
        <f>'Other Highway Use Externalities'!W48</f>
        <v>76000</v>
      </c>
      <c r="C101" s="1810"/>
      <c r="J101">
        <v>0</v>
      </c>
    </row>
    <row r="104" spans="1:11" ht="13.8" thickBot="1"/>
    <row r="105" spans="1:11" ht="14.4">
      <c r="A105" s="969" t="s">
        <v>7950</v>
      </c>
      <c r="B105" s="955" t="s">
        <v>7951</v>
      </c>
    </row>
    <row r="106" spans="1:11" ht="15" thickBot="1">
      <c r="A106" s="970" t="s">
        <v>19</v>
      </c>
      <c r="B106" s="956" t="s">
        <v>7952</v>
      </c>
    </row>
    <row r="107" spans="1:11" ht="15" thickBot="1">
      <c r="A107" s="1007">
        <v>10715000</v>
      </c>
      <c r="B107" s="1008">
        <v>4995000</v>
      </c>
    </row>
    <row r="108" spans="1:11" ht="15" thickBot="1">
      <c r="A108" s="994">
        <v>4518000</v>
      </c>
      <c r="B108" s="958">
        <v>2859000</v>
      </c>
    </row>
    <row r="109" spans="1:11" ht="15" thickBot="1">
      <c r="A109" s="994">
        <v>240000</v>
      </c>
      <c r="B109" s="958">
        <v>153000</v>
      </c>
    </row>
    <row r="110" spans="1:11" ht="15" thickBot="1">
      <c r="A110" s="994">
        <v>1423000</v>
      </c>
      <c r="B110" s="958">
        <v>887000</v>
      </c>
    </row>
    <row r="111" spans="1:11" ht="15" thickBot="1">
      <c r="A111" s="994">
        <v>4130000</v>
      </c>
      <c r="B111" s="958">
        <v>2576000</v>
      </c>
    </row>
    <row r="112" spans="1:11" ht="15" thickBot="1">
      <c r="A112" s="994">
        <v>119000</v>
      </c>
      <c r="B112" s="958">
        <v>76000</v>
      </c>
    </row>
    <row r="113" spans="1:2" ht="14.4" thickBot="1">
      <c r="A113" s="995">
        <v>22778000</v>
      </c>
      <c r="B113" s="996">
        <v>12576000</v>
      </c>
    </row>
    <row r="114" spans="1:2">
      <c r="A114" s="993">
        <f>SUM(A107:A112)</f>
        <v>21145000</v>
      </c>
      <c r="B114" s="997">
        <f>SUM(B107:B112)</f>
        <v>11546000</v>
      </c>
    </row>
  </sheetData>
  <mergeCells count="23">
    <mergeCell ref="A1:A2"/>
    <mergeCell ref="B1:B2"/>
    <mergeCell ref="A8:A10"/>
    <mergeCell ref="A24:A25"/>
    <mergeCell ref="C24:C25"/>
    <mergeCell ref="A30:A31"/>
    <mergeCell ref="B42:C42"/>
    <mergeCell ref="B43:C43"/>
    <mergeCell ref="B52:C52"/>
    <mergeCell ref="B53:C53"/>
    <mergeCell ref="B100:C100"/>
    <mergeCell ref="B101:C101"/>
    <mergeCell ref="B76:C76"/>
    <mergeCell ref="B77:C77"/>
    <mergeCell ref="D24:D25"/>
    <mergeCell ref="B68:C68"/>
    <mergeCell ref="B59:C59"/>
    <mergeCell ref="B60:C60"/>
    <mergeCell ref="B67:C67"/>
    <mergeCell ref="B84:C84"/>
    <mergeCell ref="B85:C85"/>
    <mergeCell ref="B92:C92"/>
    <mergeCell ref="B93:C9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21875" customWidth="1"/>
    <col min="2" max="5" width="22.77734375" customWidth="1"/>
    <col min="6" max="6" width="38.21875" bestFit="1" customWidth="1"/>
    <col min="7" max="8" width="38.21875" customWidth="1"/>
    <col min="9" max="10" width="12.5546875" style="2" bestFit="1" customWidth="1"/>
    <col min="11" max="11" width="16.44140625" style="2" bestFit="1" customWidth="1"/>
  </cols>
  <sheetData>
    <row r="1" spans="1:13">
      <c r="A1" s="271" t="s">
        <v>413</v>
      </c>
      <c r="B1" s="42" t="s">
        <v>505</v>
      </c>
      <c r="C1" s="2"/>
      <c r="D1" s="2"/>
      <c r="E1" s="2"/>
    </row>
    <row r="2" spans="1:13">
      <c r="A2" s="767"/>
      <c r="B2" s="767"/>
      <c r="C2" s="767"/>
      <c r="D2" s="767"/>
    </row>
    <row r="3" spans="1:13">
      <c r="A3" s="152" t="s">
        <v>482</v>
      </c>
      <c r="B3" s="1884" t="s">
        <v>506</v>
      </c>
      <c r="C3" s="1884"/>
      <c r="D3" s="1884"/>
      <c r="M3" s="582"/>
    </row>
    <row r="4" spans="1:13" ht="15" thickBot="1">
      <c r="A4" s="771"/>
      <c r="B4" s="771"/>
      <c r="C4" s="771"/>
      <c r="D4" s="771"/>
      <c r="I4"/>
      <c r="J4"/>
      <c r="K4"/>
      <c r="M4" s="581"/>
    </row>
    <row r="5" spans="1:13">
      <c r="A5" s="153" t="s">
        <v>489</v>
      </c>
      <c r="B5" s="1885" t="s">
        <v>507</v>
      </c>
      <c r="C5" s="1885"/>
      <c r="D5" s="1885"/>
      <c r="F5" s="1881" t="s">
        <v>484</v>
      </c>
      <c r="G5" s="1882"/>
      <c r="H5" s="1882"/>
      <c r="I5" s="1882"/>
      <c r="J5" s="1882"/>
      <c r="K5" s="1882"/>
      <c r="L5" s="1883"/>
    </row>
    <row r="6" spans="1:13">
      <c r="A6" s="3"/>
      <c r="B6" s="3"/>
      <c r="C6" s="767"/>
      <c r="D6" s="767"/>
      <c r="F6" s="69" t="s">
        <v>508</v>
      </c>
      <c r="G6" s="66" t="s">
        <v>66</v>
      </c>
      <c r="H6" s="67" t="s">
        <v>66</v>
      </c>
      <c r="I6" s="66" t="s">
        <v>131</v>
      </c>
      <c r="J6" s="65" t="s">
        <v>131</v>
      </c>
      <c r="K6" s="1879" t="s">
        <v>509</v>
      </c>
      <c r="L6" s="1880"/>
    </row>
    <row r="7" spans="1:13" ht="43.2">
      <c r="A7" s="767"/>
      <c r="B7" s="767"/>
      <c r="C7" s="767"/>
      <c r="D7" s="767"/>
      <c r="F7" s="63" t="s">
        <v>510</v>
      </c>
      <c r="G7" s="61" t="s">
        <v>511</v>
      </c>
      <c r="H7" s="62" t="s">
        <v>512</v>
      </c>
      <c r="I7" s="61" t="s">
        <v>511</v>
      </c>
      <c r="J7" s="60" t="s">
        <v>512</v>
      </c>
      <c r="K7" s="1879"/>
      <c r="L7" s="1880"/>
    </row>
    <row r="8" spans="1:13" ht="18">
      <c r="A8" s="1888" t="s">
        <v>432</v>
      </c>
      <c r="B8" s="1889"/>
      <c r="C8" s="1889"/>
      <c r="D8" s="1890"/>
      <c r="F8" s="782">
        <f>'Major Assumption Key'!A19</f>
        <v>2020</v>
      </c>
      <c r="G8" s="783">
        <f>IF(F8&lt;$B$18,"",$B$22*(1+$B$19)^(F8-$B$18))</f>
        <v>0</v>
      </c>
      <c r="H8" s="784">
        <f>IF(AND(F8&gt;=$B$16,F8&lt;=$B$17),G8,0)</f>
        <v>0</v>
      </c>
      <c r="I8" s="785">
        <f>IF(F8&gt;=$B$15,$B$23,0)*(1+$B$19)^(F8-$B$18)</f>
        <v>0</v>
      </c>
      <c r="J8" s="786">
        <f>IF(AND(I8&gt;=$B$16,F8&lt;=$B$17),I8,0)</f>
        <v>0</v>
      </c>
      <c r="K8" s="37">
        <f>IF(AND(I8&gt;=$B$16,F8&lt;=$B$17),G8-I8,0)</f>
        <v>0</v>
      </c>
      <c r="L8" s="38">
        <f>K8/(1+'Major Assumption Key'!$B$8)^(F8-'Major Assumption Key'!$B$7)</f>
        <v>0</v>
      </c>
    </row>
    <row r="9" spans="1:13" ht="18">
      <c r="A9" s="1891" t="s">
        <v>418</v>
      </c>
      <c r="B9" s="1891"/>
      <c r="C9" s="49" t="s">
        <v>419</v>
      </c>
      <c r="D9" s="49" t="str">
        <f>_xlfn.CONCAT("Discounted @",TEXT('Major Assumption Key'!B8,"0.0%"))</f>
        <v>Discounted @3.1%</v>
      </c>
      <c r="F9" s="782">
        <f>'Major Assumption Key'!A20</f>
        <v>2021</v>
      </c>
      <c r="G9" s="783">
        <f t="shared" ref="G9:G48" si="0">IF(F9&lt;$B$18,"",$B$22*(1+$B$19)^(F9-$B$18))</f>
        <v>0</v>
      </c>
      <c r="H9" s="784">
        <f t="shared" ref="H9:H48" si="1">IF(AND(F9&gt;=$B$16,F9&lt;=$B$17),G9,0)</f>
        <v>0</v>
      </c>
      <c r="I9" s="785">
        <f t="shared" ref="I9:I48" si="2">IF(F9&gt;=$B$15,$B$23,0)*(1+$B$19)^(F9-$B$18)</f>
        <v>0</v>
      </c>
      <c r="J9" s="786">
        <f t="shared" ref="J9:J48" si="3">IF(AND(I9&gt;=$B$16,F9&lt;=$B$17),I9,0)</f>
        <v>0</v>
      </c>
      <c r="K9" s="37">
        <f t="shared" ref="K9:K48" si="4">IF(AND(I9&gt;=$B$16,F9&lt;=$B$17),G9-I9,0)</f>
        <v>0</v>
      </c>
      <c r="L9" s="38">
        <f>K9/(1+'Major Assumption Key'!$B$8)^(F9-'Major Assumption Key'!$B$7)</f>
        <v>0</v>
      </c>
    </row>
    <row r="10" spans="1:13" ht="18">
      <c r="A10" s="1892" t="s">
        <v>11</v>
      </c>
      <c r="B10" s="1892"/>
      <c r="C10" s="56">
        <f>'BCA Summary'!$H$7</f>
        <v>1.0111569298276737</v>
      </c>
      <c r="D10" s="56">
        <f>'BCA Summary'!$I$7</f>
        <v>0.6276932096418345</v>
      </c>
      <c r="F10" s="782">
        <f>'Major Assumption Key'!A21</f>
        <v>2022</v>
      </c>
      <c r="G10" s="783">
        <f t="shared" si="0"/>
        <v>0</v>
      </c>
      <c r="H10" s="784">
        <f t="shared" si="1"/>
        <v>0</v>
      </c>
      <c r="I10" s="785">
        <f t="shared" si="2"/>
        <v>0</v>
      </c>
      <c r="J10" s="786">
        <f t="shared" si="3"/>
        <v>0</v>
      </c>
      <c r="K10" s="37">
        <f t="shared" si="4"/>
        <v>0</v>
      </c>
      <c r="L10" s="38">
        <f>K10/(1+'Major Assumption Key'!$B$8)^(F10-'Major Assumption Key'!$B$7)</f>
        <v>0</v>
      </c>
    </row>
    <row r="11" spans="1:13" ht="18">
      <c r="A11" s="1892" t="s">
        <v>12</v>
      </c>
      <c r="B11" s="1892"/>
      <c r="C11" s="49">
        <f>'BCA Summary'!$H$8</f>
        <v>236636.98382712901</v>
      </c>
      <c r="D11" s="49">
        <f>'BCA Summary'!$I$8</f>
        <v>-6930297.4454113934</v>
      </c>
      <c r="F11" s="782">
        <f>'Major Assumption Key'!A22</f>
        <v>2023</v>
      </c>
      <c r="G11" s="783">
        <f t="shared" si="0"/>
        <v>0</v>
      </c>
      <c r="H11" s="784">
        <f t="shared" si="1"/>
        <v>0</v>
      </c>
      <c r="I11" s="785">
        <f t="shared" si="2"/>
        <v>0</v>
      </c>
      <c r="J11" s="786">
        <f t="shared" si="3"/>
        <v>0</v>
      </c>
      <c r="K11" s="37">
        <f t="shared" si="4"/>
        <v>0</v>
      </c>
      <c r="L11" s="38">
        <f>K11/(1+'Major Assumption Key'!$B$8)^(F11-'Major Assumption Key'!$B$7)</f>
        <v>0</v>
      </c>
    </row>
    <row r="12" spans="1:13">
      <c r="A12" s="767"/>
      <c r="B12" s="767"/>
      <c r="C12" s="767"/>
      <c r="D12" s="767"/>
      <c r="F12" s="782">
        <f>'Major Assumption Key'!A23</f>
        <v>2024</v>
      </c>
      <c r="G12" s="783">
        <f t="shared" si="0"/>
        <v>0</v>
      </c>
      <c r="H12" s="784">
        <f t="shared" si="1"/>
        <v>0</v>
      </c>
      <c r="I12" s="785">
        <f t="shared" si="2"/>
        <v>0</v>
      </c>
      <c r="J12" s="786">
        <f t="shared" si="3"/>
        <v>0</v>
      </c>
      <c r="K12" s="37">
        <f t="shared" si="4"/>
        <v>0</v>
      </c>
      <c r="L12" s="38">
        <f>K12/(1+'Major Assumption Key'!$B$8)^(F12-'Major Assumption Key'!$B$7)</f>
        <v>0</v>
      </c>
    </row>
    <row r="13" spans="1:13" ht="15" thickBot="1">
      <c r="A13" s="767"/>
      <c r="B13" s="767"/>
      <c r="C13" s="767"/>
      <c r="D13" s="767"/>
      <c r="F13" s="782">
        <f>'Major Assumption Key'!A24</f>
        <v>2025</v>
      </c>
      <c r="G13" s="783">
        <f t="shared" si="0"/>
        <v>0</v>
      </c>
      <c r="H13" s="784">
        <f t="shared" si="1"/>
        <v>0</v>
      </c>
      <c r="I13" s="785">
        <f t="shared" si="2"/>
        <v>0</v>
      </c>
      <c r="J13" s="786">
        <f t="shared" si="3"/>
        <v>0</v>
      </c>
      <c r="K13" s="37">
        <f t="shared" si="4"/>
        <v>0</v>
      </c>
      <c r="L13" s="38">
        <f>K13/(1+'Major Assumption Key'!$B$8)^(F13-'Major Assumption Key'!$B$7)</f>
        <v>0</v>
      </c>
    </row>
    <row r="14" spans="1:13">
      <c r="A14" s="603" t="s">
        <v>433</v>
      </c>
      <c r="B14" s="604" t="s">
        <v>434</v>
      </c>
      <c r="C14" s="1886" t="s">
        <v>498</v>
      </c>
      <c r="D14" s="1887"/>
      <c r="F14" s="782">
        <f>'Major Assumption Key'!A25</f>
        <v>2026</v>
      </c>
      <c r="G14" s="783">
        <f t="shared" si="0"/>
        <v>0</v>
      </c>
      <c r="H14" s="784">
        <f t="shared" si="1"/>
        <v>0</v>
      </c>
      <c r="I14" s="785">
        <f t="shared" si="2"/>
        <v>0</v>
      </c>
      <c r="J14" s="786">
        <f t="shared" si="3"/>
        <v>0</v>
      </c>
      <c r="K14" s="37">
        <f t="shared" si="4"/>
        <v>0</v>
      </c>
      <c r="L14" s="38">
        <f>K14/(1+'Major Assumption Key'!$B$8)^(F14-'Major Assumption Key'!$B$7)</f>
        <v>0</v>
      </c>
    </row>
    <row r="15" spans="1:13">
      <c r="A15" s="776" t="str">
        <f>'Major Assumption Key'!$A$3</f>
        <v>Project Open Year:</v>
      </c>
      <c r="B15" s="777">
        <f>'Major Assumption Key'!B3</f>
        <v>2028</v>
      </c>
      <c r="C15" s="787" t="s">
        <v>436</v>
      </c>
      <c r="D15" s="605"/>
      <c r="F15" s="782">
        <f>'Major Assumption Key'!A26</f>
        <v>2027</v>
      </c>
      <c r="G15" s="783">
        <f t="shared" si="0"/>
        <v>0</v>
      </c>
      <c r="H15" s="784">
        <f t="shared" si="1"/>
        <v>0</v>
      </c>
      <c r="I15" s="785">
        <f t="shared" si="2"/>
        <v>0</v>
      </c>
      <c r="J15" s="786">
        <f t="shared" si="3"/>
        <v>0</v>
      </c>
      <c r="K15" s="37">
        <f t="shared" si="4"/>
        <v>0</v>
      </c>
      <c r="L15" s="38">
        <f>K15/(1+'Major Assumption Key'!$B$8)^(F15-'Major Assumption Key'!$B$7)</f>
        <v>0</v>
      </c>
    </row>
    <row r="16" spans="1:13">
      <c r="A16" s="776" t="str">
        <f>'Major Assumption Key'!$A$4</f>
        <v>Planning Horizon Begin Year:</v>
      </c>
      <c r="B16" s="777">
        <f>'Major Assumption Key'!$B$4</f>
        <v>2022</v>
      </c>
      <c r="C16" s="787" t="s">
        <v>436</v>
      </c>
      <c r="D16" s="788"/>
      <c r="F16" s="782">
        <f>'Major Assumption Key'!A27</f>
        <v>2028</v>
      </c>
      <c r="G16" s="783">
        <f t="shared" si="0"/>
        <v>0</v>
      </c>
      <c r="H16" s="784">
        <f t="shared" si="1"/>
        <v>0</v>
      </c>
      <c r="I16" s="785">
        <f t="shared" si="2"/>
        <v>0</v>
      </c>
      <c r="J16" s="786">
        <f t="shared" si="3"/>
        <v>0</v>
      </c>
      <c r="K16" s="37">
        <f t="shared" si="4"/>
        <v>0</v>
      </c>
      <c r="L16" s="38">
        <f>K16/(1+'Major Assumption Key'!$B$8)^(F16-'Major Assumption Key'!$B$7)</f>
        <v>0</v>
      </c>
    </row>
    <row r="17" spans="1:12">
      <c r="A17" s="776" t="str">
        <f>'Major Assumption Key'!$A$6</f>
        <v>Planning Horizon End Year:</v>
      </c>
      <c r="B17" s="777">
        <f>'Major Assumption Key'!$B$6</f>
        <v>2047</v>
      </c>
      <c r="C17" s="787" t="s">
        <v>436</v>
      </c>
      <c r="D17" s="788"/>
      <c r="F17" s="782">
        <f>'Major Assumption Key'!A28</f>
        <v>2029</v>
      </c>
      <c r="G17" s="783">
        <f t="shared" si="0"/>
        <v>0</v>
      </c>
      <c r="H17" s="784">
        <f t="shared" si="1"/>
        <v>0</v>
      </c>
      <c r="I17" s="785">
        <f t="shared" si="2"/>
        <v>0</v>
      </c>
      <c r="J17" s="786">
        <f t="shared" si="3"/>
        <v>0</v>
      </c>
      <c r="K17" s="37">
        <f t="shared" si="4"/>
        <v>0</v>
      </c>
      <c r="L17" s="38">
        <f>K17/(1+'Major Assumption Key'!$B$8)^(F17-'Major Assumption Key'!$B$7)</f>
        <v>0</v>
      </c>
    </row>
    <row r="18" spans="1:12">
      <c r="A18" s="606" t="s">
        <v>440</v>
      </c>
      <c r="B18" s="641"/>
      <c r="C18" s="573" t="s">
        <v>513</v>
      </c>
      <c r="D18" s="607"/>
      <c r="F18" s="782">
        <f>'Major Assumption Key'!A29</f>
        <v>2030</v>
      </c>
      <c r="G18" s="783">
        <f t="shared" si="0"/>
        <v>0</v>
      </c>
      <c r="H18" s="784">
        <f t="shared" si="1"/>
        <v>0</v>
      </c>
      <c r="I18" s="785">
        <f t="shared" si="2"/>
        <v>0</v>
      </c>
      <c r="J18" s="786">
        <f t="shared" si="3"/>
        <v>0</v>
      </c>
      <c r="K18" s="37">
        <f t="shared" si="4"/>
        <v>0</v>
      </c>
      <c r="L18" s="38">
        <f>K18/(1+'Major Assumption Key'!$B$8)^(F18-'Major Assumption Key'!$B$7)</f>
        <v>0</v>
      </c>
    </row>
    <row r="19" spans="1:12">
      <c r="A19" s="768" t="str">
        <f>'Major Assumption Key'!$A$10</f>
        <v>Inflation Rate</v>
      </c>
      <c r="B19" s="789">
        <f>'Major Assumption Key'!$B$10</f>
        <v>2.7894736842105264E-2</v>
      </c>
      <c r="C19" s="2" t="s">
        <v>436</v>
      </c>
      <c r="D19" s="607"/>
      <c r="F19" s="782">
        <f>'Major Assumption Key'!A30</f>
        <v>2031</v>
      </c>
      <c r="G19" s="783">
        <f t="shared" si="0"/>
        <v>0</v>
      </c>
      <c r="H19" s="784">
        <f t="shared" si="1"/>
        <v>0</v>
      </c>
      <c r="I19" s="785">
        <f t="shared" si="2"/>
        <v>0</v>
      </c>
      <c r="J19" s="786">
        <f t="shared" si="3"/>
        <v>0</v>
      </c>
      <c r="K19" s="37">
        <f t="shared" si="4"/>
        <v>0</v>
      </c>
      <c r="L19" s="38">
        <f>K19/(1+'Major Assumption Key'!$B$8)^(F19-'Major Assumption Key'!$B$7)</f>
        <v>0</v>
      </c>
    </row>
    <row r="20" spans="1:12">
      <c r="A20" s="397" t="str">
        <f>'Major Assumption Key'!$A$7</f>
        <v>Discount Year</v>
      </c>
      <c r="B20" s="357">
        <f>'Major Assumption Key'!$B$7</f>
        <v>2022</v>
      </c>
      <c r="C20" s="2" t="s">
        <v>436</v>
      </c>
      <c r="D20" s="607"/>
      <c r="F20" s="782">
        <f>'Major Assumption Key'!A31</f>
        <v>2032</v>
      </c>
      <c r="G20" s="783">
        <f t="shared" si="0"/>
        <v>0</v>
      </c>
      <c r="H20" s="784">
        <f t="shared" si="1"/>
        <v>0</v>
      </c>
      <c r="I20" s="785">
        <f t="shared" si="2"/>
        <v>0</v>
      </c>
      <c r="J20" s="786">
        <f t="shared" si="3"/>
        <v>0</v>
      </c>
      <c r="K20" s="37">
        <f t="shared" si="4"/>
        <v>0</v>
      </c>
      <c r="L20" s="38">
        <f>K20/(1+'Major Assumption Key'!$B$8)^(F20-'Major Assumption Key'!$B$7)</f>
        <v>0</v>
      </c>
    </row>
    <row r="21" spans="1:12">
      <c r="A21" s="397" t="str">
        <f>'Major Assumption Key'!$A$8</f>
        <v xml:space="preserve">Discount </v>
      </c>
      <c r="B21" s="666">
        <f>'Major Assumption Key'!$B$8</f>
        <v>3.1E-2</v>
      </c>
      <c r="C21" s="2" t="s">
        <v>436</v>
      </c>
      <c r="D21" s="607"/>
      <c r="F21" s="782">
        <f>'Major Assumption Key'!A32</f>
        <v>2033</v>
      </c>
      <c r="G21" s="783">
        <f t="shared" si="0"/>
        <v>0</v>
      </c>
      <c r="H21" s="784">
        <f t="shared" si="1"/>
        <v>0</v>
      </c>
      <c r="I21" s="785">
        <f t="shared" si="2"/>
        <v>0</v>
      </c>
      <c r="J21" s="786">
        <f t="shared" si="3"/>
        <v>0</v>
      </c>
      <c r="K21" s="37">
        <f t="shared" si="4"/>
        <v>0</v>
      </c>
      <c r="L21" s="38">
        <f>K21/(1+'Major Assumption Key'!$B$8)^(F21-'Major Assumption Key'!$B$7)</f>
        <v>0</v>
      </c>
    </row>
    <row r="22" spans="1:12">
      <c r="A22" s="438" t="s">
        <v>514</v>
      </c>
      <c r="B22" s="612">
        <v>0</v>
      </c>
      <c r="C22" s="573" t="s">
        <v>513</v>
      </c>
      <c r="D22" s="353"/>
      <c r="F22" s="782">
        <f>'Major Assumption Key'!A33</f>
        <v>2034</v>
      </c>
      <c r="G22" s="783">
        <f t="shared" si="0"/>
        <v>0</v>
      </c>
      <c r="H22" s="784">
        <f t="shared" si="1"/>
        <v>0</v>
      </c>
      <c r="I22" s="785">
        <f t="shared" si="2"/>
        <v>0</v>
      </c>
      <c r="J22" s="786">
        <f t="shared" si="3"/>
        <v>0</v>
      </c>
      <c r="K22" s="37">
        <f t="shared" si="4"/>
        <v>0</v>
      </c>
      <c r="L22" s="38">
        <f>K22/(1+'Major Assumption Key'!$B$8)^(F22-'Major Assumption Key'!$B$7)</f>
        <v>0</v>
      </c>
    </row>
    <row r="23" spans="1:12" ht="15" thickBot="1">
      <c r="A23" s="608" t="s">
        <v>515</v>
      </c>
      <c r="B23" s="609">
        <v>0</v>
      </c>
      <c r="C23" s="610" t="s">
        <v>513</v>
      </c>
      <c r="D23" s="611"/>
      <c r="F23" s="782">
        <f>'Major Assumption Key'!A34</f>
        <v>2035</v>
      </c>
      <c r="G23" s="783">
        <f t="shared" si="0"/>
        <v>0</v>
      </c>
      <c r="H23" s="784">
        <f t="shared" si="1"/>
        <v>0</v>
      </c>
      <c r="I23" s="785">
        <f t="shared" si="2"/>
        <v>0</v>
      </c>
      <c r="J23" s="786">
        <f t="shared" si="3"/>
        <v>0</v>
      </c>
      <c r="K23" s="37">
        <f t="shared" si="4"/>
        <v>0</v>
      </c>
      <c r="L23" s="38">
        <f>K23/(1+'Major Assumption Key'!$B$8)^(F23-'Major Assumption Key'!$B$7)</f>
        <v>0</v>
      </c>
    </row>
    <row r="24" spans="1:12">
      <c r="F24" s="782">
        <f>'Major Assumption Key'!A35</f>
        <v>2036</v>
      </c>
      <c r="G24" s="783">
        <f t="shared" si="0"/>
        <v>0</v>
      </c>
      <c r="H24" s="784">
        <f t="shared" si="1"/>
        <v>0</v>
      </c>
      <c r="I24" s="785">
        <f t="shared" si="2"/>
        <v>0</v>
      </c>
      <c r="J24" s="786">
        <f t="shared" si="3"/>
        <v>0</v>
      </c>
      <c r="K24" s="37">
        <f t="shared" si="4"/>
        <v>0</v>
      </c>
      <c r="L24" s="38">
        <f>K24/(1+'Major Assumption Key'!$B$8)^(F24-'Major Assumption Key'!$B$7)</f>
        <v>0</v>
      </c>
    </row>
    <row r="25" spans="1:12">
      <c r="F25" s="782">
        <f>'Major Assumption Key'!A36</f>
        <v>2037</v>
      </c>
      <c r="G25" s="783">
        <f t="shared" si="0"/>
        <v>0</v>
      </c>
      <c r="H25" s="784">
        <f t="shared" si="1"/>
        <v>0</v>
      </c>
      <c r="I25" s="785">
        <f t="shared" si="2"/>
        <v>0</v>
      </c>
      <c r="J25" s="786">
        <f t="shared" si="3"/>
        <v>0</v>
      </c>
      <c r="K25" s="37">
        <f t="shared" si="4"/>
        <v>0</v>
      </c>
      <c r="L25" s="38">
        <f>K25/(1+'Major Assumption Key'!$B$8)^(F25-'Major Assumption Key'!$B$7)</f>
        <v>0</v>
      </c>
    </row>
    <row r="26" spans="1:12">
      <c r="F26" s="782">
        <f>'Major Assumption Key'!A37</f>
        <v>2038</v>
      </c>
      <c r="G26" s="783">
        <f t="shared" si="0"/>
        <v>0</v>
      </c>
      <c r="H26" s="784">
        <f t="shared" si="1"/>
        <v>0</v>
      </c>
      <c r="I26" s="785">
        <f t="shared" si="2"/>
        <v>0</v>
      </c>
      <c r="J26" s="786">
        <f t="shared" si="3"/>
        <v>0</v>
      </c>
      <c r="K26" s="37">
        <f t="shared" si="4"/>
        <v>0</v>
      </c>
      <c r="L26" s="38">
        <f>K26/(1+'Major Assumption Key'!$B$8)^(F26-'Major Assumption Key'!$B$7)</f>
        <v>0</v>
      </c>
    </row>
    <row r="27" spans="1:12">
      <c r="F27" s="782">
        <f>'Major Assumption Key'!A38</f>
        <v>2039</v>
      </c>
      <c r="G27" s="783">
        <f t="shared" si="0"/>
        <v>0</v>
      </c>
      <c r="H27" s="784">
        <f t="shared" si="1"/>
        <v>0</v>
      </c>
      <c r="I27" s="785">
        <f t="shared" si="2"/>
        <v>0</v>
      </c>
      <c r="J27" s="786">
        <f t="shared" si="3"/>
        <v>0</v>
      </c>
      <c r="K27" s="37">
        <f t="shared" si="4"/>
        <v>0</v>
      </c>
      <c r="L27" s="38">
        <f>K27/(1+'Major Assumption Key'!$B$8)^(F27-'Major Assumption Key'!$B$7)</f>
        <v>0</v>
      </c>
    </row>
    <row r="28" spans="1:12">
      <c r="F28" s="782">
        <f>'Major Assumption Key'!A39</f>
        <v>2040</v>
      </c>
      <c r="G28" s="783">
        <f t="shared" si="0"/>
        <v>0</v>
      </c>
      <c r="H28" s="784">
        <f t="shared" si="1"/>
        <v>0</v>
      </c>
      <c r="I28" s="785">
        <f t="shared" si="2"/>
        <v>0</v>
      </c>
      <c r="J28" s="786">
        <f t="shared" si="3"/>
        <v>0</v>
      </c>
      <c r="K28" s="37">
        <f t="shared" si="4"/>
        <v>0</v>
      </c>
      <c r="L28" s="38">
        <f>K28/(1+'Major Assumption Key'!$B$8)^(F28-'Major Assumption Key'!$B$7)</f>
        <v>0</v>
      </c>
    </row>
    <row r="29" spans="1:12">
      <c r="F29" s="782">
        <f>'Major Assumption Key'!A40</f>
        <v>2041</v>
      </c>
      <c r="G29" s="783">
        <f t="shared" si="0"/>
        <v>0</v>
      </c>
      <c r="H29" s="784">
        <f t="shared" si="1"/>
        <v>0</v>
      </c>
      <c r="I29" s="785">
        <f t="shared" si="2"/>
        <v>0</v>
      </c>
      <c r="J29" s="786">
        <f t="shared" si="3"/>
        <v>0</v>
      </c>
      <c r="K29" s="37">
        <f t="shared" si="4"/>
        <v>0</v>
      </c>
      <c r="L29" s="38">
        <f>K29/(1+'Major Assumption Key'!$B$8)^(F29-'Major Assumption Key'!$B$7)</f>
        <v>0</v>
      </c>
    </row>
    <row r="30" spans="1:12">
      <c r="F30" s="782">
        <f>'Major Assumption Key'!A41</f>
        <v>2042</v>
      </c>
      <c r="G30" s="783">
        <f t="shared" si="0"/>
        <v>0</v>
      </c>
      <c r="H30" s="784">
        <f t="shared" si="1"/>
        <v>0</v>
      </c>
      <c r="I30" s="785">
        <f t="shared" si="2"/>
        <v>0</v>
      </c>
      <c r="J30" s="786">
        <f t="shared" si="3"/>
        <v>0</v>
      </c>
      <c r="K30" s="37">
        <f t="shared" si="4"/>
        <v>0</v>
      </c>
      <c r="L30" s="38">
        <f>K30/(1+'Major Assumption Key'!$B$8)^(F30-'Major Assumption Key'!$B$7)</f>
        <v>0</v>
      </c>
    </row>
    <row r="31" spans="1:12">
      <c r="F31" s="782">
        <f>'Major Assumption Key'!A42</f>
        <v>2043</v>
      </c>
      <c r="G31" s="783">
        <f t="shared" si="0"/>
        <v>0</v>
      </c>
      <c r="H31" s="784">
        <f t="shared" si="1"/>
        <v>0</v>
      </c>
      <c r="I31" s="785">
        <f t="shared" si="2"/>
        <v>0</v>
      </c>
      <c r="J31" s="786">
        <f t="shared" si="3"/>
        <v>0</v>
      </c>
      <c r="K31" s="37">
        <f t="shared" si="4"/>
        <v>0</v>
      </c>
      <c r="L31" s="38">
        <f>K31/(1+'Major Assumption Key'!$B$8)^(F31-'Major Assumption Key'!$B$7)</f>
        <v>0</v>
      </c>
    </row>
    <row r="32" spans="1:12">
      <c r="F32" s="782">
        <f>'Major Assumption Key'!A43</f>
        <v>2044</v>
      </c>
      <c r="G32" s="783">
        <f t="shared" si="0"/>
        <v>0</v>
      </c>
      <c r="H32" s="784">
        <f t="shared" si="1"/>
        <v>0</v>
      </c>
      <c r="I32" s="785">
        <f t="shared" si="2"/>
        <v>0</v>
      </c>
      <c r="J32" s="786">
        <f t="shared" si="3"/>
        <v>0</v>
      </c>
      <c r="K32" s="37">
        <f t="shared" si="4"/>
        <v>0</v>
      </c>
      <c r="L32" s="38">
        <f>K32/(1+'Major Assumption Key'!$B$8)^(F32-'Major Assumption Key'!$B$7)</f>
        <v>0</v>
      </c>
    </row>
    <row r="33" spans="6:12">
      <c r="F33" s="782">
        <f>'Major Assumption Key'!A44</f>
        <v>2045</v>
      </c>
      <c r="G33" s="783">
        <f t="shared" si="0"/>
        <v>0</v>
      </c>
      <c r="H33" s="784">
        <f t="shared" si="1"/>
        <v>0</v>
      </c>
      <c r="I33" s="785">
        <f t="shared" si="2"/>
        <v>0</v>
      </c>
      <c r="J33" s="786">
        <f t="shared" si="3"/>
        <v>0</v>
      </c>
      <c r="K33" s="37">
        <f t="shared" si="4"/>
        <v>0</v>
      </c>
      <c r="L33" s="38">
        <f>K33/(1+'Major Assumption Key'!$B$8)^(F33-'Major Assumption Key'!$B$7)</f>
        <v>0</v>
      </c>
    </row>
    <row r="34" spans="6:12">
      <c r="F34" s="782">
        <f>'Major Assumption Key'!A45</f>
        <v>2046</v>
      </c>
      <c r="G34" s="783">
        <f t="shared" si="0"/>
        <v>0</v>
      </c>
      <c r="H34" s="784">
        <f t="shared" si="1"/>
        <v>0</v>
      </c>
      <c r="I34" s="785">
        <f t="shared" si="2"/>
        <v>0</v>
      </c>
      <c r="J34" s="786">
        <f t="shared" si="3"/>
        <v>0</v>
      </c>
      <c r="K34" s="37">
        <f t="shared" si="4"/>
        <v>0</v>
      </c>
      <c r="L34" s="38">
        <f>K34/(1+'Major Assumption Key'!$B$8)^(F34-'Major Assumption Key'!$B$7)</f>
        <v>0</v>
      </c>
    </row>
    <row r="35" spans="6:12">
      <c r="F35" s="782">
        <f>'Major Assumption Key'!A46</f>
        <v>2047</v>
      </c>
      <c r="G35" s="783">
        <f t="shared" si="0"/>
        <v>0</v>
      </c>
      <c r="H35" s="784">
        <f t="shared" si="1"/>
        <v>0</v>
      </c>
      <c r="I35" s="785">
        <f t="shared" si="2"/>
        <v>0</v>
      </c>
      <c r="J35" s="786">
        <f t="shared" si="3"/>
        <v>0</v>
      </c>
      <c r="K35" s="37">
        <f t="shared" si="4"/>
        <v>0</v>
      </c>
      <c r="L35" s="38">
        <f>K35/(1+'Major Assumption Key'!$B$8)^(F35-'Major Assumption Key'!$B$7)</f>
        <v>0</v>
      </c>
    </row>
    <row r="36" spans="6:12">
      <c r="F36" s="782">
        <f>'Major Assumption Key'!A47</f>
        <v>2048</v>
      </c>
      <c r="G36" s="783">
        <f t="shared" si="0"/>
        <v>0</v>
      </c>
      <c r="H36" s="784">
        <f t="shared" si="1"/>
        <v>0</v>
      </c>
      <c r="I36" s="785">
        <f t="shared" si="2"/>
        <v>0</v>
      </c>
      <c r="J36" s="786">
        <f t="shared" si="3"/>
        <v>0</v>
      </c>
      <c r="K36" s="37">
        <f t="shared" si="4"/>
        <v>0</v>
      </c>
      <c r="L36" s="38">
        <f>K36/(1+'Major Assumption Key'!$B$8)^(F36-'Major Assumption Key'!$B$7)</f>
        <v>0</v>
      </c>
    </row>
    <row r="37" spans="6:12">
      <c r="F37" s="782">
        <f>'Major Assumption Key'!A48</f>
        <v>2049</v>
      </c>
      <c r="G37" s="783">
        <f t="shared" si="0"/>
        <v>0</v>
      </c>
      <c r="H37" s="784">
        <f t="shared" si="1"/>
        <v>0</v>
      </c>
      <c r="I37" s="785">
        <f t="shared" si="2"/>
        <v>0</v>
      </c>
      <c r="J37" s="786">
        <f t="shared" si="3"/>
        <v>0</v>
      </c>
      <c r="K37" s="37">
        <f t="shared" si="4"/>
        <v>0</v>
      </c>
      <c r="L37" s="38">
        <f>K37/(1+'Major Assumption Key'!$B$8)^(F37-'Major Assumption Key'!$B$7)</f>
        <v>0</v>
      </c>
    </row>
    <row r="38" spans="6:12">
      <c r="F38" s="782">
        <f>'Major Assumption Key'!A49</f>
        <v>2050</v>
      </c>
      <c r="G38" s="783">
        <f t="shared" si="0"/>
        <v>0</v>
      </c>
      <c r="H38" s="784">
        <f t="shared" si="1"/>
        <v>0</v>
      </c>
      <c r="I38" s="785">
        <f t="shared" si="2"/>
        <v>0</v>
      </c>
      <c r="J38" s="786">
        <f t="shared" si="3"/>
        <v>0</v>
      </c>
      <c r="K38" s="37">
        <f t="shared" si="4"/>
        <v>0</v>
      </c>
      <c r="L38" s="38">
        <f>K38/(1+'Major Assumption Key'!$B$8)^(F38-'Major Assumption Key'!$B$7)</f>
        <v>0</v>
      </c>
    </row>
    <row r="39" spans="6:12">
      <c r="F39" s="782">
        <f>'Major Assumption Key'!A50</f>
        <v>2051</v>
      </c>
      <c r="G39" s="783">
        <f t="shared" si="0"/>
        <v>0</v>
      </c>
      <c r="H39" s="784">
        <f t="shared" si="1"/>
        <v>0</v>
      </c>
      <c r="I39" s="785">
        <f t="shared" si="2"/>
        <v>0</v>
      </c>
      <c r="J39" s="786">
        <f t="shared" si="3"/>
        <v>0</v>
      </c>
      <c r="K39" s="37">
        <f t="shared" si="4"/>
        <v>0</v>
      </c>
      <c r="L39" s="38">
        <f>K39/(1+'Major Assumption Key'!$B$8)^(F39-'Major Assumption Key'!$B$7)</f>
        <v>0</v>
      </c>
    </row>
    <row r="40" spans="6:12">
      <c r="F40" s="782">
        <f>'Major Assumption Key'!A51</f>
        <v>2052</v>
      </c>
      <c r="G40" s="783">
        <f t="shared" si="0"/>
        <v>0</v>
      </c>
      <c r="H40" s="784">
        <f t="shared" si="1"/>
        <v>0</v>
      </c>
      <c r="I40" s="785">
        <f t="shared" si="2"/>
        <v>0</v>
      </c>
      <c r="J40" s="786">
        <f t="shared" si="3"/>
        <v>0</v>
      </c>
      <c r="K40" s="37">
        <f t="shared" si="4"/>
        <v>0</v>
      </c>
      <c r="L40" s="38">
        <f>K40/(1+'Major Assumption Key'!$B$8)^(F40-'Major Assumption Key'!$B$7)</f>
        <v>0</v>
      </c>
    </row>
    <row r="41" spans="6:12">
      <c r="F41" s="782">
        <f>'Major Assumption Key'!A52</f>
        <v>2053</v>
      </c>
      <c r="G41" s="783">
        <f t="shared" si="0"/>
        <v>0</v>
      </c>
      <c r="H41" s="784">
        <f t="shared" si="1"/>
        <v>0</v>
      </c>
      <c r="I41" s="785">
        <f t="shared" si="2"/>
        <v>0</v>
      </c>
      <c r="J41" s="786">
        <f t="shared" si="3"/>
        <v>0</v>
      </c>
      <c r="K41" s="37">
        <f t="shared" si="4"/>
        <v>0</v>
      </c>
      <c r="L41" s="38">
        <f>K41/(1+'Major Assumption Key'!$B$8)^(F41-'Major Assumption Key'!$B$7)</f>
        <v>0</v>
      </c>
    </row>
    <row r="42" spans="6:12">
      <c r="F42" s="782">
        <f>'Major Assumption Key'!A53</f>
        <v>2054</v>
      </c>
      <c r="G42" s="783">
        <f t="shared" si="0"/>
        <v>0</v>
      </c>
      <c r="H42" s="784">
        <f t="shared" si="1"/>
        <v>0</v>
      </c>
      <c r="I42" s="785">
        <f t="shared" si="2"/>
        <v>0</v>
      </c>
      <c r="J42" s="786">
        <f t="shared" si="3"/>
        <v>0</v>
      </c>
      <c r="K42" s="37">
        <f t="shared" si="4"/>
        <v>0</v>
      </c>
      <c r="L42" s="38">
        <f>K42/(1+'Major Assumption Key'!$B$8)^(F42-'Major Assumption Key'!$B$7)</f>
        <v>0</v>
      </c>
    </row>
    <row r="43" spans="6:12">
      <c r="F43" s="782">
        <f>'Major Assumption Key'!A54</f>
        <v>2055</v>
      </c>
      <c r="G43" s="783">
        <f t="shared" si="0"/>
        <v>0</v>
      </c>
      <c r="H43" s="784">
        <f t="shared" si="1"/>
        <v>0</v>
      </c>
      <c r="I43" s="785">
        <f t="shared" si="2"/>
        <v>0</v>
      </c>
      <c r="J43" s="786">
        <f t="shared" si="3"/>
        <v>0</v>
      </c>
      <c r="K43" s="37">
        <f t="shared" si="4"/>
        <v>0</v>
      </c>
      <c r="L43" s="38">
        <f>K43/(1+'Major Assumption Key'!$B$8)^(F43-'Major Assumption Key'!$B$7)</f>
        <v>0</v>
      </c>
    </row>
    <row r="44" spans="6:12">
      <c r="F44" s="782">
        <f>'Major Assumption Key'!A55</f>
        <v>2056</v>
      </c>
      <c r="G44" s="783">
        <f t="shared" si="0"/>
        <v>0</v>
      </c>
      <c r="H44" s="784">
        <f t="shared" si="1"/>
        <v>0</v>
      </c>
      <c r="I44" s="785">
        <f t="shared" si="2"/>
        <v>0</v>
      </c>
      <c r="J44" s="786">
        <f t="shared" si="3"/>
        <v>0</v>
      </c>
      <c r="K44" s="37">
        <f t="shared" si="4"/>
        <v>0</v>
      </c>
      <c r="L44" s="38">
        <f>K44/(1+'Major Assumption Key'!$B$8)^(F44-'Major Assumption Key'!$B$7)</f>
        <v>0</v>
      </c>
    </row>
    <row r="45" spans="6:12">
      <c r="F45" s="782">
        <f>'Major Assumption Key'!A56</f>
        <v>2057</v>
      </c>
      <c r="G45" s="783">
        <f t="shared" si="0"/>
        <v>0</v>
      </c>
      <c r="H45" s="784">
        <f t="shared" si="1"/>
        <v>0</v>
      </c>
      <c r="I45" s="785">
        <f t="shared" si="2"/>
        <v>0</v>
      </c>
      <c r="J45" s="786">
        <f t="shared" si="3"/>
        <v>0</v>
      </c>
      <c r="K45" s="37">
        <f t="shared" si="4"/>
        <v>0</v>
      </c>
      <c r="L45" s="38">
        <f>K45/(1+'Major Assumption Key'!$B$8)^(F45-'Major Assumption Key'!$B$7)</f>
        <v>0</v>
      </c>
    </row>
    <row r="46" spans="6:12">
      <c r="F46" s="782">
        <f>'Major Assumption Key'!A57</f>
        <v>2058</v>
      </c>
      <c r="G46" s="783">
        <f t="shared" si="0"/>
        <v>0</v>
      </c>
      <c r="H46" s="784">
        <f t="shared" si="1"/>
        <v>0</v>
      </c>
      <c r="I46" s="785">
        <f t="shared" si="2"/>
        <v>0</v>
      </c>
      <c r="J46" s="786">
        <f t="shared" si="3"/>
        <v>0</v>
      </c>
      <c r="K46" s="37">
        <f t="shared" si="4"/>
        <v>0</v>
      </c>
      <c r="L46" s="38">
        <f>K46/(1+'Major Assumption Key'!$B$8)^(F46-'Major Assumption Key'!$B$7)</f>
        <v>0</v>
      </c>
    </row>
    <row r="47" spans="6:12">
      <c r="F47" s="782">
        <f>'Major Assumption Key'!A58</f>
        <v>2059</v>
      </c>
      <c r="G47" s="783">
        <f t="shared" si="0"/>
        <v>0</v>
      </c>
      <c r="H47" s="784">
        <f t="shared" si="1"/>
        <v>0</v>
      </c>
      <c r="I47" s="785">
        <f t="shared" si="2"/>
        <v>0</v>
      </c>
      <c r="J47" s="786">
        <f t="shared" si="3"/>
        <v>0</v>
      </c>
      <c r="K47" s="37">
        <f t="shared" si="4"/>
        <v>0</v>
      </c>
      <c r="L47" s="38">
        <f>K47/(1+'Major Assumption Key'!$B$8)^(F47-'Major Assumption Key'!$B$7)</f>
        <v>0</v>
      </c>
    </row>
    <row r="48" spans="6:12">
      <c r="F48" s="782">
        <f>'Major Assumption Key'!A59</f>
        <v>2060</v>
      </c>
      <c r="G48" s="783">
        <f t="shared" si="0"/>
        <v>0</v>
      </c>
      <c r="H48" s="784">
        <f t="shared" si="1"/>
        <v>0</v>
      </c>
      <c r="I48" s="785">
        <f t="shared" si="2"/>
        <v>0</v>
      </c>
      <c r="J48" s="786">
        <f t="shared" si="3"/>
        <v>0</v>
      </c>
      <c r="K48" s="37">
        <f t="shared" si="4"/>
        <v>0</v>
      </c>
      <c r="L48" s="38">
        <f>K48/(1+'Major Assumption Key'!$B$8)^(F48-'Major Assumption Key'!$B$7)</f>
        <v>0</v>
      </c>
    </row>
    <row r="49" spans="6:12" ht="15" thickBot="1">
      <c r="F49" s="597" t="s">
        <v>504</v>
      </c>
      <c r="G49" s="598"/>
      <c r="H49" s="599">
        <f>SUMIFS($H$8:$H$48,$F$8:$F$48,"&gt;="&amp;$B$16,$F$8:$F$48,"&lt;="&amp;$B$17)</f>
        <v>0</v>
      </c>
      <c r="I49" s="790"/>
      <c r="J49" s="600">
        <f>SUMIFS($J$8:$J$48,$F$8:$F$48,"&gt;="&amp;$B$16,$F$8:$F$48,"&lt;="&amp;$B$17)</f>
        <v>0</v>
      </c>
      <c r="K49" s="601">
        <f>SUMIFS($K$8:$K$48,$F$8:$F$48,"&gt;="&amp;$B$16,$F$8:$F$48,"&lt;="&amp;$B$17)</f>
        <v>0</v>
      </c>
      <c r="L49" s="602">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workbookViewId="0"/>
  </sheetViews>
  <sheetFormatPr defaultColWidth="8.77734375" defaultRowHeight="14.4"/>
  <cols>
    <col min="1" max="1" width="45.77734375" style="2"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71" t="s">
        <v>185</v>
      </c>
      <c r="B1" s="42" t="s">
        <v>475</v>
      </c>
      <c r="C1" s="71"/>
      <c r="D1" s="268"/>
      <c r="E1" s="268"/>
      <c r="F1" s="33" t="s">
        <v>187</v>
      </c>
      <c r="G1" s="45" t="str">
        <f>HYPERLINK("#'"&amp;INDEX('Master Key'!$B:$B,MATCH("Master Key",'Master Key'!$B:$B,0),1)&amp;"'!A1","Go To Sheet")</f>
        <v>Go To Sheet</v>
      </c>
    </row>
    <row r="2" spans="1:25" ht="15" thickBot="1">
      <c r="A2" s="58"/>
      <c r="B2" s="58"/>
      <c r="C2" s="58"/>
      <c r="D2" s="58"/>
      <c r="E2" s="58"/>
    </row>
    <row r="3" spans="1:25" ht="60" customHeight="1">
      <c r="A3" s="154" t="s">
        <v>482</v>
      </c>
      <c r="B3" s="1893" t="s">
        <v>516</v>
      </c>
      <c r="C3" s="1894"/>
      <c r="D3" s="1894"/>
      <c r="E3" s="70"/>
      <c r="F3" s="1895" t="s">
        <v>484</v>
      </c>
      <c r="G3" s="1896"/>
      <c r="H3" s="1896"/>
      <c r="I3" s="1896"/>
      <c r="J3" s="1896"/>
      <c r="K3" s="1896"/>
      <c r="L3" s="1896"/>
      <c r="M3" s="1896"/>
      <c r="N3" s="1896"/>
      <c r="O3" s="1896"/>
      <c r="P3" s="1896"/>
      <c r="Q3" s="1896"/>
      <c r="R3" s="1896"/>
      <c r="S3" s="1896"/>
      <c r="T3" s="1897"/>
      <c r="U3" s="289"/>
      <c r="V3" s="1898" t="s">
        <v>420</v>
      </c>
      <c r="W3" s="1898"/>
      <c r="X3" s="1898"/>
      <c r="Y3" s="1898"/>
    </row>
    <row r="4" spans="1:25" ht="18" customHeight="1">
      <c r="C4" s="58"/>
      <c r="D4" s="58"/>
      <c r="E4" s="70"/>
      <c r="F4" s="69" t="s">
        <v>508</v>
      </c>
      <c r="G4" s="66" t="s">
        <v>66</v>
      </c>
      <c r="H4" s="66" t="s">
        <v>66</v>
      </c>
      <c r="I4" s="66" t="s">
        <v>66</v>
      </c>
      <c r="J4" s="66" t="s">
        <v>66</v>
      </c>
      <c r="K4" s="68" t="s">
        <v>487</v>
      </c>
      <c r="L4" s="67" t="s">
        <v>66</v>
      </c>
      <c r="M4" s="66" t="s">
        <v>131</v>
      </c>
      <c r="N4" s="66" t="s">
        <v>131</v>
      </c>
      <c r="O4" s="66" t="s">
        <v>131</v>
      </c>
      <c r="P4" s="66" t="s">
        <v>131</v>
      </c>
      <c r="Q4" s="66" t="s">
        <v>131</v>
      </c>
      <c r="R4" s="65" t="s">
        <v>131</v>
      </c>
      <c r="S4" s="1899" t="s">
        <v>509</v>
      </c>
      <c r="T4" s="1900"/>
      <c r="U4" s="289"/>
      <c r="V4" s="67" t="s">
        <v>66</v>
      </c>
      <c r="W4" s="65" t="s">
        <v>131</v>
      </c>
      <c r="X4" s="1899" t="s">
        <v>509</v>
      </c>
      <c r="Y4" s="1900"/>
    </row>
    <row r="5" spans="1:25" ht="60" customHeight="1" thickBot="1">
      <c r="A5" s="156" t="s">
        <v>489</v>
      </c>
      <c r="B5" s="1885" t="s">
        <v>517</v>
      </c>
      <c r="C5" s="1885"/>
      <c r="D5" s="1885"/>
      <c r="E5" s="58"/>
      <c r="F5" s="64" t="s">
        <v>518</v>
      </c>
      <c r="G5" s="1903" t="s">
        <v>519</v>
      </c>
      <c r="H5" s="1904"/>
      <c r="I5" s="1904"/>
      <c r="J5" s="1904"/>
      <c r="K5" s="1905"/>
      <c r="L5" s="62" t="s">
        <v>512</v>
      </c>
      <c r="M5" s="1903" t="s">
        <v>519</v>
      </c>
      <c r="N5" s="1904"/>
      <c r="O5" s="1904"/>
      <c r="P5" s="1904"/>
      <c r="Q5" s="1905"/>
      <c r="R5" s="60" t="s">
        <v>512</v>
      </c>
      <c r="S5" s="1901"/>
      <c r="T5" s="1902"/>
      <c r="U5" s="289"/>
      <c r="V5" s="62" t="s">
        <v>512</v>
      </c>
      <c r="W5" s="60" t="s">
        <v>512</v>
      </c>
      <c r="X5" s="1901"/>
      <c r="Y5" s="1902"/>
    </row>
    <row r="6" spans="1:25" ht="28.8">
      <c r="C6" s="58"/>
      <c r="D6" s="58"/>
      <c r="E6" s="58"/>
      <c r="F6" s="63" t="s">
        <v>510</v>
      </c>
      <c r="G6" s="61" t="s">
        <v>520</v>
      </c>
      <c r="H6" s="61" t="s">
        <v>521</v>
      </c>
      <c r="I6" s="61" t="s">
        <v>522</v>
      </c>
      <c r="J6" s="61" t="s">
        <v>523</v>
      </c>
      <c r="K6" s="61" t="s">
        <v>524</v>
      </c>
      <c r="L6" s="62" t="s">
        <v>525</v>
      </c>
      <c r="M6" s="61" t="s">
        <v>520</v>
      </c>
      <c r="N6" s="61" t="s">
        <v>526</v>
      </c>
      <c r="O6" s="61" t="s">
        <v>522</v>
      </c>
      <c r="P6" s="61" t="s">
        <v>523</v>
      </c>
      <c r="Q6" s="61" t="s">
        <v>524</v>
      </c>
      <c r="R6" s="60" t="s">
        <v>527</v>
      </c>
      <c r="S6" s="122" t="s">
        <v>419</v>
      </c>
      <c r="T6" s="123" t="str">
        <f>"Discounted @ "&amp;TEXT('Major Assumption Key'!$B$8,"0.0%")</f>
        <v>Discounted @ 3.1%</v>
      </c>
      <c r="U6" s="289"/>
      <c r="V6" s="62" t="s">
        <v>525</v>
      </c>
      <c r="W6" s="60" t="s">
        <v>527</v>
      </c>
      <c r="X6" s="122" t="s">
        <v>419</v>
      </c>
      <c r="Y6" s="123" t="str">
        <f>"Discounted @ "&amp;TEXT('Major Assumption Key'!$B$8,"0.0%")</f>
        <v>Discounted @ 3.1%</v>
      </c>
    </row>
    <row r="7" spans="1:25" ht="19.95" customHeight="1">
      <c r="A7" s="58"/>
      <c r="B7" s="58"/>
      <c r="C7" s="58"/>
      <c r="D7" s="58"/>
      <c r="E7" s="58"/>
      <c r="F7" s="782">
        <f>'Major Assumption Key'!A19</f>
        <v>2020</v>
      </c>
      <c r="G7" s="791">
        <f>'SOGR Supporting AP-CP'!E14</f>
        <v>0</v>
      </c>
      <c r="H7" s="791">
        <f>'SOGR Supporting AP-CP'!F14</f>
        <v>0</v>
      </c>
      <c r="I7" s="791">
        <f>'SOGR Supporting AP-CP'!G14</f>
        <v>0</v>
      </c>
      <c r="J7" s="791">
        <f>'SOGR Supporting AP-CP'!H14</f>
        <v>0</v>
      </c>
      <c r="K7" s="792">
        <f>'SOGR Supporting AP-CP'!K14</f>
        <v>0</v>
      </c>
      <c r="L7" s="774">
        <f>IF(AND($F7&gt;=MIN($F7),$F7&lt;=MAX('Major Assumption Key'!$B$6)),SUM(G7:K7),0)</f>
        <v>0</v>
      </c>
      <c r="M7" s="791">
        <f>'SOGR Supporting AP-CP'!E60</f>
        <v>0</v>
      </c>
      <c r="N7" s="791">
        <f>'SOGR Supporting AP-CP'!F60</f>
        <v>0</v>
      </c>
      <c r="O7" s="791">
        <f>'SOGR Supporting AP-CP'!G61</f>
        <v>0</v>
      </c>
      <c r="P7" s="791">
        <f>'SOGR Supporting AP-CP'!H60</f>
        <v>0</v>
      </c>
      <c r="Q7" s="791">
        <f>'SOGR Supporting AP-CP'!K60</f>
        <v>0</v>
      </c>
      <c r="R7" s="775">
        <f>IF(AND($F7&gt;=MIN('Major Assumption Key'!$B$4),$F7&lt;=MAX('Major Assumption Key'!$B$6)),SUM(M7:Q7),0)</f>
        <v>0</v>
      </c>
      <c r="S7" s="37">
        <f t="shared" ref="S7" si="0">(R7-L7)*-1</f>
        <v>0</v>
      </c>
      <c r="T7" s="38">
        <f>S7/(1+'Major Assumption Key'!$B$8)^($F7-'Major Assumption Key'!$B$7)</f>
        <v>0</v>
      </c>
      <c r="U7" s="289"/>
      <c r="V7" s="774">
        <f t="shared" ref="V7:V48" si="1">ROUND(L7,-3)</f>
        <v>0</v>
      </c>
      <c r="W7" s="775">
        <f t="shared" ref="W7:Y48" si="2">ROUND(R7,-3)</f>
        <v>0</v>
      </c>
      <c r="X7" s="37">
        <f t="shared" si="2"/>
        <v>0</v>
      </c>
      <c r="Y7" s="38">
        <f t="shared" si="2"/>
        <v>0</v>
      </c>
    </row>
    <row r="8" spans="1:25" ht="19.95" customHeight="1">
      <c r="E8" s="58"/>
      <c r="F8" s="782">
        <f>'Major Assumption Key'!A20</f>
        <v>2021</v>
      </c>
      <c r="G8" s="791">
        <f>'SOGR Supporting AP-CP'!E15</f>
        <v>0</v>
      </c>
      <c r="H8" s="791">
        <f>'SOGR Supporting AP-CP'!F15</f>
        <v>0</v>
      </c>
      <c r="I8" s="791">
        <f>'SOGR Supporting AP-CP'!G15</f>
        <v>0</v>
      </c>
      <c r="J8" s="791">
        <f>'SOGR Supporting AP-CP'!H15</f>
        <v>0</v>
      </c>
      <c r="K8" s="792">
        <f>'SOGR Supporting AP-CP'!K15</f>
        <v>0</v>
      </c>
      <c r="L8" s="774">
        <f>IF(AND($F8&gt;=MIN($F8),$F8&lt;=MAX('Major Assumption Key'!$B$6)),SUM(G8:K8),0)</f>
        <v>0</v>
      </c>
      <c r="M8" s="791">
        <f>'SOGR Supporting AP-CP'!E61</f>
        <v>0</v>
      </c>
      <c r="N8" s="791">
        <f>'SOGR Supporting AP-CP'!F61</f>
        <v>0</v>
      </c>
      <c r="O8" s="791">
        <f>'SOGR Supporting AP-CP'!G62</f>
        <v>0</v>
      </c>
      <c r="P8" s="791">
        <f>'SOGR Supporting AP-CP'!H61</f>
        <v>0</v>
      </c>
      <c r="Q8" s="791">
        <f>'SOGR Supporting AP-CP'!K61</f>
        <v>0</v>
      </c>
      <c r="R8" s="775">
        <f>IF(AND($F8&gt;=MIN('Major Assumption Key'!$B$4),$F8&lt;=MAX('Major Assumption Key'!$B$6)),SUM(M8:Q8),0)</f>
        <v>0</v>
      </c>
      <c r="S8" s="37">
        <f t="shared" ref="S8:S47" si="3">(R8-L8)*-1</f>
        <v>0</v>
      </c>
      <c r="T8" s="38">
        <f>S8/(1+'Major Assumption Key'!$B$8)^($F8-'Major Assumption Key'!$B$7)</f>
        <v>0</v>
      </c>
      <c r="U8" s="289"/>
      <c r="V8" s="774">
        <f t="shared" ref="V8:V47" si="4">ROUND(L8,-3)</f>
        <v>0</v>
      </c>
      <c r="W8" s="775">
        <f t="shared" ref="W8:W47" si="5">ROUND(R8,-3)</f>
        <v>0</v>
      </c>
      <c r="X8" s="37">
        <f t="shared" ref="X8:X47" si="6">ROUND(S8,-3)</f>
        <v>0</v>
      </c>
      <c r="Y8" s="38">
        <f t="shared" ref="Y8:Y47" si="7">ROUND(T8,-3)</f>
        <v>0</v>
      </c>
    </row>
    <row r="9" spans="1:25" ht="19.95" customHeight="1">
      <c r="A9" s="1888" t="s">
        <v>432</v>
      </c>
      <c r="B9" s="1889"/>
      <c r="C9" s="1889"/>
      <c r="D9" s="1890"/>
      <c r="E9" s="58"/>
      <c r="F9" s="782">
        <f>'Major Assumption Key'!A21</f>
        <v>2022</v>
      </c>
      <c r="G9" s="791">
        <f>'SOGR Supporting AP-CP'!E16</f>
        <v>0</v>
      </c>
      <c r="H9" s="791">
        <f>'SOGR Supporting AP-CP'!F16</f>
        <v>0</v>
      </c>
      <c r="I9" s="791">
        <f>'SOGR Supporting AP-CP'!G16</f>
        <v>0</v>
      </c>
      <c r="J9" s="791">
        <f>'SOGR Supporting AP-CP'!H16</f>
        <v>0</v>
      </c>
      <c r="K9" s="792">
        <f>'SOGR Supporting AP-CP'!K16</f>
        <v>0</v>
      </c>
      <c r="L9" s="774">
        <f>IF(AND($F9&gt;=MIN($F9),$F9&lt;=MAX('Major Assumption Key'!$B$6)),SUM(G9:K9),0)</f>
        <v>0</v>
      </c>
      <c r="M9" s="791">
        <f>'SOGR Supporting AP-CP'!E62</f>
        <v>0</v>
      </c>
      <c r="N9" s="791">
        <f>'SOGR Supporting AP-CP'!F62</f>
        <v>0</v>
      </c>
      <c r="O9" s="791">
        <f>'SOGR Supporting AP-CP'!G63</f>
        <v>0</v>
      </c>
      <c r="P9" s="791">
        <f>'SOGR Supporting AP-CP'!H62</f>
        <v>0</v>
      </c>
      <c r="Q9" s="791">
        <f>'SOGR Supporting AP-CP'!K62</f>
        <v>0</v>
      </c>
      <c r="R9" s="775">
        <f>IF(AND($F9&gt;=MIN('Major Assumption Key'!$B$4),$F9&lt;=MAX('Major Assumption Key'!$B$6)),SUM(M9:Q9),0)</f>
        <v>0</v>
      </c>
      <c r="S9" s="37">
        <f t="shared" si="3"/>
        <v>0</v>
      </c>
      <c r="T9" s="38">
        <f>S9/(1+'Major Assumption Key'!$B$8)^($F9-'Major Assumption Key'!$B$7)</f>
        <v>0</v>
      </c>
      <c r="U9" s="289"/>
      <c r="V9" s="774">
        <f t="shared" si="4"/>
        <v>0</v>
      </c>
      <c r="W9" s="775">
        <f t="shared" si="5"/>
        <v>0</v>
      </c>
      <c r="X9" s="37">
        <f t="shared" si="6"/>
        <v>0</v>
      </c>
      <c r="Y9" s="38">
        <f t="shared" si="7"/>
        <v>0</v>
      </c>
    </row>
    <row r="10" spans="1:25" ht="19.95" customHeight="1">
      <c r="A10" s="1891" t="s">
        <v>418</v>
      </c>
      <c r="B10" s="1891"/>
      <c r="C10" s="49" t="s">
        <v>419</v>
      </c>
      <c r="D10" s="49" t="str">
        <f>_xlfn.CONCAT("Discounted @",TEXT('Major Assumption Key'!B8,"0.0%"))</f>
        <v>Discounted @3.1%</v>
      </c>
      <c r="E10" s="58"/>
      <c r="F10" s="782">
        <f>'Major Assumption Key'!A22</f>
        <v>2023</v>
      </c>
      <c r="G10" s="791">
        <f>'SOGR Supporting AP-CP'!E17</f>
        <v>0</v>
      </c>
      <c r="H10" s="791">
        <f>'SOGR Supporting AP-CP'!F17</f>
        <v>0</v>
      </c>
      <c r="I10" s="791">
        <f>'SOGR Supporting AP-CP'!G17</f>
        <v>0</v>
      </c>
      <c r="J10" s="791">
        <f>'SOGR Supporting AP-CP'!H17</f>
        <v>0</v>
      </c>
      <c r="K10" s="792">
        <f>'SOGR Supporting AP-CP'!K17</f>
        <v>0</v>
      </c>
      <c r="L10" s="774">
        <f>IF(AND($F10&gt;=MIN($F10),$F10&lt;=MAX('Major Assumption Key'!$B$6)),SUM(G10:K10),0)</f>
        <v>0</v>
      </c>
      <c r="M10" s="791">
        <f>'SOGR Supporting AP-CP'!E63</f>
        <v>0</v>
      </c>
      <c r="N10" s="791">
        <f>'SOGR Supporting AP-CP'!F63</f>
        <v>0</v>
      </c>
      <c r="O10" s="791">
        <f>'SOGR Supporting AP-CP'!G64</f>
        <v>0</v>
      </c>
      <c r="P10" s="791">
        <f>'SOGR Supporting AP-CP'!H63</f>
        <v>0</v>
      </c>
      <c r="Q10" s="791">
        <f>'SOGR Supporting AP-CP'!K63</f>
        <v>0</v>
      </c>
      <c r="R10" s="775">
        <f>IF(AND($F10&gt;=MIN('Major Assumption Key'!$B$4),$F10&lt;=MAX('Major Assumption Key'!$B$6)),SUM(M10:Q10),0)</f>
        <v>0</v>
      </c>
      <c r="S10" s="37">
        <f t="shared" si="3"/>
        <v>0</v>
      </c>
      <c r="T10" s="38">
        <f>S10/(1+'Major Assumption Key'!$B$8)^($F10-'Major Assumption Key'!$B$7)</f>
        <v>0</v>
      </c>
      <c r="U10" s="289"/>
      <c r="V10" s="774">
        <f t="shared" si="4"/>
        <v>0</v>
      </c>
      <c r="W10" s="775">
        <f t="shared" si="5"/>
        <v>0</v>
      </c>
      <c r="X10" s="37">
        <f t="shared" si="6"/>
        <v>0</v>
      </c>
      <c r="Y10" s="38">
        <f t="shared" si="7"/>
        <v>0</v>
      </c>
    </row>
    <row r="11" spans="1:25" ht="19.95" customHeight="1">
      <c r="A11" s="1892" t="s">
        <v>11</v>
      </c>
      <c r="B11" s="1892"/>
      <c r="C11" s="56">
        <f>'BCA Summary'!$H$7</f>
        <v>1.0111569298276737</v>
      </c>
      <c r="D11" s="56">
        <f>'BCA Summary'!$I$7</f>
        <v>0.6276932096418345</v>
      </c>
      <c r="E11" s="58"/>
      <c r="F11" s="782">
        <f>'Major Assumption Key'!A23</f>
        <v>2024</v>
      </c>
      <c r="G11" s="791">
        <f>'SOGR Supporting AP-CP'!E18</f>
        <v>0</v>
      </c>
      <c r="H11" s="791">
        <f>'SOGR Supporting AP-CP'!F18</f>
        <v>0</v>
      </c>
      <c r="I11" s="791">
        <f>'SOGR Supporting AP-CP'!G18</f>
        <v>0</v>
      </c>
      <c r="J11" s="791">
        <f>'SOGR Supporting AP-CP'!H18</f>
        <v>0</v>
      </c>
      <c r="K11" s="792">
        <f>'SOGR Supporting AP-CP'!K18</f>
        <v>0</v>
      </c>
      <c r="L11" s="774">
        <f>IF(AND($F11&gt;=MIN($F11),$F11&lt;=MAX('Major Assumption Key'!$B$6)),SUM(G11:K11),0)</f>
        <v>0</v>
      </c>
      <c r="M11" s="791">
        <f>'SOGR Supporting AP-CP'!E64</f>
        <v>0</v>
      </c>
      <c r="N11" s="791">
        <f>'SOGR Supporting AP-CP'!F64</f>
        <v>0</v>
      </c>
      <c r="O11" s="791">
        <f>'SOGR Supporting AP-CP'!G65</f>
        <v>0</v>
      </c>
      <c r="P11" s="791">
        <f>'SOGR Supporting AP-CP'!H64</f>
        <v>0</v>
      </c>
      <c r="Q11" s="791">
        <f>'SOGR Supporting AP-CP'!K64</f>
        <v>0</v>
      </c>
      <c r="R11" s="775">
        <f>IF(AND($F11&gt;=MIN('Major Assumption Key'!$B$4),$F11&lt;=MAX('Major Assumption Key'!$B$6)),SUM(M11:Q11),0)</f>
        <v>0</v>
      </c>
      <c r="S11" s="37">
        <f t="shared" si="3"/>
        <v>0</v>
      </c>
      <c r="T11" s="38">
        <f>S11/(1+'Major Assumption Key'!$B$8)^($F11-'Major Assumption Key'!$B$7)</f>
        <v>0</v>
      </c>
      <c r="U11" s="289"/>
      <c r="V11" s="774">
        <f t="shared" si="4"/>
        <v>0</v>
      </c>
      <c r="W11" s="775">
        <f t="shared" si="5"/>
        <v>0</v>
      </c>
      <c r="X11" s="37">
        <f t="shared" si="6"/>
        <v>0</v>
      </c>
      <c r="Y11" s="38">
        <f t="shared" si="7"/>
        <v>0</v>
      </c>
    </row>
    <row r="12" spans="1:25" ht="19.95" customHeight="1">
      <c r="A12" s="1892" t="s">
        <v>12</v>
      </c>
      <c r="B12" s="1892"/>
      <c r="C12" s="49">
        <f>'BCA Summary'!$H$8</f>
        <v>236636.98382712901</v>
      </c>
      <c r="D12" s="49">
        <f>'BCA Summary'!$I$8</f>
        <v>-6930297.4454113934</v>
      </c>
      <c r="E12" s="58"/>
      <c r="F12" s="782">
        <f>'Major Assumption Key'!A24</f>
        <v>2025</v>
      </c>
      <c r="G12" s="791">
        <f>'SOGR Supporting AP-CP'!E19</f>
        <v>0</v>
      </c>
      <c r="H12" s="791">
        <f>'SOGR Supporting AP-CP'!F19</f>
        <v>0</v>
      </c>
      <c r="I12" s="791">
        <f>'SOGR Supporting AP-CP'!G19</f>
        <v>0</v>
      </c>
      <c r="J12" s="791">
        <f>'SOGR Supporting AP-CP'!H19</f>
        <v>0</v>
      </c>
      <c r="K12" s="792">
        <f>'SOGR Supporting AP-CP'!K19</f>
        <v>0</v>
      </c>
      <c r="L12" s="774">
        <f>IF(AND($F12&gt;=MIN($F12),$F12&lt;=MAX('Major Assumption Key'!$B$6)),SUM(G12:K12),0)</f>
        <v>0</v>
      </c>
      <c r="M12" s="791">
        <f>'SOGR Supporting AP-CP'!E65</f>
        <v>0</v>
      </c>
      <c r="N12" s="791">
        <f>'SOGR Supporting AP-CP'!F65</f>
        <v>0</v>
      </c>
      <c r="O12" s="791">
        <f>'SOGR Supporting AP-CP'!G66</f>
        <v>0</v>
      </c>
      <c r="P12" s="791">
        <f>'SOGR Supporting AP-CP'!H65</f>
        <v>0</v>
      </c>
      <c r="Q12" s="791">
        <f>'SOGR Supporting AP-CP'!K65</f>
        <v>0</v>
      </c>
      <c r="R12" s="775">
        <f>IF(AND($F12&gt;=MIN('Major Assumption Key'!$B$4),$F12&lt;=MAX('Major Assumption Key'!$B$6)),SUM(M12:Q12),0)</f>
        <v>0</v>
      </c>
      <c r="S12" s="37">
        <f t="shared" si="3"/>
        <v>0</v>
      </c>
      <c r="T12" s="38">
        <f>S12/(1+'Major Assumption Key'!$B$8)^($F12-'Major Assumption Key'!$B$7)</f>
        <v>0</v>
      </c>
      <c r="U12" s="289"/>
      <c r="V12" s="774">
        <f t="shared" si="4"/>
        <v>0</v>
      </c>
      <c r="W12" s="775">
        <f t="shared" si="5"/>
        <v>0</v>
      </c>
      <c r="X12" s="37">
        <f t="shared" si="6"/>
        <v>0</v>
      </c>
      <c r="Y12" s="38">
        <f t="shared" si="7"/>
        <v>0</v>
      </c>
    </row>
    <row r="13" spans="1:25" ht="19.95" customHeight="1">
      <c r="C13" s="58"/>
      <c r="D13" s="58"/>
      <c r="E13" s="58"/>
      <c r="F13" s="782">
        <f>'Major Assumption Key'!A25</f>
        <v>2026</v>
      </c>
      <c r="G13" s="791">
        <f>'SOGR Supporting AP-CP'!E20</f>
        <v>0</v>
      </c>
      <c r="H13" s="791">
        <f>'SOGR Supporting AP-CP'!F20</f>
        <v>0</v>
      </c>
      <c r="I13" s="791">
        <f>'SOGR Supporting AP-CP'!G20</f>
        <v>0</v>
      </c>
      <c r="J13" s="791">
        <f>'SOGR Supporting AP-CP'!H20</f>
        <v>0</v>
      </c>
      <c r="K13" s="792">
        <f>'SOGR Supporting AP-CP'!K20</f>
        <v>0</v>
      </c>
      <c r="L13" s="774">
        <f>IF(AND($F13&gt;=MIN($F13),$F13&lt;=MAX('Major Assumption Key'!$B$6)),SUM(G13:K13),0)</f>
        <v>0</v>
      </c>
      <c r="M13" s="791">
        <f>'SOGR Supporting AP-CP'!E66</f>
        <v>0</v>
      </c>
      <c r="N13" s="791">
        <f>'SOGR Supporting AP-CP'!F66</f>
        <v>0</v>
      </c>
      <c r="O13" s="791">
        <f>'SOGR Supporting AP-CP'!G67</f>
        <v>0</v>
      </c>
      <c r="P13" s="791">
        <f>'SOGR Supporting AP-CP'!H66</f>
        <v>0</v>
      </c>
      <c r="Q13" s="791">
        <f>'SOGR Supporting AP-CP'!K66</f>
        <v>0</v>
      </c>
      <c r="R13" s="775">
        <f>IF(AND($F13&gt;=MIN('Major Assumption Key'!$B$4),$F13&lt;=MAX('Major Assumption Key'!$B$6)),SUM(M13:Q13),0)</f>
        <v>0</v>
      </c>
      <c r="S13" s="37">
        <f t="shared" si="3"/>
        <v>0</v>
      </c>
      <c r="T13" s="38">
        <f>S13/(1+'Major Assumption Key'!$B$8)^($F13-'Major Assumption Key'!$B$7)</f>
        <v>0</v>
      </c>
      <c r="U13" s="289"/>
      <c r="V13" s="774">
        <f t="shared" si="4"/>
        <v>0</v>
      </c>
      <c r="W13" s="775">
        <f t="shared" si="5"/>
        <v>0</v>
      </c>
      <c r="X13" s="37">
        <f t="shared" si="6"/>
        <v>0</v>
      </c>
      <c r="Y13" s="38">
        <f t="shared" si="7"/>
        <v>0</v>
      </c>
    </row>
    <row r="14" spans="1:25" ht="19.95" customHeight="1" thickBot="1">
      <c r="C14" s="58"/>
      <c r="D14" s="58"/>
      <c r="E14" s="58"/>
      <c r="F14" s="782">
        <f>'Major Assumption Key'!A26</f>
        <v>2027</v>
      </c>
      <c r="G14" s="791">
        <f>'SOGR Supporting AP-CP'!E21</f>
        <v>0</v>
      </c>
      <c r="H14" s="791">
        <f>'SOGR Supporting AP-CP'!F21</f>
        <v>0</v>
      </c>
      <c r="I14" s="791">
        <f>'SOGR Supporting AP-CP'!G21</f>
        <v>0</v>
      </c>
      <c r="J14" s="791">
        <f>'SOGR Supporting AP-CP'!H21</f>
        <v>0</v>
      </c>
      <c r="K14" s="792">
        <f>'SOGR Supporting AP-CP'!K21</f>
        <v>0</v>
      </c>
      <c r="L14" s="774">
        <f>IF(AND($F14&gt;=MIN($F14),$F14&lt;=MAX('Major Assumption Key'!$B$6)),SUM(G14:K14),0)</f>
        <v>0</v>
      </c>
      <c r="M14" s="791">
        <f>'SOGR Supporting AP-CP'!E67</f>
        <v>0</v>
      </c>
      <c r="N14" s="791">
        <f>'SOGR Supporting AP-CP'!F67</f>
        <v>0</v>
      </c>
      <c r="O14" s="791">
        <f>'SOGR Supporting AP-CP'!G68</f>
        <v>0</v>
      </c>
      <c r="P14" s="791">
        <f>'SOGR Supporting AP-CP'!H67</f>
        <v>0</v>
      </c>
      <c r="Q14" s="791">
        <f>'SOGR Supporting AP-CP'!K67</f>
        <v>0</v>
      </c>
      <c r="R14" s="775">
        <f>IF(AND($F14&gt;=MIN('Major Assumption Key'!$B$4),$F14&lt;=MAX('Major Assumption Key'!$B$6)),SUM(M14:Q14),0)</f>
        <v>0</v>
      </c>
      <c r="S14" s="37">
        <f t="shared" si="3"/>
        <v>0</v>
      </c>
      <c r="T14" s="38">
        <f>S14/(1+'Major Assumption Key'!$B$8)^($F14-'Major Assumption Key'!$B$7)</f>
        <v>0</v>
      </c>
      <c r="U14" s="289"/>
      <c r="V14" s="774">
        <f t="shared" si="4"/>
        <v>0</v>
      </c>
      <c r="W14" s="775">
        <f t="shared" si="5"/>
        <v>0</v>
      </c>
      <c r="X14" s="37">
        <f t="shared" si="6"/>
        <v>0</v>
      </c>
      <c r="Y14" s="38">
        <f t="shared" si="7"/>
        <v>0</v>
      </c>
    </row>
    <row r="15" spans="1:25" ht="19.95" customHeight="1">
      <c r="A15" s="569" t="s">
        <v>181</v>
      </c>
      <c r="B15" s="570" t="s">
        <v>434</v>
      </c>
      <c r="C15" s="1906" t="s">
        <v>498</v>
      </c>
      <c r="D15" s="1907"/>
      <c r="E15" s="58"/>
      <c r="F15" s="782">
        <f>'Major Assumption Key'!A27</f>
        <v>2028</v>
      </c>
      <c r="G15" s="791">
        <f>'SOGR Supporting AP-CP'!E22</f>
        <v>0</v>
      </c>
      <c r="H15" s="791">
        <f>'SOGR Supporting AP-CP'!F22</f>
        <v>0</v>
      </c>
      <c r="I15" s="791">
        <f>'SOGR Supporting AP-CP'!G22</f>
        <v>0</v>
      </c>
      <c r="J15" s="791">
        <f>'SOGR Supporting AP-CP'!H22</f>
        <v>0</v>
      </c>
      <c r="K15" s="792">
        <f>'SOGR Supporting AP-CP'!K22</f>
        <v>0</v>
      </c>
      <c r="L15" s="774">
        <f>IF(AND($F15&gt;=MIN($F15),$F15&lt;=MAX('Major Assumption Key'!$B$6)),SUM(G15:K15),0)</f>
        <v>0</v>
      </c>
      <c r="M15" s="791">
        <f>'SOGR Supporting AP-CP'!E68</f>
        <v>0</v>
      </c>
      <c r="N15" s="791">
        <f>'SOGR Supporting AP-CP'!F68</f>
        <v>0</v>
      </c>
      <c r="O15" s="791">
        <f>'SOGR Supporting AP-CP'!G69</f>
        <v>0</v>
      </c>
      <c r="P15" s="791">
        <f>'SOGR Supporting AP-CP'!H68</f>
        <v>0</v>
      </c>
      <c r="Q15" s="791">
        <f>'SOGR Supporting AP-CP'!K68</f>
        <v>0</v>
      </c>
      <c r="R15" s="775">
        <f>IF(AND($F15&gt;=MIN('Major Assumption Key'!$B$4),$F15&lt;=MAX('Major Assumption Key'!$B$6)),SUM(M15:Q15),0)</f>
        <v>0</v>
      </c>
      <c r="S15" s="37">
        <f t="shared" si="3"/>
        <v>0</v>
      </c>
      <c r="T15" s="38">
        <f>S15/(1+'Major Assumption Key'!$B$8)^($F15-'Major Assumption Key'!$B$7)</f>
        <v>0</v>
      </c>
      <c r="U15" s="289"/>
      <c r="V15" s="774">
        <f t="shared" si="4"/>
        <v>0</v>
      </c>
      <c r="W15" s="775">
        <f t="shared" si="5"/>
        <v>0</v>
      </c>
      <c r="X15" s="37">
        <f t="shared" si="6"/>
        <v>0</v>
      </c>
      <c r="Y15" s="38">
        <f t="shared" si="7"/>
        <v>0</v>
      </c>
    </row>
    <row r="16" spans="1:25" ht="19.95" customHeight="1">
      <c r="A16" s="776" t="str">
        <f>'Major Assumption Key'!$A$3</f>
        <v>Project Open Year:</v>
      </c>
      <c r="B16" s="777">
        <f>'Major Assumption Key'!$B$3</f>
        <v>2028</v>
      </c>
      <c r="C16" s="767" t="s">
        <v>436</v>
      </c>
      <c r="D16" s="550"/>
      <c r="E16" s="58"/>
      <c r="F16" s="782">
        <f>'Major Assumption Key'!A28</f>
        <v>2029</v>
      </c>
      <c r="G16" s="791">
        <f>'SOGR Supporting AP-CP'!E23</f>
        <v>0</v>
      </c>
      <c r="H16" s="791">
        <f>'SOGR Supporting AP-CP'!F23</f>
        <v>0</v>
      </c>
      <c r="I16" s="791">
        <f>'SOGR Supporting AP-CP'!G23</f>
        <v>0</v>
      </c>
      <c r="J16" s="791">
        <f>'SOGR Supporting AP-CP'!H23</f>
        <v>0</v>
      </c>
      <c r="K16" s="792">
        <f>'SOGR Supporting AP-CP'!K23</f>
        <v>0</v>
      </c>
      <c r="L16" s="774">
        <f>IF(AND($F16&gt;=MIN($F16),$F16&lt;=MAX('Major Assumption Key'!$B$6)),SUM(G16:K16),0)</f>
        <v>0</v>
      </c>
      <c r="M16" s="791">
        <f>'SOGR Supporting AP-CP'!E69</f>
        <v>0</v>
      </c>
      <c r="N16" s="791">
        <f>'SOGR Supporting AP-CP'!F69</f>
        <v>0</v>
      </c>
      <c r="O16" s="791">
        <f>'SOGR Supporting AP-CP'!G70</f>
        <v>0</v>
      </c>
      <c r="P16" s="791">
        <f>'SOGR Supporting AP-CP'!H69</f>
        <v>0</v>
      </c>
      <c r="Q16" s="791">
        <f>'SOGR Supporting AP-CP'!K69</f>
        <v>0</v>
      </c>
      <c r="R16" s="775">
        <f>IF(AND($F16&gt;=MIN('Major Assumption Key'!$B$4),$F16&lt;=MAX('Major Assumption Key'!$B$6)),SUM(M16:Q16),0)</f>
        <v>0</v>
      </c>
      <c r="S16" s="37">
        <f t="shared" si="3"/>
        <v>0</v>
      </c>
      <c r="T16" s="38">
        <f>S16/(1+'Major Assumption Key'!$B$8)^($F16-'Major Assumption Key'!$B$7)</f>
        <v>0</v>
      </c>
      <c r="U16" s="289"/>
      <c r="V16" s="774">
        <f t="shared" si="4"/>
        <v>0</v>
      </c>
      <c r="W16" s="775">
        <f t="shared" si="5"/>
        <v>0</v>
      </c>
      <c r="X16" s="37">
        <f t="shared" si="6"/>
        <v>0</v>
      </c>
      <c r="Y16" s="38">
        <f t="shared" si="7"/>
        <v>0</v>
      </c>
    </row>
    <row r="17" spans="1:25" ht="19.95" customHeight="1">
      <c r="A17" s="776" t="str">
        <f>'Major Assumption Key'!$A$4</f>
        <v>Planning Horizon Begin Year:</v>
      </c>
      <c r="B17" s="777">
        <f>'Major Assumption Key'!$B$4</f>
        <v>2022</v>
      </c>
      <c r="C17" s="767" t="s">
        <v>436</v>
      </c>
      <c r="D17" s="778"/>
      <c r="E17" s="58"/>
      <c r="F17" s="782">
        <f>'Major Assumption Key'!A29</f>
        <v>2030</v>
      </c>
      <c r="G17" s="791">
        <f>'SOGR Supporting AP-CP'!E24</f>
        <v>0</v>
      </c>
      <c r="H17" s="791">
        <f>'SOGR Supporting AP-CP'!F24</f>
        <v>0</v>
      </c>
      <c r="I17" s="791">
        <f>'SOGR Supporting AP-CP'!G24</f>
        <v>0</v>
      </c>
      <c r="J17" s="791">
        <f>'SOGR Supporting AP-CP'!H24</f>
        <v>0</v>
      </c>
      <c r="K17" s="792">
        <f>'SOGR Supporting AP-CP'!K24</f>
        <v>0</v>
      </c>
      <c r="L17" s="774">
        <f>IF(AND($F17&gt;=MIN($F17),$F17&lt;=MAX('Major Assumption Key'!$B$6)),SUM(G17:K17),0)</f>
        <v>0</v>
      </c>
      <c r="M17" s="791">
        <f>'SOGR Supporting AP-CP'!E70</f>
        <v>0</v>
      </c>
      <c r="N17" s="791">
        <f>'SOGR Supporting AP-CP'!F70</f>
        <v>0</v>
      </c>
      <c r="O17" s="791">
        <f>'SOGR Supporting AP-CP'!G71</f>
        <v>0</v>
      </c>
      <c r="P17" s="791">
        <f>'SOGR Supporting AP-CP'!H70</f>
        <v>0</v>
      </c>
      <c r="Q17" s="791">
        <f>'SOGR Supporting AP-CP'!K70</f>
        <v>0</v>
      </c>
      <c r="R17" s="775">
        <f>IF(AND($F17&gt;=MIN('Major Assumption Key'!$B$4),$F17&lt;=MAX('Major Assumption Key'!$B$6)),SUM(M17:Q17),0)</f>
        <v>0</v>
      </c>
      <c r="S17" s="37">
        <f t="shared" si="3"/>
        <v>0</v>
      </c>
      <c r="T17" s="38">
        <f>S17/(1+'Major Assumption Key'!$B$8)^($F17-'Major Assumption Key'!$B$7)</f>
        <v>0</v>
      </c>
      <c r="U17" s="289"/>
      <c r="V17" s="774">
        <f t="shared" si="4"/>
        <v>0</v>
      </c>
      <c r="W17" s="775">
        <f t="shared" si="5"/>
        <v>0</v>
      </c>
      <c r="X17" s="37">
        <f t="shared" si="6"/>
        <v>0</v>
      </c>
      <c r="Y17" s="38">
        <f t="shared" si="7"/>
        <v>0</v>
      </c>
    </row>
    <row r="18" spans="1:25" ht="19.95" customHeight="1">
      <c r="A18" s="776" t="str">
        <f>'Major Assumption Key'!$A$6</f>
        <v>Planning Horizon End Year:</v>
      </c>
      <c r="B18" s="777">
        <f>'Major Assumption Key'!$B$6</f>
        <v>2047</v>
      </c>
      <c r="C18" s="767" t="s">
        <v>436</v>
      </c>
      <c r="D18" s="778"/>
      <c r="E18" s="58"/>
      <c r="F18" s="782">
        <f>'Major Assumption Key'!A30</f>
        <v>2031</v>
      </c>
      <c r="G18" s="791">
        <f>'SOGR Supporting AP-CP'!E25</f>
        <v>0</v>
      </c>
      <c r="H18" s="791">
        <f>'SOGR Supporting AP-CP'!F25</f>
        <v>0</v>
      </c>
      <c r="I18" s="791">
        <f>'SOGR Supporting AP-CP'!G25</f>
        <v>0</v>
      </c>
      <c r="J18" s="791">
        <f>'SOGR Supporting AP-CP'!H25</f>
        <v>0</v>
      </c>
      <c r="K18" s="792">
        <f>'SOGR Supporting AP-CP'!K25</f>
        <v>0</v>
      </c>
      <c r="L18" s="774">
        <f>IF(AND($F18&gt;=MIN($F18),$F18&lt;=MAX('Major Assumption Key'!$B$6)),SUM(G18:K18),0)</f>
        <v>0</v>
      </c>
      <c r="M18" s="791">
        <f>'SOGR Supporting AP-CP'!E71</f>
        <v>0</v>
      </c>
      <c r="N18" s="791">
        <f>'SOGR Supporting AP-CP'!F71</f>
        <v>0</v>
      </c>
      <c r="O18" s="791">
        <f>'SOGR Supporting AP-CP'!G72</f>
        <v>0</v>
      </c>
      <c r="P18" s="791">
        <f>'SOGR Supporting AP-CP'!H71</f>
        <v>0</v>
      </c>
      <c r="Q18" s="791">
        <f>'SOGR Supporting AP-CP'!K71</f>
        <v>0</v>
      </c>
      <c r="R18" s="775">
        <f>IF(AND($F18&gt;=MIN('Major Assumption Key'!$B$4),$F18&lt;=MAX('Major Assumption Key'!$B$6)),SUM(M18:Q18),0)</f>
        <v>0</v>
      </c>
      <c r="S18" s="37">
        <f t="shared" si="3"/>
        <v>0</v>
      </c>
      <c r="T18" s="38">
        <f>S18/(1+'Major Assumption Key'!$B$8)^($F18-'Major Assumption Key'!$B$7)</f>
        <v>0</v>
      </c>
      <c r="U18" s="289"/>
      <c r="V18" s="774">
        <f t="shared" si="4"/>
        <v>0</v>
      </c>
      <c r="W18" s="775">
        <f t="shared" si="5"/>
        <v>0</v>
      </c>
      <c r="X18" s="37">
        <f t="shared" si="6"/>
        <v>0</v>
      </c>
      <c r="Y18" s="38">
        <f t="shared" si="7"/>
        <v>0</v>
      </c>
    </row>
    <row r="19" spans="1:25" ht="19.95" customHeight="1">
      <c r="A19" s="768" t="s">
        <v>528</v>
      </c>
      <c r="B19" s="793">
        <f>C32</f>
        <v>1.6489156772275735</v>
      </c>
      <c r="C19" s="2" t="s">
        <v>211</v>
      </c>
      <c r="D19" s="571"/>
      <c r="E19" s="58"/>
      <c r="F19" s="782">
        <f>'Major Assumption Key'!A31</f>
        <v>2032</v>
      </c>
      <c r="G19" s="791">
        <f>'SOGR Supporting AP-CP'!E26</f>
        <v>0</v>
      </c>
      <c r="H19" s="791">
        <f>'SOGR Supporting AP-CP'!F26</f>
        <v>0</v>
      </c>
      <c r="I19" s="791">
        <f>'SOGR Supporting AP-CP'!G26</f>
        <v>0</v>
      </c>
      <c r="J19" s="791">
        <f>'SOGR Supporting AP-CP'!H26</f>
        <v>0</v>
      </c>
      <c r="K19" s="792">
        <f>'SOGR Supporting AP-CP'!K26</f>
        <v>0</v>
      </c>
      <c r="L19" s="774">
        <f>IF(AND($F19&gt;=MIN($F19),$F19&lt;=MAX('Major Assumption Key'!$B$6)),SUM(G19:K19),0)</f>
        <v>0</v>
      </c>
      <c r="M19" s="791">
        <f>'SOGR Supporting AP-CP'!E72</f>
        <v>0</v>
      </c>
      <c r="N19" s="791">
        <f>'SOGR Supporting AP-CP'!F72</f>
        <v>0</v>
      </c>
      <c r="O19" s="791">
        <f>'SOGR Supporting AP-CP'!G73</f>
        <v>0</v>
      </c>
      <c r="P19" s="791">
        <f>'SOGR Supporting AP-CP'!H72</f>
        <v>0</v>
      </c>
      <c r="Q19" s="791">
        <f>'SOGR Supporting AP-CP'!K72</f>
        <v>0</v>
      </c>
      <c r="R19" s="775">
        <f>IF(AND($F19&gt;=MIN('Major Assumption Key'!$B$4),$F19&lt;=MAX('Major Assumption Key'!$B$6)),SUM(M19:Q19),0)</f>
        <v>0</v>
      </c>
      <c r="S19" s="37">
        <f t="shared" si="3"/>
        <v>0</v>
      </c>
      <c r="T19" s="38">
        <f>S19/(1+'Major Assumption Key'!$B$8)^($F19-'Major Assumption Key'!$B$7)</f>
        <v>0</v>
      </c>
      <c r="U19" s="289"/>
      <c r="V19" s="774">
        <f t="shared" si="4"/>
        <v>0</v>
      </c>
      <c r="W19" s="775">
        <f t="shared" si="5"/>
        <v>0</v>
      </c>
      <c r="X19" s="37">
        <f t="shared" si="6"/>
        <v>0</v>
      </c>
      <c r="Y19" s="38">
        <f t="shared" si="7"/>
        <v>0</v>
      </c>
    </row>
    <row r="20" spans="1:25" ht="19.95" customHeight="1">
      <c r="A20" s="768" t="s">
        <v>529</v>
      </c>
      <c r="B20" s="794">
        <f>D32</f>
        <v>20.037421024681688</v>
      </c>
      <c r="C20" s="2" t="s">
        <v>211</v>
      </c>
      <c r="D20" s="571"/>
      <c r="E20" s="58"/>
      <c r="F20" s="782">
        <f>'Major Assumption Key'!A32</f>
        <v>2033</v>
      </c>
      <c r="G20" s="791">
        <f>'SOGR Supporting AP-CP'!E27</f>
        <v>0</v>
      </c>
      <c r="H20" s="791">
        <f>'SOGR Supporting AP-CP'!F27</f>
        <v>0</v>
      </c>
      <c r="I20" s="791">
        <f>'SOGR Supporting AP-CP'!G27</f>
        <v>0</v>
      </c>
      <c r="J20" s="791">
        <f>'SOGR Supporting AP-CP'!H27</f>
        <v>0</v>
      </c>
      <c r="K20" s="792">
        <f>'SOGR Supporting AP-CP'!K27</f>
        <v>0</v>
      </c>
      <c r="L20" s="774">
        <f>IF(AND($F20&gt;=MIN($F20),$F20&lt;=MAX('Major Assumption Key'!$B$6)),SUM(G20:K20),0)</f>
        <v>0</v>
      </c>
      <c r="M20" s="791">
        <f>'SOGR Supporting AP-CP'!E73</f>
        <v>0</v>
      </c>
      <c r="N20" s="791">
        <f>'SOGR Supporting AP-CP'!F73</f>
        <v>0</v>
      </c>
      <c r="O20" s="791">
        <f>'SOGR Supporting AP-CP'!G74</f>
        <v>0</v>
      </c>
      <c r="P20" s="791">
        <f>'SOGR Supporting AP-CP'!H73</f>
        <v>0</v>
      </c>
      <c r="Q20" s="791">
        <f>'SOGR Supporting AP-CP'!K73</f>
        <v>0</v>
      </c>
      <c r="R20" s="775">
        <f>IF(AND($F20&gt;=MIN('Major Assumption Key'!$B$4),$F20&lt;=MAX('Major Assumption Key'!$B$6)),SUM(M20:Q20),0)</f>
        <v>0</v>
      </c>
      <c r="S20" s="37">
        <f t="shared" si="3"/>
        <v>0</v>
      </c>
      <c r="T20" s="38">
        <f>S20/(1+'Major Assumption Key'!$B$8)^($F20-'Major Assumption Key'!$B$7)</f>
        <v>0</v>
      </c>
      <c r="U20" s="289"/>
      <c r="V20" s="774">
        <f t="shared" si="4"/>
        <v>0</v>
      </c>
      <c r="W20" s="775">
        <f t="shared" si="5"/>
        <v>0</v>
      </c>
      <c r="X20" s="37">
        <f t="shared" si="6"/>
        <v>0</v>
      </c>
      <c r="Y20" s="38">
        <f t="shared" si="7"/>
        <v>0</v>
      </c>
    </row>
    <row r="21" spans="1:25" ht="19.95" customHeight="1">
      <c r="A21" s="768" t="s">
        <v>530</v>
      </c>
      <c r="B21" s="777">
        <v>240</v>
      </c>
      <c r="C21" s="2" t="s">
        <v>531</v>
      </c>
      <c r="D21" s="770"/>
      <c r="E21" s="58"/>
      <c r="F21" s="782">
        <f>'Major Assumption Key'!A33</f>
        <v>2034</v>
      </c>
      <c r="G21" s="791">
        <f>'SOGR Supporting AP-CP'!E28</f>
        <v>0</v>
      </c>
      <c r="H21" s="791">
        <f>'SOGR Supporting AP-CP'!F28</f>
        <v>0</v>
      </c>
      <c r="I21" s="791">
        <f>'SOGR Supporting AP-CP'!G28</f>
        <v>0</v>
      </c>
      <c r="J21" s="791">
        <f>'SOGR Supporting AP-CP'!H28</f>
        <v>0</v>
      </c>
      <c r="K21" s="792">
        <f>'SOGR Supporting AP-CP'!K28</f>
        <v>0</v>
      </c>
      <c r="L21" s="774">
        <f>IF(AND($F21&gt;=MIN($F21),$F21&lt;=MAX('Major Assumption Key'!$B$6)),SUM(G21:K21),0)</f>
        <v>0</v>
      </c>
      <c r="M21" s="791">
        <f>'SOGR Supporting AP-CP'!E74</f>
        <v>0</v>
      </c>
      <c r="N21" s="791">
        <f>'SOGR Supporting AP-CP'!F74</f>
        <v>0</v>
      </c>
      <c r="O21" s="791">
        <f>'SOGR Supporting AP-CP'!G75</f>
        <v>0</v>
      </c>
      <c r="P21" s="791">
        <f>'SOGR Supporting AP-CP'!H74</f>
        <v>0</v>
      </c>
      <c r="Q21" s="791">
        <f>'SOGR Supporting AP-CP'!K74</f>
        <v>0</v>
      </c>
      <c r="R21" s="775">
        <f>IF(AND($F21&gt;=MIN('Major Assumption Key'!$B$4),$F21&lt;=MAX('Major Assumption Key'!$B$6)),SUM(M21:Q21),0)</f>
        <v>0</v>
      </c>
      <c r="S21" s="37">
        <f t="shared" si="3"/>
        <v>0</v>
      </c>
      <c r="T21" s="38">
        <f>S21/(1+'Major Assumption Key'!$B$8)^($F21-'Major Assumption Key'!$B$7)</f>
        <v>0</v>
      </c>
      <c r="U21" s="289"/>
      <c r="V21" s="774">
        <f t="shared" si="4"/>
        <v>0</v>
      </c>
      <c r="W21" s="775">
        <f t="shared" si="5"/>
        <v>0</v>
      </c>
      <c r="X21" s="37">
        <f t="shared" si="6"/>
        <v>0</v>
      </c>
      <c r="Y21" s="38">
        <f t="shared" si="7"/>
        <v>0</v>
      </c>
    </row>
    <row r="22" spans="1:25" ht="19.95" customHeight="1">
      <c r="A22" s="768" t="s">
        <v>532</v>
      </c>
      <c r="B22" s="777">
        <f>B21/2</f>
        <v>120</v>
      </c>
      <c r="C22" s="2" t="s">
        <v>533</v>
      </c>
      <c r="D22" s="770"/>
      <c r="E22" s="58"/>
      <c r="F22" s="782">
        <f>'Major Assumption Key'!A34</f>
        <v>2035</v>
      </c>
      <c r="G22" s="791">
        <f>'SOGR Supporting AP-CP'!E29</f>
        <v>0</v>
      </c>
      <c r="H22" s="791">
        <f>'SOGR Supporting AP-CP'!F29</f>
        <v>0</v>
      </c>
      <c r="I22" s="791">
        <f>'SOGR Supporting AP-CP'!G29</f>
        <v>0</v>
      </c>
      <c r="J22" s="791">
        <f>'SOGR Supporting AP-CP'!H29</f>
        <v>0</v>
      </c>
      <c r="K22" s="792">
        <f>'SOGR Supporting AP-CP'!K29</f>
        <v>0</v>
      </c>
      <c r="L22" s="774">
        <f>IF(AND($F22&gt;=MIN($F22),$F22&lt;=MAX('Major Assumption Key'!$B$6)),SUM(G22:K22),0)</f>
        <v>0</v>
      </c>
      <c r="M22" s="791">
        <f>'SOGR Supporting AP-CP'!E75</f>
        <v>0</v>
      </c>
      <c r="N22" s="791">
        <f>'SOGR Supporting AP-CP'!F75</f>
        <v>0</v>
      </c>
      <c r="O22" s="791">
        <f>'SOGR Supporting AP-CP'!G76</f>
        <v>0</v>
      </c>
      <c r="P22" s="791">
        <f>'SOGR Supporting AP-CP'!H75</f>
        <v>0</v>
      </c>
      <c r="Q22" s="791">
        <f>'SOGR Supporting AP-CP'!K75</f>
        <v>0</v>
      </c>
      <c r="R22" s="775">
        <f>IF(AND($F22&gt;=MIN('Major Assumption Key'!$B$4),$F22&lt;=MAX('Major Assumption Key'!$B$6)),SUM(M22:Q22),0)</f>
        <v>0</v>
      </c>
      <c r="S22" s="37">
        <f t="shared" si="3"/>
        <v>0</v>
      </c>
      <c r="T22" s="38">
        <f>S22/(1+'Major Assumption Key'!$B$8)^($F22-'Major Assumption Key'!$B$7)</f>
        <v>0</v>
      </c>
      <c r="U22" s="289"/>
      <c r="V22" s="774">
        <f t="shared" si="4"/>
        <v>0</v>
      </c>
      <c r="W22" s="775">
        <f t="shared" si="5"/>
        <v>0</v>
      </c>
      <c r="X22" s="37">
        <f t="shared" si="6"/>
        <v>0</v>
      </c>
      <c r="Y22" s="38">
        <f t="shared" si="7"/>
        <v>0</v>
      </c>
    </row>
    <row r="23" spans="1:25" ht="19.95" customHeight="1">
      <c r="A23" s="768" t="s">
        <v>534</v>
      </c>
      <c r="B23" s="795">
        <v>0.75</v>
      </c>
      <c r="C23" s="2" t="s">
        <v>535</v>
      </c>
      <c r="D23" s="770"/>
      <c r="E23" s="58"/>
      <c r="F23" s="782">
        <f>'Major Assumption Key'!A35</f>
        <v>2036</v>
      </c>
      <c r="G23" s="791">
        <f>'SOGR Supporting AP-CP'!E30</f>
        <v>0</v>
      </c>
      <c r="H23" s="791">
        <f>'SOGR Supporting AP-CP'!F30</f>
        <v>0</v>
      </c>
      <c r="I23" s="791">
        <f>'SOGR Supporting AP-CP'!G30</f>
        <v>0</v>
      </c>
      <c r="J23" s="791">
        <f>'SOGR Supporting AP-CP'!H30</f>
        <v>0</v>
      </c>
      <c r="K23" s="792">
        <f>'SOGR Supporting AP-CP'!K30</f>
        <v>0</v>
      </c>
      <c r="L23" s="774">
        <f>IF(AND($F23&gt;=MIN($F23),$F23&lt;=MAX('Major Assumption Key'!$B$6)),SUM(G23:K23),0)</f>
        <v>0</v>
      </c>
      <c r="M23" s="791">
        <f>'SOGR Supporting AP-CP'!E76</f>
        <v>0</v>
      </c>
      <c r="N23" s="791">
        <f>'SOGR Supporting AP-CP'!F76</f>
        <v>0</v>
      </c>
      <c r="O23" s="791">
        <f>'SOGR Supporting AP-CP'!G77</f>
        <v>0</v>
      </c>
      <c r="P23" s="791">
        <f>'SOGR Supporting AP-CP'!H76</f>
        <v>0</v>
      </c>
      <c r="Q23" s="791">
        <f>'SOGR Supporting AP-CP'!K76</f>
        <v>0</v>
      </c>
      <c r="R23" s="775">
        <f>IF(AND($F23&gt;=MIN('Major Assumption Key'!$B$4),$F23&lt;=MAX('Major Assumption Key'!$B$6)),SUM(M23:Q23),0)</f>
        <v>0</v>
      </c>
      <c r="S23" s="37">
        <f t="shared" si="3"/>
        <v>0</v>
      </c>
      <c r="T23" s="38">
        <f>S23/(1+'Major Assumption Key'!$B$8)^($F23-'Major Assumption Key'!$B$7)</f>
        <v>0</v>
      </c>
      <c r="U23" s="289"/>
      <c r="V23" s="774">
        <f t="shared" si="4"/>
        <v>0</v>
      </c>
      <c r="W23" s="775">
        <f t="shared" si="5"/>
        <v>0</v>
      </c>
      <c r="X23" s="37">
        <f t="shared" si="6"/>
        <v>0</v>
      </c>
      <c r="Y23" s="38">
        <f t="shared" si="7"/>
        <v>0</v>
      </c>
    </row>
    <row r="24" spans="1:25" ht="19.95" customHeight="1">
      <c r="A24" s="768" t="s">
        <v>536</v>
      </c>
      <c r="B24" s="796"/>
      <c r="D24" s="770"/>
      <c r="E24" s="58"/>
      <c r="F24" s="782">
        <f>'Major Assumption Key'!A36</f>
        <v>2037</v>
      </c>
      <c r="G24" s="791">
        <f>'SOGR Supporting AP-CP'!E31</f>
        <v>0</v>
      </c>
      <c r="H24" s="791">
        <f>'SOGR Supporting AP-CP'!F31</f>
        <v>0</v>
      </c>
      <c r="I24" s="791">
        <f>'SOGR Supporting AP-CP'!G31</f>
        <v>0</v>
      </c>
      <c r="J24" s="791">
        <f>'SOGR Supporting AP-CP'!H31</f>
        <v>0</v>
      </c>
      <c r="K24" s="792">
        <f>'SOGR Supporting AP-CP'!K31</f>
        <v>0</v>
      </c>
      <c r="L24" s="774">
        <f>IF(AND($F24&gt;=MIN($F24),$F24&lt;=MAX('Major Assumption Key'!$B$6)),SUM(G24:K24),0)</f>
        <v>0</v>
      </c>
      <c r="M24" s="791">
        <f>'SOGR Supporting AP-CP'!E77</f>
        <v>0</v>
      </c>
      <c r="N24" s="791">
        <f>'SOGR Supporting AP-CP'!F77</f>
        <v>0</v>
      </c>
      <c r="O24" s="791">
        <f>'SOGR Supporting AP-CP'!G78</f>
        <v>0</v>
      </c>
      <c r="P24" s="791">
        <f>'SOGR Supporting AP-CP'!H77</f>
        <v>0</v>
      </c>
      <c r="Q24" s="791">
        <f>'SOGR Supporting AP-CP'!K77</f>
        <v>0</v>
      </c>
      <c r="R24" s="775">
        <f>IF(AND($F24&gt;=MIN('Major Assumption Key'!$B$4),$F24&lt;=MAX('Major Assumption Key'!$B$6)),SUM(M24:Q24),0)</f>
        <v>0</v>
      </c>
      <c r="S24" s="37">
        <f t="shared" si="3"/>
        <v>0</v>
      </c>
      <c r="T24" s="38">
        <f>S24/(1+'Major Assumption Key'!$B$8)^($F24-'Major Assumption Key'!$B$7)</f>
        <v>0</v>
      </c>
      <c r="U24" s="289"/>
      <c r="V24" s="774">
        <f t="shared" si="4"/>
        <v>0</v>
      </c>
      <c r="W24" s="775">
        <f t="shared" si="5"/>
        <v>0</v>
      </c>
      <c r="X24" s="37">
        <f t="shared" si="6"/>
        <v>0</v>
      </c>
      <c r="Y24" s="38">
        <f t="shared" si="7"/>
        <v>0</v>
      </c>
    </row>
    <row r="25" spans="1:25" ht="19.95" customHeight="1">
      <c r="A25" s="768" t="s">
        <v>537</v>
      </c>
      <c r="B25" s="797">
        <f>'Cost of Rehab'!C10</f>
        <v>283756</v>
      </c>
      <c r="C25" s="2" t="s">
        <v>538</v>
      </c>
      <c r="D25" s="770"/>
      <c r="E25" s="58"/>
      <c r="F25" s="782">
        <f>'Major Assumption Key'!A37</f>
        <v>2038</v>
      </c>
      <c r="G25" s="791">
        <f>'SOGR Supporting AP-CP'!E32</f>
        <v>0</v>
      </c>
      <c r="H25" s="791">
        <f>'SOGR Supporting AP-CP'!F32</f>
        <v>0</v>
      </c>
      <c r="I25" s="791">
        <f>'SOGR Supporting AP-CP'!G32</f>
        <v>0</v>
      </c>
      <c r="J25" s="791">
        <f>'SOGR Supporting AP-CP'!H32</f>
        <v>0</v>
      </c>
      <c r="K25" s="792">
        <f>'SOGR Supporting AP-CP'!K32</f>
        <v>0</v>
      </c>
      <c r="L25" s="774">
        <f>IF(AND($F25&gt;=MIN($F25),$F25&lt;=MAX('Major Assumption Key'!$B$6)),SUM(G25:K25),0)</f>
        <v>0</v>
      </c>
      <c r="M25" s="791">
        <f>'SOGR Supporting AP-CP'!E78</f>
        <v>0</v>
      </c>
      <c r="N25" s="791">
        <f>'SOGR Supporting AP-CP'!F78</f>
        <v>0</v>
      </c>
      <c r="O25" s="791">
        <f>'SOGR Supporting AP-CP'!G79</f>
        <v>0</v>
      </c>
      <c r="P25" s="791">
        <f>'SOGR Supporting AP-CP'!H78</f>
        <v>0</v>
      </c>
      <c r="Q25" s="791">
        <f>'SOGR Supporting AP-CP'!K78</f>
        <v>0</v>
      </c>
      <c r="R25" s="775">
        <f>IF(AND($F25&gt;=MIN('Major Assumption Key'!$B$4),$F25&lt;=MAX('Major Assumption Key'!$B$6)),SUM(M25:Q25),0)</f>
        <v>0</v>
      </c>
      <c r="S25" s="37">
        <f t="shared" si="3"/>
        <v>0</v>
      </c>
      <c r="T25" s="38">
        <f>S25/(1+'Major Assumption Key'!$B$8)^($F25-'Major Assumption Key'!$B$7)</f>
        <v>0</v>
      </c>
      <c r="U25" s="289"/>
      <c r="V25" s="774">
        <f t="shared" si="4"/>
        <v>0</v>
      </c>
      <c r="W25" s="775">
        <f t="shared" si="5"/>
        <v>0</v>
      </c>
      <c r="X25" s="37">
        <f t="shared" si="6"/>
        <v>0</v>
      </c>
      <c r="Y25" s="38">
        <f t="shared" si="7"/>
        <v>0</v>
      </c>
    </row>
    <row r="26" spans="1:25" ht="19.95" customHeight="1" thickBot="1">
      <c r="A26" s="779" t="s">
        <v>539</v>
      </c>
      <c r="B26" s="798">
        <v>260</v>
      </c>
      <c r="C26" s="364" t="s">
        <v>540</v>
      </c>
      <c r="D26" s="781"/>
      <c r="E26" s="58"/>
      <c r="F26" s="782">
        <f>'Major Assumption Key'!A38</f>
        <v>2039</v>
      </c>
      <c r="G26" s="791">
        <f>'SOGR Supporting AP-CP'!E33</f>
        <v>0</v>
      </c>
      <c r="H26" s="791">
        <f>'SOGR Supporting AP-CP'!F33</f>
        <v>0</v>
      </c>
      <c r="I26" s="791">
        <f>'SOGR Supporting AP-CP'!G33</f>
        <v>0</v>
      </c>
      <c r="J26" s="791">
        <f>'SOGR Supporting AP-CP'!H33</f>
        <v>0</v>
      </c>
      <c r="K26" s="792">
        <f>'SOGR Supporting AP-CP'!K33</f>
        <v>0</v>
      </c>
      <c r="L26" s="774">
        <f>IF(AND($F26&gt;=MIN($F26),$F26&lt;=MAX('Major Assumption Key'!$B$6)),SUM(G26:K26),0)</f>
        <v>0</v>
      </c>
      <c r="M26" s="791">
        <f>'SOGR Supporting AP-CP'!E79</f>
        <v>0</v>
      </c>
      <c r="N26" s="791">
        <f>'SOGR Supporting AP-CP'!F79</f>
        <v>0</v>
      </c>
      <c r="O26" s="791">
        <f>'SOGR Supporting AP-CP'!G80</f>
        <v>0</v>
      </c>
      <c r="P26" s="791">
        <f>'SOGR Supporting AP-CP'!H79</f>
        <v>0</v>
      </c>
      <c r="Q26" s="791">
        <f>'SOGR Supporting AP-CP'!K79</f>
        <v>0</v>
      </c>
      <c r="R26" s="775">
        <f>IF(AND($F26&gt;=MIN('Major Assumption Key'!$B$4),$F26&lt;=MAX('Major Assumption Key'!$B$6)),SUM(M26:Q26),0)</f>
        <v>0</v>
      </c>
      <c r="S26" s="37">
        <f t="shared" si="3"/>
        <v>0</v>
      </c>
      <c r="T26" s="38">
        <f>S26/(1+'Major Assumption Key'!$B$8)^($F26-'Major Assumption Key'!$B$7)</f>
        <v>0</v>
      </c>
      <c r="U26" s="289"/>
      <c r="V26" s="774">
        <f t="shared" si="4"/>
        <v>0</v>
      </c>
      <c r="W26" s="775">
        <f t="shared" si="5"/>
        <v>0</v>
      </c>
      <c r="X26" s="37">
        <f t="shared" si="6"/>
        <v>0</v>
      </c>
      <c r="Y26" s="38">
        <f t="shared" si="7"/>
        <v>0</v>
      </c>
    </row>
    <row r="27" spans="1:25" ht="19.95" customHeight="1">
      <c r="A27" s="799"/>
      <c r="B27" s="799"/>
      <c r="C27" s="160"/>
      <c r="D27" s="800"/>
      <c r="E27" s="58"/>
      <c r="F27" s="782">
        <f>'Major Assumption Key'!A39</f>
        <v>2040</v>
      </c>
      <c r="G27" s="791">
        <f>'SOGR Supporting AP-CP'!E34</f>
        <v>0</v>
      </c>
      <c r="H27" s="791">
        <f>'SOGR Supporting AP-CP'!F34</f>
        <v>0</v>
      </c>
      <c r="I27" s="791">
        <f>'SOGR Supporting AP-CP'!G34</f>
        <v>0</v>
      </c>
      <c r="J27" s="791">
        <f>'SOGR Supporting AP-CP'!H34</f>
        <v>0</v>
      </c>
      <c r="K27" s="792">
        <f>'SOGR Supporting AP-CP'!K34</f>
        <v>0</v>
      </c>
      <c r="L27" s="774">
        <f>IF(AND($F27&gt;=MIN($F27),$F27&lt;=MAX('Major Assumption Key'!$B$6)),SUM(G27:K27),0)</f>
        <v>0</v>
      </c>
      <c r="M27" s="791">
        <f>'SOGR Supporting AP-CP'!E80</f>
        <v>0</v>
      </c>
      <c r="N27" s="791">
        <f>'SOGR Supporting AP-CP'!F80</f>
        <v>0</v>
      </c>
      <c r="O27" s="791">
        <f>'SOGR Supporting AP-CP'!G81</f>
        <v>0</v>
      </c>
      <c r="P27" s="791">
        <f>'SOGR Supporting AP-CP'!H80</f>
        <v>0</v>
      </c>
      <c r="Q27" s="791">
        <f>'SOGR Supporting AP-CP'!K80</f>
        <v>0</v>
      </c>
      <c r="R27" s="775">
        <f>IF(AND($F27&gt;=MIN('Major Assumption Key'!$B$4),$F27&lt;=MAX('Major Assumption Key'!$B$6)),SUM(M27:Q27),0)</f>
        <v>0</v>
      </c>
      <c r="S27" s="37">
        <f t="shared" si="3"/>
        <v>0</v>
      </c>
      <c r="T27" s="38">
        <f>S27/(1+'Major Assumption Key'!$B$8)^($F27-'Major Assumption Key'!$B$7)</f>
        <v>0</v>
      </c>
      <c r="U27" s="289"/>
      <c r="V27" s="774">
        <f t="shared" si="4"/>
        <v>0</v>
      </c>
      <c r="W27" s="775">
        <f t="shared" si="5"/>
        <v>0</v>
      </c>
      <c r="X27" s="37">
        <f t="shared" si="6"/>
        <v>0</v>
      </c>
      <c r="Y27" s="38">
        <f t="shared" si="7"/>
        <v>0</v>
      </c>
    </row>
    <row r="28" spans="1:25" ht="19.95" customHeight="1">
      <c r="E28" s="58"/>
      <c r="F28" s="782">
        <f>'Major Assumption Key'!A40</f>
        <v>2041</v>
      </c>
      <c r="G28" s="791">
        <f>'SOGR Supporting AP-CP'!E35</f>
        <v>0</v>
      </c>
      <c r="H28" s="791">
        <f>'SOGR Supporting AP-CP'!F35</f>
        <v>0</v>
      </c>
      <c r="I28" s="791">
        <f>'SOGR Supporting AP-CP'!G35</f>
        <v>0</v>
      </c>
      <c r="J28" s="791">
        <f>'SOGR Supporting AP-CP'!H35</f>
        <v>0</v>
      </c>
      <c r="K28" s="792">
        <f>'SOGR Supporting AP-CP'!K35</f>
        <v>0</v>
      </c>
      <c r="L28" s="774">
        <f>IF(AND($F28&gt;=MIN($F28),$F28&lt;=MAX('Major Assumption Key'!$B$6)),SUM(G28:K28),0)</f>
        <v>0</v>
      </c>
      <c r="M28" s="791">
        <f>'SOGR Supporting AP-CP'!E81</f>
        <v>0</v>
      </c>
      <c r="N28" s="791">
        <f>'SOGR Supporting AP-CP'!F81</f>
        <v>0</v>
      </c>
      <c r="O28" s="791">
        <f>'SOGR Supporting AP-CP'!G82</f>
        <v>0</v>
      </c>
      <c r="P28" s="791">
        <f>'SOGR Supporting AP-CP'!H81</f>
        <v>0</v>
      </c>
      <c r="Q28" s="791">
        <f>'SOGR Supporting AP-CP'!K81</f>
        <v>0</v>
      </c>
      <c r="R28" s="775">
        <f>IF(AND($F28&gt;=MIN('Major Assumption Key'!$B$4),$F28&lt;=MAX('Major Assumption Key'!$B$6)),SUM(M28:Q28),0)</f>
        <v>0</v>
      </c>
      <c r="S28" s="37">
        <f t="shared" si="3"/>
        <v>0</v>
      </c>
      <c r="T28" s="38">
        <f>S28/(1+'Major Assumption Key'!$B$8)^($F28-'Major Assumption Key'!$B$7)</f>
        <v>0</v>
      </c>
      <c r="U28" s="289"/>
      <c r="V28" s="774">
        <f t="shared" si="4"/>
        <v>0</v>
      </c>
      <c r="W28" s="775">
        <f t="shared" si="5"/>
        <v>0</v>
      </c>
      <c r="X28" s="37">
        <f t="shared" si="6"/>
        <v>0</v>
      </c>
      <c r="Y28" s="38">
        <f t="shared" si="7"/>
        <v>0</v>
      </c>
    </row>
    <row r="29" spans="1:25" ht="19.95" customHeight="1">
      <c r="A29" s="59" t="s">
        <v>541</v>
      </c>
      <c r="B29" s="59" t="s">
        <v>542</v>
      </c>
      <c r="C29" s="59" t="s">
        <v>543</v>
      </c>
      <c r="D29" s="59" t="s">
        <v>544</v>
      </c>
      <c r="E29" s="58"/>
      <c r="F29" s="782">
        <f>'Major Assumption Key'!A41</f>
        <v>2042</v>
      </c>
      <c r="G29" s="791">
        <f>'SOGR Supporting AP-CP'!E36</f>
        <v>0</v>
      </c>
      <c r="H29" s="791">
        <f>'SOGR Supporting AP-CP'!F36</f>
        <v>0</v>
      </c>
      <c r="I29" s="791">
        <f>'SOGR Supporting AP-CP'!G36</f>
        <v>0</v>
      </c>
      <c r="J29" s="791">
        <f>'SOGR Supporting AP-CP'!H36</f>
        <v>0</v>
      </c>
      <c r="K29" s="792">
        <f>'SOGR Supporting AP-CP'!K36</f>
        <v>0</v>
      </c>
      <c r="L29" s="774">
        <f>IF(AND($F29&gt;=MIN($F29),$F29&lt;=MAX('Major Assumption Key'!$B$6)),SUM(G29:K29),0)</f>
        <v>0</v>
      </c>
      <c r="M29" s="791">
        <f>'SOGR Supporting AP-CP'!E82</f>
        <v>0</v>
      </c>
      <c r="N29" s="791">
        <f>'SOGR Supporting AP-CP'!F82</f>
        <v>0</v>
      </c>
      <c r="O29" s="791">
        <f>'SOGR Supporting AP-CP'!G83</f>
        <v>0</v>
      </c>
      <c r="P29" s="791">
        <f>'SOGR Supporting AP-CP'!H82</f>
        <v>0</v>
      </c>
      <c r="Q29" s="791">
        <f>'SOGR Supporting AP-CP'!K82</f>
        <v>0</v>
      </c>
      <c r="R29" s="775">
        <f>IF(AND($F29&gt;=MIN('Major Assumption Key'!$B$4),$F29&lt;=MAX('Major Assumption Key'!$B$6)),SUM(M29:Q29),0)</f>
        <v>0</v>
      </c>
      <c r="S29" s="37">
        <f t="shared" si="3"/>
        <v>0</v>
      </c>
      <c r="T29" s="38">
        <f>S29/(1+'Major Assumption Key'!$B$8)^($F29-'Major Assumption Key'!$B$7)</f>
        <v>0</v>
      </c>
      <c r="U29" s="289"/>
      <c r="V29" s="774">
        <f t="shared" si="4"/>
        <v>0</v>
      </c>
      <c r="W29" s="775">
        <f t="shared" si="5"/>
        <v>0</v>
      </c>
      <c r="X29" s="37">
        <f t="shared" si="6"/>
        <v>0</v>
      </c>
      <c r="Y29" s="38">
        <f t="shared" si="7"/>
        <v>0</v>
      </c>
    </row>
    <row r="30" spans="1:25" ht="19.95" customHeight="1">
      <c r="A30" s="801" t="s">
        <v>545</v>
      </c>
      <c r="B30" s="802">
        <f>1-B31</f>
        <v>0.96853086153369172</v>
      </c>
      <c r="C30" s="157">
        <f>'BCA Guide - Parameter Values'!$C$46</f>
        <v>1.67</v>
      </c>
      <c r="D30" s="803">
        <f>'BCA Guide - Parameter Values'!$C$24</f>
        <v>19.600000000000001</v>
      </c>
      <c r="F30" s="782">
        <f>'Major Assumption Key'!A42</f>
        <v>2043</v>
      </c>
      <c r="G30" s="791">
        <f>'SOGR Supporting AP-CP'!E37</f>
        <v>0</v>
      </c>
      <c r="H30" s="791">
        <f>'SOGR Supporting AP-CP'!F37</f>
        <v>0</v>
      </c>
      <c r="I30" s="791">
        <f>'SOGR Supporting AP-CP'!G37</f>
        <v>0</v>
      </c>
      <c r="J30" s="791">
        <f>'SOGR Supporting AP-CP'!H37</f>
        <v>0</v>
      </c>
      <c r="K30" s="792">
        <f>'SOGR Supporting AP-CP'!K37</f>
        <v>0</v>
      </c>
      <c r="L30" s="774">
        <f>IF(AND($F30&gt;=MIN($F30),$F30&lt;=MAX('Major Assumption Key'!$B$6)),SUM(G30:K30),0)</f>
        <v>0</v>
      </c>
      <c r="M30" s="791">
        <f>'SOGR Supporting AP-CP'!E83</f>
        <v>0</v>
      </c>
      <c r="N30" s="791">
        <f>'SOGR Supporting AP-CP'!F83</f>
        <v>0</v>
      </c>
      <c r="O30" s="791">
        <f>'SOGR Supporting AP-CP'!G84</f>
        <v>0</v>
      </c>
      <c r="P30" s="791">
        <f>'SOGR Supporting AP-CP'!H83</f>
        <v>0</v>
      </c>
      <c r="Q30" s="791">
        <f>'SOGR Supporting AP-CP'!K83</f>
        <v>0</v>
      </c>
      <c r="R30" s="775">
        <f>IF(AND($F30&gt;=MIN('Major Assumption Key'!$B$4),$F30&lt;=MAX('Major Assumption Key'!$B$6)),SUM(M30:Q30),0)</f>
        <v>0</v>
      </c>
      <c r="S30" s="37">
        <f t="shared" si="3"/>
        <v>0</v>
      </c>
      <c r="T30" s="38">
        <f>S30/(1+'Major Assumption Key'!$B$8)^($F30-'Major Assumption Key'!$B$7)</f>
        <v>0</v>
      </c>
      <c r="U30" s="289"/>
      <c r="V30" s="774">
        <f t="shared" si="4"/>
        <v>0</v>
      </c>
      <c r="W30" s="775">
        <f t="shared" si="5"/>
        <v>0</v>
      </c>
      <c r="X30" s="37">
        <f t="shared" si="6"/>
        <v>0</v>
      </c>
      <c r="Y30" s="38">
        <f t="shared" si="7"/>
        <v>0</v>
      </c>
    </row>
    <row r="31" spans="1:25" ht="19.95" customHeight="1" thickBot="1">
      <c r="A31" s="804" t="s">
        <v>128</v>
      </c>
      <c r="B31" s="805">
        <f>'Major Assumption Key'!B11</f>
        <v>3.1469138466308312E-2</v>
      </c>
      <c r="C31" s="158">
        <v>1</v>
      </c>
      <c r="D31" s="806">
        <f>'BCA Guide - Parameter Values'!$C$29</f>
        <v>33.5</v>
      </c>
      <c r="F31" s="782">
        <f>'Major Assumption Key'!A43</f>
        <v>2044</v>
      </c>
      <c r="G31" s="791">
        <f>'SOGR Supporting AP-CP'!E38</f>
        <v>0</v>
      </c>
      <c r="H31" s="791">
        <f>'SOGR Supporting AP-CP'!F38</f>
        <v>0</v>
      </c>
      <c r="I31" s="791">
        <f>'SOGR Supporting AP-CP'!G38</f>
        <v>0</v>
      </c>
      <c r="J31" s="791">
        <f>'SOGR Supporting AP-CP'!H38</f>
        <v>0</v>
      </c>
      <c r="K31" s="792">
        <f>'SOGR Supporting AP-CP'!K38</f>
        <v>0</v>
      </c>
      <c r="L31" s="774">
        <f>IF(AND($F31&gt;=MIN($F31),$F31&lt;=MAX('Major Assumption Key'!$B$6)),SUM(G31:K31),0)</f>
        <v>0</v>
      </c>
      <c r="M31" s="791">
        <f>'SOGR Supporting AP-CP'!E84</f>
        <v>0</v>
      </c>
      <c r="N31" s="791">
        <f>'SOGR Supporting AP-CP'!F84</f>
        <v>0</v>
      </c>
      <c r="O31" s="791">
        <f>'SOGR Supporting AP-CP'!G85</f>
        <v>0</v>
      </c>
      <c r="P31" s="791">
        <f>'SOGR Supporting AP-CP'!H84</f>
        <v>0</v>
      </c>
      <c r="Q31" s="791">
        <f>'SOGR Supporting AP-CP'!K84</f>
        <v>0</v>
      </c>
      <c r="R31" s="775">
        <f>IF(AND($F31&gt;=MIN('Major Assumption Key'!$B$4),$F31&lt;=MAX('Major Assumption Key'!$B$6)),SUM(M31:Q31),0)</f>
        <v>0</v>
      </c>
      <c r="S31" s="37">
        <f t="shared" si="3"/>
        <v>0</v>
      </c>
      <c r="T31" s="38">
        <f>S31/(1+'Major Assumption Key'!$B$8)^($F31-'Major Assumption Key'!$B$7)</f>
        <v>0</v>
      </c>
      <c r="U31" s="289"/>
      <c r="V31" s="774">
        <f t="shared" si="4"/>
        <v>0</v>
      </c>
      <c r="W31" s="775">
        <f t="shared" si="5"/>
        <v>0</v>
      </c>
      <c r="X31" s="37">
        <f t="shared" si="6"/>
        <v>0</v>
      </c>
      <c r="Y31" s="38">
        <f t="shared" si="7"/>
        <v>0</v>
      </c>
    </row>
    <row r="32" spans="1:25" ht="19.95" customHeight="1" thickTop="1">
      <c r="A32" s="807"/>
      <c r="B32" s="807"/>
      <c r="C32" s="159">
        <f>SUMPRODUCT(B30:B31,C30:C31)</f>
        <v>1.6489156772275735</v>
      </c>
      <c r="D32" s="808">
        <f>SUMPRODUCT(B30:B31,D30:D31)</f>
        <v>20.037421024681688</v>
      </c>
      <c r="F32" s="782">
        <f>'Major Assumption Key'!A44</f>
        <v>2045</v>
      </c>
      <c r="G32" s="791">
        <f>'SOGR Supporting AP-CP'!E39</f>
        <v>0</v>
      </c>
      <c r="H32" s="791">
        <f>'SOGR Supporting AP-CP'!F39</f>
        <v>0</v>
      </c>
      <c r="I32" s="791">
        <f>'SOGR Supporting AP-CP'!G39</f>
        <v>0</v>
      </c>
      <c r="J32" s="791">
        <f>'SOGR Supporting AP-CP'!H39</f>
        <v>0</v>
      </c>
      <c r="K32" s="792">
        <f>'SOGR Supporting AP-CP'!K39</f>
        <v>0</v>
      </c>
      <c r="L32" s="774">
        <f>IF(AND($F32&gt;=MIN($F32),$F32&lt;=MAX('Major Assumption Key'!$B$6)),SUM(G32:K32),0)</f>
        <v>0</v>
      </c>
      <c r="M32" s="791">
        <f>'SOGR Supporting AP-CP'!E85</f>
        <v>0</v>
      </c>
      <c r="N32" s="791">
        <f>'SOGR Supporting AP-CP'!F85</f>
        <v>0</v>
      </c>
      <c r="O32" s="791">
        <f>'SOGR Supporting AP-CP'!G86</f>
        <v>0</v>
      </c>
      <c r="P32" s="791">
        <f>'SOGR Supporting AP-CP'!H85</f>
        <v>0</v>
      </c>
      <c r="Q32" s="791">
        <f>'SOGR Supporting AP-CP'!K85</f>
        <v>0</v>
      </c>
      <c r="R32" s="775">
        <f>IF(AND($F32&gt;=MIN('Major Assumption Key'!$B$4),$F32&lt;=MAX('Major Assumption Key'!$B$6)),SUM(M32:Q32),0)</f>
        <v>0</v>
      </c>
      <c r="S32" s="37">
        <f t="shared" si="3"/>
        <v>0</v>
      </c>
      <c r="T32" s="38">
        <f>S32/(1+'Major Assumption Key'!$B$8)^($F32-'Major Assumption Key'!$B$7)</f>
        <v>0</v>
      </c>
      <c r="U32" s="289"/>
      <c r="V32" s="774">
        <f t="shared" si="4"/>
        <v>0</v>
      </c>
      <c r="W32" s="775">
        <f t="shared" si="5"/>
        <v>0</v>
      </c>
      <c r="X32" s="37">
        <f t="shared" si="6"/>
        <v>0</v>
      </c>
      <c r="Y32" s="38">
        <f t="shared" si="7"/>
        <v>0</v>
      </c>
    </row>
    <row r="33" spans="1:25" ht="19.95" customHeight="1">
      <c r="A33" s="799"/>
      <c r="B33" s="799"/>
      <c r="C33" s="160"/>
      <c r="D33" s="800"/>
      <c r="F33" s="782">
        <f>'Major Assumption Key'!A45</f>
        <v>2046</v>
      </c>
      <c r="G33" s="791">
        <f>'SOGR Supporting AP-CP'!E40</f>
        <v>0</v>
      </c>
      <c r="H33" s="791">
        <f>'SOGR Supporting AP-CP'!F40</f>
        <v>0</v>
      </c>
      <c r="I33" s="791">
        <f>'SOGR Supporting AP-CP'!G40</f>
        <v>0</v>
      </c>
      <c r="J33" s="791">
        <f>'SOGR Supporting AP-CP'!H40</f>
        <v>0</v>
      </c>
      <c r="K33" s="792">
        <f>'SOGR Supporting AP-CP'!K40</f>
        <v>0</v>
      </c>
      <c r="L33" s="774">
        <f>IF(AND($F33&gt;=MIN($F33),$F33&lt;=MAX('Major Assumption Key'!$B$6)),SUM(G33:K33),0)</f>
        <v>0</v>
      </c>
      <c r="M33" s="791">
        <f>'SOGR Supporting AP-CP'!E86</f>
        <v>0</v>
      </c>
      <c r="N33" s="791">
        <f>'SOGR Supporting AP-CP'!F86</f>
        <v>0</v>
      </c>
      <c r="O33" s="791">
        <f>'SOGR Supporting AP-CP'!G87</f>
        <v>0</v>
      </c>
      <c r="P33" s="791">
        <f>'SOGR Supporting AP-CP'!H86</f>
        <v>0</v>
      </c>
      <c r="Q33" s="791">
        <f>'SOGR Supporting AP-CP'!K86</f>
        <v>0</v>
      </c>
      <c r="R33" s="775">
        <f>IF(AND($F33&gt;=MIN('Major Assumption Key'!$B$4),$F33&lt;=MAX('Major Assumption Key'!$B$6)),SUM(M33:Q33),0)</f>
        <v>0</v>
      </c>
      <c r="S33" s="37">
        <f t="shared" si="3"/>
        <v>0</v>
      </c>
      <c r="T33" s="38">
        <f>S33/(1+'Major Assumption Key'!$B$8)^($F33-'Major Assumption Key'!$B$7)</f>
        <v>0</v>
      </c>
      <c r="U33" s="289"/>
      <c r="V33" s="774">
        <f t="shared" si="4"/>
        <v>0</v>
      </c>
      <c r="W33" s="775">
        <f t="shared" si="5"/>
        <v>0</v>
      </c>
      <c r="X33" s="37">
        <f t="shared" si="6"/>
        <v>0</v>
      </c>
      <c r="Y33" s="38">
        <f t="shared" si="7"/>
        <v>0</v>
      </c>
    </row>
    <row r="34" spans="1:25" ht="19.95" customHeight="1">
      <c r="A34" s="799"/>
      <c r="B34" s="799"/>
      <c r="C34" s="160"/>
      <c r="D34" s="800"/>
      <c r="F34" s="782">
        <f>'Major Assumption Key'!A46</f>
        <v>2047</v>
      </c>
      <c r="G34" s="791">
        <f>'SOGR Supporting AP-CP'!E41</f>
        <v>0</v>
      </c>
      <c r="H34" s="791">
        <f>'SOGR Supporting AP-CP'!F41</f>
        <v>0</v>
      </c>
      <c r="I34" s="791">
        <f>'SOGR Supporting AP-CP'!G41</f>
        <v>0</v>
      </c>
      <c r="J34" s="791">
        <f>'SOGR Supporting AP-CP'!H41</f>
        <v>0</v>
      </c>
      <c r="K34" s="792">
        <f>'SOGR Supporting AP-CP'!K41</f>
        <v>0</v>
      </c>
      <c r="L34" s="774">
        <f>IF(AND($F34&gt;=MIN($F34),$F34&lt;=MAX('Major Assumption Key'!$B$6)),SUM(G34:K34),0)</f>
        <v>0</v>
      </c>
      <c r="M34" s="791">
        <f>'SOGR Supporting AP-CP'!E87</f>
        <v>0</v>
      </c>
      <c r="N34" s="791">
        <f>'SOGR Supporting AP-CP'!F87</f>
        <v>0</v>
      </c>
      <c r="O34" s="791">
        <f>'SOGR Supporting AP-CP'!G88</f>
        <v>0</v>
      </c>
      <c r="P34" s="791">
        <f>'SOGR Supporting AP-CP'!H87</f>
        <v>0</v>
      </c>
      <c r="Q34" s="791">
        <f>'SOGR Supporting AP-CP'!K87</f>
        <v>0</v>
      </c>
      <c r="R34" s="775">
        <f>IF(AND($F34&gt;=MIN('Major Assumption Key'!$B$4),$F34&lt;=MAX('Major Assumption Key'!$B$6)),SUM(M34:Q34),0)</f>
        <v>0</v>
      </c>
      <c r="S34" s="37">
        <f t="shared" si="3"/>
        <v>0</v>
      </c>
      <c r="T34" s="38">
        <f>S34/(1+'Major Assumption Key'!$B$8)^($F34-'Major Assumption Key'!$B$7)</f>
        <v>0</v>
      </c>
      <c r="U34" s="289"/>
      <c r="V34" s="774">
        <f t="shared" si="4"/>
        <v>0</v>
      </c>
      <c r="W34" s="775">
        <f t="shared" si="5"/>
        <v>0</v>
      </c>
      <c r="X34" s="37">
        <f t="shared" si="6"/>
        <v>0</v>
      </c>
      <c r="Y34" s="38">
        <f t="shared" si="7"/>
        <v>0</v>
      </c>
    </row>
    <row r="35" spans="1:25" ht="19.95" customHeight="1">
      <c r="A35" s="799"/>
      <c r="B35" s="799"/>
      <c r="C35" s="160"/>
      <c r="D35" s="800"/>
      <c r="F35" s="782">
        <f>'Major Assumption Key'!A47</f>
        <v>2048</v>
      </c>
      <c r="G35" s="791">
        <f>'SOGR Supporting AP-CP'!E42</f>
        <v>0</v>
      </c>
      <c r="H35" s="791">
        <f>'SOGR Supporting AP-CP'!F42</f>
        <v>0</v>
      </c>
      <c r="I35" s="791">
        <f>'SOGR Supporting AP-CP'!G42</f>
        <v>0</v>
      </c>
      <c r="J35" s="791">
        <f>'SOGR Supporting AP-CP'!H42</f>
        <v>0</v>
      </c>
      <c r="K35" s="792">
        <f>'SOGR Supporting AP-CP'!K42</f>
        <v>0</v>
      </c>
      <c r="L35" s="774">
        <f>IF(AND($F35&gt;=MIN($F35),$F35&lt;=MAX('Major Assumption Key'!$B$6)),SUM(G35:K35),0)</f>
        <v>0</v>
      </c>
      <c r="M35" s="791">
        <f>'SOGR Supporting AP-CP'!E88</f>
        <v>0</v>
      </c>
      <c r="N35" s="791">
        <f>'SOGR Supporting AP-CP'!F88</f>
        <v>0</v>
      </c>
      <c r="O35" s="791">
        <f>'SOGR Supporting AP-CP'!G89</f>
        <v>0</v>
      </c>
      <c r="P35" s="791">
        <f>'SOGR Supporting AP-CP'!H88</f>
        <v>0</v>
      </c>
      <c r="Q35" s="791">
        <f>'SOGR Supporting AP-CP'!K88</f>
        <v>0</v>
      </c>
      <c r="R35" s="775">
        <f>IF(AND($F35&gt;=MIN('Major Assumption Key'!$B$4),$F35&lt;=MAX('Major Assumption Key'!$B$6)),SUM(M35:Q35),0)</f>
        <v>0</v>
      </c>
      <c r="S35" s="37">
        <f t="shared" si="3"/>
        <v>0</v>
      </c>
      <c r="T35" s="38">
        <f>S35/(1+'Major Assumption Key'!$B$8)^($F35-'Major Assumption Key'!$B$7)</f>
        <v>0</v>
      </c>
      <c r="U35" s="289"/>
      <c r="V35" s="774">
        <f t="shared" si="4"/>
        <v>0</v>
      </c>
      <c r="W35" s="775">
        <f t="shared" si="5"/>
        <v>0</v>
      </c>
      <c r="X35" s="37">
        <f t="shared" si="6"/>
        <v>0</v>
      </c>
      <c r="Y35" s="38">
        <f t="shared" si="7"/>
        <v>0</v>
      </c>
    </row>
    <row r="36" spans="1:25" ht="19.95" customHeight="1">
      <c r="A36" s="799"/>
      <c r="B36" s="799"/>
      <c r="C36" s="160"/>
      <c r="D36" s="800"/>
      <c r="F36" s="782">
        <f>'Major Assumption Key'!A48</f>
        <v>2049</v>
      </c>
      <c r="G36" s="791">
        <f>'SOGR Supporting AP-CP'!E43</f>
        <v>0</v>
      </c>
      <c r="H36" s="791">
        <f>'SOGR Supporting AP-CP'!F43</f>
        <v>0</v>
      </c>
      <c r="I36" s="791">
        <f>'SOGR Supporting AP-CP'!G43</f>
        <v>0</v>
      </c>
      <c r="J36" s="791">
        <f>'SOGR Supporting AP-CP'!H43</f>
        <v>0</v>
      </c>
      <c r="K36" s="792">
        <f>'SOGR Supporting AP-CP'!K43</f>
        <v>0</v>
      </c>
      <c r="L36" s="774">
        <f>IF(AND($F36&gt;=MIN($F36),$F36&lt;=MAX('Major Assumption Key'!$B$6)),SUM(G36:K36),0)</f>
        <v>0</v>
      </c>
      <c r="M36" s="791">
        <f>'SOGR Supporting AP-CP'!E89</f>
        <v>0</v>
      </c>
      <c r="N36" s="791">
        <f>'SOGR Supporting AP-CP'!F89</f>
        <v>0</v>
      </c>
      <c r="O36" s="791">
        <f>'SOGR Supporting AP-CP'!G90</f>
        <v>0</v>
      </c>
      <c r="P36" s="791">
        <f>'SOGR Supporting AP-CP'!H89</f>
        <v>0</v>
      </c>
      <c r="Q36" s="791">
        <f>'SOGR Supporting AP-CP'!K89</f>
        <v>0</v>
      </c>
      <c r="R36" s="775">
        <f>IF(AND($F36&gt;=MIN('Major Assumption Key'!$B$4),$F36&lt;=MAX('Major Assumption Key'!$B$6)),SUM(M36:Q36),0)</f>
        <v>0</v>
      </c>
      <c r="S36" s="37">
        <f t="shared" si="3"/>
        <v>0</v>
      </c>
      <c r="T36" s="38">
        <f>S36/(1+'Major Assumption Key'!$B$8)^($F36-'Major Assumption Key'!$B$7)</f>
        <v>0</v>
      </c>
      <c r="U36" s="289"/>
      <c r="V36" s="774">
        <f t="shared" si="4"/>
        <v>0</v>
      </c>
      <c r="W36" s="775">
        <f t="shared" si="5"/>
        <v>0</v>
      </c>
      <c r="X36" s="37">
        <f t="shared" si="6"/>
        <v>0</v>
      </c>
      <c r="Y36" s="38">
        <f t="shared" si="7"/>
        <v>0</v>
      </c>
    </row>
    <row r="37" spans="1:25" ht="19.95" customHeight="1">
      <c r="A37" s="799"/>
      <c r="B37" s="799"/>
      <c r="C37" s="160"/>
      <c r="D37" s="800"/>
      <c r="F37" s="782">
        <f>'Major Assumption Key'!A49</f>
        <v>2050</v>
      </c>
      <c r="G37" s="791">
        <f>'SOGR Supporting AP-CP'!E44</f>
        <v>0</v>
      </c>
      <c r="H37" s="791">
        <f>'SOGR Supporting AP-CP'!F44</f>
        <v>0</v>
      </c>
      <c r="I37" s="791">
        <f>'SOGR Supporting AP-CP'!G44</f>
        <v>0</v>
      </c>
      <c r="J37" s="791">
        <f>'SOGR Supporting AP-CP'!H44</f>
        <v>0</v>
      </c>
      <c r="K37" s="792">
        <f>'SOGR Supporting AP-CP'!K44</f>
        <v>0</v>
      </c>
      <c r="L37" s="774">
        <f>IF(AND($F37&gt;=MIN($F37),$F37&lt;=MAX('Major Assumption Key'!$B$6)),SUM(G37:K37),0)</f>
        <v>0</v>
      </c>
      <c r="M37" s="791">
        <f>'SOGR Supporting AP-CP'!E90</f>
        <v>0</v>
      </c>
      <c r="N37" s="791">
        <f>'SOGR Supporting AP-CP'!F90</f>
        <v>0</v>
      </c>
      <c r="O37" s="791">
        <f>'SOGR Supporting AP-CP'!G91</f>
        <v>0</v>
      </c>
      <c r="P37" s="791">
        <f>'SOGR Supporting AP-CP'!H90</f>
        <v>0</v>
      </c>
      <c r="Q37" s="791">
        <f>'SOGR Supporting AP-CP'!K90</f>
        <v>0</v>
      </c>
      <c r="R37" s="775">
        <f>IF(AND($F37&gt;=MIN('Major Assumption Key'!$B$4),$F37&lt;=MAX('Major Assumption Key'!$B$6)),SUM(M37:Q37),0)</f>
        <v>0</v>
      </c>
      <c r="S37" s="37">
        <f t="shared" si="3"/>
        <v>0</v>
      </c>
      <c r="T37" s="38">
        <f>S37/(1+'Major Assumption Key'!$B$8)^($F37-'Major Assumption Key'!$B$7)</f>
        <v>0</v>
      </c>
      <c r="U37" s="289"/>
      <c r="V37" s="774">
        <f t="shared" si="4"/>
        <v>0</v>
      </c>
      <c r="W37" s="775">
        <f t="shared" si="5"/>
        <v>0</v>
      </c>
      <c r="X37" s="37">
        <f t="shared" si="6"/>
        <v>0</v>
      </c>
      <c r="Y37" s="38">
        <f t="shared" si="7"/>
        <v>0</v>
      </c>
    </row>
    <row r="38" spans="1:25" ht="19.95" customHeight="1">
      <c r="A38" s="799"/>
      <c r="B38" s="799"/>
      <c r="C38" s="160"/>
      <c r="D38" s="800"/>
      <c r="F38" s="782">
        <f>'Major Assumption Key'!A50</f>
        <v>2051</v>
      </c>
      <c r="G38" s="791">
        <f>'SOGR Supporting AP-CP'!E45</f>
        <v>0</v>
      </c>
      <c r="H38" s="791">
        <f>'SOGR Supporting AP-CP'!F45</f>
        <v>0</v>
      </c>
      <c r="I38" s="791">
        <f>'SOGR Supporting AP-CP'!G45</f>
        <v>0</v>
      </c>
      <c r="J38" s="791">
        <f>'SOGR Supporting AP-CP'!H45</f>
        <v>0</v>
      </c>
      <c r="K38" s="792">
        <f>'SOGR Supporting AP-CP'!K45</f>
        <v>0</v>
      </c>
      <c r="L38" s="774">
        <f>IF(AND($F38&gt;=MIN($F38),$F38&lt;=MAX('Major Assumption Key'!$B$6)),SUM(G38:K38),0)</f>
        <v>0</v>
      </c>
      <c r="M38" s="791">
        <f>'SOGR Supporting AP-CP'!E91</f>
        <v>0</v>
      </c>
      <c r="N38" s="791">
        <f>'SOGR Supporting AP-CP'!F91</f>
        <v>0</v>
      </c>
      <c r="O38" s="791">
        <f>'SOGR Supporting AP-CP'!G92</f>
        <v>0</v>
      </c>
      <c r="P38" s="791">
        <f>'SOGR Supporting AP-CP'!H91</f>
        <v>0</v>
      </c>
      <c r="Q38" s="791">
        <f>'SOGR Supporting AP-CP'!K91</f>
        <v>0</v>
      </c>
      <c r="R38" s="775">
        <f>IF(AND($F38&gt;=MIN('Major Assumption Key'!$B$4),$F38&lt;=MAX('Major Assumption Key'!$B$6)),SUM(M38:Q38),0)</f>
        <v>0</v>
      </c>
      <c r="S38" s="37">
        <f t="shared" si="3"/>
        <v>0</v>
      </c>
      <c r="T38" s="38">
        <f>S38/(1+'Major Assumption Key'!$B$8)^($F38-'Major Assumption Key'!$B$7)</f>
        <v>0</v>
      </c>
      <c r="U38" s="289"/>
      <c r="V38" s="774">
        <f t="shared" si="4"/>
        <v>0</v>
      </c>
      <c r="W38" s="775">
        <f t="shared" si="5"/>
        <v>0</v>
      </c>
      <c r="X38" s="37">
        <f t="shared" si="6"/>
        <v>0</v>
      </c>
      <c r="Y38" s="38">
        <f t="shared" si="7"/>
        <v>0</v>
      </c>
    </row>
    <row r="39" spans="1:25" ht="19.95" customHeight="1">
      <c r="A39" s="799"/>
      <c r="B39" s="799"/>
      <c r="C39" s="160"/>
      <c r="D39" s="800"/>
      <c r="F39" s="782">
        <f>'Major Assumption Key'!A51</f>
        <v>2052</v>
      </c>
      <c r="G39" s="791">
        <f>'SOGR Supporting AP-CP'!E46</f>
        <v>0</v>
      </c>
      <c r="H39" s="791">
        <f>'SOGR Supporting AP-CP'!F46</f>
        <v>0</v>
      </c>
      <c r="I39" s="791">
        <f>'SOGR Supporting AP-CP'!G46</f>
        <v>0</v>
      </c>
      <c r="J39" s="791">
        <f>'SOGR Supporting AP-CP'!H46</f>
        <v>0</v>
      </c>
      <c r="K39" s="792">
        <f>'SOGR Supporting AP-CP'!K46</f>
        <v>0</v>
      </c>
      <c r="L39" s="774">
        <f>IF(AND($F39&gt;=MIN($F39),$F39&lt;=MAX('Major Assumption Key'!$B$6)),SUM(G39:K39),0)</f>
        <v>0</v>
      </c>
      <c r="M39" s="791">
        <f>'SOGR Supporting AP-CP'!E92</f>
        <v>0</v>
      </c>
      <c r="N39" s="791">
        <f>'SOGR Supporting AP-CP'!F92</f>
        <v>0</v>
      </c>
      <c r="O39" s="791">
        <f>'SOGR Supporting AP-CP'!G93</f>
        <v>0</v>
      </c>
      <c r="P39" s="791">
        <f>'SOGR Supporting AP-CP'!H92</f>
        <v>0</v>
      </c>
      <c r="Q39" s="791">
        <f>'SOGR Supporting AP-CP'!K92</f>
        <v>0</v>
      </c>
      <c r="R39" s="775">
        <f>IF(AND($F39&gt;=MIN('Major Assumption Key'!$B$4),$F39&lt;=MAX('Major Assumption Key'!$B$6)),SUM(M39:Q39),0)</f>
        <v>0</v>
      </c>
      <c r="S39" s="37">
        <f t="shared" si="3"/>
        <v>0</v>
      </c>
      <c r="T39" s="38">
        <f>S39/(1+'Major Assumption Key'!$B$8)^($F39-'Major Assumption Key'!$B$7)</f>
        <v>0</v>
      </c>
      <c r="U39" s="289"/>
      <c r="V39" s="774">
        <f t="shared" si="4"/>
        <v>0</v>
      </c>
      <c r="W39" s="775">
        <f t="shared" si="5"/>
        <v>0</v>
      </c>
      <c r="X39" s="37">
        <f t="shared" si="6"/>
        <v>0</v>
      </c>
      <c r="Y39" s="38">
        <f t="shared" si="7"/>
        <v>0</v>
      </c>
    </row>
    <row r="40" spans="1:25" ht="19.95" customHeight="1">
      <c r="A40" s="799"/>
      <c r="B40" s="799"/>
      <c r="C40" s="160"/>
      <c r="D40" s="800"/>
      <c r="F40" s="782">
        <f>'Major Assumption Key'!A52</f>
        <v>2053</v>
      </c>
      <c r="G40" s="791">
        <f>'SOGR Supporting AP-CP'!E47</f>
        <v>0</v>
      </c>
      <c r="H40" s="791">
        <f>'SOGR Supporting AP-CP'!F47</f>
        <v>0</v>
      </c>
      <c r="I40" s="791">
        <f>'SOGR Supporting AP-CP'!G47</f>
        <v>0</v>
      </c>
      <c r="J40" s="791">
        <f>'SOGR Supporting AP-CP'!H47</f>
        <v>0</v>
      </c>
      <c r="K40" s="792">
        <f>'SOGR Supporting AP-CP'!K47</f>
        <v>0</v>
      </c>
      <c r="L40" s="774">
        <f>IF(AND($F40&gt;=MIN($F40),$F40&lt;=MAX('Major Assumption Key'!$B$6)),SUM(G40:K40),0)</f>
        <v>0</v>
      </c>
      <c r="M40" s="791">
        <f>'SOGR Supporting AP-CP'!E93</f>
        <v>0</v>
      </c>
      <c r="N40" s="791">
        <f>'SOGR Supporting AP-CP'!F93</f>
        <v>0</v>
      </c>
      <c r="O40" s="791">
        <f>'SOGR Supporting AP-CP'!G94</f>
        <v>0</v>
      </c>
      <c r="P40" s="791">
        <f>'SOGR Supporting AP-CP'!H93</f>
        <v>0</v>
      </c>
      <c r="Q40" s="791">
        <f>'SOGR Supporting AP-CP'!K93</f>
        <v>0</v>
      </c>
      <c r="R40" s="775">
        <f>IF(AND($F40&gt;=MIN('Major Assumption Key'!$B$4),$F40&lt;=MAX('Major Assumption Key'!$B$6)),SUM(M40:Q40),0)</f>
        <v>0</v>
      </c>
      <c r="S40" s="37">
        <f t="shared" si="3"/>
        <v>0</v>
      </c>
      <c r="T40" s="38">
        <f>S40/(1+'Major Assumption Key'!$B$8)^($F40-'Major Assumption Key'!$B$7)</f>
        <v>0</v>
      </c>
      <c r="U40" s="289"/>
      <c r="V40" s="774">
        <f t="shared" si="4"/>
        <v>0</v>
      </c>
      <c r="W40" s="775">
        <f t="shared" si="5"/>
        <v>0</v>
      </c>
      <c r="X40" s="37">
        <f t="shared" si="6"/>
        <v>0</v>
      </c>
      <c r="Y40" s="38">
        <f t="shared" si="7"/>
        <v>0</v>
      </c>
    </row>
    <row r="41" spans="1:25" ht="19.95" customHeight="1">
      <c r="A41" s="799"/>
      <c r="B41" s="799"/>
      <c r="C41" s="160"/>
      <c r="D41" s="800"/>
      <c r="F41" s="782">
        <f>'Major Assumption Key'!A53</f>
        <v>2054</v>
      </c>
      <c r="G41" s="791">
        <f>'SOGR Supporting AP-CP'!E48</f>
        <v>0</v>
      </c>
      <c r="H41" s="791">
        <f>'SOGR Supporting AP-CP'!F48</f>
        <v>0</v>
      </c>
      <c r="I41" s="791">
        <f>'SOGR Supporting AP-CP'!G48</f>
        <v>0</v>
      </c>
      <c r="J41" s="791">
        <f>'SOGR Supporting AP-CP'!H48</f>
        <v>0</v>
      </c>
      <c r="K41" s="792">
        <f>'SOGR Supporting AP-CP'!K48</f>
        <v>0</v>
      </c>
      <c r="L41" s="774">
        <f>IF(AND($F41&gt;=MIN($F41),$F41&lt;=MAX('Major Assumption Key'!$B$6)),SUM(G41:K41),0)</f>
        <v>0</v>
      </c>
      <c r="M41" s="791">
        <f>'SOGR Supporting AP-CP'!E94</f>
        <v>0</v>
      </c>
      <c r="N41" s="791">
        <f>'SOGR Supporting AP-CP'!F94</f>
        <v>0</v>
      </c>
      <c r="O41" s="791">
        <f>'SOGR Supporting AP-CP'!G95</f>
        <v>0</v>
      </c>
      <c r="P41" s="791">
        <f>'SOGR Supporting AP-CP'!H94</f>
        <v>0</v>
      </c>
      <c r="Q41" s="791">
        <f>'SOGR Supporting AP-CP'!K94</f>
        <v>0</v>
      </c>
      <c r="R41" s="775">
        <f>IF(AND($F41&gt;=MIN('Major Assumption Key'!$B$4),$F41&lt;=MAX('Major Assumption Key'!$B$6)),SUM(M41:Q41),0)</f>
        <v>0</v>
      </c>
      <c r="S41" s="37">
        <f t="shared" si="3"/>
        <v>0</v>
      </c>
      <c r="T41" s="38">
        <f>S41/(1+'Major Assumption Key'!$B$8)^($F41-'Major Assumption Key'!$B$7)</f>
        <v>0</v>
      </c>
      <c r="U41" s="289"/>
      <c r="V41" s="774">
        <f t="shared" si="4"/>
        <v>0</v>
      </c>
      <c r="W41" s="775">
        <f t="shared" si="5"/>
        <v>0</v>
      </c>
      <c r="X41" s="37">
        <f t="shared" si="6"/>
        <v>0</v>
      </c>
      <c r="Y41" s="38">
        <f t="shared" si="7"/>
        <v>0</v>
      </c>
    </row>
    <row r="42" spans="1:25" ht="19.95" customHeight="1">
      <c r="A42" s="799"/>
      <c r="B42" s="799"/>
      <c r="C42" s="160"/>
      <c r="D42" s="800"/>
      <c r="F42" s="782">
        <f>'Major Assumption Key'!A54</f>
        <v>2055</v>
      </c>
      <c r="G42" s="791">
        <f>'SOGR Supporting AP-CP'!E49</f>
        <v>0</v>
      </c>
      <c r="H42" s="791">
        <f>'SOGR Supporting AP-CP'!F49</f>
        <v>0</v>
      </c>
      <c r="I42" s="791">
        <f>'SOGR Supporting AP-CP'!G49</f>
        <v>0</v>
      </c>
      <c r="J42" s="791">
        <f>'SOGR Supporting AP-CP'!H49</f>
        <v>0</v>
      </c>
      <c r="K42" s="792">
        <f>'SOGR Supporting AP-CP'!K49</f>
        <v>0</v>
      </c>
      <c r="L42" s="774">
        <f>IF(AND($F42&gt;=MIN($F42),$F42&lt;=MAX('Major Assumption Key'!$B$6)),SUM(G42:K42),0)</f>
        <v>0</v>
      </c>
      <c r="M42" s="791">
        <f>'SOGR Supporting AP-CP'!E95</f>
        <v>0</v>
      </c>
      <c r="N42" s="791">
        <f>'SOGR Supporting AP-CP'!F95</f>
        <v>0</v>
      </c>
      <c r="O42" s="791">
        <f>'SOGR Supporting AP-CP'!G96</f>
        <v>0</v>
      </c>
      <c r="P42" s="791">
        <f>'SOGR Supporting AP-CP'!H95</f>
        <v>0</v>
      </c>
      <c r="Q42" s="791">
        <f>'SOGR Supporting AP-CP'!K95</f>
        <v>0</v>
      </c>
      <c r="R42" s="775">
        <f>IF(AND($F42&gt;=MIN('Major Assumption Key'!$B$4),$F42&lt;=MAX('Major Assumption Key'!$B$6)),SUM(M42:Q42),0)</f>
        <v>0</v>
      </c>
      <c r="S42" s="37">
        <f t="shared" si="3"/>
        <v>0</v>
      </c>
      <c r="T42" s="38">
        <f>S42/(1+'Major Assumption Key'!$B$8)^($F42-'Major Assumption Key'!$B$7)</f>
        <v>0</v>
      </c>
      <c r="U42" s="289"/>
      <c r="V42" s="774">
        <f t="shared" si="4"/>
        <v>0</v>
      </c>
      <c r="W42" s="775">
        <f t="shared" si="5"/>
        <v>0</v>
      </c>
      <c r="X42" s="37">
        <f t="shared" si="6"/>
        <v>0</v>
      </c>
      <c r="Y42" s="38">
        <f t="shared" si="7"/>
        <v>0</v>
      </c>
    </row>
    <row r="43" spans="1:25" ht="19.95" customHeight="1">
      <c r="A43" s="799"/>
      <c r="B43" s="799"/>
      <c r="C43" s="160"/>
      <c r="D43" s="800"/>
      <c r="F43" s="782">
        <f>'Major Assumption Key'!A55</f>
        <v>2056</v>
      </c>
      <c r="G43" s="791">
        <f>'SOGR Supporting AP-CP'!E50</f>
        <v>0</v>
      </c>
      <c r="H43" s="791">
        <f>'SOGR Supporting AP-CP'!F50</f>
        <v>0</v>
      </c>
      <c r="I43" s="791">
        <f>'SOGR Supporting AP-CP'!G50</f>
        <v>0</v>
      </c>
      <c r="J43" s="791">
        <f>'SOGR Supporting AP-CP'!H50</f>
        <v>0</v>
      </c>
      <c r="K43" s="792">
        <f>'SOGR Supporting AP-CP'!K50</f>
        <v>0</v>
      </c>
      <c r="L43" s="774">
        <f>IF(AND($F43&gt;=MIN($F43),$F43&lt;=MAX('Major Assumption Key'!$B$6)),SUM(G43:K43),0)</f>
        <v>0</v>
      </c>
      <c r="M43" s="791">
        <f>'SOGR Supporting AP-CP'!E96</f>
        <v>0</v>
      </c>
      <c r="N43" s="791">
        <f>'SOGR Supporting AP-CP'!F96</f>
        <v>0</v>
      </c>
      <c r="O43" s="791">
        <f>'SOGR Supporting AP-CP'!G97</f>
        <v>0</v>
      </c>
      <c r="P43" s="791">
        <f>'SOGR Supporting AP-CP'!H96</f>
        <v>0</v>
      </c>
      <c r="Q43" s="791">
        <f>'SOGR Supporting AP-CP'!K96</f>
        <v>0</v>
      </c>
      <c r="R43" s="775">
        <f>IF(AND($F43&gt;=MIN('Major Assumption Key'!$B$4),$F43&lt;=MAX('Major Assumption Key'!$B$6)),SUM(M43:Q43),0)</f>
        <v>0</v>
      </c>
      <c r="S43" s="37">
        <f t="shared" si="3"/>
        <v>0</v>
      </c>
      <c r="T43" s="38">
        <f>S43/(1+'Major Assumption Key'!$B$8)^($F43-'Major Assumption Key'!$B$7)</f>
        <v>0</v>
      </c>
      <c r="U43" s="289"/>
      <c r="V43" s="774">
        <f t="shared" si="4"/>
        <v>0</v>
      </c>
      <c r="W43" s="775">
        <f t="shared" si="5"/>
        <v>0</v>
      </c>
      <c r="X43" s="37">
        <f t="shared" si="6"/>
        <v>0</v>
      </c>
      <c r="Y43" s="38">
        <f t="shared" si="7"/>
        <v>0</v>
      </c>
    </row>
    <row r="44" spans="1:25" ht="19.95" customHeight="1">
      <c r="A44" s="799"/>
      <c r="B44" s="799"/>
      <c r="C44" s="160"/>
      <c r="D44" s="800"/>
      <c r="F44" s="782">
        <f>'Major Assumption Key'!A56</f>
        <v>2057</v>
      </c>
      <c r="G44" s="791">
        <f>'SOGR Supporting AP-CP'!E51</f>
        <v>0</v>
      </c>
      <c r="H44" s="791">
        <f>'SOGR Supporting AP-CP'!F51</f>
        <v>0</v>
      </c>
      <c r="I44" s="791">
        <f>'SOGR Supporting AP-CP'!G51</f>
        <v>0</v>
      </c>
      <c r="J44" s="791">
        <f>'SOGR Supporting AP-CP'!H51</f>
        <v>0</v>
      </c>
      <c r="K44" s="792">
        <f>'SOGR Supporting AP-CP'!K51</f>
        <v>0</v>
      </c>
      <c r="L44" s="774">
        <f>IF(AND($F44&gt;=MIN($F44),$F44&lt;=MAX('Major Assumption Key'!$B$6)),SUM(G44:K44),0)</f>
        <v>0</v>
      </c>
      <c r="M44" s="791">
        <f>'SOGR Supporting AP-CP'!E97</f>
        <v>0</v>
      </c>
      <c r="N44" s="791">
        <f>'SOGR Supporting AP-CP'!F97</f>
        <v>0</v>
      </c>
      <c r="O44" s="791">
        <f>'SOGR Supporting AP-CP'!G98</f>
        <v>0</v>
      </c>
      <c r="P44" s="791">
        <f>'SOGR Supporting AP-CP'!H97</f>
        <v>0</v>
      </c>
      <c r="Q44" s="791">
        <f>'SOGR Supporting AP-CP'!K97</f>
        <v>0</v>
      </c>
      <c r="R44" s="775">
        <f>IF(AND($F44&gt;=MIN('Major Assumption Key'!$B$4),$F44&lt;=MAX('Major Assumption Key'!$B$6)),SUM(M44:Q44),0)</f>
        <v>0</v>
      </c>
      <c r="S44" s="37">
        <f t="shared" si="3"/>
        <v>0</v>
      </c>
      <c r="T44" s="38">
        <f>S44/(1+'Major Assumption Key'!$B$8)^($F44-'Major Assumption Key'!$B$7)</f>
        <v>0</v>
      </c>
      <c r="U44" s="289"/>
      <c r="V44" s="774">
        <f t="shared" si="4"/>
        <v>0</v>
      </c>
      <c r="W44" s="775">
        <f t="shared" si="5"/>
        <v>0</v>
      </c>
      <c r="X44" s="37">
        <f t="shared" si="6"/>
        <v>0</v>
      </c>
      <c r="Y44" s="38">
        <f t="shared" si="7"/>
        <v>0</v>
      </c>
    </row>
    <row r="45" spans="1:25" ht="19.95" customHeight="1">
      <c r="A45" s="799"/>
      <c r="B45" s="799"/>
      <c r="C45" s="160"/>
      <c r="D45" s="800"/>
      <c r="F45" s="782">
        <f>'Major Assumption Key'!A57</f>
        <v>2058</v>
      </c>
      <c r="G45" s="791">
        <f>'SOGR Supporting AP-CP'!E52</f>
        <v>0</v>
      </c>
      <c r="H45" s="791">
        <f>'SOGR Supporting AP-CP'!F52</f>
        <v>0</v>
      </c>
      <c r="I45" s="791">
        <f>'SOGR Supporting AP-CP'!G52</f>
        <v>0</v>
      </c>
      <c r="J45" s="791">
        <f>'SOGR Supporting AP-CP'!H52</f>
        <v>0</v>
      </c>
      <c r="K45" s="792">
        <f>'SOGR Supporting AP-CP'!K52</f>
        <v>0</v>
      </c>
      <c r="L45" s="774">
        <f>IF(AND($F45&gt;=MIN($F45),$F45&lt;=MAX('Major Assumption Key'!$B$6)),SUM(G45:K45),0)</f>
        <v>0</v>
      </c>
      <c r="M45" s="791">
        <f>'SOGR Supporting AP-CP'!E98</f>
        <v>0</v>
      </c>
      <c r="N45" s="791">
        <f>'SOGR Supporting AP-CP'!F98</f>
        <v>0</v>
      </c>
      <c r="O45" s="791">
        <f>'SOGR Supporting AP-CP'!G99</f>
        <v>0</v>
      </c>
      <c r="P45" s="791">
        <f>'SOGR Supporting AP-CP'!H98</f>
        <v>0</v>
      </c>
      <c r="Q45" s="791">
        <f>'SOGR Supporting AP-CP'!K98</f>
        <v>0</v>
      </c>
      <c r="R45" s="775">
        <f>IF(AND($F45&gt;=MIN('Major Assumption Key'!$B$4),$F45&lt;=MAX('Major Assumption Key'!$B$6)),SUM(M45:Q45),0)</f>
        <v>0</v>
      </c>
      <c r="S45" s="37">
        <f t="shared" si="3"/>
        <v>0</v>
      </c>
      <c r="T45" s="38">
        <f>S45/(1+'Major Assumption Key'!$B$8)^($F45-'Major Assumption Key'!$B$7)</f>
        <v>0</v>
      </c>
      <c r="U45" s="289"/>
      <c r="V45" s="774">
        <f t="shared" si="4"/>
        <v>0</v>
      </c>
      <c r="W45" s="775">
        <f t="shared" si="5"/>
        <v>0</v>
      </c>
      <c r="X45" s="37">
        <f t="shared" si="6"/>
        <v>0</v>
      </c>
      <c r="Y45" s="38">
        <f t="shared" si="7"/>
        <v>0</v>
      </c>
    </row>
    <row r="46" spans="1:25" ht="19.95" customHeight="1">
      <c r="A46" s="799"/>
      <c r="B46" s="799"/>
      <c r="C46" s="160"/>
      <c r="D46" s="800"/>
      <c r="F46" s="782">
        <f>'Major Assumption Key'!A58</f>
        <v>2059</v>
      </c>
      <c r="G46" s="791">
        <f>'SOGR Supporting AP-CP'!E53</f>
        <v>0</v>
      </c>
      <c r="H46" s="791">
        <f>'SOGR Supporting AP-CP'!F53</f>
        <v>0</v>
      </c>
      <c r="I46" s="791">
        <f>'SOGR Supporting AP-CP'!G53</f>
        <v>0</v>
      </c>
      <c r="J46" s="791">
        <f>'SOGR Supporting AP-CP'!H53</f>
        <v>0</v>
      </c>
      <c r="K46" s="792">
        <f>'SOGR Supporting AP-CP'!K53</f>
        <v>0</v>
      </c>
      <c r="L46" s="774">
        <f>IF(AND($F46&gt;=MIN($F46),$F46&lt;=MAX('Major Assumption Key'!$B$6)),SUM(G46:K46),0)</f>
        <v>0</v>
      </c>
      <c r="M46" s="791">
        <f>'SOGR Supporting AP-CP'!E99</f>
        <v>0</v>
      </c>
      <c r="N46" s="791">
        <f>'SOGR Supporting AP-CP'!F99</f>
        <v>0</v>
      </c>
      <c r="O46" s="791">
        <f>'SOGR Supporting AP-CP'!G100</f>
        <v>0</v>
      </c>
      <c r="P46" s="791">
        <f>'SOGR Supporting AP-CP'!H99</f>
        <v>0</v>
      </c>
      <c r="Q46" s="791">
        <f>'SOGR Supporting AP-CP'!K99</f>
        <v>0</v>
      </c>
      <c r="R46" s="775">
        <f>IF(AND($F46&gt;=MIN('Major Assumption Key'!$B$4),$F46&lt;=MAX('Major Assumption Key'!$B$6)),SUM(M46:Q46),0)</f>
        <v>0</v>
      </c>
      <c r="S46" s="37">
        <f t="shared" si="3"/>
        <v>0</v>
      </c>
      <c r="T46" s="38">
        <f>S46/(1+'Major Assumption Key'!$B$8)^($F46-'Major Assumption Key'!$B$7)</f>
        <v>0</v>
      </c>
      <c r="U46" s="289"/>
      <c r="V46" s="774">
        <f t="shared" si="4"/>
        <v>0</v>
      </c>
      <c r="W46" s="775">
        <f t="shared" si="5"/>
        <v>0</v>
      </c>
      <c r="X46" s="37">
        <f t="shared" si="6"/>
        <v>0</v>
      </c>
      <c r="Y46" s="38">
        <f t="shared" si="7"/>
        <v>0</v>
      </c>
    </row>
    <row r="47" spans="1:25" ht="19.95" customHeight="1">
      <c r="A47" s="799"/>
      <c r="B47" s="799"/>
      <c r="C47" s="160"/>
      <c r="D47" s="800"/>
      <c r="F47" s="782">
        <f>'Major Assumption Key'!A59</f>
        <v>2060</v>
      </c>
      <c r="G47" s="791">
        <f>'SOGR Supporting AP-CP'!E54</f>
        <v>0</v>
      </c>
      <c r="H47" s="791">
        <f>'SOGR Supporting AP-CP'!F54</f>
        <v>0</v>
      </c>
      <c r="I47" s="791">
        <f>'SOGR Supporting AP-CP'!G54</f>
        <v>0</v>
      </c>
      <c r="J47" s="791">
        <f>'SOGR Supporting AP-CP'!H54</f>
        <v>0</v>
      </c>
      <c r="K47" s="792">
        <f>'SOGR Supporting AP-CP'!K54</f>
        <v>0</v>
      </c>
      <c r="L47" s="774">
        <f>IF(AND($F47&gt;=MIN($F47),$F47&lt;=MAX('Major Assumption Key'!$B$6)),SUM(G47:K47),0)</f>
        <v>0</v>
      </c>
      <c r="M47" s="791">
        <f>'SOGR Supporting AP-CP'!E100</f>
        <v>0</v>
      </c>
      <c r="N47" s="791">
        <f>'SOGR Supporting AP-CP'!F100</f>
        <v>0</v>
      </c>
      <c r="O47" s="791">
        <f>'SOGR Supporting AP-CP'!G101</f>
        <v>0</v>
      </c>
      <c r="P47" s="791">
        <f>'SOGR Supporting AP-CP'!H100</f>
        <v>0</v>
      </c>
      <c r="Q47" s="791">
        <f>'SOGR Supporting AP-CP'!K100</f>
        <v>0</v>
      </c>
      <c r="R47" s="775">
        <f>IF(AND($F47&gt;=MIN('Major Assumption Key'!$B$4),$F47&lt;=MAX('Major Assumption Key'!$B$6)),SUM(M47:Q47),0)</f>
        <v>0</v>
      </c>
      <c r="S47" s="37">
        <f t="shared" si="3"/>
        <v>0</v>
      </c>
      <c r="T47" s="38">
        <f>S47/(1+'Major Assumption Key'!$B$8)^($F47-'Major Assumption Key'!$B$7)</f>
        <v>0</v>
      </c>
      <c r="U47" s="289"/>
      <c r="V47" s="774">
        <f t="shared" si="4"/>
        <v>0</v>
      </c>
      <c r="W47" s="775">
        <f t="shared" si="5"/>
        <v>0</v>
      </c>
      <c r="X47" s="37">
        <f t="shared" si="6"/>
        <v>0</v>
      </c>
      <c r="Y47" s="38">
        <f t="shared" si="7"/>
        <v>0</v>
      </c>
    </row>
    <row r="48" spans="1:25" ht="19.95" customHeight="1" thickBot="1">
      <c r="A48" s="799"/>
      <c r="B48" s="799"/>
      <c r="C48" s="160"/>
      <c r="D48" s="800"/>
      <c r="F48" s="112" t="s">
        <v>504</v>
      </c>
      <c r="G48" s="113"/>
      <c r="H48" s="113"/>
      <c r="I48" s="113"/>
      <c r="J48" s="113"/>
      <c r="K48" s="113"/>
      <c r="L48" s="161">
        <f>SUMIFS($L$7:$L$47,$F$7:$F$47,"&gt;="&amp;$B$17,$F$7:$F$47,"&lt;="&amp;$B$18)</f>
        <v>0</v>
      </c>
      <c r="M48" s="114"/>
      <c r="N48" s="114"/>
      <c r="O48" s="114"/>
      <c r="P48" s="114"/>
      <c r="Q48" s="114"/>
      <c r="R48" s="119">
        <f>SUMIFS($R$7:$R$47,$F$7:$F$47,"&gt;="&amp;$B$17,$F$7:$F$47,"&lt;="&amp;$B$18)</f>
        <v>0</v>
      </c>
      <c r="S48" s="124">
        <f>SUMIFS($S$7:$S$47,$F$7:$F$47,"&gt;="&amp;$B$17,$F$7:$F$47,"&lt;="&amp;$B$18)</f>
        <v>0</v>
      </c>
      <c r="T48" s="125">
        <f>SUMIFS($T$7:$T$47,$F$7:$F$47,"&gt;="&amp;$B$17,$F$7:$F$47,"&lt;="&amp;$B$18)</f>
        <v>0</v>
      </c>
      <c r="U48" s="289"/>
      <c r="V48" s="161">
        <f t="shared" si="1"/>
        <v>0</v>
      </c>
      <c r="W48" s="119">
        <f t="shared" si="2"/>
        <v>0</v>
      </c>
      <c r="X48" s="124">
        <f t="shared" si="2"/>
        <v>0</v>
      </c>
      <c r="Y48" s="125">
        <f t="shared" si="2"/>
        <v>0</v>
      </c>
    </row>
    <row r="49" spans="1:18" ht="19.95" customHeight="1">
      <c r="A49" s="799"/>
      <c r="B49" s="799"/>
      <c r="C49" s="160"/>
      <c r="D49" s="800"/>
      <c r="L49" s="50"/>
      <c r="R49" s="50"/>
    </row>
    <row r="50" spans="1:18" ht="19.95" customHeight="1">
      <c r="A50" s="799"/>
      <c r="B50" s="799"/>
      <c r="C50" s="160"/>
      <c r="D50" s="800"/>
    </row>
    <row r="51" spans="1:18" ht="19.95" customHeight="1"/>
    <row r="52" spans="1:18" ht="19.95" customHeight="1"/>
    <row r="53" spans="1:18" ht="19.95" customHeight="1"/>
    <row r="54" spans="1:18" ht="19.95" customHeight="1"/>
    <row r="55" spans="1:18" ht="19.95" customHeight="1"/>
  </sheetData>
  <mergeCells count="13">
    <mergeCell ref="A9:D9"/>
    <mergeCell ref="A10:B10"/>
    <mergeCell ref="A11:B11"/>
    <mergeCell ref="A12:B12"/>
    <mergeCell ref="C15:D15"/>
    <mergeCell ref="B3:D3"/>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workbookViewId="0"/>
  </sheetViews>
  <sheetFormatPr defaultColWidth="8.77734375" defaultRowHeight="14.4"/>
  <cols>
    <col min="1" max="1" width="28.77734375" style="72" customWidth="1"/>
    <col min="2" max="2" width="31.44140625" style="72" customWidth="1"/>
    <col min="3" max="3" width="30.77734375" style="73" customWidth="1"/>
    <col min="4" max="4" width="23.44140625" style="73" customWidth="1"/>
    <col min="5" max="5" width="21.21875" style="73" customWidth="1"/>
    <col min="6" max="6" width="23.5546875" style="73" customWidth="1"/>
    <col min="7" max="7" width="29.77734375" style="73" customWidth="1"/>
    <col min="8" max="8" width="23.5546875" style="73" customWidth="1"/>
    <col min="9" max="9" width="24.44140625" style="73" customWidth="1"/>
    <col min="10" max="12" width="20.5546875" style="73" customWidth="1"/>
    <col min="13" max="13" width="23.21875" style="73" customWidth="1"/>
    <col min="14" max="14" width="20.44140625" style="72" customWidth="1"/>
    <col min="15" max="15" width="16" style="72" customWidth="1"/>
    <col min="16" max="33" width="19.21875" style="72" customWidth="1"/>
    <col min="34" max="34" width="23.21875" style="72" customWidth="1"/>
    <col min="35" max="37" width="14.5546875" style="72" customWidth="1"/>
    <col min="38" max="38" width="11.77734375" style="72" customWidth="1"/>
    <col min="39" max="39" width="16.21875" style="72" customWidth="1"/>
    <col min="40" max="40" width="13.77734375" style="72" customWidth="1"/>
    <col min="41" max="16384" width="8.77734375" style="72"/>
  </cols>
  <sheetData>
    <row r="1" spans="1:13" ht="25.2" customHeight="1">
      <c r="A1" s="271" t="s">
        <v>546</v>
      </c>
      <c r="B1" s="42" t="s">
        <v>547</v>
      </c>
      <c r="C1" s="71"/>
      <c r="D1" s="268"/>
      <c r="E1" s="269"/>
      <c r="F1" s="33" t="s">
        <v>187</v>
      </c>
      <c r="G1" s="45" t="str">
        <f>HYPERLINK("#'"&amp;INDEX('Master Key'!$B:$B,MATCH("Master Key",'Master Key'!$B:$B,0),1)&amp;"'!A1","Go To Sheet")</f>
        <v>Go To Sheet</v>
      </c>
      <c r="H1" s="45"/>
      <c r="J1" s="72"/>
      <c r="K1" s="72"/>
      <c r="L1" s="72"/>
      <c r="M1" s="72"/>
    </row>
    <row r="2" spans="1:13" ht="21.6" customHeight="1">
      <c r="A2" s="97"/>
      <c r="B2" s="97"/>
      <c r="C2" s="96"/>
      <c r="G2" s="33"/>
      <c r="H2" s="45"/>
      <c r="J2" s="72"/>
      <c r="K2" s="72"/>
      <c r="L2" s="72"/>
      <c r="M2" s="72"/>
    </row>
    <row r="3" spans="1:13" ht="15" thickBot="1">
      <c r="A3" s="95" t="s">
        <v>548</v>
      </c>
      <c r="B3" s="95"/>
      <c r="J3" s="72"/>
      <c r="K3" s="72"/>
      <c r="L3" s="72"/>
      <c r="M3" s="72"/>
    </row>
    <row r="4" spans="1:13" ht="54" customHeight="1">
      <c r="A4" s="1911" t="s">
        <v>74</v>
      </c>
      <c r="B4" s="1911" t="s">
        <v>549</v>
      </c>
      <c r="C4" s="162" t="s">
        <v>510</v>
      </c>
      <c r="D4" s="162" t="s">
        <v>550</v>
      </c>
      <c r="E4" s="1913" t="s">
        <v>551</v>
      </c>
      <c r="F4" s="72"/>
      <c r="G4" s="569" t="s">
        <v>181</v>
      </c>
      <c r="H4" s="570" t="s">
        <v>434</v>
      </c>
      <c r="I4" s="613" t="s">
        <v>498</v>
      </c>
      <c r="J4" s="72"/>
      <c r="K4" s="72"/>
      <c r="L4" s="72"/>
      <c r="M4" s="72"/>
    </row>
    <row r="5" spans="1:13" ht="19.95" customHeight="1">
      <c r="A5" s="1912"/>
      <c r="B5" s="1912"/>
      <c r="C5" s="297">
        <v>2022</v>
      </c>
      <c r="D5" s="297">
        <v>2042</v>
      </c>
      <c r="E5" s="1913"/>
      <c r="F5" s="72"/>
      <c r="G5" s="768" t="str">
        <f>'Major Assumption Key'!$A$10</f>
        <v>Inflation Rate</v>
      </c>
      <c r="H5" s="789">
        <f>'Major Assumption Key'!$B$10</f>
        <v>2.7894736842105264E-2</v>
      </c>
      <c r="I5" s="562" t="s">
        <v>436</v>
      </c>
      <c r="J5" s="72"/>
      <c r="K5" s="72"/>
      <c r="L5" s="72"/>
      <c r="M5" s="72"/>
    </row>
    <row r="6" spans="1:13" ht="19.95" customHeight="1">
      <c r="A6" s="809" t="s">
        <v>552</v>
      </c>
      <c r="B6" s="809" t="s">
        <v>553</v>
      </c>
      <c r="C6" s="373">
        <v>0</v>
      </c>
      <c r="D6" s="373">
        <v>0</v>
      </c>
      <c r="E6" s="810">
        <f>IFERROR((D6/C6)^(1/($D$5-$C$5))-1,0)</f>
        <v>0</v>
      </c>
      <c r="F6" s="799"/>
      <c r="G6" s="397" t="str">
        <f>'Major Assumption Key'!$A$7</f>
        <v>Discount Year</v>
      </c>
      <c r="H6" s="357">
        <f>'Major Assumption Key'!$B$7</f>
        <v>2022</v>
      </c>
      <c r="I6" s="562" t="s">
        <v>436</v>
      </c>
      <c r="J6" s="72"/>
      <c r="K6" s="72"/>
      <c r="L6" s="72"/>
      <c r="M6" s="72"/>
    </row>
    <row r="7" spans="1:13" ht="19.95" customHeight="1">
      <c r="A7" s="809" t="s">
        <v>552</v>
      </c>
      <c r="B7" s="809" t="s">
        <v>554</v>
      </c>
      <c r="C7" s="174">
        <v>0</v>
      </c>
      <c r="D7" s="174">
        <v>0</v>
      </c>
      <c r="E7" s="810">
        <f>IFERROR((D7/C7)^(1/($D$5-$C$5))-1,0)</f>
        <v>0</v>
      </c>
      <c r="G7" s="621" t="str">
        <f>'Major Assumption Key'!A4</f>
        <v>Planning Horizon Begin Year:</v>
      </c>
      <c r="H7" s="73">
        <f>'Major Assumption Key'!B4</f>
        <v>2022</v>
      </c>
      <c r="I7" s="562" t="s">
        <v>436</v>
      </c>
      <c r="J7" s="72"/>
      <c r="K7" s="72"/>
      <c r="L7" s="72"/>
      <c r="M7" s="72"/>
    </row>
    <row r="8" spans="1:13">
      <c r="A8" s="799" t="s">
        <v>555</v>
      </c>
      <c r="G8" s="621" t="str">
        <f>'Major Assumption Key'!A6</f>
        <v>Planning Horizon End Year:</v>
      </c>
      <c r="H8" s="73">
        <f>'Major Assumption Key'!B6</f>
        <v>2047</v>
      </c>
      <c r="I8" s="562" t="s">
        <v>436</v>
      </c>
    </row>
    <row r="9" spans="1:13" ht="15" thickBot="1">
      <c r="A9" s="799" t="s">
        <v>556</v>
      </c>
      <c r="G9" s="622" t="s">
        <v>188</v>
      </c>
      <c r="H9" s="619">
        <f>'Major Assumption Key'!B3</f>
        <v>2028</v>
      </c>
      <c r="I9" s="564" t="s">
        <v>436</v>
      </c>
    </row>
    <row r="10" spans="1:13">
      <c r="A10" s="799" t="s">
        <v>557</v>
      </c>
      <c r="G10" s="80"/>
      <c r="I10" s="2"/>
    </row>
    <row r="11" spans="1:13">
      <c r="C11" s="72"/>
      <c r="D11" s="72"/>
      <c r="E11" s="72"/>
      <c r="F11" s="72"/>
      <c r="G11" s="72"/>
      <c r="H11" s="72"/>
      <c r="I11" s="72"/>
      <c r="L11" s="72"/>
      <c r="M11" s="72"/>
    </row>
    <row r="12" spans="1:13" ht="40.200000000000003" customHeight="1">
      <c r="A12" s="1914" t="s">
        <v>558</v>
      </c>
      <c r="B12" s="1915"/>
      <c r="C12" s="1915"/>
      <c r="D12" s="1915"/>
      <c r="E12" s="1915"/>
      <c r="F12" s="1915"/>
      <c r="G12" s="1915"/>
      <c r="H12" s="1915"/>
      <c r="I12" s="1915"/>
      <c r="J12" s="1915"/>
      <c r="K12" s="1915"/>
      <c r="M12" s="72"/>
    </row>
    <row r="13" spans="1:13" ht="76.5" customHeight="1">
      <c r="A13" s="93" t="s">
        <v>510</v>
      </c>
      <c r="B13" s="91" t="s">
        <v>80</v>
      </c>
      <c r="C13" s="92" t="s">
        <v>559</v>
      </c>
      <c r="D13" s="92" t="s">
        <v>560</v>
      </c>
      <c r="E13" s="91" t="s">
        <v>561</v>
      </c>
      <c r="F13" s="91" t="s">
        <v>562</v>
      </c>
      <c r="G13" s="91" t="s">
        <v>522</v>
      </c>
      <c r="H13" s="91" t="s">
        <v>563</v>
      </c>
      <c r="I13" s="176" t="s">
        <v>564</v>
      </c>
      <c r="J13" s="176" t="s">
        <v>565</v>
      </c>
      <c r="K13" s="177" t="s">
        <v>566</v>
      </c>
      <c r="M13" s="72"/>
    </row>
    <row r="14" spans="1:13">
      <c r="A14" s="89">
        <f>'Major Assumption Key'!A19</f>
        <v>2020</v>
      </c>
      <c r="B14" s="88" t="str">
        <f>IF(A14&lt;$C$5,"",$C$6*(1+$E$6)^(A14-$C$5))</f>
        <v/>
      </c>
      <c r="C14" s="811"/>
      <c r="D14" s="90" t="str">
        <f>IF(ISBLANK(C14),"",IF(C14="Light Rehabilitation","Rehab","Routine Maintenance"))</f>
        <v/>
      </c>
      <c r="E14" s="87">
        <f>IF(AND($A14&gt;=$H$7,$A14&lt;=$H$8),IF(D14="Routine Maintenance",VLOOKUP(C14,$A$136:$D$142,4,0),0)*(1+$H$5)^(A14-$H$6),0)</f>
        <v>0</v>
      </c>
      <c r="F14" s="87">
        <f>IF(AND($A14&gt;=$H$7,$A14&lt;=$H$8),IF(D14="Rehab",$B$163*SUM($H$108:$H$109),0)*(1+$H$5)^(A14-$H$6),0)</f>
        <v>0</v>
      </c>
      <c r="G14" s="87" cm="1">
        <f t="array" ref="G14">IFERROR(-IF(A14=$H$8,LOOKUP(2,1/($F$14:$F$54&lt;&gt;0),$F$14:$F$54)*(8-(A14-_xlfn.XLOOKUP(LOOKUP(2,1/($F$14:$F$54&lt;&gt;0),$F$14:$F$54),$F$14:$F$54,$A$14:$A$54,,0)))/8,0),0)</f>
        <v>0</v>
      </c>
      <c r="H14" s="87">
        <f>IFERROR(IF(AND($A14&gt;=$H$7,$A14&lt;=$H$8),IF(_xlfn.XLOOKUP(A14,$C$169:$C$172,$J$169:$J$172)&lt;&gt;0,_xlfn.XLOOKUP(A14,$C$169:$C$172,$J$169:$J$172),0),0),0)</f>
        <v>0</v>
      </c>
      <c r="I14" s="87">
        <f>IF(AND($A14&gt;=$H$7,$A14&lt;=$H$8),IFERROR('State of Good Repair AP-CP'!$B$26*$C$108*B14*(1-$J$108)*VLOOKUP($E$108,$B$150:$D$152,3,0)*(HLOOKUP(C14,$E$149:$I$155,$O$150,0)-1)/100,0)+IFERROR('State of Good Repair AP-CP'!$B$26*$C$109*B14*(1-$J$109)*VLOOKUP($E$109,$B$150:$D$152,3,0)*(HLOOKUP(C14,$E$149:$I$155,$O$151,0)-1)/100,0),0)</f>
        <v>0</v>
      </c>
      <c r="J14" s="87">
        <f>IF(AND($A14&gt;=$H$7,$A14&lt;=$H$8),(IFERROR('State of Good Repair AP-CP'!$B$26*$C$108*B14*$J$108*VLOOKUP($E$108,$B$153:$D$155,3,0)*(HLOOKUP(C14,$E$149:$I$155,$P$150,0)-1)/100,0)+IFERROR('State of Good Repair AP-CP'!$B$26*$C$109*B14*$J$109*VLOOKUP($E$109,$B$153:$D$155,3,0)*(HLOOKUP(C14,$E$149:$I$155,$P$151,0)-1)/100,0)),0)</f>
        <v>0</v>
      </c>
      <c r="K14" s="87">
        <f t="shared" ref="K14" si="0">I14+J14</f>
        <v>0</v>
      </c>
      <c r="M14" s="72"/>
    </row>
    <row r="15" spans="1:13">
      <c r="A15" s="89">
        <f>'Major Assumption Key'!A20</f>
        <v>2021</v>
      </c>
      <c r="B15" s="88" t="str">
        <f t="shared" ref="B15:B45" si="1">IF(A15&lt;$C$5,"",$C$6*(1+$E$6)^(A15-$C$5))</f>
        <v/>
      </c>
      <c r="C15" s="811"/>
      <c r="D15" s="90" t="str">
        <f t="shared" ref="D15:D54" si="2">IF(ISBLANK(C15),"",IF(C15="Light Rehabilitation","Rehab","Routine Maintenance"))</f>
        <v/>
      </c>
      <c r="E15" s="87">
        <f t="shared" ref="E15:E54" si="3">IF(AND($A15&gt;=$H$7,$A15&lt;=$H$8),IF(D15="Routine Maintenance",VLOOKUP(C15,$A$136:$D$142,4,0),0)*(1+$H$5)^(A15-$H$6),0)</f>
        <v>0</v>
      </c>
      <c r="F15" s="87">
        <f t="shared" ref="F15:F54" si="4">IF(AND($A15&gt;=$H$7,$A15&lt;=$H$8),IF(D15="Rehab",$B$163*SUM($H$108:$H$109),0)*(1+$H$5)^(A15-$H$6),0)</f>
        <v>0</v>
      </c>
      <c r="G15" s="87" cm="1">
        <f t="array" ref="G15">IFERROR(-IF(A15=$H$8,LOOKUP(2,1/($F$14:$F$54&lt;&gt;0),$F$14:$F$54)*(8-(A15-_xlfn.XLOOKUP(LOOKUP(2,1/($F$14:$F$54&lt;&gt;0),$F$14:$F$54),$F$14:$F$54,$A$14:$A$54,,0)))/8,0),0)</f>
        <v>0</v>
      </c>
      <c r="H15" s="87">
        <f t="shared" ref="H15:H54" si="5">IFERROR(IF(AND($A15&gt;=$H$7,$A15&lt;=$H$8),IF(_xlfn.XLOOKUP(A15,$C$169:$C$172,$J$169:$J$172)&lt;&gt;0,_xlfn.XLOOKUP(A15,$C$169:$C$172,$J$169:$J$172),0),0),0)</f>
        <v>0</v>
      </c>
      <c r="I15" s="87">
        <f>IF(AND($A15&gt;=$H$7,$A15&lt;=$H$8),IFERROR('State of Good Repair AP-CP'!$B$26*$C$108*B15*(1-$J$108)*VLOOKUP($E$108,$B$150:$D$152,3,0)*(HLOOKUP(C15,$E$149:$I$155,$O$150,0)-1)/100,0)+IFERROR('State of Good Repair AP-CP'!$B$26*$C$109*B15*(1-$J$109)*VLOOKUP($E$109,$B$150:$D$152,3,0)*(HLOOKUP(C15,$E$149:$I$155,$O$151,0)-1)/100,0),0)</f>
        <v>0</v>
      </c>
      <c r="J15" s="87">
        <f>IF(AND($A15&gt;=$H$7,$A15&lt;=$H$8),(IFERROR('State of Good Repair AP-CP'!$B$26*$C$108*B15*$J$108*VLOOKUP($E$108,$B$153:$D$155,3,0)*(HLOOKUP(C15,$E$149:$I$155,$P$150,0)-1)/100,0)+IFERROR('State of Good Repair AP-CP'!$B$26*$C$109*B15*$J$109*VLOOKUP($E$109,$B$153:$D$155,3,0)*(HLOOKUP(C15,$E$149:$I$155,$P$151,0)-1)/100,0)),0)</f>
        <v>0</v>
      </c>
      <c r="K15" s="87">
        <f t="shared" ref="K15:K54" si="6">I15+J15</f>
        <v>0</v>
      </c>
      <c r="M15" s="72"/>
    </row>
    <row r="16" spans="1:13">
      <c r="A16" s="89">
        <f>'Major Assumption Key'!A21</f>
        <v>2022</v>
      </c>
      <c r="B16" s="88">
        <f t="shared" si="1"/>
        <v>0</v>
      </c>
      <c r="C16" s="811"/>
      <c r="D16" s="90" t="str">
        <f t="shared" si="2"/>
        <v/>
      </c>
      <c r="E16" s="87">
        <f t="shared" si="3"/>
        <v>0</v>
      </c>
      <c r="F16" s="87">
        <f t="shared" si="4"/>
        <v>0</v>
      </c>
      <c r="G16" s="87" cm="1">
        <f t="array" ref="G16">IFERROR(-IF(A16=$H$8,LOOKUP(2,1/($F$14:$F$54&lt;&gt;0),$F$14:$F$54)*(8-(A16-_xlfn.XLOOKUP(LOOKUP(2,1/($F$14:$F$54&lt;&gt;0),$F$14:$F$54),$F$14:$F$54,$A$14:$A$54,,0)))/8,0),0)</f>
        <v>0</v>
      </c>
      <c r="H16" s="87">
        <f t="shared" si="5"/>
        <v>0</v>
      </c>
      <c r="I16" s="87">
        <f>IF(AND($A16&gt;=$H$7,$A16&lt;=$H$8),IFERROR('State of Good Repair AP-CP'!$B$26*$C$108*B16*(1-$J$108)*VLOOKUP($E$108,$B$150:$D$152,3,0)*(HLOOKUP(C16,$E$149:$I$155,$O$150,0)-1)/100,0)+IFERROR('State of Good Repair AP-CP'!$B$26*$C$109*B16*(1-$J$109)*VLOOKUP($E$109,$B$150:$D$152,3,0)*(HLOOKUP(C16,$E$149:$I$155,$O$151,0)-1)/100,0),0)</f>
        <v>0</v>
      </c>
      <c r="J16" s="87">
        <f>IF(AND($A16&gt;=$H$7,$A16&lt;=$H$8),(IFERROR('State of Good Repair AP-CP'!$B$26*$C$108*B16*$J$108*VLOOKUP($E$108,$B$153:$D$155,3,0)*(HLOOKUP(C16,$E$149:$I$155,$P$150,0)-1)/100,0)+IFERROR('State of Good Repair AP-CP'!$B$26*$C$109*B16*$J$109*VLOOKUP($E$109,$B$153:$D$155,3,0)*(HLOOKUP(C16,$E$149:$I$155,$P$151,0)-1)/100,0)),0)</f>
        <v>0</v>
      </c>
      <c r="K16" s="87">
        <f t="shared" si="6"/>
        <v>0</v>
      </c>
      <c r="M16" s="72"/>
    </row>
    <row r="17" spans="1:13">
      <c r="A17" s="89">
        <f>'Major Assumption Key'!A22</f>
        <v>2023</v>
      </c>
      <c r="B17" s="88">
        <f t="shared" si="1"/>
        <v>0</v>
      </c>
      <c r="C17" s="811" t="s">
        <v>99</v>
      </c>
      <c r="D17" s="90" t="str">
        <f t="shared" si="2"/>
        <v>Routine Maintenance</v>
      </c>
      <c r="E17" s="87">
        <f t="shared" si="3"/>
        <v>0</v>
      </c>
      <c r="F17" s="87">
        <f t="shared" si="4"/>
        <v>0</v>
      </c>
      <c r="G17" s="87" cm="1">
        <f t="array" ref="G17">IFERROR(-IF(A17=$H$8,LOOKUP(2,1/($F$14:$F$54&lt;&gt;0),$F$14:$F$54)*(8-(A17-_xlfn.XLOOKUP(LOOKUP(2,1/($F$14:$F$54&lt;&gt;0),$F$14:$F$54),$F$14:$F$54,$A$14:$A$54,,0)))/8,0),0)</f>
        <v>0</v>
      </c>
      <c r="H17" s="87">
        <f t="shared" si="5"/>
        <v>0</v>
      </c>
      <c r="I17" s="87">
        <f>IF(AND($A17&gt;=$H$7,$A17&lt;=$H$8),IFERROR('State of Good Repair AP-CP'!$B$26*$C$108*B17*(1-$J$108)*VLOOKUP($E$108,$B$150:$D$152,3,0)*(HLOOKUP(C17,$E$149:$I$155,$O$150,0)-1)/100,0)+IFERROR('State of Good Repair AP-CP'!$B$26*$C$109*B17*(1-$J$109)*VLOOKUP($E$109,$B$150:$D$152,3,0)*(HLOOKUP(C17,$E$149:$I$155,$O$151,0)-1)/100,0),0)</f>
        <v>0</v>
      </c>
      <c r="J17" s="87">
        <f>IF(AND($A17&gt;=$H$7,$A17&lt;=$H$8),(IFERROR('State of Good Repair AP-CP'!$B$26*$C$108*B17*$J$108*VLOOKUP($E$108,$B$153:$D$155,3,0)*(HLOOKUP(C17,$E$149:$I$155,$P$150,0)-1)/100,0)+IFERROR('State of Good Repair AP-CP'!$B$26*$C$109*B17*$J$109*VLOOKUP($E$109,$B$153:$D$155,3,0)*(HLOOKUP(C17,$E$149:$I$155,$P$151,0)-1)/100,0)),0)</f>
        <v>0</v>
      </c>
      <c r="K17" s="87">
        <f t="shared" si="6"/>
        <v>0</v>
      </c>
      <c r="M17" s="72"/>
    </row>
    <row r="18" spans="1:13">
      <c r="A18" s="89">
        <f>'Major Assumption Key'!A23</f>
        <v>2024</v>
      </c>
      <c r="B18" s="88">
        <f t="shared" si="1"/>
        <v>0</v>
      </c>
      <c r="C18" s="811" t="s">
        <v>99</v>
      </c>
      <c r="D18" s="90" t="str">
        <f t="shared" si="2"/>
        <v>Routine Maintenance</v>
      </c>
      <c r="E18" s="87">
        <f t="shared" si="3"/>
        <v>0</v>
      </c>
      <c r="F18" s="87">
        <f t="shared" si="4"/>
        <v>0</v>
      </c>
      <c r="G18" s="87" cm="1">
        <f t="array" ref="G18">IFERROR(-IF(A18=$H$8,LOOKUP(2,1/($F$14:$F$54&lt;&gt;0),$F$14:$F$54)*(8-(A18-_xlfn.XLOOKUP(LOOKUP(2,1/($F$14:$F$54&lt;&gt;0),$F$14:$F$54),$F$14:$F$54,$A$14:$A$54,,0)))/8,0),0)</f>
        <v>0</v>
      </c>
      <c r="H18" s="87">
        <f t="shared" si="5"/>
        <v>0</v>
      </c>
      <c r="I18" s="87">
        <f>IF(AND($A18&gt;=$H$7,$A18&lt;=$H$8),IFERROR('State of Good Repair AP-CP'!$B$26*$C$108*B18*(1-$J$108)*VLOOKUP($E$108,$B$150:$D$152,3,0)*(HLOOKUP(C18,$E$149:$I$155,$O$150,0)-1)/100,0)+IFERROR('State of Good Repair AP-CP'!$B$26*$C$109*B18*(1-$J$109)*VLOOKUP($E$109,$B$150:$D$152,3,0)*(HLOOKUP(C18,$E$149:$I$155,$O$151,0)-1)/100,0),0)</f>
        <v>0</v>
      </c>
      <c r="J18" s="87">
        <f>IF(AND($A18&gt;=$H$7,$A18&lt;=$H$8),(IFERROR('State of Good Repair AP-CP'!$B$26*$C$108*B18*$J$108*VLOOKUP($E$108,$B$153:$D$155,3,0)*(HLOOKUP(C18,$E$149:$I$155,$P$150,0)-1)/100,0)+IFERROR('State of Good Repair AP-CP'!$B$26*$C$109*B18*$J$109*VLOOKUP($E$109,$B$153:$D$155,3,0)*(HLOOKUP(C18,$E$149:$I$155,$P$151,0)-1)/100,0)),0)</f>
        <v>0</v>
      </c>
      <c r="K18" s="87">
        <f t="shared" si="6"/>
        <v>0</v>
      </c>
      <c r="M18" s="72"/>
    </row>
    <row r="19" spans="1:13">
      <c r="A19" s="89">
        <f>'Major Assumption Key'!A24</f>
        <v>2025</v>
      </c>
      <c r="B19" s="88">
        <f t="shared" si="1"/>
        <v>0</v>
      </c>
      <c r="C19" s="811" t="s">
        <v>567</v>
      </c>
      <c r="D19" s="90" t="str">
        <f t="shared" si="2"/>
        <v>Rehab</v>
      </c>
      <c r="E19" s="87">
        <f t="shared" si="3"/>
        <v>0</v>
      </c>
      <c r="F19" s="87">
        <f t="shared" si="4"/>
        <v>0</v>
      </c>
      <c r="G19" s="87" cm="1">
        <f t="array" ref="G19">IFERROR(-IF(A19=$H$8,LOOKUP(2,1/($F$14:$F$54&lt;&gt;0),$F$14:$F$54)*(8-(A19-_xlfn.XLOOKUP(LOOKUP(2,1/($F$14:$F$54&lt;&gt;0),$F$14:$F$54),$F$14:$F$54,$A$14:$A$54,,0)))/8,0),0)</f>
        <v>0</v>
      </c>
      <c r="H19" s="87">
        <f t="shared" si="5"/>
        <v>0</v>
      </c>
      <c r="I19" s="87">
        <f>IF(AND($A19&gt;=$H$7,$A19&lt;=$H$8),IFERROR('State of Good Repair AP-CP'!$B$26*$C$108*B19*(1-$J$108)*VLOOKUP($E$108,$B$150:$D$152,3,0)*(HLOOKUP(C19,$E$149:$I$155,$O$150,0)-1)/100,0)+IFERROR('State of Good Repair AP-CP'!$B$26*$C$109*B19*(1-$J$109)*VLOOKUP($E$109,$B$150:$D$152,3,0)*(HLOOKUP(C19,$E$149:$I$155,$O$151,0)-1)/100,0),0)</f>
        <v>0</v>
      </c>
      <c r="J19" s="87">
        <f>IF(AND($A19&gt;=$H$7,$A19&lt;=$H$8),(IFERROR('State of Good Repair AP-CP'!$B$26*$C$108*B19*$J$108*VLOOKUP($E$108,$B$153:$D$155,3,0)*(HLOOKUP(C19,$E$149:$I$155,$P$150,0)-1)/100,0)+IFERROR('State of Good Repair AP-CP'!$B$26*$C$109*B19*$J$109*VLOOKUP($E$109,$B$153:$D$155,3,0)*(HLOOKUP(C19,$E$149:$I$155,$P$151,0)-1)/100,0)),0)</f>
        <v>0</v>
      </c>
      <c r="K19" s="87">
        <f t="shared" si="6"/>
        <v>0</v>
      </c>
      <c r="M19" s="72"/>
    </row>
    <row r="20" spans="1:13">
      <c r="A20" s="89">
        <f>'Major Assumption Key'!A25</f>
        <v>2026</v>
      </c>
      <c r="B20" s="88">
        <f t="shared" si="1"/>
        <v>0</v>
      </c>
      <c r="C20" s="811" t="s">
        <v>96</v>
      </c>
      <c r="D20" s="90" t="str">
        <f t="shared" si="2"/>
        <v>Routine Maintenance</v>
      </c>
      <c r="E20" s="87">
        <f t="shared" si="3"/>
        <v>0</v>
      </c>
      <c r="F20" s="87">
        <f t="shared" si="4"/>
        <v>0</v>
      </c>
      <c r="G20" s="87" cm="1">
        <f t="array" ref="G20">IFERROR(-IF(A20=$H$8,LOOKUP(2,1/($F$14:$F$54&lt;&gt;0),$F$14:$F$54)*(8-(A20-_xlfn.XLOOKUP(LOOKUP(2,1/($F$14:$F$54&lt;&gt;0),$F$14:$F$54),$F$14:$F$54,$A$14:$A$54,,0)))/8,0),0)</f>
        <v>0</v>
      </c>
      <c r="H20" s="87">
        <f t="shared" si="5"/>
        <v>0</v>
      </c>
      <c r="I20" s="87">
        <f>IF(AND($A20&gt;=$H$7,$A20&lt;=$H$8),IFERROR('State of Good Repair AP-CP'!$B$26*$C$108*B20*(1-$J$108)*VLOOKUP($E$108,$B$150:$D$152,3,0)*(HLOOKUP(C20,$E$149:$I$155,$O$150,0)-1)/100,0)+IFERROR('State of Good Repair AP-CP'!$B$26*$C$109*B20*(1-$J$109)*VLOOKUP($E$109,$B$150:$D$152,3,0)*(HLOOKUP(C20,$E$149:$I$155,$O$151,0)-1)/100,0),0)</f>
        <v>0</v>
      </c>
      <c r="J20" s="87">
        <f>IF(AND($A20&gt;=$H$7,$A20&lt;=$H$8),(IFERROR('State of Good Repair AP-CP'!$B$26*$C$108*B20*$J$108*VLOOKUP($E$108,$B$153:$D$155,3,0)*(HLOOKUP(C20,$E$149:$I$155,$P$150,0)-1)/100,0)+IFERROR('State of Good Repair AP-CP'!$B$26*$C$109*B20*$J$109*VLOOKUP($E$109,$B$153:$D$155,3,0)*(HLOOKUP(C20,$E$149:$I$155,$P$151,0)-1)/100,0)),0)</f>
        <v>0</v>
      </c>
      <c r="K20" s="87">
        <f t="shared" si="6"/>
        <v>0</v>
      </c>
      <c r="M20" s="72"/>
    </row>
    <row r="21" spans="1:13">
      <c r="A21" s="89">
        <f>'Major Assumption Key'!A26</f>
        <v>2027</v>
      </c>
      <c r="B21" s="88">
        <f t="shared" si="1"/>
        <v>0</v>
      </c>
      <c r="C21" s="811" t="s">
        <v>96</v>
      </c>
      <c r="D21" s="90" t="str">
        <f t="shared" si="2"/>
        <v>Routine Maintenance</v>
      </c>
      <c r="E21" s="87">
        <f t="shared" si="3"/>
        <v>0</v>
      </c>
      <c r="F21" s="87">
        <f t="shared" si="4"/>
        <v>0</v>
      </c>
      <c r="G21" s="87" cm="1">
        <f t="array" ref="G21">IFERROR(-IF(A21=$H$8,LOOKUP(2,1/($F$14:$F$54&lt;&gt;0),$F$14:$F$54)*(8-(A21-_xlfn.XLOOKUP(LOOKUP(2,1/($F$14:$F$54&lt;&gt;0),$F$14:$F$54),$F$14:$F$54,$A$14:$A$54,,0)))/8,0),0)</f>
        <v>0</v>
      </c>
      <c r="H21" s="87">
        <f t="shared" si="5"/>
        <v>0</v>
      </c>
      <c r="I21" s="87">
        <f>IF(AND($A21&gt;=$H$7,$A21&lt;=$H$8),IFERROR('State of Good Repair AP-CP'!$B$26*$C$108*B21*(1-$J$108)*VLOOKUP($E$108,$B$150:$D$152,3,0)*(HLOOKUP(C21,$E$149:$I$155,$O$150,0)-1)/100,0)+IFERROR('State of Good Repair AP-CP'!$B$26*$C$109*B21*(1-$J$109)*VLOOKUP($E$109,$B$150:$D$152,3,0)*(HLOOKUP(C21,$E$149:$I$155,$O$151,0)-1)/100,0),0)</f>
        <v>0</v>
      </c>
      <c r="J21" s="87">
        <f>IF(AND($A21&gt;=$H$7,$A21&lt;=$H$8),(IFERROR('State of Good Repair AP-CP'!$B$26*$C$108*B21*$J$108*VLOOKUP($E$108,$B$153:$D$155,3,0)*(HLOOKUP(C21,$E$149:$I$155,$P$150,0)-1)/100,0)+IFERROR('State of Good Repair AP-CP'!$B$26*$C$109*B21*$J$109*VLOOKUP($E$109,$B$153:$D$155,3,0)*(HLOOKUP(C21,$E$149:$I$155,$P$151,0)-1)/100,0)),0)</f>
        <v>0</v>
      </c>
      <c r="K21" s="87">
        <f t="shared" si="6"/>
        <v>0</v>
      </c>
      <c r="M21" s="72"/>
    </row>
    <row r="22" spans="1:13">
      <c r="A22" s="89">
        <f>'Major Assumption Key'!A27</f>
        <v>2028</v>
      </c>
      <c r="B22" s="88">
        <f t="shared" si="1"/>
        <v>0</v>
      </c>
      <c r="C22" s="811" t="s">
        <v>97</v>
      </c>
      <c r="D22" s="90" t="str">
        <f t="shared" si="2"/>
        <v>Routine Maintenance</v>
      </c>
      <c r="E22" s="87">
        <f t="shared" si="3"/>
        <v>0</v>
      </c>
      <c r="F22" s="87">
        <f t="shared" si="4"/>
        <v>0</v>
      </c>
      <c r="G22" s="87" cm="1">
        <f t="array" ref="G22">IFERROR(-IF(A22=$H$8,LOOKUP(2,1/($F$14:$F$54&lt;&gt;0),$F$14:$F$54)*(8-(A22-_xlfn.XLOOKUP(LOOKUP(2,1/($F$14:$F$54&lt;&gt;0),$F$14:$F$54),$F$14:$F$54,$A$14:$A$54,,0)))/8,0),0)</f>
        <v>0</v>
      </c>
      <c r="H22" s="87">
        <f t="shared" si="5"/>
        <v>0</v>
      </c>
      <c r="I22" s="87">
        <f>IF(AND($A22&gt;=$H$7,$A22&lt;=$H$8),IFERROR('State of Good Repair AP-CP'!$B$26*$C$108*B22*(1-$J$108)*VLOOKUP($E$108,$B$150:$D$152,3,0)*(HLOOKUP(C22,$E$149:$I$155,$O$150,0)-1)/100,0)+IFERROR('State of Good Repair AP-CP'!$B$26*$C$109*B22*(1-$J$109)*VLOOKUP($E$109,$B$150:$D$152,3,0)*(HLOOKUP(C22,$E$149:$I$155,$O$151,0)-1)/100,0),0)</f>
        <v>0</v>
      </c>
      <c r="J22" s="87">
        <f>IF(AND($A22&gt;=$H$7,$A22&lt;=$H$8),(IFERROR('State of Good Repair AP-CP'!$B$26*$C$108*B22*$J$108*VLOOKUP($E$108,$B$153:$D$155,3,0)*(HLOOKUP(C22,$E$149:$I$155,$P$150,0)-1)/100,0)+IFERROR('State of Good Repair AP-CP'!$B$26*$C$109*B22*$J$109*VLOOKUP($E$109,$B$153:$D$155,3,0)*(HLOOKUP(C22,$E$149:$I$155,$P$151,0)-1)/100,0)),0)</f>
        <v>0</v>
      </c>
      <c r="K22" s="87">
        <f t="shared" si="6"/>
        <v>0</v>
      </c>
      <c r="M22" s="72"/>
    </row>
    <row r="23" spans="1:13">
      <c r="A23" s="89">
        <f>'Major Assumption Key'!A28</f>
        <v>2029</v>
      </c>
      <c r="B23" s="88">
        <f t="shared" si="1"/>
        <v>0</v>
      </c>
      <c r="C23" s="811" t="s">
        <v>98</v>
      </c>
      <c r="D23" s="90" t="str">
        <f t="shared" si="2"/>
        <v>Routine Maintenance</v>
      </c>
      <c r="E23" s="87">
        <f t="shared" si="3"/>
        <v>0</v>
      </c>
      <c r="F23" s="87">
        <f t="shared" si="4"/>
        <v>0</v>
      </c>
      <c r="G23" s="87" cm="1">
        <f t="array" ref="G23">IFERROR(-IF(A23=$H$8,LOOKUP(2,1/($F$14:$F$54&lt;&gt;0),$F$14:$F$54)*(8-(A23-_xlfn.XLOOKUP(LOOKUP(2,1/($F$14:$F$54&lt;&gt;0),$F$14:$F$54),$F$14:$F$54,$A$14:$A$54,,0)))/8,0),0)</f>
        <v>0</v>
      </c>
      <c r="H23" s="87">
        <f t="shared" si="5"/>
        <v>0</v>
      </c>
      <c r="I23" s="87">
        <f>IF(AND($A23&gt;=$H$7,$A23&lt;=$H$8),IFERROR('State of Good Repair AP-CP'!$B$26*$C$108*B23*(1-$J$108)*VLOOKUP($E$108,$B$150:$D$152,3,0)*(HLOOKUP(C23,$E$149:$I$155,$O$150,0)-1)/100,0)+IFERROR('State of Good Repair AP-CP'!$B$26*$C$109*B23*(1-$J$109)*VLOOKUP($E$109,$B$150:$D$152,3,0)*(HLOOKUP(C23,$E$149:$I$155,$O$151,0)-1)/100,0),0)</f>
        <v>0</v>
      </c>
      <c r="J23" s="87">
        <f>IF(AND($A23&gt;=$H$7,$A23&lt;=$H$8),(IFERROR('State of Good Repair AP-CP'!$B$26*$C$108*B23*$J$108*VLOOKUP($E$108,$B$153:$D$155,3,0)*(HLOOKUP(C23,$E$149:$I$155,$P$150,0)-1)/100,0)+IFERROR('State of Good Repair AP-CP'!$B$26*$C$109*B23*$J$109*VLOOKUP($E$109,$B$153:$D$155,3,0)*(HLOOKUP(C23,$E$149:$I$155,$P$151,0)-1)/100,0)),0)</f>
        <v>0</v>
      </c>
      <c r="K23" s="87">
        <f t="shared" si="6"/>
        <v>0</v>
      </c>
      <c r="M23" s="72"/>
    </row>
    <row r="24" spans="1:13">
      <c r="A24" s="89">
        <f>'Major Assumption Key'!A29</f>
        <v>2030</v>
      </c>
      <c r="B24" s="88">
        <f t="shared" si="1"/>
        <v>0</v>
      </c>
      <c r="C24" s="811" t="s">
        <v>99</v>
      </c>
      <c r="D24" s="90" t="str">
        <f t="shared" si="2"/>
        <v>Routine Maintenance</v>
      </c>
      <c r="E24" s="87">
        <f t="shared" si="3"/>
        <v>0</v>
      </c>
      <c r="F24" s="87">
        <f t="shared" si="4"/>
        <v>0</v>
      </c>
      <c r="G24" s="87" cm="1">
        <f t="array" ref="G24">IFERROR(-IF(A24=$H$8,LOOKUP(2,1/($F$14:$F$54&lt;&gt;0),$F$14:$F$54)*(8-(A24-_xlfn.XLOOKUP(LOOKUP(2,1/($F$14:$F$54&lt;&gt;0),$F$14:$F$54),$F$14:$F$54,$A$14:$A$54,,0)))/8,0),0)</f>
        <v>0</v>
      </c>
      <c r="H24" s="87">
        <f t="shared" si="5"/>
        <v>0</v>
      </c>
      <c r="I24" s="87">
        <f>IF(AND($A24&gt;=$H$7,$A24&lt;=$H$8),IFERROR('State of Good Repair AP-CP'!$B$26*$C$108*B24*(1-$J$108)*VLOOKUP($E$108,$B$150:$D$152,3,0)*(HLOOKUP(C24,$E$149:$I$155,$O$150,0)-1)/100,0)+IFERROR('State of Good Repair AP-CP'!$B$26*$C$109*B24*(1-$J$109)*VLOOKUP($E$109,$B$150:$D$152,3,0)*(HLOOKUP(C24,$E$149:$I$155,$O$151,0)-1)/100,0),0)</f>
        <v>0</v>
      </c>
      <c r="J24" s="87">
        <f>IF(AND($A24&gt;=$H$7,$A24&lt;=$H$8),(IFERROR('State of Good Repair AP-CP'!$B$26*$C$108*B24*$J$108*VLOOKUP($E$108,$B$153:$D$155,3,0)*(HLOOKUP(C24,$E$149:$I$155,$P$150,0)-1)/100,0)+IFERROR('State of Good Repair AP-CP'!$B$26*$C$109*B24*$J$109*VLOOKUP($E$109,$B$153:$D$155,3,0)*(HLOOKUP(C24,$E$149:$I$155,$P$151,0)-1)/100,0)),0)</f>
        <v>0</v>
      </c>
      <c r="K24" s="87">
        <f t="shared" si="6"/>
        <v>0</v>
      </c>
      <c r="M24" s="72"/>
    </row>
    <row r="25" spans="1:13">
      <c r="A25" s="89">
        <f>'Major Assumption Key'!A30</f>
        <v>2031</v>
      </c>
      <c r="B25" s="88">
        <f t="shared" si="1"/>
        <v>0</v>
      </c>
      <c r="C25" s="811" t="s">
        <v>99</v>
      </c>
      <c r="D25" s="90" t="str">
        <f t="shared" si="2"/>
        <v>Routine Maintenance</v>
      </c>
      <c r="E25" s="87">
        <f t="shared" si="3"/>
        <v>0</v>
      </c>
      <c r="F25" s="87">
        <f t="shared" si="4"/>
        <v>0</v>
      </c>
      <c r="G25" s="87" cm="1">
        <f t="array" ref="G25">IFERROR(-IF(A25=$H$8,LOOKUP(2,1/($F$14:$F$54&lt;&gt;0),$F$14:$F$54)*(8-(A25-_xlfn.XLOOKUP(LOOKUP(2,1/($F$14:$F$54&lt;&gt;0),$F$14:$F$54),$F$14:$F$54,$A$14:$A$54,,0)))/8,0),0)</f>
        <v>0</v>
      </c>
      <c r="H25" s="87">
        <f t="shared" si="5"/>
        <v>0</v>
      </c>
      <c r="I25" s="87">
        <f>IF(AND($A25&gt;=$H$7,$A25&lt;=$H$8),IFERROR('State of Good Repair AP-CP'!$B$26*$C$108*B25*(1-$J$108)*VLOOKUP($E$108,$B$150:$D$152,3,0)*(HLOOKUP(C25,$E$149:$I$155,$O$150,0)-1)/100,0)+IFERROR('State of Good Repair AP-CP'!$B$26*$C$109*B25*(1-$J$109)*VLOOKUP($E$109,$B$150:$D$152,3,0)*(HLOOKUP(C25,$E$149:$I$155,$O$151,0)-1)/100,0),0)</f>
        <v>0</v>
      </c>
      <c r="J25" s="87">
        <f>IF(AND($A25&gt;=$H$7,$A25&lt;=$H$8),(IFERROR('State of Good Repair AP-CP'!$B$26*$C$108*B25*$J$108*VLOOKUP($E$108,$B$153:$D$155,3,0)*(HLOOKUP(C25,$E$149:$I$155,$P$150,0)-1)/100,0)+IFERROR('State of Good Repair AP-CP'!$B$26*$C$109*B25*$J$109*VLOOKUP($E$109,$B$153:$D$155,3,0)*(HLOOKUP(C25,$E$149:$I$155,$P$151,0)-1)/100,0)),0)</f>
        <v>0</v>
      </c>
      <c r="K25" s="87">
        <f t="shared" si="6"/>
        <v>0</v>
      </c>
      <c r="M25" s="72"/>
    </row>
    <row r="26" spans="1:13">
      <c r="A26" s="89">
        <f>'Major Assumption Key'!A31</f>
        <v>2032</v>
      </c>
      <c r="B26" s="88">
        <f t="shared" si="1"/>
        <v>0</v>
      </c>
      <c r="C26" s="811" t="s">
        <v>567</v>
      </c>
      <c r="D26" s="90" t="str">
        <f t="shared" si="2"/>
        <v>Rehab</v>
      </c>
      <c r="E26" s="87">
        <f t="shared" si="3"/>
        <v>0</v>
      </c>
      <c r="F26" s="87">
        <f t="shared" si="4"/>
        <v>0</v>
      </c>
      <c r="G26" s="87" cm="1">
        <f t="array" ref="G26">IFERROR(-IF(A26=$H$8,LOOKUP(2,1/($F$14:$F$54&lt;&gt;0),$F$14:$F$54)*(8-(A26-_xlfn.XLOOKUP(LOOKUP(2,1/($F$14:$F$54&lt;&gt;0),$F$14:$F$54),$F$14:$F$54,$A$14:$A$54,,0)))/8,0),0)</f>
        <v>0</v>
      </c>
      <c r="H26" s="87">
        <f t="shared" si="5"/>
        <v>0</v>
      </c>
      <c r="I26" s="87">
        <f>IF(AND($A26&gt;=$H$7,$A26&lt;=$H$8),IFERROR('State of Good Repair AP-CP'!$B$26*$C$108*B26*(1-$J$108)*VLOOKUP($E$108,$B$150:$D$152,3,0)*(HLOOKUP(C26,$E$149:$I$155,$O$150,0)-1)/100,0)+IFERROR('State of Good Repair AP-CP'!$B$26*$C$109*B26*(1-$J$109)*VLOOKUP($E$109,$B$150:$D$152,3,0)*(HLOOKUP(C26,$E$149:$I$155,$O$151,0)-1)/100,0),0)</f>
        <v>0</v>
      </c>
      <c r="J26" s="87">
        <f>IF(AND($A26&gt;=$H$7,$A26&lt;=$H$8),(IFERROR('State of Good Repair AP-CP'!$B$26*$C$108*B26*$J$108*VLOOKUP($E$108,$B$153:$D$155,3,0)*(HLOOKUP(C26,$E$149:$I$155,$P$150,0)-1)/100,0)+IFERROR('State of Good Repair AP-CP'!$B$26*$C$109*B26*$J$109*VLOOKUP($E$109,$B$153:$D$155,3,0)*(HLOOKUP(C26,$E$149:$I$155,$P$151,0)-1)/100,0)),0)</f>
        <v>0</v>
      </c>
      <c r="K26" s="87">
        <f t="shared" si="6"/>
        <v>0</v>
      </c>
      <c r="M26" s="72"/>
    </row>
    <row r="27" spans="1:13">
      <c r="A27" s="89">
        <f>'Major Assumption Key'!A32</f>
        <v>2033</v>
      </c>
      <c r="B27" s="88">
        <f t="shared" si="1"/>
        <v>0</v>
      </c>
      <c r="C27" s="811" t="s">
        <v>96</v>
      </c>
      <c r="D27" s="90" t="str">
        <f t="shared" si="2"/>
        <v>Routine Maintenance</v>
      </c>
      <c r="E27" s="87">
        <f t="shared" si="3"/>
        <v>0</v>
      </c>
      <c r="F27" s="87">
        <f t="shared" si="4"/>
        <v>0</v>
      </c>
      <c r="G27" s="87" cm="1">
        <f t="array" ref="G27">IFERROR(-IF(A27=$H$8,LOOKUP(2,1/($F$14:$F$54&lt;&gt;0),$F$14:$F$54)*(8-(A27-_xlfn.XLOOKUP(LOOKUP(2,1/($F$14:$F$54&lt;&gt;0),$F$14:$F$54),$F$14:$F$54,$A$14:$A$54,,0)))/8,0),0)</f>
        <v>0</v>
      </c>
      <c r="H27" s="87">
        <f t="shared" si="5"/>
        <v>0</v>
      </c>
      <c r="I27" s="87">
        <f>IF(AND($A27&gt;=$H$7,$A27&lt;=$H$8),IFERROR('State of Good Repair AP-CP'!$B$26*$C$108*B27*(1-$J$108)*VLOOKUP($E$108,$B$150:$D$152,3,0)*(HLOOKUP(C27,$E$149:$I$155,$O$150,0)-1)/100,0)+IFERROR('State of Good Repair AP-CP'!$B$26*$C$109*B27*(1-$J$109)*VLOOKUP($E$109,$B$150:$D$152,3,0)*(HLOOKUP(C27,$E$149:$I$155,$O$151,0)-1)/100,0),0)</f>
        <v>0</v>
      </c>
      <c r="J27" s="87">
        <f>IF(AND($A27&gt;=$H$7,$A27&lt;=$H$8),(IFERROR('State of Good Repair AP-CP'!$B$26*$C$108*B27*$J$108*VLOOKUP($E$108,$B$153:$D$155,3,0)*(HLOOKUP(C27,$E$149:$I$155,$P$150,0)-1)/100,0)+IFERROR('State of Good Repair AP-CP'!$B$26*$C$109*B27*$J$109*VLOOKUP($E$109,$B$153:$D$155,3,0)*(HLOOKUP(C27,$E$149:$I$155,$P$151,0)-1)/100,0)),0)</f>
        <v>0</v>
      </c>
      <c r="K27" s="87">
        <f t="shared" si="6"/>
        <v>0</v>
      </c>
      <c r="M27" s="72"/>
    </row>
    <row r="28" spans="1:13">
      <c r="A28" s="89">
        <f>'Major Assumption Key'!A33</f>
        <v>2034</v>
      </c>
      <c r="B28" s="88">
        <f t="shared" si="1"/>
        <v>0</v>
      </c>
      <c r="C28" s="811" t="s">
        <v>96</v>
      </c>
      <c r="D28" s="90" t="str">
        <f t="shared" si="2"/>
        <v>Routine Maintenance</v>
      </c>
      <c r="E28" s="87">
        <f t="shared" si="3"/>
        <v>0</v>
      </c>
      <c r="F28" s="87">
        <f t="shared" si="4"/>
        <v>0</v>
      </c>
      <c r="G28" s="87" cm="1">
        <f t="array" ref="G28">IFERROR(-IF(A28=$H$8,LOOKUP(2,1/($F$14:$F$54&lt;&gt;0),$F$14:$F$54)*(8-(A28-_xlfn.XLOOKUP(LOOKUP(2,1/($F$14:$F$54&lt;&gt;0),$F$14:$F$54),$F$14:$F$54,$A$14:$A$54,,0)))/8,0),0)</f>
        <v>0</v>
      </c>
      <c r="H28" s="87">
        <f t="shared" si="5"/>
        <v>0</v>
      </c>
      <c r="I28" s="87">
        <f>IF(AND($A28&gt;=$H$7,$A28&lt;=$H$8),IFERROR('State of Good Repair AP-CP'!$B$26*$C$108*B28*(1-$J$108)*VLOOKUP($E$108,$B$150:$D$152,3,0)*(HLOOKUP(C28,$E$149:$I$155,$O$150,0)-1)/100,0)+IFERROR('State of Good Repair AP-CP'!$B$26*$C$109*B28*(1-$J$109)*VLOOKUP($E$109,$B$150:$D$152,3,0)*(HLOOKUP(C28,$E$149:$I$155,$O$151,0)-1)/100,0),0)</f>
        <v>0</v>
      </c>
      <c r="J28" s="87">
        <f>IF(AND($A28&gt;=$H$7,$A28&lt;=$H$8),(IFERROR('State of Good Repair AP-CP'!$B$26*$C$108*B28*$J$108*VLOOKUP($E$108,$B$153:$D$155,3,0)*(HLOOKUP(C28,$E$149:$I$155,$P$150,0)-1)/100,0)+IFERROR('State of Good Repair AP-CP'!$B$26*$C$109*B28*$J$109*VLOOKUP($E$109,$B$153:$D$155,3,0)*(HLOOKUP(C28,$E$149:$I$155,$P$151,0)-1)/100,0)),0)</f>
        <v>0</v>
      </c>
      <c r="K28" s="87">
        <f t="shared" si="6"/>
        <v>0</v>
      </c>
      <c r="M28" s="72"/>
    </row>
    <row r="29" spans="1:13">
      <c r="A29" s="89">
        <f>'Major Assumption Key'!A34</f>
        <v>2035</v>
      </c>
      <c r="B29" s="88">
        <f t="shared" si="1"/>
        <v>0</v>
      </c>
      <c r="C29" s="811" t="s">
        <v>97</v>
      </c>
      <c r="D29" s="90" t="str">
        <f t="shared" si="2"/>
        <v>Routine Maintenance</v>
      </c>
      <c r="E29" s="87">
        <f t="shared" si="3"/>
        <v>0</v>
      </c>
      <c r="F29" s="87">
        <f t="shared" si="4"/>
        <v>0</v>
      </c>
      <c r="G29" s="87" cm="1">
        <f t="array" ref="G29">IFERROR(-IF(A29=$H$8,LOOKUP(2,1/($F$14:$F$54&lt;&gt;0),$F$14:$F$54)*(8-(A29-_xlfn.XLOOKUP(LOOKUP(2,1/($F$14:$F$54&lt;&gt;0),$F$14:$F$54),$F$14:$F$54,$A$14:$A$54,,0)))/8,0),0)</f>
        <v>0</v>
      </c>
      <c r="H29" s="87">
        <f t="shared" si="5"/>
        <v>0</v>
      </c>
      <c r="I29" s="87">
        <f>IF(AND($A29&gt;=$H$7,$A29&lt;=$H$8),IFERROR('State of Good Repair AP-CP'!$B$26*$C$108*B29*(1-$J$108)*VLOOKUP($E$108,$B$150:$D$152,3,0)*(HLOOKUP(C29,$E$149:$I$155,$O$150,0)-1)/100,0)+IFERROR('State of Good Repair AP-CP'!$B$26*$C$109*B29*(1-$J$109)*VLOOKUP($E$109,$B$150:$D$152,3,0)*(HLOOKUP(C29,$E$149:$I$155,$O$151,0)-1)/100,0),0)</f>
        <v>0</v>
      </c>
      <c r="J29" s="87">
        <f>IF(AND($A29&gt;=$H$7,$A29&lt;=$H$8),(IFERROR('State of Good Repair AP-CP'!$B$26*$C$108*B29*$J$108*VLOOKUP($E$108,$B$153:$D$155,3,0)*(HLOOKUP(C29,$E$149:$I$155,$P$150,0)-1)/100,0)+IFERROR('State of Good Repair AP-CP'!$B$26*$C$109*B29*$J$109*VLOOKUP($E$109,$B$153:$D$155,3,0)*(HLOOKUP(C29,$E$149:$I$155,$P$151,0)-1)/100,0)),0)</f>
        <v>0</v>
      </c>
      <c r="K29" s="87">
        <f t="shared" si="6"/>
        <v>0</v>
      </c>
      <c r="M29" s="72"/>
    </row>
    <row r="30" spans="1:13">
      <c r="A30" s="89">
        <f>'Major Assumption Key'!A35</f>
        <v>2036</v>
      </c>
      <c r="B30" s="88">
        <f t="shared" si="1"/>
        <v>0</v>
      </c>
      <c r="C30" s="811" t="s">
        <v>98</v>
      </c>
      <c r="D30" s="90" t="str">
        <f t="shared" si="2"/>
        <v>Routine Maintenance</v>
      </c>
      <c r="E30" s="87">
        <f t="shared" si="3"/>
        <v>0</v>
      </c>
      <c r="F30" s="87">
        <f t="shared" si="4"/>
        <v>0</v>
      </c>
      <c r="G30" s="87" cm="1">
        <f t="array" ref="G30">IFERROR(-IF(A30=$H$8,LOOKUP(2,1/($F$14:$F$54&lt;&gt;0),$F$14:$F$54)*(8-(A30-_xlfn.XLOOKUP(LOOKUP(2,1/($F$14:$F$54&lt;&gt;0),$F$14:$F$54),$F$14:$F$54,$A$14:$A$54,,0)))/8,0),0)</f>
        <v>0</v>
      </c>
      <c r="H30" s="87">
        <f t="shared" si="5"/>
        <v>0</v>
      </c>
      <c r="I30" s="87">
        <f>IF(AND($A30&gt;=$H$7,$A30&lt;=$H$8),IFERROR('State of Good Repair AP-CP'!$B$26*$C$108*B30*(1-$J$108)*VLOOKUP($E$108,$B$150:$D$152,3,0)*(HLOOKUP(C30,$E$149:$I$155,$O$150,0)-1)/100,0)+IFERROR('State of Good Repair AP-CP'!$B$26*$C$109*B30*(1-$J$109)*VLOOKUP($E$109,$B$150:$D$152,3,0)*(HLOOKUP(C30,$E$149:$I$155,$O$151,0)-1)/100,0),0)</f>
        <v>0</v>
      </c>
      <c r="J30" s="87">
        <f>IF(AND($A30&gt;=$H$7,$A30&lt;=$H$8),(IFERROR('State of Good Repair AP-CP'!$B$26*$C$108*B30*$J$108*VLOOKUP($E$108,$B$153:$D$155,3,0)*(HLOOKUP(C30,$E$149:$I$155,$P$150,0)-1)/100,0)+IFERROR('State of Good Repair AP-CP'!$B$26*$C$109*B30*$J$109*VLOOKUP($E$109,$B$153:$D$155,3,0)*(HLOOKUP(C30,$E$149:$I$155,$P$151,0)-1)/100,0)),0)</f>
        <v>0</v>
      </c>
      <c r="K30" s="87">
        <f t="shared" si="6"/>
        <v>0</v>
      </c>
      <c r="M30" s="72"/>
    </row>
    <row r="31" spans="1:13">
      <c r="A31" s="89">
        <f>'Major Assumption Key'!A36</f>
        <v>2037</v>
      </c>
      <c r="B31" s="88">
        <f t="shared" si="1"/>
        <v>0</v>
      </c>
      <c r="C31" s="811" t="s">
        <v>99</v>
      </c>
      <c r="D31" s="90" t="str">
        <f t="shared" si="2"/>
        <v>Routine Maintenance</v>
      </c>
      <c r="E31" s="87">
        <f t="shared" si="3"/>
        <v>0</v>
      </c>
      <c r="F31" s="87">
        <f t="shared" si="4"/>
        <v>0</v>
      </c>
      <c r="G31" s="87" cm="1">
        <f t="array" ref="G31">IFERROR(-IF(A31=$H$8,LOOKUP(2,1/($F$14:$F$54&lt;&gt;0),$F$14:$F$54)*(8-(A31-_xlfn.XLOOKUP(LOOKUP(2,1/($F$14:$F$54&lt;&gt;0),$F$14:$F$54),$F$14:$F$54,$A$14:$A$54,,0)))/8,0),0)</f>
        <v>0</v>
      </c>
      <c r="H31" s="87">
        <f t="shared" si="5"/>
        <v>0</v>
      </c>
      <c r="I31" s="87">
        <f>IF(AND($A31&gt;=$H$7,$A31&lt;=$H$8),IFERROR('State of Good Repair AP-CP'!$B$26*$C$108*B31*(1-$J$108)*VLOOKUP($E$108,$B$150:$D$152,3,0)*(HLOOKUP(C31,$E$149:$I$155,$O$150,0)-1)/100,0)+IFERROR('State of Good Repair AP-CP'!$B$26*$C$109*B31*(1-$J$109)*VLOOKUP($E$109,$B$150:$D$152,3,0)*(HLOOKUP(C31,$E$149:$I$155,$O$151,0)-1)/100,0),0)</f>
        <v>0</v>
      </c>
      <c r="J31" s="87">
        <f>IF(AND($A31&gt;=$H$7,$A31&lt;=$H$8),(IFERROR('State of Good Repair AP-CP'!$B$26*$C$108*B31*$J$108*VLOOKUP($E$108,$B$153:$D$155,3,0)*(HLOOKUP(C31,$E$149:$I$155,$P$150,0)-1)/100,0)+IFERROR('State of Good Repair AP-CP'!$B$26*$C$109*B31*$J$109*VLOOKUP($E$109,$B$153:$D$155,3,0)*(HLOOKUP(C31,$E$149:$I$155,$P$151,0)-1)/100,0)),0)</f>
        <v>0</v>
      </c>
      <c r="K31" s="87">
        <f t="shared" si="6"/>
        <v>0</v>
      </c>
      <c r="M31" s="72"/>
    </row>
    <row r="32" spans="1:13">
      <c r="A32" s="89">
        <f>'Major Assumption Key'!A37</f>
        <v>2038</v>
      </c>
      <c r="B32" s="88">
        <f t="shared" si="1"/>
        <v>0</v>
      </c>
      <c r="C32" s="811" t="s">
        <v>99</v>
      </c>
      <c r="D32" s="90" t="str">
        <f t="shared" si="2"/>
        <v>Routine Maintenance</v>
      </c>
      <c r="E32" s="87">
        <f t="shared" si="3"/>
        <v>0</v>
      </c>
      <c r="F32" s="87">
        <f t="shared" si="4"/>
        <v>0</v>
      </c>
      <c r="G32" s="87" cm="1">
        <f t="array" ref="G32">IFERROR(-IF(A32=$H$8,LOOKUP(2,1/($F$14:$F$54&lt;&gt;0),$F$14:$F$54)*(8-(A32-_xlfn.XLOOKUP(LOOKUP(2,1/($F$14:$F$54&lt;&gt;0),$F$14:$F$54),$F$14:$F$54,$A$14:$A$54,,0)))/8,0),0)</f>
        <v>0</v>
      </c>
      <c r="H32" s="87">
        <f t="shared" si="5"/>
        <v>0</v>
      </c>
      <c r="I32" s="87">
        <f>IF(AND($A32&gt;=$H$7,$A32&lt;=$H$8),IFERROR('State of Good Repair AP-CP'!$B$26*$C$108*B32*(1-$J$108)*VLOOKUP($E$108,$B$150:$D$152,3,0)*(HLOOKUP(C32,$E$149:$I$155,$O$150,0)-1)/100,0)+IFERROR('State of Good Repair AP-CP'!$B$26*$C$109*B32*(1-$J$109)*VLOOKUP($E$109,$B$150:$D$152,3,0)*(HLOOKUP(C32,$E$149:$I$155,$O$151,0)-1)/100,0),0)</f>
        <v>0</v>
      </c>
      <c r="J32" s="87">
        <f>IF(AND($A32&gt;=$H$7,$A32&lt;=$H$8),(IFERROR('State of Good Repair AP-CP'!$B$26*$C$108*B32*$J$108*VLOOKUP($E$108,$B$153:$D$155,3,0)*(HLOOKUP(C32,$E$149:$I$155,$P$150,0)-1)/100,0)+IFERROR('State of Good Repair AP-CP'!$B$26*$C$109*B32*$J$109*VLOOKUP($E$109,$B$153:$D$155,3,0)*(HLOOKUP(C32,$E$149:$I$155,$P$151,0)-1)/100,0)),0)</f>
        <v>0</v>
      </c>
      <c r="K32" s="87">
        <f t="shared" si="6"/>
        <v>0</v>
      </c>
      <c r="M32" s="72"/>
    </row>
    <row r="33" spans="1:13">
      <c r="A33" s="89">
        <f>'Major Assumption Key'!A38</f>
        <v>2039</v>
      </c>
      <c r="B33" s="88">
        <f t="shared" si="1"/>
        <v>0</v>
      </c>
      <c r="C33" s="811" t="s">
        <v>567</v>
      </c>
      <c r="D33" s="90" t="str">
        <f t="shared" si="2"/>
        <v>Rehab</v>
      </c>
      <c r="E33" s="87">
        <f t="shared" si="3"/>
        <v>0</v>
      </c>
      <c r="F33" s="87">
        <f t="shared" si="4"/>
        <v>0</v>
      </c>
      <c r="G33" s="87" cm="1">
        <f t="array" ref="G33">IFERROR(-IF(A33=$H$8,LOOKUP(2,1/($F$14:$F$54&lt;&gt;0),$F$14:$F$54)*(8-(A33-_xlfn.XLOOKUP(LOOKUP(2,1/($F$14:$F$54&lt;&gt;0),$F$14:$F$54),$F$14:$F$54,$A$14:$A$54,,0)))/8,0),0)</f>
        <v>0</v>
      </c>
      <c r="H33" s="87">
        <f t="shared" si="5"/>
        <v>0</v>
      </c>
      <c r="I33" s="87">
        <f>IF(AND($A33&gt;=$H$7,$A33&lt;=$H$8),IFERROR('State of Good Repair AP-CP'!$B$26*$C$108*B33*(1-$J$108)*VLOOKUP($E$108,$B$150:$D$152,3,0)*(HLOOKUP(C33,$E$149:$I$155,$O$150,0)-1)/100,0)+IFERROR('State of Good Repair AP-CP'!$B$26*$C$109*B33*(1-$J$109)*VLOOKUP($E$109,$B$150:$D$152,3,0)*(HLOOKUP(C33,$E$149:$I$155,$O$151,0)-1)/100,0),0)</f>
        <v>0</v>
      </c>
      <c r="J33" s="87">
        <f>IF(AND($A33&gt;=$H$7,$A33&lt;=$H$8),(IFERROR('State of Good Repair AP-CP'!$B$26*$C$108*B33*$J$108*VLOOKUP($E$108,$B$153:$D$155,3,0)*(HLOOKUP(C33,$E$149:$I$155,$P$150,0)-1)/100,0)+IFERROR('State of Good Repair AP-CP'!$B$26*$C$109*B33*$J$109*VLOOKUP($E$109,$B$153:$D$155,3,0)*(HLOOKUP(C33,$E$149:$I$155,$P$151,0)-1)/100,0)),0)</f>
        <v>0</v>
      </c>
      <c r="K33" s="87">
        <f t="shared" si="6"/>
        <v>0</v>
      </c>
      <c r="M33" s="72"/>
    </row>
    <row r="34" spans="1:13">
      <c r="A34" s="89">
        <f>'Major Assumption Key'!A39</f>
        <v>2040</v>
      </c>
      <c r="B34" s="88">
        <f t="shared" si="1"/>
        <v>0</v>
      </c>
      <c r="C34" s="811" t="s">
        <v>96</v>
      </c>
      <c r="D34" s="90" t="str">
        <f t="shared" si="2"/>
        <v>Routine Maintenance</v>
      </c>
      <c r="E34" s="87">
        <f t="shared" si="3"/>
        <v>0</v>
      </c>
      <c r="F34" s="87">
        <f t="shared" si="4"/>
        <v>0</v>
      </c>
      <c r="G34" s="87" cm="1">
        <f t="array" ref="G34">IFERROR(-IF(A34=$H$8,LOOKUP(2,1/($F$14:$F$54&lt;&gt;0),$F$14:$F$54)*(8-(A34-_xlfn.XLOOKUP(LOOKUP(2,1/($F$14:$F$54&lt;&gt;0),$F$14:$F$54),$F$14:$F$54,$A$14:$A$54,,0)))/8,0),0)</f>
        <v>0</v>
      </c>
      <c r="H34" s="87">
        <f t="shared" si="5"/>
        <v>0</v>
      </c>
      <c r="I34" s="87">
        <f>IF(AND($A34&gt;=$H$7,$A34&lt;=$H$8),IFERROR('State of Good Repair AP-CP'!$B$26*$C$108*B34*(1-$J$108)*VLOOKUP($E$108,$B$150:$D$152,3,0)*(HLOOKUP(C34,$E$149:$I$155,$O$150,0)-1)/100,0)+IFERROR('State of Good Repair AP-CP'!$B$26*$C$109*B34*(1-$J$109)*VLOOKUP($E$109,$B$150:$D$152,3,0)*(HLOOKUP(C34,$E$149:$I$155,$O$151,0)-1)/100,0),0)</f>
        <v>0</v>
      </c>
      <c r="J34" s="87">
        <f>IF(AND($A34&gt;=$H$7,$A34&lt;=$H$8),(IFERROR('State of Good Repair AP-CP'!$B$26*$C$108*B34*$J$108*VLOOKUP($E$108,$B$153:$D$155,3,0)*(HLOOKUP(C34,$E$149:$I$155,$P$150,0)-1)/100,0)+IFERROR('State of Good Repair AP-CP'!$B$26*$C$109*B34*$J$109*VLOOKUP($E$109,$B$153:$D$155,3,0)*(HLOOKUP(C34,$E$149:$I$155,$P$151,0)-1)/100,0)),0)</f>
        <v>0</v>
      </c>
      <c r="K34" s="87">
        <f t="shared" si="6"/>
        <v>0</v>
      </c>
      <c r="M34" s="72"/>
    </row>
    <row r="35" spans="1:13">
      <c r="A35" s="89">
        <f>'Major Assumption Key'!A40</f>
        <v>2041</v>
      </c>
      <c r="B35" s="88">
        <f t="shared" si="1"/>
        <v>0</v>
      </c>
      <c r="C35" s="811" t="s">
        <v>96</v>
      </c>
      <c r="D35" s="90" t="str">
        <f t="shared" si="2"/>
        <v>Routine Maintenance</v>
      </c>
      <c r="E35" s="87">
        <f t="shared" si="3"/>
        <v>0</v>
      </c>
      <c r="F35" s="87">
        <f t="shared" si="4"/>
        <v>0</v>
      </c>
      <c r="G35" s="87" cm="1">
        <f t="array" ref="G35">IFERROR(-IF(A35=$H$8,LOOKUP(2,1/($F$14:$F$54&lt;&gt;0),$F$14:$F$54)*(8-(A35-_xlfn.XLOOKUP(LOOKUP(2,1/($F$14:$F$54&lt;&gt;0),$F$14:$F$54),$F$14:$F$54,$A$14:$A$54,,0)))/8,0),0)</f>
        <v>0</v>
      </c>
      <c r="H35" s="87">
        <f t="shared" si="5"/>
        <v>0</v>
      </c>
      <c r="I35" s="87">
        <f>IF(AND($A35&gt;=$H$7,$A35&lt;=$H$8),IFERROR('State of Good Repair AP-CP'!$B$26*$C$108*B35*(1-$J$108)*VLOOKUP($E$108,$B$150:$D$152,3,0)*(HLOOKUP(C35,$E$149:$I$155,$O$150,0)-1)/100,0)+IFERROR('State of Good Repair AP-CP'!$B$26*$C$109*B35*(1-$J$109)*VLOOKUP($E$109,$B$150:$D$152,3,0)*(HLOOKUP(C35,$E$149:$I$155,$O$151,0)-1)/100,0),0)</f>
        <v>0</v>
      </c>
      <c r="J35" s="87">
        <f>IF(AND($A35&gt;=$H$7,$A35&lt;=$H$8),(IFERROR('State of Good Repair AP-CP'!$B$26*$C$108*B35*$J$108*VLOOKUP($E$108,$B$153:$D$155,3,0)*(HLOOKUP(C35,$E$149:$I$155,$P$150,0)-1)/100,0)+IFERROR('State of Good Repair AP-CP'!$B$26*$C$109*B35*$J$109*VLOOKUP($E$109,$B$153:$D$155,3,0)*(HLOOKUP(C35,$E$149:$I$155,$P$151,0)-1)/100,0)),0)</f>
        <v>0</v>
      </c>
      <c r="K35" s="87">
        <f t="shared" si="6"/>
        <v>0</v>
      </c>
      <c r="M35" s="72"/>
    </row>
    <row r="36" spans="1:13">
      <c r="A36" s="89">
        <f>'Major Assumption Key'!A41</f>
        <v>2042</v>
      </c>
      <c r="B36" s="88">
        <f t="shared" si="1"/>
        <v>0</v>
      </c>
      <c r="C36" s="811" t="s">
        <v>97</v>
      </c>
      <c r="D36" s="90" t="str">
        <f t="shared" si="2"/>
        <v>Routine Maintenance</v>
      </c>
      <c r="E36" s="87">
        <f t="shared" si="3"/>
        <v>0</v>
      </c>
      <c r="F36" s="87">
        <f t="shared" si="4"/>
        <v>0</v>
      </c>
      <c r="G36" s="87" cm="1">
        <f t="array" ref="G36">IFERROR(-IF(A36=$H$8,LOOKUP(2,1/($F$14:$F$54&lt;&gt;0),$F$14:$F$54)*(8-(A36-_xlfn.XLOOKUP(LOOKUP(2,1/($F$14:$F$54&lt;&gt;0),$F$14:$F$54),$F$14:$F$54,$A$14:$A$54,,0)))/8,0),0)</f>
        <v>0</v>
      </c>
      <c r="H36" s="87">
        <f t="shared" si="5"/>
        <v>0</v>
      </c>
      <c r="I36" s="87">
        <f>IF(AND($A36&gt;=$H$7,$A36&lt;=$H$8),IFERROR('State of Good Repair AP-CP'!$B$26*$C$108*B36*(1-$J$108)*VLOOKUP($E$108,$B$150:$D$152,3,0)*(HLOOKUP(C36,$E$149:$I$155,$O$150,0)-1)/100,0)+IFERROR('State of Good Repair AP-CP'!$B$26*$C$109*B36*(1-$J$109)*VLOOKUP($E$109,$B$150:$D$152,3,0)*(HLOOKUP(C36,$E$149:$I$155,$O$151,0)-1)/100,0),0)</f>
        <v>0</v>
      </c>
      <c r="J36" s="87">
        <f>IF(AND($A36&gt;=$H$7,$A36&lt;=$H$8),(IFERROR('State of Good Repair AP-CP'!$B$26*$C$108*B36*$J$108*VLOOKUP($E$108,$B$153:$D$155,3,0)*(HLOOKUP(C36,$E$149:$I$155,$P$150,0)-1)/100,0)+IFERROR('State of Good Repair AP-CP'!$B$26*$C$109*B36*$J$109*VLOOKUP($E$109,$B$153:$D$155,3,0)*(HLOOKUP(C36,$E$149:$I$155,$P$151,0)-1)/100,0)),0)</f>
        <v>0</v>
      </c>
      <c r="K36" s="87">
        <f t="shared" si="6"/>
        <v>0</v>
      </c>
      <c r="M36" s="72"/>
    </row>
    <row r="37" spans="1:13">
      <c r="A37" s="89">
        <f>'Major Assumption Key'!A42</f>
        <v>2043</v>
      </c>
      <c r="B37" s="88">
        <f t="shared" si="1"/>
        <v>0</v>
      </c>
      <c r="C37" s="811" t="s">
        <v>98</v>
      </c>
      <c r="D37" s="90" t="str">
        <f t="shared" si="2"/>
        <v>Routine Maintenance</v>
      </c>
      <c r="E37" s="87">
        <f t="shared" si="3"/>
        <v>0</v>
      </c>
      <c r="F37" s="87">
        <f t="shared" si="4"/>
        <v>0</v>
      </c>
      <c r="G37" s="87" cm="1">
        <f t="array" ref="G37">IFERROR(-IF(A37=$H$8,LOOKUP(2,1/($F$14:$F$54&lt;&gt;0),$F$14:$F$54)*(8-(A37-_xlfn.XLOOKUP(LOOKUP(2,1/($F$14:$F$54&lt;&gt;0),$F$14:$F$54),$F$14:$F$54,$A$14:$A$54,,0)))/8,0),0)</f>
        <v>0</v>
      </c>
      <c r="H37" s="87">
        <f t="shared" si="5"/>
        <v>0</v>
      </c>
      <c r="I37" s="87">
        <f>IF(AND($A37&gt;=$H$7,$A37&lt;=$H$8),IFERROR('State of Good Repair AP-CP'!$B$26*$C$108*B37*(1-$J$108)*VLOOKUP($E$108,$B$150:$D$152,3,0)*(HLOOKUP(C37,$E$149:$I$155,$O$150,0)-1)/100,0)+IFERROR('State of Good Repair AP-CP'!$B$26*$C$109*B37*(1-$J$109)*VLOOKUP($E$109,$B$150:$D$152,3,0)*(HLOOKUP(C37,$E$149:$I$155,$O$151,0)-1)/100,0),0)</f>
        <v>0</v>
      </c>
      <c r="J37" s="87">
        <f>IF(AND($A37&gt;=$H$7,$A37&lt;=$H$8),(IFERROR('State of Good Repair AP-CP'!$B$26*$C$108*B37*$J$108*VLOOKUP($E$108,$B$153:$D$155,3,0)*(HLOOKUP(C37,$E$149:$I$155,$P$150,0)-1)/100,0)+IFERROR('State of Good Repair AP-CP'!$B$26*$C$109*B37*$J$109*VLOOKUP($E$109,$B$153:$D$155,3,0)*(HLOOKUP(C37,$E$149:$I$155,$P$151,0)-1)/100,0)),0)</f>
        <v>0</v>
      </c>
      <c r="K37" s="87">
        <f t="shared" si="6"/>
        <v>0</v>
      </c>
      <c r="M37" s="72"/>
    </row>
    <row r="38" spans="1:13">
      <c r="A38" s="89">
        <f>'Major Assumption Key'!A43</f>
        <v>2044</v>
      </c>
      <c r="B38" s="88">
        <f t="shared" si="1"/>
        <v>0</v>
      </c>
      <c r="C38" s="811" t="s">
        <v>99</v>
      </c>
      <c r="D38" s="90" t="str">
        <f t="shared" si="2"/>
        <v>Routine Maintenance</v>
      </c>
      <c r="E38" s="87">
        <f t="shared" si="3"/>
        <v>0</v>
      </c>
      <c r="F38" s="87">
        <f t="shared" si="4"/>
        <v>0</v>
      </c>
      <c r="G38" s="87" cm="1">
        <f t="array" ref="G38">IFERROR(-IF(A38=$H$8,LOOKUP(2,1/($F$14:$F$54&lt;&gt;0),$F$14:$F$54)*(8-(A38-_xlfn.XLOOKUP(LOOKUP(2,1/($F$14:$F$54&lt;&gt;0),$F$14:$F$54),$F$14:$F$54,$A$14:$A$54,,0)))/8,0),0)</f>
        <v>0</v>
      </c>
      <c r="H38" s="87">
        <f t="shared" si="5"/>
        <v>0</v>
      </c>
      <c r="I38" s="87">
        <f>IF(AND($A38&gt;=$H$7,$A38&lt;=$H$8),IFERROR('State of Good Repair AP-CP'!$B$26*$C$108*B38*(1-$J$108)*VLOOKUP($E$108,$B$150:$D$152,3,0)*(HLOOKUP(C38,$E$149:$I$155,$O$150,0)-1)/100,0)+IFERROR('State of Good Repair AP-CP'!$B$26*$C$109*B38*(1-$J$109)*VLOOKUP($E$109,$B$150:$D$152,3,0)*(HLOOKUP(C38,$E$149:$I$155,$O$151,0)-1)/100,0),0)</f>
        <v>0</v>
      </c>
      <c r="J38" s="87">
        <f>IF(AND($A38&gt;=$H$7,$A38&lt;=$H$8),(IFERROR('State of Good Repair AP-CP'!$B$26*$C$108*B38*$J$108*VLOOKUP($E$108,$B$153:$D$155,3,0)*(HLOOKUP(C38,$E$149:$I$155,$P$150,0)-1)/100,0)+IFERROR('State of Good Repair AP-CP'!$B$26*$C$109*B38*$J$109*VLOOKUP($E$109,$B$153:$D$155,3,0)*(HLOOKUP(C38,$E$149:$I$155,$P$151,0)-1)/100,0)),0)</f>
        <v>0</v>
      </c>
      <c r="K38" s="87">
        <f t="shared" si="6"/>
        <v>0</v>
      </c>
      <c r="M38" s="72"/>
    </row>
    <row r="39" spans="1:13">
      <c r="A39" s="89">
        <f>'Major Assumption Key'!A44</f>
        <v>2045</v>
      </c>
      <c r="B39" s="88">
        <f t="shared" si="1"/>
        <v>0</v>
      </c>
      <c r="C39" s="811" t="s">
        <v>99</v>
      </c>
      <c r="D39" s="90" t="str">
        <f t="shared" si="2"/>
        <v>Routine Maintenance</v>
      </c>
      <c r="E39" s="87">
        <f t="shared" si="3"/>
        <v>0</v>
      </c>
      <c r="F39" s="87">
        <f t="shared" si="4"/>
        <v>0</v>
      </c>
      <c r="G39" s="87" cm="1">
        <f t="array" ref="G39">IFERROR(-IF(A39=$H$8,LOOKUP(2,1/($F$14:$F$54&lt;&gt;0),$F$14:$F$54)*(8-(A39-_xlfn.XLOOKUP(LOOKUP(2,1/($F$14:$F$54&lt;&gt;0),$F$14:$F$54),$F$14:$F$54,$A$14:$A$54,,0)))/8,0),0)</f>
        <v>0</v>
      </c>
      <c r="H39" s="87">
        <f t="shared" si="5"/>
        <v>0</v>
      </c>
      <c r="I39" s="87">
        <f>IF(AND($A39&gt;=$H$7,$A39&lt;=$H$8),IFERROR('State of Good Repair AP-CP'!$B$26*$C$108*B39*(1-$J$108)*VLOOKUP($E$108,$B$150:$D$152,3,0)*(HLOOKUP(C39,$E$149:$I$155,$O$150,0)-1)/100,0)+IFERROR('State of Good Repair AP-CP'!$B$26*$C$109*B39*(1-$J$109)*VLOOKUP($E$109,$B$150:$D$152,3,0)*(HLOOKUP(C39,$E$149:$I$155,$O$151,0)-1)/100,0),0)</f>
        <v>0</v>
      </c>
      <c r="J39" s="87">
        <f>IF(AND($A39&gt;=$H$7,$A39&lt;=$H$8),(IFERROR('State of Good Repair AP-CP'!$B$26*$C$108*B39*$J$108*VLOOKUP($E$108,$B$153:$D$155,3,0)*(HLOOKUP(C39,$E$149:$I$155,$P$150,0)-1)/100,0)+IFERROR('State of Good Repair AP-CP'!$B$26*$C$109*B39*$J$109*VLOOKUP($E$109,$B$153:$D$155,3,0)*(HLOOKUP(C39,$E$149:$I$155,$P$151,0)-1)/100,0)),0)</f>
        <v>0</v>
      </c>
      <c r="K39" s="87">
        <f t="shared" si="6"/>
        <v>0</v>
      </c>
      <c r="M39" s="72"/>
    </row>
    <row r="40" spans="1:13">
      <c r="A40" s="89">
        <f>'Major Assumption Key'!A45</f>
        <v>2046</v>
      </c>
      <c r="B40" s="88">
        <f t="shared" si="1"/>
        <v>0</v>
      </c>
      <c r="C40" s="811" t="s">
        <v>567</v>
      </c>
      <c r="D40" s="90" t="str">
        <f t="shared" si="2"/>
        <v>Rehab</v>
      </c>
      <c r="E40" s="87">
        <f t="shared" si="3"/>
        <v>0</v>
      </c>
      <c r="F40" s="87">
        <f t="shared" si="4"/>
        <v>0</v>
      </c>
      <c r="G40" s="87" cm="1">
        <f t="array" ref="G40">IFERROR(-IF(A40=$H$8,LOOKUP(2,1/($F$14:$F$54&lt;&gt;0),$F$14:$F$54)*(8-(A40-_xlfn.XLOOKUP(LOOKUP(2,1/($F$14:$F$54&lt;&gt;0),$F$14:$F$54),$F$14:$F$54,$A$14:$A$54,,0)))/8,0),0)</f>
        <v>0</v>
      </c>
      <c r="H40" s="87">
        <f t="shared" si="5"/>
        <v>0</v>
      </c>
      <c r="I40" s="87">
        <f>IF(AND($A40&gt;=$H$7,$A40&lt;=$H$8),IFERROR('State of Good Repair AP-CP'!$B$26*$C$108*B40*(1-$J$108)*VLOOKUP($E$108,$B$150:$D$152,3,0)*(HLOOKUP(C40,$E$149:$I$155,$O$150,0)-1)/100,0)+IFERROR('State of Good Repair AP-CP'!$B$26*$C$109*B40*(1-$J$109)*VLOOKUP($E$109,$B$150:$D$152,3,0)*(HLOOKUP(C40,$E$149:$I$155,$O$151,0)-1)/100,0),0)</f>
        <v>0</v>
      </c>
      <c r="J40" s="87">
        <f>IF(AND($A40&gt;=$H$7,$A40&lt;=$H$8),(IFERROR('State of Good Repair AP-CP'!$B$26*$C$108*B40*$J$108*VLOOKUP($E$108,$B$153:$D$155,3,0)*(HLOOKUP(C40,$E$149:$I$155,$P$150,0)-1)/100,0)+IFERROR('State of Good Repair AP-CP'!$B$26*$C$109*B40*$J$109*VLOOKUP($E$109,$B$153:$D$155,3,0)*(HLOOKUP(C40,$E$149:$I$155,$P$151,0)-1)/100,0)),0)</f>
        <v>0</v>
      </c>
      <c r="K40" s="87">
        <f t="shared" si="6"/>
        <v>0</v>
      </c>
      <c r="M40" s="72"/>
    </row>
    <row r="41" spans="1:13">
      <c r="A41" s="89">
        <f>'Major Assumption Key'!A46</f>
        <v>2047</v>
      </c>
      <c r="B41" s="88">
        <f t="shared" si="1"/>
        <v>0</v>
      </c>
      <c r="C41" s="811" t="s">
        <v>96</v>
      </c>
      <c r="D41" s="90" t="str">
        <f t="shared" si="2"/>
        <v>Routine Maintenance</v>
      </c>
      <c r="E41" s="87">
        <f t="shared" si="3"/>
        <v>0</v>
      </c>
      <c r="F41" s="87">
        <f t="shared" si="4"/>
        <v>0</v>
      </c>
      <c r="G41" s="87" cm="1">
        <f t="array" ref="G41">IFERROR(-IF(A41=$H$8,LOOKUP(2,1/($F$14:$F$54&lt;&gt;0),$F$14:$F$54)*(8-(A41-_xlfn.XLOOKUP(LOOKUP(2,1/($F$14:$F$54&lt;&gt;0),$F$14:$F$54),$F$14:$F$54,$A$14:$A$54,,0)))/8,0),0)</f>
        <v>0</v>
      </c>
      <c r="H41" s="87">
        <f t="shared" si="5"/>
        <v>0</v>
      </c>
      <c r="I41" s="87">
        <f>IF(AND($A41&gt;=$H$7,$A41&lt;=$H$8),IFERROR('State of Good Repair AP-CP'!$B$26*$C$108*B41*(1-$J$108)*VLOOKUP($E$108,$B$150:$D$152,3,0)*(HLOOKUP(C41,$E$149:$I$155,$O$150,0)-1)/100,0)+IFERROR('State of Good Repair AP-CP'!$B$26*$C$109*B41*(1-$J$109)*VLOOKUP($E$109,$B$150:$D$152,3,0)*(HLOOKUP(C41,$E$149:$I$155,$O$151,0)-1)/100,0),0)</f>
        <v>0</v>
      </c>
      <c r="J41" s="87">
        <f>IF(AND($A41&gt;=$H$7,$A41&lt;=$H$8),(IFERROR('State of Good Repair AP-CP'!$B$26*$C$108*B41*$J$108*VLOOKUP($E$108,$B$153:$D$155,3,0)*(HLOOKUP(C41,$E$149:$I$155,$P$150,0)-1)/100,0)+IFERROR('State of Good Repair AP-CP'!$B$26*$C$109*B41*$J$109*VLOOKUP($E$109,$B$153:$D$155,3,0)*(HLOOKUP(C41,$E$149:$I$155,$P$151,0)-1)/100,0)),0)</f>
        <v>0</v>
      </c>
      <c r="K41" s="87">
        <f t="shared" si="6"/>
        <v>0</v>
      </c>
      <c r="M41" s="72"/>
    </row>
    <row r="42" spans="1:13">
      <c r="A42" s="89">
        <f>'Major Assumption Key'!A47</f>
        <v>2048</v>
      </c>
      <c r="B42" s="88">
        <f t="shared" si="1"/>
        <v>0</v>
      </c>
      <c r="C42" s="811" t="s">
        <v>96</v>
      </c>
      <c r="D42" s="90" t="str">
        <f t="shared" si="2"/>
        <v>Routine Maintenance</v>
      </c>
      <c r="E42" s="87">
        <f t="shared" si="3"/>
        <v>0</v>
      </c>
      <c r="F42" s="87">
        <f t="shared" si="4"/>
        <v>0</v>
      </c>
      <c r="G42" s="87" cm="1">
        <f t="array" ref="G42">IFERROR(-IF(A42=$H$8,LOOKUP(2,1/($F$14:$F$54&lt;&gt;0),$F$14:$F$54)*(8-(A42-_xlfn.XLOOKUP(LOOKUP(2,1/($F$14:$F$54&lt;&gt;0),$F$14:$F$54),$F$14:$F$54,$A$14:$A$54,,0)))/8,0),0)</f>
        <v>0</v>
      </c>
      <c r="H42" s="87">
        <f t="shared" si="5"/>
        <v>0</v>
      </c>
      <c r="I42" s="87">
        <f>IF(AND($A42&gt;=$H$7,$A42&lt;=$H$8),IFERROR('State of Good Repair AP-CP'!$B$26*$C$108*B42*(1-$J$108)*VLOOKUP($E$108,$B$150:$D$152,3,0)*(HLOOKUP(C42,$E$149:$I$155,$O$150,0)-1)/100,0)+IFERROR('State of Good Repair AP-CP'!$B$26*$C$109*B42*(1-$J$109)*VLOOKUP($E$109,$B$150:$D$152,3,0)*(HLOOKUP(C42,$E$149:$I$155,$O$151,0)-1)/100,0),0)</f>
        <v>0</v>
      </c>
      <c r="J42" s="87">
        <f>IF(AND($A42&gt;=$H$7,$A42&lt;=$H$8),(IFERROR('State of Good Repair AP-CP'!$B$26*$C$108*B42*$J$108*VLOOKUP($E$108,$B$153:$D$155,3,0)*(HLOOKUP(C42,$E$149:$I$155,$P$150,0)-1)/100,0)+IFERROR('State of Good Repair AP-CP'!$B$26*$C$109*B42*$J$109*VLOOKUP($E$109,$B$153:$D$155,3,0)*(HLOOKUP(C42,$E$149:$I$155,$P$151,0)-1)/100,0)),0)</f>
        <v>0</v>
      </c>
      <c r="K42" s="87">
        <f t="shared" si="6"/>
        <v>0</v>
      </c>
      <c r="M42" s="72"/>
    </row>
    <row r="43" spans="1:13">
      <c r="A43" s="89">
        <f>'Major Assumption Key'!A48</f>
        <v>2049</v>
      </c>
      <c r="B43" s="88">
        <f t="shared" si="1"/>
        <v>0</v>
      </c>
      <c r="C43" s="811" t="s">
        <v>97</v>
      </c>
      <c r="D43" s="90" t="str">
        <f t="shared" si="2"/>
        <v>Routine Maintenance</v>
      </c>
      <c r="E43" s="87">
        <f t="shared" si="3"/>
        <v>0</v>
      </c>
      <c r="F43" s="87">
        <f t="shared" si="4"/>
        <v>0</v>
      </c>
      <c r="G43" s="87" cm="1">
        <f t="array" ref="G43">IFERROR(-IF(A43=$H$8,LOOKUP(2,1/($F$14:$F$54&lt;&gt;0),$F$14:$F$54)*(8-(A43-_xlfn.XLOOKUP(LOOKUP(2,1/($F$14:$F$54&lt;&gt;0),$F$14:$F$54),$F$14:$F$54,$A$14:$A$54,,0)))/8,0),0)</f>
        <v>0</v>
      </c>
      <c r="H43" s="87">
        <f t="shared" si="5"/>
        <v>0</v>
      </c>
      <c r="I43" s="87">
        <f>IF(AND($A43&gt;=$H$7,$A43&lt;=$H$8),IFERROR('State of Good Repair AP-CP'!$B$26*$C$108*B43*(1-$J$108)*VLOOKUP($E$108,$B$150:$D$152,3,0)*(HLOOKUP(C43,$E$149:$I$155,$O$150,0)-1)/100,0)+IFERROR('State of Good Repair AP-CP'!$B$26*$C$109*B43*(1-$J$109)*VLOOKUP($E$109,$B$150:$D$152,3,0)*(HLOOKUP(C43,$E$149:$I$155,$O$151,0)-1)/100,0),0)</f>
        <v>0</v>
      </c>
      <c r="J43" s="87">
        <f>IF(AND($A43&gt;=$H$7,$A43&lt;=$H$8),(IFERROR('State of Good Repair AP-CP'!$B$26*$C$108*B43*$J$108*VLOOKUP($E$108,$B$153:$D$155,3,0)*(HLOOKUP(C43,$E$149:$I$155,$P$150,0)-1)/100,0)+IFERROR('State of Good Repair AP-CP'!$B$26*$C$109*B43*$J$109*VLOOKUP($E$109,$B$153:$D$155,3,0)*(HLOOKUP(C43,$E$149:$I$155,$P$151,0)-1)/100,0)),0)</f>
        <v>0</v>
      </c>
      <c r="K43" s="87">
        <f t="shared" si="6"/>
        <v>0</v>
      </c>
      <c r="M43" s="72"/>
    </row>
    <row r="44" spans="1:13">
      <c r="A44" s="89">
        <f>'Major Assumption Key'!A49</f>
        <v>2050</v>
      </c>
      <c r="B44" s="88">
        <f t="shared" si="1"/>
        <v>0</v>
      </c>
      <c r="C44" s="811" t="s">
        <v>98</v>
      </c>
      <c r="D44" s="90" t="str">
        <f t="shared" si="2"/>
        <v>Routine Maintenance</v>
      </c>
      <c r="E44" s="87">
        <f t="shared" si="3"/>
        <v>0</v>
      </c>
      <c r="F44" s="87">
        <f t="shared" si="4"/>
        <v>0</v>
      </c>
      <c r="G44" s="87" cm="1">
        <f t="array" ref="G44">IFERROR(-IF(A44=$H$8,LOOKUP(2,1/($F$14:$F$54&lt;&gt;0),$F$14:$F$54)*(8-(A44-_xlfn.XLOOKUP(LOOKUP(2,1/($F$14:$F$54&lt;&gt;0),$F$14:$F$54),$F$14:$F$54,$A$14:$A$54,,0)))/8,0),0)</f>
        <v>0</v>
      </c>
      <c r="H44" s="87">
        <f t="shared" si="5"/>
        <v>0</v>
      </c>
      <c r="I44" s="87">
        <f>IF(AND($A44&gt;=$H$7,$A44&lt;=$H$8),IFERROR('State of Good Repair AP-CP'!$B$26*$C$108*B44*(1-$J$108)*VLOOKUP($E$108,$B$150:$D$152,3,0)*(HLOOKUP(C44,$E$149:$I$155,$O$150,0)-1)/100,0)+IFERROR('State of Good Repair AP-CP'!$B$26*$C$109*B44*(1-$J$109)*VLOOKUP($E$109,$B$150:$D$152,3,0)*(HLOOKUP(C44,$E$149:$I$155,$O$151,0)-1)/100,0),0)</f>
        <v>0</v>
      </c>
      <c r="J44" s="87">
        <f>IF(AND($A44&gt;=$H$7,$A44&lt;=$H$8),(IFERROR('State of Good Repair AP-CP'!$B$26*$C$108*B44*$J$108*VLOOKUP($E$108,$B$153:$D$155,3,0)*(HLOOKUP(C44,$E$149:$I$155,$P$150,0)-1)/100,0)+IFERROR('State of Good Repair AP-CP'!$B$26*$C$109*B44*$J$109*VLOOKUP($E$109,$B$153:$D$155,3,0)*(HLOOKUP(C44,$E$149:$I$155,$P$151,0)-1)/100,0)),0)</f>
        <v>0</v>
      </c>
      <c r="K44" s="87">
        <f t="shared" si="6"/>
        <v>0</v>
      </c>
      <c r="M44" s="72"/>
    </row>
    <row r="45" spans="1:13">
      <c r="A45" s="89">
        <f>'Major Assumption Key'!A50</f>
        <v>2051</v>
      </c>
      <c r="B45" s="88">
        <f t="shared" si="1"/>
        <v>0</v>
      </c>
      <c r="C45" s="811" t="s">
        <v>99</v>
      </c>
      <c r="D45" s="90" t="str">
        <f t="shared" si="2"/>
        <v>Routine Maintenance</v>
      </c>
      <c r="E45" s="87">
        <f t="shared" si="3"/>
        <v>0</v>
      </c>
      <c r="F45" s="87">
        <f t="shared" si="4"/>
        <v>0</v>
      </c>
      <c r="G45" s="87" cm="1">
        <f t="array" ref="G45">IFERROR(-IF(A45=$H$8,LOOKUP(2,1/($F$14:$F$54&lt;&gt;0),$F$14:$F$54)*(8-(A45-_xlfn.XLOOKUP(LOOKUP(2,1/($F$14:$F$54&lt;&gt;0),$F$14:$F$54),$F$14:$F$54,$A$14:$A$54,,0)))/8,0),0)</f>
        <v>0</v>
      </c>
      <c r="H45" s="87">
        <f t="shared" si="5"/>
        <v>0</v>
      </c>
      <c r="I45" s="87">
        <f>IF(AND($A45&gt;=$H$7,$A45&lt;=$H$8),IFERROR('State of Good Repair AP-CP'!$B$26*$C$108*B45*(1-$J$108)*VLOOKUP($E$108,$B$150:$D$152,3,0)*(HLOOKUP(C45,$E$149:$I$155,$O$150,0)-1)/100,0)+IFERROR('State of Good Repair AP-CP'!$B$26*$C$109*B45*(1-$J$109)*VLOOKUP($E$109,$B$150:$D$152,3,0)*(HLOOKUP(C45,$E$149:$I$155,$O$151,0)-1)/100,0),0)</f>
        <v>0</v>
      </c>
      <c r="J45" s="87">
        <f>IF(AND($A45&gt;=$H$7,$A45&lt;=$H$8),(IFERROR('State of Good Repair AP-CP'!$B$26*$C$108*B45*$J$108*VLOOKUP($E$108,$B$153:$D$155,3,0)*(HLOOKUP(C45,$E$149:$I$155,$P$150,0)-1)/100,0)+IFERROR('State of Good Repair AP-CP'!$B$26*$C$109*B45*$J$109*VLOOKUP($E$109,$B$153:$D$155,3,0)*(HLOOKUP(C45,$E$149:$I$155,$P$151,0)-1)/100,0)),0)</f>
        <v>0</v>
      </c>
      <c r="K45" s="87">
        <f t="shared" si="6"/>
        <v>0</v>
      </c>
      <c r="M45" s="72"/>
    </row>
    <row r="46" spans="1:13">
      <c r="A46" s="89">
        <f>'Major Assumption Key'!A51</f>
        <v>2052</v>
      </c>
      <c r="B46" s="88">
        <f t="shared" ref="B46:B54" si="7">IF(A46&lt;$C$5,"",$C$6*(1+$E$6)^(A46-$C$5))</f>
        <v>0</v>
      </c>
      <c r="C46" s="811" t="s">
        <v>99</v>
      </c>
      <c r="D46" s="90" t="str">
        <f t="shared" si="2"/>
        <v>Routine Maintenance</v>
      </c>
      <c r="E46" s="87">
        <f t="shared" si="3"/>
        <v>0</v>
      </c>
      <c r="F46" s="87">
        <f t="shared" si="4"/>
        <v>0</v>
      </c>
      <c r="G46" s="87" cm="1">
        <f t="array" ref="G46">IFERROR(-IF(A46=$H$8,LOOKUP(2,1/($F$14:$F$54&lt;&gt;0),$F$14:$F$54)*(8-(A46-_xlfn.XLOOKUP(LOOKUP(2,1/($F$14:$F$54&lt;&gt;0),$F$14:$F$54),$F$14:$F$54,$A$14:$A$54,,0)))/8,0),0)</f>
        <v>0</v>
      </c>
      <c r="H46" s="87">
        <f t="shared" si="5"/>
        <v>0</v>
      </c>
      <c r="I46" s="87">
        <f>IF(AND($A46&gt;=$H$7,$A46&lt;=$H$8),IFERROR('State of Good Repair AP-CP'!$B$26*$C$108*B46*(1-$J$108)*VLOOKUP($E$108,$B$150:$D$152,3,0)*(HLOOKUP(C46,$E$149:$I$155,$O$150,0)-1)/100,0)+IFERROR('State of Good Repair AP-CP'!$B$26*$C$109*B46*(1-$J$109)*VLOOKUP($E$109,$B$150:$D$152,3,0)*(HLOOKUP(C46,$E$149:$I$155,$O$151,0)-1)/100,0),0)</f>
        <v>0</v>
      </c>
      <c r="J46" s="87">
        <f>IF(AND($A46&gt;=$H$7,$A46&lt;=$H$8),(IFERROR('State of Good Repair AP-CP'!$B$26*$C$108*B46*$J$108*VLOOKUP($E$108,$B$153:$D$155,3,0)*(HLOOKUP(C46,$E$149:$I$155,$P$150,0)-1)/100,0)+IFERROR('State of Good Repair AP-CP'!$B$26*$C$109*B46*$J$109*VLOOKUP($E$109,$B$153:$D$155,3,0)*(HLOOKUP(C46,$E$149:$I$155,$P$151,0)-1)/100,0)),0)</f>
        <v>0</v>
      </c>
      <c r="K46" s="87">
        <f t="shared" si="6"/>
        <v>0</v>
      </c>
      <c r="M46" s="72"/>
    </row>
    <row r="47" spans="1:13">
      <c r="A47" s="89">
        <f>'Major Assumption Key'!A52</f>
        <v>2053</v>
      </c>
      <c r="B47" s="88">
        <f t="shared" si="7"/>
        <v>0</v>
      </c>
      <c r="C47" s="811" t="s">
        <v>567</v>
      </c>
      <c r="D47" s="90" t="str">
        <f t="shared" si="2"/>
        <v>Rehab</v>
      </c>
      <c r="E47" s="87">
        <f t="shared" si="3"/>
        <v>0</v>
      </c>
      <c r="F47" s="87">
        <f t="shared" si="4"/>
        <v>0</v>
      </c>
      <c r="G47" s="87" cm="1">
        <f t="array" ref="G47">IFERROR(-IF(A47=$H$8,LOOKUP(2,1/($F$14:$F$54&lt;&gt;0),$F$14:$F$54)*(8-(A47-_xlfn.XLOOKUP(LOOKUP(2,1/($F$14:$F$54&lt;&gt;0),$F$14:$F$54),$F$14:$F$54,$A$14:$A$54,,0)))/8,0),0)</f>
        <v>0</v>
      </c>
      <c r="H47" s="87">
        <f t="shared" si="5"/>
        <v>0</v>
      </c>
      <c r="I47" s="87">
        <f>IF(AND($A47&gt;=$H$7,$A47&lt;=$H$8),IFERROR('State of Good Repair AP-CP'!$B$26*$C$108*B47*(1-$J$108)*VLOOKUP($E$108,$B$150:$D$152,3,0)*(HLOOKUP(C47,$E$149:$I$155,$O$150,0)-1)/100,0)+IFERROR('State of Good Repair AP-CP'!$B$26*$C$109*B47*(1-$J$109)*VLOOKUP($E$109,$B$150:$D$152,3,0)*(HLOOKUP(C47,$E$149:$I$155,$O$151,0)-1)/100,0),0)</f>
        <v>0</v>
      </c>
      <c r="J47" s="87">
        <f>IF(AND($A47&gt;=$H$7,$A47&lt;=$H$8),(IFERROR('State of Good Repair AP-CP'!$B$26*$C$108*B47*$J$108*VLOOKUP($E$108,$B$153:$D$155,3,0)*(HLOOKUP(C47,$E$149:$I$155,$P$150,0)-1)/100,0)+IFERROR('State of Good Repair AP-CP'!$B$26*$C$109*B47*$J$109*VLOOKUP($E$109,$B$153:$D$155,3,0)*(HLOOKUP(C47,$E$149:$I$155,$P$151,0)-1)/100,0)),0)</f>
        <v>0</v>
      </c>
      <c r="K47" s="87">
        <f t="shared" si="6"/>
        <v>0</v>
      </c>
      <c r="M47" s="72"/>
    </row>
    <row r="48" spans="1:13">
      <c r="A48" s="89">
        <f>'Major Assumption Key'!A53</f>
        <v>2054</v>
      </c>
      <c r="B48" s="88">
        <f t="shared" si="7"/>
        <v>0</v>
      </c>
      <c r="C48" s="811" t="s">
        <v>96</v>
      </c>
      <c r="D48" s="90" t="str">
        <f t="shared" si="2"/>
        <v>Routine Maintenance</v>
      </c>
      <c r="E48" s="87">
        <f t="shared" si="3"/>
        <v>0</v>
      </c>
      <c r="F48" s="87">
        <f t="shared" si="4"/>
        <v>0</v>
      </c>
      <c r="G48" s="87" cm="1">
        <f t="array" ref="G48">IFERROR(-IF(A48=$H$8,LOOKUP(2,1/($F$14:$F$54&lt;&gt;0),$F$14:$F$54)*(8-(A48-_xlfn.XLOOKUP(LOOKUP(2,1/($F$14:$F$54&lt;&gt;0),$F$14:$F$54),$F$14:$F$54,$A$14:$A$54,,0)))/8,0),0)</f>
        <v>0</v>
      </c>
      <c r="H48" s="87">
        <f t="shared" si="5"/>
        <v>0</v>
      </c>
      <c r="I48" s="87">
        <f>IF(AND($A48&gt;=$H$7,$A48&lt;=$H$8),IFERROR('State of Good Repair AP-CP'!$B$26*$C$108*B48*(1-$J$108)*VLOOKUP($E$108,$B$150:$D$152,3,0)*(HLOOKUP(C48,$E$149:$I$155,$O$150,0)-1)/100,0)+IFERROR('State of Good Repair AP-CP'!$B$26*$C$109*B48*(1-$J$109)*VLOOKUP($E$109,$B$150:$D$152,3,0)*(HLOOKUP(C48,$E$149:$I$155,$O$151,0)-1)/100,0),0)</f>
        <v>0</v>
      </c>
      <c r="J48" s="87">
        <f>IF(AND($A48&gt;=$H$7,$A48&lt;=$H$8),(IFERROR('State of Good Repair AP-CP'!$B$26*$C$108*B48*$J$108*VLOOKUP($E$108,$B$153:$D$155,3,0)*(HLOOKUP(C48,$E$149:$I$155,$P$150,0)-1)/100,0)+IFERROR('State of Good Repair AP-CP'!$B$26*$C$109*B48*$J$109*VLOOKUP($E$109,$B$153:$D$155,3,0)*(HLOOKUP(C48,$E$149:$I$155,$P$151,0)-1)/100,0)),0)</f>
        <v>0</v>
      </c>
      <c r="K48" s="87">
        <f t="shared" si="6"/>
        <v>0</v>
      </c>
      <c r="M48" s="72"/>
    </row>
    <row r="49" spans="1:13">
      <c r="A49" s="89">
        <f>'Major Assumption Key'!A54</f>
        <v>2055</v>
      </c>
      <c r="B49" s="88">
        <f t="shared" si="7"/>
        <v>0</v>
      </c>
      <c r="C49" s="811" t="s">
        <v>96</v>
      </c>
      <c r="D49" s="90" t="str">
        <f t="shared" si="2"/>
        <v>Routine Maintenance</v>
      </c>
      <c r="E49" s="87">
        <f t="shared" si="3"/>
        <v>0</v>
      </c>
      <c r="F49" s="87">
        <f t="shared" si="4"/>
        <v>0</v>
      </c>
      <c r="G49" s="87" cm="1">
        <f t="array" ref="G49">IFERROR(-IF(A49=$H$8,LOOKUP(2,1/($F$14:$F$54&lt;&gt;0),$F$14:$F$54)*(8-(A49-_xlfn.XLOOKUP(LOOKUP(2,1/($F$14:$F$54&lt;&gt;0),$F$14:$F$54),$F$14:$F$54,$A$14:$A$54,,0)))/8,0),0)</f>
        <v>0</v>
      </c>
      <c r="H49" s="87">
        <f t="shared" si="5"/>
        <v>0</v>
      </c>
      <c r="I49" s="87">
        <f>IF(AND($A49&gt;=$H$7,$A49&lt;=$H$8),IFERROR('State of Good Repair AP-CP'!$B$26*$C$108*B49*(1-$J$108)*VLOOKUP($E$108,$B$150:$D$152,3,0)*(HLOOKUP(C49,$E$149:$I$155,$O$150,0)-1)/100,0)+IFERROR('State of Good Repair AP-CP'!$B$26*$C$109*B49*(1-$J$109)*VLOOKUP($E$109,$B$150:$D$152,3,0)*(HLOOKUP(C49,$E$149:$I$155,$O$151,0)-1)/100,0),0)</f>
        <v>0</v>
      </c>
      <c r="J49" s="87">
        <f>IF(AND($A49&gt;=$H$7,$A49&lt;=$H$8),(IFERROR('State of Good Repair AP-CP'!$B$26*$C$108*B49*$J$108*VLOOKUP($E$108,$B$153:$D$155,3,0)*(HLOOKUP(C49,$E$149:$I$155,$P$150,0)-1)/100,0)+IFERROR('State of Good Repair AP-CP'!$B$26*$C$109*B49*$J$109*VLOOKUP($E$109,$B$153:$D$155,3,0)*(HLOOKUP(C49,$E$149:$I$155,$P$151,0)-1)/100,0)),0)</f>
        <v>0</v>
      </c>
      <c r="K49" s="87">
        <f t="shared" si="6"/>
        <v>0</v>
      </c>
      <c r="M49" s="72"/>
    </row>
    <row r="50" spans="1:13">
      <c r="A50" s="89">
        <f>'Major Assumption Key'!A55</f>
        <v>2056</v>
      </c>
      <c r="B50" s="88">
        <f t="shared" si="7"/>
        <v>0</v>
      </c>
      <c r="C50" s="811" t="s">
        <v>97</v>
      </c>
      <c r="D50" s="90" t="str">
        <f t="shared" si="2"/>
        <v>Routine Maintenance</v>
      </c>
      <c r="E50" s="87">
        <f t="shared" si="3"/>
        <v>0</v>
      </c>
      <c r="F50" s="87">
        <f t="shared" si="4"/>
        <v>0</v>
      </c>
      <c r="G50" s="87" cm="1">
        <f t="array" ref="G50">IFERROR(-IF(A50=$H$8,LOOKUP(2,1/($F$14:$F$54&lt;&gt;0),$F$14:$F$54)*(8-(A50-_xlfn.XLOOKUP(LOOKUP(2,1/($F$14:$F$54&lt;&gt;0),$F$14:$F$54),$F$14:$F$54,$A$14:$A$54,,0)))/8,0),0)</f>
        <v>0</v>
      </c>
      <c r="H50" s="87">
        <f t="shared" si="5"/>
        <v>0</v>
      </c>
      <c r="I50" s="87">
        <f>IF(AND($A50&gt;=$H$7,$A50&lt;=$H$8),IFERROR('State of Good Repair AP-CP'!$B$26*$C$108*B50*(1-$J$108)*VLOOKUP($E$108,$B$150:$D$152,3,0)*(HLOOKUP(C50,$E$149:$I$155,$O$150,0)-1)/100,0)+IFERROR('State of Good Repair AP-CP'!$B$26*$C$109*B50*(1-$J$109)*VLOOKUP($E$109,$B$150:$D$152,3,0)*(HLOOKUP(C50,$E$149:$I$155,$O$151,0)-1)/100,0),0)</f>
        <v>0</v>
      </c>
      <c r="J50" s="87">
        <f>IF(AND($A50&gt;=$H$7,$A50&lt;=$H$8),(IFERROR('State of Good Repair AP-CP'!$B$26*$C$108*B50*$J$108*VLOOKUP($E$108,$B$153:$D$155,3,0)*(HLOOKUP(C50,$E$149:$I$155,$P$150,0)-1)/100,0)+IFERROR('State of Good Repair AP-CP'!$B$26*$C$109*B50*$J$109*VLOOKUP($E$109,$B$153:$D$155,3,0)*(HLOOKUP(C50,$E$149:$I$155,$P$151,0)-1)/100,0)),0)</f>
        <v>0</v>
      </c>
      <c r="K50" s="87">
        <f t="shared" si="6"/>
        <v>0</v>
      </c>
      <c r="M50" s="72"/>
    </row>
    <row r="51" spans="1:13">
      <c r="A51" s="89">
        <f>'Major Assumption Key'!A56</f>
        <v>2057</v>
      </c>
      <c r="B51" s="88">
        <f t="shared" si="7"/>
        <v>0</v>
      </c>
      <c r="C51" s="811" t="s">
        <v>98</v>
      </c>
      <c r="D51" s="90" t="str">
        <f t="shared" si="2"/>
        <v>Routine Maintenance</v>
      </c>
      <c r="E51" s="87">
        <f t="shared" si="3"/>
        <v>0</v>
      </c>
      <c r="F51" s="87">
        <f t="shared" si="4"/>
        <v>0</v>
      </c>
      <c r="G51" s="87" cm="1">
        <f t="array" ref="G51">IFERROR(-IF(A51=$H$8,LOOKUP(2,1/($F$14:$F$54&lt;&gt;0),$F$14:$F$54)*(8-(A51-_xlfn.XLOOKUP(LOOKUP(2,1/($F$14:$F$54&lt;&gt;0),$F$14:$F$54),$F$14:$F$54,$A$14:$A$54,,0)))/8,0),0)</f>
        <v>0</v>
      </c>
      <c r="H51" s="87">
        <f t="shared" si="5"/>
        <v>0</v>
      </c>
      <c r="I51" s="87">
        <f>IF(AND($A51&gt;=$H$7,$A51&lt;=$H$8),IFERROR('State of Good Repair AP-CP'!$B$26*$C$108*B51*(1-$J$108)*VLOOKUP($E$108,$B$150:$D$152,3,0)*(HLOOKUP(C51,$E$149:$I$155,$O$150,0)-1)/100,0)+IFERROR('State of Good Repair AP-CP'!$B$26*$C$109*B51*(1-$J$109)*VLOOKUP($E$109,$B$150:$D$152,3,0)*(HLOOKUP(C51,$E$149:$I$155,$O$151,0)-1)/100,0),0)</f>
        <v>0</v>
      </c>
      <c r="J51" s="87">
        <f>IF(AND($A51&gt;=$H$7,$A51&lt;=$H$8),(IFERROR('State of Good Repair AP-CP'!$B$26*$C$108*B51*$J$108*VLOOKUP($E$108,$B$153:$D$155,3,0)*(HLOOKUP(C51,$E$149:$I$155,$P$150,0)-1)/100,0)+IFERROR('State of Good Repair AP-CP'!$B$26*$C$109*B51*$J$109*VLOOKUP($E$109,$B$153:$D$155,3,0)*(HLOOKUP(C51,$E$149:$I$155,$P$151,0)-1)/100,0)),0)</f>
        <v>0</v>
      </c>
      <c r="K51" s="87">
        <f t="shared" si="6"/>
        <v>0</v>
      </c>
      <c r="M51" s="72"/>
    </row>
    <row r="52" spans="1:13">
      <c r="A52" s="89">
        <f>'Major Assumption Key'!A57</f>
        <v>2058</v>
      </c>
      <c r="B52" s="88">
        <f t="shared" si="7"/>
        <v>0</v>
      </c>
      <c r="C52" s="811" t="s">
        <v>99</v>
      </c>
      <c r="D52" s="90" t="str">
        <f t="shared" si="2"/>
        <v>Routine Maintenance</v>
      </c>
      <c r="E52" s="87">
        <f t="shared" si="3"/>
        <v>0</v>
      </c>
      <c r="F52" s="87">
        <f t="shared" si="4"/>
        <v>0</v>
      </c>
      <c r="G52" s="87" cm="1">
        <f t="array" ref="G52">IFERROR(-IF(A52=$H$8,LOOKUP(2,1/($F$14:$F$54&lt;&gt;0),$F$14:$F$54)*(8-(A52-_xlfn.XLOOKUP(LOOKUP(2,1/($F$14:$F$54&lt;&gt;0),$F$14:$F$54),$F$14:$F$54,$A$14:$A$54,,0)))/8,0),0)</f>
        <v>0</v>
      </c>
      <c r="H52" s="87">
        <f t="shared" si="5"/>
        <v>0</v>
      </c>
      <c r="I52" s="87">
        <f>IF(AND($A52&gt;=$H$7,$A52&lt;=$H$8),IFERROR('State of Good Repair AP-CP'!$B$26*$C$108*B52*(1-$J$108)*VLOOKUP($E$108,$B$150:$D$152,3,0)*(HLOOKUP(C52,$E$149:$I$155,$O$150,0)-1)/100,0)+IFERROR('State of Good Repair AP-CP'!$B$26*$C$109*B52*(1-$J$109)*VLOOKUP($E$109,$B$150:$D$152,3,0)*(HLOOKUP(C52,$E$149:$I$155,$O$151,0)-1)/100,0),0)</f>
        <v>0</v>
      </c>
      <c r="J52" s="87">
        <f>IF(AND($A52&gt;=$H$7,$A52&lt;=$H$8),(IFERROR('State of Good Repair AP-CP'!$B$26*$C$108*B52*$J$108*VLOOKUP($E$108,$B$153:$D$155,3,0)*(HLOOKUP(C52,$E$149:$I$155,$P$150,0)-1)/100,0)+IFERROR('State of Good Repair AP-CP'!$B$26*$C$109*B52*$J$109*VLOOKUP($E$109,$B$153:$D$155,3,0)*(HLOOKUP(C52,$E$149:$I$155,$P$151,0)-1)/100,0)),0)</f>
        <v>0</v>
      </c>
      <c r="K52" s="87">
        <f t="shared" si="6"/>
        <v>0</v>
      </c>
      <c r="M52" s="72"/>
    </row>
    <row r="53" spans="1:13">
      <c r="A53" s="89">
        <f>'Major Assumption Key'!A58</f>
        <v>2059</v>
      </c>
      <c r="B53" s="88">
        <f t="shared" si="7"/>
        <v>0</v>
      </c>
      <c r="C53" s="811" t="s">
        <v>99</v>
      </c>
      <c r="D53" s="90" t="str">
        <f t="shared" si="2"/>
        <v>Routine Maintenance</v>
      </c>
      <c r="E53" s="87">
        <f t="shared" si="3"/>
        <v>0</v>
      </c>
      <c r="F53" s="87">
        <f t="shared" si="4"/>
        <v>0</v>
      </c>
      <c r="G53" s="87" cm="1">
        <f t="array" ref="G53">IFERROR(-IF(A53=$H$8,LOOKUP(2,1/($F$14:$F$54&lt;&gt;0),$F$14:$F$54)*(8-(A53-_xlfn.XLOOKUP(LOOKUP(2,1/($F$14:$F$54&lt;&gt;0),$F$14:$F$54),$F$14:$F$54,$A$14:$A$54,,0)))/8,0),0)</f>
        <v>0</v>
      </c>
      <c r="H53" s="87">
        <f t="shared" si="5"/>
        <v>0</v>
      </c>
      <c r="I53" s="87">
        <f>IF(AND($A53&gt;=$H$7,$A53&lt;=$H$8),IFERROR('State of Good Repair AP-CP'!$B$26*$C$108*B53*(1-$J$108)*VLOOKUP($E$108,$B$150:$D$152,3,0)*(HLOOKUP(C53,$E$149:$I$155,$O$150,0)-1)/100,0)+IFERROR('State of Good Repair AP-CP'!$B$26*$C$109*B53*(1-$J$109)*VLOOKUP($E$109,$B$150:$D$152,3,0)*(HLOOKUP(C53,$E$149:$I$155,$O$151,0)-1)/100,0),0)</f>
        <v>0</v>
      </c>
      <c r="J53" s="87">
        <f>IF(AND($A53&gt;=$H$7,$A53&lt;=$H$8),(IFERROR('State of Good Repair AP-CP'!$B$26*$C$108*B53*$J$108*VLOOKUP($E$108,$B$153:$D$155,3,0)*(HLOOKUP(C53,$E$149:$I$155,$P$150,0)-1)/100,0)+IFERROR('State of Good Repair AP-CP'!$B$26*$C$109*B53*$J$109*VLOOKUP($E$109,$B$153:$D$155,3,0)*(HLOOKUP(C53,$E$149:$I$155,$P$151,0)-1)/100,0)),0)</f>
        <v>0</v>
      </c>
      <c r="K53" s="87">
        <f t="shared" si="6"/>
        <v>0</v>
      </c>
      <c r="M53" s="72"/>
    </row>
    <row r="54" spans="1:13">
      <c r="A54" s="89">
        <f>'Major Assumption Key'!A59</f>
        <v>2060</v>
      </c>
      <c r="B54" s="88">
        <f t="shared" si="7"/>
        <v>0</v>
      </c>
      <c r="C54" s="811" t="s">
        <v>567</v>
      </c>
      <c r="D54" s="90" t="str">
        <f t="shared" si="2"/>
        <v>Rehab</v>
      </c>
      <c r="E54" s="87">
        <f t="shared" si="3"/>
        <v>0</v>
      </c>
      <c r="F54" s="87">
        <f t="shared" si="4"/>
        <v>0</v>
      </c>
      <c r="G54" s="87" cm="1">
        <f t="array" ref="G54">IFERROR(-IF(A54=$H$8,LOOKUP(2,1/($F$14:$F$54&lt;&gt;0),$F$14:$F$54)*(8-(A54-_xlfn.XLOOKUP(LOOKUP(2,1/($F$14:$F$54&lt;&gt;0),$F$14:$F$54),$F$14:$F$54,$A$14:$A$54,,0)))/8,0),0)</f>
        <v>0</v>
      </c>
      <c r="H54" s="87">
        <f t="shared" si="5"/>
        <v>0</v>
      </c>
      <c r="I54" s="87">
        <f>IF(AND($A54&gt;=$H$7,$A54&lt;=$H$8),IFERROR('State of Good Repair AP-CP'!$B$26*$C$108*B54*(1-$J$108)*VLOOKUP($E$108,$B$150:$D$152,3,0)*(HLOOKUP(C54,$E$149:$I$155,$O$150,0)-1)/100,0)+IFERROR('State of Good Repair AP-CP'!$B$26*$C$109*B54*(1-$J$109)*VLOOKUP($E$109,$B$150:$D$152,3,0)*(HLOOKUP(C54,$E$149:$I$155,$O$151,0)-1)/100,0),0)</f>
        <v>0</v>
      </c>
      <c r="J54" s="87">
        <f>IF(AND($A54&gt;=$H$7,$A54&lt;=$H$8),(IFERROR('State of Good Repair AP-CP'!$B$26*$C$108*B54*$J$108*VLOOKUP($E$108,$B$153:$D$155,3,0)*(HLOOKUP(C54,$E$149:$I$155,$P$150,0)-1)/100,0)+IFERROR('State of Good Repair AP-CP'!$B$26*$C$109*B54*$J$109*VLOOKUP($E$109,$B$153:$D$155,3,0)*(HLOOKUP(C54,$E$149:$I$155,$P$151,0)-1)/100,0)),0)</f>
        <v>0</v>
      </c>
      <c r="K54" s="87">
        <f t="shared" si="6"/>
        <v>0</v>
      </c>
      <c r="M54" s="72"/>
    </row>
    <row r="55" spans="1:13">
      <c r="A55" s="94" t="s">
        <v>63</v>
      </c>
      <c r="B55" s="86"/>
      <c r="C55" s="85"/>
      <c r="D55" s="85"/>
      <c r="E55" s="121">
        <f>SUMIFS(E$14:E$54,$A$14:$A$54,"&gt;="&amp;$H$7,$A$14:$A$54,"&lt;="&amp;$H$8)</f>
        <v>0</v>
      </c>
      <c r="F55" s="121">
        <f t="shared" ref="F55:J55" si="8">SUMIFS(F$14:F$54,$A$14:$A$54,"&gt;="&amp;$H$7,$A$14:$A$54,"&lt;="&amp;$H$8)</f>
        <v>0</v>
      </c>
      <c r="G55" s="121">
        <f>SUMIFS(G$14:G$54,$A$14:$A$54,"&gt;="&amp;$H$7,$A$14:$A$54,"&lt;="&amp;$H$8)</f>
        <v>0</v>
      </c>
      <c r="H55" s="121">
        <f t="shared" si="8"/>
        <v>0</v>
      </c>
      <c r="I55" s="121">
        <f t="shared" si="8"/>
        <v>0</v>
      </c>
      <c r="J55" s="121">
        <f t="shared" si="8"/>
        <v>0</v>
      </c>
      <c r="K55" s="121">
        <f>SUMIFS(K$14:K$54,$A$14:$A$54,"&gt;="&amp;$H$7,$A$14:$A$54,"&lt;="&amp;$H$8)</f>
        <v>0</v>
      </c>
      <c r="M55" s="72"/>
    </row>
    <row r="56" spans="1:13">
      <c r="B56" s="73"/>
      <c r="M56" s="72"/>
    </row>
    <row r="57" spans="1:13">
      <c r="C57" s="72"/>
      <c r="D57" s="799"/>
      <c r="E57" s="72"/>
      <c r="F57" s="72"/>
      <c r="G57" s="72"/>
      <c r="H57" s="72"/>
      <c r="I57" s="72"/>
      <c r="M57" s="72"/>
    </row>
    <row r="58" spans="1:13" ht="37.950000000000003" customHeight="1">
      <c r="A58" s="1916" t="s">
        <v>568</v>
      </c>
      <c r="B58" s="1917"/>
      <c r="C58" s="1917"/>
      <c r="D58" s="1917"/>
      <c r="E58" s="1917"/>
      <c r="F58" s="1917"/>
      <c r="G58" s="1917"/>
      <c r="H58" s="1917"/>
      <c r="I58" s="1917"/>
      <c r="J58" s="1917"/>
      <c r="K58" s="1917"/>
      <c r="M58" s="72"/>
    </row>
    <row r="59" spans="1:13" ht="75" customHeight="1">
      <c r="A59" s="93" t="s">
        <v>510</v>
      </c>
      <c r="B59" s="91" t="s">
        <v>80</v>
      </c>
      <c r="C59" s="92" t="s">
        <v>559</v>
      </c>
      <c r="D59" s="92" t="s">
        <v>560</v>
      </c>
      <c r="E59" s="91" t="s">
        <v>569</v>
      </c>
      <c r="F59" s="91" t="s">
        <v>570</v>
      </c>
      <c r="G59" s="91" t="s">
        <v>571</v>
      </c>
      <c r="H59" s="91" t="s">
        <v>563</v>
      </c>
      <c r="I59" s="176" t="s">
        <v>564</v>
      </c>
      <c r="J59" s="176" t="s">
        <v>565</v>
      </c>
      <c r="K59" s="177" t="s">
        <v>566</v>
      </c>
      <c r="M59" s="72"/>
    </row>
    <row r="60" spans="1:13">
      <c r="A60" s="89">
        <f>'Major Assumption Key'!A19</f>
        <v>2020</v>
      </c>
      <c r="B60" s="88" t="str">
        <f t="shared" ref="B60:B91" si="9">B14</f>
        <v/>
      </c>
      <c r="C60" s="812" t="str" cm="1">
        <f t="array" ref="C60">IF(A60-$H$9&lt;0,"",INDEX('Life Cycle of Rehabilitation'!$C$19:$C$73,A60-$H$9+1,0))</f>
        <v/>
      </c>
      <c r="D60" s="90" t="str">
        <f>IF(C60="",IF(AND(A60&gt;='Cost Summary'!$C$26,A60&lt;='Cost Summary'!$D$26),"Construction",D14),"Routine Maintenance")</f>
        <v/>
      </c>
      <c r="E60" s="87">
        <f t="shared" ref="E60:E100" si="10">IF(AND($A60&gt;=$H$7,$A60&lt;=$H$8),IF(A60&gt;$H$9,IF(D60="Routine Maintenance",VLOOKUP(C60,$A$136:$D$142,4,0)*(1+$H$5)^(A60-$H$6),0),E14),0)</f>
        <v>0</v>
      </c>
      <c r="F60" s="87"/>
      <c r="H60" s="813">
        <f>IF(AND(A60&gt;='Cost Summary'!$C$26,A60&lt;='Cost Summary'!$D$26),$J$186/IF('Cost Summary'!$D$26='Cost Summary'!$C$26,1,'Cost Summary'!$D$26-'Cost Summary'!$C$26)*(1+$H$5)^(A60-$H$6),0)</f>
        <v>0</v>
      </c>
      <c r="I60" s="87">
        <f>IF(AND($A14&gt;=$H$7,$A14&lt;=$H$8),IFERROR('State of Good Repair AP-CP'!$B$26*$C$108*B60*(1-$J$108)*VLOOKUP($E$108,$B$150:$D$152,3,0)*(HLOOKUP(C60,$E$149:$I$155,$O$150,0)-1)/100,0)+IFERROR('State of Good Repair AP-CP'!$B$26*$C$109*B60*(1-$J$109)*VLOOKUP($E$109,$B$150:$D$152,3,0)*(HLOOKUP(C60,$E$149:$I$155,$O$151,0)-1)/100,0),0)</f>
        <v>0</v>
      </c>
      <c r="J60" s="87">
        <f>IF(AND($A14&gt;=$H$7,$A14&lt;=$H$8),IFERROR('State of Good Repair AP-CP'!$B$26*$C$108*B60*$J$108*VLOOKUP($E$108,$B$153:$D$155,3,0)*(HLOOKUP(C60,$E$149:$I$155,$P$150,0)-1)/100,0)+IFERROR('State of Good Repair AP-CP'!$B$26*$C$109*B60*$J$109*VLOOKUP($E$109,$B$153:$D$155,3,0)*(HLOOKUP(C60,$E$149:$I$155,$P$151,0)-1)/100,0),0)</f>
        <v>0</v>
      </c>
      <c r="K60" s="87">
        <f t="shared" ref="K60" si="11">I60+J60</f>
        <v>0</v>
      </c>
      <c r="M60" s="72"/>
    </row>
    <row r="61" spans="1:13">
      <c r="A61" s="89">
        <f>'Major Assumption Key'!A20</f>
        <v>2021</v>
      </c>
      <c r="B61" s="88" t="str">
        <f t="shared" si="9"/>
        <v/>
      </c>
      <c r="C61" s="812" t="str" cm="1">
        <f t="array" ref="C61">IF(A61-$H$9&lt;0,"",INDEX('Life Cycle of Rehabilitation'!$C$19:$C$73,A61-$H$9+1,0))</f>
        <v/>
      </c>
      <c r="D61" s="90" t="str">
        <f>IF(C61="",IF(AND(A61&gt;='Cost Summary'!$C$26,A61&lt;='Cost Summary'!$D$26),"Construction",D15),"Routine Maintenance")</f>
        <v/>
      </c>
      <c r="E61" s="87">
        <f t="shared" si="10"/>
        <v>0</v>
      </c>
      <c r="F61" s="87"/>
      <c r="H61" s="813">
        <f>IF(AND(A61&gt;='Cost Summary'!$C$26,A61&lt;='Cost Summary'!$D$26),$J$186/IF('Cost Summary'!$D$26='Cost Summary'!$C$26,1,'Cost Summary'!$D$26-'Cost Summary'!$C$26)*(1+$H$5)^(A61-$H$6),0)</f>
        <v>0</v>
      </c>
      <c r="I61" s="87">
        <f>IF(AND($A15&gt;=$H$7,$A15&lt;=$H$8),IFERROR('State of Good Repair AP-CP'!$B$26*$C$108*B61*(1-$J$108)*VLOOKUP($E$108,$B$150:$D$152,3,0)*(HLOOKUP(C61,$E$149:$I$155,$O$150,0)-1)/100,0)+IFERROR('State of Good Repair AP-CP'!$B$26*$C$109*B61*(1-$J$109)*VLOOKUP($E$109,$B$150:$D$152,3,0)*(HLOOKUP(C61,$E$149:$I$155,$O$151,0)-1)/100,0),0)</f>
        <v>0</v>
      </c>
      <c r="J61" s="87">
        <f>IF(AND($A15&gt;=$H$7,$A15&lt;=$H$8),IFERROR('State of Good Repair AP-CP'!$B$26*$C$108*B61*$J$108*VLOOKUP($E$108,$B$153:$D$155,3,0)*(HLOOKUP(C61,$E$149:$I$155,$P$150,0)-1)/100,0)+IFERROR('State of Good Repair AP-CP'!$B$26*$C$109*B61*$J$109*VLOOKUP($E$109,$B$153:$D$155,3,0)*(HLOOKUP(C61,$E$149:$I$155,$P$151,0)-1)/100,0),0)</f>
        <v>0</v>
      </c>
      <c r="K61" s="87">
        <f t="shared" ref="K61:K100" si="12">I61+J61</f>
        <v>0</v>
      </c>
      <c r="M61" s="72"/>
    </row>
    <row r="62" spans="1:13">
      <c r="A62" s="89">
        <f>'Major Assumption Key'!A21</f>
        <v>2022</v>
      </c>
      <c r="B62" s="88">
        <f t="shared" si="9"/>
        <v>0</v>
      </c>
      <c r="C62" s="812" t="str" cm="1">
        <f t="array" ref="C62">IF(A62-$H$9&lt;0,"",INDEX('Life Cycle of Rehabilitation'!$C$19:$C$73,A62-$H$9+1,0))</f>
        <v/>
      </c>
      <c r="D62" s="90" t="str">
        <f>IF(C62="",IF(AND(A62&gt;='Cost Summary'!$C$26,A62&lt;='Cost Summary'!$D$26),"Construction",D16),"Routine Maintenance")</f>
        <v/>
      </c>
      <c r="E62" s="87">
        <f t="shared" si="10"/>
        <v>0</v>
      </c>
      <c r="F62" s="87"/>
      <c r="H62" s="813">
        <f>IF(AND(A62&gt;='Cost Summary'!$C$26,A62&lt;='Cost Summary'!$D$26),$J$186/IF('Cost Summary'!$D$26='Cost Summary'!$C$26,1,'Cost Summary'!$D$26-'Cost Summary'!$C$26)*(1+$H$5)^(A62-$H$6),0)</f>
        <v>0</v>
      </c>
      <c r="I62" s="87">
        <f>IF(AND($A16&gt;=$H$7,$A16&lt;=$H$8),IFERROR('State of Good Repair AP-CP'!$B$26*$C$108*B62*(1-$J$108)*VLOOKUP($E$108,$B$150:$D$152,3,0)*(HLOOKUP(C62,$E$149:$I$155,$O$150,0)-1)/100,0)+IFERROR('State of Good Repair AP-CP'!$B$26*$C$109*B62*(1-$J$109)*VLOOKUP($E$109,$B$150:$D$152,3,0)*(HLOOKUP(C62,$E$149:$I$155,$O$151,0)-1)/100,0),0)</f>
        <v>0</v>
      </c>
      <c r="J62" s="87">
        <f>IF(AND($A16&gt;=$H$7,$A16&lt;=$H$8),IFERROR('State of Good Repair AP-CP'!$B$26*$C$108*B62*$J$108*VLOOKUP($E$108,$B$153:$D$155,3,0)*(HLOOKUP(C62,$E$149:$I$155,$P$150,0)-1)/100,0)+IFERROR('State of Good Repair AP-CP'!$B$26*$C$109*B62*$J$109*VLOOKUP($E$109,$B$153:$D$155,3,0)*(HLOOKUP(C62,$E$149:$I$155,$P$151,0)-1)/100,0),0)</f>
        <v>0</v>
      </c>
      <c r="K62" s="87">
        <f t="shared" si="12"/>
        <v>0</v>
      </c>
      <c r="M62" s="72"/>
    </row>
    <row r="63" spans="1:13">
      <c r="A63" s="89">
        <f>'Major Assumption Key'!A22</f>
        <v>2023</v>
      </c>
      <c r="B63" s="88">
        <f t="shared" si="9"/>
        <v>0</v>
      </c>
      <c r="C63" s="812" t="str" cm="1">
        <f t="array" ref="C63">IF(A63-$H$9&lt;0,"",INDEX('Life Cycle of Rehabilitation'!$C$19:$C$73,A63-$H$9+1,0))</f>
        <v/>
      </c>
      <c r="D63" s="90" t="str">
        <f>IF(C63="",IF(AND(A63&gt;='Cost Summary'!$C$26,A63&lt;='Cost Summary'!$D$26),"Construction",D17),"Routine Maintenance")</f>
        <v>Routine Maintenance</v>
      </c>
      <c r="E63" s="87">
        <f t="shared" si="10"/>
        <v>0</v>
      </c>
      <c r="F63" s="87"/>
      <c r="H63" s="813">
        <f>IF(AND(A63&gt;='Cost Summary'!$C$26,A63&lt;='Cost Summary'!$D$26),$J$186/IF('Cost Summary'!$D$26='Cost Summary'!$C$26,1,'Cost Summary'!$D$26-'Cost Summary'!$C$26)*(1+$H$5)^(A63-$H$6),0)</f>
        <v>0</v>
      </c>
      <c r="I63" s="87">
        <f>IF(AND($A17&gt;=$H$7,$A17&lt;=$H$8),IFERROR('State of Good Repair AP-CP'!$B$26*$C$108*B63*(1-$J$108)*VLOOKUP($E$108,$B$150:$D$152,3,0)*(HLOOKUP(C63,$E$149:$I$155,$O$150,0)-1)/100,0)+IFERROR('State of Good Repair AP-CP'!$B$26*$C$109*B63*(1-$J$109)*VLOOKUP($E$109,$B$150:$D$152,3,0)*(HLOOKUP(C63,$E$149:$I$155,$O$151,0)-1)/100,0),0)</f>
        <v>0</v>
      </c>
      <c r="J63" s="87">
        <f>IF(AND($A17&gt;=$H$7,$A17&lt;=$H$8),IFERROR('State of Good Repair AP-CP'!$B$26*$C$108*B63*$J$108*VLOOKUP($E$108,$B$153:$D$155,3,0)*(HLOOKUP(C63,$E$149:$I$155,$P$150,0)-1)/100,0)+IFERROR('State of Good Repair AP-CP'!$B$26*$C$109*B63*$J$109*VLOOKUP($E$109,$B$153:$D$155,3,0)*(HLOOKUP(C63,$E$149:$I$155,$P$151,0)-1)/100,0),0)</f>
        <v>0</v>
      </c>
      <c r="K63" s="87">
        <f t="shared" si="12"/>
        <v>0</v>
      </c>
      <c r="M63" s="72"/>
    </row>
    <row r="64" spans="1:13">
      <c r="A64" s="89">
        <f>'Major Assumption Key'!A23</f>
        <v>2024</v>
      </c>
      <c r="B64" s="88">
        <f t="shared" si="9"/>
        <v>0</v>
      </c>
      <c r="C64" s="812" t="str" cm="1">
        <f t="array" ref="C64">IF(A64-$H$9&lt;0,"",INDEX('Life Cycle of Rehabilitation'!$C$19:$C$73,A64-$H$9+1,0))</f>
        <v/>
      </c>
      <c r="D64" s="90" t="str">
        <f>IF(C64="",IF(AND(A64&gt;='Cost Summary'!$C$26,A64&lt;='Cost Summary'!$D$26),"Construction",D18),"Routine Maintenance")</f>
        <v>Routine Maintenance</v>
      </c>
      <c r="E64" s="87">
        <f t="shared" si="10"/>
        <v>0</v>
      </c>
      <c r="F64" s="87"/>
      <c r="H64" s="813">
        <f>IF(AND(A64&gt;='Cost Summary'!$C$26,A64&lt;='Cost Summary'!$D$26),$J$186/IF('Cost Summary'!$D$26='Cost Summary'!$C$26,1,'Cost Summary'!$D$26-'Cost Summary'!$C$26)*(1+$H$5)^(A64-$H$6),0)</f>
        <v>0</v>
      </c>
      <c r="I64" s="87">
        <f>IF(AND($A18&gt;=$H$7,$A18&lt;=$H$8),IFERROR('State of Good Repair AP-CP'!$B$26*$C$108*B64*(1-$J$108)*VLOOKUP($E$108,$B$150:$D$152,3,0)*(HLOOKUP(C64,$E$149:$I$155,$O$150,0)-1)/100,0)+IFERROR('State of Good Repair AP-CP'!$B$26*$C$109*B64*(1-$J$109)*VLOOKUP($E$109,$B$150:$D$152,3,0)*(HLOOKUP(C64,$E$149:$I$155,$O$151,0)-1)/100,0),0)</f>
        <v>0</v>
      </c>
      <c r="J64" s="87">
        <f>IF(AND($A18&gt;=$H$7,$A18&lt;=$H$8),IFERROR('State of Good Repair AP-CP'!$B$26*$C$108*B64*$J$108*VLOOKUP($E$108,$B$153:$D$155,3,0)*(HLOOKUP(C64,$E$149:$I$155,$P$150,0)-1)/100,0)+IFERROR('State of Good Repair AP-CP'!$B$26*$C$109*B64*$J$109*VLOOKUP($E$109,$B$153:$D$155,3,0)*(HLOOKUP(C64,$E$149:$I$155,$P$151,0)-1)/100,0),0)</f>
        <v>0</v>
      </c>
      <c r="K64" s="87">
        <f t="shared" si="12"/>
        <v>0</v>
      </c>
      <c r="M64" s="72"/>
    </row>
    <row r="65" spans="1:13">
      <c r="A65" s="89">
        <f>'Major Assumption Key'!A24</f>
        <v>2025</v>
      </c>
      <c r="B65" s="88">
        <f t="shared" si="9"/>
        <v>0</v>
      </c>
      <c r="C65" s="812" t="str" cm="1">
        <f t="array" ref="C65">IF(A65-$H$9&lt;0,"",INDEX('Life Cycle of Rehabilitation'!$C$19:$C$73,A65-$H$9+1,0))</f>
        <v/>
      </c>
      <c r="D65" s="90" t="str">
        <f>IF(C65="",IF(AND(A65&gt;='Cost Summary'!$C$26,A65&lt;='Cost Summary'!$D$26),"Construction",D19),"Routine Maintenance")</f>
        <v>Rehab</v>
      </c>
      <c r="E65" s="87">
        <f t="shared" si="10"/>
        <v>0</v>
      </c>
      <c r="F65" s="87"/>
      <c r="H65" s="813">
        <f>IF(AND(A65&gt;='Cost Summary'!$C$26,A65&lt;='Cost Summary'!$D$26),$J$186/IF('Cost Summary'!$D$26='Cost Summary'!$C$26,1,'Cost Summary'!$D$26-'Cost Summary'!$C$26)*(1+$H$5)^(A65-$H$6),0)</f>
        <v>0</v>
      </c>
      <c r="I65" s="87">
        <f>IF(AND($A19&gt;=$H$7,$A19&lt;=$H$8),IFERROR('State of Good Repair AP-CP'!$B$26*$C$108*B65*(1-$J$108)*VLOOKUP($E$108,$B$150:$D$152,3,0)*(HLOOKUP(C65,$E$149:$I$155,$O$150,0)-1)/100,0)+IFERROR('State of Good Repair AP-CP'!$B$26*$C$109*B65*(1-$J$109)*VLOOKUP($E$109,$B$150:$D$152,3,0)*(HLOOKUP(C65,$E$149:$I$155,$O$151,0)-1)/100,0),0)</f>
        <v>0</v>
      </c>
      <c r="J65" s="87">
        <f>IF(AND($A19&gt;=$H$7,$A19&lt;=$H$8),IFERROR('State of Good Repair AP-CP'!$B$26*$C$108*B65*$J$108*VLOOKUP($E$108,$B$153:$D$155,3,0)*(HLOOKUP(C65,$E$149:$I$155,$P$150,0)-1)/100,0)+IFERROR('State of Good Repair AP-CP'!$B$26*$C$109*B65*$J$109*VLOOKUP($E$109,$B$153:$D$155,3,0)*(HLOOKUP(C65,$E$149:$I$155,$P$151,0)-1)/100,0),0)</f>
        <v>0</v>
      </c>
      <c r="K65" s="87">
        <f t="shared" si="12"/>
        <v>0</v>
      </c>
      <c r="M65" s="72"/>
    </row>
    <row r="66" spans="1:13">
      <c r="A66" s="89">
        <f>'Major Assumption Key'!A25</f>
        <v>2026</v>
      </c>
      <c r="B66" s="88">
        <f t="shared" si="9"/>
        <v>0</v>
      </c>
      <c r="C66" s="812" t="str" cm="1">
        <f t="array" ref="C66">IF(A66-$H$9&lt;0,"",INDEX('Life Cycle of Rehabilitation'!$C$19:$C$73,A66-$H$9+1,0))</f>
        <v/>
      </c>
      <c r="D66" s="90" t="str">
        <f>IF(C66="",IF(AND(A66&gt;='Cost Summary'!$C$26,A66&lt;='Cost Summary'!$D$26),"Construction",D20),"Routine Maintenance")</f>
        <v>Construction</v>
      </c>
      <c r="E66" s="87">
        <f t="shared" si="10"/>
        <v>0</v>
      </c>
      <c r="F66" s="87"/>
      <c r="H66" s="813">
        <f>IF(AND(A66&gt;='Cost Summary'!$C$26,A66&lt;='Cost Summary'!$D$26),$J$186/IF('Cost Summary'!$D$26='Cost Summary'!$C$26,1,'Cost Summary'!$D$26-'Cost Summary'!$C$26)*(1+$H$5)^(A66-$H$6),0)</f>
        <v>0</v>
      </c>
      <c r="I66" s="87">
        <f>IF(AND($A20&gt;=$H$7,$A20&lt;=$H$8),IFERROR('State of Good Repair AP-CP'!$B$26*$C$108*B66*(1-$J$108)*VLOOKUP($E$108,$B$150:$D$152,3,0)*(HLOOKUP(C66,$E$149:$I$155,$O$150,0)-1)/100,0)+IFERROR('State of Good Repair AP-CP'!$B$26*$C$109*B66*(1-$J$109)*VLOOKUP($E$109,$B$150:$D$152,3,0)*(HLOOKUP(C66,$E$149:$I$155,$O$151,0)-1)/100,0),0)</f>
        <v>0</v>
      </c>
      <c r="J66" s="87">
        <f>IF(AND($A20&gt;=$H$7,$A20&lt;=$H$8),IFERROR('State of Good Repair AP-CP'!$B$26*$C$108*B66*$J$108*VLOOKUP($E$108,$B$153:$D$155,3,0)*(HLOOKUP(C66,$E$149:$I$155,$P$150,0)-1)/100,0)+IFERROR('State of Good Repair AP-CP'!$B$26*$C$109*B66*$J$109*VLOOKUP($E$109,$B$153:$D$155,3,0)*(HLOOKUP(C66,$E$149:$I$155,$P$151,0)-1)/100,0),0)</f>
        <v>0</v>
      </c>
      <c r="K66" s="87">
        <f t="shared" si="12"/>
        <v>0</v>
      </c>
      <c r="M66" s="72"/>
    </row>
    <row r="67" spans="1:13">
      <c r="A67" s="89">
        <f>'Major Assumption Key'!A26</f>
        <v>2027</v>
      </c>
      <c r="B67" s="88">
        <f t="shared" si="9"/>
        <v>0</v>
      </c>
      <c r="C67" s="812" t="str" cm="1">
        <f t="array" ref="C67">IF(A67-$H$9&lt;0,"",INDEX('Life Cycle of Rehabilitation'!$C$19:$C$73,A67-$H$9+1,0))</f>
        <v/>
      </c>
      <c r="D67" s="90" t="str">
        <f>IF(C67="",IF(AND(A67&gt;='Cost Summary'!$C$26,A67&lt;='Cost Summary'!$D$26),"Construction",D21),"Routine Maintenance")</f>
        <v>Construction</v>
      </c>
      <c r="E67" s="87">
        <f t="shared" si="10"/>
        <v>0</v>
      </c>
      <c r="F67" s="87"/>
      <c r="H67" s="813">
        <f>IF(AND(A67&gt;='Cost Summary'!$C$26,A67&lt;='Cost Summary'!$D$26),$J$186/IF('Cost Summary'!$D$26='Cost Summary'!$C$26,1,'Cost Summary'!$D$26-'Cost Summary'!$C$26)*(1+$H$5)^(A67-$H$6),0)</f>
        <v>0</v>
      </c>
      <c r="I67" s="87">
        <f>IF(AND($A21&gt;=$H$7,$A21&lt;=$H$8),IFERROR('State of Good Repair AP-CP'!$B$26*$C$108*B67*(1-$J$108)*VLOOKUP($E$108,$B$150:$D$152,3,0)*(HLOOKUP(C67,$E$149:$I$155,$O$150,0)-1)/100,0)+IFERROR('State of Good Repair AP-CP'!$B$26*$C$109*B67*(1-$J$109)*VLOOKUP($E$109,$B$150:$D$152,3,0)*(HLOOKUP(C67,$E$149:$I$155,$O$151,0)-1)/100,0),0)</f>
        <v>0</v>
      </c>
      <c r="J67" s="87">
        <f>IF(AND($A21&gt;=$H$7,$A21&lt;=$H$8),IFERROR('State of Good Repair AP-CP'!$B$26*$C$108*B67*$J$108*VLOOKUP($E$108,$B$153:$D$155,3,0)*(HLOOKUP(C67,$E$149:$I$155,$P$150,0)-1)/100,0)+IFERROR('State of Good Repair AP-CP'!$B$26*$C$109*B67*$J$109*VLOOKUP($E$109,$B$153:$D$155,3,0)*(HLOOKUP(C67,$E$149:$I$155,$P$151,0)-1)/100,0),0)</f>
        <v>0</v>
      </c>
      <c r="K67" s="87">
        <f t="shared" si="12"/>
        <v>0</v>
      </c>
      <c r="M67" s="72"/>
    </row>
    <row r="68" spans="1:13">
      <c r="A68" s="89">
        <f>'Major Assumption Key'!A27</f>
        <v>2028</v>
      </c>
      <c r="B68" s="88">
        <f t="shared" si="9"/>
        <v>0</v>
      </c>
      <c r="C68" s="812" t="str" cm="1">
        <f t="array" ref="C68">IF(A68-$H$9&lt;0,"",INDEX('Life Cycle of Rehabilitation'!$C$19:$C$73,A68-$H$9+1,0))</f>
        <v>New</v>
      </c>
      <c r="D68" s="90" t="str">
        <f>IF(C68="",IF(AND(A68&gt;='Cost Summary'!$C$26,A68&lt;='Cost Summary'!$D$26),"Construction",D22),"Routine Maintenance")</f>
        <v>Routine Maintenance</v>
      </c>
      <c r="E68" s="87">
        <f t="shared" si="10"/>
        <v>0</v>
      </c>
      <c r="F68" s="87"/>
      <c r="H68" s="813">
        <f>IF(AND(A68&gt;='Cost Summary'!$C$26,A68&lt;='Cost Summary'!$D$26),$J$186/IF('Cost Summary'!$D$26='Cost Summary'!$C$26,1,'Cost Summary'!$D$26-'Cost Summary'!$C$26)*(1+$H$5)^(A68-$H$6),0)</f>
        <v>0</v>
      </c>
      <c r="I68" s="87">
        <f>IF(AND($A22&gt;=$H$7,$A22&lt;=$H$8),IFERROR('State of Good Repair AP-CP'!$B$26*$C$108*B68*(1-$J$108)*VLOOKUP($E$108,$B$150:$D$152,3,0)*(HLOOKUP(C68,$E$149:$I$155,$O$150,0)-1)/100,0)+IFERROR('State of Good Repair AP-CP'!$B$26*$C$109*B68*(1-$J$109)*VLOOKUP($E$109,$B$150:$D$152,3,0)*(HLOOKUP(C68,$E$149:$I$155,$O$151,0)-1)/100,0),0)</f>
        <v>0</v>
      </c>
      <c r="J68" s="87">
        <f>IF(AND($A22&gt;=$H$7,$A22&lt;=$H$8),IFERROR('State of Good Repair AP-CP'!$B$26*$C$108*B68*$J$108*VLOOKUP($E$108,$B$153:$D$155,3,0)*(HLOOKUP(C68,$E$149:$I$155,$P$150,0)-1)/100,0)+IFERROR('State of Good Repair AP-CP'!$B$26*$C$109*B68*$J$109*VLOOKUP($E$109,$B$153:$D$155,3,0)*(HLOOKUP(C68,$E$149:$I$155,$P$151,0)-1)/100,0),0)</f>
        <v>0</v>
      </c>
      <c r="K68" s="87">
        <f t="shared" si="12"/>
        <v>0</v>
      </c>
      <c r="M68" s="72"/>
    </row>
    <row r="69" spans="1:13">
      <c r="A69" s="89">
        <f>'Major Assumption Key'!A28</f>
        <v>2029</v>
      </c>
      <c r="B69" s="88">
        <f t="shared" si="9"/>
        <v>0</v>
      </c>
      <c r="C69" s="812" t="str" cm="1">
        <f t="array" ref="C69">IF(A69-$H$9&lt;0,"",INDEX('Life Cycle of Rehabilitation'!$C$19:$C$73,A69-$H$9+1,0))</f>
        <v>New</v>
      </c>
      <c r="D69" s="90" t="str">
        <f>IF(C69="",IF(AND(A69&gt;='Cost Summary'!$C$26,A69&lt;='Cost Summary'!$D$26),"Construction",D23),"Routine Maintenance")</f>
        <v>Routine Maintenance</v>
      </c>
      <c r="E69" s="87">
        <f t="shared" si="10"/>
        <v>0</v>
      </c>
      <c r="F69" s="87"/>
      <c r="H69" s="813">
        <f>IF(AND(A69&gt;='Cost Summary'!$C$26,A69&lt;='Cost Summary'!$D$26),$J$186/IF('Cost Summary'!$D$26='Cost Summary'!$C$26,1,'Cost Summary'!$D$26-'Cost Summary'!$C$26)*(1+$H$5)^(A69-$H$6),0)</f>
        <v>0</v>
      </c>
      <c r="I69" s="87">
        <f>IF(AND($A23&gt;=$H$7,$A23&lt;=$H$8),IFERROR('State of Good Repair AP-CP'!$B$26*$C$108*B69*(1-$J$108)*VLOOKUP($E$108,$B$150:$D$152,3,0)*(HLOOKUP(C69,$E$149:$I$155,$O$150,0)-1)/100,0)+IFERROR('State of Good Repair AP-CP'!$B$26*$C$109*B69*(1-$J$109)*VLOOKUP($E$109,$B$150:$D$152,3,0)*(HLOOKUP(C69,$E$149:$I$155,$O$151,0)-1)/100,0),0)</f>
        <v>0</v>
      </c>
      <c r="J69" s="87">
        <f>IF(AND($A23&gt;=$H$7,$A23&lt;=$H$8),IFERROR('State of Good Repair AP-CP'!$B$26*$C$108*B69*$J$108*VLOOKUP($E$108,$B$153:$D$155,3,0)*(HLOOKUP(C69,$E$149:$I$155,$P$150,0)-1)/100,0)+IFERROR('State of Good Repair AP-CP'!$B$26*$C$109*B69*$J$109*VLOOKUP($E$109,$B$153:$D$155,3,0)*(HLOOKUP(C69,$E$149:$I$155,$P$151,0)-1)/100,0),0)</f>
        <v>0</v>
      </c>
      <c r="K69" s="87">
        <f t="shared" si="12"/>
        <v>0</v>
      </c>
      <c r="M69" s="72"/>
    </row>
    <row r="70" spans="1:13">
      <c r="A70" s="89">
        <f>'Major Assumption Key'!A29</f>
        <v>2030</v>
      </c>
      <c r="B70" s="88">
        <f t="shared" si="9"/>
        <v>0</v>
      </c>
      <c r="C70" s="812" t="str" cm="1">
        <f t="array" ref="C70">IF(A70-$H$9&lt;0,"",INDEX('Life Cycle of Rehabilitation'!$C$19:$C$73,A70-$H$9+1,0))</f>
        <v>New</v>
      </c>
      <c r="D70" s="90" t="str">
        <f>IF(C70="",IF(AND(A70&gt;='Cost Summary'!$C$26,A70&lt;='Cost Summary'!$D$26),"Construction",D24),"Routine Maintenance")</f>
        <v>Routine Maintenance</v>
      </c>
      <c r="E70" s="87">
        <f t="shared" si="10"/>
        <v>0</v>
      </c>
      <c r="F70" s="87"/>
      <c r="H70" s="813">
        <f>IF(AND(A70&gt;='Cost Summary'!$C$26,A70&lt;='Cost Summary'!$D$26),$J$186/IF('Cost Summary'!$D$26='Cost Summary'!$C$26,1,'Cost Summary'!$D$26-'Cost Summary'!$C$26)*(1+$H$5)^(A70-$H$6),0)</f>
        <v>0</v>
      </c>
      <c r="I70" s="87">
        <f>IF(AND($A24&gt;=$H$7,$A24&lt;=$H$8),IFERROR('State of Good Repair AP-CP'!$B$26*$C$108*B70*(1-$J$108)*VLOOKUP($E$108,$B$150:$D$152,3,0)*(HLOOKUP(C70,$E$149:$I$155,$O$150,0)-1)/100,0)+IFERROR('State of Good Repair AP-CP'!$B$26*$C$109*B70*(1-$J$109)*VLOOKUP($E$109,$B$150:$D$152,3,0)*(HLOOKUP(C70,$E$149:$I$155,$O$151,0)-1)/100,0),0)</f>
        <v>0</v>
      </c>
      <c r="J70" s="87">
        <f>IF(AND($A24&gt;=$H$7,$A24&lt;=$H$8),IFERROR('State of Good Repair AP-CP'!$B$26*$C$108*B70*$J$108*VLOOKUP($E$108,$B$153:$D$155,3,0)*(HLOOKUP(C70,$E$149:$I$155,$P$150,0)-1)/100,0)+IFERROR('State of Good Repair AP-CP'!$B$26*$C$109*B70*$J$109*VLOOKUP($E$109,$B$153:$D$155,3,0)*(HLOOKUP(C70,$E$149:$I$155,$P$151,0)-1)/100,0),0)</f>
        <v>0</v>
      </c>
      <c r="K70" s="87">
        <f t="shared" si="12"/>
        <v>0</v>
      </c>
      <c r="M70" s="72"/>
    </row>
    <row r="71" spans="1:13">
      <c r="A71" s="89">
        <f>'Major Assumption Key'!A30</f>
        <v>2031</v>
      </c>
      <c r="B71" s="88">
        <f t="shared" si="9"/>
        <v>0</v>
      </c>
      <c r="C71" s="812" t="str" cm="1">
        <f t="array" ref="C71">IF(A71-$H$9&lt;0,"",INDEX('Life Cycle of Rehabilitation'!$C$19:$C$73,A71-$H$9+1,0))</f>
        <v>New</v>
      </c>
      <c r="D71" s="90" t="str">
        <f>IF(C71="",IF(AND(A71&gt;='Cost Summary'!$C$26,A71&lt;='Cost Summary'!$D$26),"Construction",D25),"Routine Maintenance")</f>
        <v>Routine Maintenance</v>
      </c>
      <c r="E71" s="87">
        <f t="shared" si="10"/>
        <v>0</v>
      </c>
      <c r="F71" s="87"/>
      <c r="H71" s="813">
        <f>IF(AND(A71&gt;='Cost Summary'!$C$26,A71&lt;='Cost Summary'!$D$26),$J$186/IF('Cost Summary'!$D$26='Cost Summary'!$C$26,1,'Cost Summary'!$D$26-'Cost Summary'!$C$26)*(1+$H$5)^(A71-$H$6),0)</f>
        <v>0</v>
      </c>
      <c r="I71" s="87">
        <f>IF(AND($A25&gt;=$H$7,$A25&lt;=$H$8),IFERROR('State of Good Repair AP-CP'!$B$26*$C$108*B71*(1-$J$108)*VLOOKUP($E$108,$B$150:$D$152,3,0)*(HLOOKUP(C71,$E$149:$I$155,$O$150,0)-1)/100,0)+IFERROR('State of Good Repair AP-CP'!$B$26*$C$109*B71*(1-$J$109)*VLOOKUP($E$109,$B$150:$D$152,3,0)*(HLOOKUP(C71,$E$149:$I$155,$O$151,0)-1)/100,0),0)</f>
        <v>0</v>
      </c>
      <c r="J71" s="87">
        <f>IF(AND($A25&gt;=$H$7,$A25&lt;=$H$8),IFERROR('State of Good Repair AP-CP'!$B$26*$C$108*B71*$J$108*VLOOKUP($E$108,$B$153:$D$155,3,0)*(HLOOKUP(C71,$E$149:$I$155,$P$150,0)-1)/100,0)+IFERROR('State of Good Repair AP-CP'!$B$26*$C$109*B71*$J$109*VLOOKUP($E$109,$B$153:$D$155,3,0)*(HLOOKUP(C71,$E$149:$I$155,$P$151,0)-1)/100,0),0)</f>
        <v>0</v>
      </c>
      <c r="K71" s="87">
        <f t="shared" si="12"/>
        <v>0</v>
      </c>
      <c r="M71" s="72"/>
    </row>
    <row r="72" spans="1:13">
      <c r="A72" s="89">
        <f>'Major Assumption Key'!A31</f>
        <v>2032</v>
      </c>
      <c r="B72" s="88">
        <f t="shared" si="9"/>
        <v>0</v>
      </c>
      <c r="C72" s="812" t="str" cm="1">
        <f t="array" ref="C72">IF(A72-$H$9&lt;0,"",INDEX('Life Cycle of Rehabilitation'!$C$19:$C$73,A72-$H$9+1,0))</f>
        <v>New</v>
      </c>
      <c r="D72" s="90" t="str">
        <f>IF(C72="",IF(AND(A72&gt;='Cost Summary'!$C$26,A72&lt;='Cost Summary'!$D$26),"Construction",D26),"Routine Maintenance")</f>
        <v>Routine Maintenance</v>
      </c>
      <c r="E72" s="87">
        <f t="shared" si="10"/>
        <v>0</v>
      </c>
      <c r="F72" s="87"/>
      <c r="H72" s="813">
        <f>IF(AND(A72&gt;='Cost Summary'!$C$26,A72&lt;='Cost Summary'!$D$26),$J$186/IF('Cost Summary'!$D$26='Cost Summary'!$C$26,1,'Cost Summary'!$D$26-'Cost Summary'!$C$26)*(1+$H$5)^(A72-$H$6),0)</f>
        <v>0</v>
      </c>
      <c r="I72" s="87">
        <f>IF(AND($A26&gt;=$H$7,$A26&lt;=$H$8),IFERROR('State of Good Repair AP-CP'!$B$26*$C$108*B72*(1-$J$108)*VLOOKUP($E$108,$B$150:$D$152,3,0)*(HLOOKUP(C72,$E$149:$I$155,$O$150,0)-1)/100,0)+IFERROR('State of Good Repair AP-CP'!$B$26*$C$109*B72*(1-$J$109)*VLOOKUP($E$109,$B$150:$D$152,3,0)*(HLOOKUP(C72,$E$149:$I$155,$O$151,0)-1)/100,0),0)</f>
        <v>0</v>
      </c>
      <c r="J72" s="87">
        <f>IF(AND($A26&gt;=$H$7,$A26&lt;=$H$8),IFERROR('State of Good Repair AP-CP'!$B$26*$C$108*B72*$J$108*VLOOKUP($E$108,$B$153:$D$155,3,0)*(HLOOKUP(C72,$E$149:$I$155,$P$150,0)-1)/100,0)+IFERROR('State of Good Repair AP-CP'!$B$26*$C$109*B72*$J$109*VLOOKUP($E$109,$B$153:$D$155,3,0)*(HLOOKUP(C72,$E$149:$I$155,$P$151,0)-1)/100,0),0)</f>
        <v>0</v>
      </c>
      <c r="K72" s="87">
        <f t="shared" si="12"/>
        <v>0</v>
      </c>
      <c r="M72" s="72"/>
    </row>
    <row r="73" spans="1:13">
      <c r="A73" s="89">
        <f>'Major Assumption Key'!A32</f>
        <v>2033</v>
      </c>
      <c r="B73" s="88">
        <f t="shared" si="9"/>
        <v>0</v>
      </c>
      <c r="C73" s="812" t="str" cm="1">
        <f t="array" ref="C73">IF(A73-$H$9&lt;0,"",INDEX('Life Cycle of Rehabilitation'!$C$19:$C$73,A73-$H$9+1,0))</f>
        <v>New</v>
      </c>
      <c r="D73" s="90" t="str">
        <f>IF(C73="",IF(AND(A73&gt;='Cost Summary'!$C$26,A73&lt;='Cost Summary'!$D$26),"Construction",D27),"Routine Maintenance")</f>
        <v>Routine Maintenance</v>
      </c>
      <c r="E73" s="87">
        <f t="shared" si="10"/>
        <v>0</v>
      </c>
      <c r="F73" s="87"/>
      <c r="H73" s="813">
        <f>IF(AND(A73&gt;='Cost Summary'!$C$26,A73&lt;='Cost Summary'!$D$26),$J$186/IF('Cost Summary'!$D$26='Cost Summary'!$C$26,1,'Cost Summary'!$D$26-'Cost Summary'!$C$26)*(1+$H$5)^(A73-$H$6),0)</f>
        <v>0</v>
      </c>
      <c r="I73" s="87">
        <f>IF(AND($A27&gt;=$H$7,$A27&lt;=$H$8),IFERROR('State of Good Repair AP-CP'!$B$26*$C$108*B73*(1-$J$108)*VLOOKUP($E$108,$B$150:$D$152,3,0)*(HLOOKUP(C73,$E$149:$I$155,$O$150,0)-1)/100,0)+IFERROR('State of Good Repair AP-CP'!$B$26*$C$109*B73*(1-$J$109)*VLOOKUP($E$109,$B$150:$D$152,3,0)*(HLOOKUP(C73,$E$149:$I$155,$O$151,0)-1)/100,0),0)</f>
        <v>0</v>
      </c>
      <c r="J73" s="87">
        <f>IF(AND($A27&gt;=$H$7,$A27&lt;=$H$8),IFERROR('State of Good Repair AP-CP'!$B$26*$C$108*B73*$J$108*VLOOKUP($E$108,$B$153:$D$155,3,0)*(HLOOKUP(C73,$E$149:$I$155,$P$150,0)-1)/100,0)+IFERROR('State of Good Repair AP-CP'!$B$26*$C$109*B73*$J$109*VLOOKUP($E$109,$B$153:$D$155,3,0)*(HLOOKUP(C73,$E$149:$I$155,$P$151,0)-1)/100,0),0)</f>
        <v>0</v>
      </c>
      <c r="K73" s="87">
        <f t="shared" si="12"/>
        <v>0</v>
      </c>
      <c r="M73" s="72"/>
    </row>
    <row r="74" spans="1:13">
      <c r="A74" s="89">
        <f>'Major Assumption Key'!A33</f>
        <v>2034</v>
      </c>
      <c r="B74" s="88">
        <f t="shared" si="9"/>
        <v>0</v>
      </c>
      <c r="C74" s="812" t="str" cm="1">
        <f t="array" ref="C74">IF(A74-$H$9&lt;0,"",INDEX('Life Cycle of Rehabilitation'!$C$19:$C$73,A74-$H$9+1,0))</f>
        <v>New</v>
      </c>
      <c r="D74" s="90" t="str">
        <f>IF(C74="",IF(AND(A74&gt;='Cost Summary'!$C$26,A74&lt;='Cost Summary'!$D$26),"Construction",D28),"Routine Maintenance")</f>
        <v>Routine Maintenance</v>
      </c>
      <c r="E74" s="87">
        <f t="shared" si="10"/>
        <v>0</v>
      </c>
      <c r="F74" s="87"/>
      <c r="H74" s="813">
        <f>IF(AND(A74&gt;='Cost Summary'!$C$26,A74&lt;='Cost Summary'!$D$26),$J$186/IF('Cost Summary'!$D$26='Cost Summary'!$C$26,1,'Cost Summary'!$D$26-'Cost Summary'!$C$26)*(1+$H$5)^(A74-$H$6),0)</f>
        <v>0</v>
      </c>
      <c r="I74" s="87">
        <f>IF(AND($A28&gt;=$H$7,$A28&lt;=$H$8),IFERROR('State of Good Repair AP-CP'!$B$26*$C$108*B74*(1-$J$108)*VLOOKUP($E$108,$B$150:$D$152,3,0)*(HLOOKUP(C74,$E$149:$I$155,$O$150,0)-1)/100,0)+IFERROR('State of Good Repair AP-CP'!$B$26*$C$109*B74*(1-$J$109)*VLOOKUP($E$109,$B$150:$D$152,3,0)*(HLOOKUP(C74,$E$149:$I$155,$O$151,0)-1)/100,0),0)</f>
        <v>0</v>
      </c>
      <c r="J74" s="87">
        <f>IF(AND($A28&gt;=$H$7,$A28&lt;=$H$8),IFERROR('State of Good Repair AP-CP'!$B$26*$C$108*B74*$J$108*VLOOKUP($E$108,$B$153:$D$155,3,0)*(HLOOKUP(C74,$E$149:$I$155,$P$150,0)-1)/100,0)+IFERROR('State of Good Repair AP-CP'!$B$26*$C$109*B74*$J$109*VLOOKUP($E$109,$B$153:$D$155,3,0)*(HLOOKUP(C74,$E$149:$I$155,$P$151,0)-1)/100,0),0)</f>
        <v>0</v>
      </c>
      <c r="K74" s="87">
        <f t="shared" si="12"/>
        <v>0</v>
      </c>
      <c r="M74" s="72"/>
    </row>
    <row r="75" spans="1:13">
      <c r="A75" s="89">
        <f>'Major Assumption Key'!A34</f>
        <v>2035</v>
      </c>
      <c r="B75" s="88">
        <f t="shared" si="9"/>
        <v>0</v>
      </c>
      <c r="C75" s="812" t="str" cm="1">
        <f t="array" ref="C75">IF(A75-$H$9&lt;0,"",INDEX('Life Cycle of Rehabilitation'!$C$19:$C$73,A75-$H$9+1,0))</f>
        <v>New</v>
      </c>
      <c r="D75" s="90" t="str">
        <f>IF(C75="",IF(AND(A75&gt;='Cost Summary'!$C$26,A75&lt;='Cost Summary'!$D$26),"Construction",D29),"Routine Maintenance")</f>
        <v>Routine Maintenance</v>
      </c>
      <c r="E75" s="87">
        <f t="shared" si="10"/>
        <v>0</v>
      </c>
      <c r="F75" s="87"/>
      <c r="H75" s="813">
        <f>IF(AND(A75&gt;='Cost Summary'!$C$26,A75&lt;='Cost Summary'!$D$26),$J$186/IF('Cost Summary'!$D$26='Cost Summary'!$C$26,1,'Cost Summary'!$D$26-'Cost Summary'!$C$26)*(1+$H$5)^(A75-$H$6),0)</f>
        <v>0</v>
      </c>
      <c r="I75" s="87">
        <f>IF(AND($A29&gt;=$H$7,$A29&lt;=$H$8),IFERROR('State of Good Repair AP-CP'!$B$26*$C$108*B75*(1-$J$108)*VLOOKUP($E$108,$B$150:$D$152,3,0)*(HLOOKUP(C75,$E$149:$I$155,$O$150,0)-1)/100,0)+IFERROR('State of Good Repair AP-CP'!$B$26*$C$109*B75*(1-$J$109)*VLOOKUP($E$109,$B$150:$D$152,3,0)*(HLOOKUP(C75,$E$149:$I$155,$O$151,0)-1)/100,0),0)</f>
        <v>0</v>
      </c>
      <c r="J75" s="87">
        <f>IF(AND($A29&gt;=$H$7,$A29&lt;=$H$8),IFERROR('State of Good Repair AP-CP'!$B$26*$C$108*B75*$J$108*VLOOKUP($E$108,$B$153:$D$155,3,0)*(HLOOKUP(C75,$E$149:$I$155,$P$150,0)-1)/100,0)+IFERROR('State of Good Repair AP-CP'!$B$26*$C$109*B75*$J$109*VLOOKUP($E$109,$B$153:$D$155,3,0)*(HLOOKUP(C75,$E$149:$I$155,$P$151,0)-1)/100,0),0)</f>
        <v>0</v>
      </c>
      <c r="K75" s="87">
        <f t="shared" si="12"/>
        <v>0</v>
      </c>
      <c r="M75" s="72"/>
    </row>
    <row r="76" spans="1:13">
      <c r="A76" s="89">
        <f>'Major Assumption Key'!A35</f>
        <v>2036</v>
      </c>
      <c r="B76" s="88">
        <f t="shared" si="9"/>
        <v>0</v>
      </c>
      <c r="C76" s="812" t="str" cm="1">
        <f t="array" ref="C76">IF(A76-$H$9&lt;0,"",INDEX('Life Cycle of Rehabilitation'!$C$19:$C$73,A76-$H$9+1,0))</f>
        <v>New</v>
      </c>
      <c r="D76" s="90" t="str">
        <f>IF(C76="",IF(AND(A76&gt;='Cost Summary'!$C$26,A76&lt;='Cost Summary'!$D$26),"Construction",D30),"Routine Maintenance")</f>
        <v>Routine Maintenance</v>
      </c>
      <c r="E76" s="87">
        <f t="shared" si="10"/>
        <v>0</v>
      </c>
      <c r="F76" s="87"/>
      <c r="H76" s="813">
        <f>IF(AND(A76&gt;='Cost Summary'!$C$26,A76&lt;='Cost Summary'!$D$26),$J$186/IF('Cost Summary'!$D$26='Cost Summary'!$C$26,1,'Cost Summary'!$D$26-'Cost Summary'!$C$26)*(1+$H$5)^(A76-$H$6),0)</f>
        <v>0</v>
      </c>
      <c r="I76" s="87">
        <f>IF(AND($A30&gt;=$H$7,$A30&lt;=$H$8),IFERROR('State of Good Repair AP-CP'!$B$26*$C$108*B76*(1-$J$108)*VLOOKUP($E$108,$B$150:$D$152,3,0)*(HLOOKUP(C76,$E$149:$I$155,$O$150,0)-1)/100,0)+IFERROR('State of Good Repair AP-CP'!$B$26*$C$109*B76*(1-$J$109)*VLOOKUP($E$109,$B$150:$D$152,3,0)*(HLOOKUP(C76,$E$149:$I$155,$O$151,0)-1)/100,0),0)</f>
        <v>0</v>
      </c>
      <c r="J76" s="87">
        <f>IF(AND($A30&gt;=$H$7,$A30&lt;=$H$8),IFERROR('State of Good Repair AP-CP'!$B$26*$C$108*B76*$J$108*VLOOKUP($E$108,$B$153:$D$155,3,0)*(HLOOKUP(C76,$E$149:$I$155,$P$150,0)-1)/100,0)+IFERROR('State of Good Repair AP-CP'!$B$26*$C$109*B76*$J$109*VLOOKUP($E$109,$B$153:$D$155,3,0)*(HLOOKUP(C76,$E$149:$I$155,$P$151,0)-1)/100,0),0)</f>
        <v>0</v>
      </c>
      <c r="K76" s="87">
        <f t="shared" si="12"/>
        <v>0</v>
      </c>
      <c r="M76" s="72"/>
    </row>
    <row r="77" spans="1:13">
      <c r="A77" s="89">
        <f>'Major Assumption Key'!A36</f>
        <v>2037</v>
      </c>
      <c r="B77" s="88">
        <f t="shared" si="9"/>
        <v>0</v>
      </c>
      <c r="C77" s="812" t="str" cm="1">
        <f t="array" ref="C77">IF(A77-$H$9&lt;0,"",INDEX('Life Cycle of Rehabilitation'!$C$19:$C$73,A77-$H$9+1,0))</f>
        <v>New</v>
      </c>
      <c r="D77" s="90" t="str">
        <f>IF(C77="",IF(AND(A77&gt;='Cost Summary'!$C$26,A77&lt;='Cost Summary'!$D$26),"Construction",D31),"Routine Maintenance")</f>
        <v>Routine Maintenance</v>
      </c>
      <c r="E77" s="87">
        <f t="shared" si="10"/>
        <v>0</v>
      </c>
      <c r="F77" s="87"/>
      <c r="H77" s="813">
        <f>IF(AND(A77&gt;='Cost Summary'!$C$26,A77&lt;='Cost Summary'!$D$26),$J$186/IF('Cost Summary'!$D$26='Cost Summary'!$C$26,1,'Cost Summary'!$D$26-'Cost Summary'!$C$26)*(1+$H$5)^(A77-$H$6),0)</f>
        <v>0</v>
      </c>
      <c r="I77" s="87">
        <f>IF(AND($A31&gt;=$H$7,$A31&lt;=$H$8),IFERROR('State of Good Repair AP-CP'!$B$26*$C$108*B77*(1-$J$108)*VLOOKUP($E$108,$B$150:$D$152,3,0)*(HLOOKUP(C77,$E$149:$I$155,$O$150,0)-1)/100,0)+IFERROR('State of Good Repair AP-CP'!$B$26*$C$109*B77*(1-$J$109)*VLOOKUP($E$109,$B$150:$D$152,3,0)*(HLOOKUP(C77,$E$149:$I$155,$O$151,0)-1)/100,0),0)</f>
        <v>0</v>
      </c>
      <c r="J77" s="87">
        <f>IF(AND($A31&gt;=$H$7,$A31&lt;=$H$8),IFERROR('State of Good Repair AP-CP'!$B$26*$C$108*B77*$J$108*VLOOKUP($E$108,$B$153:$D$155,3,0)*(HLOOKUP(C77,$E$149:$I$155,$P$150,0)-1)/100,0)+IFERROR('State of Good Repair AP-CP'!$B$26*$C$109*B77*$J$109*VLOOKUP($E$109,$B$153:$D$155,3,0)*(HLOOKUP(C77,$E$149:$I$155,$P$151,0)-1)/100,0),0)</f>
        <v>0</v>
      </c>
      <c r="K77" s="87">
        <f t="shared" si="12"/>
        <v>0</v>
      </c>
      <c r="M77" s="72"/>
    </row>
    <row r="78" spans="1:13">
      <c r="A78" s="89">
        <f>'Major Assumption Key'!A37</f>
        <v>2038</v>
      </c>
      <c r="B78" s="88">
        <f t="shared" si="9"/>
        <v>0</v>
      </c>
      <c r="C78" s="812" t="str" cm="1">
        <f t="array" ref="C78">IF(A78-$H$9&lt;0,"",INDEX('Life Cycle of Rehabilitation'!$C$19:$C$73,A78-$H$9+1,0))</f>
        <v>New</v>
      </c>
      <c r="D78" s="90" t="str">
        <f>IF(C78="",IF(AND(A78&gt;='Cost Summary'!$C$26,A78&lt;='Cost Summary'!$D$26),"Construction",D32),"Routine Maintenance")</f>
        <v>Routine Maintenance</v>
      </c>
      <c r="E78" s="87">
        <f t="shared" si="10"/>
        <v>0</v>
      </c>
      <c r="F78" s="87"/>
      <c r="H78" s="813">
        <f>IF(AND(A78&gt;='Cost Summary'!$C$26,A78&lt;='Cost Summary'!$D$26),$J$186/IF('Cost Summary'!$D$26='Cost Summary'!$C$26,1,'Cost Summary'!$D$26-'Cost Summary'!$C$26)*(1+$H$5)^(A78-$H$6),0)</f>
        <v>0</v>
      </c>
      <c r="I78" s="87">
        <f>IF(AND($A32&gt;=$H$7,$A32&lt;=$H$8),IFERROR('State of Good Repair AP-CP'!$B$26*$C$108*B78*(1-$J$108)*VLOOKUP($E$108,$B$150:$D$152,3,0)*(HLOOKUP(C78,$E$149:$I$155,$O$150,0)-1)/100,0)+IFERROR('State of Good Repair AP-CP'!$B$26*$C$109*B78*(1-$J$109)*VLOOKUP($E$109,$B$150:$D$152,3,0)*(HLOOKUP(C78,$E$149:$I$155,$O$151,0)-1)/100,0),0)</f>
        <v>0</v>
      </c>
      <c r="J78" s="87">
        <f>IF(AND($A32&gt;=$H$7,$A32&lt;=$H$8),IFERROR('State of Good Repair AP-CP'!$B$26*$C$108*B78*$J$108*VLOOKUP($E$108,$B$153:$D$155,3,0)*(HLOOKUP(C78,$E$149:$I$155,$P$150,0)-1)/100,0)+IFERROR('State of Good Repair AP-CP'!$B$26*$C$109*B78*$J$109*VLOOKUP($E$109,$B$153:$D$155,3,0)*(HLOOKUP(C78,$E$149:$I$155,$P$151,0)-1)/100,0),0)</f>
        <v>0</v>
      </c>
      <c r="K78" s="87">
        <f t="shared" si="12"/>
        <v>0</v>
      </c>
      <c r="M78" s="72"/>
    </row>
    <row r="79" spans="1:13">
      <c r="A79" s="89">
        <f>'Major Assumption Key'!A38</f>
        <v>2039</v>
      </c>
      <c r="B79" s="88">
        <f t="shared" si="9"/>
        <v>0</v>
      </c>
      <c r="C79" s="812" t="str" cm="1">
        <f t="array" ref="C79">IF(A79-$H$9&lt;0,"",INDEX('Life Cycle of Rehabilitation'!$C$19:$C$73,A79-$H$9+1,0))</f>
        <v>New</v>
      </c>
      <c r="D79" s="90" t="str">
        <f>IF(C79="",IF(AND(A79&gt;='Cost Summary'!$C$26,A79&lt;='Cost Summary'!$D$26),"Construction",D33),"Routine Maintenance")</f>
        <v>Routine Maintenance</v>
      </c>
      <c r="E79" s="87">
        <f t="shared" si="10"/>
        <v>0</v>
      </c>
      <c r="F79" s="87"/>
      <c r="H79" s="813">
        <f>IF(AND(A79&gt;='Cost Summary'!$C$26,A79&lt;='Cost Summary'!$D$26),$J$186/IF('Cost Summary'!$D$26='Cost Summary'!$C$26,1,'Cost Summary'!$D$26-'Cost Summary'!$C$26)*(1+$H$5)^(A79-$H$6),0)</f>
        <v>0</v>
      </c>
      <c r="I79" s="87">
        <f>IF(AND($A33&gt;=$H$7,$A33&lt;=$H$8),IFERROR('State of Good Repair AP-CP'!$B$26*$C$108*B79*(1-$J$108)*VLOOKUP($E$108,$B$150:$D$152,3,0)*(HLOOKUP(C79,$E$149:$I$155,$O$150,0)-1)/100,0)+IFERROR('State of Good Repair AP-CP'!$B$26*$C$109*B79*(1-$J$109)*VLOOKUP($E$109,$B$150:$D$152,3,0)*(HLOOKUP(C79,$E$149:$I$155,$O$151,0)-1)/100,0),0)</f>
        <v>0</v>
      </c>
      <c r="J79" s="87">
        <f>IF(AND($A33&gt;=$H$7,$A33&lt;=$H$8),IFERROR('State of Good Repair AP-CP'!$B$26*$C$108*B79*$J$108*VLOOKUP($E$108,$B$153:$D$155,3,0)*(HLOOKUP(C79,$E$149:$I$155,$P$150,0)-1)/100,0)+IFERROR('State of Good Repair AP-CP'!$B$26*$C$109*B79*$J$109*VLOOKUP($E$109,$B$153:$D$155,3,0)*(HLOOKUP(C79,$E$149:$I$155,$P$151,0)-1)/100,0),0)</f>
        <v>0</v>
      </c>
      <c r="K79" s="87">
        <f t="shared" si="12"/>
        <v>0</v>
      </c>
      <c r="M79" s="72"/>
    </row>
    <row r="80" spans="1:13">
      <c r="A80" s="89">
        <f>'Major Assumption Key'!A39</f>
        <v>2040</v>
      </c>
      <c r="B80" s="88">
        <f t="shared" si="9"/>
        <v>0</v>
      </c>
      <c r="C80" s="812" t="str" cm="1">
        <f t="array" ref="C80">IF(A80-$H$9&lt;0,"",INDEX('Life Cycle of Rehabilitation'!$C$19:$C$73,A80-$H$9+1,0))</f>
        <v>Very Good</v>
      </c>
      <c r="D80" s="90" t="str">
        <f>IF(C80="",IF(AND(A80&gt;='Cost Summary'!$C$26,A80&lt;='Cost Summary'!$D$26),"Construction",D34),"Routine Maintenance")</f>
        <v>Routine Maintenance</v>
      </c>
      <c r="E80" s="87">
        <f t="shared" si="10"/>
        <v>0</v>
      </c>
      <c r="F80" s="87"/>
      <c r="H80" s="813">
        <f>IF(AND(A80&gt;='Cost Summary'!$C$26,A80&lt;='Cost Summary'!$D$26),$J$186/IF('Cost Summary'!$D$26='Cost Summary'!$C$26,1,'Cost Summary'!$D$26-'Cost Summary'!$C$26)*(1+$H$5)^(A80-$H$6),0)</f>
        <v>0</v>
      </c>
      <c r="I80" s="87">
        <f>IF(AND($A34&gt;=$H$7,$A34&lt;=$H$8),IFERROR('State of Good Repair AP-CP'!$B$26*$C$108*B80*(1-$J$108)*VLOOKUP($E$108,$B$150:$D$152,3,0)*(HLOOKUP(C80,$E$149:$I$155,$O$150,0)-1)/100,0)+IFERROR('State of Good Repair AP-CP'!$B$26*$C$109*B80*(1-$J$109)*VLOOKUP($E$109,$B$150:$D$152,3,0)*(HLOOKUP(C80,$E$149:$I$155,$O$151,0)-1)/100,0),0)</f>
        <v>0</v>
      </c>
      <c r="J80" s="87">
        <f>IF(AND($A34&gt;=$H$7,$A34&lt;=$H$8),IFERROR('State of Good Repair AP-CP'!$B$26*$C$108*B80*$J$108*VLOOKUP($E$108,$B$153:$D$155,3,0)*(HLOOKUP(C80,$E$149:$I$155,$P$150,0)-1)/100,0)+IFERROR('State of Good Repair AP-CP'!$B$26*$C$109*B80*$J$109*VLOOKUP($E$109,$B$153:$D$155,3,0)*(HLOOKUP(C80,$E$149:$I$155,$P$151,0)-1)/100,0),0)</f>
        <v>0</v>
      </c>
      <c r="K80" s="87">
        <f t="shared" si="12"/>
        <v>0</v>
      </c>
      <c r="M80" s="72"/>
    </row>
    <row r="81" spans="1:13">
      <c r="A81" s="89">
        <f>'Major Assumption Key'!A40</f>
        <v>2041</v>
      </c>
      <c r="B81" s="88">
        <f t="shared" si="9"/>
        <v>0</v>
      </c>
      <c r="C81" s="812" t="str" cm="1">
        <f t="array" ref="C81">IF(A81-$H$9&lt;0,"",INDEX('Life Cycle of Rehabilitation'!$C$19:$C$73,A81-$H$9+1,0))</f>
        <v>Very Good</v>
      </c>
      <c r="D81" s="90" t="str">
        <f>IF(C81="",IF(AND(A81&gt;='Cost Summary'!$C$26,A81&lt;='Cost Summary'!$D$26),"Construction",D35),"Routine Maintenance")</f>
        <v>Routine Maintenance</v>
      </c>
      <c r="E81" s="87">
        <f t="shared" si="10"/>
        <v>0</v>
      </c>
      <c r="F81" s="87"/>
      <c r="H81" s="813">
        <f>IF(AND(A81&gt;='Cost Summary'!$C$26,A81&lt;='Cost Summary'!$D$26),$J$186/IF('Cost Summary'!$D$26='Cost Summary'!$C$26,1,'Cost Summary'!$D$26-'Cost Summary'!$C$26)*(1+$H$5)^(A81-$H$6),0)</f>
        <v>0</v>
      </c>
      <c r="I81" s="87">
        <f>IF(AND($A35&gt;=$H$7,$A35&lt;=$H$8),IFERROR('State of Good Repair AP-CP'!$B$26*$C$108*B81*(1-$J$108)*VLOOKUP($E$108,$B$150:$D$152,3,0)*(HLOOKUP(C81,$E$149:$I$155,$O$150,0)-1)/100,0)+IFERROR('State of Good Repair AP-CP'!$B$26*$C$109*B81*(1-$J$109)*VLOOKUP($E$109,$B$150:$D$152,3,0)*(HLOOKUP(C81,$E$149:$I$155,$O$151,0)-1)/100,0),0)</f>
        <v>0</v>
      </c>
      <c r="J81" s="87">
        <f>IF(AND($A35&gt;=$H$7,$A35&lt;=$H$8),IFERROR('State of Good Repair AP-CP'!$B$26*$C$108*B81*$J$108*VLOOKUP($E$108,$B$153:$D$155,3,0)*(HLOOKUP(C81,$E$149:$I$155,$P$150,0)-1)/100,0)+IFERROR('State of Good Repair AP-CP'!$B$26*$C$109*B81*$J$109*VLOOKUP($E$109,$B$153:$D$155,3,0)*(HLOOKUP(C81,$E$149:$I$155,$P$151,0)-1)/100,0),0)</f>
        <v>0</v>
      </c>
      <c r="K81" s="87">
        <f t="shared" si="12"/>
        <v>0</v>
      </c>
      <c r="M81" s="72"/>
    </row>
    <row r="82" spans="1:13">
      <c r="A82" s="89">
        <f>'Major Assumption Key'!A41</f>
        <v>2042</v>
      </c>
      <c r="B82" s="88">
        <f t="shared" si="9"/>
        <v>0</v>
      </c>
      <c r="C82" s="812" t="str" cm="1">
        <f t="array" ref="C82">IF(A82-$H$9&lt;0,"",INDEX('Life Cycle of Rehabilitation'!$C$19:$C$73,A82-$H$9+1,0))</f>
        <v>Very Good</v>
      </c>
      <c r="D82" s="90" t="str">
        <f>IF(C82="",IF(AND(A82&gt;='Cost Summary'!$C$26,A82&lt;='Cost Summary'!$D$26),"Construction",D36),"Routine Maintenance")</f>
        <v>Routine Maintenance</v>
      </c>
      <c r="E82" s="87">
        <f t="shared" si="10"/>
        <v>0</v>
      </c>
      <c r="F82" s="87"/>
      <c r="H82" s="813">
        <f>IF(AND(A82&gt;='Cost Summary'!$C$26,A82&lt;='Cost Summary'!$D$26),$J$186/IF('Cost Summary'!$D$26='Cost Summary'!$C$26,1,'Cost Summary'!$D$26-'Cost Summary'!$C$26)*(1+$H$5)^(A82-$H$6),0)</f>
        <v>0</v>
      </c>
      <c r="I82" s="87">
        <f>IF(AND($A36&gt;=$H$7,$A36&lt;=$H$8),IFERROR('State of Good Repair AP-CP'!$B$26*$C$108*B82*(1-$J$108)*VLOOKUP($E$108,$B$150:$D$152,3,0)*(HLOOKUP(C82,$E$149:$I$155,$O$150,0)-1)/100,0)+IFERROR('State of Good Repair AP-CP'!$B$26*$C$109*B82*(1-$J$109)*VLOOKUP($E$109,$B$150:$D$152,3,0)*(HLOOKUP(C82,$E$149:$I$155,$O$151,0)-1)/100,0),0)</f>
        <v>0</v>
      </c>
      <c r="J82" s="87">
        <f>IF(AND($A36&gt;=$H$7,$A36&lt;=$H$8),IFERROR('State of Good Repair AP-CP'!$B$26*$C$108*B82*$J$108*VLOOKUP($E$108,$B$153:$D$155,3,0)*(HLOOKUP(C82,$E$149:$I$155,$P$150,0)-1)/100,0)+IFERROR('State of Good Repair AP-CP'!$B$26*$C$109*B82*$J$109*VLOOKUP($E$109,$B$153:$D$155,3,0)*(HLOOKUP(C82,$E$149:$I$155,$P$151,0)-1)/100,0),0)</f>
        <v>0</v>
      </c>
      <c r="K82" s="87">
        <f t="shared" si="12"/>
        <v>0</v>
      </c>
      <c r="M82" s="72"/>
    </row>
    <row r="83" spans="1:13">
      <c r="A83" s="89">
        <f>'Major Assumption Key'!A42</f>
        <v>2043</v>
      </c>
      <c r="B83" s="88">
        <f t="shared" si="9"/>
        <v>0</v>
      </c>
      <c r="C83" s="812" t="str" cm="1">
        <f t="array" ref="C83">IF(A83-$H$9&lt;0,"",INDEX('Life Cycle of Rehabilitation'!$C$19:$C$73,A83-$H$9+1,0))</f>
        <v>Very Good</v>
      </c>
      <c r="D83" s="90" t="str">
        <f>IF(C83="",IF(AND(A83&gt;='Cost Summary'!$C$26,A83&lt;='Cost Summary'!$D$26),"Construction",D37),"Routine Maintenance")</f>
        <v>Routine Maintenance</v>
      </c>
      <c r="E83" s="87">
        <f t="shared" si="10"/>
        <v>0</v>
      </c>
      <c r="F83" s="87"/>
      <c r="H83" s="813">
        <f>IF(AND(A83&gt;='Cost Summary'!$C$26,A83&lt;='Cost Summary'!$D$26),$J$186/IF('Cost Summary'!$D$26='Cost Summary'!$C$26,1,'Cost Summary'!$D$26-'Cost Summary'!$C$26)*(1+$H$5)^(A83-$H$6),0)</f>
        <v>0</v>
      </c>
      <c r="I83" s="87">
        <f>IF(AND($A37&gt;=$H$7,$A37&lt;=$H$8),IFERROR('State of Good Repair AP-CP'!$B$26*$C$108*B83*(1-$J$108)*VLOOKUP($E$108,$B$150:$D$152,3,0)*(HLOOKUP(C83,$E$149:$I$155,$O$150,0)-1)/100,0)+IFERROR('State of Good Repair AP-CP'!$B$26*$C$109*B83*(1-$J$109)*VLOOKUP($E$109,$B$150:$D$152,3,0)*(HLOOKUP(C83,$E$149:$I$155,$O$151,0)-1)/100,0),0)</f>
        <v>0</v>
      </c>
      <c r="J83" s="87">
        <f>IF(AND($A37&gt;=$H$7,$A37&lt;=$H$8),IFERROR('State of Good Repair AP-CP'!$B$26*$C$108*B83*$J$108*VLOOKUP($E$108,$B$153:$D$155,3,0)*(HLOOKUP(C83,$E$149:$I$155,$P$150,0)-1)/100,0)+IFERROR('State of Good Repair AP-CP'!$B$26*$C$109*B83*$J$109*VLOOKUP($E$109,$B$153:$D$155,3,0)*(HLOOKUP(C83,$E$149:$I$155,$P$151,0)-1)/100,0),0)</f>
        <v>0</v>
      </c>
      <c r="K83" s="87">
        <f t="shared" si="12"/>
        <v>0</v>
      </c>
      <c r="M83" s="72"/>
    </row>
    <row r="84" spans="1:13">
      <c r="A84" s="89">
        <f>'Major Assumption Key'!A43</f>
        <v>2044</v>
      </c>
      <c r="B84" s="88">
        <f t="shared" si="9"/>
        <v>0</v>
      </c>
      <c r="C84" s="812" t="str" cm="1">
        <f t="array" ref="C84">IF(A84-$H$9&lt;0,"",INDEX('Life Cycle of Rehabilitation'!$C$19:$C$73,A84-$H$9+1,0))</f>
        <v>Very Good</v>
      </c>
      <c r="D84" s="90" t="str">
        <f>IF(C84="",IF(AND(A84&gt;='Cost Summary'!$C$26,A84&lt;='Cost Summary'!$D$26),"Construction",D38),"Routine Maintenance")</f>
        <v>Routine Maintenance</v>
      </c>
      <c r="E84" s="87">
        <f t="shared" si="10"/>
        <v>0</v>
      </c>
      <c r="F84" s="87"/>
      <c r="H84" s="813">
        <f>IF(AND(A84&gt;='Cost Summary'!$C$26,A84&lt;='Cost Summary'!$D$26),$J$186/IF('Cost Summary'!$D$26='Cost Summary'!$C$26,1,'Cost Summary'!$D$26-'Cost Summary'!$C$26)*(1+$H$5)^(A84-$H$6),0)</f>
        <v>0</v>
      </c>
      <c r="I84" s="87">
        <f>IF(AND($A38&gt;=$H$7,$A38&lt;=$H$8),IFERROR('State of Good Repair AP-CP'!$B$26*$C$108*B84*(1-$J$108)*VLOOKUP($E$108,$B$150:$D$152,3,0)*(HLOOKUP(C84,$E$149:$I$155,$O$150,0)-1)/100,0)+IFERROR('State of Good Repair AP-CP'!$B$26*$C$109*B84*(1-$J$109)*VLOOKUP($E$109,$B$150:$D$152,3,0)*(HLOOKUP(C84,$E$149:$I$155,$O$151,0)-1)/100,0),0)</f>
        <v>0</v>
      </c>
      <c r="J84" s="87">
        <f>IF(AND($A38&gt;=$H$7,$A38&lt;=$H$8),IFERROR('State of Good Repair AP-CP'!$B$26*$C$108*B84*$J$108*VLOOKUP($E$108,$B$153:$D$155,3,0)*(HLOOKUP(C84,$E$149:$I$155,$P$150,0)-1)/100,0)+IFERROR('State of Good Repair AP-CP'!$B$26*$C$109*B84*$J$109*VLOOKUP($E$109,$B$153:$D$155,3,0)*(HLOOKUP(C84,$E$149:$I$155,$P$151,0)-1)/100,0),0)</f>
        <v>0</v>
      </c>
      <c r="K84" s="87">
        <f t="shared" si="12"/>
        <v>0</v>
      </c>
      <c r="M84" s="72"/>
    </row>
    <row r="85" spans="1:13">
      <c r="A85" s="89">
        <f>'Major Assumption Key'!A44</f>
        <v>2045</v>
      </c>
      <c r="B85" s="88">
        <f t="shared" si="9"/>
        <v>0</v>
      </c>
      <c r="C85" s="812" t="str" cm="1">
        <f t="array" ref="C85">IF(A85-$H$9&lt;0,"",INDEX('Life Cycle of Rehabilitation'!$C$19:$C$73,A85-$H$9+1,0))</f>
        <v>Very Good</v>
      </c>
      <c r="D85" s="90" t="str">
        <f>IF(C85="",IF(AND(A85&gt;='Cost Summary'!$C$26,A85&lt;='Cost Summary'!$D$26),"Construction",D39),"Routine Maintenance")</f>
        <v>Routine Maintenance</v>
      </c>
      <c r="E85" s="87">
        <f t="shared" si="10"/>
        <v>0</v>
      </c>
      <c r="F85" s="87"/>
      <c r="H85" s="813">
        <f>IF(AND(A85&gt;='Cost Summary'!$C$26,A85&lt;='Cost Summary'!$D$26),$J$186/IF('Cost Summary'!$D$26='Cost Summary'!$C$26,1,'Cost Summary'!$D$26-'Cost Summary'!$C$26)*(1+$H$5)^(A85-$H$6),0)</f>
        <v>0</v>
      </c>
      <c r="I85" s="87">
        <f>IF(AND($A39&gt;=$H$7,$A39&lt;=$H$8),IFERROR('State of Good Repair AP-CP'!$B$26*$C$108*B85*(1-$J$108)*VLOOKUP($E$108,$B$150:$D$152,3,0)*(HLOOKUP(C85,$E$149:$I$155,$O$150,0)-1)/100,0)+IFERROR('State of Good Repair AP-CP'!$B$26*$C$109*B85*(1-$J$109)*VLOOKUP($E$109,$B$150:$D$152,3,0)*(HLOOKUP(C85,$E$149:$I$155,$O$151,0)-1)/100,0),0)</f>
        <v>0</v>
      </c>
      <c r="J85" s="87">
        <f>IF(AND($A39&gt;=$H$7,$A39&lt;=$H$8),IFERROR('State of Good Repair AP-CP'!$B$26*$C$108*B85*$J$108*VLOOKUP($E$108,$B$153:$D$155,3,0)*(HLOOKUP(C85,$E$149:$I$155,$P$150,0)-1)/100,0)+IFERROR('State of Good Repair AP-CP'!$B$26*$C$109*B85*$J$109*VLOOKUP($E$109,$B$153:$D$155,3,0)*(HLOOKUP(C85,$E$149:$I$155,$P$151,0)-1)/100,0),0)</f>
        <v>0</v>
      </c>
      <c r="K85" s="87">
        <f t="shared" si="12"/>
        <v>0</v>
      </c>
      <c r="M85" s="72"/>
    </row>
    <row r="86" spans="1:13">
      <c r="A86" s="89">
        <f>'Major Assumption Key'!A45</f>
        <v>2046</v>
      </c>
      <c r="B86" s="88">
        <f t="shared" si="9"/>
        <v>0</v>
      </c>
      <c r="C86" s="812" t="str" cm="1">
        <f t="array" ref="C86">IF(A86-$H$9&lt;0,"",INDEX('Life Cycle of Rehabilitation'!$C$19:$C$73,A86-$H$9+1,0))</f>
        <v>Very Good</v>
      </c>
      <c r="D86" s="90" t="str">
        <f>IF(C86="",IF(AND(A86&gt;='Cost Summary'!$C$26,A86&lt;='Cost Summary'!$D$26),"Construction",D40),"Routine Maintenance")</f>
        <v>Routine Maintenance</v>
      </c>
      <c r="E86" s="87">
        <f t="shared" si="10"/>
        <v>0</v>
      </c>
      <c r="F86" s="87"/>
      <c r="H86" s="813">
        <f>IF(AND(A86&gt;='Cost Summary'!$C$26,A86&lt;='Cost Summary'!$D$26),$J$186/IF('Cost Summary'!$D$26='Cost Summary'!$C$26,1,'Cost Summary'!$D$26-'Cost Summary'!$C$26)*(1+$H$5)^(A86-$H$6),0)</f>
        <v>0</v>
      </c>
      <c r="I86" s="87">
        <f>IF(AND($A40&gt;=$H$7,$A40&lt;=$H$8),IFERROR('State of Good Repair AP-CP'!$B$26*$C$108*B86*(1-$J$108)*VLOOKUP($E$108,$B$150:$D$152,3,0)*(HLOOKUP(C86,$E$149:$I$155,$O$150,0)-1)/100,0)+IFERROR('State of Good Repair AP-CP'!$B$26*$C$109*B86*(1-$J$109)*VLOOKUP($E$109,$B$150:$D$152,3,0)*(HLOOKUP(C86,$E$149:$I$155,$O$151,0)-1)/100,0),0)</f>
        <v>0</v>
      </c>
      <c r="J86" s="87">
        <f>IF(AND($A40&gt;=$H$7,$A40&lt;=$H$8),IFERROR('State of Good Repair AP-CP'!$B$26*$C$108*B86*$J$108*VLOOKUP($E$108,$B$153:$D$155,3,0)*(HLOOKUP(C86,$E$149:$I$155,$P$150,0)-1)/100,0)+IFERROR('State of Good Repair AP-CP'!$B$26*$C$109*B86*$J$109*VLOOKUP($E$109,$B$153:$D$155,3,0)*(HLOOKUP(C86,$E$149:$I$155,$P$151,0)-1)/100,0),0)</f>
        <v>0</v>
      </c>
      <c r="K86" s="87">
        <f t="shared" si="12"/>
        <v>0</v>
      </c>
      <c r="M86" s="72"/>
    </row>
    <row r="87" spans="1:13">
      <c r="A87" s="89">
        <f>'Major Assumption Key'!A46</f>
        <v>2047</v>
      </c>
      <c r="B87" s="88">
        <f t="shared" si="9"/>
        <v>0</v>
      </c>
      <c r="C87" s="812" t="str" cm="1">
        <f t="array" ref="C87">IF(A87-$H$9&lt;0,"",INDEX('Life Cycle of Rehabilitation'!$C$19:$C$73,A87-$H$9+1,0))</f>
        <v>Very Good</v>
      </c>
      <c r="D87" s="90" t="str">
        <f>IF(C87="",IF(AND(A87&gt;='Cost Summary'!$C$26,A87&lt;='Cost Summary'!$D$26),"Construction",D41),"Routine Maintenance")</f>
        <v>Routine Maintenance</v>
      </c>
      <c r="E87" s="87">
        <f t="shared" si="10"/>
        <v>0</v>
      </c>
      <c r="F87" s="87"/>
      <c r="H87" s="813">
        <f>IF(AND(A87&gt;='Cost Summary'!$C$26,A87&lt;='Cost Summary'!$D$26),$J$186/IF('Cost Summary'!$D$26='Cost Summary'!$C$26,1,'Cost Summary'!$D$26-'Cost Summary'!$C$26)*(1+$H$5)^(A87-$H$6),0)</f>
        <v>0</v>
      </c>
      <c r="I87" s="87">
        <f>IF(AND($A41&gt;=$H$7,$A41&lt;=$H$8),IFERROR('State of Good Repair AP-CP'!$B$26*$C$108*B87*(1-$J$108)*VLOOKUP($E$108,$B$150:$D$152,3,0)*(HLOOKUP(C87,$E$149:$I$155,$O$150,0)-1)/100,0)+IFERROR('State of Good Repair AP-CP'!$B$26*$C$109*B87*(1-$J$109)*VLOOKUP($E$109,$B$150:$D$152,3,0)*(HLOOKUP(C87,$E$149:$I$155,$O$151,0)-1)/100,0),0)</f>
        <v>0</v>
      </c>
      <c r="J87" s="87">
        <f>IF(AND($A41&gt;=$H$7,$A41&lt;=$H$8),IFERROR('State of Good Repair AP-CP'!$B$26*$C$108*B87*$J$108*VLOOKUP($E$108,$B$153:$D$155,3,0)*(HLOOKUP(C87,$E$149:$I$155,$P$150,0)-1)/100,0)+IFERROR('State of Good Repair AP-CP'!$B$26*$C$109*B87*$J$109*VLOOKUP($E$109,$B$153:$D$155,3,0)*(HLOOKUP(C87,$E$149:$I$155,$P$151,0)-1)/100,0),0)</f>
        <v>0</v>
      </c>
      <c r="K87" s="87">
        <f t="shared" si="12"/>
        <v>0</v>
      </c>
      <c r="M87" s="72"/>
    </row>
    <row r="88" spans="1:13">
      <c r="A88" s="89">
        <f>'Major Assumption Key'!A47</f>
        <v>2048</v>
      </c>
      <c r="B88" s="88">
        <f t="shared" si="9"/>
        <v>0</v>
      </c>
      <c r="C88" s="812" t="str" cm="1">
        <f t="array" ref="C88">IF(A88-$H$9&lt;0,"",INDEX('Life Cycle of Rehabilitation'!$C$19:$C$73,A88-$H$9+1,0))</f>
        <v>Good</v>
      </c>
      <c r="D88" s="90" t="str">
        <f>IF(C88="",IF(AND(A88&gt;='Cost Summary'!$C$26,A88&lt;='Cost Summary'!$D$26),"Construction",D42),"Routine Maintenance")</f>
        <v>Routine Maintenance</v>
      </c>
      <c r="E88" s="87">
        <f t="shared" si="10"/>
        <v>0</v>
      </c>
      <c r="F88" s="87"/>
      <c r="H88" s="813">
        <f>IF(AND(A88&gt;='Cost Summary'!$C$26,A88&lt;='Cost Summary'!$D$26),$J$186/IF('Cost Summary'!$D$26='Cost Summary'!$C$26,1,'Cost Summary'!$D$26-'Cost Summary'!$C$26)*(1+$H$5)^(A88-$H$6),0)</f>
        <v>0</v>
      </c>
      <c r="I88" s="87">
        <f>IF(AND($A42&gt;=$H$7,$A42&lt;=$H$8),IFERROR('State of Good Repair AP-CP'!$B$26*$C$108*B88*(1-$J$108)*VLOOKUP($E$108,$B$150:$D$152,3,0)*(HLOOKUP(C88,$E$149:$I$155,$O$150,0)-1)/100,0)+IFERROR('State of Good Repair AP-CP'!$B$26*$C$109*B88*(1-$J$109)*VLOOKUP($E$109,$B$150:$D$152,3,0)*(HLOOKUP(C88,$E$149:$I$155,$O$151,0)-1)/100,0),0)</f>
        <v>0</v>
      </c>
      <c r="J88" s="87">
        <f>IF(AND($A42&gt;=$H$7,$A42&lt;=$H$8),IFERROR('State of Good Repair AP-CP'!$B$26*$C$108*B88*$J$108*VLOOKUP($E$108,$B$153:$D$155,3,0)*(HLOOKUP(C88,$E$149:$I$155,$P$150,0)-1)/100,0)+IFERROR('State of Good Repair AP-CP'!$B$26*$C$109*B88*$J$109*VLOOKUP($E$109,$B$153:$D$155,3,0)*(HLOOKUP(C88,$E$149:$I$155,$P$151,0)-1)/100,0),0)</f>
        <v>0</v>
      </c>
      <c r="K88" s="87">
        <f t="shared" si="12"/>
        <v>0</v>
      </c>
      <c r="M88" s="72"/>
    </row>
    <row r="89" spans="1:13">
      <c r="A89" s="89">
        <f>'Major Assumption Key'!A48</f>
        <v>2049</v>
      </c>
      <c r="B89" s="88">
        <f t="shared" si="9"/>
        <v>0</v>
      </c>
      <c r="C89" s="812" t="str" cm="1">
        <f t="array" ref="C89">IF(A89-$H$9&lt;0,"",INDEX('Life Cycle of Rehabilitation'!$C$19:$C$73,A89-$H$9+1,0))</f>
        <v>Good</v>
      </c>
      <c r="D89" s="90" t="str">
        <f>IF(C89="",IF(AND(A89&gt;='Cost Summary'!$C$26,A89&lt;='Cost Summary'!$D$26),"Construction",D43),"Routine Maintenance")</f>
        <v>Routine Maintenance</v>
      </c>
      <c r="E89" s="87">
        <f t="shared" si="10"/>
        <v>0</v>
      </c>
      <c r="F89" s="87"/>
      <c r="H89" s="813">
        <f>IF(AND(A89&gt;='Cost Summary'!$C$26,A89&lt;='Cost Summary'!$D$26),$J$186/IF('Cost Summary'!$D$26='Cost Summary'!$C$26,1,'Cost Summary'!$D$26-'Cost Summary'!$C$26)*(1+$H$5)^(A89-$H$6),0)</f>
        <v>0</v>
      </c>
      <c r="I89" s="87">
        <f>IF(AND($A43&gt;=$H$7,$A43&lt;=$H$8),IFERROR('State of Good Repair AP-CP'!$B$26*$C$108*B89*(1-$J$108)*VLOOKUP($E$108,$B$150:$D$152,3,0)*(HLOOKUP(C89,$E$149:$I$155,$O$150,0)-1)/100,0)+IFERROR('State of Good Repair AP-CP'!$B$26*$C$109*B89*(1-$J$109)*VLOOKUP($E$109,$B$150:$D$152,3,0)*(HLOOKUP(C89,$E$149:$I$155,$O$151,0)-1)/100,0),0)</f>
        <v>0</v>
      </c>
      <c r="J89" s="87">
        <f>IF(AND($A43&gt;=$H$7,$A43&lt;=$H$8),IFERROR('State of Good Repair AP-CP'!$B$26*$C$108*B89*$J$108*VLOOKUP($E$108,$B$153:$D$155,3,0)*(HLOOKUP(C89,$E$149:$I$155,$P$150,0)-1)/100,0)+IFERROR('State of Good Repair AP-CP'!$B$26*$C$109*B89*$J$109*VLOOKUP($E$109,$B$153:$D$155,3,0)*(HLOOKUP(C89,$E$149:$I$155,$P$151,0)-1)/100,0),0)</f>
        <v>0</v>
      </c>
      <c r="K89" s="87">
        <f t="shared" si="12"/>
        <v>0</v>
      </c>
      <c r="M89" s="72"/>
    </row>
    <row r="90" spans="1:13">
      <c r="A90" s="89">
        <f>'Major Assumption Key'!A49</f>
        <v>2050</v>
      </c>
      <c r="B90" s="88">
        <f t="shared" si="9"/>
        <v>0</v>
      </c>
      <c r="C90" s="812" t="str" cm="1">
        <f t="array" ref="C90">IF(A90-$H$9&lt;0,"",INDEX('Life Cycle of Rehabilitation'!$C$19:$C$73,A90-$H$9+1,0))</f>
        <v>Good</v>
      </c>
      <c r="D90" s="90" t="str">
        <f>IF(C90="",IF(AND(A90&gt;='Cost Summary'!$C$26,A90&lt;='Cost Summary'!$D$26),"Construction",D44),"Routine Maintenance")</f>
        <v>Routine Maintenance</v>
      </c>
      <c r="E90" s="87">
        <f t="shared" si="10"/>
        <v>0</v>
      </c>
      <c r="F90" s="87"/>
      <c r="H90" s="813">
        <f>IF(AND(A90&gt;='Cost Summary'!$C$26,A90&lt;='Cost Summary'!$D$26),$J$186/IF('Cost Summary'!$D$26='Cost Summary'!$C$26,1,'Cost Summary'!$D$26-'Cost Summary'!$C$26)*(1+$H$5)^(A90-$H$6),0)</f>
        <v>0</v>
      </c>
      <c r="I90" s="87">
        <f>IF(AND($A44&gt;=$H$7,$A44&lt;=$H$8),IFERROR('State of Good Repair AP-CP'!$B$26*$C$108*B90*(1-$J$108)*VLOOKUP($E$108,$B$150:$D$152,3,0)*(HLOOKUP(C90,$E$149:$I$155,$O$150,0)-1)/100,0)+IFERROR('State of Good Repair AP-CP'!$B$26*$C$109*B90*(1-$J$109)*VLOOKUP($E$109,$B$150:$D$152,3,0)*(HLOOKUP(C90,$E$149:$I$155,$O$151,0)-1)/100,0),0)</f>
        <v>0</v>
      </c>
      <c r="J90" s="87">
        <f>IF(AND($A44&gt;=$H$7,$A44&lt;=$H$8),IFERROR('State of Good Repair AP-CP'!$B$26*$C$108*B90*$J$108*VLOOKUP($E$108,$B$153:$D$155,3,0)*(HLOOKUP(C90,$E$149:$I$155,$P$150,0)-1)/100,0)+IFERROR('State of Good Repair AP-CP'!$B$26*$C$109*B90*$J$109*VLOOKUP($E$109,$B$153:$D$155,3,0)*(HLOOKUP(C90,$E$149:$I$155,$P$151,0)-1)/100,0),0)</f>
        <v>0</v>
      </c>
      <c r="K90" s="87">
        <f t="shared" si="12"/>
        <v>0</v>
      </c>
      <c r="M90" s="72"/>
    </row>
    <row r="91" spans="1:13">
      <c r="A91" s="89">
        <f>'Major Assumption Key'!A50</f>
        <v>2051</v>
      </c>
      <c r="B91" s="88">
        <f t="shared" si="9"/>
        <v>0</v>
      </c>
      <c r="C91" s="812" t="str" cm="1">
        <f t="array" ref="C91">IF(A91-$H$9&lt;0,"",INDEX('Life Cycle of Rehabilitation'!$C$19:$C$73,A91-$H$9+1,0))</f>
        <v>Good</v>
      </c>
      <c r="D91" s="90" t="str">
        <f>IF(C91="",IF(AND(A91&gt;='Cost Summary'!$C$26,A91&lt;='Cost Summary'!$D$26),"Construction",D45),"Routine Maintenance")</f>
        <v>Routine Maintenance</v>
      </c>
      <c r="E91" s="87">
        <f t="shared" si="10"/>
        <v>0</v>
      </c>
      <c r="F91" s="87"/>
      <c r="H91" s="813">
        <f>IF(AND(A91&gt;='Cost Summary'!$C$26,A91&lt;='Cost Summary'!$D$26),$J$186/IF('Cost Summary'!$D$26='Cost Summary'!$C$26,1,'Cost Summary'!$D$26-'Cost Summary'!$C$26)*(1+$H$5)^(A91-$H$6),0)</f>
        <v>0</v>
      </c>
      <c r="I91" s="87">
        <f>IF(AND($A45&gt;=$H$7,$A45&lt;=$H$8),IFERROR('State of Good Repair AP-CP'!$B$26*$C$108*B91*(1-$J$108)*VLOOKUP($E$108,$B$150:$D$152,3,0)*(HLOOKUP(C91,$E$149:$I$155,$O$150,0)-1)/100,0)+IFERROR('State of Good Repair AP-CP'!$B$26*$C$109*B91*(1-$J$109)*VLOOKUP($E$109,$B$150:$D$152,3,0)*(HLOOKUP(C91,$E$149:$I$155,$O$151,0)-1)/100,0),0)</f>
        <v>0</v>
      </c>
      <c r="J91" s="87">
        <f>IF(AND($A45&gt;=$H$7,$A45&lt;=$H$8),IFERROR('State of Good Repair AP-CP'!$B$26*$C$108*B91*$J$108*VLOOKUP($E$108,$B$153:$D$155,3,0)*(HLOOKUP(C91,$E$149:$I$155,$P$150,0)-1)/100,0)+IFERROR('State of Good Repair AP-CP'!$B$26*$C$109*B91*$J$109*VLOOKUP($E$109,$B$153:$D$155,3,0)*(HLOOKUP(C91,$E$149:$I$155,$P$151,0)-1)/100,0),0)</f>
        <v>0</v>
      </c>
      <c r="K91" s="87">
        <f t="shared" si="12"/>
        <v>0</v>
      </c>
      <c r="M91" s="72"/>
    </row>
    <row r="92" spans="1:13">
      <c r="A92" s="89">
        <f>'Major Assumption Key'!A51</f>
        <v>2052</v>
      </c>
      <c r="B92" s="88">
        <f t="shared" ref="B92:B100" si="13">B46</f>
        <v>0</v>
      </c>
      <c r="C92" s="812" t="str" cm="1">
        <f t="array" ref="C92">IF(A92-$H$9&lt;0,"",INDEX('Life Cycle of Rehabilitation'!$C$19:$C$73,A92-$H$9+1,0))</f>
        <v>Good</v>
      </c>
      <c r="D92" s="90" t="str">
        <f>IF(C92="",IF(AND(A92&gt;='Cost Summary'!$C$26,A92&lt;='Cost Summary'!$D$26),"Construction",D46),"Routine Maintenance")</f>
        <v>Routine Maintenance</v>
      </c>
      <c r="E92" s="87">
        <f t="shared" si="10"/>
        <v>0</v>
      </c>
      <c r="F92" s="87"/>
      <c r="H92" s="813">
        <f>IF(AND(A92&gt;='Cost Summary'!$C$26,A92&lt;='Cost Summary'!$D$26),$J$186/IF('Cost Summary'!$D$26='Cost Summary'!$C$26,1,'Cost Summary'!$D$26-'Cost Summary'!$C$26)*(1+$H$5)^(A92-$H$6),0)</f>
        <v>0</v>
      </c>
      <c r="I92" s="87">
        <f>IF(AND($A46&gt;=$H$7,$A46&lt;=$H$8),IFERROR('State of Good Repair AP-CP'!$B$26*$C$108*B92*(1-$J$108)*VLOOKUP($E$108,$B$150:$D$152,3,0)*(HLOOKUP(C92,$E$149:$I$155,$O$150,0)-1)/100,0)+IFERROR('State of Good Repair AP-CP'!$B$26*$C$109*B92*(1-$J$109)*VLOOKUP($E$109,$B$150:$D$152,3,0)*(HLOOKUP(C92,$E$149:$I$155,$O$151,0)-1)/100,0),0)</f>
        <v>0</v>
      </c>
      <c r="J92" s="87">
        <f>IF(AND($A46&gt;=$H$7,$A46&lt;=$H$8),IFERROR('State of Good Repair AP-CP'!$B$26*$C$108*B92*$J$108*VLOOKUP($E$108,$B$153:$D$155,3,0)*(HLOOKUP(C92,$E$149:$I$155,$P$150,0)-1)/100,0)+IFERROR('State of Good Repair AP-CP'!$B$26*$C$109*B92*$J$109*VLOOKUP($E$109,$B$153:$D$155,3,0)*(HLOOKUP(C92,$E$149:$I$155,$P$151,0)-1)/100,0),0)</f>
        <v>0</v>
      </c>
      <c r="K92" s="87">
        <f t="shared" si="12"/>
        <v>0</v>
      </c>
      <c r="M92" s="72"/>
    </row>
    <row r="93" spans="1:13">
      <c r="A93" s="89">
        <f>'Major Assumption Key'!A52</f>
        <v>2053</v>
      </c>
      <c r="B93" s="88">
        <f t="shared" si="13"/>
        <v>0</v>
      </c>
      <c r="C93" s="812" t="str" cm="1">
        <f t="array" ref="C93">IF(A93-$H$9&lt;0,"",INDEX('Life Cycle of Rehabilitation'!$C$19:$C$73,A93-$H$9+1,0))</f>
        <v>Good</v>
      </c>
      <c r="D93" s="90" t="str">
        <f>IF(C93="",IF(AND(A93&gt;='Cost Summary'!$C$26,A93&lt;='Cost Summary'!$D$26),"Construction",D47),"Routine Maintenance")</f>
        <v>Routine Maintenance</v>
      </c>
      <c r="E93" s="87">
        <f t="shared" si="10"/>
        <v>0</v>
      </c>
      <c r="F93" s="87"/>
      <c r="H93" s="813">
        <f>IF(AND(A93&gt;='Cost Summary'!$C$26,A93&lt;='Cost Summary'!$D$26),$J$186/IF('Cost Summary'!$D$26='Cost Summary'!$C$26,1,'Cost Summary'!$D$26-'Cost Summary'!$C$26)*(1+$H$5)^(A93-$H$6),0)</f>
        <v>0</v>
      </c>
      <c r="I93" s="87">
        <f>IF(AND($A47&gt;=$H$7,$A47&lt;=$H$8),IFERROR('State of Good Repair AP-CP'!$B$26*$C$108*B93*(1-$J$108)*VLOOKUP($E$108,$B$150:$D$152,3,0)*(HLOOKUP(C93,$E$149:$I$155,$O$150,0)-1)/100,0)+IFERROR('State of Good Repair AP-CP'!$B$26*$C$109*B93*(1-$J$109)*VLOOKUP($E$109,$B$150:$D$152,3,0)*(HLOOKUP(C93,$E$149:$I$155,$O$151,0)-1)/100,0),0)</f>
        <v>0</v>
      </c>
      <c r="J93" s="87">
        <f>IF(AND($A47&gt;=$H$7,$A47&lt;=$H$8),IFERROR('State of Good Repair AP-CP'!$B$26*$C$108*B93*$J$108*VLOOKUP($E$108,$B$153:$D$155,3,0)*(HLOOKUP(C93,$E$149:$I$155,$P$150,0)-1)/100,0)+IFERROR('State of Good Repair AP-CP'!$B$26*$C$109*B93*$J$109*VLOOKUP($E$109,$B$153:$D$155,3,0)*(HLOOKUP(C93,$E$149:$I$155,$P$151,0)-1)/100,0),0)</f>
        <v>0</v>
      </c>
      <c r="K93" s="87">
        <f t="shared" si="12"/>
        <v>0</v>
      </c>
      <c r="M93" s="72"/>
    </row>
    <row r="94" spans="1:13">
      <c r="A94" s="89">
        <f>'Major Assumption Key'!A53</f>
        <v>2054</v>
      </c>
      <c r="B94" s="88">
        <f t="shared" si="13"/>
        <v>0</v>
      </c>
      <c r="C94" s="812" t="str" cm="1">
        <f t="array" ref="C94">IF(A94-$H$9&lt;0,"",INDEX('Life Cycle of Rehabilitation'!$C$19:$C$73,A94-$H$9+1,0))</f>
        <v>Fair</v>
      </c>
      <c r="D94" s="90" t="str">
        <f>IF(C94="",IF(AND(A94&gt;='Cost Summary'!$C$26,A94&lt;='Cost Summary'!$D$26),"Construction",D48),"Routine Maintenance")</f>
        <v>Routine Maintenance</v>
      </c>
      <c r="E94" s="87">
        <f t="shared" si="10"/>
        <v>0</v>
      </c>
      <c r="F94" s="87"/>
      <c r="H94" s="813">
        <f>IF(AND(A94&gt;='Cost Summary'!$C$26,A94&lt;='Cost Summary'!$D$26),$J$186/IF('Cost Summary'!$D$26='Cost Summary'!$C$26,1,'Cost Summary'!$D$26-'Cost Summary'!$C$26)*(1+$H$5)^(A94-$H$6),0)</f>
        <v>0</v>
      </c>
      <c r="I94" s="87">
        <f>IF(AND($A48&gt;=$H$7,$A48&lt;=$H$8),IFERROR('State of Good Repair AP-CP'!$B$26*$C$108*B94*(1-$J$108)*VLOOKUP($E$108,$B$150:$D$152,3,0)*(HLOOKUP(C94,$E$149:$I$155,$O$150,0)-1)/100,0)+IFERROR('State of Good Repair AP-CP'!$B$26*$C$109*B94*(1-$J$109)*VLOOKUP($E$109,$B$150:$D$152,3,0)*(HLOOKUP(C94,$E$149:$I$155,$O$151,0)-1)/100,0),0)</f>
        <v>0</v>
      </c>
      <c r="J94" s="87">
        <f>IF(AND($A48&gt;=$H$7,$A48&lt;=$H$8),IFERROR('State of Good Repair AP-CP'!$B$26*$C$108*B94*$J$108*VLOOKUP($E$108,$B$153:$D$155,3,0)*(HLOOKUP(C94,$E$149:$I$155,$P$150,0)-1)/100,0)+IFERROR('State of Good Repair AP-CP'!$B$26*$C$109*B94*$J$109*VLOOKUP($E$109,$B$153:$D$155,3,0)*(HLOOKUP(C94,$E$149:$I$155,$P$151,0)-1)/100,0),0)</f>
        <v>0</v>
      </c>
      <c r="K94" s="87">
        <f t="shared" si="12"/>
        <v>0</v>
      </c>
      <c r="M94" s="72"/>
    </row>
    <row r="95" spans="1:13">
      <c r="A95" s="89">
        <f>'Major Assumption Key'!A54</f>
        <v>2055</v>
      </c>
      <c r="B95" s="88">
        <f t="shared" si="13"/>
        <v>0</v>
      </c>
      <c r="C95" s="812" t="str" cm="1">
        <f t="array" ref="C95">IF(A95-$H$9&lt;0,"",INDEX('Life Cycle of Rehabilitation'!$C$19:$C$73,A95-$H$9+1,0))</f>
        <v>Fair</v>
      </c>
      <c r="D95" s="90" t="str">
        <f>IF(C95="",IF(AND(A95&gt;='Cost Summary'!$C$26,A95&lt;='Cost Summary'!$D$26),"Construction",D49),"Routine Maintenance")</f>
        <v>Routine Maintenance</v>
      </c>
      <c r="E95" s="87">
        <f t="shared" si="10"/>
        <v>0</v>
      </c>
      <c r="F95" s="87"/>
      <c r="H95" s="813">
        <f>IF(AND(A95&gt;='Cost Summary'!$C$26,A95&lt;='Cost Summary'!$D$26),$J$186/IF('Cost Summary'!$D$26='Cost Summary'!$C$26,1,'Cost Summary'!$D$26-'Cost Summary'!$C$26)*(1+$H$5)^(A95-$H$6),0)</f>
        <v>0</v>
      </c>
      <c r="I95" s="87">
        <f>IF(AND($A49&gt;=$H$7,$A49&lt;=$H$8),IFERROR('State of Good Repair AP-CP'!$B$26*$C$108*B95*(1-$J$108)*VLOOKUP($E$108,$B$150:$D$152,3,0)*(HLOOKUP(C95,$E$149:$I$155,$O$150,0)-1)/100,0)+IFERROR('State of Good Repair AP-CP'!$B$26*$C$109*B95*(1-$J$109)*VLOOKUP($E$109,$B$150:$D$152,3,0)*(HLOOKUP(C95,$E$149:$I$155,$O$151,0)-1)/100,0),0)</f>
        <v>0</v>
      </c>
      <c r="J95" s="87">
        <f>IF(AND($A49&gt;=$H$7,$A49&lt;=$H$8),IFERROR('State of Good Repair AP-CP'!$B$26*$C$108*B95*$J$108*VLOOKUP($E$108,$B$153:$D$155,3,0)*(HLOOKUP(C95,$E$149:$I$155,$P$150,0)-1)/100,0)+IFERROR('State of Good Repair AP-CP'!$B$26*$C$109*B95*$J$109*VLOOKUP($E$109,$B$153:$D$155,3,0)*(HLOOKUP(C95,$E$149:$I$155,$P$151,0)-1)/100,0),0)</f>
        <v>0</v>
      </c>
      <c r="K95" s="87">
        <f t="shared" si="12"/>
        <v>0</v>
      </c>
      <c r="M95" s="72"/>
    </row>
    <row r="96" spans="1:13">
      <c r="A96" s="89">
        <f>'Major Assumption Key'!A55</f>
        <v>2056</v>
      </c>
      <c r="B96" s="88">
        <f t="shared" si="13"/>
        <v>0</v>
      </c>
      <c r="C96" s="812" t="str" cm="1">
        <f t="array" ref="C96">IF(A96-$H$9&lt;0,"",INDEX('Life Cycle of Rehabilitation'!$C$19:$C$73,A96-$H$9+1,0))</f>
        <v>Fair</v>
      </c>
      <c r="D96" s="90" t="str">
        <f>IF(C96="",IF(AND(A96&gt;='Cost Summary'!$C$26,A96&lt;='Cost Summary'!$D$26),"Construction",D50),"Routine Maintenance")</f>
        <v>Routine Maintenance</v>
      </c>
      <c r="E96" s="87">
        <f t="shared" si="10"/>
        <v>0</v>
      </c>
      <c r="F96" s="87"/>
      <c r="H96" s="813">
        <f>IF(AND(A96&gt;='Cost Summary'!$C$26,A96&lt;='Cost Summary'!$D$26),$J$186/IF('Cost Summary'!$D$26='Cost Summary'!$C$26,1,'Cost Summary'!$D$26-'Cost Summary'!$C$26)*(1+$H$5)^(A96-$H$6),0)</f>
        <v>0</v>
      </c>
      <c r="I96" s="87">
        <f>IF(AND($A50&gt;=$H$7,$A50&lt;=$H$8),IFERROR('State of Good Repair AP-CP'!$B$26*$C$108*B96*(1-$J$108)*VLOOKUP($E$108,$B$150:$D$152,3,0)*(HLOOKUP(C96,$E$149:$I$155,$O$150,0)-1)/100,0)+IFERROR('State of Good Repair AP-CP'!$B$26*$C$109*B96*(1-$J$109)*VLOOKUP($E$109,$B$150:$D$152,3,0)*(HLOOKUP(C96,$E$149:$I$155,$O$151,0)-1)/100,0),0)</f>
        <v>0</v>
      </c>
      <c r="J96" s="87">
        <f>IF(AND($A50&gt;=$H$7,$A50&lt;=$H$8),IFERROR('State of Good Repair AP-CP'!$B$26*$C$108*B96*$J$108*VLOOKUP($E$108,$B$153:$D$155,3,0)*(HLOOKUP(C96,$E$149:$I$155,$P$150,0)-1)/100,0)+IFERROR('State of Good Repair AP-CP'!$B$26*$C$109*B96*$J$109*VLOOKUP($E$109,$B$153:$D$155,3,0)*(HLOOKUP(C96,$E$149:$I$155,$P$151,0)-1)/100,0),0)</f>
        <v>0</v>
      </c>
      <c r="K96" s="87">
        <f t="shared" si="12"/>
        <v>0</v>
      </c>
      <c r="M96" s="72"/>
    </row>
    <row r="97" spans="1:16">
      <c r="A97" s="89">
        <f>'Major Assumption Key'!A56</f>
        <v>2057</v>
      </c>
      <c r="B97" s="88">
        <f t="shared" si="13"/>
        <v>0</v>
      </c>
      <c r="C97" s="812" t="str" cm="1">
        <f t="array" ref="C97">IF(A97-$H$9&lt;0,"",INDEX('Life Cycle of Rehabilitation'!$C$19:$C$73,A97-$H$9+1,0))</f>
        <v>Fair</v>
      </c>
      <c r="D97" s="90" t="str">
        <f>IF(C97="",IF(AND(A97&gt;='Cost Summary'!$C$26,A97&lt;='Cost Summary'!$D$26),"Construction",D51),"Routine Maintenance")</f>
        <v>Routine Maintenance</v>
      </c>
      <c r="E97" s="87">
        <f t="shared" si="10"/>
        <v>0</v>
      </c>
      <c r="F97" s="87"/>
      <c r="H97" s="813">
        <f>IF(AND(A97&gt;='Cost Summary'!$C$26,A97&lt;='Cost Summary'!$D$26),$J$186/IF('Cost Summary'!$D$26='Cost Summary'!$C$26,1,'Cost Summary'!$D$26-'Cost Summary'!$C$26)*(1+$H$5)^(A97-$H$6),0)</f>
        <v>0</v>
      </c>
      <c r="I97" s="87">
        <f>IF(AND($A51&gt;=$H$7,$A51&lt;=$H$8),IFERROR('State of Good Repair AP-CP'!$B$26*$C$108*B97*(1-$J$108)*VLOOKUP($E$108,$B$150:$D$152,3,0)*(HLOOKUP(C97,$E$149:$I$155,$O$150,0)-1)/100,0)+IFERROR('State of Good Repair AP-CP'!$B$26*$C$109*B97*(1-$J$109)*VLOOKUP($E$109,$B$150:$D$152,3,0)*(HLOOKUP(C97,$E$149:$I$155,$O$151,0)-1)/100,0),0)</f>
        <v>0</v>
      </c>
      <c r="J97" s="87">
        <f>IF(AND($A51&gt;=$H$7,$A51&lt;=$H$8),IFERROR('State of Good Repair AP-CP'!$B$26*$C$108*B97*$J$108*VLOOKUP($E$108,$B$153:$D$155,3,0)*(HLOOKUP(C97,$E$149:$I$155,$P$150,0)-1)/100,0)+IFERROR('State of Good Repair AP-CP'!$B$26*$C$109*B97*$J$109*VLOOKUP($E$109,$B$153:$D$155,3,0)*(HLOOKUP(C97,$E$149:$I$155,$P$151,0)-1)/100,0),0)</f>
        <v>0</v>
      </c>
      <c r="K97" s="87">
        <f t="shared" si="12"/>
        <v>0</v>
      </c>
      <c r="M97" s="72"/>
    </row>
    <row r="98" spans="1:16">
      <c r="A98" s="89">
        <f>'Major Assumption Key'!A57</f>
        <v>2058</v>
      </c>
      <c r="B98" s="88">
        <f t="shared" si="13"/>
        <v>0</v>
      </c>
      <c r="C98" s="812" t="str" cm="1">
        <f t="array" ref="C98">IF(A98-$H$9&lt;0,"",INDEX('Life Cycle of Rehabilitation'!$C$19:$C$73,A98-$H$9+1,0))</f>
        <v>Fair</v>
      </c>
      <c r="D98" s="90" t="str">
        <f>IF(C98="",IF(AND(A98&gt;='Cost Summary'!$C$26,A98&lt;='Cost Summary'!$D$26),"Construction",D52),"Routine Maintenance")</f>
        <v>Routine Maintenance</v>
      </c>
      <c r="E98" s="87">
        <f t="shared" si="10"/>
        <v>0</v>
      </c>
      <c r="F98" s="87"/>
      <c r="H98" s="813">
        <f>IF(AND(A98&gt;='Cost Summary'!$C$26,A98&lt;='Cost Summary'!$D$26),$J$186/IF('Cost Summary'!$D$26='Cost Summary'!$C$26,1,'Cost Summary'!$D$26-'Cost Summary'!$C$26)*(1+$H$5)^(A98-$H$6),0)</f>
        <v>0</v>
      </c>
      <c r="I98" s="87">
        <f>IF(AND($A52&gt;=$H$7,$A52&lt;=$H$8),IFERROR('State of Good Repair AP-CP'!$B$26*$C$108*B98*(1-$J$108)*VLOOKUP($E$108,$B$150:$D$152,3,0)*(HLOOKUP(C98,$E$149:$I$155,$O$150,0)-1)/100,0)+IFERROR('State of Good Repair AP-CP'!$B$26*$C$109*B98*(1-$J$109)*VLOOKUP($E$109,$B$150:$D$152,3,0)*(HLOOKUP(C98,$E$149:$I$155,$O$151,0)-1)/100,0),0)</f>
        <v>0</v>
      </c>
      <c r="J98" s="87">
        <f>IF(AND($A52&gt;=$H$7,$A52&lt;=$H$8),IFERROR('State of Good Repair AP-CP'!$B$26*$C$108*B98*$J$108*VLOOKUP($E$108,$B$153:$D$155,3,0)*(HLOOKUP(C98,$E$149:$I$155,$P$150,0)-1)/100,0)+IFERROR('State of Good Repair AP-CP'!$B$26*$C$109*B98*$J$109*VLOOKUP($E$109,$B$153:$D$155,3,0)*(HLOOKUP(C98,$E$149:$I$155,$P$151,0)-1)/100,0),0)</f>
        <v>0</v>
      </c>
      <c r="K98" s="87">
        <f t="shared" si="12"/>
        <v>0</v>
      </c>
      <c r="M98" s="72"/>
    </row>
    <row r="99" spans="1:16">
      <c r="A99" s="89">
        <f>'Major Assumption Key'!A58</f>
        <v>2059</v>
      </c>
      <c r="B99" s="88">
        <f t="shared" si="13"/>
        <v>0</v>
      </c>
      <c r="C99" s="812" t="str" cm="1">
        <f t="array" ref="C99">IF(A99-$H$9&lt;0,"",INDEX('Life Cycle of Rehabilitation'!$C$19:$C$73,A99-$H$9+1,0))</f>
        <v>Fair</v>
      </c>
      <c r="D99" s="90" t="str">
        <f>IF(C99="",IF(AND(A99&gt;='Cost Summary'!$C$26,A99&lt;='Cost Summary'!$D$26),"Construction",D53),"Routine Maintenance")</f>
        <v>Routine Maintenance</v>
      </c>
      <c r="E99" s="87">
        <f t="shared" si="10"/>
        <v>0</v>
      </c>
      <c r="F99" s="87"/>
      <c r="H99" s="813">
        <f>IF(AND(A99&gt;='Cost Summary'!$C$26,A99&lt;='Cost Summary'!$D$26),$J$186/IF('Cost Summary'!$D$26='Cost Summary'!$C$26,1,'Cost Summary'!$D$26-'Cost Summary'!$C$26)*(1+$H$5)^(A99-$H$6),0)</f>
        <v>0</v>
      </c>
      <c r="I99" s="87">
        <f>IF(AND($A53&gt;=$H$7,$A53&lt;=$H$8),IFERROR('State of Good Repair AP-CP'!$B$26*$C$108*B99*(1-$J$108)*VLOOKUP($E$108,$B$150:$D$152,3,0)*(HLOOKUP(C99,$E$149:$I$155,$O$150,0)-1)/100,0)+IFERROR('State of Good Repair AP-CP'!$B$26*$C$109*B99*(1-$J$109)*VLOOKUP($E$109,$B$150:$D$152,3,0)*(HLOOKUP(C99,$E$149:$I$155,$O$151,0)-1)/100,0),0)</f>
        <v>0</v>
      </c>
      <c r="J99" s="87">
        <f>IF(AND($A53&gt;=$H$7,$A53&lt;=$H$8),IFERROR('State of Good Repair AP-CP'!$B$26*$C$108*B99*$J$108*VLOOKUP($E$108,$B$153:$D$155,3,0)*(HLOOKUP(C99,$E$149:$I$155,$P$150,0)-1)/100,0)+IFERROR('State of Good Repair AP-CP'!$B$26*$C$109*B99*$J$109*VLOOKUP($E$109,$B$153:$D$155,3,0)*(HLOOKUP(C99,$E$149:$I$155,$P$151,0)-1)/100,0),0)</f>
        <v>0</v>
      </c>
      <c r="K99" s="87">
        <f t="shared" si="12"/>
        <v>0</v>
      </c>
      <c r="M99" s="72"/>
    </row>
    <row r="100" spans="1:16">
      <c r="A100" s="89">
        <f>'Major Assumption Key'!A59</f>
        <v>2060</v>
      </c>
      <c r="B100" s="88">
        <f t="shared" si="13"/>
        <v>0</v>
      </c>
      <c r="C100" s="812" t="str" cm="1">
        <f t="array" ref="C100">IF(A100-$H$9&lt;0,"",INDEX('Life Cycle of Rehabilitation'!$C$19:$C$73,A100-$H$9+1,0))</f>
        <v>Poor</v>
      </c>
      <c r="D100" s="90" t="str">
        <f>IF(C100="",IF(AND(A100&gt;='Cost Summary'!$C$26,A100&lt;='Cost Summary'!$D$26),"Construction",D54),"Routine Maintenance")</f>
        <v>Routine Maintenance</v>
      </c>
      <c r="E100" s="87">
        <f t="shared" si="10"/>
        <v>0</v>
      </c>
      <c r="F100" s="87"/>
      <c r="H100" s="813">
        <f>IF(AND(A100&gt;='Cost Summary'!$C$26,A100&lt;='Cost Summary'!$D$26),$J$186/IF('Cost Summary'!$D$26='Cost Summary'!$C$26,1,'Cost Summary'!$D$26-'Cost Summary'!$C$26)*(1+$H$5)^(A100-$H$6),0)</f>
        <v>0</v>
      </c>
      <c r="I100" s="87">
        <f>IF(AND($A54&gt;=$H$7,$A54&lt;=$H$8),IFERROR('State of Good Repair AP-CP'!$B$26*$C$108*B100*(1-$J$108)*VLOOKUP($E$108,$B$150:$D$152,3,0)*(HLOOKUP(C100,$E$149:$I$155,$O$150,0)-1)/100,0)+IFERROR('State of Good Repair AP-CP'!$B$26*$C$109*B100*(1-$J$109)*VLOOKUP($E$109,$B$150:$D$152,3,0)*(HLOOKUP(C100,$E$149:$I$155,$O$151,0)-1)/100,0),0)</f>
        <v>0</v>
      </c>
      <c r="J100" s="87">
        <f>IF(AND($A54&gt;=$H$7,$A54&lt;=$H$8),IFERROR('State of Good Repair AP-CP'!$B$26*$C$108*B100*$J$108*VLOOKUP($E$108,$B$153:$D$155,3,0)*(HLOOKUP(C100,$E$149:$I$155,$P$150,0)-1)/100,0)+IFERROR('State of Good Repair AP-CP'!$B$26*$C$109*B100*$J$109*VLOOKUP($E$109,$B$153:$D$155,3,0)*(HLOOKUP(C100,$E$149:$I$155,$P$151,0)-1)/100,0),0)</f>
        <v>0</v>
      </c>
      <c r="K100" s="87">
        <f t="shared" si="12"/>
        <v>0</v>
      </c>
      <c r="M100" s="72"/>
    </row>
    <row r="101" spans="1:16">
      <c r="A101" s="127" t="s">
        <v>63</v>
      </c>
      <c r="B101" s="86"/>
      <c r="C101" s="85"/>
      <c r="D101" s="85"/>
      <c r="E101" s="121">
        <f>SUMIFS(E$60:E$100,$A$60:$A$100,"&gt;="&amp;$H$7,$A$60:$A$100,"&lt;="&amp;$H$8)</f>
        <v>0</v>
      </c>
      <c r="F101" s="121">
        <f t="shared" ref="F101:J101" si="14">SUMIFS(F$60:F$100,$A$60:$A$100,"&gt;="&amp;$H$7,$A$60:$A$100,"&lt;="&amp;$H$8)</f>
        <v>0</v>
      </c>
      <c r="G101" s="121">
        <f t="shared" si="14"/>
        <v>0</v>
      </c>
      <c r="H101" s="121">
        <f>SUM(H60:H100)</f>
        <v>0</v>
      </c>
      <c r="I101" s="121">
        <f t="shared" si="14"/>
        <v>0</v>
      </c>
      <c r="J101" s="121">
        <f t="shared" si="14"/>
        <v>0</v>
      </c>
      <c r="K101" s="121">
        <f>SUMIFS(K$60:K$100,$A$60:$A$100,"&gt;="&amp;$H$7,$A$60:$A$100,"&lt;="&amp;$H$8)</f>
        <v>0</v>
      </c>
      <c r="M101" s="72"/>
    </row>
    <row r="102" spans="1:16">
      <c r="A102" s="638"/>
      <c r="B102" s="639"/>
      <c r="C102" s="401"/>
      <c r="D102" s="401"/>
      <c r="E102" s="640"/>
      <c r="F102" s="640"/>
      <c r="G102" s="640"/>
      <c r="H102" s="640"/>
      <c r="I102" s="640"/>
      <c r="J102" s="640"/>
      <c r="K102" s="640"/>
      <c r="M102" s="72"/>
    </row>
    <row r="103" spans="1:16">
      <c r="M103" s="72"/>
    </row>
    <row r="104" spans="1:16">
      <c r="A104" s="169" t="s">
        <v>572</v>
      </c>
      <c r="B104" s="170"/>
      <c r="C104" s="171"/>
      <c r="M104" s="72"/>
    </row>
    <row r="105" spans="1:16">
      <c r="D105" s="72"/>
      <c r="M105" s="72"/>
    </row>
    <row r="106" spans="1:16">
      <c r="A106" s="101" t="s">
        <v>573</v>
      </c>
      <c r="H106" s="73" t="s">
        <v>574</v>
      </c>
    </row>
    <row r="107" spans="1:16">
      <c r="A107" s="799" t="s">
        <v>549</v>
      </c>
      <c r="B107" s="126" t="s">
        <v>77</v>
      </c>
      <c r="C107" s="814" t="s">
        <v>575</v>
      </c>
      <c r="D107" s="815" t="s">
        <v>76</v>
      </c>
      <c r="E107" s="73" t="s">
        <v>75</v>
      </c>
      <c r="F107" s="815" t="s">
        <v>576</v>
      </c>
      <c r="G107" s="815" t="s">
        <v>577</v>
      </c>
      <c r="H107" s="73" t="s">
        <v>578</v>
      </c>
      <c r="I107" s="815" t="s">
        <v>579</v>
      </c>
      <c r="J107" s="815" t="s">
        <v>580</v>
      </c>
      <c r="K107" s="815"/>
      <c r="N107" s="73"/>
      <c r="O107" s="73"/>
      <c r="P107" s="73"/>
    </row>
    <row r="108" spans="1:16">
      <c r="A108" s="799" t="str">
        <f>B6</f>
        <v>NAME of Segment A</v>
      </c>
      <c r="B108" s="166">
        <v>0</v>
      </c>
      <c r="C108" s="111">
        <f>B108/5280</f>
        <v>0</v>
      </c>
      <c r="D108" s="815" t="s">
        <v>581</v>
      </c>
      <c r="E108" s="816" t="s">
        <v>582</v>
      </c>
      <c r="F108" s="100">
        <v>0</v>
      </c>
      <c r="G108" s="100">
        <v>0</v>
      </c>
      <c r="H108" s="98">
        <f>(B108/5280)*F108</f>
        <v>0</v>
      </c>
      <c r="I108" s="73" t="str">
        <f>IF(G114=5,"Very Good",IF(G114=4,"Good",IF(G114=3,"Fair",IF(G114=2,"Poor","Very Poor"))))</f>
        <v>Very Poor</v>
      </c>
      <c r="J108" s="84">
        <f>'State of Good Repair AP-CP'!$B$31</f>
        <v>3.1469138466308312E-2</v>
      </c>
      <c r="K108" s="84"/>
      <c r="N108" s="73"/>
      <c r="O108" s="73"/>
      <c r="P108" s="73"/>
    </row>
    <row r="109" spans="1:16">
      <c r="A109" s="799" t="str">
        <f>B7</f>
        <v>NAME of Segment B</v>
      </c>
      <c r="B109" s="166">
        <v>0</v>
      </c>
      <c r="C109" s="111">
        <f>B109/5280</f>
        <v>0</v>
      </c>
      <c r="D109" s="73" t="str">
        <f>D108</f>
        <v>ACP</v>
      </c>
      <c r="E109" s="816"/>
      <c r="F109" s="100"/>
      <c r="G109" s="100"/>
      <c r="H109" s="98">
        <f>(B109/5280)*F109</f>
        <v>0</v>
      </c>
      <c r="I109" s="73" t="str">
        <f>IF(G115=5,"Very Good",IF(G115=4,"Good",IF(G115=3,"Fair",IF(G115=2,"Poor","Very Poor"))))</f>
        <v>Very Poor</v>
      </c>
      <c r="J109" s="84">
        <f>'State of Good Repair AP-CP'!$B$31</f>
        <v>3.1469138466308312E-2</v>
      </c>
      <c r="K109" s="84"/>
      <c r="M109" s="817"/>
      <c r="N109" s="73"/>
      <c r="O109" s="73"/>
      <c r="P109" s="73"/>
    </row>
    <row r="110" spans="1:16">
      <c r="B110" s="126"/>
      <c r="C110" s="111"/>
      <c r="G110" s="107"/>
      <c r="H110" s="98"/>
      <c r="J110" s="84"/>
      <c r="K110" s="84"/>
      <c r="M110" s="120"/>
      <c r="N110" s="73"/>
    </row>
    <row r="111" spans="1:16" s="73" customFormat="1">
      <c r="A111" s="101" t="s">
        <v>583</v>
      </c>
      <c r="B111" s="72"/>
      <c r="N111" s="72"/>
      <c r="O111" s="72"/>
      <c r="P111" s="72"/>
    </row>
    <row r="112" spans="1:16" s="73" customFormat="1">
      <c r="A112" s="72" t="s">
        <v>86</v>
      </c>
      <c r="B112" s="126" t="s">
        <v>584</v>
      </c>
      <c r="C112" s="73" t="s">
        <v>585</v>
      </c>
      <c r="D112" s="73" t="s">
        <v>586</v>
      </c>
      <c r="E112" s="73" t="s">
        <v>587</v>
      </c>
      <c r="F112" s="73" t="s">
        <v>588</v>
      </c>
      <c r="G112" s="73" t="s">
        <v>87</v>
      </c>
      <c r="N112" s="72"/>
      <c r="O112" s="72"/>
      <c r="P112" s="72"/>
    </row>
    <row r="113" spans="1:16" s="73" customFormat="1">
      <c r="A113" s="799" t="s">
        <v>589</v>
      </c>
      <c r="B113" s="814" t="s">
        <v>100</v>
      </c>
      <c r="C113" s="73" t="s">
        <v>99</v>
      </c>
      <c r="D113" s="73" t="s">
        <v>98</v>
      </c>
      <c r="E113" s="73" t="s">
        <v>97</v>
      </c>
      <c r="F113" s="73" t="s">
        <v>96</v>
      </c>
      <c r="G113" s="815" t="s">
        <v>590</v>
      </c>
      <c r="I113" s="401" t="s">
        <v>591</v>
      </c>
      <c r="N113" s="72"/>
      <c r="O113" s="72"/>
      <c r="P113" s="72"/>
    </row>
    <row r="114" spans="1:16" s="73" customFormat="1">
      <c r="A114" s="72" t="str">
        <f>A6</f>
        <v>Name of Roadway</v>
      </c>
      <c r="B114" s="166">
        <v>0</v>
      </c>
      <c r="C114" s="166">
        <v>0</v>
      </c>
      <c r="D114" s="166">
        <v>0</v>
      </c>
      <c r="E114" s="166">
        <v>0</v>
      </c>
      <c r="F114" s="166">
        <v>0</v>
      </c>
      <c r="G114" s="98">
        <f>IFERROR(ROUND((1*B114+2*C114+3*D114+4*E114+5*F114)/SUM(B114:F114),0),0)</f>
        <v>0</v>
      </c>
      <c r="I114" s="402">
        <v>2023</v>
      </c>
      <c r="J114" s="818"/>
      <c r="N114" s="72"/>
      <c r="O114" s="72"/>
      <c r="P114" s="72"/>
    </row>
    <row r="115" spans="1:16" s="73" customFormat="1">
      <c r="A115" s="72" t="str">
        <f>A6</f>
        <v>Name of Roadway</v>
      </c>
      <c r="B115" s="166"/>
      <c r="C115" s="100"/>
      <c r="D115" s="100"/>
      <c r="E115" s="100"/>
      <c r="F115" s="100"/>
      <c r="G115" s="98"/>
      <c r="N115" s="72"/>
      <c r="O115" s="72"/>
      <c r="P115" s="72"/>
    </row>
    <row r="116" spans="1:16" s="73" customFormat="1">
      <c r="A116" s="799" t="s">
        <v>592</v>
      </c>
      <c r="B116" s="126"/>
      <c r="D116" s="819"/>
      <c r="E116" s="819"/>
      <c r="F116" s="819"/>
      <c r="G116" s="98"/>
      <c r="N116" s="72"/>
      <c r="O116" s="72"/>
      <c r="P116" s="72"/>
    </row>
    <row r="117" spans="1:16" s="73" customFormat="1">
      <c r="A117" s="72"/>
      <c r="B117" s="126"/>
      <c r="D117" s="817"/>
      <c r="E117" s="817"/>
      <c r="F117" s="817"/>
      <c r="G117" s="98"/>
      <c r="N117" s="72"/>
      <c r="O117" s="72"/>
      <c r="P117" s="72"/>
    </row>
    <row r="119" spans="1:16" s="73" customFormat="1">
      <c r="A119" s="169" t="s">
        <v>593</v>
      </c>
      <c r="B119" s="170"/>
      <c r="C119" s="171"/>
      <c r="N119" s="72"/>
      <c r="O119" s="72"/>
      <c r="P119" s="72"/>
    </row>
    <row r="120" spans="1:16">
      <c r="A120" s="101" t="s">
        <v>578</v>
      </c>
      <c r="B120" s="645" t="s">
        <v>594</v>
      </c>
      <c r="C120" s="635">
        <v>16000</v>
      </c>
    </row>
    <row r="121" spans="1:16">
      <c r="A121" s="101"/>
      <c r="C121" s="82"/>
    </row>
    <row r="122" spans="1:16">
      <c r="A122" s="799" t="s">
        <v>595</v>
      </c>
    </row>
    <row r="124" spans="1:16">
      <c r="A124" s="101" t="s">
        <v>596</v>
      </c>
      <c r="C124" s="81"/>
      <c r="H124" s="401"/>
    </row>
    <row r="125" spans="1:16" ht="13.2" customHeight="1">
      <c r="A125" s="72" t="s">
        <v>473</v>
      </c>
      <c r="B125" s="72" t="s">
        <v>597</v>
      </c>
      <c r="C125" s="820">
        <f>12786100+16544900+81783400</f>
        <v>111114400</v>
      </c>
      <c r="D125" s="818" t="s">
        <v>598</v>
      </c>
      <c r="H125" s="401"/>
      <c r="I125" s="821"/>
      <c r="J125" s="821"/>
      <c r="K125" s="821"/>
      <c r="L125" s="821"/>
      <c r="M125" s="82"/>
    </row>
    <row r="126" spans="1:16">
      <c r="A126" s="72" t="s">
        <v>599</v>
      </c>
      <c r="B126" s="72" t="s">
        <v>597</v>
      </c>
      <c r="C126" s="822">
        <f>C125/C120</f>
        <v>6944.65</v>
      </c>
      <c r="H126" s="401"/>
      <c r="I126" s="821"/>
      <c r="J126" s="821"/>
      <c r="K126" s="821"/>
      <c r="L126" s="821"/>
      <c r="M126" s="82"/>
    </row>
    <row r="127" spans="1:16">
      <c r="C127" s="822"/>
      <c r="H127" s="401"/>
      <c r="I127" s="821"/>
      <c r="J127" s="821"/>
      <c r="K127" s="821"/>
      <c r="L127" s="821"/>
      <c r="M127" s="82"/>
    </row>
    <row r="128" spans="1:16">
      <c r="A128" s="799" t="s">
        <v>600</v>
      </c>
      <c r="C128" s="82"/>
      <c r="H128" s="401"/>
      <c r="I128" s="821"/>
      <c r="J128" s="821"/>
      <c r="K128" s="821"/>
      <c r="L128" s="821"/>
    </row>
    <row r="129" spans="1:16">
      <c r="C129" s="72"/>
      <c r="D129" s="72"/>
    </row>
    <row r="130" spans="1:16">
      <c r="C130" s="72"/>
      <c r="D130" s="72"/>
      <c r="N130" s="73"/>
      <c r="O130" s="73"/>
      <c r="P130" s="73"/>
    </row>
    <row r="131" spans="1:16">
      <c r="A131" s="101" t="s">
        <v>601</v>
      </c>
      <c r="C131" s="72"/>
      <c r="N131" s="73"/>
      <c r="O131" s="73"/>
      <c r="P131" s="73"/>
    </row>
    <row r="132" spans="1:16">
      <c r="A132" s="72" t="str">
        <f>A108</f>
        <v>NAME of Segment A</v>
      </c>
      <c r="B132" s="823">
        <f>H108</f>
        <v>0</v>
      </c>
      <c r="C132" s="824"/>
      <c r="N132" s="73"/>
      <c r="O132" s="73"/>
      <c r="P132" s="73"/>
    </row>
    <row r="133" spans="1:16">
      <c r="A133" s="72" t="str">
        <f>A109</f>
        <v>NAME of Segment B</v>
      </c>
      <c r="B133" s="823">
        <f>H109</f>
        <v>0</v>
      </c>
      <c r="C133" s="72"/>
      <c r="N133" s="73"/>
      <c r="O133" s="73"/>
      <c r="P133" s="73"/>
    </row>
    <row r="134" spans="1:16">
      <c r="B134" s="825"/>
      <c r="C134" s="72"/>
      <c r="N134" s="73"/>
      <c r="O134" s="73"/>
      <c r="P134" s="73"/>
    </row>
    <row r="135" spans="1:16">
      <c r="A135" s="101" t="s">
        <v>602</v>
      </c>
      <c r="C135" s="824"/>
    </row>
    <row r="136" spans="1:16">
      <c r="A136" s="72" t="s">
        <v>92</v>
      </c>
      <c r="B136" s="824" t="s">
        <v>94</v>
      </c>
      <c r="C136" s="126" t="s">
        <v>93</v>
      </c>
      <c r="D136" s="73" t="str">
        <f>A6</f>
        <v>Name of Roadway</v>
      </c>
      <c r="E136" s="126"/>
    </row>
    <row r="137" spans="1:16">
      <c r="A137" s="72" t="s">
        <v>95</v>
      </c>
      <c r="B137" s="826">
        <v>0</v>
      </c>
      <c r="C137" s="83">
        <v>0.24</v>
      </c>
      <c r="D137" s="81">
        <f>ROUND(SUM($B$132:$B$133)*$C$126*B137,0)</f>
        <v>0</v>
      </c>
      <c r="E137" s="81"/>
      <c r="F137" s="81"/>
    </row>
    <row r="138" spans="1:16">
      <c r="A138" s="72" t="s">
        <v>96</v>
      </c>
      <c r="B138" s="826">
        <v>0</v>
      </c>
      <c r="C138" s="83">
        <v>0.4</v>
      </c>
      <c r="D138" s="81">
        <f t="shared" ref="D138:D141" si="15">ROUND(SUM($B$132:$B$133)*$C$126*B138,0)</f>
        <v>0</v>
      </c>
      <c r="E138" s="81"/>
      <c r="F138" s="81"/>
    </row>
    <row r="139" spans="1:16">
      <c r="A139" s="72" t="s">
        <v>97</v>
      </c>
      <c r="B139" s="826">
        <v>0.25</v>
      </c>
      <c r="C139" s="83">
        <v>0.52</v>
      </c>
      <c r="D139" s="81">
        <f t="shared" si="15"/>
        <v>0</v>
      </c>
      <c r="E139" s="81"/>
      <c r="F139" s="81"/>
    </row>
    <row r="140" spans="1:16">
      <c r="A140" s="72" t="s">
        <v>98</v>
      </c>
      <c r="B140" s="827">
        <v>1</v>
      </c>
      <c r="C140" s="83">
        <v>0.64</v>
      </c>
      <c r="D140" s="81">
        <f t="shared" si="15"/>
        <v>0</v>
      </c>
      <c r="E140" s="81"/>
      <c r="F140" s="81"/>
    </row>
    <row r="141" spans="1:16">
      <c r="A141" s="72" t="s">
        <v>99</v>
      </c>
      <c r="B141" s="827">
        <v>1.5</v>
      </c>
      <c r="C141" s="83">
        <v>0.8</v>
      </c>
      <c r="D141" s="81">
        <f t="shared" si="15"/>
        <v>0</v>
      </c>
      <c r="E141" s="81"/>
      <c r="F141" s="81"/>
    </row>
    <row r="142" spans="1:16">
      <c r="A142" s="72" t="s">
        <v>100</v>
      </c>
      <c r="B142" s="827">
        <v>3</v>
      </c>
      <c r="C142" s="83">
        <v>1</v>
      </c>
      <c r="D142" s="81">
        <f>ROUND(SUM($B$132:$B$133)*$C$126*B142,0)</f>
        <v>0</v>
      </c>
      <c r="E142" s="81"/>
      <c r="F142" s="81"/>
    </row>
    <row r="143" spans="1:16">
      <c r="A143" s="799" t="s">
        <v>603</v>
      </c>
      <c r="C143" s="828"/>
    </row>
    <row r="144" spans="1:16">
      <c r="A144" s="799"/>
      <c r="C144" s="828"/>
    </row>
    <row r="145" spans="1:16">
      <c r="J145"/>
      <c r="K145"/>
      <c r="L145" s="72"/>
      <c r="M145" s="72"/>
    </row>
    <row r="146" spans="1:16">
      <c r="A146" s="169" t="s">
        <v>257</v>
      </c>
      <c r="B146" s="170"/>
      <c r="C146" s="171"/>
      <c r="D146" s="1"/>
      <c r="E146"/>
      <c r="F146"/>
      <c r="G146"/>
      <c r="H146"/>
      <c r="I146"/>
      <c r="J146"/>
      <c r="K146"/>
      <c r="L146" s="72"/>
      <c r="M146" s="72"/>
    </row>
    <row r="147" spans="1:16" ht="43.2" customHeight="1">
      <c r="A147" s="79" t="s">
        <v>604</v>
      </c>
      <c r="B147" s="78" t="s">
        <v>605</v>
      </c>
      <c r="C147" s="77" t="s">
        <v>606</v>
      </c>
      <c r="D147" s="108" t="s">
        <v>607</v>
      </c>
      <c r="E147" s="1908" t="s">
        <v>608</v>
      </c>
      <c r="F147" s="1909"/>
      <c r="G147" s="1909"/>
      <c r="H147" s="1909"/>
      <c r="I147" s="1910"/>
      <c r="J147"/>
      <c r="K147"/>
      <c r="L147" s="72"/>
      <c r="M147" s="72"/>
    </row>
    <row r="148" spans="1:16">
      <c r="A148" s="1918" t="s">
        <v>609</v>
      </c>
      <c r="B148" s="1919"/>
      <c r="C148" s="1919"/>
      <c r="D148" s="1920"/>
      <c r="E148" s="77">
        <v>2</v>
      </c>
      <c r="F148" s="77">
        <v>3</v>
      </c>
      <c r="G148" s="77">
        <v>4</v>
      </c>
      <c r="H148" s="77">
        <v>5</v>
      </c>
      <c r="I148" s="77">
        <v>6</v>
      </c>
      <c r="J148"/>
      <c r="K148"/>
      <c r="L148" s="1921" t="s">
        <v>610</v>
      </c>
      <c r="M148" s="1921"/>
      <c r="N148" s="1921"/>
      <c r="O148" s="1921"/>
      <c r="P148" s="1921"/>
    </row>
    <row r="149" spans="1:16">
      <c r="A149" s="1918" t="s">
        <v>611</v>
      </c>
      <c r="B149" s="1919"/>
      <c r="C149" s="1920"/>
      <c r="D149" s="108"/>
      <c r="E149" s="77" t="s">
        <v>96</v>
      </c>
      <c r="F149" s="77" t="s">
        <v>97</v>
      </c>
      <c r="G149" s="77" t="s">
        <v>98</v>
      </c>
      <c r="H149" s="77" t="s">
        <v>99</v>
      </c>
      <c r="I149" s="77" t="s">
        <v>100</v>
      </c>
      <c r="J149"/>
      <c r="K149"/>
      <c r="L149" s="72" t="s">
        <v>612</v>
      </c>
      <c r="M149" t="s">
        <v>76</v>
      </c>
      <c r="N149" s="52" t="s">
        <v>75</v>
      </c>
      <c r="O149" s="52" t="s">
        <v>127</v>
      </c>
      <c r="P149" s="52" t="s">
        <v>128</v>
      </c>
    </row>
    <row r="150" spans="1:16">
      <c r="A150" s="1922" t="s">
        <v>127</v>
      </c>
      <c r="B150" s="106" t="s">
        <v>582</v>
      </c>
      <c r="C150" s="75">
        <f>ROUND((14+16.1+16.3)/3,1)</f>
        <v>15.5</v>
      </c>
      <c r="D150" s="76">
        <f>C150*'Major Assumption Key'!$B$68</f>
        <v>21.235000000000003</v>
      </c>
      <c r="E150" s="75">
        <f>ROUND((1.02+1.01+1.02)/3,2)</f>
        <v>1.02</v>
      </c>
      <c r="F150" s="74">
        <f>ROUND((1.04+1.02+1.03)/3,2)</f>
        <v>1.03</v>
      </c>
      <c r="G150" s="74">
        <f>ROUND((1.08+1.05+1.09)/3,2)</f>
        <v>1.07</v>
      </c>
      <c r="H150" s="74">
        <f>ROUND((1.15+1.11+1.2)/3,2)</f>
        <v>1.1499999999999999</v>
      </c>
      <c r="I150" s="74">
        <f>ROUND((1.22+1.18+1.34)/3,2)</f>
        <v>1.25</v>
      </c>
      <c r="J150"/>
      <c r="K150"/>
      <c r="L150" s="72" t="str">
        <f>A108</f>
        <v>NAME of Segment A</v>
      </c>
      <c r="M150" t="str">
        <f>D108</f>
        <v>ACP</v>
      </c>
      <c r="N150" s="52" t="str">
        <f>E108</f>
        <v>Collector</v>
      </c>
      <c r="O150" s="52">
        <f>IF(N150="Collector",2,IF(N150="Arterial",3,IF(N150="Highway",4,0)))</f>
        <v>2</v>
      </c>
      <c r="P150" s="52">
        <f>IF(N150="Collector",5,IF(N150="Arterial",6,IF(N150="Highway",7,0)))</f>
        <v>5</v>
      </c>
    </row>
    <row r="151" spans="1:16">
      <c r="A151" s="1923"/>
      <c r="B151" s="75" t="s">
        <v>613</v>
      </c>
      <c r="C151" s="75">
        <f>ROUND((16.8+20.2+20.8)/3,1)</f>
        <v>19.3</v>
      </c>
      <c r="D151" s="76">
        <f>C151*'Major Assumption Key'!$B$68</f>
        <v>26.441000000000003</v>
      </c>
      <c r="E151" s="75">
        <f>ROUND((1.02+1.01+1.02)/3,2)</f>
        <v>1.02</v>
      </c>
      <c r="F151" s="74">
        <f>ROUND((1.04+1.01+1.03)/3,2)</f>
        <v>1.03</v>
      </c>
      <c r="G151" s="74">
        <f>ROUND((1.08+1.05+1.09)/3,2)</f>
        <v>1.07</v>
      </c>
      <c r="H151" s="74">
        <f>ROUND((1.15+1.11+1.2)/3,2)</f>
        <v>1.1499999999999999</v>
      </c>
      <c r="I151" s="74">
        <f>ROUND((1.22+1.17+1.32)/3,2)</f>
        <v>1.24</v>
      </c>
      <c r="L151" s="72" t="str">
        <f>A109</f>
        <v>NAME of Segment B</v>
      </c>
      <c r="M151" t="str">
        <f>D109</f>
        <v>ACP</v>
      </c>
      <c r="N151" s="52">
        <f>E109</f>
        <v>0</v>
      </c>
      <c r="O151" s="52">
        <f>IF(N151="Collector",2,IF(N151="Arterial",3,IF(N151="Highway",4,0)))</f>
        <v>0</v>
      </c>
      <c r="P151" s="52">
        <f>IF(N151="Collector",5,IF(N151="Arterial",6,IF(N151="Highway",7,0)))</f>
        <v>0</v>
      </c>
    </row>
    <row r="152" spans="1:16">
      <c r="A152" s="1924"/>
      <c r="B152" s="75" t="s">
        <v>614</v>
      </c>
      <c r="C152" s="75">
        <f>ROUND((21.3+26.5+28.2)/3,1)</f>
        <v>25.3</v>
      </c>
      <c r="D152" s="76">
        <f>C152*'Major Assumption Key'!$B$68</f>
        <v>34.661000000000001</v>
      </c>
      <c r="E152" s="75">
        <f>ROUND((1.02+1.01+1.01)/3,2)</f>
        <v>1.01</v>
      </c>
      <c r="F152" s="74">
        <f>ROUND((1.03+1.01+1.03)/3,2)</f>
        <v>1.02</v>
      </c>
      <c r="G152" s="74">
        <f>ROUND((1.07+1.04+1.08)/3,2)</f>
        <v>1.06</v>
      </c>
      <c r="H152" s="74">
        <f>ROUND((1.14+1.1+1.18)/3,2)</f>
        <v>1.1399999999999999</v>
      </c>
      <c r="I152" s="74">
        <f>ROUND((1.21+1.16+1.29)/3,2)</f>
        <v>1.22</v>
      </c>
      <c r="L152" s="72"/>
      <c r="M152"/>
      <c r="N152" s="52"/>
      <c r="O152" s="52"/>
      <c r="P152" s="52"/>
    </row>
    <row r="153" spans="1:16">
      <c r="A153" s="1922" t="s">
        <v>128</v>
      </c>
      <c r="B153" s="75" t="s">
        <v>582</v>
      </c>
      <c r="C153" s="75">
        <f>ROUND((23.9+57.5)/2,1)</f>
        <v>40.700000000000003</v>
      </c>
      <c r="D153" s="76">
        <f>C153*'Major Assumption Key'!$B$68</f>
        <v>55.759000000000007</v>
      </c>
      <c r="E153" s="75">
        <f>ROUND((1.01+1.02)/2,2)</f>
        <v>1.02</v>
      </c>
      <c r="F153" s="74">
        <f>ROUND((1.02+1.03)/2,2)</f>
        <v>1.03</v>
      </c>
      <c r="G153" s="74">
        <f>ROUND((1.06+1.07)/2,2)</f>
        <v>1.07</v>
      </c>
      <c r="H153" s="74">
        <f>ROUND((1.13+1.13)/2,2)</f>
        <v>1.1299999999999999</v>
      </c>
      <c r="I153" s="74">
        <f>ROUND((1.22+1.19)/2,2)</f>
        <v>1.21</v>
      </c>
    </row>
    <row r="154" spans="1:16">
      <c r="A154" s="1923"/>
      <c r="B154" s="75" t="s">
        <v>613</v>
      </c>
      <c r="C154" s="75">
        <f>ROUND((34.6+90.7)/2,1)</f>
        <v>62.7</v>
      </c>
      <c r="D154" s="76">
        <f>C154*'Major Assumption Key'!$B$68</f>
        <v>85.899000000000015</v>
      </c>
      <c r="E154" s="75">
        <f>ROUND((1.01+1.01)/2,2)</f>
        <v>1.01</v>
      </c>
      <c r="F154" s="74">
        <f>ROUND((1.02+1.02)/2,2)</f>
        <v>1.02</v>
      </c>
      <c r="G154" s="74">
        <f>ROUND((1.05+1.05)/2,2)</f>
        <v>1.05</v>
      </c>
      <c r="H154" s="74">
        <f>ROUND((1.12+1.1)/2,2)</f>
        <v>1.1100000000000001</v>
      </c>
      <c r="I154" s="74">
        <f>ROUND((1.2+1.15)/2,2)</f>
        <v>1.18</v>
      </c>
    </row>
    <row r="155" spans="1:16">
      <c r="A155" s="1924"/>
      <c r="B155" s="75" t="s">
        <v>614</v>
      </c>
      <c r="C155" s="75">
        <f>ROUND((48.1+130)/2,1)</f>
        <v>89.1</v>
      </c>
      <c r="D155" s="76">
        <f>C155*'Major Assumption Key'!$B$68</f>
        <v>122.06700000000001</v>
      </c>
      <c r="E155" s="75">
        <f>ROUND((1.01+1.01)/2,2)</f>
        <v>1.01</v>
      </c>
      <c r="F155" s="74">
        <f>ROUND((1.01+1.02)/2,2)</f>
        <v>1.02</v>
      </c>
      <c r="G155" s="74">
        <f>ROUND((1.04+1.04)/2,2)</f>
        <v>1.04</v>
      </c>
      <c r="H155" s="74">
        <f>ROUND((1.1+1.08)/2,2)</f>
        <v>1.0900000000000001</v>
      </c>
      <c r="I155" s="74">
        <f>ROUND((1.17+1.13)/2,2)</f>
        <v>1.1499999999999999</v>
      </c>
    </row>
    <row r="156" spans="1:16">
      <c r="A156" s="799" t="s">
        <v>615</v>
      </c>
    </row>
    <row r="157" spans="1:16">
      <c r="A157" s="72" t="s">
        <v>616</v>
      </c>
    </row>
    <row r="158" spans="1:16">
      <c r="A158" s="72" t="s">
        <v>617</v>
      </c>
    </row>
    <row r="161" spans="1:15">
      <c r="A161" s="169" t="s">
        <v>618</v>
      </c>
      <c r="B161" s="170"/>
      <c r="C161" s="171"/>
      <c r="D161" s="829"/>
    </row>
    <row r="162" spans="1:15">
      <c r="A162" s="102"/>
      <c r="B162" s="814" t="s">
        <v>599</v>
      </c>
      <c r="C162" s="829"/>
      <c r="M162" s="72"/>
    </row>
    <row r="163" spans="1:15">
      <c r="A163" s="818" t="s">
        <v>619</v>
      </c>
      <c r="B163" s="81">
        <f>'State of Good Repair AP-CP'!B25</f>
        <v>283756</v>
      </c>
      <c r="C163" s="80"/>
    </row>
    <row r="164" spans="1:15">
      <c r="A164" s="818"/>
      <c r="B164" s="81"/>
      <c r="C164" s="80"/>
    </row>
    <row r="165" spans="1:15">
      <c r="A165" s="73"/>
      <c r="B165" s="81"/>
      <c r="C165" s="829"/>
      <c r="D165" s="829"/>
    </row>
    <row r="166" spans="1:15">
      <c r="A166" s="169" t="s">
        <v>620</v>
      </c>
      <c r="B166" s="170"/>
      <c r="C166" s="171"/>
      <c r="D166" s="160"/>
      <c r="E166" s="160"/>
      <c r="F166" s="160"/>
      <c r="G166" s="160"/>
      <c r="H166" s="160"/>
      <c r="I166" s="160"/>
    </row>
    <row r="167" spans="1:15">
      <c r="A167" s="101" t="s">
        <v>573</v>
      </c>
      <c r="C167" s="160"/>
      <c r="D167" s="160"/>
      <c r="E167" s="160"/>
      <c r="F167" s="160"/>
      <c r="G167" s="160"/>
      <c r="H167" s="160"/>
      <c r="I167" s="160"/>
    </row>
    <row r="168" spans="1:15" ht="28.8">
      <c r="A168" s="830" t="s">
        <v>74</v>
      </c>
      <c r="B168" s="172" t="s">
        <v>77</v>
      </c>
      <c r="C168" s="831" t="s">
        <v>621</v>
      </c>
      <c r="D168" s="830" t="s">
        <v>622</v>
      </c>
      <c r="E168" s="167" t="s">
        <v>575</v>
      </c>
      <c r="F168" s="167" t="s">
        <v>623</v>
      </c>
      <c r="G168" s="168" t="s">
        <v>624</v>
      </c>
      <c r="H168" s="168" t="s">
        <v>625</v>
      </c>
      <c r="I168" s="168" t="s">
        <v>626</v>
      </c>
      <c r="J168" s="832" t="s">
        <v>627</v>
      </c>
      <c r="K168" s="175"/>
      <c r="M168" s="72"/>
    </row>
    <row r="169" spans="1:15">
      <c r="A169" s="799" t="str">
        <f>$A$6</f>
        <v>Name of Roadway</v>
      </c>
      <c r="B169" s="99">
        <f>SUM($B$108:$B$109)</f>
        <v>0</v>
      </c>
      <c r="C169" s="126">
        <f>_xlfn.XLOOKUP("Rehab",$D$14:$D$54,$A$14:$A$54,"N/A",0)</f>
        <v>2025</v>
      </c>
      <c r="D169" s="99">
        <f>VLOOKUP(C169,$A$13:$B$54,2,FALSE)</f>
        <v>0</v>
      </c>
      <c r="E169" s="163">
        <f>$C$108+$C$109</f>
        <v>0</v>
      </c>
      <c r="F169" s="160">
        <f>$B$175</f>
        <v>0</v>
      </c>
      <c r="G169" s="160">
        <f>F169*$B$180</f>
        <v>0</v>
      </c>
      <c r="H169" s="164">
        <f>IFERROR((E169/G169)-(E169/F169),0)</f>
        <v>0</v>
      </c>
      <c r="I169" s="99">
        <f>(D169*$B$177)*($B$178*E169)*H169</f>
        <v>0</v>
      </c>
      <c r="J169" s="165">
        <f>I169*$B$179*(1+$H$5)^(C169-$H$6)</f>
        <v>0</v>
      </c>
      <c r="K169" s="165"/>
      <c r="M169" s="72"/>
    </row>
    <row r="170" spans="1:15">
      <c r="A170" s="799" t="str">
        <f t="shared" ref="A170:A172" si="16">$A$6</f>
        <v>Name of Roadway</v>
      </c>
      <c r="B170" s="99">
        <f t="shared" ref="B170:B172" si="17">SUM($B$108:$B$109)</f>
        <v>0</v>
      </c>
      <c r="C170" s="126">
        <f>C169+7</f>
        <v>2032</v>
      </c>
      <c r="D170" s="99">
        <f t="shared" ref="D170:D172" si="18">VLOOKUP(C170,$A$13:$B$54,2,FALSE)</f>
        <v>0</v>
      </c>
      <c r="E170" s="163">
        <f t="shared" ref="E170:E172" si="19">$C$108+$C$109</f>
        <v>0</v>
      </c>
      <c r="F170" s="160">
        <f>F169</f>
        <v>0</v>
      </c>
      <c r="G170" s="160">
        <f>F170*$B$180</f>
        <v>0</v>
      </c>
      <c r="H170" s="164">
        <f t="shared" ref="H170:H172" si="20">IFERROR((E170/G170)-(E170/F170),0)</f>
        <v>0</v>
      </c>
      <c r="I170" s="99">
        <f>(D170*$B$177)*($B$178*E170)*H170</f>
        <v>0</v>
      </c>
      <c r="J170" s="165">
        <f t="shared" ref="J170:J172" si="21">I170*$B$179*(1+$H$5)^(C170-$H$6)</f>
        <v>0</v>
      </c>
      <c r="K170" s="165"/>
    </row>
    <row r="171" spans="1:15">
      <c r="A171" s="799" t="str">
        <f t="shared" si="16"/>
        <v>Name of Roadway</v>
      </c>
      <c r="B171" s="99">
        <f t="shared" si="17"/>
        <v>0</v>
      </c>
      <c r="C171" s="126">
        <f t="shared" ref="C171:C172" si="22">C170+7</f>
        <v>2039</v>
      </c>
      <c r="D171" s="99">
        <f t="shared" si="18"/>
        <v>0</v>
      </c>
      <c r="E171" s="163">
        <f t="shared" si="19"/>
        <v>0</v>
      </c>
      <c r="F171" s="160">
        <f>F169</f>
        <v>0</v>
      </c>
      <c r="G171" s="160">
        <f>F171*$B$180</f>
        <v>0</v>
      </c>
      <c r="H171" s="164">
        <f t="shared" si="20"/>
        <v>0</v>
      </c>
      <c r="I171" s="99">
        <f>(D171*$B$177)*($B$178*E171)*H171</f>
        <v>0</v>
      </c>
      <c r="J171" s="165">
        <f t="shared" si="21"/>
        <v>0</v>
      </c>
      <c r="K171" s="165"/>
    </row>
    <row r="172" spans="1:15">
      <c r="A172" s="799" t="str">
        <f t="shared" si="16"/>
        <v>Name of Roadway</v>
      </c>
      <c r="B172" s="99">
        <f t="shared" si="17"/>
        <v>0</v>
      </c>
      <c r="C172" s="126">
        <f t="shared" si="22"/>
        <v>2046</v>
      </c>
      <c r="D172" s="99">
        <f t="shared" si="18"/>
        <v>0</v>
      </c>
      <c r="E172" s="163">
        <f t="shared" si="19"/>
        <v>0</v>
      </c>
      <c r="F172" s="160">
        <f>F170</f>
        <v>0</v>
      </c>
      <c r="G172" s="160">
        <f>F172*$B$180</f>
        <v>0</v>
      </c>
      <c r="H172" s="164">
        <f t="shared" si="20"/>
        <v>0</v>
      </c>
      <c r="I172" s="99">
        <f>(D172*$B$177)*($B$178*E172)*H172</f>
        <v>0</v>
      </c>
      <c r="J172" s="165">
        <f t="shared" si="21"/>
        <v>0</v>
      </c>
      <c r="K172" s="165"/>
    </row>
    <row r="173" spans="1:15">
      <c r="A173" s="160"/>
      <c r="B173" s="160"/>
      <c r="C173" s="160"/>
      <c r="D173" s="160"/>
      <c r="E173" s="160"/>
      <c r="F173" s="160"/>
      <c r="G173" s="160"/>
      <c r="H173" s="160"/>
      <c r="I173" s="160"/>
    </row>
    <row r="174" spans="1:15">
      <c r="A174" s="643" t="s">
        <v>628</v>
      </c>
      <c r="B174" s="644"/>
      <c r="C174" s="160"/>
      <c r="D174"/>
      <c r="E174"/>
      <c r="F174"/>
      <c r="G174"/>
      <c r="H174"/>
      <c r="I174"/>
      <c r="J174"/>
      <c r="K174"/>
    </row>
    <row r="175" spans="1:15">
      <c r="A175" s="1" t="s">
        <v>629</v>
      </c>
      <c r="B175" s="209">
        <f>'State of Good Repair AP-CP'!B24</f>
        <v>0</v>
      </c>
      <c r="C175" s="1" t="s">
        <v>630</v>
      </c>
      <c r="D175"/>
      <c r="E175"/>
      <c r="F175"/>
      <c r="G175"/>
      <c r="H175"/>
      <c r="I175"/>
      <c r="J175"/>
      <c r="K175"/>
      <c r="N175" s="73"/>
      <c r="O175" s="73"/>
    </row>
    <row r="176" spans="1:15">
      <c r="A176" s="1" t="s">
        <v>631</v>
      </c>
      <c r="B176">
        <f>B175*B180</f>
        <v>0</v>
      </c>
      <c r="C176" s="1" t="s">
        <v>632</v>
      </c>
      <c r="D176"/>
      <c r="E176"/>
      <c r="F176"/>
      <c r="G176"/>
      <c r="H176"/>
      <c r="I176"/>
      <c r="J176"/>
      <c r="K176"/>
      <c r="N176" s="73"/>
      <c r="O176" s="73"/>
    </row>
    <row r="177" spans="1:16">
      <c r="A177" s="1" t="s">
        <v>633</v>
      </c>
      <c r="B177" s="103">
        <f>'State of Good Repair AP-CP'!C32</f>
        <v>1.6489156772275735</v>
      </c>
      <c r="C177" s="1" t="s">
        <v>211</v>
      </c>
      <c r="D177"/>
      <c r="E177"/>
      <c r="F177"/>
      <c r="G177"/>
      <c r="H177"/>
      <c r="I177"/>
      <c r="J177"/>
      <c r="K177"/>
      <c r="N177" s="73"/>
    </row>
    <row r="178" spans="1:16">
      <c r="A178" s="1" t="s">
        <v>634</v>
      </c>
      <c r="B178">
        <f>'State of Good Repair AP-CP'!B22</f>
        <v>120</v>
      </c>
      <c r="C178" s="1" t="s">
        <v>635</v>
      </c>
      <c r="D178" s="104"/>
      <c r="E178" s="104"/>
      <c r="F178" s="104"/>
      <c r="G178" s="104"/>
      <c r="H178" s="72"/>
      <c r="I178" s="104"/>
      <c r="J178" s="104"/>
      <c r="K178" s="104"/>
      <c r="N178" s="73"/>
    </row>
    <row r="179" spans="1:16">
      <c r="A179" s="1" t="s">
        <v>636</v>
      </c>
      <c r="B179" s="105">
        <f>'State of Good Repair AP-CP'!D32</f>
        <v>20.037421024681688</v>
      </c>
      <c r="C179" s="1" t="s">
        <v>211</v>
      </c>
      <c r="D179"/>
      <c r="E179"/>
      <c r="F179"/>
      <c r="G179"/>
      <c r="I179"/>
      <c r="J179"/>
      <c r="K179"/>
    </row>
    <row r="180" spans="1:16">
      <c r="A180" s="1" t="s">
        <v>637</v>
      </c>
      <c r="B180" s="109">
        <f>'State of Good Repair AP-CP'!B23</f>
        <v>0.75</v>
      </c>
      <c r="C180" s="799" t="s">
        <v>638</v>
      </c>
    </row>
    <row r="181" spans="1:16">
      <c r="A181" s="1"/>
      <c r="C181" s="80"/>
    </row>
    <row r="183" spans="1:16">
      <c r="A183" s="169" t="s">
        <v>639</v>
      </c>
      <c r="B183" s="170"/>
      <c r="C183" s="171"/>
      <c r="D183" s="160"/>
      <c r="E183" s="160"/>
      <c r="F183" s="160"/>
      <c r="G183" s="160"/>
      <c r="H183" s="160"/>
      <c r="I183" s="160"/>
    </row>
    <row r="184" spans="1:16">
      <c r="A184" s="101" t="s">
        <v>573</v>
      </c>
      <c r="C184" s="160"/>
      <c r="D184" s="160"/>
      <c r="E184" s="160"/>
      <c r="F184" s="160"/>
    </row>
    <row r="185" spans="1:16" ht="28.8">
      <c r="A185" s="830" t="s">
        <v>74</v>
      </c>
      <c r="B185" s="172" t="s">
        <v>77</v>
      </c>
      <c r="C185" s="831" t="s">
        <v>640</v>
      </c>
      <c r="D185" s="830" t="s">
        <v>622</v>
      </c>
      <c r="E185" s="167" t="s">
        <v>575</v>
      </c>
      <c r="F185" s="167" t="s">
        <v>623</v>
      </c>
      <c r="G185" s="168" t="s">
        <v>624</v>
      </c>
      <c r="H185" s="168" t="s">
        <v>625</v>
      </c>
      <c r="I185" s="168" t="s">
        <v>626</v>
      </c>
      <c r="J185" s="832" t="s">
        <v>641</v>
      </c>
      <c r="K185" s="175"/>
    </row>
    <row r="186" spans="1:16">
      <c r="A186" s="799" t="str">
        <f>A6</f>
        <v>Name of Roadway</v>
      </c>
      <c r="B186" s="99">
        <f>$B$108+$B$109</f>
        <v>0</v>
      </c>
      <c r="C186" s="814" t="str">
        <f>'Cost Summary'!C26&amp;"-"&amp;'Cost Summary'!D26</f>
        <v>2026-2027</v>
      </c>
      <c r="D186" s="99">
        <f>AVERAGEIFS(B60:B100,A60:A100,"&gt;="&amp;'Cost Summary'!C26,A60:A100,"&lt;="&amp;'Cost Summary'!D26)</f>
        <v>0</v>
      </c>
      <c r="E186" s="163">
        <f>$C$108+$C$109</f>
        <v>0</v>
      </c>
      <c r="F186" s="642">
        <f>$B$189</f>
        <v>0</v>
      </c>
      <c r="G186" s="160">
        <f>F186*$B$194</f>
        <v>0</v>
      </c>
      <c r="H186" s="164">
        <f>IFERROR((E186/G186)-(E186/F186),0)</f>
        <v>0</v>
      </c>
      <c r="I186" s="99">
        <f>IFERROR((D186*$B$191)*($B$192*E186)*H186,0)</f>
        <v>0</v>
      </c>
      <c r="J186" s="165">
        <f>I186*$B$193</f>
        <v>0</v>
      </c>
      <c r="K186" s="165"/>
    </row>
    <row r="187" spans="1:16">
      <c r="A187" s="160"/>
      <c r="B187" s="160"/>
      <c r="C187" s="160"/>
      <c r="D187" s="160"/>
      <c r="E187" s="160"/>
      <c r="F187" s="160"/>
      <c r="G187" s="160"/>
      <c r="H187" s="160"/>
      <c r="I187" s="160"/>
    </row>
    <row r="188" spans="1:16">
      <c r="A188" s="643" t="s">
        <v>642</v>
      </c>
      <c r="B188" s="644"/>
      <c r="C188" s="160"/>
      <c r="D188"/>
      <c r="E188"/>
      <c r="F188"/>
      <c r="G188"/>
      <c r="H188"/>
      <c r="I188"/>
      <c r="J188"/>
      <c r="K188"/>
    </row>
    <row r="189" spans="1:16">
      <c r="A189" s="1" t="s">
        <v>629</v>
      </c>
      <c r="B189" s="209">
        <f>'State of Good Repair AP-CP'!B24</f>
        <v>0</v>
      </c>
      <c r="C189" s="1" t="s">
        <v>630</v>
      </c>
      <c r="D189"/>
      <c r="E189"/>
      <c r="F189"/>
      <c r="G189"/>
      <c r="H189"/>
      <c r="I189"/>
      <c r="J189"/>
      <c r="K189"/>
    </row>
    <row r="190" spans="1:16" s="73" customFormat="1">
      <c r="A190" s="1" t="s">
        <v>631</v>
      </c>
      <c r="B190">
        <f>B189*B194</f>
        <v>0</v>
      </c>
      <c r="C190" s="1" t="s">
        <v>632</v>
      </c>
      <c r="D190"/>
      <c r="E190"/>
      <c r="F190"/>
      <c r="G190"/>
      <c r="H190"/>
      <c r="I190"/>
      <c r="J190"/>
      <c r="K190"/>
      <c r="N190" s="72"/>
      <c r="O190" s="72"/>
      <c r="P190" s="72"/>
    </row>
    <row r="191" spans="1:16" s="73" customFormat="1">
      <c r="A191" s="1" t="s">
        <v>633</v>
      </c>
      <c r="B191" s="103">
        <f>'State of Good Repair AP-CP'!C32</f>
        <v>1.6489156772275735</v>
      </c>
      <c r="C191" s="1" t="s">
        <v>211</v>
      </c>
      <c r="D191"/>
      <c r="E191"/>
      <c r="F191"/>
      <c r="G191"/>
      <c r="H191"/>
      <c r="I191"/>
      <c r="J191"/>
      <c r="K191"/>
      <c r="N191" s="72"/>
      <c r="O191" s="72"/>
      <c r="P191" s="72"/>
    </row>
    <row r="192" spans="1:16" s="73" customFormat="1">
      <c r="A192" s="1" t="str">
        <f>'State of Good Repair AP-CP'!A21</f>
        <v>Reconstruction days</v>
      </c>
      <c r="B192">
        <f>'State of Good Repair AP-CP'!B21</f>
        <v>240</v>
      </c>
      <c r="C192" t="str">
        <f>'State of Good Repair AP-CP'!C21</f>
        <v>Per Mile - City of Houston Averages</v>
      </c>
      <c r="D192" s="104"/>
      <c r="E192" s="104"/>
      <c r="F192" s="104"/>
      <c r="G192" s="104"/>
      <c r="H192" s="72"/>
      <c r="I192" s="104"/>
      <c r="J192" s="104"/>
      <c r="K192" s="104"/>
      <c r="N192" s="72"/>
      <c r="O192" s="72"/>
      <c r="P192" s="72"/>
    </row>
    <row r="193" spans="1:16" s="73" customFormat="1">
      <c r="A193" s="1" t="s">
        <v>636</v>
      </c>
      <c r="B193" s="105">
        <f>'State of Good Repair AP-CP'!D32</f>
        <v>20.037421024681688</v>
      </c>
      <c r="C193" s="1" t="s">
        <v>211</v>
      </c>
      <c r="D193"/>
      <c r="E193"/>
      <c r="F193"/>
      <c r="G193"/>
      <c r="I193"/>
      <c r="J193"/>
      <c r="K193"/>
      <c r="N193" s="72"/>
      <c r="O193" s="72"/>
      <c r="P193" s="72"/>
    </row>
    <row r="194" spans="1:16" s="73" customFormat="1">
      <c r="A194" s="1" t="s">
        <v>637</v>
      </c>
      <c r="B194" s="109">
        <f>'State of Good Repair AP-CP'!B23</f>
        <v>0.75</v>
      </c>
      <c r="C194" s="799" t="s">
        <v>638</v>
      </c>
      <c r="N194" s="72"/>
      <c r="O194" s="72"/>
      <c r="P194" s="72"/>
    </row>
  </sheetData>
  <mergeCells count="11">
    <mergeCell ref="A148:D148"/>
    <mergeCell ref="L148:P148"/>
    <mergeCell ref="A149:C149"/>
    <mergeCell ref="A150:A152"/>
    <mergeCell ref="A153:A155"/>
    <mergeCell ref="E147:I147"/>
    <mergeCell ref="A4:A5"/>
    <mergeCell ref="B4:B5"/>
    <mergeCell ref="E4:E5"/>
    <mergeCell ref="A12:K12"/>
    <mergeCell ref="A58:K58"/>
  </mergeCells>
  <phoneticPr fontId="20" type="noConversion"/>
  <dataValidations disablePrompts="1"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77734375" defaultRowHeight="14.4"/>
  <cols>
    <col min="1" max="1" width="68.4414062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71" t="s">
        <v>185</v>
      </c>
      <c r="B1" s="42" t="s">
        <v>643</v>
      </c>
      <c r="C1" s="71"/>
      <c r="D1" s="268"/>
      <c r="E1" s="268"/>
      <c r="F1" s="33" t="s">
        <v>187</v>
      </c>
      <c r="G1" s="45" t="str">
        <f>HYPERLINK("#'"&amp;INDEX('Master Key'!$B:$B,MATCH("Master Key",'Master Key'!$B:$B,0),1)&amp;"'!A1","Go To Sheet")</f>
        <v>Go To Sheet</v>
      </c>
    </row>
    <row r="2" spans="1:25" ht="15" thickBot="1">
      <c r="A2" s="58"/>
      <c r="B2" s="58"/>
      <c r="C2" s="58"/>
      <c r="D2" s="58"/>
      <c r="E2" s="58"/>
    </row>
    <row r="3" spans="1:25" ht="60" customHeight="1">
      <c r="A3" s="154" t="s">
        <v>482</v>
      </c>
      <c r="B3" s="1893" t="s">
        <v>516</v>
      </c>
      <c r="C3" s="1894"/>
      <c r="D3" s="1894"/>
      <c r="E3" s="70"/>
      <c r="F3" s="1895" t="s">
        <v>484</v>
      </c>
      <c r="G3" s="1896"/>
      <c r="H3" s="1896"/>
      <c r="I3" s="1896"/>
      <c r="J3" s="1896"/>
      <c r="K3" s="1896"/>
      <c r="L3" s="1896"/>
      <c r="M3" s="1896"/>
      <c r="N3" s="1896"/>
      <c r="O3" s="1896"/>
      <c r="P3" s="1896"/>
      <c r="Q3" s="1896"/>
      <c r="R3" s="1896"/>
      <c r="S3" s="1896"/>
      <c r="T3" s="1897"/>
      <c r="U3" s="289"/>
      <c r="V3" s="1898" t="s">
        <v>420</v>
      </c>
      <c r="W3" s="1898"/>
      <c r="X3" s="1898"/>
      <c r="Y3" s="1898"/>
    </row>
    <row r="4" spans="1:25" ht="18" customHeight="1">
      <c r="C4" s="58"/>
      <c r="D4" s="58"/>
      <c r="E4" s="70"/>
      <c r="F4" s="69" t="s">
        <v>508</v>
      </c>
      <c r="G4" s="66" t="s">
        <v>66</v>
      </c>
      <c r="H4" s="66" t="s">
        <v>66</v>
      </c>
      <c r="I4" s="66"/>
      <c r="J4" s="66" t="s">
        <v>66</v>
      </c>
      <c r="K4" s="68" t="s">
        <v>487</v>
      </c>
      <c r="L4" s="67" t="s">
        <v>66</v>
      </c>
      <c r="M4" s="66" t="s">
        <v>131</v>
      </c>
      <c r="N4" s="66" t="s">
        <v>131</v>
      </c>
      <c r="O4" s="66"/>
      <c r="P4" s="66" t="s">
        <v>131</v>
      </c>
      <c r="Q4" s="66" t="s">
        <v>131</v>
      </c>
      <c r="R4" s="65" t="s">
        <v>131</v>
      </c>
      <c r="S4" s="1899" t="s">
        <v>509</v>
      </c>
      <c r="T4" s="1900"/>
      <c r="U4" s="289"/>
      <c r="V4" s="67" t="s">
        <v>66</v>
      </c>
      <c r="W4" s="65" t="s">
        <v>131</v>
      </c>
      <c r="X4" s="1899" t="s">
        <v>509</v>
      </c>
      <c r="Y4" s="1900"/>
    </row>
    <row r="5" spans="1:25" ht="60" customHeight="1" thickBot="1">
      <c r="A5" s="156" t="s">
        <v>489</v>
      </c>
      <c r="B5" s="1885" t="s">
        <v>644</v>
      </c>
      <c r="C5" s="1885"/>
      <c r="D5" s="1885"/>
      <c r="E5" s="58"/>
      <c r="F5" s="64" t="s">
        <v>518</v>
      </c>
      <c r="G5" s="1903" t="s">
        <v>519</v>
      </c>
      <c r="H5" s="1904"/>
      <c r="I5" s="1904"/>
      <c r="J5" s="1904"/>
      <c r="K5" s="1905"/>
      <c r="L5" s="62" t="s">
        <v>512</v>
      </c>
      <c r="M5" s="1903" t="s">
        <v>519</v>
      </c>
      <c r="N5" s="1904"/>
      <c r="O5" s="1904"/>
      <c r="P5" s="1904"/>
      <c r="Q5" s="1905"/>
      <c r="R5" s="60" t="s">
        <v>512</v>
      </c>
      <c r="S5" s="1901"/>
      <c r="T5" s="1902"/>
      <c r="U5" s="289"/>
      <c r="V5" s="62" t="s">
        <v>512</v>
      </c>
      <c r="W5" s="60" t="s">
        <v>512</v>
      </c>
      <c r="X5" s="1901"/>
      <c r="Y5" s="1902"/>
    </row>
    <row r="6" spans="1:25" ht="28.8">
      <c r="C6" s="58"/>
      <c r="D6" s="58"/>
      <c r="E6" s="58"/>
      <c r="F6" s="63" t="s">
        <v>510</v>
      </c>
      <c r="G6" s="61" t="s">
        <v>520</v>
      </c>
      <c r="H6" s="61" t="s">
        <v>521</v>
      </c>
      <c r="I6" s="61" t="s">
        <v>522</v>
      </c>
      <c r="J6" s="61" t="s">
        <v>523</v>
      </c>
      <c r="K6" s="61" t="s">
        <v>524</v>
      </c>
      <c r="L6" s="62" t="s">
        <v>525</v>
      </c>
      <c r="M6" s="61" t="s">
        <v>520</v>
      </c>
      <c r="N6" s="61" t="s">
        <v>526</v>
      </c>
      <c r="O6" s="61" t="s">
        <v>522</v>
      </c>
      <c r="P6" s="61" t="s">
        <v>523</v>
      </c>
      <c r="Q6" s="61" t="s">
        <v>524</v>
      </c>
      <c r="R6" s="60" t="s">
        <v>527</v>
      </c>
      <c r="S6" s="122" t="s">
        <v>419</v>
      </c>
      <c r="T6" s="123" t="str">
        <f>"Discounted @ "&amp;TEXT('Major Assumption Key'!$B$8,"0.0%")</f>
        <v>Discounted @ 3.1%</v>
      </c>
      <c r="U6" s="289"/>
      <c r="V6" s="62" t="s">
        <v>525</v>
      </c>
      <c r="W6" s="60" t="s">
        <v>527</v>
      </c>
      <c r="X6" s="122" t="s">
        <v>419</v>
      </c>
      <c r="Y6" s="123" t="str">
        <f>"Discounted @ "&amp;TEXT('Major Assumption Key'!$B$8,"0.0%")</f>
        <v>Discounted @ 3.1%</v>
      </c>
    </row>
    <row r="7" spans="1:25" ht="19.95" customHeight="1">
      <c r="A7" s="58"/>
      <c r="B7" s="58"/>
      <c r="C7" s="58"/>
      <c r="D7" s="58"/>
      <c r="E7" s="58"/>
      <c r="F7" s="782">
        <f>'Major Assumption Key'!A19</f>
        <v>2020</v>
      </c>
      <c r="G7" s="791">
        <f>'SOGR Supporting AP-AP'!E14</f>
        <v>0</v>
      </c>
      <c r="H7" s="791">
        <f>'SOGR Supporting AP-AP'!F14</f>
        <v>0</v>
      </c>
      <c r="I7" s="791">
        <f>'SOGR Supporting AP-AP'!G14</f>
        <v>0</v>
      </c>
      <c r="J7" s="791">
        <f>'SOGR Supporting AP-AP'!H14</f>
        <v>0</v>
      </c>
      <c r="K7" s="792">
        <f>'SOGR Supporting AP-AP'!K14</f>
        <v>0</v>
      </c>
      <c r="L7" s="774">
        <f>IF(AND($F7&gt;=MIN($F7),$F7&lt;=MAX('Major Assumption Key'!$B$6)),SUM(G7:K7),0)</f>
        <v>0</v>
      </c>
      <c r="M7" s="791">
        <f>'SOGR Supporting AP-AP'!E60</f>
        <v>0</v>
      </c>
      <c r="N7" s="791">
        <f>'SOGR Supporting AP-AP'!F60</f>
        <v>0</v>
      </c>
      <c r="O7" s="791">
        <f>'SOGR Supporting AP-AP'!G60</f>
        <v>0</v>
      </c>
      <c r="P7" s="791">
        <f>'SOGR Supporting AP-AP'!H60</f>
        <v>0</v>
      </c>
      <c r="Q7" s="791">
        <f>'SOGR Supporting AP-AP'!K60</f>
        <v>0</v>
      </c>
      <c r="R7" s="775">
        <f>IF(AND($F7&gt;=MIN('Major Assumption Key'!$B$4),$F7&lt;=MAX('Major Assumption Key'!$B$6)),SUM(M7:Q7),0)</f>
        <v>0</v>
      </c>
      <c r="S7" s="37">
        <f t="shared" ref="S7" si="0">(R7-L7)*-1</f>
        <v>0</v>
      </c>
      <c r="T7" s="38">
        <f>S7/(1+'Major Assumption Key'!$B$8)^($F7-'Major Assumption Key'!$B$7)</f>
        <v>0</v>
      </c>
      <c r="U7" s="289"/>
      <c r="V7" s="774">
        <f t="shared" ref="V7" si="1">ROUND(L7,-3)</f>
        <v>0</v>
      </c>
      <c r="W7" s="775">
        <f t="shared" ref="W7" si="2">ROUND(R7,-3)</f>
        <v>0</v>
      </c>
      <c r="X7" s="37">
        <f t="shared" ref="X7:X48" si="3">ROUND(S7,-3)</f>
        <v>0</v>
      </c>
      <c r="Y7" s="38">
        <f t="shared" ref="Y7:Y48" si="4">ROUND(T7,-3)</f>
        <v>0</v>
      </c>
    </row>
    <row r="8" spans="1:25" ht="19.95" customHeight="1">
      <c r="E8" s="58"/>
      <c r="F8" s="782">
        <f>'Major Assumption Key'!A20</f>
        <v>2021</v>
      </c>
      <c r="G8" s="791">
        <f>'SOGR Supporting AP-AP'!E15</f>
        <v>0</v>
      </c>
      <c r="H8" s="791">
        <f>'SOGR Supporting AP-AP'!F15</f>
        <v>0</v>
      </c>
      <c r="I8" s="791">
        <f>'SOGR Supporting AP-AP'!G15</f>
        <v>0</v>
      </c>
      <c r="J8" s="791">
        <f>'SOGR Supporting AP-AP'!H15</f>
        <v>0</v>
      </c>
      <c r="K8" s="792">
        <f>'SOGR Supporting AP-AP'!K15</f>
        <v>0</v>
      </c>
      <c r="L8" s="774">
        <f>IF(AND($F8&gt;=MIN($F8),$F8&lt;=MAX('Major Assumption Key'!$B$6)),SUM(G8:K8),0)</f>
        <v>0</v>
      </c>
      <c r="M8" s="791">
        <f>'SOGR Supporting AP-AP'!E61</f>
        <v>0</v>
      </c>
      <c r="N8" s="791">
        <f>'SOGR Supporting AP-AP'!F61</f>
        <v>0</v>
      </c>
      <c r="O8" s="791">
        <f>'SOGR Supporting AP-AP'!G61</f>
        <v>0</v>
      </c>
      <c r="P8" s="791">
        <f>'SOGR Supporting AP-AP'!H61</f>
        <v>0</v>
      </c>
      <c r="Q8" s="791">
        <f>'SOGR Supporting AP-AP'!K61</f>
        <v>0</v>
      </c>
      <c r="R8" s="775">
        <f>IF(AND($F8&gt;=MIN('Major Assumption Key'!$B$4),$F8&lt;=MAX('Major Assumption Key'!$B$6)),SUM(M8:Q8),0)</f>
        <v>0</v>
      </c>
      <c r="S8" s="37">
        <f t="shared" ref="S8:S47" si="5">(R8-L8)*-1</f>
        <v>0</v>
      </c>
      <c r="T8" s="38">
        <f>S8/(1+'Major Assumption Key'!$B$8)^($F8-'Major Assumption Key'!$B$7)</f>
        <v>0</v>
      </c>
      <c r="U8" s="289"/>
      <c r="V8" s="774">
        <f t="shared" ref="V8:V47" si="6">ROUND(L8,-3)</f>
        <v>0</v>
      </c>
      <c r="W8" s="775">
        <f t="shared" ref="W8:W47" si="7">ROUND(R8,-3)</f>
        <v>0</v>
      </c>
      <c r="X8" s="37">
        <f t="shared" ref="X8:X47" si="8">ROUND(S8,-3)</f>
        <v>0</v>
      </c>
      <c r="Y8" s="38">
        <f t="shared" ref="Y8:Y47" si="9">ROUND(T8,-3)</f>
        <v>0</v>
      </c>
    </row>
    <row r="9" spans="1:25" ht="19.95" customHeight="1">
      <c r="A9" s="1888" t="s">
        <v>432</v>
      </c>
      <c r="B9" s="1889"/>
      <c r="C9" s="1889"/>
      <c r="D9" s="1890"/>
      <c r="E9" s="58"/>
      <c r="F9" s="782">
        <f>'Major Assumption Key'!A21</f>
        <v>2022</v>
      </c>
      <c r="G9" s="791">
        <f>'SOGR Supporting AP-AP'!E16</f>
        <v>0</v>
      </c>
      <c r="H9" s="791">
        <f>'SOGR Supporting AP-AP'!F16</f>
        <v>0</v>
      </c>
      <c r="I9" s="791">
        <f>'SOGR Supporting AP-AP'!G16</f>
        <v>0</v>
      </c>
      <c r="J9" s="791">
        <f>'SOGR Supporting AP-AP'!H16</f>
        <v>0</v>
      </c>
      <c r="K9" s="792">
        <f>'SOGR Supporting AP-AP'!K16</f>
        <v>0</v>
      </c>
      <c r="L9" s="774">
        <f>IF(AND($F9&gt;=MIN($F9),$F9&lt;=MAX('Major Assumption Key'!$B$6)),SUM(G9:K9),0)</f>
        <v>0</v>
      </c>
      <c r="M9" s="791">
        <f>'SOGR Supporting AP-AP'!E62</f>
        <v>0</v>
      </c>
      <c r="N9" s="791">
        <f>'SOGR Supporting AP-AP'!F62</f>
        <v>0</v>
      </c>
      <c r="O9" s="791">
        <f>'SOGR Supporting AP-AP'!G62</f>
        <v>0</v>
      </c>
      <c r="P9" s="791">
        <f>'SOGR Supporting AP-AP'!H62</f>
        <v>0</v>
      </c>
      <c r="Q9" s="791">
        <f>'SOGR Supporting AP-AP'!K62</f>
        <v>0</v>
      </c>
      <c r="R9" s="775">
        <f>IF(AND($F9&gt;=MIN('Major Assumption Key'!$B$4),$F9&lt;=MAX('Major Assumption Key'!$B$6)),SUM(M9:Q9),0)</f>
        <v>0</v>
      </c>
      <c r="S9" s="37">
        <f t="shared" si="5"/>
        <v>0</v>
      </c>
      <c r="T9" s="38">
        <f>S9/(1+'Major Assumption Key'!$B$8)^($F9-'Major Assumption Key'!$B$7)</f>
        <v>0</v>
      </c>
      <c r="U9" s="289"/>
      <c r="V9" s="774">
        <f t="shared" si="6"/>
        <v>0</v>
      </c>
      <c r="W9" s="775">
        <f t="shared" si="7"/>
        <v>0</v>
      </c>
      <c r="X9" s="37">
        <f t="shared" si="8"/>
        <v>0</v>
      </c>
      <c r="Y9" s="38">
        <f t="shared" si="9"/>
        <v>0</v>
      </c>
    </row>
    <row r="10" spans="1:25" ht="19.95" customHeight="1">
      <c r="A10" s="1891" t="s">
        <v>418</v>
      </c>
      <c r="B10" s="1891"/>
      <c r="C10" s="49" t="s">
        <v>419</v>
      </c>
      <c r="D10" s="49" t="str">
        <f>_xlfn.CONCAT("Discounted @",TEXT('Major Assumption Key'!B8,"0.0%"))</f>
        <v>Discounted @3.1%</v>
      </c>
      <c r="E10" s="58"/>
      <c r="F10" s="782">
        <f>'Major Assumption Key'!A22</f>
        <v>2023</v>
      </c>
      <c r="G10" s="791">
        <f>'SOGR Supporting AP-AP'!E17</f>
        <v>0</v>
      </c>
      <c r="H10" s="791">
        <f>'SOGR Supporting AP-AP'!F17</f>
        <v>0</v>
      </c>
      <c r="I10" s="791">
        <f>'SOGR Supporting AP-AP'!G17</f>
        <v>0</v>
      </c>
      <c r="J10" s="791">
        <f>'SOGR Supporting AP-AP'!H17</f>
        <v>0</v>
      </c>
      <c r="K10" s="792">
        <f>'SOGR Supporting AP-AP'!K17</f>
        <v>0</v>
      </c>
      <c r="L10" s="774">
        <f>IF(AND($F10&gt;=MIN($F10),$F10&lt;=MAX('Major Assumption Key'!$B$6)),SUM(G10:K10),0)</f>
        <v>0</v>
      </c>
      <c r="M10" s="791">
        <f>'SOGR Supporting AP-AP'!E63</f>
        <v>0</v>
      </c>
      <c r="N10" s="791">
        <f>'SOGR Supporting AP-AP'!F63</f>
        <v>0</v>
      </c>
      <c r="O10" s="791">
        <f>'SOGR Supporting AP-AP'!G63</f>
        <v>0</v>
      </c>
      <c r="P10" s="791">
        <f>'SOGR Supporting AP-AP'!H63</f>
        <v>0</v>
      </c>
      <c r="Q10" s="791">
        <f>'SOGR Supporting AP-AP'!K63</f>
        <v>0</v>
      </c>
      <c r="R10" s="775">
        <f>IF(AND($F10&gt;=MIN('Major Assumption Key'!$B$4),$F10&lt;=MAX('Major Assumption Key'!$B$6)),SUM(M10:Q10),0)</f>
        <v>0</v>
      </c>
      <c r="S10" s="37">
        <f t="shared" si="5"/>
        <v>0</v>
      </c>
      <c r="T10" s="38">
        <f>S10/(1+'Major Assumption Key'!$B$8)^($F10-'Major Assumption Key'!$B$7)</f>
        <v>0</v>
      </c>
      <c r="U10" s="289"/>
      <c r="V10" s="774">
        <f t="shared" si="6"/>
        <v>0</v>
      </c>
      <c r="W10" s="775">
        <f t="shared" si="7"/>
        <v>0</v>
      </c>
      <c r="X10" s="37">
        <f t="shared" si="8"/>
        <v>0</v>
      </c>
      <c r="Y10" s="38">
        <f t="shared" si="9"/>
        <v>0</v>
      </c>
    </row>
    <row r="11" spans="1:25" ht="19.95" customHeight="1">
      <c r="A11" s="1892" t="s">
        <v>11</v>
      </c>
      <c r="B11" s="1892"/>
      <c r="C11" s="56">
        <f>'BCA Summary'!$H$7</f>
        <v>1.0111569298276737</v>
      </c>
      <c r="D11" s="56">
        <f>'BCA Summary'!$I$7</f>
        <v>0.6276932096418345</v>
      </c>
      <c r="E11" s="58"/>
      <c r="F11" s="782">
        <f>'Major Assumption Key'!A23</f>
        <v>2024</v>
      </c>
      <c r="G11" s="791">
        <f>'SOGR Supporting AP-AP'!E18</f>
        <v>0</v>
      </c>
      <c r="H11" s="791">
        <f>'SOGR Supporting AP-AP'!F18</f>
        <v>0</v>
      </c>
      <c r="I11" s="791">
        <f>'SOGR Supporting AP-AP'!G18</f>
        <v>0</v>
      </c>
      <c r="J11" s="791">
        <f>'SOGR Supporting AP-AP'!H18</f>
        <v>0</v>
      </c>
      <c r="K11" s="792">
        <f>'SOGR Supporting AP-AP'!K18</f>
        <v>0</v>
      </c>
      <c r="L11" s="774">
        <f>IF(AND($F11&gt;=MIN($F11),$F11&lt;=MAX('Major Assumption Key'!$B$6)),SUM(G11:K11),0)</f>
        <v>0</v>
      </c>
      <c r="M11" s="791">
        <f>'SOGR Supporting AP-AP'!E64</f>
        <v>0</v>
      </c>
      <c r="N11" s="791">
        <f>'SOGR Supporting AP-AP'!F64</f>
        <v>0</v>
      </c>
      <c r="O11" s="791">
        <f>'SOGR Supporting AP-AP'!G64</f>
        <v>0</v>
      </c>
      <c r="P11" s="791">
        <f>'SOGR Supporting AP-AP'!H64</f>
        <v>0</v>
      </c>
      <c r="Q11" s="791">
        <f>'SOGR Supporting AP-AP'!K64</f>
        <v>0</v>
      </c>
      <c r="R11" s="775">
        <f>IF(AND($F11&gt;=MIN('Major Assumption Key'!$B$4),$F11&lt;=MAX('Major Assumption Key'!$B$6)),SUM(M11:Q11),0)</f>
        <v>0</v>
      </c>
      <c r="S11" s="37">
        <f t="shared" si="5"/>
        <v>0</v>
      </c>
      <c r="T11" s="38">
        <f>S11/(1+'Major Assumption Key'!$B$8)^($F11-'Major Assumption Key'!$B$7)</f>
        <v>0</v>
      </c>
      <c r="U11" s="289"/>
      <c r="V11" s="774">
        <f t="shared" si="6"/>
        <v>0</v>
      </c>
      <c r="W11" s="775">
        <f t="shared" si="7"/>
        <v>0</v>
      </c>
      <c r="X11" s="37">
        <f t="shared" si="8"/>
        <v>0</v>
      </c>
      <c r="Y11" s="38">
        <f t="shared" si="9"/>
        <v>0</v>
      </c>
    </row>
    <row r="12" spans="1:25" ht="19.95" customHeight="1">
      <c r="A12" s="1892" t="s">
        <v>12</v>
      </c>
      <c r="B12" s="1892"/>
      <c r="C12" s="49">
        <f>'BCA Summary'!$H$8</f>
        <v>236636.98382712901</v>
      </c>
      <c r="D12" s="49">
        <f>'BCA Summary'!$I$8</f>
        <v>-6930297.4454113934</v>
      </c>
      <c r="E12" s="58"/>
      <c r="F12" s="782">
        <f>'Major Assumption Key'!A24</f>
        <v>2025</v>
      </c>
      <c r="G12" s="791">
        <f>'SOGR Supporting AP-AP'!E19</f>
        <v>0</v>
      </c>
      <c r="H12" s="791">
        <f>'SOGR Supporting AP-AP'!F19</f>
        <v>0</v>
      </c>
      <c r="I12" s="791">
        <f>'SOGR Supporting AP-AP'!G19</f>
        <v>0</v>
      </c>
      <c r="J12" s="791">
        <f>'SOGR Supporting AP-AP'!H19</f>
        <v>0</v>
      </c>
      <c r="K12" s="792">
        <f>'SOGR Supporting AP-AP'!K19</f>
        <v>0</v>
      </c>
      <c r="L12" s="774">
        <f>IF(AND($F12&gt;=MIN($F12),$F12&lt;=MAX('Major Assumption Key'!$B$6)),SUM(G12:K12),0)</f>
        <v>0</v>
      </c>
      <c r="M12" s="791">
        <f>'SOGR Supporting AP-AP'!E65</f>
        <v>0</v>
      </c>
      <c r="N12" s="791">
        <f>'SOGR Supporting AP-AP'!F65</f>
        <v>0</v>
      </c>
      <c r="O12" s="791">
        <f>'SOGR Supporting AP-AP'!G65</f>
        <v>0</v>
      </c>
      <c r="P12" s="791">
        <f>'SOGR Supporting AP-AP'!H65</f>
        <v>0</v>
      </c>
      <c r="Q12" s="791">
        <f>'SOGR Supporting AP-AP'!K65</f>
        <v>0</v>
      </c>
      <c r="R12" s="775">
        <f>IF(AND($F12&gt;=MIN('Major Assumption Key'!$B$4),$F12&lt;=MAX('Major Assumption Key'!$B$6)),SUM(M12:Q12),0)</f>
        <v>0</v>
      </c>
      <c r="S12" s="37">
        <f t="shared" si="5"/>
        <v>0</v>
      </c>
      <c r="T12" s="38">
        <f>S12/(1+'Major Assumption Key'!$B$8)^($F12-'Major Assumption Key'!$B$7)</f>
        <v>0</v>
      </c>
      <c r="U12" s="289"/>
      <c r="V12" s="774">
        <f t="shared" si="6"/>
        <v>0</v>
      </c>
      <c r="W12" s="775">
        <f t="shared" si="7"/>
        <v>0</v>
      </c>
      <c r="X12" s="37">
        <f t="shared" si="8"/>
        <v>0</v>
      </c>
      <c r="Y12" s="38">
        <f t="shared" si="9"/>
        <v>0</v>
      </c>
    </row>
    <row r="13" spans="1:25" ht="19.95" customHeight="1">
      <c r="C13" s="58"/>
      <c r="D13" s="58"/>
      <c r="E13" s="58"/>
      <c r="F13" s="782">
        <f>'Major Assumption Key'!A25</f>
        <v>2026</v>
      </c>
      <c r="G13" s="791">
        <f>'SOGR Supporting AP-AP'!E20</f>
        <v>0</v>
      </c>
      <c r="H13" s="791">
        <f>'SOGR Supporting AP-AP'!F20</f>
        <v>0</v>
      </c>
      <c r="I13" s="791">
        <f>'SOGR Supporting AP-AP'!G20</f>
        <v>0</v>
      </c>
      <c r="J13" s="791">
        <f>'SOGR Supporting AP-AP'!H20</f>
        <v>0</v>
      </c>
      <c r="K13" s="792">
        <f>'SOGR Supporting AP-AP'!K20</f>
        <v>0</v>
      </c>
      <c r="L13" s="774">
        <f>IF(AND($F13&gt;=MIN($F13),$F13&lt;=MAX('Major Assumption Key'!$B$6)),SUM(G13:K13),0)</f>
        <v>0</v>
      </c>
      <c r="M13" s="791">
        <f>'SOGR Supporting AP-AP'!E66</f>
        <v>0</v>
      </c>
      <c r="N13" s="791">
        <f>'SOGR Supporting AP-AP'!F66</f>
        <v>0</v>
      </c>
      <c r="O13" s="791">
        <f>'SOGR Supporting AP-AP'!G66</f>
        <v>0</v>
      </c>
      <c r="P13" s="791">
        <f>'SOGR Supporting AP-AP'!H66</f>
        <v>0</v>
      </c>
      <c r="Q13" s="791">
        <f>'SOGR Supporting AP-AP'!K66</f>
        <v>0</v>
      </c>
      <c r="R13" s="775">
        <f>IF(AND($F13&gt;=MIN('Major Assumption Key'!$B$4),$F13&lt;=MAX('Major Assumption Key'!$B$6)),SUM(M13:Q13),0)</f>
        <v>0</v>
      </c>
      <c r="S13" s="37">
        <f t="shared" si="5"/>
        <v>0</v>
      </c>
      <c r="T13" s="38">
        <f>S13/(1+'Major Assumption Key'!$B$8)^($F13-'Major Assumption Key'!$B$7)</f>
        <v>0</v>
      </c>
      <c r="U13" s="289"/>
      <c r="V13" s="774">
        <f t="shared" si="6"/>
        <v>0</v>
      </c>
      <c r="W13" s="775">
        <f t="shared" si="7"/>
        <v>0</v>
      </c>
      <c r="X13" s="37">
        <f t="shared" si="8"/>
        <v>0</v>
      </c>
      <c r="Y13" s="38">
        <f t="shared" si="9"/>
        <v>0</v>
      </c>
    </row>
    <row r="14" spans="1:25" ht="19.95" customHeight="1" thickBot="1">
      <c r="C14" s="58"/>
      <c r="D14" s="58"/>
      <c r="E14" s="58"/>
      <c r="F14" s="782">
        <f>'Major Assumption Key'!A26</f>
        <v>2027</v>
      </c>
      <c r="G14" s="791">
        <f>'SOGR Supporting AP-AP'!E21</f>
        <v>0</v>
      </c>
      <c r="H14" s="791">
        <f>'SOGR Supporting AP-AP'!F21</f>
        <v>0</v>
      </c>
      <c r="I14" s="791">
        <f>'SOGR Supporting AP-AP'!G21</f>
        <v>0</v>
      </c>
      <c r="J14" s="791">
        <f>'SOGR Supporting AP-AP'!H21</f>
        <v>0</v>
      </c>
      <c r="K14" s="792">
        <f>'SOGR Supporting AP-AP'!K21</f>
        <v>0</v>
      </c>
      <c r="L14" s="774">
        <f>IF(AND($F14&gt;=MIN($F14),$F14&lt;=MAX('Major Assumption Key'!$B$6)),SUM(G14:K14),0)</f>
        <v>0</v>
      </c>
      <c r="M14" s="791">
        <f>'SOGR Supporting AP-AP'!E67</f>
        <v>0</v>
      </c>
      <c r="N14" s="791">
        <f>'SOGR Supporting AP-AP'!F67</f>
        <v>0</v>
      </c>
      <c r="O14" s="791">
        <f>'SOGR Supporting AP-AP'!G67</f>
        <v>0</v>
      </c>
      <c r="P14" s="791">
        <f>'SOGR Supporting AP-AP'!H67</f>
        <v>0</v>
      </c>
      <c r="Q14" s="791">
        <f>'SOGR Supporting AP-AP'!K67</f>
        <v>0</v>
      </c>
      <c r="R14" s="775">
        <f>IF(AND($F14&gt;=MIN('Major Assumption Key'!$B$4),$F14&lt;=MAX('Major Assumption Key'!$B$6)),SUM(M14:Q14),0)</f>
        <v>0</v>
      </c>
      <c r="S14" s="37">
        <f t="shared" si="5"/>
        <v>0</v>
      </c>
      <c r="T14" s="38">
        <f>S14/(1+'Major Assumption Key'!$B$8)^($F14-'Major Assumption Key'!$B$7)</f>
        <v>0</v>
      </c>
      <c r="U14" s="289"/>
      <c r="V14" s="774">
        <f t="shared" si="6"/>
        <v>0</v>
      </c>
      <c r="W14" s="775">
        <f t="shared" si="7"/>
        <v>0</v>
      </c>
      <c r="X14" s="37">
        <f t="shared" si="8"/>
        <v>0</v>
      </c>
      <c r="Y14" s="38">
        <f t="shared" si="9"/>
        <v>0</v>
      </c>
    </row>
    <row r="15" spans="1:25" ht="19.95" customHeight="1">
      <c r="A15" s="569" t="s">
        <v>181</v>
      </c>
      <c r="B15" s="570" t="s">
        <v>434</v>
      </c>
      <c r="C15" s="1906" t="s">
        <v>498</v>
      </c>
      <c r="D15" s="1907"/>
      <c r="E15" s="58"/>
      <c r="F15" s="782">
        <f>'Major Assumption Key'!A27</f>
        <v>2028</v>
      </c>
      <c r="G15" s="791">
        <f>'SOGR Supporting AP-AP'!E22</f>
        <v>0</v>
      </c>
      <c r="H15" s="791">
        <f>'SOGR Supporting AP-AP'!F22</f>
        <v>0</v>
      </c>
      <c r="I15" s="791">
        <f>'SOGR Supporting AP-AP'!G22</f>
        <v>0</v>
      </c>
      <c r="J15" s="791">
        <f>'SOGR Supporting AP-AP'!H22</f>
        <v>0</v>
      </c>
      <c r="K15" s="792">
        <f>'SOGR Supporting AP-AP'!K22</f>
        <v>0</v>
      </c>
      <c r="L15" s="774">
        <f>IF(AND($F15&gt;=MIN($F15),$F15&lt;=MAX('Major Assumption Key'!$B$6)),SUM(G15:K15),0)</f>
        <v>0</v>
      </c>
      <c r="M15" s="791">
        <f>'SOGR Supporting AP-AP'!E68</f>
        <v>0</v>
      </c>
      <c r="N15" s="791">
        <f>'SOGR Supporting AP-AP'!F68</f>
        <v>0</v>
      </c>
      <c r="O15" s="791">
        <f>'SOGR Supporting AP-AP'!G68</f>
        <v>0</v>
      </c>
      <c r="P15" s="791">
        <f>'SOGR Supporting AP-AP'!H68</f>
        <v>0</v>
      </c>
      <c r="Q15" s="791">
        <f>'SOGR Supporting AP-AP'!K68</f>
        <v>0</v>
      </c>
      <c r="R15" s="775">
        <f>IF(AND($F15&gt;=MIN('Major Assumption Key'!$B$4),$F15&lt;=MAX('Major Assumption Key'!$B$6)),SUM(M15:Q15),0)</f>
        <v>0</v>
      </c>
      <c r="S15" s="37">
        <f t="shared" si="5"/>
        <v>0</v>
      </c>
      <c r="T15" s="38">
        <f>S15/(1+'Major Assumption Key'!$B$8)^($F15-'Major Assumption Key'!$B$7)</f>
        <v>0</v>
      </c>
      <c r="U15" s="289"/>
      <c r="V15" s="774">
        <f t="shared" si="6"/>
        <v>0</v>
      </c>
      <c r="W15" s="775">
        <f t="shared" si="7"/>
        <v>0</v>
      </c>
      <c r="X15" s="37">
        <f t="shared" si="8"/>
        <v>0</v>
      </c>
      <c r="Y15" s="38">
        <f t="shared" si="9"/>
        <v>0</v>
      </c>
    </row>
    <row r="16" spans="1:25" ht="19.95" customHeight="1">
      <c r="A16" s="776" t="str">
        <f>'Major Assumption Key'!$A$3</f>
        <v>Project Open Year:</v>
      </c>
      <c r="B16" s="777">
        <f>'Major Assumption Key'!$B$3</f>
        <v>2028</v>
      </c>
      <c r="C16" s="767" t="s">
        <v>436</v>
      </c>
      <c r="D16" s="550"/>
      <c r="E16" s="58"/>
      <c r="F16" s="782">
        <f>'Major Assumption Key'!A28</f>
        <v>2029</v>
      </c>
      <c r="G16" s="791">
        <f>'SOGR Supporting AP-AP'!E23</f>
        <v>0</v>
      </c>
      <c r="H16" s="791">
        <f>'SOGR Supporting AP-AP'!F23</f>
        <v>0</v>
      </c>
      <c r="I16" s="791">
        <f>'SOGR Supporting AP-AP'!G23</f>
        <v>0</v>
      </c>
      <c r="J16" s="791">
        <f>'SOGR Supporting AP-AP'!H23</f>
        <v>0</v>
      </c>
      <c r="K16" s="792">
        <f>'SOGR Supporting AP-AP'!K23</f>
        <v>0</v>
      </c>
      <c r="L16" s="774">
        <f>IF(AND($F16&gt;=MIN($F16),$F16&lt;=MAX('Major Assumption Key'!$B$6)),SUM(G16:K16),0)</f>
        <v>0</v>
      </c>
      <c r="M16" s="791">
        <f>'SOGR Supporting AP-AP'!E69</f>
        <v>0</v>
      </c>
      <c r="N16" s="791">
        <f>'SOGR Supporting AP-AP'!F69</f>
        <v>0</v>
      </c>
      <c r="O16" s="791">
        <f>'SOGR Supporting AP-AP'!G69</f>
        <v>0</v>
      </c>
      <c r="P16" s="791">
        <f>'SOGR Supporting AP-AP'!H69</f>
        <v>0</v>
      </c>
      <c r="Q16" s="791">
        <f>'SOGR Supporting AP-AP'!K69</f>
        <v>0</v>
      </c>
      <c r="R16" s="775">
        <f>IF(AND($F16&gt;=MIN('Major Assumption Key'!$B$4),$F16&lt;=MAX('Major Assumption Key'!$B$6)),SUM(M16:Q16),0)</f>
        <v>0</v>
      </c>
      <c r="S16" s="37">
        <f t="shared" si="5"/>
        <v>0</v>
      </c>
      <c r="T16" s="38">
        <f>S16/(1+'Major Assumption Key'!$B$8)^($F16-'Major Assumption Key'!$B$7)</f>
        <v>0</v>
      </c>
      <c r="U16" s="289"/>
      <c r="V16" s="774">
        <f t="shared" si="6"/>
        <v>0</v>
      </c>
      <c r="W16" s="775">
        <f t="shared" si="7"/>
        <v>0</v>
      </c>
      <c r="X16" s="37">
        <f t="shared" si="8"/>
        <v>0</v>
      </c>
      <c r="Y16" s="38">
        <f t="shared" si="9"/>
        <v>0</v>
      </c>
    </row>
    <row r="17" spans="1:25" ht="19.95" customHeight="1">
      <c r="A17" s="776" t="str">
        <f>'Major Assumption Key'!$A$4</f>
        <v>Planning Horizon Begin Year:</v>
      </c>
      <c r="B17" s="777">
        <f>'Major Assumption Key'!$B$4</f>
        <v>2022</v>
      </c>
      <c r="C17" s="767" t="s">
        <v>436</v>
      </c>
      <c r="D17" s="778"/>
      <c r="E17" s="58"/>
      <c r="F17" s="782">
        <f>'Major Assumption Key'!A29</f>
        <v>2030</v>
      </c>
      <c r="G17" s="791">
        <f>'SOGR Supporting AP-AP'!E24</f>
        <v>0</v>
      </c>
      <c r="H17" s="791">
        <f>'SOGR Supporting AP-AP'!F24</f>
        <v>0</v>
      </c>
      <c r="I17" s="791">
        <f>'SOGR Supporting AP-AP'!G24</f>
        <v>0</v>
      </c>
      <c r="J17" s="791">
        <f>'SOGR Supporting AP-AP'!H24</f>
        <v>0</v>
      </c>
      <c r="K17" s="792">
        <f>'SOGR Supporting AP-AP'!K24</f>
        <v>0</v>
      </c>
      <c r="L17" s="774">
        <f>IF(AND($F17&gt;=MIN($F17),$F17&lt;=MAX('Major Assumption Key'!$B$6)),SUM(G17:K17),0)</f>
        <v>0</v>
      </c>
      <c r="M17" s="791">
        <f>'SOGR Supporting AP-AP'!E70</f>
        <v>0</v>
      </c>
      <c r="N17" s="791">
        <f>'SOGR Supporting AP-AP'!F70</f>
        <v>0</v>
      </c>
      <c r="O17" s="791">
        <f>'SOGR Supporting AP-AP'!G70</f>
        <v>0</v>
      </c>
      <c r="P17" s="791">
        <f>'SOGR Supporting AP-AP'!H70</f>
        <v>0</v>
      </c>
      <c r="Q17" s="791">
        <f>'SOGR Supporting AP-AP'!K70</f>
        <v>0</v>
      </c>
      <c r="R17" s="775">
        <f>IF(AND($F17&gt;=MIN('Major Assumption Key'!$B$4),$F17&lt;=MAX('Major Assumption Key'!$B$6)),SUM(M17:Q17),0)</f>
        <v>0</v>
      </c>
      <c r="S17" s="37">
        <f t="shared" si="5"/>
        <v>0</v>
      </c>
      <c r="T17" s="38">
        <f>S17/(1+'Major Assumption Key'!$B$8)^($F17-'Major Assumption Key'!$B$7)</f>
        <v>0</v>
      </c>
      <c r="U17" s="289"/>
      <c r="V17" s="774">
        <f t="shared" si="6"/>
        <v>0</v>
      </c>
      <c r="W17" s="775">
        <f t="shared" si="7"/>
        <v>0</v>
      </c>
      <c r="X17" s="37">
        <f t="shared" si="8"/>
        <v>0</v>
      </c>
      <c r="Y17" s="38">
        <f t="shared" si="9"/>
        <v>0</v>
      </c>
    </row>
    <row r="18" spans="1:25" ht="19.95" customHeight="1">
      <c r="A18" s="776" t="str">
        <f>'Major Assumption Key'!$A$6</f>
        <v>Planning Horizon End Year:</v>
      </c>
      <c r="B18" s="777">
        <f>'Major Assumption Key'!$B$6</f>
        <v>2047</v>
      </c>
      <c r="C18" s="767" t="s">
        <v>436</v>
      </c>
      <c r="D18" s="778"/>
      <c r="E18" s="58"/>
      <c r="F18" s="782">
        <f>'Major Assumption Key'!A30</f>
        <v>2031</v>
      </c>
      <c r="G18" s="791">
        <f>'SOGR Supporting AP-AP'!E25</f>
        <v>0</v>
      </c>
      <c r="H18" s="791">
        <f>'SOGR Supporting AP-AP'!F25</f>
        <v>0</v>
      </c>
      <c r="I18" s="791">
        <f>'SOGR Supporting AP-AP'!G25</f>
        <v>0</v>
      </c>
      <c r="J18" s="791">
        <f>'SOGR Supporting AP-AP'!H25</f>
        <v>0</v>
      </c>
      <c r="K18" s="792">
        <f>'SOGR Supporting AP-AP'!K25</f>
        <v>0</v>
      </c>
      <c r="L18" s="774">
        <f>IF(AND($F18&gt;=MIN($F18),$F18&lt;=MAX('Major Assumption Key'!$B$6)),SUM(G18:K18),0)</f>
        <v>0</v>
      </c>
      <c r="M18" s="791">
        <f>'SOGR Supporting AP-AP'!E71</f>
        <v>0</v>
      </c>
      <c r="N18" s="791">
        <f>'SOGR Supporting AP-AP'!F71</f>
        <v>0</v>
      </c>
      <c r="O18" s="791">
        <f>'SOGR Supporting AP-AP'!G71</f>
        <v>0</v>
      </c>
      <c r="P18" s="791">
        <f>'SOGR Supporting AP-AP'!H71</f>
        <v>0</v>
      </c>
      <c r="Q18" s="791">
        <f>'SOGR Supporting AP-AP'!K71</f>
        <v>0</v>
      </c>
      <c r="R18" s="775">
        <f>IF(AND($F18&gt;=MIN('Major Assumption Key'!$B$4),$F18&lt;=MAX('Major Assumption Key'!$B$6)),SUM(M18:Q18),0)</f>
        <v>0</v>
      </c>
      <c r="S18" s="37">
        <f t="shared" si="5"/>
        <v>0</v>
      </c>
      <c r="T18" s="38">
        <f>S18/(1+'Major Assumption Key'!$B$8)^($F18-'Major Assumption Key'!$B$7)</f>
        <v>0</v>
      </c>
      <c r="U18" s="289"/>
      <c r="V18" s="774">
        <f t="shared" si="6"/>
        <v>0</v>
      </c>
      <c r="W18" s="775">
        <f t="shared" si="7"/>
        <v>0</v>
      </c>
      <c r="X18" s="37">
        <f t="shared" si="8"/>
        <v>0</v>
      </c>
      <c r="Y18" s="38">
        <f t="shared" si="9"/>
        <v>0</v>
      </c>
    </row>
    <row r="19" spans="1:25" ht="19.95" customHeight="1">
      <c r="A19" s="768" t="s">
        <v>528</v>
      </c>
      <c r="B19" s="777">
        <f>C33</f>
        <v>1.6489156772275735</v>
      </c>
      <c r="C19" s="2" t="s">
        <v>211</v>
      </c>
      <c r="D19" s="571"/>
      <c r="E19" s="58"/>
      <c r="F19" s="782">
        <f>'Major Assumption Key'!A31</f>
        <v>2032</v>
      </c>
      <c r="G19" s="791">
        <f>'SOGR Supporting AP-AP'!E26</f>
        <v>0</v>
      </c>
      <c r="H19" s="791">
        <f>'SOGR Supporting AP-AP'!F26</f>
        <v>0</v>
      </c>
      <c r="I19" s="791">
        <f>'SOGR Supporting AP-AP'!G26</f>
        <v>0</v>
      </c>
      <c r="J19" s="791">
        <f>'SOGR Supporting AP-AP'!H26</f>
        <v>0</v>
      </c>
      <c r="K19" s="792">
        <f>'SOGR Supporting AP-AP'!K26</f>
        <v>0</v>
      </c>
      <c r="L19" s="774">
        <f>IF(AND($F19&gt;=MIN($F19),$F19&lt;=MAX('Major Assumption Key'!$B$6)),SUM(G19:K19),0)</f>
        <v>0</v>
      </c>
      <c r="M19" s="791">
        <f>'SOGR Supporting AP-AP'!E72</f>
        <v>0</v>
      </c>
      <c r="N19" s="791">
        <f>'SOGR Supporting AP-AP'!F72</f>
        <v>0</v>
      </c>
      <c r="O19" s="791">
        <f>'SOGR Supporting AP-AP'!G72</f>
        <v>0</v>
      </c>
      <c r="P19" s="791">
        <f>'SOGR Supporting AP-AP'!H72</f>
        <v>0</v>
      </c>
      <c r="Q19" s="791">
        <f>'SOGR Supporting AP-AP'!K72</f>
        <v>0</v>
      </c>
      <c r="R19" s="775">
        <f>IF(AND($F19&gt;=MIN('Major Assumption Key'!$B$4),$F19&lt;=MAX('Major Assumption Key'!$B$6)),SUM(M19:Q19),0)</f>
        <v>0</v>
      </c>
      <c r="S19" s="37">
        <f t="shared" si="5"/>
        <v>0</v>
      </c>
      <c r="T19" s="38">
        <f>S19/(1+'Major Assumption Key'!$B$8)^($F19-'Major Assumption Key'!$B$7)</f>
        <v>0</v>
      </c>
      <c r="U19" s="289"/>
      <c r="V19" s="774">
        <f t="shared" si="6"/>
        <v>0</v>
      </c>
      <c r="W19" s="775">
        <f t="shared" si="7"/>
        <v>0</v>
      </c>
      <c r="X19" s="37">
        <f t="shared" si="8"/>
        <v>0</v>
      </c>
      <c r="Y19" s="38">
        <f t="shared" si="9"/>
        <v>0</v>
      </c>
    </row>
    <row r="20" spans="1:25" ht="19.95" customHeight="1">
      <c r="A20" s="768" t="s">
        <v>529</v>
      </c>
      <c r="B20" s="794">
        <f>D33</f>
        <v>20.037421024681688</v>
      </c>
      <c r="C20" s="2" t="s">
        <v>211</v>
      </c>
      <c r="D20" s="571"/>
      <c r="E20" s="58"/>
      <c r="F20" s="782">
        <f>'Major Assumption Key'!A32</f>
        <v>2033</v>
      </c>
      <c r="G20" s="791">
        <f>'SOGR Supporting AP-AP'!E27</f>
        <v>0</v>
      </c>
      <c r="H20" s="791">
        <f>'SOGR Supporting AP-AP'!F27</f>
        <v>0</v>
      </c>
      <c r="I20" s="791">
        <f>'SOGR Supporting AP-AP'!G27</f>
        <v>0</v>
      </c>
      <c r="J20" s="791">
        <f>'SOGR Supporting AP-AP'!H27</f>
        <v>0</v>
      </c>
      <c r="K20" s="792">
        <f>'SOGR Supporting AP-AP'!K27</f>
        <v>0</v>
      </c>
      <c r="L20" s="774">
        <f>IF(AND($F20&gt;=MIN($F20),$F20&lt;=MAX('Major Assumption Key'!$B$6)),SUM(G20:K20),0)</f>
        <v>0</v>
      </c>
      <c r="M20" s="791">
        <f>'SOGR Supporting AP-AP'!E73</f>
        <v>0</v>
      </c>
      <c r="N20" s="791">
        <f>'SOGR Supporting AP-AP'!F73</f>
        <v>0</v>
      </c>
      <c r="O20" s="791">
        <f>'SOGR Supporting AP-AP'!G73</f>
        <v>0</v>
      </c>
      <c r="P20" s="791">
        <f>'SOGR Supporting AP-AP'!H73</f>
        <v>0</v>
      </c>
      <c r="Q20" s="791">
        <f>'SOGR Supporting AP-AP'!K73</f>
        <v>0</v>
      </c>
      <c r="R20" s="775">
        <f>IF(AND($F20&gt;=MIN('Major Assumption Key'!$B$4),$F20&lt;=MAX('Major Assumption Key'!$B$6)),SUM(M20:Q20),0)</f>
        <v>0</v>
      </c>
      <c r="S20" s="37">
        <f t="shared" si="5"/>
        <v>0</v>
      </c>
      <c r="T20" s="38">
        <f>S20/(1+'Major Assumption Key'!$B$8)^($F20-'Major Assumption Key'!$B$7)</f>
        <v>0</v>
      </c>
      <c r="U20" s="289"/>
      <c r="V20" s="774">
        <f t="shared" si="6"/>
        <v>0</v>
      </c>
      <c r="W20" s="775">
        <f t="shared" si="7"/>
        <v>0</v>
      </c>
      <c r="X20" s="37">
        <f t="shared" si="8"/>
        <v>0</v>
      </c>
      <c r="Y20" s="38">
        <f t="shared" si="9"/>
        <v>0</v>
      </c>
    </row>
    <row r="21" spans="1:25" ht="19.95" customHeight="1">
      <c r="A21" s="768" t="s">
        <v>530</v>
      </c>
      <c r="B21" s="777">
        <v>240</v>
      </c>
      <c r="C21" s="2" t="s">
        <v>531</v>
      </c>
      <c r="D21" s="770"/>
      <c r="E21" s="58"/>
      <c r="F21" s="782">
        <f>'Major Assumption Key'!A33</f>
        <v>2034</v>
      </c>
      <c r="G21" s="791">
        <f>'SOGR Supporting AP-AP'!E28</f>
        <v>0</v>
      </c>
      <c r="H21" s="791">
        <f>'SOGR Supporting AP-AP'!F28</f>
        <v>0</v>
      </c>
      <c r="I21" s="791">
        <f>'SOGR Supporting AP-AP'!G28</f>
        <v>0</v>
      </c>
      <c r="J21" s="791">
        <f>'SOGR Supporting AP-AP'!H28</f>
        <v>0</v>
      </c>
      <c r="K21" s="792">
        <f>'SOGR Supporting AP-AP'!K28</f>
        <v>0</v>
      </c>
      <c r="L21" s="774">
        <f>IF(AND($F21&gt;=MIN($F21),$F21&lt;=MAX('Major Assumption Key'!$B$6)),SUM(G21:K21),0)</f>
        <v>0</v>
      </c>
      <c r="M21" s="791">
        <f>'SOGR Supporting AP-AP'!E74</f>
        <v>0</v>
      </c>
      <c r="N21" s="791">
        <f>'SOGR Supporting AP-AP'!F74</f>
        <v>0</v>
      </c>
      <c r="O21" s="791">
        <f>'SOGR Supporting AP-AP'!G74</f>
        <v>0</v>
      </c>
      <c r="P21" s="791">
        <f>'SOGR Supporting AP-AP'!H74</f>
        <v>0</v>
      </c>
      <c r="Q21" s="791">
        <f>'SOGR Supporting AP-AP'!K74</f>
        <v>0</v>
      </c>
      <c r="R21" s="775">
        <f>IF(AND($F21&gt;=MIN('Major Assumption Key'!$B$4),$F21&lt;=MAX('Major Assumption Key'!$B$6)),SUM(M21:Q21),0)</f>
        <v>0</v>
      </c>
      <c r="S21" s="37">
        <f t="shared" si="5"/>
        <v>0</v>
      </c>
      <c r="T21" s="38">
        <f>S21/(1+'Major Assumption Key'!$B$8)^($F21-'Major Assumption Key'!$B$7)</f>
        <v>0</v>
      </c>
      <c r="U21" s="289"/>
      <c r="V21" s="774">
        <f t="shared" si="6"/>
        <v>0</v>
      </c>
      <c r="W21" s="775">
        <f t="shared" si="7"/>
        <v>0</v>
      </c>
      <c r="X21" s="37">
        <f t="shared" si="8"/>
        <v>0</v>
      </c>
      <c r="Y21" s="38">
        <f t="shared" si="9"/>
        <v>0</v>
      </c>
    </row>
    <row r="22" spans="1:25" ht="19.95" customHeight="1">
      <c r="A22" s="768" t="s">
        <v>532</v>
      </c>
      <c r="B22" s="777">
        <f>B21/2</f>
        <v>120</v>
      </c>
      <c r="C22" s="2" t="s">
        <v>533</v>
      </c>
      <c r="D22" s="770"/>
      <c r="E22" s="58"/>
      <c r="F22" s="782">
        <f>'Major Assumption Key'!A34</f>
        <v>2035</v>
      </c>
      <c r="G22" s="791">
        <f>'SOGR Supporting AP-AP'!E29</f>
        <v>0</v>
      </c>
      <c r="H22" s="791">
        <f>'SOGR Supporting AP-AP'!F29</f>
        <v>0</v>
      </c>
      <c r="I22" s="791">
        <f>'SOGR Supporting AP-AP'!G29</f>
        <v>0</v>
      </c>
      <c r="J22" s="791">
        <f>'SOGR Supporting AP-AP'!H29</f>
        <v>0</v>
      </c>
      <c r="K22" s="792">
        <f>'SOGR Supporting AP-AP'!K29</f>
        <v>0</v>
      </c>
      <c r="L22" s="774">
        <f>IF(AND($F22&gt;=MIN($F22),$F22&lt;=MAX('Major Assumption Key'!$B$6)),SUM(G22:K22),0)</f>
        <v>0</v>
      </c>
      <c r="M22" s="791">
        <f>'SOGR Supporting AP-AP'!E75</f>
        <v>0</v>
      </c>
      <c r="N22" s="791">
        <f>'SOGR Supporting AP-AP'!F75</f>
        <v>0</v>
      </c>
      <c r="O22" s="791">
        <f>'SOGR Supporting AP-AP'!G75</f>
        <v>0</v>
      </c>
      <c r="P22" s="791">
        <f>'SOGR Supporting AP-AP'!H75</f>
        <v>0</v>
      </c>
      <c r="Q22" s="791">
        <f>'SOGR Supporting AP-AP'!K75</f>
        <v>0</v>
      </c>
      <c r="R22" s="775">
        <f>IF(AND($F22&gt;=MIN('Major Assumption Key'!$B$4),$F22&lt;=MAX('Major Assumption Key'!$B$6)),SUM(M22:Q22),0)</f>
        <v>0</v>
      </c>
      <c r="S22" s="37">
        <f t="shared" si="5"/>
        <v>0</v>
      </c>
      <c r="T22" s="38">
        <f>S22/(1+'Major Assumption Key'!$B$8)^($F22-'Major Assumption Key'!$B$7)</f>
        <v>0</v>
      </c>
      <c r="U22" s="289"/>
      <c r="V22" s="774">
        <f t="shared" si="6"/>
        <v>0</v>
      </c>
      <c r="W22" s="775">
        <f t="shared" si="7"/>
        <v>0</v>
      </c>
      <c r="X22" s="37">
        <f t="shared" si="8"/>
        <v>0</v>
      </c>
      <c r="Y22" s="38">
        <f t="shared" si="9"/>
        <v>0</v>
      </c>
    </row>
    <row r="23" spans="1:25" ht="19.95" customHeight="1">
      <c r="A23" s="768" t="s">
        <v>534</v>
      </c>
      <c r="B23" s="833">
        <v>0.75</v>
      </c>
      <c r="C23" s="2" t="s">
        <v>535</v>
      </c>
      <c r="D23" s="770"/>
      <c r="E23" s="58"/>
      <c r="F23" s="782">
        <f>'Major Assumption Key'!A35</f>
        <v>2036</v>
      </c>
      <c r="G23" s="791">
        <f>'SOGR Supporting AP-AP'!E30</f>
        <v>0</v>
      </c>
      <c r="H23" s="791">
        <f>'SOGR Supporting AP-AP'!F30</f>
        <v>0</v>
      </c>
      <c r="I23" s="791">
        <f>'SOGR Supporting AP-AP'!G30</f>
        <v>0</v>
      </c>
      <c r="J23" s="791">
        <f>'SOGR Supporting AP-AP'!H30</f>
        <v>0</v>
      </c>
      <c r="K23" s="792">
        <f>'SOGR Supporting AP-AP'!K30</f>
        <v>0</v>
      </c>
      <c r="L23" s="774">
        <f>IF(AND($F23&gt;=MIN($F23),$F23&lt;=MAX('Major Assumption Key'!$B$6)),SUM(G23:K23),0)</f>
        <v>0</v>
      </c>
      <c r="M23" s="791">
        <f>'SOGR Supporting AP-AP'!E76</f>
        <v>0</v>
      </c>
      <c r="N23" s="791">
        <f>'SOGR Supporting AP-AP'!F76</f>
        <v>0</v>
      </c>
      <c r="O23" s="791">
        <f>'SOGR Supporting AP-AP'!G76</f>
        <v>0</v>
      </c>
      <c r="P23" s="791">
        <f>'SOGR Supporting AP-AP'!H76</f>
        <v>0</v>
      </c>
      <c r="Q23" s="791">
        <f>'SOGR Supporting AP-AP'!K76</f>
        <v>0</v>
      </c>
      <c r="R23" s="775">
        <f>IF(AND($F23&gt;=MIN('Major Assumption Key'!$B$4),$F23&lt;=MAX('Major Assumption Key'!$B$6)),SUM(M23:Q23),0)</f>
        <v>0</v>
      </c>
      <c r="S23" s="37">
        <f t="shared" si="5"/>
        <v>0</v>
      </c>
      <c r="T23" s="38">
        <f>S23/(1+'Major Assumption Key'!$B$8)^($F23-'Major Assumption Key'!$B$7)</f>
        <v>0</v>
      </c>
      <c r="U23" s="289"/>
      <c r="V23" s="774">
        <f t="shared" si="6"/>
        <v>0</v>
      </c>
      <c r="W23" s="775">
        <f t="shared" si="7"/>
        <v>0</v>
      </c>
      <c r="X23" s="37">
        <f t="shared" si="8"/>
        <v>0</v>
      </c>
      <c r="Y23" s="38">
        <f t="shared" si="9"/>
        <v>0</v>
      </c>
    </row>
    <row r="24" spans="1:25" ht="19.95" customHeight="1">
      <c r="A24" s="768" t="s">
        <v>536</v>
      </c>
      <c r="B24" s="796">
        <v>0</v>
      </c>
      <c r="D24" s="770"/>
      <c r="E24" s="58"/>
      <c r="F24" s="782">
        <f>'Major Assumption Key'!A36</f>
        <v>2037</v>
      </c>
      <c r="G24" s="791">
        <f>'SOGR Supporting AP-AP'!E31</f>
        <v>0</v>
      </c>
      <c r="H24" s="791">
        <f>'SOGR Supporting AP-AP'!F31</f>
        <v>0</v>
      </c>
      <c r="I24" s="791">
        <f>'SOGR Supporting AP-AP'!G31</f>
        <v>0</v>
      </c>
      <c r="J24" s="791">
        <f>'SOGR Supporting AP-AP'!H31</f>
        <v>0</v>
      </c>
      <c r="K24" s="792">
        <f>'SOGR Supporting AP-AP'!K31</f>
        <v>0</v>
      </c>
      <c r="L24" s="774">
        <f>IF(AND($F24&gt;=MIN($F24),$F24&lt;=MAX('Major Assumption Key'!$B$6)),SUM(G24:K24),0)</f>
        <v>0</v>
      </c>
      <c r="M24" s="791">
        <f>'SOGR Supporting AP-AP'!E77</f>
        <v>0</v>
      </c>
      <c r="N24" s="791">
        <f>'SOGR Supporting AP-AP'!F77</f>
        <v>0</v>
      </c>
      <c r="O24" s="791">
        <f>'SOGR Supporting AP-AP'!G77</f>
        <v>0</v>
      </c>
      <c r="P24" s="791">
        <f>'SOGR Supporting AP-AP'!H77</f>
        <v>0</v>
      </c>
      <c r="Q24" s="791">
        <f>'SOGR Supporting AP-AP'!K77</f>
        <v>0</v>
      </c>
      <c r="R24" s="775">
        <f>IF(AND($F24&gt;=MIN('Major Assumption Key'!$B$4),$F24&lt;=MAX('Major Assumption Key'!$B$6)),SUM(M24:Q24),0)</f>
        <v>0</v>
      </c>
      <c r="S24" s="37">
        <f t="shared" si="5"/>
        <v>0</v>
      </c>
      <c r="T24" s="38">
        <f>S24/(1+'Major Assumption Key'!$B$8)^($F24-'Major Assumption Key'!$B$7)</f>
        <v>0</v>
      </c>
      <c r="U24" s="289"/>
      <c r="V24" s="774">
        <f t="shared" si="6"/>
        <v>0</v>
      </c>
      <c r="W24" s="775">
        <f t="shared" si="7"/>
        <v>0</v>
      </c>
      <c r="X24" s="37">
        <f t="shared" si="8"/>
        <v>0</v>
      </c>
      <c r="Y24" s="38">
        <f t="shared" si="9"/>
        <v>0</v>
      </c>
    </row>
    <row r="25" spans="1:25" ht="19.95" customHeight="1">
      <c r="A25" s="768" t="s">
        <v>645</v>
      </c>
      <c r="B25" s="796">
        <v>0</v>
      </c>
      <c r="D25" s="770"/>
      <c r="E25" s="58"/>
      <c r="F25" s="782">
        <f>'Major Assumption Key'!A37</f>
        <v>2038</v>
      </c>
      <c r="G25" s="791">
        <f>'SOGR Supporting AP-AP'!E32</f>
        <v>0</v>
      </c>
      <c r="H25" s="791">
        <f>'SOGR Supporting AP-AP'!F32</f>
        <v>0</v>
      </c>
      <c r="I25" s="791">
        <f>'SOGR Supporting AP-AP'!G32</f>
        <v>0</v>
      </c>
      <c r="J25" s="791">
        <f>'SOGR Supporting AP-AP'!H32</f>
        <v>0</v>
      </c>
      <c r="K25" s="792">
        <f>'SOGR Supporting AP-AP'!K32</f>
        <v>0</v>
      </c>
      <c r="L25" s="774">
        <f>IF(AND($F25&gt;=MIN($F25),$F25&lt;=MAX('Major Assumption Key'!$B$6)),SUM(G25:K25),0)</f>
        <v>0</v>
      </c>
      <c r="M25" s="791">
        <f>'SOGR Supporting AP-AP'!E78</f>
        <v>0</v>
      </c>
      <c r="N25" s="791">
        <f>'SOGR Supporting AP-AP'!F78</f>
        <v>0</v>
      </c>
      <c r="O25" s="791">
        <f>'SOGR Supporting AP-AP'!G78</f>
        <v>0</v>
      </c>
      <c r="P25" s="791">
        <f>'SOGR Supporting AP-AP'!H78</f>
        <v>0</v>
      </c>
      <c r="Q25" s="791">
        <f>'SOGR Supporting AP-AP'!K78</f>
        <v>0</v>
      </c>
      <c r="R25" s="775">
        <f>IF(AND($F25&gt;=MIN('Major Assumption Key'!$B$4),$F25&lt;=MAX('Major Assumption Key'!$B$6)),SUM(M25:Q25),0)</f>
        <v>0</v>
      </c>
      <c r="S25" s="37">
        <f t="shared" si="5"/>
        <v>0</v>
      </c>
      <c r="T25" s="38">
        <f>S25/(1+'Major Assumption Key'!$B$8)^($F25-'Major Assumption Key'!$B$7)</f>
        <v>0</v>
      </c>
      <c r="U25" s="289"/>
      <c r="V25" s="774">
        <f t="shared" si="6"/>
        <v>0</v>
      </c>
      <c r="W25" s="775">
        <f t="shared" si="7"/>
        <v>0</v>
      </c>
      <c r="X25" s="37">
        <f t="shared" si="8"/>
        <v>0</v>
      </c>
      <c r="Y25" s="38">
        <f t="shared" si="9"/>
        <v>0</v>
      </c>
    </row>
    <row r="26" spans="1:25" ht="19.95" customHeight="1">
      <c r="A26" s="768" t="s">
        <v>646</v>
      </c>
      <c r="B26" s="797">
        <f>'Cost of Rehab'!C10</f>
        <v>283756</v>
      </c>
      <c r="C26" s="2" t="s">
        <v>538</v>
      </c>
      <c r="D26" s="770"/>
      <c r="E26" s="58"/>
      <c r="F26" s="782">
        <f>'Major Assumption Key'!A38</f>
        <v>2039</v>
      </c>
      <c r="G26" s="791">
        <f>'SOGR Supporting AP-AP'!E33</f>
        <v>0</v>
      </c>
      <c r="H26" s="791">
        <f>'SOGR Supporting AP-AP'!F33</f>
        <v>0</v>
      </c>
      <c r="I26" s="791">
        <f>'SOGR Supporting AP-AP'!G33</f>
        <v>0</v>
      </c>
      <c r="J26" s="791">
        <f>'SOGR Supporting AP-AP'!H33</f>
        <v>0</v>
      </c>
      <c r="K26" s="792">
        <f>'SOGR Supporting AP-AP'!K33</f>
        <v>0</v>
      </c>
      <c r="L26" s="774">
        <f>IF(AND($F26&gt;=MIN($F26),$F26&lt;=MAX('Major Assumption Key'!$B$6)),SUM(G26:K26),0)</f>
        <v>0</v>
      </c>
      <c r="M26" s="791">
        <f>'SOGR Supporting AP-AP'!E79</f>
        <v>0</v>
      </c>
      <c r="N26" s="791">
        <f>'SOGR Supporting AP-AP'!F79</f>
        <v>0</v>
      </c>
      <c r="O26" s="791">
        <f>'SOGR Supporting AP-AP'!G79</f>
        <v>0</v>
      </c>
      <c r="P26" s="791">
        <f>'SOGR Supporting AP-AP'!H79</f>
        <v>0</v>
      </c>
      <c r="Q26" s="791">
        <f>'SOGR Supporting AP-AP'!K79</f>
        <v>0</v>
      </c>
      <c r="R26" s="775">
        <f>IF(AND($F26&gt;=MIN('Major Assumption Key'!$B$4),$F26&lt;=MAX('Major Assumption Key'!$B$6)),SUM(M26:Q26),0)</f>
        <v>0</v>
      </c>
      <c r="S26" s="37">
        <f t="shared" si="5"/>
        <v>0</v>
      </c>
      <c r="T26" s="38">
        <f>S26/(1+'Major Assumption Key'!$B$8)^($F26-'Major Assumption Key'!$B$7)</f>
        <v>0</v>
      </c>
      <c r="U26" s="289"/>
      <c r="V26" s="774">
        <f t="shared" si="6"/>
        <v>0</v>
      </c>
      <c r="W26" s="775">
        <f t="shared" si="7"/>
        <v>0</v>
      </c>
      <c r="X26" s="37">
        <f t="shared" si="8"/>
        <v>0</v>
      </c>
      <c r="Y26" s="38">
        <f t="shared" si="9"/>
        <v>0</v>
      </c>
    </row>
    <row r="27" spans="1:25" ht="19.95" customHeight="1" thickBot="1">
      <c r="A27" s="779" t="s">
        <v>539</v>
      </c>
      <c r="B27" s="798">
        <v>260</v>
      </c>
      <c r="C27" s="364" t="s">
        <v>540</v>
      </c>
      <c r="D27" s="781"/>
      <c r="E27" s="58"/>
      <c r="F27" s="782">
        <f>'Major Assumption Key'!A39</f>
        <v>2040</v>
      </c>
      <c r="G27" s="791">
        <f>'SOGR Supporting AP-AP'!E34</f>
        <v>0</v>
      </c>
      <c r="H27" s="791">
        <f>'SOGR Supporting AP-AP'!F34</f>
        <v>0</v>
      </c>
      <c r="I27" s="791">
        <f>'SOGR Supporting AP-AP'!G34</f>
        <v>0</v>
      </c>
      <c r="J27" s="791">
        <f>'SOGR Supporting AP-AP'!H34</f>
        <v>0</v>
      </c>
      <c r="K27" s="792">
        <f>'SOGR Supporting AP-AP'!K34</f>
        <v>0</v>
      </c>
      <c r="L27" s="774">
        <f>IF(AND($F27&gt;=MIN($F27),$F27&lt;=MAX('Major Assumption Key'!$B$6)),SUM(G27:K27),0)</f>
        <v>0</v>
      </c>
      <c r="M27" s="791">
        <f>'SOGR Supporting AP-AP'!E80</f>
        <v>0</v>
      </c>
      <c r="N27" s="791">
        <f>'SOGR Supporting AP-AP'!F80</f>
        <v>0</v>
      </c>
      <c r="O27" s="791">
        <f>'SOGR Supporting AP-AP'!G80</f>
        <v>0</v>
      </c>
      <c r="P27" s="791">
        <f>'SOGR Supporting AP-AP'!H80</f>
        <v>0</v>
      </c>
      <c r="Q27" s="791">
        <f>'SOGR Supporting AP-AP'!K80</f>
        <v>0</v>
      </c>
      <c r="R27" s="775">
        <f>IF(AND($F27&gt;=MIN('Major Assumption Key'!$B$4),$F27&lt;=MAX('Major Assumption Key'!$B$6)),SUM(M27:Q27),0)</f>
        <v>0</v>
      </c>
      <c r="S27" s="37">
        <f t="shared" si="5"/>
        <v>0</v>
      </c>
      <c r="T27" s="38">
        <f>S27/(1+'Major Assumption Key'!$B$8)^($F27-'Major Assumption Key'!$B$7)</f>
        <v>0</v>
      </c>
      <c r="U27" s="289"/>
      <c r="V27" s="774">
        <f t="shared" si="6"/>
        <v>0</v>
      </c>
      <c r="W27" s="775">
        <f t="shared" si="7"/>
        <v>0</v>
      </c>
      <c r="X27" s="37">
        <f t="shared" si="8"/>
        <v>0</v>
      </c>
      <c r="Y27" s="38">
        <f t="shared" si="9"/>
        <v>0</v>
      </c>
    </row>
    <row r="28" spans="1:25" ht="19.95" customHeight="1">
      <c r="A28" s="799"/>
      <c r="B28" s="799"/>
      <c r="C28" s="160"/>
      <c r="D28" s="800"/>
      <c r="E28" s="58"/>
      <c r="F28" s="782">
        <f>'Major Assumption Key'!A40</f>
        <v>2041</v>
      </c>
      <c r="G28" s="791">
        <f>'SOGR Supporting AP-AP'!E35</f>
        <v>0</v>
      </c>
      <c r="H28" s="791">
        <f>'SOGR Supporting AP-AP'!F35</f>
        <v>0</v>
      </c>
      <c r="I28" s="791">
        <f>'SOGR Supporting AP-AP'!G35</f>
        <v>0</v>
      </c>
      <c r="J28" s="791">
        <f>'SOGR Supporting AP-AP'!H35</f>
        <v>0</v>
      </c>
      <c r="K28" s="792">
        <f>'SOGR Supporting AP-AP'!K35</f>
        <v>0</v>
      </c>
      <c r="L28" s="774">
        <f>IF(AND($F28&gt;=MIN($F28),$F28&lt;=MAX('Major Assumption Key'!$B$6)),SUM(G28:K28),0)</f>
        <v>0</v>
      </c>
      <c r="M28" s="791">
        <f>'SOGR Supporting AP-AP'!E81</f>
        <v>0</v>
      </c>
      <c r="N28" s="791">
        <f>'SOGR Supporting AP-AP'!F81</f>
        <v>0</v>
      </c>
      <c r="O28" s="791">
        <f>'SOGR Supporting AP-AP'!G81</f>
        <v>0</v>
      </c>
      <c r="P28" s="791">
        <f>'SOGR Supporting AP-AP'!H81</f>
        <v>0</v>
      </c>
      <c r="Q28" s="791">
        <f>'SOGR Supporting AP-AP'!K81</f>
        <v>0</v>
      </c>
      <c r="R28" s="775">
        <f>IF(AND($F28&gt;=MIN('Major Assumption Key'!$B$4),$F28&lt;=MAX('Major Assumption Key'!$B$6)),SUM(M28:Q28),0)</f>
        <v>0</v>
      </c>
      <c r="S28" s="37">
        <f t="shared" si="5"/>
        <v>0</v>
      </c>
      <c r="T28" s="38">
        <f>S28/(1+'Major Assumption Key'!$B$8)^($F28-'Major Assumption Key'!$B$7)</f>
        <v>0</v>
      </c>
      <c r="U28" s="289"/>
      <c r="V28" s="774">
        <f t="shared" si="6"/>
        <v>0</v>
      </c>
      <c r="W28" s="775">
        <f t="shared" si="7"/>
        <v>0</v>
      </c>
      <c r="X28" s="37">
        <f t="shared" si="8"/>
        <v>0</v>
      </c>
      <c r="Y28" s="38">
        <f t="shared" si="9"/>
        <v>0</v>
      </c>
    </row>
    <row r="29" spans="1:25" ht="19.95" customHeight="1">
      <c r="E29" s="58"/>
      <c r="F29" s="782">
        <f>'Major Assumption Key'!A41</f>
        <v>2042</v>
      </c>
      <c r="G29" s="791">
        <f>'SOGR Supporting AP-AP'!E36</f>
        <v>0</v>
      </c>
      <c r="H29" s="791">
        <f>'SOGR Supporting AP-AP'!F36</f>
        <v>0</v>
      </c>
      <c r="I29" s="791">
        <f>'SOGR Supporting AP-AP'!G36</f>
        <v>0</v>
      </c>
      <c r="J29" s="791">
        <f>'SOGR Supporting AP-AP'!H36</f>
        <v>0</v>
      </c>
      <c r="K29" s="792">
        <f>'SOGR Supporting AP-AP'!K36</f>
        <v>0</v>
      </c>
      <c r="L29" s="774">
        <f>IF(AND($F29&gt;=MIN($F29),$F29&lt;=MAX('Major Assumption Key'!$B$6)),SUM(G29:K29),0)</f>
        <v>0</v>
      </c>
      <c r="M29" s="791">
        <f>'SOGR Supporting AP-AP'!E82</f>
        <v>0</v>
      </c>
      <c r="N29" s="791">
        <f>'SOGR Supporting AP-AP'!F82</f>
        <v>0</v>
      </c>
      <c r="O29" s="791">
        <f>'SOGR Supporting AP-AP'!G82</f>
        <v>0</v>
      </c>
      <c r="P29" s="791">
        <f>'SOGR Supporting AP-AP'!H82</f>
        <v>0</v>
      </c>
      <c r="Q29" s="791">
        <f>'SOGR Supporting AP-AP'!K82</f>
        <v>0</v>
      </c>
      <c r="R29" s="775">
        <f>IF(AND($F29&gt;=MIN('Major Assumption Key'!$B$4),$F29&lt;=MAX('Major Assumption Key'!$B$6)),SUM(M29:Q29),0)</f>
        <v>0</v>
      </c>
      <c r="S29" s="37">
        <f t="shared" si="5"/>
        <v>0</v>
      </c>
      <c r="T29" s="38">
        <f>S29/(1+'Major Assumption Key'!$B$8)^($F29-'Major Assumption Key'!$B$7)</f>
        <v>0</v>
      </c>
      <c r="U29" s="289"/>
      <c r="V29" s="774">
        <f t="shared" si="6"/>
        <v>0</v>
      </c>
      <c r="W29" s="775">
        <f t="shared" si="7"/>
        <v>0</v>
      </c>
      <c r="X29" s="37">
        <f t="shared" si="8"/>
        <v>0</v>
      </c>
      <c r="Y29" s="38">
        <f t="shared" si="9"/>
        <v>0</v>
      </c>
    </row>
    <row r="30" spans="1:25" ht="19.95" customHeight="1">
      <c r="A30" s="59" t="s">
        <v>541</v>
      </c>
      <c r="B30" s="59" t="s">
        <v>542</v>
      </c>
      <c r="C30" s="59" t="s">
        <v>543</v>
      </c>
      <c r="D30" s="59" t="s">
        <v>544</v>
      </c>
      <c r="E30" s="58"/>
      <c r="F30" s="782">
        <f>'Major Assumption Key'!A42</f>
        <v>2043</v>
      </c>
      <c r="G30" s="791">
        <f>'SOGR Supporting AP-AP'!E37</f>
        <v>0</v>
      </c>
      <c r="H30" s="791">
        <f>'SOGR Supporting AP-AP'!F37</f>
        <v>0</v>
      </c>
      <c r="I30" s="791">
        <f>'SOGR Supporting AP-AP'!G37</f>
        <v>0</v>
      </c>
      <c r="J30" s="791">
        <f>'SOGR Supporting AP-AP'!H37</f>
        <v>0</v>
      </c>
      <c r="K30" s="792">
        <f>'SOGR Supporting AP-AP'!K37</f>
        <v>0</v>
      </c>
      <c r="L30" s="774">
        <f>IF(AND($F30&gt;=MIN($F30),$F30&lt;=MAX('Major Assumption Key'!$B$6)),SUM(G30:K30),0)</f>
        <v>0</v>
      </c>
      <c r="M30" s="791">
        <f>'SOGR Supporting AP-AP'!E83</f>
        <v>0</v>
      </c>
      <c r="N30" s="791">
        <f>'SOGR Supporting AP-AP'!F83</f>
        <v>0</v>
      </c>
      <c r="O30" s="791">
        <f>'SOGR Supporting AP-AP'!G83</f>
        <v>0</v>
      </c>
      <c r="P30" s="791">
        <f>'SOGR Supporting AP-AP'!H83</f>
        <v>0</v>
      </c>
      <c r="Q30" s="791">
        <f>'SOGR Supporting AP-AP'!K83</f>
        <v>0</v>
      </c>
      <c r="R30" s="775">
        <f>IF(AND($F30&gt;=MIN('Major Assumption Key'!$B$4),$F30&lt;=MAX('Major Assumption Key'!$B$6)),SUM(M30:Q30),0)</f>
        <v>0</v>
      </c>
      <c r="S30" s="37">
        <f t="shared" si="5"/>
        <v>0</v>
      </c>
      <c r="T30" s="38">
        <f>S30/(1+'Major Assumption Key'!$B$8)^($F30-'Major Assumption Key'!$B$7)</f>
        <v>0</v>
      </c>
      <c r="U30" s="289"/>
      <c r="V30" s="774">
        <f t="shared" si="6"/>
        <v>0</v>
      </c>
      <c r="W30" s="775">
        <f t="shared" si="7"/>
        <v>0</v>
      </c>
      <c r="X30" s="37">
        <f t="shared" si="8"/>
        <v>0</v>
      </c>
      <c r="Y30" s="38">
        <f t="shared" si="9"/>
        <v>0</v>
      </c>
    </row>
    <row r="31" spans="1:25" ht="19.95" customHeight="1">
      <c r="A31" s="801" t="s">
        <v>545</v>
      </c>
      <c r="B31" s="802">
        <f>1-B32</f>
        <v>0.96853086153369172</v>
      </c>
      <c r="C31" s="157">
        <f>'BCA Guide - Parameter Values'!$C$46</f>
        <v>1.67</v>
      </c>
      <c r="D31" s="803">
        <f>'BCA Guide - Parameter Values'!$C$24</f>
        <v>19.600000000000001</v>
      </c>
      <c r="F31" s="782">
        <f>'Major Assumption Key'!A43</f>
        <v>2044</v>
      </c>
      <c r="G31" s="791">
        <f>'SOGR Supporting AP-AP'!E38</f>
        <v>0</v>
      </c>
      <c r="H31" s="791">
        <f>'SOGR Supporting AP-AP'!F38</f>
        <v>0</v>
      </c>
      <c r="I31" s="791">
        <f>'SOGR Supporting AP-AP'!G38</f>
        <v>0</v>
      </c>
      <c r="J31" s="791">
        <f>'SOGR Supporting AP-AP'!H38</f>
        <v>0</v>
      </c>
      <c r="K31" s="792">
        <f>'SOGR Supporting AP-AP'!K38</f>
        <v>0</v>
      </c>
      <c r="L31" s="774">
        <f>IF(AND($F31&gt;=MIN($F31),$F31&lt;=MAX('Major Assumption Key'!$B$6)),SUM(G31:K31),0)</f>
        <v>0</v>
      </c>
      <c r="M31" s="791">
        <f>'SOGR Supporting AP-AP'!E84</f>
        <v>0</v>
      </c>
      <c r="N31" s="791">
        <f>'SOGR Supporting AP-AP'!F84</f>
        <v>0</v>
      </c>
      <c r="O31" s="791">
        <f>'SOGR Supporting AP-AP'!G84</f>
        <v>0</v>
      </c>
      <c r="P31" s="791">
        <f>'SOGR Supporting AP-AP'!H84</f>
        <v>0</v>
      </c>
      <c r="Q31" s="791">
        <f>'SOGR Supporting AP-AP'!K84</f>
        <v>0</v>
      </c>
      <c r="R31" s="775">
        <f>IF(AND($F31&gt;=MIN('Major Assumption Key'!$B$4),$F31&lt;=MAX('Major Assumption Key'!$B$6)),SUM(M31:Q31),0)</f>
        <v>0</v>
      </c>
      <c r="S31" s="37">
        <f t="shared" si="5"/>
        <v>0</v>
      </c>
      <c r="T31" s="38">
        <f>S31/(1+'Major Assumption Key'!$B$8)^($F31-'Major Assumption Key'!$B$7)</f>
        <v>0</v>
      </c>
      <c r="U31" s="289"/>
      <c r="V31" s="774">
        <f t="shared" si="6"/>
        <v>0</v>
      </c>
      <c r="W31" s="775">
        <f t="shared" si="7"/>
        <v>0</v>
      </c>
      <c r="X31" s="37">
        <f t="shared" si="8"/>
        <v>0</v>
      </c>
      <c r="Y31" s="38">
        <f t="shared" si="9"/>
        <v>0</v>
      </c>
    </row>
    <row r="32" spans="1:25" ht="19.95" customHeight="1" thickBot="1">
      <c r="A32" s="804" t="s">
        <v>128</v>
      </c>
      <c r="B32" s="805">
        <f>'Major Assumption Key'!B11</f>
        <v>3.1469138466308312E-2</v>
      </c>
      <c r="C32" s="158">
        <v>1</v>
      </c>
      <c r="D32" s="806">
        <f>'BCA Guide - Parameter Values'!$C$29</f>
        <v>33.5</v>
      </c>
      <c r="F32" s="782">
        <f>'Major Assumption Key'!A44</f>
        <v>2045</v>
      </c>
      <c r="G32" s="791">
        <f>'SOGR Supporting AP-AP'!E39</f>
        <v>0</v>
      </c>
      <c r="H32" s="791">
        <f>'SOGR Supporting AP-AP'!F39</f>
        <v>0</v>
      </c>
      <c r="I32" s="791">
        <f>'SOGR Supporting AP-AP'!G39</f>
        <v>0</v>
      </c>
      <c r="J32" s="791">
        <f>'SOGR Supporting AP-AP'!H39</f>
        <v>0</v>
      </c>
      <c r="K32" s="792">
        <f>'SOGR Supporting AP-AP'!K39</f>
        <v>0</v>
      </c>
      <c r="L32" s="774">
        <f>IF(AND($F32&gt;=MIN($F32),$F32&lt;=MAX('Major Assumption Key'!$B$6)),SUM(G32:K32),0)</f>
        <v>0</v>
      </c>
      <c r="M32" s="791">
        <f>'SOGR Supporting AP-AP'!E85</f>
        <v>0</v>
      </c>
      <c r="N32" s="791">
        <f>'SOGR Supporting AP-AP'!F85</f>
        <v>0</v>
      </c>
      <c r="O32" s="791">
        <f>'SOGR Supporting AP-AP'!G85</f>
        <v>0</v>
      </c>
      <c r="P32" s="791">
        <f>'SOGR Supporting AP-AP'!H85</f>
        <v>0</v>
      </c>
      <c r="Q32" s="791">
        <f>'SOGR Supporting AP-AP'!K85</f>
        <v>0</v>
      </c>
      <c r="R32" s="775">
        <f>IF(AND($F32&gt;=MIN('Major Assumption Key'!$B$4),$F32&lt;=MAX('Major Assumption Key'!$B$6)),SUM(M32:Q32),0)</f>
        <v>0</v>
      </c>
      <c r="S32" s="37">
        <f t="shared" si="5"/>
        <v>0</v>
      </c>
      <c r="T32" s="38">
        <f>S32/(1+'Major Assumption Key'!$B$8)^($F32-'Major Assumption Key'!$B$7)</f>
        <v>0</v>
      </c>
      <c r="U32" s="289"/>
      <c r="V32" s="774">
        <f t="shared" si="6"/>
        <v>0</v>
      </c>
      <c r="W32" s="775">
        <f t="shared" si="7"/>
        <v>0</v>
      </c>
      <c r="X32" s="37">
        <f t="shared" si="8"/>
        <v>0</v>
      </c>
      <c r="Y32" s="38">
        <f t="shared" si="9"/>
        <v>0</v>
      </c>
    </row>
    <row r="33" spans="1:25" ht="19.95" customHeight="1" thickTop="1">
      <c r="A33" s="807"/>
      <c r="B33" s="807"/>
      <c r="C33" s="375">
        <f>SUMPRODUCT(B31:B32,C31:C32)</f>
        <v>1.6489156772275735</v>
      </c>
      <c r="D33" s="808">
        <f>SUMPRODUCT(B31:B32,D31:D32)</f>
        <v>20.037421024681688</v>
      </c>
      <c r="F33" s="782">
        <f>'Major Assumption Key'!A45</f>
        <v>2046</v>
      </c>
      <c r="G33" s="791">
        <f>'SOGR Supporting AP-AP'!E40</f>
        <v>0</v>
      </c>
      <c r="H33" s="791">
        <f>'SOGR Supporting AP-AP'!F40</f>
        <v>0</v>
      </c>
      <c r="I33" s="791">
        <f>'SOGR Supporting AP-AP'!G40</f>
        <v>0</v>
      </c>
      <c r="J33" s="791">
        <f>'SOGR Supporting AP-AP'!H40</f>
        <v>0</v>
      </c>
      <c r="K33" s="792">
        <f>'SOGR Supporting AP-AP'!K40</f>
        <v>0</v>
      </c>
      <c r="L33" s="774">
        <f>IF(AND($F33&gt;=MIN($F33),$F33&lt;=MAX('Major Assumption Key'!$B$6)),SUM(G33:K33),0)</f>
        <v>0</v>
      </c>
      <c r="M33" s="791">
        <f>'SOGR Supporting AP-AP'!E86</f>
        <v>0</v>
      </c>
      <c r="N33" s="791">
        <f>'SOGR Supporting AP-AP'!F86</f>
        <v>0</v>
      </c>
      <c r="O33" s="791">
        <f>'SOGR Supporting AP-AP'!G86</f>
        <v>0</v>
      </c>
      <c r="P33" s="791">
        <f>'SOGR Supporting AP-AP'!H86</f>
        <v>0</v>
      </c>
      <c r="Q33" s="791">
        <f>'SOGR Supporting AP-AP'!K86</f>
        <v>0</v>
      </c>
      <c r="R33" s="775">
        <f>IF(AND($F33&gt;=MIN('Major Assumption Key'!$B$4),$F33&lt;=MAX('Major Assumption Key'!$B$6)),SUM(M33:Q33),0)</f>
        <v>0</v>
      </c>
      <c r="S33" s="37">
        <f t="shared" si="5"/>
        <v>0</v>
      </c>
      <c r="T33" s="38">
        <f>S33/(1+'Major Assumption Key'!$B$8)^($F33-'Major Assumption Key'!$B$7)</f>
        <v>0</v>
      </c>
      <c r="U33" s="289"/>
      <c r="V33" s="774">
        <f t="shared" si="6"/>
        <v>0</v>
      </c>
      <c r="W33" s="775">
        <f t="shared" si="7"/>
        <v>0</v>
      </c>
      <c r="X33" s="37">
        <f t="shared" si="8"/>
        <v>0</v>
      </c>
      <c r="Y33" s="38">
        <f t="shared" si="9"/>
        <v>0</v>
      </c>
    </row>
    <row r="34" spans="1:25" ht="19.95" customHeight="1">
      <c r="A34" s="799"/>
      <c r="B34" s="799"/>
      <c r="C34" s="160"/>
      <c r="D34" s="800"/>
      <c r="F34" s="782">
        <f>'Major Assumption Key'!A46</f>
        <v>2047</v>
      </c>
      <c r="G34" s="791">
        <f>'SOGR Supporting AP-AP'!E41</f>
        <v>0</v>
      </c>
      <c r="H34" s="791">
        <f>'SOGR Supporting AP-AP'!F41</f>
        <v>0</v>
      </c>
      <c r="I34" s="791">
        <f>'SOGR Supporting AP-AP'!G41</f>
        <v>0</v>
      </c>
      <c r="J34" s="791">
        <f>'SOGR Supporting AP-AP'!H41</f>
        <v>0</v>
      </c>
      <c r="K34" s="792">
        <f>'SOGR Supporting AP-AP'!K41</f>
        <v>0</v>
      </c>
      <c r="L34" s="774">
        <f>IF(AND($F34&gt;=MIN($F34),$F34&lt;=MAX('Major Assumption Key'!$B$6)),SUM(G34:K34),0)</f>
        <v>0</v>
      </c>
      <c r="M34" s="791">
        <f>'SOGR Supporting AP-AP'!E87</f>
        <v>0</v>
      </c>
      <c r="N34" s="791">
        <f>'SOGR Supporting AP-AP'!F87</f>
        <v>0</v>
      </c>
      <c r="O34" s="791">
        <f>'SOGR Supporting AP-AP'!G87</f>
        <v>0</v>
      </c>
      <c r="P34" s="791">
        <f>'SOGR Supporting AP-AP'!H87</f>
        <v>0</v>
      </c>
      <c r="Q34" s="791">
        <f>'SOGR Supporting AP-AP'!K87</f>
        <v>0</v>
      </c>
      <c r="R34" s="775">
        <f>IF(AND($F34&gt;=MIN('Major Assumption Key'!$B$4),$F34&lt;=MAX('Major Assumption Key'!$B$6)),SUM(M34:Q34),0)</f>
        <v>0</v>
      </c>
      <c r="S34" s="37">
        <f t="shared" si="5"/>
        <v>0</v>
      </c>
      <c r="T34" s="38">
        <f>S34/(1+'Major Assumption Key'!$B$8)^($F34-'Major Assumption Key'!$B$7)</f>
        <v>0</v>
      </c>
      <c r="U34" s="289"/>
      <c r="V34" s="774">
        <f t="shared" si="6"/>
        <v>0</v>
      </c>
      <c r="W34" s="775">
        <f t="shared" si="7"/>
        <v>0</v>
      </c>
      <c r="X34" s="37">
        <f t="shared" si="8"/>
        <v>0</v>
      </c>
      <c r="Y34" s="38">
        <f t="shared" si="9"/>
        <v>0</v>
      </c>
    </row>
    <row r="35" spans="1:25" ht="19.95" customHeight="1">
      <c r="A35" s="799"/>
      <c r="B35" s="799"/>
      <c r="C35" s="160"/>
      <c r="D35" s="800"/>
      <c r="F35" s="782">
        <f>'Major Assumption Key'!A47</f>
        <v>2048</v>
      </c>
      <c r="G35" s="791">
        <f>'SOGR Supporting AP-AP'!E42</f>
        <v>0</v>
      </c>
      <c r="H35" s="791">
        <f>'SOGR Supporting AP-AP'!F42</f>
        <v>0</v>
      </c>
      <c r="I35" s="791">
        <f>'SOGR Supporting AP-AP'!G42</f>
        <v>0</v>
      </c>
      <c r="J35" s="791">
        <f>'SOGR Supporting AP-AP'!H42</f>
        <v>0</v>
      </c>
      <c r="K35" s="792">
        <f>'SOGR Supporting AP-AP'!K42</f>
        <v>0</v>
      </c>
      <c r="L35" s="774">
        <f>IF(AND($F35&gt;=MIN($F35),$F35&lt;=MAX('Major Assumption Key'!$B$6)),SUM(G35:K35),0)</f>
        <v>0</v>
      </c>
      <c r="M35" s="791">
        <f>'SOGR Supporting AP-AP'!E88</f>
        <v>0</v>
      </c>
      <c r="N35" s="791">
        <f>'SOGR Supporting AP-AP'!F88</f>
        <v>0</v>
      </c>
      <c r="O35" s="791">
        <f>'SOGR Supporting AP-AP'!G88</f>
        <v>0</v>
      </c>
      <c r="P35" s="791">
        <f>'SOGR Supporting AP-AP'!H88</f>
        <v>0</v>
      </c>
      <c r="Q35" s="791">
        <f>'SOGR Supporting AP-AP'!K88</f>
        <v>0</v>
      </c>
      <c r="R35" s="775">
        <f>IF(AND($F35&gt;=MIN('Major Assumption Key'!$B$4),$F35&lt;=MAX('Major Assumption Key'!$B$6)),SUM(M35:Q35),0)</f>
        <v>0</v>
      </c>
      <c r="S35" s="37">
        <f t="shared" si="5"/>
        <v>0</v>
      </c>
      <c r="T35" s="38">
        <f>S35/(1+'Major Assumption Key'!$B$8)^($F35-'Major Assumption Key'!$B$7)</f>
        <v>0</v>
      </c>
      <c r="U35" s="289"/>
      <c r="V35" s="774">
        <f t="shared" si="6"/>
        <v>0</v>
      </c>
      <c r="W35" s="775">
        <f t="shared" si="7"/>
        <v>0</v>
      </c>
      <c r="X35" s="37">
        <f t="shared" si="8"/>
        <v>0</v>
      </c>
      <c r="Y35" s="38">
        <f t="shared" si="9"/>
        <v>0</v>
      </c>
    </row>
    <row r="36" spans="1:25" ht="19.95" customHeight="1">
      <c r="A36" s="799"/>
      <c r="B36" s="799"/>
      <c r="C36" s="160"/>
      <c r="D36" s="800"/>
      <c r="F36" s="782">
        <f>'Major Assumption Key'!A48</f>
        <v>2049</v>
      </c>
      <c r="G36" s="791">
        <f>'SOGR Supporting AP-AP'!E43</f>
        <v>0</v>
      </c>
      <c r="H36" s="791">
        <f>'SOGR Supporting AP-AP'!F43</f>
        <v>0</v>
      </c>
      <c r="I36" s="791">
        <f>'SOGR Supporting AP-AP'!G43</f>
        <v>0</v>
      </c>
      <c r="J36" s="791">
        <f>'SOGR Supporting AP-AP'!H43</f>
        <v>0</v>
      </c>
      <c r="K36" s="792">
        <f>'SOGR Supporting AP-AP'!K43</f>
        <v>0</v>
      </c>
      <c r="L36" s="774">
        <f>IF(AND($F36&gt;=MIN($F36),$F36&lt;=MAX('Major Assumption Key'!$B$6)),SUM(G36:K36),0)</f>
        <v>0</v>
      </c>
      <c r="M36" s="791">
        <f>'SOGR Supporting AP-AP'!E89</f>
        <v>0</v>
      </c>
      <c r="N36" s="791">
        <f>'SOGR Supporting AP-AP'!F89</f>
        <v>0</v>
      </c>
      <c r="O36" s="791">
        <f>'SOGR Supporting AP-AP'!G89</f>
        <v>0</v>
      </c>
      <c r="P36" s="791">
        <f>'SOGR Supporting AP-AP'!H89</f>
        <v>0</v>
      </c>
      <c r="Q36" s="791">
        <f>'SOGR Supporting AP-AP'!K89</f>
        <v>0</v>
      </c>
      <c r="R36" s="775">
        <f>IF(AND($F36&gt;=MIN('Major Assumption Key'!$B$4),$F36&lt;=MAX('Major Assumption Key'!$B$6)),SUM(M36:Q36),0)</f>
        <v>0</v>
      </c>
      <c r="S36" s="37">
        <f t="shared" si="5"/>
        <v>0</v>
      </c>
      <c r="T36" s="38">
        <f>S36/(1+'Major Assumption Key'!$B$8)^($F36-'Major Assumption Key'!$B$7)</f>
        <v>0</v>
      </c>
      <c r="U36" s="289"/>
      <c r="V36" s="774">
        <f t="shared" si="6"/>
        <v>0</v>
      </c>
      <c r="W36" s="775">
        <f t="shared" si="7"/>
        <v>0</v>
      </c>
      <c r="X36" s="37">
        <f t="shared" si="8"/>
        <v>0</v>
      </c>
      <c r="Y36" s="38">
        <f t="shared" si="9"/>
        <v>0</v>
      </c>
    </row>
    <row r="37" spans="1:25" ht="19.95" customHeight="1">
      <c r="A37" s="799"/>
      <c r="B37" s="799"/>
      <c r="C37" s="160"/>
      <c r="D37" s="800"/>
      <c r="F37" s="782">
        <f>'Major Assumption Key'!A49</f>
        <v>2050</v>
      </c>
      <c r="G37" s="791">
        <f>'SOGR Supporting AP-AP'!E44</f>
        <v>0</v>
      </c>
      <c r="H37" s="791">
        <f>'SOGR Supporting AP-AP'!F44</f>
        <v>0</v>
      </c>
      <c r="I37" s="791">
        <f>'SOGR Supporting AP-AP'!G44</f>
        <v>0</v>
      </c>
      <c r="J37" s="791">
        <f>'SOGR Supporting AP-AP'!H44</f>
        <v>0</v>
      </c>
      <c r="K37" s="792">
        <f>'SOGR Supporting AP-AP'!K44</f>
        <v>0</v>
      </c>
      <c r="L37" s="774">
        <f>IF(AND($F37&gt;=MIN($F37),$F37&lt;=MAX('Major Assumption Key'!$B$6)),SUM(G37:K37),0)</f>
        <v>0</v>
      </c>
      <c r="M37" s="791">
        <f>'SOGR Supporting AP-AP'!E90</f>
        <v>0</v>
      </c>
      <c r="N37" s="791">
        <f>'SOGR Supporting AP-AP'!F90</f>
        <v>0</v>
      </c>
      <c r="O37" s="791">
        <f>'SOGR Supporting AP-AP'!G90</f>
        <v>0</v>
      </c>
      <c r="P37" s="791">
        <f>'SOGR Supporting AP-AP'!H90</f>
        <v>0</v>
      </c>
      <c r="Q37" s="791">
        <f>'SOGR Supporting AP-AP'!K90</f>
        <v>0</v>
      </c>
      <c r="R37" s="775">
        <f>IF(AND($F37&gt;=MIN('Major Assumption Key'!$B$4),$F37&lt;=MAX('Major Assumption Key'!$B$6)),SUM(M37:Q37),0)</f>
        <v>0</v>
      </c>
      <c r="S37" s="37">
        <f t="shared" si="5"/>
        <v>0</v>
      </c>
      <c r="T37" s="38">
        <f>S37/(1+'Major Assumption Key'!$B$8)^($F37-'Major Assumption Key'!$B$7)</f>
        <v>0</v>
      </c>
      <c r="U37" s="289"/>
      <c r="V37" s="774">
        <f t="shared" si="6"/>
        <v>0</v>
      </c>
      <c r="W37" s="775">
        <f t="shared" si="7"/>
        <v>0</v>
      </c>
      <c r="X37" s="37">
        <f t="shared" si="8"/>
        <v>0</v>
      </c>
      <c r="Y37" s="38">
        <f t="shared" si="9"/>
        <v>0</v>
      </c>
    </row>
    <row r="38" spans="1:25" ht="19.95" customHeight="1">
      <c r="A38" s="799"/>
      <c r="B38" s="799"/>
      <c r="C38" s="160"/>
      <c r="D38" s="800"/>
      <c r="F38" s="782">
        <f>'Major Assumption Key'!A50</f>
        <v>2051</v>
      </c>
      <c r="G38" s="791">
        <f>'SOGR Supporting AP-AP'!E45</f>
        <v>0</v>
      </c>
      <c r="H38" s="791">
        <f>'SOGR Supporting AP-AP'!F45</f>
        <v>0</v>
      </c>
      <c r="I38" s="791">
        <f>'SOGR Supporting AP-AP'!G45</f>
        <v>0</v>
      </c>
      <c r="J38" s="791">
        <f>'SOGR Supporting AP-AP'!H45</f>
        <v>0</v>
      </c>
      <c r="K38" s="792">
        <f>'SOGR Supporting AP-AP'!K45</f>
        <v>0</v>
      </c>
      <c r="L38" s="774">
        <f>IF(AND($F38&gt;=MIN($F38),$F38&lt;=MAX('Major Assumption Key'!$B$6)),SUM(G38:K38),0)</f>
        <v>0</v>
      </c>
      <c r="M38" s="791">
        <f>'SOGR Supporting AP-AP'!E91</f>
        <v>0</v>
      </c>
      <c r="N38" s="791">
        <f>'SOGR Supporting AP-AP'!F91</f>
        <v>0</v>
      </c>
      <c r="O38" s="791">
        <f>'SOGR Supporting AP-AP'!G91</f>
        <v>0</v>
      </c>
      <c r="P38" s="791">
        <f>'SOGR Supporting AP-AP'!H91</f>
        <v>0</v>
      </c>
      <c r="Q38" s="791">
        <f>'SOGR Supporting AP-AP'!K91</f>
        <v>0</v>
      </c>
      <c r="R38" s="775">
        <f>IF(AND($F38&gt;=MIN('Major Assumption Key'!$B$4),$F38&lt;=MAX('Major Assumption Key'!$B$6)),SUM(M38:Q38),0)</f>
        <v>0</v>
      </c>
      <c r="S38" s="37">
        <f t="shared" si="5"/>
        <v>0</v>
      </c>
      <c r="T38" s="38">
        <f>S38/(1+'Major Assumption Key'!$B$8)^($F38-'Major Assumption Key'!$B$7)</f>
        <v>0</v>
      </c>
      <c r="U38" s="289"/>
      <c r="V38" s="774">
        <f t="shared" si="6"/>
        <v>0</v>
      </c>
      <c r="W38" s="775">
        <f t="shared" si="7"/>
        <v>0</v>
      </c>
      <c r="X38" s="37">
        <f t="shared" si="8"/>
        <v>0</v>
      </c>
      <c r="Y38" s="38">
        <f t="shared" si="9"/>
        <v>0</v>
      </c>
    </row>
    <row r="39" spans="1:25" ht="19.95" customHeight="1">
      <c r="A39" s="799"/>
      <c r="B39" s="799"/>
      <c r="C39" s="160"/>
      <c r="D39" s="800"/>
      <c r="F39" s="782">
        <f>'Major Assumption Key'!A51</f>
        <v>2052</v>
      </c>
      <c r="G39" s="791">
        <f>'SOGR Supporting AP-AP'!E46</f>
        <v>0</v>
      </c>
      <c r="H39" s="791">
        <f>'SOGR Supporting AP-AP'!F46</f>
        <v>0</v>
      </c>
      <c r="I39" s="791">
        <f>'SOGR Supporting AP-AP'!G46</f>
        <v>0</v>
      </c>
      <c r="J39" s="791">
        <f>'SOGR Supporting AP-AP'!H46</f>
        <v>0</v>
      </c>
      <c r="K39" s="792">
        <f>'SOGR Supporting AP-AP'!K46</f>
        <v>0</v>
      </c>
      <c r="L39" s="774">
        <f>IF(AND($F39&gt;=MIN($F39),$F39&lt;=MAX('Major Assumption Key'!$B$6)),SUM(G39:K39),0)</f>
        <v>0</v>
      </c>
      <c r="M39" s="791">
        <f>'SOGR Supporting AP-AP'!E92</f>
        <v>0</v>
      </c>
      <c r="N39" s="791">
        <f>'SOGR Supporting AP-AP'!F92</f>
        <v>0</v>
      </c>
      <c r="O39" s="791">
        <f>'SOGR Supporting AP-AP'!G92</f>
        <v>0</v>
      </c>
      <c r="P39" s="791">
        <f>'SOGR Supporting AP-AP'!H92</f>
        <v>0</v>
      </c>
      <c r="Q39" s="791">
        <f>'SOGR Supporting AP-AP'!K92</f>
        <v>0</v>
      </c>
      <c r="R39" s="775">
        <f>IF(AND($F39&gt;=MIN('Major Assumption Key'!$B$4),$F39&lt;=MAX('Major Assumption Key'!$B$6)),SUM(M39:Q39),0)</f>
        <v>0</v>
      </c>
      <c r="S39" s="37">
        <f t="shared" si="5"/>
        <v>0</v>
      </c>
      <c r="T39" s="38">
        <f>S39/(1+'Major Assumption Key'!$B$8)^($F39-'Major Assumption Key'!$B$7)</f>
        <v>0</v>
      </c>
      <c r="U39" s="289"/>
      <c r="V39" s="774">
        <f t="shared" si="6"/>
        <v>0</v>
      </c>
      <c r="W39" s="775">
        <f t="shared" si="7"/>
        <v>0</v>
      </c>
      <c r="X39" s="37">
        <f t="shared" si="8"/>
        <v>0</v>
      </c>
      <c r="Y39" s="38">
        <f t="shared" si="9"/>
        <v>0</v>
      </c>
    </row>
    <row r="40" spans="1:25" ht="19.95" customHeight="1">
      <c r="A40" s="799"/>
      <c r="B40" s="799"/>
      <c r="C40" s="160"/>
      <c r="D40" s="800"/>
      <c r="F40" s="782">
        <f>'Major Assumption Key'!A52</f>
        <v>2053</v>
      </c>
      <c r="G40" s="791">
        <f>'SOGR Supporting AP-AP'!E47</f>
        <v>0</v>
      </c>
      <c r="H40" s="791">
        <f>'SOGR Supporting AP-AP'!F47</f>
        <v>0</v>
      </c>
      <c r="I40" s="791">
        <f>'SOGR Supporting AP-AP'!G47</f>
        <v>0</v>
      </c>
      <c r="J40" s="791">
        <f>'SOGR Supporting AP-AP'!H47</f>
        <v>0</v>
      </c>
      <c r="K40" s="792">
        <f>'SOGR Supporting AP-AP'!K47</f>
        <v>0</v>
      </c>
      <c r="L40" s="774">
        <f>IF(AND($F40&gt;=MIN($F40),$F40&lt;=MAX('Major Assumption Key'!$B$6)),SUM(G40:K40),0)</f>
        <v>0</v>
      </c>
      <c r="M40" s="791">
        <f>'SOGR Supporting AP-AP'!E93</f>
        <v>0</v>
      </c>
      <c r="N40" s="791">
        <f>'SOGR Supporting AP-AP'!F93</f>
        <v>0</v>
      </c>
      <c r="O40" s="791">
        <f>'SOGR Supporting AP-AP'!G93</f>
        <v>0</v>
      </c>
      <c r="P40" s="791">
        <f>'SOGR Supporting AP-AP'!H93</f>
        <v>0</v>
      </c>
      <c r="Q40" s="791">
        <f>'SOGR Supporting AP-AP'!K93</f>
        <v>0</v>
      </c>
      <c r="R40" s="775">
        <f>IF(AND($F40&gt;=MIN('Major Assumption Key'!$B$4),$F40&lt;=MAX('Major Assumption Key'!$B$6)),SUM(M40:Q40),0)</f>
        <v>0</v>
      </c>
      <c r="S40" s="37">
        <f t="shared" si="5"/>
        <v>0</v>
      </c>
      <c r="T40" s="38">
        <f>S40/(1+'Major Assumption Key'!$B$8)^($F40-'Major Assumption Key'!$B$7)</f>
        <v>0</v>
      </c>
      <c r="U40" s="289"/>
      <c r="V40" s="774">
        <f t="shared" si="6"/>
        <v>0</v>
      </c>
      <c r="W40" s="775">
        <f t="shared" si="7"/>
        <v>0</v>
      </c>
      <c r="X40" s="37">
        <f t="shared" si="8"/>
        <v>0</v>
      </c>
      <c r="Y40" s="38">
        <f t="shared" si="9"/>
        <v>0</v>
      </c>
    </row>
    <row r="41" spans="1:25" ht="19.95" customHeight="1">
      <c r="A41" s="799"/>
      <c r="B41" s="799"/>
      <c r="C41" s="160"/>
      <c r="D41" s="800"/>
      <c r="F41" s="782">
        <f>'Major Assumption Key'!A53</f>
        <v>2054</v>
      </c>
      <c r="G41" s="791">
        <f>'SOGR Supporting AP-AP'!E48</f>
        <v>0</v>
      </c>
      <c r="H41" s="791">
        <f>'SOGR Supporting AP-AP'!F48</f>
        <v>0</v>
      </c>
      <c r="I41" s="791">
        <f>'SOGR Supporting AP-AP'!G48</f>
        <v>0</v>
      </c>
      <c r="J41" s="791">
        <f>'SOGR Supporting AP-AP'!H48</f>
        <v>0</v>
      </c>
      <c r="K41" s="792">
        <f>'SOGR Supporting AP-AP'!K48</f>
        <v>0</v>
      </c>
      <c r="L41" s="774">
        <f>IF(AND($F41&gt;=MIN($F41),$F41&lt;=MAX('Major Assumption Key'!$B$6)),SUM(G41:K41),0)</f>
        <v>0</v>
      </c>
      <c r="M41" s="791">
        <f>'SOGR Supporting AP-AP'!E94</f>
        <v>0</v>
      </c>
      <c r="N41" s="791">
        <f>'SOGR Supporting AP-AP'!F94</f>
        <v>0</v>
      </c>
      <c r="O41" s="791">
        <f>'SOGR Supporting AP-AP'!G94</f>
        <v>0</v>
      </c>
      <c r="P41" s="791">
        <f>'SOGR Supporting AP-AP'!H94</f>
        <v>0</v>
      </c>
      <c r="Q41" s="791">
        <f>'SOGR Supporting AP-AP'!K94</f>
        <v>0</v>
      </c>
      <c r="R41" s="775">
        <f>IF(AND($F41&gt;=MIN('Major Assumption Key'!$B$4),$F41&lt;=MAX('Major Assumption Key'!$B$6)),SUM(M41:Q41),0)</f>
        <v>0</v>
      </c>
      <c r="S41" s="37">
        <f t="shared" si="5"/>
        <v>0</v>
      </c>
      <c r="T41" s="38">
        <f>S41/(1+'Major Assumption Key'!$B$8)^($F41-'Major Assumption Key'!$B$7)</f>
        <v>0</v>
      </c>
      <c r="U41" s="289"/>
      <c r="V41" s="774">
        <f t="shared" si="6"/>
        <v>0</v>
      </c>
      <c r="W41" s="775">
        <f t="shared" si="7"/>
        <v>0</v>
      </c>
      <c r="X41" s="37">
        <f t="shared" si="8"/>
        <v>0</v>
      </c>
      <c r="Y41" s="38">
        <f t="shared" si="9"/>
        <v>0</v>
      </c>
    </row>
    <row r="42" spans="1:25" ht="19.95" customHeight="1">
      <c r="A42" s="799"/>
      <c r="B42" s="799"/>
      <c r="C42" s="160"/>
      <c r="D42" s="800"/>
      <c r="F42" s="782">
        <f>'Major Assumption Key'!A54</f>
        <v>2055</v>
      </c>
      <c r="G42" s="791">
        <f>'SOGR Supporting AP-AP'!E49</f>
        <v>0</v>
      </c>
      <c r="H42" s="791">
        <f>'SOGR Supporting AP-AP'!F49</f>
        <v>0</v>
      </c>
      <c r="I42" s="791">
        <f>'SOGR Supporting AP-AP'!G49</f>
        <v>0</v>
      </c>
      <c r="J42" s="791">
        <f>'SOGR Supporting AP-AP'!H49</f>
        <v>0</v>
      </c>
      <c r="K42" s="792">
        <f>'SOGR Supporting AP-AP'!K49</f>
        <v>0</v>
      </c>
      <c r="L42" s="774">
        <f>IF(AND($F42&gt;=MIN($F42),$F42&lt;=MAX('Major Assumption Key'!$B$6)),SUM(G42:K42),0)</f>
        <v>0</v>
      </c>
      <c r="M42" s="791">
        <f>'SOGR Supporting AP-AP'!E95</f>
        <v>0</v>
      </c>
      <c r="N42" s="791">
        <f>'SOGR Supporting AP-AP'!F95</f>
        <v>0</v>
      </c>
      <c r="O42" s="791">
        <f>'SOGR Supporting AP-AP'!G95</f>
        <v>0</v>
      </c>
      <c r="P42" s="791">
        <f>'SOGR Supporting AP-AP'!H95</f>
        <v>0</v>
      </c>
      <c r="Q42" s="791">
        <f>'SOGR Supporting AP-AP'!K95</f>
        <v>0</v>
      </c>
      <c r="R42" s="775">
        <f>IF(AND($F42&gt;=MIN('Major Assumption Key'!$B$4),$F42&lt;=MAX('Major Assumption Key'!$B$6)),SUM(M42:Q42),0)</f>
        <v>0</v>
      </c>
      <c r="S42" s="37">
        <f t="shared" si="5"/>
        <v>0</v>
      </c>
      <c r="T42" s="38">
        <f>S42/(1+'Major Assumption Key'!$B$8)^($F42-'Major Assumption Key'!$B$7)</f>
        <v>0</v>
      </c>
      <c r="U42" s="289"/>
      <c r="V42" s="774">
        <f t="shared" si="6"/>
        <v>0</v>
      </c>
      <c r="W42" s="775">
        <f t="shared" si="7"/>
        <v>0</v>
      </c>
      <c r="X42" s="37">
        <f t="shared" si="8"/>
        <v>0</v>
      </c>
      <c r="Y42" s="38">
        <f t="shared" si="9"/>
        <v>0</v>
      </c>
    </row>
    <row r="43" spans="1:25" ht="19.95" customHeight="1">
      <c r="A43" s="799"/>
      <c r="B43" s="799"/>
      <c r="C43" s="160"/>
      <c r="D43" s="800"/>
      <c r="F43" s="782">
        <f>'Major Assumption Key'!A55</f>
        <v>2056</v>
      </c>
      <c r="G43" s="791">
        <f>'SOGR Supporting AP-AP'!E50</f>
        <v>0</v>
      </c>
      <c r="H43" s="791">
        <f>'SOGR Supporting AP-AP'!F50</f>
        <v>0</v>
      </c>
      <c r="I43" s="791">
        <f>'SOGR Supporting AP-AP'!G50</f>
        <v>0</v>
      </c>
      <c r="J43" s="791">
        <f>'SOGR Supporting AP-AP'!H50</f>
        <v>0</v>
      </c>
      <c r="K43" s="792">
        <f>'SOGR Supporting AP-AP'!K50</f>
        <v>0</v>
      </c>
      <c r="L43" s="774">
        <f>IF(AND($F43&gt;=MIN($F43),$F43&lt;=MAX('Major Assumption Key'!$B$6)),SUM(G43:K43),0)</f>
        <v>0</v>
      </c>
      <c r="M43" s="791">
        <f>'SOGR Supporting AP-AP'!E96</f>
        <v>0</v>
      </c>
      <c r="N43" s="791">
        <f>'SOGR Supporting AP-AP'!F96</f>
        <v>0</v>
      </c>
      <c r="O43" s="791">
        <f>'SOGR Supporting AP-AP'!G96</f>
        <v>0</v>
      </c>
      <c r="P43" s="791">
        <f>'SOGR Supporting AP-AP'!H96</f>
        <v>0</v>
      </c>
      <c r="Q43" s="791">
        <f>'SOGR Supporting AP-AP'!K96</f>
        <v>0</v>
      </c>
      <c r="R43" s="775">
        <f>IF(AND($F43&gt;=MIN('Major Assumption Key'!$B$4),$F43&lt;=MAX('Major Assumption Key'!$B$6)),SUM(M43:Q43),0)</f>
        <v>0</v>
      </c>
      <c r="S43" s="37">
        <f t="shared" si="5"/>
        <v>0</v>
      </c>
      <c r="T43" s="38">
        <f>S43/(1+'Major Assumption Key'!$B$8)^($F43-'Major Assumption Key'!$B$7)</f>
        <v>0</v>
      </c>
      <c r="U43" s="289"/>
      <c r="V43" s="774">
        <f t="shared" si="6"/>
        <v>0</v>
      </c>
      <c r="W43" s="775">
        <f t="shared" si="7"/>
        <v>0</v>
      </c>
      <c r="X43" s="37">
        <f t="shared" si="8"/>
        <v>0</v>
      </c>
      <c r="Y43" s="38">
        <f t="shared" si="9"/>
        <v>0</v>
      </c>
    </row>
    <row r="44" spans="1:25" ht="19.95" customHeight="1">
      <c r="A44" s="799"/>
      <c r="B44" s="799"/>
      <c r="C44" s="160"/>
      <c r="D44" s="800"/>
      <c r="F44" s="782">
        <f>'Major Assumption Key'!A56</f>
        <v>2057</v>
      </c>
      <c r="G44" s="791">
        <f>'SOGR Supporting AP-AP'!E51</f>
        <v>0</v>
      </c>
      <c r="H44" s="791">
        <f>'SOGR Supporting AP-AP'!F51</f>
        <v>0</v>
      </c>
      <c r="I44" s="791">
        <f>'SOGR Supporting AP-AP'!G51</f>
        <v>0</v>
      </c>
      <c r="J44" s="791">
        <f>'SOGR Supporting AP-AP'!H51</f>
        <v>0</v>
      </c>
      <c r="K44" s="792">
        <f>'SOGR Supporting AP-AP'!K51</f>
        <v>0</v>
      </c>
      <c r="L44" s="774">
        <f>IF(AND($F44&gt;=MIN($F44),$F44&lt;=MAX('Major Assumption Key'!$B$6)),SUM(G44:K44),0)</f>
        <v>0</v>
      </c>
      <c r="M44" s="791">
        <f>'SOGR Supporting AP-AP'!E97</f>
        <v>0</v>
      </c>
      <c r="N44" s="791">
        <f>'SOGR Supporting AP-AP'!F97</f>
        <v>0</v>
      </c>
      <c r="O44" s="791">
        <f>'SOGR Supporting AP-AP'!G97</f>
        <v>0</v>
      </c>
      <c r="P44" s="791">
        <f>'SOGR Supporting AP-AP'!H97</f>
        <v>0</v>
      </c>
      <c r="Q44" s="791">
        <f>'SOGR Supporting AP-AP'!K97</f>
        <v>0</v>
      </c>
      <c r="R44" s="775">
        <f>IF(AND($F44&gt;=MIN('Major Assumption Key'!$B$4),$F44&lt;=MAX('Major Assumption Key'!$B$6)),SUM(M44:Q44),0)</f>
        <v>0</v>
      </c>
      <c r="S44" s="37">
        <f t="shared" si="5"/>
        <v>0</v>
      </c>
      <c r="T44" s="38">
        <f>S44/(1+'Major Assumption Key'!$B$8)^($F44-'Major Assumption Key'!$B$7)</f>
        <v>0</v>
      </c>
      <c r="U44" s="289"/>
      <c r="V44" s="774">
        <f t="shared" si="6"/>
        <v>0</v>
      </c>
      <c r="W44" s="775">
        <f t="shared" si="7"/>
        <v>0</v>
      </c>
      <c r="X44" s="37">
        <f t="shared" si="8"/>
        <v>0</v>
      </c>
      <c r="Y44" s="38">
        <f t="shared" si="9"/>
        <v>0</v>
      </c>
    </row>
    <row r="45" spans="1:25" ht="19.95" customHeight="1">
      <c r="A45" s="799"/>
      <c r="B45" s="799"/>
      <c r="C45" s="160"/>
      <c r="D45" s="800"/>
      <c r="F45" s="782">
        <f>'Major Assumption Key'!A57</f>
        <v>2058</v>
      </c>
      <c r="G45" s="791">
        <f>'SOGR Supporting AP-AP'!E52</f>
        <v>0</v>
      </c>
      <c r="H45" s="791">
        <f>'SOGR Supporting AP-AP'!F52</f>
        <v>0</v>
      </c>
      <c r="I45" s="791">
        <f>'SOGR Supporting AP-AP'!G52</f>
        <v>0</v>
      </c>
      <c r="J45" s="791">
        <f>'SOGR Supporting AP-AP'!H52</f>
        <v>0</v>
      </c>
      <c r="K45" s="792">
        <f>'SOGR Supporting AP-AP'!K52</f>
        <v>0</v>
      </c>
      <c r="L45" s="774">
        <f>IF(AND($F45&gt;=MIN($F45),$F45&lt;=MAX('Major Assumption Key'!$B$6)),SUM(G45:K45),0)</f>
        <v>0</v>
      </c>
      <c r="M45" s="791">
        <f>'SOGR Supporting AP-AP'!E98</f>
        <v>0</v>
      </c>
      <c r="N45" s="791">
        <f>'SOGR Supporting AP-AP'!F98</f>
        <v>0</v>
      </c>
      <c r="O45" s="791">
        <f>'SOGR Supporting AP-AP'!G98</f>
        <v>0</v>
      </c>
      <c r="P45" s="791">
        <f>'SOGR Supporting AP-AP'!H98</f>
        <v>0</v>
      </c>
      <c r="Q45" s="791">
        <f>'SOGR Supporting AP-AP'!K98</f>
        <v>0</v>
      </c>
      <c r="R45" s="775">
        <f>IF(AND($F45&gt;=MIN('Major Assumption Key'!$B$4),$F45&lt;=MAX('Major Assumption Key'!$B$6)),SUM(M45:Q45),0)</f>
        <v>0</v>
      </c>
      <c r="S45" s="37">
        <f t="shared" si="5"/>
        <v>0</v>
      </c>
      <c r="T45" s="38">
        <f>S45/(1+'Major Assumption Key'!$B$8)^($F45-'Major Assumption Key'!$B$7)</f>
        <v>0</v>
      </c>
      <c r="U45" s="289"/>
      <c r="V45" s="774">
        <f t="shared" si="6"/>
        <v>0</v>
      </c>
      <c r="W45" s="775">
        <f t="shared" si="7"/>
        <v>0</v>
      </c>
      <c r="X45" s="37">
        <f t="shared" si="8"/>
        <v>0</v>
      </c>
      <c r="Y45" s="38">
        <f t="shared" si="9"/>
        <v>0</v>
      </c>
    </row>
    <row r="46" spans="1:25" ht="19.95" customHeight="1">
      <c r="A46" s="799"/>
      <c r="B46" s="799"/>
      <c r="C46" s="160"/>
      <c r="D46" s="800"/>
      <c r="F46" s="782">
        <f>'Major Assumption Key'!A58</f>
        <v>2059</v>
      </c>
      <c r="G46" s="791">
        <f>'SOGR Supporting AP-AP'!E53</f>
        <v>0</v>
      </c>
      <c r="H46" s="791">
        <f>'SOGR Supporting AP-AP'!F53</f>
        <v>0</v>
      </c>
      <c r="I46" s="791">
        <f>'SOGR Supporting AP-AP'!G53</f>
        <v>0</v>
      </c>
      <c r="J46" s="791">
        <f>'SOGR Supporting AP-AP'!H53</f>
        <v>0</v>
      </c>
      <c r="K46" s="792">
        <f>'SOGR Supporting AP-AP'!K53</f>
        <v>0</v>
      </c>
      <c r="L46" s="774">
        <f>IF(AND($F46&gt;=MIN($F46),$F46&lt;=MAX('Major Assumption Key'!$B$6)),SUM(G46:K46),0)</f>
        <v>0</v>
      </c>
      <c r="M46" s="791">
        <f>'SOGR Supporting AP-AP'!E99</f>
        <v>0</v>
      </c>
      <c r="N46" s="791">
        <f>'SOGR Supporting AP-AP'!F99</f>
        <v>0</v>
      </c>
      <c r="O46" s="791">
        <f>'SOGR Supporting AP-AP'!G99</f>
        <v>0</v>
      </c>
      <c r="P46" s="791">
        <f>'SOGR Supporting AP-AP'!H99</f>
        <v>0</v>
      </c>
      <c r="Q46" s="791">
        <f>'SOGR Supporting AP-AP'!K99</f>
        <v>0</v>
      </c>
      <c r="R46" s="775">
        <f>IF(AND($F46&gt;=MIN('Major Assumption Key'!$B$4),$F46&lt;=MAX('Major Assumption Key'!$B$6)),SUM(M46:Q46),0)</f>
        <v>0</v>
      </c>
      <c r="S46" s="37">
        <f t="shared" si="5"/>
        <v>0</v>
      </c>
      <c r="T46" s="38">
        <f>S46/(1+'Major Assumption Key'!$B$8)^($F46-'Major Assumption Key'!$B$7)</f>
        <v>0</v>
      </c>
      <c r="U46" s="289"/>
      <c r="V46" s="774">
        <f t="shared" si="6"/>
        <v>0</v>
      </c>
      <c r="W46" s="775">
        <f t="shared" si="7"/>
        <v>0</v>
      </c>
      <c r="X46" s="37">
        <f t="shared" si="8"/>
        <v>0</v>
      </c>
      <c r="Y46" s="38">
        <f t="shared" si="9"/>
        <v>0</v>
      </c>
    </row>
    <row r="47" spans="1:25" ht="19.95" customHeight="1">
      <c r="A47" s="799"/>
      <c r="B47" s="799"/>
      <c r="C47" s="160"/>
      <c r="D47" s="800"/>
      <c r="F47" s="782">
        <f>'Major Assumption Key'!A59</f>
        <v>2060</v>
      </c>
      <c r="G47" s="791">
        <f>'SOGR Supporting AP-AP'!E54</f>
        <v>0</v>
      </c>
      <c r="H47" s="791">
        <f>'SOGR Supporting AP-AP'!F54</f>
        <v>0</v>
      </c>
      <c r="I47" s="791">
        <f>'SOGR Supporting AP-AP'!G54</f>
        <v>0</v>
      </c>
      <c r="J47" s="791">
        <f>'SOGR Supporting AP-AP'!H54</f>
        <v>0</v>
      </c>
      <c r="K47" s="792">
        <f>'SOGR Supporting AP-AP'!K54</f>
        <v>0</v>
      </c>
      <c r="L47" s="774">
        <f>IF(AND($F47&gt;=MIN($F47),$F47&lt;=MAX('Major Assumption Key'!$B$6)),SUM(G47:K47),0)</f>
        <v>0</v>
      </c>
      <c r="M47" s="791">
        <f>'SOGR Supporting AP-AP'!E100</f>
        <v>0</v>
      </c>
      <c r="N47" s="791">
        <f>'SOGR Supporting AP-AP'!F100</f>
        <v>0</v>
      </c>
      <c r="O47" s="791">
        <f>'SOGR Supporting AP-AP'!G100</f>
        <v>0</v>
      </c>
      <c r="P47" s="791">
        <f>'SOGR Supporting AP-AP'!H100</f>
        <v>0</v>
      </c>
      <c r="Q47" s="791">
        <f>'SOGR Supporting AP-AP'!K100</f>
        <v>0</v>
      </c>
      <c r="R47" s="775">
        <f>IF(AND($F47&gt;=MIN('Major Assumption Key'!$B$4),$F47&lt;=MAX('Major Assumption Key'!$B$6)),SUM(M47:Q47),0)</f>
        <v>0</v>
      </c>
      <c r="S47" s="37">
        <f t="shared" si="5"/>
        <v>0</v>
      </c>
      <c r="T47" s="38">
        <f>S47/(1+'Major Assumption Key'!$B$8)^($F47-'Major Assumption Key'!$B$7)</f>
        <v>0</v>
      </c>
      <c r="U47" s="289"/>
      <c r="V47" s="774">
        <f t="shared" si="6"/>
        <v>0</v>
      </c>
      <c r="W47" s="775">
        <f t="shared" si="7"/>
        <v>0</v>
      </c>
      <c r="X47" s="37">
        <f t="shared" si="8"/>
        <v>0</v>
      </c>
      <c r="Y47" s="38">
        <f t="shared" si="9"/>
        <v>0</v>
      </c>
    </row>
    <row r="48" spans="1:25" ht="19.95" customHeight="1" thickBot="1">
      <c r="A48" s="799"/>
      <c r="B48" s="799"/>
      <c r="C48" s="160"/>
      <c r="D48" s="800"/>
      <c r="F48" s="112" t="s">
        <v>504</v>
      </c>
      <c r="G48" s="113"/>
      <c r="H48" s="113"/>
      <c r="I48" s="113"/>
      <c r="J48" s="113"/>
      <c r="K48" s="113"/>
      <c r="L48" s="161">
        <f>SUMIFS($L$7:$L$47,$F$7:$F$47,"&gt;="&amp;$B$17,$F$7:$F$47,"&lt;="&amp;$B$18)</f>
        <v>0</v>
      </c>
      <c r="M48" s="114"/>
      <c r="N48" s="114"/>
      <c r="O48" s="114"/>
      <c r="P48" s="114"/>
      <c r="Q48" s="114"/>
      <c r="R48" s="119">
        <f>SUMIFS($R$7:$R$47,$F$7:$F$47,"&gt;="&amp;$B$17,$F$7:$F$47,"&lt;="&amp;$B$18)</f>
        <v>0</v>
      </c>
      <c r="S48" s="124">
        <f>SUMIFS($S$7:$S$47,$F$7:$F$47,"&gt;="&amp;$B$17,$F$7:$F$47,"&lt;="&amp;$B$18)</f>
        <v>0</v>
      </c>
      <c r="T48" s="125">
        <f>SUMIFS($T$7:$T$47,$F$7:$F$47,"&gt;="&amp;$B$17,$F$7:$F$47,"&lt;="&amp;$B$18)</f>
        <v>0</v>
      </c>
      <c r="U48" s="289"/>
      <c r="V48" s="161">
        <f>ROUND(L48,-3)</f>
        <v>0</v>
      </c>
      <c r="W48" s="119">
        <f>ROUND(R48,-3)</f>
        <v>0</v>
      </c>
      <c r="X48" s="124">
        <f t="shared" si="3"/>
        <v>0</v>
      </c>
      <c r="Y48" s="125">
        <f t="shared" si="4"/>
        <v>0</v>
      </c>
    </row>
    <row r="49" spans="1:18" ht="19.95" customHeight="1">
      <c r="A49" s="799"/>
      <c r="B49" s="799"/>
      <c r="C49" s="160"/>
      <c r="D49" s="800"/>
      <c r="L49" s="50"/>
      <c r="R49" s="50"/>
    </row>
    <row r="50" spans="1:18" ht="19.95" customHeight="1">
      <c r="A50" s="799"/>
      <c r="B50" s="799"/>
      <c r="C50" s="160"/>
      <c r="D50" s="800"/>
    </row>
    <row r="51" spans="1:18" ht="19.95" customHeight="1">
      <c r="A51" s="799"/>
      <c r="B51" s="799"/>
      <c r="C51" s="160"/>
      <c r="D51" s="800"/>
    </row>
    <row r="52" spans="1:18" ht="19.95" customHeight="1"/>
    <row r="53" spans="1:18" ht="19.95" customHeight="1"/>
    <row r="54" spans="1:18" ht="19.95" customHeight="1"/>
    <row r="55" spans="1:18" ht="19.95" customHeight="1"/>
    <row r="56" spans="1:18" ht="19.95" customHeight="1"/>
  </sheetData>
  <mergeCells count="13">
    <mergeCell ref="X4:Y5"/>
    <mergeCell ref="V3:Y3"/>
    <mergeCell ref="M5:Q5"/>
    <mergeCell ref="B3:D3"/>
    <mergeCell ref="F3:T3"/>
    <mergeCell ref="S4:T5"/>
    <mergeCell ref="B5:D5"/>
    <mergeCell ref="C15:D15"/>
    <mergeCell ref="A10:B10"/>
    <mergeCell ref="A11:B11"/>
    <mergeCell ref="A12:B12"/>
    <mergeCell ref="G5:K5"/>
    <mergeCell ref="A9:D9"/>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77734375" defaultRowHeight="14.4"/>
  <cols>
    <col min="1" max="1" width="34.5546875" style="72" customWidth="1"/>
    <col min="2" max="2" width="31.44140625" style="72" customWidth="1"/>
    <col min="3" max="3" width="30.77734375" style="73" customWidth="1"/>
    <col min="4" max="4" width="23.44140625" style="73" customWidth="1"/>
    <col min="5" max="5" width="21.21875" style="73" customWidth="1"/>
    <col min="6" max="6" width="23.5546875" style="73" customWidth="1"/>
    <col min="7" max="7" width="29.77734375" style="73" customWidth="1"/>
    <col min="8" max="8" width="31.77734375" style="73" bestFit="1" customWidth="1"/>
    <col min="9" max="9" width="24.44140625" style="73" customWidth="1"/>
    <col min="10" max="12" width="20.5546875" style="73" customWidth="1"/>
    <col min="13" max="13" width="23.21875" style="73" customWidth="1"/>
    <col min="14" max="14" width="20.44140625" style="72" customWidth="1"/>
    <col min="15" max="15" width="16" style="72" customWidth="1"/>
    <col min="16" max="33" width="19.21875" style="72" customWidth="1"/>
    <col min="34" max="34" width="23.21875" style="72" customWidth="1"/>
    <col min="35" max="37" width="14.5546875" style="72" customWidth="1"/>
    <col min="38" max="38" width="11.77734375" style="72" customWidth="1"/>
    <col min="39" max="39" width="16.21875" style="72" customWidth="1"/>
    <col min="40" max="40" width="13.77734375" style="72" customWidth="1"/>
    <col min="41" max="16384" width="8.77734375" style="72"/>
  </cols>
  <sheetData>
    <row r="1" spans="1:13" ht="25.2" customHeight="1">
      <c r="A1" s="271" t="s">
        <v>546</v>
      </c>
      <c r="B1" s="42" t="s">
        <v>547</v>
      </c>
      <c r="C1" s="71"/>
      <c r="D1" s="268"/>
      <c r="E1" s="269"/>
      <c r="F1" s="33" t="s">
        <v>187</v>
      </c>
      <c r="G1" s="45" t="str">
        <f>HYPERLINK("#'"&amp;INDEX('Master Key'!$B:$B,MATCH("Master Key",'Master Key'!$B:$B,0),1)&amp;"'!A1","Go To Sheet")</f>
        <v>Go To Sheet</v>
      </c>
      <c r="H1" s="45"/>
      <c r="J1" s="72"/>
      <c r="K1" s="72"/>
      <c r="L1" s="72"/>
      <c r="M1" s="72"/>
    </row>
    <row r="2" spans="1:13" ht="21.6" customHeight="1">
      <c r="A2" s="834"/>
      <c r="B2" s="97"/>
      <c r="C2" s="96"/>
      <c r="G2" s="33"/>
      <c r="H2" s="45"/>
      <c r="J2" s="72"/>
      <c r="K2" s="72"/>
      <c r="L2" s="72"/>
      <c r="M2" s="72"/>
    </row>
    <row r="3" spans="1:13" ht="15" thickBot="1">
      <c r="A3" s="95" t="s">
        <v>548</v>
      </c>
      <c r="B3" s="95"/>
      <c r="J3" s="72"/>
      <c r="K3" s="72"/>
      <c r="L3" s="72"/>
      <c r="M3" s="72"/>
    </row>
    <row r="4" spans="1:13" ht="54" customHeight="1">
      <c r="A4" s="1911" t="s">
        <v>74</v>
      </c>
      <c r="B4" s="1911" t="s">
        <v>549</v>
      </c>
      <c r="C4" s="162" t="s">
        <v>510</v>
      </c>
      <c r="D4" s="162" t="s">
        <v>550</v>
      </c>
      <c r="E4" s="1913" t="s">
        <v>551</v>
      </c>
      <c r="F4" s="72"/>
      <c r="G4" s="569" t="s">
        <v>181</v>
      </c>
      <c r="H4" s="570" t="s">
        <v>434</v>
      </c>
      <c r="I4" s="613" t="s">
        <v>498</v>
      </c>
      <c r="J4" s="72"/>
      <c r="K4" s="72"/>
      <c r="L4" s="72"/>
      <c r="M4" s="72"/>
    </row>
    <row r="5" spans="1:13" ht="19.95" customHeight="1">
      <c r="A5" s="1912"/>
      <c r="B5" s="1912"/>
      <c r="C5" s="297">
        <v>2022</v>
      </c>
      <c r="D5" s="297">
        <v>2042</v>
      </c>
      <c r="E5" s="1913"/>
      <c r="F5" s="72"/>
      <c r="G5" s="768" t="str">
        <f>'Major Assumption Key'!$A$10</f>
        <v>Inflation Rate</v>
      </c>
      <c r="H5" s="789">
        <f>'Major Assumption Key'!$B$10</f>
        <v>2.7894736842105264E-2</v>
      </c>
      <c r="I5" s="562" t="s">
        <v>436</v>
      </c>
      <c r="J5" s="72"/>
      <c r="K5" s="72"/>
      <c r="L5" s="72"/>
      <c r="M5" s="72"/>
    </row>
    <row r="6" spans="1:13" ht="19.95" customHeight="1">
      <c r="A6" s="809" t="s">
        <v>552</v>
      </c>
      <c r="B6" s="809" t="s">
        <v>553</v>
      </c>
      <c r="C6" s="173">
        <v>0</v>
      </c>
      <c r="D6" s="173">
        <v>0</v>
      </c>
      <c r="E6" s="810">
        <f>IFERROR((D6/C6)^(1/($D$5-$C$5))-1,0)</f>
        <v>0</v>
      </c>
      <c r="G6" s="397" t="str">
        <f>'Major Assumption Key'!$A$7</f>
        <v>Discount Year</v>
      </c>
      <c r="H6" s="357">
        <f>'Major Assumption Key'!$B$7</f>
        <v>2022</v>
      </c>
      <c r="I6" s="562" t="s">
        <v>436</v>
      </c>
      <c r="J6" s="72"/>
      <c r="K6" s="72"/>
      <c r="L6" s="72"/>
      <c r="M6" s="72"/>
    </row>
    <row r="7" spans="1:13" ht="19.95" customHeight="1">
      <c r="A7" s="809" t="s">
        <v>552</v>
      </c>
      <c r="B7" s="809" t="s">
        <v>554</v>
      </c>
      <c r="C7" s="174">
        <v>0</v>
      </c>
      <c r="D7" s="174">
        <v>0</v>
      </c>
      <c r="E7" s="810">
        <f>IFERROR((D7/C7)^(1/($D$5-$C$5))-1,0)</f>
        <v>0</v>
      </c>
      <c r="F7" s="799"/>
      <c r="G7" s="621" t="str">
        <f>'Major Assumption Key'!A4</f>
        <v>Planning Horizon Begin Year:</v>
      </c>
      <c r="H7" s="73">
        <f>'Major Assumption Key'!B4</f>
        <v>2022</v>
      </c>
      <c r="I7" s="562" t="s">
        <v>436</v>
      </c>
      <c r="J7" s="72"/>
      <c r="K7" s="72"/>
      <c r="L7" s="72"/>
      <c r="M7" s="72"/>
    </row>
    <row r="8" spans="1:13">
      <c r="A8" s="799" t="s">
        <v>555</v>
      </c>
      <c r="G8" s="621" t="str">
        <f>'Major Assumption Key'!A6</f>
        <v>Planning Horizon End Year:</v>
      </c>
      <c r="H8" s="73">
        <f>'Major Assumption Key'!B6</f>
        <v>2047</v>
      </c>
      <c r="I8" s="562" t="s">
        <v>436</v>
      </c>
    </row>
    <row r="9" spans="1:13" ht="15" thickBot="1">
      <c r="A9" s="799" t="s">
        <v>556</v>
      </c>
      <c r="G9" s="622" t="str">
        <f>'Major Assumption Key'!A3</f>
        <v>Project Open Year:</v>
      </c>
      <c r="H9" s="619">
        <f>'Major Assumption Key'!B3</f>
        <v>2028</v>
      </c>
      <c r="I9" s="564" t="s">
        <v>436</v>
      </c>
    </row>
    <row r="10" spans="1:13">
      <c r="A10" s="799" t="s">
        <v>557</v>
      </c>
      <c r="C10" s="72"/>
      <c r="D10" s="72"/>
      <c r="E10" s="72"/>
      <c r="F10" s="72"/>
      <c r="G10" s="72"/>
      <c r="H10" s="72"/>
      <c r="I10" s="72"/>
      <c r="L10" s="72"/>
      <c r="M10" s="72"/>
    </row>
    <row r="11" spans="1:13">
      <c r="A11" s="799"/>
      <c r="C11" s="72"/>
      <c r="D11" s="72"/>
      <c r="E11" s="72"/>
      <c r="F11" s="72"/>
      <c r="G11" s="72"/>
      <c r="H11" s="72"/>
      <c r="I11" s="72"/>
      <c r="L11" s="72"/>
      <c r="M11" s="72"/>
    </row>
    <row r="12" spans="1:13" ht="40.200000000000003" customHeight="1">
      <c r="A12" s="1914" t="s">
        <v>482</v>
      </c>
      <c r="B12" s="1915"/>
      <c r="C12" s="1915"/>
      <c r="D12" s="1915"/>
      <c r="E12" s="1915"/>
      <c r="F12" s="1915"/>
      <c r="G12" s="1915"/>
      <c r="H12" s="1915"/>
      <c r="I12" s="1915"/>
      <c r="J12" s="1915"/>
      <c r="K12" s="1915"/>
      <c r="M12" s="72"/>
    </row>
    <row r="13" spans="1:13" ht="76.5" customHeight="1">
      <c r="A13" s="93" t="s">
        <v>510</v>
      </c>
      <c r="B13" s="91" t="s">
        <v>80</v>
      </c>
      <c r="C13" s="92" t="s">
        <v>559</v>
      </c>
      <c r="D13" s="92" t="s">
        <v>560</v>
      </c>
      <c r="E13" s="91" t="s">
        <v>561</v>
      </c>
      <c r="F13" s="91" t="s">
        <v>562</v>
      </c>
      <c r="G13" s="91" t="s">
        <v>522</v>
      </c>
      <c r="H13" s="91" t="s">
        <v>563</v>
      </c>
      <c r="I13" s="176" t="s">
        <v>564</v>
      </c>
      <c r="J13" s="176" t="s">
        <v>565</v>
      </c>
      <c r="K13" s="177" t="s">
        <v>566</v>
      </c>
      <c r="M13" s="72"/>
    </row>
    <row r="14" spans="1:13">
      <c r="A14" s="89">
        <f>'Major Assumption Key'!A19</f>
        <v>2020</v>
      </c>
      <c r="B14" s="88" t="str">
        <f>IF(A14&lt;$C$5,"",$C$6*(1+$E$6)^(A14-$C$5))</f>
        <v/>
      </c>
      <c r="C14" s="811"/>
      <c r="D14" s="90" t="str">
        <f>IF(ISBLANK(C14),"",IF(C14="Light Rehabilitation","Rehab","Routine Maintenance"))</f>
        <v/>
      </c>
      <c r="E14" s="87">
        <f>IF(AND($A14&gt;=$H$7,$A14&lt;=$H$8),IF(D14="Routine Maintenance",VLOOKUP(C14,$A$136:$D$142,4,0),0)*(1+$H$5)^(A14-$H$6),0)</f>
        <v>0</v>
      </c>
      <c r="F14" s="87">
        <f>IF(AND($A14&gt;=$H$7,$A14&lt;=$H$8),IF(D14="Rehab",$B$163*SUM($H$108:$H$109),0)*(1+$H$5)^(A14-$H$6),0)</f>
        <v>0</v>
      </c>
      <c r="G14" s="87" cm="1">
        <f t="array" ref="G14">IFERROR(-IF(A14=$H$8,LOOKUP(2,1/($F$14:$F$54&lt;&gt;0),$F$14:$F$54)*(8-(A14-_xlfn.XLOOKUP(LOOKUP(2,1/($F$14:$F$54&lt;&gt;0),$F$14:$F$54),$F$14:$F$54,$A$14:$A$54,,0)))/8,0),0)</f>
        <v>0</v>
      </c>
      <c r="H14" s="87">
        <f>IFERROR(IF(AND($A14&gt;=$H$7,$A14&lt;=$H$8),IF(_xlfn.XLOOKUP(A14,$C$169:$C$172,$J$169:$J$172)&lt;&gt;0,_xlfn.XLOOKUP(A14,$C$169:$C$172,$J$169:$J$172),0),0),0)</f>
        <v>0</v>
      </c>
      <c r="I14" s="87">
        <f>IF(AND($A14&gt;=$H$7,$A14&lt;=$H$8),IFERROR('State of Good Repair - AP-AP'!$B$27*$C$108*B14*(1-$J$108)*VLOOKUP($E$108,$B$150:$D$152,3,0)*(HLOOKUP(C14,$E$149:$I$155,$O$150,0)-1)/100,0)+IFERROR('State of Good Repair - AP-AP'!$B$27*$C$109*B14*(1-$J$109)*VLOOKUP($E$109,$B$150:$D$152,3,0)*(HLOOKUP(C14,$E$149:$I$155,$O$151,0)-1)/100,0),0)</f>
        <v>0</v>
      </c>
      <c r="J14" s="87">
        <f>IF(AND($A14&gt;=$H$7,$A14&lt;=$H$8),(IFERROR('State of Good Repair - AP-AP'!$B$27*$C$108*B14*$J$108*VLOOKUP($E$108,$B$153:$D$155,3,0)*(HLOOKUP(C14,$E$149:$I$155,$P$150,0)-1)/100,0)+IFERROR('State of Good Repair - AP-AP'!$B$27*$C$109*B14*$J$109*VLOOKUP($E$109,$B$153:$D$155,3,0)*(HLOOKUP(C14,$E$149:$I$155,$P$151,0)-1)/100,0)),0)</f>
        <v>0</v>
      </c>
      <c r="K14" s="87">
        <f t="shared" ref="K14" si="0">I14+J14</f>
        <v>0</v>
      </c>
      <c r="M14" s="72"/>
    </row>
    <row r="15" spans="1:13">
      <c r="A15" s="89">
        <f>'Major Assumption Key'!A20</f>
        <v>2021</v>
      </c>
      <c r="B15" s="88" t="str">
        <f t="shared" ref="B15:B54" si="1">IF(A15&lt;$C$5,"",$C$6*(1+$E$6)^(A15-$C$5))</f>
        <v/>
      </c>
      <c r="C15" s="811"/>
      <c r="D15" s="90" t="str">
        <f t="shared" ref="D15:D54" si="2">IF(ISBLANK(C15),"",IF(C15="Light Rehabilitation","Rehab","Routine Maintenance"))</f>
        <v/>
      </c>
      <c r="E15" s="87">
        <f t="shared" ref="E15:E54" si="3">IF(AND($A15&gt;=$H$7,$A15&lt;=$H$8),IF(D15="Routine Maintenance",VLOOKUP(C15,$A$136:$D$142,4,0),0)*(1+$H$5)^(A15-$H$6),0)</f>
        <v>0</v>
      </c>
      <c r="F15" s="87">
        <f t="shared" ref="F15:F54" si="4">IF(AND($A15&gt;=$H$7,$A15&lt;=$H$8),IF(D15="Rehab",$B$163*SUM($H$108:$H$109),0)*(1+$H$5)^(A15-$H$6),0)</f>
        <v>0</v>
      </c>
      <c r="G15" s="87" cm="1">
        <f t="array" ref="G15">IFERROR(-IF(A15=$H$8,LOOKUP(2,1/($F$14:$F$54&lt;&gt;0),$F$14:$F$54)*(8-(A15-_xlfn.XLOOKUP(LOOKUP(2,1/($F$14:$F$54&lt;&gt;0),$F$14:$F$54),$F$14:$F$54,$A$14:$A$54,,0)))/8,0),0)</f>
        <v>0</v>
      </c>
      <c r="H15" s="87">
        <f t="shared" ref="H15:H54" si="5">IFERROR(IF(AND($A15&gt;=$H$7,$A15&lt;=$H$8),IF(_xlfn.XLOOKUP(A15,$C$169:$C$172,$J$169:$J$172)&lt;&gt;0,_xlfn.XLOOKUP(A15,$C$169:$C$172,$J$169:$J$172),0),0),0)</f>
        <v>0</v>
      </c>
      <c r="I15" s="87">
        <f>IF(AND($A15&gt;=$H$7,$A15&lt;=$H$8),IFERROR('State of Good Repair - AP-AP'!$B$27*$C$108*B15*(1-$J$108)*VLOOKUP($E$108,$B$150:$D$152,3,0)*(HLOOKUP(C15,$E$149:$I$155,$O$150,0)-1)/100,0)+IFERROR('State of Good Repair - AP-AP'!$B$27*$C$109*B15*(1-$J$109)*VLOOKUP($E$109,$B$150:$D$152,3,0)*(HLOOKUP(C15,$E$149:$I$155,$O$151,0)-1)/100,0),0)</f>
        <v>0</v>
      </c>
      <c r="J15" s="87">
        <f>IF(AND($A15&gt;=$H$7,$A15&lt;=$H$8),(IFERROR('State of Good Repair - AP-AP'!$B$27*$C$108*B15*$J$108*VLOOKUP($E$108,$B$153:$D$155,3,0)*(HLOOKUP(C15,$E$149:$I$155,$P$150,0)-1)/100,0)+IFERROR('State of Good Repair - AP-AP'!$B$27*$C$109*B15*$J$109*VLOOKUP($E$109,$B$153:$D$155,3,0)*(HLOOKUP(C15,$E$149:$I$155,$P$151,0)-1)/100,0)),0)</f>
        <v>0</v>
      </c>
      <c r="K15" s="87">
        <f t="shared" ref="K15:K54" si="6">I15+J15</f>
        <v>0</v>
      </c>
      <c r="M15" s="72"/>
    </row>
    <row r="16" spans="1:13">
      <c r="A16" s="89">
        <f>'Major Assumption Key'!A21</f>
        <v>2022</v>
      </c>
      <c r="B16" s="88">
        <f t="shared" si="1"/>
        <v>0</v>
      </c>
      <c r="C16" s="811"/>
      <c r="D16" s="90" t="str">
        <f t="shared" si="2"/>
        <v/>
      </c>
      <c r="E16" s="87">
        <f t="shared" si="3"/>
        <v>0</v>
      </c>
      <c r="F16" s="87">
        <f t="shared" si="4"/>
        <v>0</v>
      </c>
      <c r="G16" s="87" cm="1">
        <f t="array" ref="G16">IFERROR(-IF(A16=$H$8,LOOKUP(2,1/($F$14:$F$54&lt;&gt;0),$F$14:$F$54)*(8-(A16-_xlfn.XLOOKUP(LOOKUP(2,1/($F$14:$F$54&lt;&gt;0),$F$14:$F$54),$F$14:$F$54,$A$14:$A$54,,0)))/8,0),0)</f>
        <v>0</v>
      </c>
      <c r="H16" s="87">
        <f t="shared" si="5"/>
        <v>0</v>
      </c>
      <c r="I16" s="87">
        <f>IF(AND($A16&gt;=$H$7,$A16&lt;=$H$8),IFERROR('State of Good Repair - AP-AP'!$B$27*$C$108*B16*(1-$J$108)*VLOOKUP($E$108,$B$150:$D$152,3,0)*(HLOOKUP(C16,$E$149:$I$155,$O$150,0)-1)/100,0)+IFERROR('State of Good Repair - AP-AP'!$B$27*$C$109*B16*(1-$J$109)*VLOOKUP($E$109,$B$150:$D$152,3,0)*(HLOOKUP(C16,$E$149:$I$155,$O$151,0)-1)/100,0),0)</f>
        <v>0</v>
      </c>
      <c r="J16" s="87">
        <f>IF(AND($A16&gt;=$H$7,$A16&lt;=$H$8),(IFERROR('State of Good Repair - AP-AP'!$B$27*$C$108*B16*$J$108*VLOOKUP($E$108,$B$153:$D$155,3,0)*(HLOOKUP(C16,$E$149:$I$155,$P$150,0)-1)/100,0)+IFERROR('State of Good Repair - AP-AP'!$B$27*$C$109*B16*$J$109*VLOOKUP($E$109,$B$153:$D$155,3,0)*(HLOOKUP(C16,$E$149:$I$155,$P$151,0)-1)/100,0)),0)</f>
        <v>0</v>
      </c>
      <c r="K16" s="87">
        <f t="shared" si="6"/>
        <v>0</v>
      </c>
      <c r="M16" s="72"/>
    </row>
    <row r="17" spans="1:13">
      <c r="A17" s="89">
        <f>'Major Assumption Key'!A22</f>
        <v>2023</v>
      </c>
      <c r="B17" s="88">
        <f t="shared" si="1"/>
        <v>0</v>
      </c>
      <c r="C17" s="811" t="s">
        <v>99</v>
      </c>
      <c r="D17" s="90" t="str">
        <f t="shared" si="2"/>
        <v>Routine Maintenance</v>
      </c>
      <c r="E17" s="87">
        <f t="shared" si="3"/>
        <v>0</v>
      </c>
      <c r="F17" s="87">
        <f t="shared" si="4"/>
        <v>0</v>
      </c>
      <c r="G17" s="87" cm="1">
        <f t="array" ref="G17">IFERROR(-IF(A17=$H$8,LOOKUP(2,1/($F$14:$F$54&lt;&gt;0),$F$14:$F$54)*(8-(A17-_xlfn.XLOOKUP(LOOKUP(2,1/($F$14:$F$54&lt;&gt;0),$F$14:$F$54),$F$14:$F$54,$A$14:$A$54,,0)))/8,0),0)</f>
        <v>0</v>
      </c>
      <c r="H17" s="87">
        <f t="shared" si="5"/>
        <v>0</v>
      </c>
      <c r="I17" s="87">
        <f>IF(AND($A17&gt;=$H$7,$A17&lt;=$H$8),IFERROR('State of Good Repair - AP-AP'!$B$27*$C$108*B17*(1-$J$108)*VLOOKUP($E$108,$B$150:$D$152,3,0)*(HLOOKUP(C17,$E$149:$I$155,$O$150,0)-1)/100,0)+IFERROR('State of Good Repair - AP-AP'!$B$27*$C$109*B17*(1-$J$109)*VLOOKUP($E$109,$B$150:$D$152,3,0)*(HLOOKUP(C17,$E$149:$I$155,$O$151,0)-1)/100,0),0)</f>
        <v>0</v>
      </c>
      <c r="J17" s="87">
        <f>IF(AND($A17&gt;=$H$7,$A17&lt;=$H$8),(IFERROR('State of Good Repair - AP-AP'!$B$27*$C$108*B17*$J$108*VLOOKUP($E$108,$B$153:$D$155,3,0)*(HLOOKUP(C17,$E$149:$I$155,$P$150,0)-1)/100,0)+IFERROR('State of Good Repair - AP-AP'!$B$27*$C$109*B17*$J$109*VLOOKUP($E$109,$B$153:$D$155,3,0)*(HLOOKUP(C17,$E$149:$I$155,$P$151,0)-1)/100,0)),0)</f>
        <v>0</v>
      </c>
      <c r="K17" s="87">
        <f t="shared" si="6"/>
        <v>0</v>
      </c>
      <c r="M17" s="72"/>
    </row>
    <row r="18" spans="1:13">
      <c r="A18" s="89">
        <f>'Major Assumption Key'!A23</f>
        <v>2024</v>
      </c>
      <c r="B18" s="88">
        <f t="shared" si="1"/>
        <v>0</v>
      </c>
      <c r="C18" s="811" t="s">
        <v>567</v>
      </c>
      <c r="D18" s="90" t="str">
        <f t="shared" si="2"/>
        <v>Rehab</v>
      </c>
      <c r="E18" s="87">
        <f t="shared" si="3"/>
        <v>0</v>
      </c>
      <c r="F18" s="87">
        <f t="shared" si="4"/>
        <v>0</v>
      </c>
      <c r="G18" s="87" cm="1">
        <f t="array" ref="G18">IFERROR(-IF(A18=$H$8,LOOKUP(2,1/($F$14:$F$54&lt;&gt;0),$F$14:$F$54)*(8-(A18-_xlfn.XLOOKUP(LOOKUP(2,1/($F$14:$F$54&lt;&gt;0),$F$14:$F$54),$F$14:$F$54,$A$14:$A$54,,0)))/8,0),0)</f>
        <v>0</v>
      </c>
      <c r="H18" s="87">
        <f t="shared" si="5"/>
        <v>0</v>
      </c>
      <c r="I18" s="87">
        <f>IF(AND($A18&gt;=$H$7,$A18&lt;=$H$8),IFERROR('State of Good Repair - AP-AP'!$B$27*$C$108*B18*(1-$J$108)*VLOOKUP($E$108,$B$150:$D$152,3,0)*(HLOOKUP(C18,$E$149:$I$155,$O$150,0)-1)/100,0)+IFERROR('State of Good Repair - AP-AP'!$B$27*$C$109*B18*(1-$J$109)*VLOOKUP($E$109,$B$150:$D$152,3,0)*(HLOOKUP(C18,$E$149:$I$155,$O$151,0)-1)/100,0),0)</f>
        <v>0</v>
      </c>
      <c r="J18" s="87">
        <f>IF(AND($A18&gt;=$H$7,$A18&lt;=$H$8),(IFERROR('State of Good Repair - AP-AP'!$B$27*$C$108*B18*$J$108*VLOOKUP($E$108,$B$153:$D$155,3,0)*(HLOOKUP(C18,$E$149:$I$155,$P$150,0)-1)/100,0)+IFERROR('State of Good Repair - AP-AP'!$B$27*$C$109*B18*$J$109*VLOOKUP($E$109,$B$153:$D$155,3,0)*(HLOOKUP(C18,$E$149:$I$155,$P$151,0)-1)/100,0)),0)</f>
        <v>0</v>
      </c>
      <c r="K18" s="87">
        <f t="shared" si="6"/>
        <v>0</v>
      </c>
      <c r="M18" s="72"/>
    </row>
    <row r="19" spans="1:13">
      <c r="A19" s="89">
        <f>'Major Assumption Key'!A24</f>
        <v>2025</v>
      </c>
      <c r="B19" s="88">
        <f t="shared" si="1"/>
        <v>0</v>
      </c>
      <c r="C19" s="811" t="s">
        <v>96</v>
      </c>
      <c r="D19" s="90" t="str">
        <f t="shared" si="2"/>
        <v>Routine Maintenance</v>
      </c>
      <c r="E19" s="87">
        <f t="shared" si="3"/>
        <v>0</v>
      </c>
      <c r="F19" s="87">
        <f t="shared" si="4"/>
        <v>0</v>
      </c>
      <c r="G19" s="87" cm="1">
        <f t="array" ref="G19">IFERROR(-IF(A19=$H$8,LOOKUP(2,1/($F$14:$F$54&lt;&gt;0),$F$14:$F$54)*(8-(A19-_xlfn.XLOOKUP(LOOKUP(2,1/($F$14:$F$54&lt;&gt;0),$F$14:$F$54),$F$14:$F$54,$A$14:$A$54,,0)))/8,0),0)</f>
        <v>0</v>
      </c>
      <c r="H19" s="87">
        <f t="shared" si="5"/>
        <v>0</v>
      </c>
      <c r="I19" s="87">
        <f>IF(AND($A19&gt;=$H$7,$A19&lt;=$H$8),IFERROR('State of Good Repair - AP-AP'!$B$27*$C$108*B19*(1-$J$108)*VLOOKUP($E$108,$B$150:$D$152,3,0)*(HLOOKUP(C19,$E$149:$I$155,$O$150,0)-1)/100,0)+IFERROR('State of Good Repair - AP-AP'!$B$27*$C$109*B19*(1-$J$109)*VLOOKUP($E$109,$B$150:$D$152,3,0)*(HLOOKUP(C19,$E$149:$I$155,$O$151,0)-1)/100,0),0)</f>
        <v>0</v>
      </c>
      <c r="J19" s="87">
        <f>IF(AND($A19&gt;=$H$7,$A19&lt;=$H$8),(IFERROR('State of Good Repair - AP-AP'!$B$27*$C$108*B19*$J$108*VLOOKUP($E$108,$B$153:$D$155,3,0)*(HLOOKUP(C19,$E$149:$I$155,$P$150,0)-1)/100,0)+IFERROR('State of Good Repair - AP-AP'!$B$27*$C$109*B19*$J$109*VLOOKUP($E$109,$B$153:$D$155,3,0)*(HLOOKUP(C19,$E$149:$I$155,$P$151,0)-1)/100,0)),0)</f>
        <v>0</v>
      </c>
      <c r="K19" s="87">
        <f t="shared" si="6"/>
        <v>0</v>
      </c>
      <c r="M19" s="72"/>
    </row>
    <row r="20" spans="1:13">
      <c r="A20" s="89">
        <f>'Major Assumption Key'!A25</f>
        <v>2026</v>
      </c>
      <c r="B20" s="88">
        <f t="shared" si="1"/>
        <v>0</v>
      </c>
      <c r="C20" s="811" t="s">
        <v>96</v>
      </c>
      <c r="D20" s="90" t="str">
        <f t="shared" si="2"/>
        <v>Routine Maintenance</v>
      </c>
      <c r="E20" s="87">
        <f t="shared" si="3"/>
        <v>0</v>
      </c>
      <c r="F20" s="87">
        <f t="shared" si="4"/>
        <v>0</v>
      </c>
      <c r="G20" s="87" cm="1">
        <f t="array" ref="G20">IFERROR(-IF(A20=$H$8,LOOKUP(2,1/($F$14:$F$54&lt;&gt;0),$F$14:$F$54)*(8-(A20-_xlfn.XLOOKUP(LOOKUP(2,1/($F$14:$F$54&lt;&gt;0),$F$14:$F$54),$F$14:$F$54,$A$14:$A$54,,0)))/8,0),0)</f>
        <v>0</v>
      </c>
      <c r="H20" s="87">
        <f t="shared" si="5"/>
        <v>0</v>
      </c>
      <c r="I20" s="87">
        <f>IF(AND($A20&gt;=$H$7,$A20&lt;=$H$8),IFERROR('State of Good Repair - AP-AP'!$B$27*$C$108*B20*(1-$J$108)*VLOOKUP($E$108,$B$150:$D$152,3,0)*(HLOOKUP(C20,$E$149:$I$155,$O$150,0)-1)/100,0)+IFERROR('State of Good Repair - AP-AP'!$B$27*$C$109*B20*(1-$J$109)*VLOOKUP($E$109,$B$150:$D$152,3,0)*(HLOOKUP(C20,$E$149:$I$155,$O$151,0)-1)/100,0),0)</f>
        <v>0</v>
      </c>
      <c r="J20" s="87">
        <f>IF(AND($A20&gt;=$H$7,$A20&lt;=$H$8),(IFERROR('State of Good Repair - AP-AP'!$B$27*$C$108*B20*$J$108*VLOOKUP($E$108,$B$153:$D$155,3,0)*(HLOOKUP(C20,$E$149:$I$155,$P$150,0)-1)/100,0)+IFERROR('State of Good Repair - AP-AP'!$B$27*$C$109*B20*$J$109*VLOOKUP($E$109,$B$153:$D$155,3,0)*(HLOOKUP(C20,$E$149:$I$155,$P$151,0)-1)/100,0)),0)</f>
        <v>0</v>
      </c>
      <c r="K20" s="87">
        <f t="shared" si="6"/>
        <v>0</v>
      </c>
      <c r="M20" s="72"/>
    </row>
    <row r="21" spans="1:13">
      <c r="A21" s="89">
        <f>'Major Assumption Key'!A26</f>
        <v>2027</v>
      </c>
      <c r="B21" s="88">
        <f t="shared" si="1"/>
        <v>0</v>
      </c>
      <c r="C21" s="811" t="s">
        <v>97</v>
      </c>
      <c r="D21" s="90" t="str">
        <f t="shared" si="2"/>
        <v>Routine Maintenance</v>
      </c>
      <c r="E21" s="87">
        <f t="shared" si="3"/>
        <v>0</v>
      </c>
      <c r="F21" s="87">
        <f t="shared" si="4"/>
        <v>0</v>
      </c>
      <c r="G21" s="87" cm="1">
        <f t="array" ref="G21">IFERROR(-IF(A21=$H$8,LOOKUP(2,1/($F$14:$F$54&lt;&gt;0),$F$14:$F$54)*(8-(A21-_xlfn.XLOOKUP(LOOKUP(2,1/($F$14:$F$54&lt;&gt;0),$F$14:$F$54),$F$14:$F$54,$A$14:$A$54,,0)))/8,0),0)</f>
        <v>0</v>
      </c>
      <c r="H21" s="87">
        <f t="shared" si="5"/>
        <v>0</v>
      </c>
      <c r="I21" s="87">
        <f>IF(AND($A21&gt;=$H$7,$A21&lt;=$H$8),IFERROR('State of Good Repair - AP-AP'!$B$27*$C$108*B21*(1-$J$108)*VLOOKUP($E$108,$B$150:$D$152,3,0)*(HLOOKUP(C21,$E$149:$I$155,$O$150,0)-1)/100,0)+IFERROR('State of Good Repair - AP-AP'!$B$27*$C$109*B21*(1-$J$109)*VLOOKUP($E$109,$B$150:$D$152,3,0)*(HLOOKUP(C21,$E$149:$I$155,$O$151,0)-1)/100,0),0)</f>
        <v>0</v>
      </c>
      <c r="J21" s="87">
        <f>IF(AND($A21&gt;=$H$7,$A21&lt;=$H$8),(IFERROR('State of Good Repair - AP-AP'!$B$27*$C$108*B21*$J$108*VLOOKUP($E$108,$B$153:$D$155,3,0)*(HLOOKUP(C21,$E$149:$I$155,$P$150,0)-1)/100,0)+IFERROR('State of Good Repair - AP-AP'!$B$27*$C$109*B21*$J$109*VLOOKUP($E$109,$B$153:$D$155,3,0)*(HLOOKUP(C21,$E$149:$I$155,$P$151,0)-1)/100,0)),0)</f>
        <v>0</v>
      </c>
      <c r="K21" s="87">
        <f t="shared" si="6"/>
        <v>0</v>
      </c>
      <c r="M21" s="72"/>
    </row>
    <row r="22" spans="1:13">
      <c r="A22" s="89">
        <f>'Major Assumption Key'!A27</f>
        <v>2028</v>
      </c>
      <c r="B22" s="88">
        <f t="shared" si="1"/>
        <v>0</v>
      </c>
      <c r="C22" s="811" t="s">
        <v>98</v>
      </c>
      <c r="D22" s="90" t="str">
        <f t="shared" si="2"/>
        <v>Routine Maintenance</v>
      </c>
      <c r="E22" s="87">
        <f t="shared" si="3"/>
        <v>0</v>
      </c>
      <c r="F22" s="87">
        <f t="shared" si="4"/>
        <v>0</v>
      </c>
      <c r="G22" s="87" cm="1">
        <f t="array" ref="G22">IFERROR(-IF(A22=$H$8,LOOKUP(2,1/($F$14:$F$54&lt;&gt;0),$F$14:$F$54)*(8-(A22-_xlfn.XLOOKUP(LOOKUP(2,1/($F$14:$F$54&lt;&gt;0),$F$14:$F$54),$F$14:$F$54,$A$14:$A$54,,0)))/8,0),0)</f>
        <v>0</v>
      </c>
      <c r="H22" s="87">
        <f t="shared" si="5"/>
        <v>0</v>
      </c>
      <c r="I22" s="87">
        <f>IF(AND($A22&gt;=$H$7,$A22&lt;=$H$8),IFERROR('State of Good Repair - AP-AP'!$B$27*$C$108*B22*(1-$J$108)*VLOOKUP($E$108,$B$150:$D$152,3,0)*(HLOOKUP(C22,$E$149:$I$155,$O$150,0)-1)/100,0)+IFERROR('State of Good Repair - AP-AP'!$B$27*$C$109*B22*(1-$J$109)*VLOOKUP($E$109,$B$150:$D$152,3,0)*(HLOOKUP(C22,$E$149:$I$155,$O$151,0)-1)/100,0),0)</f>
        <v>0</v>
      </c>
      <c r="J22" s="87">
        <f>IF(AND($A22&gt;=$H$7,$A22&lt;=$H$8),(IFERROR('State of Good Repair - AP-AP'!$B$27*$C$108*B22*$J$108*VLOOKUP($E$108,$B$153:$D$155,3,0)*(HLOOKUP(C22,$E$149:$I$155,$P$150,0)-1)/100,0)+IFERROR('State of Good Repair - AP-AP'!$B$27*$C$109*B22*$J$109*VLOOKUP($E$109,$B$153:$D$155,3,0)*(HLOOKUP(C22,$E$149:$I$155,$P$151,0)-1)/100,0)),0)</f>
        <v>0</v>
      </c>
      <c r="K22" s="87">
        <f t="shared" si="6"/>
        <v>0</v>
      </c>
      <c r="M22" s="72"/>
    </row>
    <row r="23" spans="1:13">
      <c r="A23" s="89">
        <f>'Major Assumption Key'!A28</f>
        <v>2029</v>
      </c>
      <c r="B23" s="88">
        <f t="shared" si="1"/>
        <v>0</v>
      </c>
      <c r="C23" s="811" t="s">
        <v>99</v>
      </c>
      <c r="D23" s="90" t="str">
        <f t="shared" si="2"/>
        <v>Routine Maintenance</v>
      </c>
      <c r="E23" s="87">
        <f t="shared" si="3"/>
        <v>0</v>
      </c>
      <c r="F23" s="87">
        <f t="shared" si="4"/>
        <v>0</v>
      </c>
      <c r="G23" s="87" cm="1">
        <f t="array" ref="G23">IFERROR(-IF(A23=$H$8,LOOKUP(2,1/($F$14:$F$54&lt;&gt;0),$F$14:$F$54)*(8-(A23-_xlfn.XLOOKUP(LOOKUP(2,1/($F$14:$F$54&lt;&gt;0),$F$14:$F$54),$F$14:$F$54,$A$14:$A$54,,0)))/8,0),0)</f>
        <v>0</v>
      </c>
      <c r="H23" s="87">
        <f t="shared" si="5"/>
        <v>0</v>
      </c>
      <c r="I23" s="87">
        <f>IF(AND($A23&gt;=$H$7,$A23&lt;=$H$8),IFERROR('State of Good Repair - AP-AP'!$B$27*$C$108*B23*(1-$J$108)*VLOOKUP($E$108,$B$150:$D$152,3,0)*(HLOOKUP(C23,$E$149:$I$155,$O$150,0)-1)/100,0)+IFERROR('State of Good Repair - AP-AP'!$B$27*$C$109*B23*(1-$J$109)*VLOOKUP($E$109,$B$150:$D$152,3,0)*(HLOOKUP(C23,$E$149:$I$155,$O$151,0)-1)/100,0),0)</f>
        <v>0</v>
      </c>
      <c r="J23" s="87">
        <f>IF(AND($A23&gt;=$H$7,$A23&lt;=$H$8),(IFERROR('State of Good Repair - AP-AP'!$B$27*$C$108*B23*$J$108*VLOOKUP($E$108,$B$153:$D$155,3,0)*(HLOOKUP(C23,$E$149:$I$155,$P$150,0)-1)/100,0)+IFERROR('State of Good Repair - AP-AP'!$B$27*$C$109*B23*$J$109*VLOOKUP($E$109,$B$153:$D$155,3,0)*(HLOOKUP(C23,$E$149:$I$155,$P$151,0)-1)/100,0)),0)</f>
        <v>0</v>
      </c>
      <c r="K23" s="87">
        <f t="shared" si="6"/>
        <v>0</v>
      </c>
      <c r="M23" s="72"/>
    </row>
    <row r="24" spans="1:13">
      <c r="A24" s="89">
        <f>'Major Assumption Key'!A29</f>
        <v>2030</v>
      </c>
      <c r="B24" s="88">
        <f t="shared" si="1"/>
        <v>0</v>
      </c>
      <c r="C24" s="811" t="s">
        <v>99</v>
      </c>
      <c r="D24" s="90" t="str">
        <f t="shared" si="2"/>
        <v>Routine Maintenance</v>
      </c>
      <c r="E24" s="87">
        <f t="shared" si="3"/>
        <v>0</v>
      </c>
      <c r="F24" s="87">
        <f t="shared" si="4"/>
        <v>0</v>
      </c>
      <c r="G24" s="87" cm="1">
        <f t="array" ref="G24">IFERROR(-IF(A24=$H$8,LOOKUP(2,1/($F$14:$F$54&lt;&gt;0),$F$14:$F$54)*(8-(A24-_xlfn.XLOOKUP(LOOKUP(2,1/($F$14:$F$54&lt;&gt;0),$F$14:$F$54),$F$14:$F$54,$A$14:$A$54,,0)))/8,0),0)</f>
        <v>0</v>
      </c>
      <c r="H24" s="87">
        <f t="shared" si="5"/>
        <v>0</v>
      </c>
      <c r="I24" s="87">
        <f>IF(AND($A24&gt;=$H$7,$A24&lt;=$H$8),IFERROR('State of Good Repair - AP-AP'!$B$27*$C$108*B24*(1-$J$108)*VLOOKUP($E$108,$B$150:$D$152,3,0)*(HLOOKUP(C24,$E$149:$I$155,$O$150,0)-1)/100,0)+IFERROR('State of Good Repair - AP-AP'!$B$27*$C$109*B24*(1-$J$109)*VLOOKUP($E$109,$B$150:$D$152,3,0)*(HLOOKUP(C24,$E$149:$I$155,$O$151,0)-1)/100,0),0)</f>
        <v>0</v>
      </c>
      <c r="J24" s="87">
        <f>IF(AND($A24&gt;=$H$7,$A24&lt;=$H$8),(IFERROR('State of Good Repair - AP-AP'!$B$27*$C$108*B24*$J$108*VLOOKUP($E$108,$B$153:$D$155,3,0)*(HLOOKUP(C24,$E$149:$I$155,$P$150,0)-1)/100,0)+IFERROR('State of Good Repair - AP-AP'!$B$27*$C$109*B24*$J$109*VLOOKUP($E$109,$B$153:$D$155,3,0)*(HLOOKUP(C24,$E$149:$I$155,$P$151,0)-1)/100,0)),0)</f>
        <v>0</v>
      </c>
      <c r="K24" s="87">
        <f t="shared" si="6"/>
        <v>0</v>
      </c>
      <c r="M24" s="72"/>
    </row>
    <row r="25" spans="1:13">
      <c r="A25" s="89">
        <f>'Major Assumption Key'!A30</f>
        <v>2031</v>
      </c>
      <c r="B25" s="88">
        <f t="shared" si="1"/>
        <v>0</v>
      </c>
      <c r="C25" s="811" t="s">
        <v>567</v>
      </c>
      <c r="D25" s="90" t="str">
        <f t="shared" si="2"/>
        <v>Rehab</v>
      </c>
      <c r="E25" s="87">
        <f t="shared" si="3"/>
        <v>0</v>
      </c>
      <c r="F25" s="87">
        <f t="shared" si="4"/>
        <v>0</v>
      </c>
      <c r="G25" s="87" cm="1">
        <f t="array" ref="G25">IFERROR(-IF(A25=$H$8,LOOKUP(2,1/($F$14:$F$54&lt;&gt;0),$F$14:$F$54)*(8-(A25-_xlfn.XLOOKUP(LOOKUP(2,1/($F$14:$F$54&lt;&gt;0),$F$14:$F$54),$F$14:$F$54,$A$14:$A$54,,0)))/8,0),0)</f>
        <v>0</v>
      </c>
      <c r="H25" s="87">
        <f t="shared" si="5"/>
        <v>0</v>
      </c>
      <c r="I25" s="87">
        <f>IF(AND($A25&gt;=$H$7,$A25&lt;=$H$8),IFERROR('State of Good Repair - AP-AP'!$B$27*$C$108*B25*(1-$J$108)*VLOOKUP($E$108,$B$150:$D$152,3,0)*(HLOOKUP(C25,$E$149:$I$155,$O$150,0)-1)/100,0)+IFERROR('State of Good Repair - AP-AP'!$B$27*$C$109*B25*(1-$J$109)*VLOOKUP($E$109,$B$150:$D$152,3,0)*(HLOOKUP(C25,$E$149:$I$155,$O$151,0)-1)/100,0),0)</f>
        <v>0</v>
      </c>
      <c r="J25" s="87">
        <f>IF(AND($A25&gt;=$H$7,$A25&lt;=$H$8),(IFERROR('State of Good Repair - AP-AP'!$B$27*$C$108*B25*$J$108*VLOOKUP($E$108,$B$153:$D$155,3,0)*(HLOOKUP(C25,$E$149:$I$155,$P$150,0)-1)/100,0)+IFERROR('State of Good Repair - AP-AP'!$B$27*$C$109*B25*$J$109*VLOOKUP($E$109,$B$153:$D$155,3,0)*(HLOOKUP(C25,$E$149:$I$155,$P$151,0)-1)/100,0)),0)</f>
        <v>0</v>
      </c>
      <c r="K25" s="87">
        <f t="shared" si="6"/>
        <v>0</v>
      </c>
      <c r="M25" s="72"/>
    </row>
    <row r="26" spans="1:13">
      <c r="A26" s="89">
        <f>'Major Assumption Key'!A31</f>
        <v>2032</v>
      </c>
      <c r="B26" s="88">
        <f t="shared" si="1"/>
        <v>0</v>
      </c>
      <c r="C26" s="811" t="s">
        <v>96</v>
      </c>
      <c r="D26" s="90" t="str">
        <f t="shared" si="2"/>
        <v>Routine Maintenance</v>
      </c>
      <c r="E26" s="87">
        <f t="shared" si="3"/>
        <v>0</v>
      </c>
      <c r="F26" s="87">
        <f t="shared" si="4"/>
        <v>0</v>
      </c>
      <c r="G26" s="87" cm="1">
        <f t="array" ref="G26">IFERROR(-IF(A26=$H$8,LOOKUP(2,1/($F$14:$F$54&lt;&gt;0),$F$14:$F$54)*(8-(A26-_xlfn.XLOOKUP(LOOKUP(2,1/($F$14:$F$54&lt;&gt;0),$F$14:$F$54),$F$14:$F$54,$A$14:$A$54,,0)))/8,0),0)</f>
        <v>0</v>
      </c>
      <c r="H26" s="87">
        <f t="shared" si="5"/>
        <v>0</v>
      </c>
      <c r="I26" s="87">
        <f>IF(AND($A26&gt;=$H$7,$A26&lt;=$H$8),IFERROR('State of Good Repair - AP-AP'!$B$27*$C$108*B26*(1-$J$108)*VLOOKUP($E$108,$B$150:$D$152,3,0)*(HLOOKUP(C26,$E$149:$I$155,$O$150,0)-1)/100,0)+IFERROR('State of Good Repair - AP-AP'!$B$27*$C$109*B26*(1-$J$109)*VLOOKUP($E$109,$B$150:$D$152,3,0)*(HLOOKUP(C26,$E$149:$I$155,$O$151,0)-1)/100,0),0)</f>
        <v>0</v>
      </c>
      <c r="J26" s="87">
        <f>IF(AND($A26&gt;=$H$7,$A26&lt;=$H$8),(IFERROR('State of Good Repair - AP-AP'!$B$27*$C$108*B26*$J$108*VLOOKUP($E$108,$B$153:$D$155,3,0)*(HLOOKUP(C26,$E$149:$I$155,$P$150,0)-1)/100,0)+IFERROR('State of Good Repair - AP-AP'!$B$27*$C$109*B26*$J$109*VLOOKUP($E$109,$B$153:$D$155,3,0)*(HLOOKUP(C26,$E$149:$I$155,$P$151,0)-1)/100,0)),0)</f>
        <v>0</v>
      </c>
      <c r="K26" s="87">
        <f t="shared" si="6"/>
        <v>0</v>
      </c>
      <c r="M26" s="72"/>
    </row>
    <row r="27" spans="1:13">
      <c r="A27" s="89">
        <f>'Major Assumption Key'!A32</f>
        <v>2033</v>
      </c>
      <c r="B27" s="88">
        <f t="shared" si="1"/>
        <v>0</v>
      </c>
      <c r="C27" s="811" t="s">
        <v>96</v>
      </c>
      <c r="D27" s="90" t="str">
        <f t="shared" si="2"/>
        <v>Routine Maintenance</v>
      </c>
      <c r="E27" s="87">
        <f t="shared" si="3"/>
        <v>0</v>
      </c>
      <c r="F27" s="87">
        <f t="shared" si="4"/>
        <v>0</v>
      </c>
      <c r="G27" s="87" cm="1">
        <f t="array" ref="G27">IFERROR(-IF(A27=$H$8,LOOKUP(2,1/($F$14:$F$54&lt;&gt;0),$F$14:$F$54)*(8-(A27-_xlfn.XLOOKUP(LOOKUP(2,1/($F$14:$F$54&lt;&gt;0),$F$14:$F$54),$F$14:$F$54,$A$14:$A$54,,0)))/8,0),0)</f>
        <v>0</v>
      </c>
      <c r="H27" s="87">
        <f t="shared" si="5"/>
        <v>0</v>
      </c>
      <c r="I27" s="87">
        <f>IF(AND($A27&gt;=$H$7,$A27&lt;=$H$8),IFERROR('State of Good Repair - AP-AP'!$B$27*$C$108*B27*(1-$J$108)*VLOOKUP($E$108,$B$150:$D$152,3,0)*(HLOOKUP(C27,$E$149:$I$155,$O$150,0)-1)/100,0)+IFERROR('State of Good Repair - AP-AP'!$B$27*$C$109*B27*(1-$J$109)*VLOOKUP($E$109,$B$150:$D$152,3,0)*(HLOOKUP(C27,$E$149:$I$155,$O$151,0)-1)/100,0),0)</f>
        <v>0</v>
      </c>
      <c r="J27" s="87">
        <f>IF(AND($A27&gt;=$H$7,$A27&lt;=$H$8),(IFERROR('State of Good Repair - AP-AP'!$B$27*$C$108*B27*$J$108*VLOOKUP($E$108,$B$153:$D$155,3,0)*(HLOOKUP(C27,$E$149:$I$155,$P$150,0)-1)/100,0)+IFERROR('State of Good Repair - AP-AP'!$B$27*$C$109*B27*$J$109*VLOOKUP($E$109,$B$153:$D$155,3,0)*(HLOOKUP(C27,$E$149:$I$155,$P$151,0)-1)/100,0)),0)</f>
        <v>0</v>
      </c>
      <c r="K27" s="87">
        <f t="shared" si="6"/>
        <v>0</v>
      </c>
      <c r="M27" s="72"/>
    </row>
    <row r="28" spans="1:13">
      <c r="A28" s="89">
        <f>'Major Assumption Key'!A33</f>
        <v>2034</v>
      </c>
      <c r="B28" s="88">
        <f t="shared" si="1"/>
        <v>0</v>
      </c>
      <c r="C28" s="811" t="s">
        <v>97</v>
      </c>
      <c r="D28" s="90" t="str">
        <f t="shared" si="2"/>
        <v>Routine Maintenance</v>
      </c>
      <c r="E28" s="87">
        <f t="shared" si="3"/>
        <v>0</v>
      </c>
      <c r="F28" s="87">
        <f t="shared" si="4"/>
        <v>0</v>
      </c>
      <c r="G28" s="87" cm="1">
        <f t="array" ref="G28">IFERROR(-IF(A28=$H$8,LOOKUP(2,1/($F$14:$F$54&lt;&gt;0),$F$14:$F$54)*(8-(A28-_xlfn.XLOOKUP(LOOKUP(2,1/($F$14:$F$54&lt;&gt;0),$F$14:$F$54),$F$14:$F$54,$A$14:$A$54,,0)))/8,0),0)</f>
        <v>0</v>
      </c>
      <c r="H28" s="87">
        <f t="shared" si="5"/>
        <v>0</v>
      </c>
      <c r="I28" s="87">
        <f>IF(AND($A28&gt;=$H$7,$A28&lt;=$H$8),IFERROR('State of Good Repair - AP-AP'!$B$27*$C$108*B28*(1-$J$108)*VLOOKUP($E$108,$B$150:$D$152,3,0)*(HLOOKUP(C28,$E$149:$I$155,$O$150,0)-1)/100,0)+IFERROR('State of Good Repair - AP-AP'!$B$27*$C$109*B28*(1-$J$109)*VLOOKUP($E$109,$B$150:$D$152,3,0)*(HLOOKUP(C28,$E$149:$I$155,$O$151,0)-1)/100,0),0)</f>
        <v>0</v>
      </c>
      <c r="J28" s="87">
        <f>IF(AND($A28&gt;=$H$7,$A28&lt;=$H$8),(IFERROR('State of Good Repair - AP-AP'!$B$27*$C$108*B28*$J$108*VLOOKUP($E$108,$B$153:$D$155,3,0)*(HLOOKUP(C28,$E$149:$I$155,$P$150,0)-1)/100,0)+IFERROR('State of Good Repair - AP-AP'!$B$27*$C$109*B28*$J$109*VLOOKUP($E$109,$B$153:$D$155,3,0)*(HLOOKUP(C28,$E$149:$I$155,$P$151,0)-1)/100,0)),0)</f>
        <v>0</v>
      </c>
      <c r="K28" s="87">
        <f t="shared" si="6"/>
        <v>0</v>
      </c>
      <c r="M28" s="72"/>
    </row>
    <row r="29" spans="1:13">
      <c r="A29" s="89">
        <f>'Major Assumption Key'!A34</f>
        <v>2035</v>
      </c>
      <c r="B29" s="88">
        <f t="shared" si="1"/>
        <v>0</v>
      </c>
      <c r="C29" s="811" t="s">
        <v>98</v>
      </c>
      <c r="D29" s="90" t="str">
        <f t="shared" si="2"/>
        <v>Routine Maintenance</v>
      </c>
      <c r="E29" s="87">
        <f t="shared" si="3"/>
        <v>0</v>
      </c>
      <c r="F29" s="87">
        <f t="shared" si="4"/>
        <v>0</v>
      </c>
      <c r="G29" s="87" cm="1">
        <f t="array" ref="G29">IFERROR(-IF(A29=$H$8,LOOKUP(2,1/($F$14:$F$54&lt;&gt;0),$F$14:$F$54)*(8-(A29-_xlfn.XLOOKUP(LOOKUP(2,1/($F$14:$F$54&lt;&gt;0),$F$14:$F$54),$F$14:$F$54,$A$14:$A$54,,0)))/8,0),0)</f>
        <v>0</v>
      </c>
      <c r="H29" s="87">
        <f t="shared" si="5"/>
        <v>0</v>
      </c>
      <c r="I29" s="87">
        <f>IF(AND($A29&gt;=$H$7,$A29&lt;=$H$8),IFERROR('State of Good Repair - AP-AP'!$B$27*$C$108*B29*(1-$J$108)*VLOOKUP($E$108,$B$150:$D$152,3,0)*(HLOOKUP(C29,$E$149:$I$155,$O$150,0)-1)/100,0)+IFERROR('State of Good Repair - AP-AP'!$B$27*$C$109*B29*(1-$J$109)*VLOOKUP($E$109,$B$150:$D$152,3,0)*(HLOOKUP(C29,$E$149:$I$155,$O$151,0)-1)/100,0),0)</f>
        <v>0</v>
      </c>
      <c r="J29" s="87">
        <f>IF(AND($A29&gt;=$H$7,$A29&lt;=$H$8),(IFERROR('State of Good Repair - AP-AP'!$B$27*$C$108*B29*$J$108*VLOOKUP($E$108,$B$153:$D$155,3,0)*(HLOOKUP(C29,$E$149:$I$155,$P$150,0)-1)/100,0)+IFERROR('State of Good Repair - AP-AP'!$B$27*$C$109*B29*$J$109*VLOOKUP($E$109,$B$153:$D$155,3,0)*(HLOOKUP(C29,$E$149:$I$155,$P$151,0)-1)/100,0)),0)</f>
        <v>0</v>
      </c>
      <c r="K29" s="87">
        <f t="shared" si="6"/>
        <v>0</v>
      </c>
      <c r="M29" s="72"/>
    </row>
    <row r="30" spans="1:13">
      <c r="A30" s="89">
        <f>'Major Assumption Key'!A35</f>
        <v>2036</v>
      </c>
      <c r="B30" s="88">
        <f t="shared" si="1"/>
        <v>0</v>
      </c>
      <c r="C30" s="811" t="s">
        <v>99</v>
      </c>
      <c r="D30" s="90" t="str">
        <f t="shared" si="2"/>
        <v>Routine Maintenance</v>
      </c>
      <c r="E30" s="87">
        <f t="shared" si="3"/>
        <v>0</v>
      </c>
      <c r="F30" s="87">
        <f t="shared" si="4"/>
        <v>0</v>
      </c>
      <c r="G30" s="87" cm="1">
        <f t="array" ref="G30">IFERROR(-IF(A30=$H$8,LOOKUP(2,1/($F$14:$F$54&lt;&gt;0),$F$14:$F$54)*(8-(A30-_xlfn.XLOOKUP(LOOKUP(2,1/($F$14:$F$54&lt;&gt;0),$F$14:$F$54),$F$14:$F$54,$A$14:$A$54,,0)))/8,0),0)</f>
        <v>0</v>
      </c>
      <c r="H30" s="87">
        <f t="shared" si="5"/>
        <v>0</v>
      </c>
      <c r="I30" s="87">
        <f>IF(AND($A30&gt;=$H$7,$A30&lt;=$H$8),IFERROR('State of Good Repair - AP-AP'!$B$27*$C$108*B30*(1-$J$108)*VLOOKUP($E$108,$B$150:$D$152,3,0)*(HLOOKUP(C30,$E$149:$I$155,$O$150,0)-1)/100,0)+IFERROR('State of Good Repair - AP-AP'!$B$27*$C$109*B30*(1-$J$109)*VLOOKUP($E$109,$B$150:$D$152,3,0)*(HLOOKUP(C30,$E$149:$I$155,$O$151,0)-1)/100,0),0)</f>
        <v>0</v>
      </c>
      <c r="J30" s="87">
        <f>IF(AND($A30&gt;=$H$7,$A30&lt;=$H$8),(IFERROR('State of Good Repair - AP-AP'!$B$27*$C$108*B30*$J$108*VLOOKUP($E$108,$B$153:$D$155,3,0)*(HLOOKUP(C30,$E$149:$I$155,$P$150,0)-1)/100,0)+IFERROR('State of Good Repair - AP-AP'!$B$27*$C$109*B30*$J$109*VLOOKUP($E$109,$B$153:$D$155,3,0)*(HLOOKUP(C30,$E$149:$I$155,$P$151,0)-1)/100,0)),0)</f>
        <v>0</v>
      </c>
      <c r="K30" s="87">
        <f t="shared" si="6"/>
        <v>0</v>
      </c>
      <c r="M30" s="72"/>
    </row>
    <row r="31" spans="1:13">
      <c r="A31" s="89">
        <f>'Major Assumption Key'!A36</f>
        <v>2037</v>
      </c>
      <c r="B31" s="88">
        <f t="shared" si="1"/>
        <v>0</v>
      </c>
      <c r="C31" s="811" t="s">
        <v>99</v>
      </c>
      <c r="D31" s="90" t="str">
        <f t="shared" si="2"/>
        <v>Routine Maintenance</v>
      </c>
      <c r="E31" s="87">
        <f t="shared" si="3"/>
        <v>0</v>
      </c>
      <c r="F31" s="87">
        <f t="shared" si="4"/>
        <v>0</v>
      </c>
      <c r="G31" s="87" cm="1">
        <f t="array" ref="G31">IFERROR(-IF(A31=$H$8,LOOKUP(2,1/($F$14:$F$54&lt;&gt;0),$F$14:$F$54)*(8-(A31-_xlfn.XLOOKUP(LOOKUP(2,1/($F$14:$F$54&lt;&gt;0),$F$14:$F$54),$F$14:$F$54,$A$14:$A$54,,0)))/8,0),0)</f>
        <v>0</v>
      </c>
      <c r="H31" s="87">
        <f t="shared" si="5"/>
        <v>0</v>
      </c>
      <c r="I31" s="87">
        <f>IF(AND($A31&gt;=$H$7,$A31&lt;=$H$8),IFERROR('State of Good Repair - AP-AP'!$B$27*$C$108*B31*(1-$J$108)*VLOOKUP($E$108,$B$150:$D$152,3,0)*(HLOOKUP(C31,$E$149:$I$155,$O$150,0)-1)/100,0)+IFERROR('State of Good Repair - AP-AP'!$B$27*$C$109*B31*(1-$J$109)*VLOOKUP($E$109,$B$150:$D$152,3,0)*(HLOOKUP(C31,$E$149:$I$155,$O$151,0)-1)/100,0),0)</f>
        <v>0</v>
      </c>
      <c r="J31" s="87">
        <f>IF(AND($A31&gt;=$H$7,$A31&lt;=$H$8),(IFERROR('State of Good Repair - AP-AP'!$B$27*$C$108*B31*$J$108*VLOOKUP($E$108,$B$153:$D$155,3,0)*(HLOOKUP(C31,$E$149:$I$155,$P$150,0)-1)/100,0)+IFERROR('State of Good Repair - AP-AP'!$B$27*$C$109*B31*$J$109*VLOOKUP($E$109,$B$153:$D$155,3,0)*(HLOOKUP(C31,$E$149:$I$155,$P$151,0)-1)/100,0)),0)</f>
        <v>0</v>
      </c>
      <c r="K31" s="87">
        <f t="shared" si="6"/>
        <v>0</v>
      </c>
      <c r="M31" s="72"/>
    </row>
    <row r="32" spans="1:13">
      <c r="A32" s="89">
        <f>'Major Assumption Key'!A37</f>
        <v>2038</v>
      </c>
      <c r="B32" s="88">
        <f t="shared" si="1"/>
        <v>0</v>
      </c>
      <c r="C32" s="811" t="s">
        <v>567</v>
      </c>
      <c r="D32" s="90" t="str">
        <f t="shared" si="2"/>
        <v>Rehab</v>
      </c>
      <c r="E32" s="87">
        <f t="shared" si="3"/>
        <v>0</v>
      </c>
      <c r="F32" s="87">
        <f t="shared" si="4"/>
        <v>0</v>
      </c>
      <c r="G32" s="87" cm="1">
        <f t="array" ref="G32">IFERROR(-IF(A32=$H$8,LOOKUP(2,1/($F$14:$F$54&lt;&gt;0),$F$14:$F$54)*(8-(A32-_xlfn.XLOOKUP(LOOKUP(2,1/($F$14:$F$54&lt;&gt;0),$F$14:$F$54),$F$14:$F$54,$A$14:$A$54,,0)))/8,0),0)</f>
        <v>0</v>
      </c>
      <c r="H32" s="87">
        <f t="shared" si="5"/>
        <v>0</v>
      </c>
      <c r="I32" s="87">
        <f>IF(AND($A32&gt;=$H$7,$A32&lt;=$H$8),IFERROR('State of Good Repair - AP-AP'!$B$27*$C$108*B32*(1-$J$108)*VLOOKUP($E$108,$B$150:$D$152,3,0)*(HLOOKUP(C32,$E$149:$I$155,$O$150,0)-1)/100,0)+IFERROR('State of Good Repair - AP-AP'!$B$27*$C$109*B32*(1-$J$109)*VLOOKUP($E$109,$B$150:$D$152,3,0)*(HLOOKUP(C32,$E$149:$I$155,$O$151,0)-1)/100,0),0)</f>
        <v>0</v>
      </c>
      <c r="J32" s="87">
        <f>IF(AND($A32&gt;=$H$7,$A32&lt;=$H$8),(IFERROR('State of Good Repair - AP-AP'!$B$27*$C$108*B32*$J$108*VLOOKUP($E$108,$B$153:$D$155,3,0)*(HLOOKUP(C32,$E$149:$I$155,$P$150,0)-1)/100,0)+IFERROR('State of Good Repair - AP-AP'!$B$27*$C$109*B32*$J$109*VLOOKUP($E$109,$B$153:$D$155,3,0)*(HLOOKUP(C32,$E$149:$I$155,$P$151,0)-1)/100,0)),0)</f>
        <v>0</v>
      </c>
      <c r="K32" s="87">
        <f t="shared" si="6"/>
        <v>0</v>
      </c>
      <c r="M32" s="72"/>
    </row>
    <row r="33" spans="1:13">
      <c r="A33" s="89">
        <f>'Major Assumption Key'!A38</f>
        <v>2039</v>
      </c>
      <c r="B33" s="88">
        <f t="shared" si="1"/>
        <v>0</v>
      </c>
      <c r="C33" s="811" t="s">
        <v>96</v>
      </c>
      <c r="D33" s="90" t="str">
        <f t="shared" si="2"/>
        <v>Routine Maintenance</v>
      </c>
      <c r="E33" s="87">
        <f t="shared" si="3"/>
        <v>0</v>
      </c>
      <c r="F33" s="87">
        <f t="shared" si="4"/>
        <v>0</v>
      </c>
      <c r="G33" s="87" cm="1">
        <f t="array" ref="G33">IFERROR(-IF(A33=$H$8,LOOKUP(2,1/($F$14:$F$54&lt;&gt;0),$F$14:$F$54)*(8-(A33-_xlfn.XLOOKUP(LOOKUP(2,1/($F$14:$F$54&lt;&gt;0),$F$14:$F$54),$F$14:$F$54,$A$14:$A$54,,0)))/8,0),0)</f>
        <v>0</v>
      </c>
      <c r="H33" s="87">
        <f t="shared" si="5"/>
        <v>0</v>
      </c>
      <c r="I33" s="87">
        <f>IF(AND($A33&gt;=$H$7,$A33&lt;=$H$8),IFERROR('State of Good Repair - AP-AP'!$B$27*$C$108*B33*(1-$J$108)*VLOOKUP($E$108,$B$150:$D$152,3,0)*(HLOOKUP(C33,$E$149:$I$155,$O$150,0)-1)/100,0)+IFERROR('State of Good Repair - AP-AP'!$B$27*$C$109*B33*(1-$J$109)*VLOOKUP($E$109,$B$150:$D$152,3,0)*(HLOOKUP(C33,$E$149:$I$155,$O$151,0)-1)/100,0),0)</f>
        <v>0</v>
      </c>
      <c r="J33" s="87">
        <f>IF(AND($A33&gt;=$H$7,$A33&lt;=$H$8),(IFERROR('State of Good Repair - AP-AP'!$B$27*$C$108*B33*$J$108*VLOOKUP($E$108,$B$153:$D$155,3,0)*(HLOOKUP(C33,$E$149:$I$155,$P$150,0)-1)/100,0)+IFERROR('State of Good Repair - AP-AP'!$B$27*$C$109*B33*$J$109*VLOOKUP($E$109,$B$153:$D$155,3,0)*(HLOOKUP(C33,$E$149:$I$155,$P$151,0)-1)/100,0)),0)</f>
        <v>0</v>
      </c>
      <c r="K33" s="87">
        <f t="shared" si="6"/>
        <v>0</v>
      </c>
      <c r="M33" s="72"/>
    </row>
    <row r="34" spans="1:13">
      <c r="A34" s="89">
        <f>'Major Assumption Key'!A39</f>
        <v>2040</v>
      </c>
      <c r="B34" s="88">
        <f t="shared" si="1"/>
        <v>0</v>
      </c>
      <c r="C34" s="811" t="s">
        <v>96</v>
      </c>
      <c r="D34" s="90" t="str">
        <f t="shared" si="2"/>
        <v>Routine Maintenance</v>
      </c>
      <c r="E34" s="87">
        <f t="shared" si="3"/>
        <v>0</v>
      </c>
      <c r="F34" s="87">
        <f t="shared" si="4"/>
        <v>0</v>
      </c>
      <c r="G34" s="87" cm="1">
        <f t="array" ref="G34">IFERROR(-IF(A34=$H$8,LOOKUP(2,1/($F$14:$F$54&lt;&gt;0),$F$14:$F$54)*(8-(A34-_xlfn.XLOOKUP(LOOKUP(2,1/($F$14:$F$54&lt;&gt;0),$F$14:$F$54),$F$14:$F$54,$A$14:$A$54,,0)))/8,0),0)</f>
        <v>0</v>
      </c>
      <c r="H34" s="87">
        <f t="shared" si="5"/>
        <v>0</v>
      </c>
      <c r="I34" s="87">
        <f>IF(AND($A34&gt;=$H$7,$A34&lt;=$H$8),IFERROR('State of Good Repair - AP-AP'!$B$27*$C$108*B34*(1-$J$108)*VLOOKUP($E$108,$B$150:$D$152,3,0)*(HLOOKUP(C34,$E$149:$I$155,$O$150,0)-1)/100,0)+IFERROR('State of Good Repair - AP-AP'!$B$27*$C$109*B34*(1-$J$109)*VLOOKUP($E$109,$B$150:$D$152,3,0)*(HLOOKUP(C34,$E$149:$I$155,$O$151,0)-1)/100,0),0)</f>
        <v>0</v>
      </c>
      <c r="J34" s="87">
        <f>IF(AND($A34&gt;=$H$7,$A34&lt;=$H$8),(IFERROR('State of Good Repair - AP-AP'!$B$27*$C$108*B34*$J$108*VLOOKUP($E$108,$B$153:$D$155,3,0)*(HLOOKUP(C34,$E$149:$I$155,$P$150,0)-1)/100,0)+IFERROR('State of Good Repair - AP-AP'!$B$27*$C$109*B34*$J$109*VLOOKUP($E$109,$B$153:$D$155,3,0)*(HLOOKUP(C34,$E$149:$I$155,$P$151,0)-1)/100,0)),0)</f>
        <v>0</v>
      </c>
      <c r="K34" s="87">
        <f t="shared" si="6"/>
        <v>0</v>
      </c>
      <c r="M34" s="72"/>
    </row>
    <row r="35" spans="1:13">
      <c r="A35" s="89">
        <f>'Major Assumption Key'!A40</f>
        <v>2041</v>
      </c>
      <c r="B35" s="88">
        <f t="shared" si="1"/>
        <v>0</v>
      </c>
      <c r="C35" s="811" t="s">
        <v>97</v>
      </c>
      <c r="D35" s="90" t="str">
        <f t="shared" si="2"/>
        <v>Routine Maintenance</v>
      </c>
      <c r="E35" s="87">
        <f t="shared" si="3"/>
        <v>0</v>
      </c>
      <c r="F35" s="87">
        <f t="shared" si="4"/>
        <v>0</v>
      </c>
      <c r="G35" s="87" cm="1">
        <f t="array" ref="G35">IFERROR(-IF(A35=$H$8,LOOKUP(2,1/($F$14:$F$54&lt;&gt;0),$F$14:$F$54)*(8-(A35-_xlfn.XLOOKUP(LOOKUP(2,1/($F$14:$F$54&lt;&gt;0),$F$14:$F$54),$F$14:$F$54,$A$14:$A$54,,0)))/8,0),0)</f>
        <v>0</v>
      </c>
      <c r="H35" s="87">
        <f t="shared" si="5"/>
        <v>0</v>
      </c>
      <c r="I35" s="87">
        <f>IF(AND($A35&gt;=$H$7,$A35&lt;=$H$8),IFERROR('State of Good Repair - AP-AP'!$B$27*$C$108*B35*(1-$J$108)*VLOOKUP($E$108,$B$150:$D$152,3,0)*(HLOOKUP(C35,$E$149:$I$155,$O$150,0)-1)/100,0)+IFERROR('State of Good Repair - AP-AP'!$B$27*$C$109*B35*(1-$J$109)*VLOOKUP($E$109,$B$150:$D$152,3,0)*(HLOOKUP(C35,$E$149:$I$155,$O$151,0)-1)/100,0),0)</f>
        <v>0</v>
      </c>
      <c r="J35" s="87">
        <f>IF(AND($A35&gt;=$H$7,$A35&lt;=$H$8),(IFERROR('State of Good Repair - AP-AP'!$B$27*$C$108*B35*$J$108*VLOOKUP($E$108,$B$153:$D$155,3,0)*(HLOOKUP(C35,$E$149:$I$155,$P$150,0)-1)/100,0)+IFERROR('State of Good Repair - AP-AP'!$B$27*$C$109*B35*$J$109*VLOOKUP($E$109,$B$153:$D$155,3,0)*(HLOOKUP(C35,$E$149:$I$155,$P$151,0)-1)/100,0)),0)</f>
        <v>0</v>
      </c>
      <c r="K35" s="87">
        <f t="shared" si="6"/>
        <v>0</v>
      </c>
      <c r="M35" s="72"/>
    </row>
    <row r="36" spans="1:13">
      <c r="A36" s="89">
        <f>'Major Assumption Key'!A41</f>
        <v>2042</v>
      </c>
      <c r="B36" s="88">
        <f t="shared" si="1"/>
        <v>0</v>
      </c>
      <c r="C36" s="811" t="s">
        <v>98</v>
      </c>
      <c r="D36" s="90" t="str">
        <f t="shared" si="2"/>
        <v>Routine Maintenance</v>
      </c>
      <c r="E36" s="87">
        <f t="shared" si="3"/>
        <v>0</v>
      </c>
      <c r="F36" s="87">
        <f t="shared" si="4"/>
        <v>0</v>
      </c>
      <c r="G36" s="87" cm="1">
        <f t="array" ref="G36">IFERROR(-IF(A36=$H$8,LOOKUP(2,1/($F$14:$F$54&lt;&gt;0),$F$14:$F$54)*(8-(A36-_xlfn.XLOOKUP(LOOKUP(2,1/($F$14:$F$54&lt;&gt;0),$F$14:$F$54),$F$14:$F$54,$A$14:$A$54,,0)))/8,0),0)</f>
        <v>0</v>
      </c>
      <c r="H36" s="87">
        <f t="shared" si="5"/>
        <v>0</v>
      </c>
      <c r="I36" s="87">
        <f>IF(AND($A36&gt;=$H$7,$A36&lt;=$H$8),IFERROR('State of Good Repair - AP-AP'!$B$27*$C$108*B36*(1-$J$108)*VLOOKUP($E$108,$B$150:$D$152,3,0)*(HLOOKUP(C36,$E$149:$I$155,$O$150,0)-1)/100,0)+IFERROR('State of Good Repair - AP-AP'!$B$27*$C$109*B36*(1-$J$109)*VLOOKUP($E$109,$B$150:$D$152,3,0)*(HLOOKUP(C36,$E$149:$I$155,$O$151,0)-1)/100,0),0)</f>
        <v>0</v>
      </c>
      <c r="J36" s="87">
        <f>IF(AND($A36&gt;=$H$7,$A36&lt;=$H$8),(IFERROR('State of Good Repair - AP-AP'!$B$27*$C$108*B36*$J$108*VLOOKUP($E$108,$B$153:$D$155,3,0)*(HLOOKUP(C36,$E$149:$I$155,$P$150,0)-1)/100,0)+IFERROR('State of Good Repair - AP-AP'!$B$27*$C$109*B36*$J$109*VLOOKUP($E$109,$B$153:$D$155,3,0)*(HLOOKUP(C36,$E$149:$I$155,$P$151,0)-1)/100,0)),0)</f>
        <v>0</v>
      </c>
      <c r="K36" s="87">
        <f t="shared" si="6"/>
        <v>0</v>
      </c>
      <c r="M36" s="72"/>
    </row>
    <row r="37" spans="1:13">
      <c r="A37" s="89">
        <f>'Major Assumption Key'!A42</f>
        <v>2043</v>
      </c>
      <c r="B37" s="88">
        <f t="shared" si="1"/>
        <v>0</v>
      </c>
      <c r="C37" s="811" t="s">
        <v>99</v>
      </c>
      <c r="D37" s="90" t="str">
        <f t="shared" si="2"/>
        <v>Routine Maintenance</v>
      </c>
      <c r="E37" s="87">
        <f t="shared" si="3"/>
        <v>0</v>
      </c>
      <c r="F37" s="87">
        <f t="shared" si="4"/>
        <v>0</v>
      </c>
      <c r="G37" s="87" cm="1">
        <f t="array" ref="G37">IFERROR(-IF(A37=$H$8,LOOKUP(2,1/($F$14:$F$54&lt;&gt;0),$F$14:$F$54)*(8-(A37-_xlfn.XLOOKUP(LOOKUP(2,1/($F$14:$F$54&lt;&gt;0),$F$14:$F$54),$F$14:$F$54,$A$14:$A$54,,0)))/8,0),0)</f>
        <v>0</v>
      </c>
      <c r="H37" s="87">
        <f t="shared" si="5"/>
        <v>0</v>
      </c>
      <c r="I37" s="87">
        <f>IF(AND($A37&gt;=$H$7,$A37&lt;=$H$8),IFERROR('State of Good Repair - AP-AP'!$B$27*$C$108*B37*(1-$J$108)*VLOOKUP($E$108,$B$150:$D$152,3,0)*(HLOOKUP(C37,$E$149:$I$155,$O$150,0)-1)/100,0)+IFERROR('State of Good Repair - AP-AP'!$B$27*$C$109*B37*(1-$J$109)*VLOOKUP($E$109,$B$150:$D$152,3,0)*(HLOOKUP(C37,$E$149:$I$155,$O$151,0)-1)/100,0),0)</f>
        <v>0</v>
      </c>
      <c r="J37" s="87">
        <f>IF(AND($A37&gt;=$H$7,$A37&lt;=$H$8),(IFERROR('State of Good Repair - AP-AP'!$B$27*$C$108*B37*$J$108*VLOOKUP($E$108,$B$153:$D$155,3,0)*(HLOOKUP(C37,$E$149:$I$155,$P$150,0)-1)/100,0)+IFERROR('State of Good Repair - AP-AP'!$B$27*$C$109*B37*$J$109*VLOOKUP($E$109,$B$153:$D$155,3,0)*(HLOOKUP(C37,$E$149:$I$155,$P$151,0)-1)/100,0)),0)</f>
        <v>0</v>
      </c>
      <c r="K37" s="87">
        <f t="shared" si="6"/>
        <v>0</v>
      </c>
      <c r="M37" s="72"/>
    </row>
    <row r="38" spans="1:13">
      <c r="A38" s="89">
        <f>'Major Assumption Key'!A43</f>
        <v>2044</v>
      </c>
      <c r="B38" s="88">
        <f t="shared" si="1"/>
        <v>0</v>
      </c>
      <c r="C38" s="811" t="s">
        <v>99</v>
      </c>
      <c r="D38" s="90" t="str">
        <f t="shared" si="2"/>
        <v>Routine Maintenance</v>
      </c>
      <c r="E38" s="87">
        <f t="shared" si="3"/>
        <v>0</v>
      </c>
      <c r="F38" s="87">
        <f t="shared" si="4"/>
        <v>0</v>
      </c>
      <c r="G38" s="87" cm="1">
        <f t="array" ref="G38">IFERROR(-IF(A38=$H$8,LOOKUP(2,1/($F$14:$F$54&lt;&gt;0),$F$14:$F$54)*(8-(A38-_xlfn.XLOOKUP(LOOKUP(2,1/($F$14:$F$54&lt;&gt;0),$F$14:$F$54),$F$14:$F$54,$A$14:$A$54,,0)))/8,0),0)</f>
        <v>0</v>
      </c>
      <c r="H38" s="87">
        <f t="shared" si="5"/>
        <v>0</v>
      </c>
      <c r="I38" s="87">
        <f>IF(AND($A38&gt;=$H$7,$A38&lt;=$H$8),IFERROR('State of Good Repair - AP-AP'!$B$27*$C$108*B38*(1-$J$108)*VLOOKUP($E$108,$B$150:$D$152,3,0)*(HLOOKUP(C38,$E$149:$I$155,$O$150,0)-1)/100,0)+IFERROR('State of Good Repair - AP-AP'!$B$27*$C$109*B38*(1-$J$109)*VLOOKUP($E$109,$B$150:$D$152,3,0)*(HLOOKUP(C38,$E$149:$I$155,$O$151,0)-1)/100,0),0)</f>
        <v>0</v>
      </c>
      <c r="J38" s="87">
        <f>IF(AND($A38&gt;=$H$7,$A38&lt;=$H$8),(IFERROR('State of Good Repair - AP-AP'!$B$27*$C$108*B38*$J$108*VLOOKUP($E$108,$B$153:$D$155,3,0)*(HLOOKUP(C38,$E$149:$I$155,$P$150,0)-1)/100,0)+IFERROR('State of Good Repair - AP-AP'!$B$27*$C$109*B38*$J$109*VLOOKUP($E$109,$B$153:$D$155,3,0)*(HLOOKUP(C38,$E$149:$I$155,$P$151,0)-1)/100,0)),0)</f>
        <v>0</v>
      </c>
      <c r="K38" s="87">
        <f t="shared" si="6"/>
        <v>0</v>
      </c>
      <c r="M38" s="72"/>
    </row>
    <row r="39" spans="1:13">
      <c r="A39" s="89">
        <f>'Major Assumption Key'!A44</f>
        <v>2045</v>
      </c>
      <c r="B39" s="88">
        <f t="shared" si="1"/>
        <v>0</v>
      </c>
      <c r="C39" s="811" t="s">
        <v>567</v>
      </c>
      <c r="D39" s="90" t="str">
        <f t="shared" si="2"/>
        <v>Rehab</v>
      </c>
      <c r="E39" s="87">
        <f t="shared" si="3"/>
        <v>0</v>
      </c>
      <c r="F39" s="87">
        <f t="shared" si="4"/>
        <v>0</v>
      </c>
      <c r="G39" s="87" cm="1">
        <f t="array" ref="G39">IFERROR(-IF(A39=$H$8,LOOKUP(2,1/($F$14:$F$54&lt;&gt;0),$F$14:$F$54)*(8-(A39-_xlfn.XLOOKUP(LOOKUP(2,1/($F$14:$F$54&lt;&gt;0),$F$14:$F$54),$F$14:$F$54,$A$14:$A$54,,0)))/8,0),0)</f>
        <v>0</v>
      </c>
      <c r="H39" s="87">
        <f t="shared" si="5"/>
        <v>0</v>
      </c>
      <c r="I39" s="87">
        <f>IF(AND($A39&gt;=$H$7,$A39&lt;=$H$8),IFERROR('State of Good Repair - AP-AP'!$B$27*$C$108*B39*(1-$J$108)*VLOOKUP($E$108,$B$150:$D$152,3,0)*(HLOOKUP(C39,$E$149:$I$155,$O$150,0)-1)/100,0)+IFERROR('State of Good Repair - AP-AP'!$B$27*$C$109*B39*(1-$J$109)*VLOOKUP($E$109,$B$150:$D$152,3,0)*(HLOOKUP(C39,$E$149:$I$155,$O$151,0)-1)/100,0),0)</f>
        <v>0</v>
      </c>
      <c r="J39" s="87">
        <f>IF(AND($A39&gt;=$H$7,$A39&lt;=$H$8),(IFERROR('State of Good Repair - AP-AP'!$B$27*$C$108*B39*$J$108*VLOOKUP($E$108,$B$153:$D$155,3,0)*(HLOOKUP(C39,$E$149:$I$155,$P$150,0)-1)/100,0)+IFERROR('State of Good Repair - AP-AP'!$B$27*$C$109*B39*$J$109*VLOOKUP($E$109,$B$153:$D$155,3,0)*(HLOOKUP(C39,$E$149:$I$155,$P$151,0)-1)/100,0)),0)</f>
        <v>0</v>
      </c>
      <c r="K39" s="87">
        <f t="shared" si="6"/>
        <v>0</v>
      </c>
      <c r="M39" s="72"/>
    </row>
    <row r="40" spans="1:13">
      <c r="A40" s="89">
        <f>'Major Assumption Key'!A45</f>
        <v>2046</v>
      </c>
      <c r="B40" s="88">
        <f t="shared" si="1"/>
        <v>0</v>
      </c>
      <c r="C40" s="811" t="s">
        <v>96</v>
      </c>
      <c r="D40" s="90" t="str">
        <f t="shared" si="2"/>
        <v>Routine Maintenance</v>
      </c>
      <c r="E40" s="87">
        <f t="shared" si="3"/>
        <v>0</v>
      </c>
      <c r="F40" s="87">
        <f t="shared" si="4"/>
        <v>0</v>
      </c>
      <c r="G40" s="87" cm="1">
        <f t="array" ref="G40">IFERROR(-IF(A40=$H$8,LOOKUP(2,1/($F$14:$F$54&lt;&gt;0),$F$14:$F$54)*(8-(A40-_xlfn.XLOOKUP(LOOKUP(2,1/($F$14:$F$54&lt;&gt;0),$F$14:$F$54),$F$14:$F$54,$A$14:$A$54,,0)))/8,0),0)</f>
        <v>0</v>
      </c>
      <c r="H40" s="87">
        <f t="shared" si="5"/>
        <v>0</v>
      </c>
      <c r="I40" s="87">
        <f>IF(AND($A40&gt;=$H$7,$A40&lt;=$H$8),IFERROR('State of Good Repair - AP-AP'!$B$27*$C$108*B40*(1-$J$108)*VLOOKUP($E$108,$B$150:$D$152,3,0)*(HLOOKUP(C40,$E$149:$I$155,$O$150,0)-1)/100,0)+IFERROR('State of Good Repair - AP-AP'!$B$27*$C$109*B40*(1-$J$109)*VLOOKUP($E$109,$B$150:$D$152,3,0)*(HLOOKUP(C40,$E$149:$I$155,$O$151,0)-1)/100,0),0)</f>
        <v>0</v>
      </c>
      <c r="J40" s="87">
        <f>IF(AND($A40&gt;=$H$7,$A40&lt;=$H$8),(IFERROR('State of Good Repair - AP-AP'!$B$27*$C$108*B40*$J$108*VLOOKUP($E$108,$B$153:$D$155,3,0)*(HLOOKUP(C40,$E$149:$I$155,$P$150,0)-1)/100,0)+IFERROR('State of Good Repair - AP-AP'!$B$27*$C$109*B40*$J$109*VLOOKUP($E$109,$B$153:$D$155,3,0)*(HLOOKUP(C40,$E$149:$I$155,$P$151,0)-1)/100,0)),0)</f>
        <v>0</v>
      </c>
      <c r="K40" s="87">
        <f t="shared" si="6"/>
        <v>0</v>
      </c>
      <c r="M40" s="72"/>
    </row>
    <row r="41" spans="1:13">
      <c r="A41" s="89">
        <f>'Major Assumption Key'!A46</f>
        <v>2047</v>
      </c>
      <c r="B41" s="88">
        <f t="shared" si="1"/>
        <v>0</v>
      </c>
      <c r="C41" s="811" t="s">
        <v>96</v>
      </c>
      <c r="D41" s="90" t="str">
        <f t="shared" si="2"/>
        <v>Routine Maintenance</v>
      </c>
      <c r="E41" s="87">
        <f t="shared" si="3"/>
        <v>0</v>
      </c>
      <c r="F41" s="87">
        <f t="shared" si="4"/>
        <v>0</v>
      </c>
      <c r="G41" s="87" cm="1">
        <f t="array" ref="G41">IFERROR(-IF(A41=$H$8,LOOKUP(2,1/($F$14:$F$54&lt;&gt;0),$F$14:$F$54)*(8-(A41-_xlfn.XLOOKUP(LOOKUP(2,1/($F$14:$F$54&lt;&gt;0),$F$14:$F$54),$F$14:$F$54,$A$14:$A$54,,0)))/8,0),0)</f>
        <v>0</v>
      </c>
      <c r="H41" s="87">
        <f t="shared" si="5"/>
        <v>0</v>
      </c>
      <c r="I41" s="87">
        <f>IF(AND($A41&gt;=$H$7,$A41&lt;=$H$8),IFERROR('State of Good Repair - AP-AP'!$B$27*$C$108*B41*(1-$J$108)*VLOOKUP($E$108,$B$150:$D$152,3,0)*(HLOOKUP(C41,$E$149:$I$155,$O$150,0)-1)/100,0)+IFERROR('State of Good Repair - AP-AP'!$B$27*$C$109*B41*(1-$J$109)*VLOOKUP($E$109,$B$150:$D$152,3,0)*(HLOOKUP(C41,$E$149:$I$155,$O$151,0)-1)/100,0),0)</f>
        <v>0</v>
      </c>
      <c r="J41" s="87">
        <f>IF(AND($A41&gt;=$H$7,$A41&lt;=$H$8),(IFERROR('State of Good Repair - AP-AP'!$B$27*$C$108*B41*$J$108*VLOOKUP($E$108,$B$153:$D$155,3,0)*(HLOOKUP(C41,$E$149:$I$155,$P$150,0)-1)/100,0)+IFERROR('State of Good Repair - AP-AP'!$B$27*$C$109*B41*$J$109*VLOOKUP($E$109,$B$153:$D$155,3,0)*(HLOOKUP(C41,$E$149:$I$155,$P$151,0)-1)/100,0)),0)</f>
        <v>0</v>
      </c>
      <c r="K41" s="87">
        <f t="shared" si="6"/>
        <v>0</v>
      </c>
      <c r="M41" s="72"/>
    </row>
    <row r="42" spans="1:13">
      <c r="A42" s="89">
        <f>'Major Assumption Key'!A47</f>
        <v>2048</v>
      </c>
      <c r="B42" s="88">
        <f t="shared" si="1"/>
        <v>0</v>
      </c>
      <c r="C42" s="811" t="s">
        <v>97</v>
      </c>
      <c r="D42" s="90" t="str">
        <f t="shared" si="2"/>
        <v>Routine Maintenance</v>
      </c>
      <c r="E42" s="87">
        <f t="shared" si="3"/>
        <v>0</v>
      </c>
      <c r="F42" s="87">
        <f t="shared" si="4"/>
        <v>0</v>
      </c>
      <c r="G42" s="87" cm="1">
        <f t="array" ref="G42">IFERROR(-IF(A42=$H$8,LOOKUP(2,1/($F$14:$F$54&lt;&gt;0),$F$14:$F$54)*(8-(A42-_xlfn.XLOOKUP(LOOKUP(2,1/($F$14:$F$54&lt;&gt;0),$F$14:$F$54),$F$14:$F$54,$A$14:$A$54,,0)))/8,0),0)</f>
        <v>0</v>
      </c>
      <c r="H42" s="87">
        <f t="shared" si="5"/>
        <v>0</v>
      </c>
      <c r="I42" s="87">
        <f>IF(AND($A42&gt;=$H$7,$A42&lt;=$H$8),IFERROR('State of Good Repair - AP-AP'!$B$27*$C$108*B42*(1-$J$108)*VLOOKUP($E$108,$B$150:$D$152,3,0)*(HLOOKUP(C42,$E$149:$I$155,$O$150,0)-1)/100,0)+IFERROR('State of Good Repair - AP-AP'!$B$27*$C$109*B42*(1-$J$109)*VLOOKUP($E$109,$B$150:$D$152,3,0)*(HLOOKUP(C42,$E$149:$I$155,$O$151,0)-1)/100,0),0)</f>
        <v>0</v>
      </c>
      <c r="J42" s="87">
        <f>IF(AND($A42&gt;=$H$7,$A42&lt;=$H$8),(IFERROR('State of Good Repair - AP-AP'!$B$27*$C$108*B42*$J$108*VLOOKUP($E$108,$B$153:$D$155,3,0)*(HLOOKUP(C42,$E$149:$I$155,$P$150,0)-1)/100,0)+IFERROR('State of Good Repair - AP-AP'!$B$27*$C$109*B42*$J$109*VLOOKUP($E$109,$B$153:$D$155,3,0)*(HLOOKUP(C42,$E$149:$I$155,$P$151,0)-1)/100,0)),0)</f>
        <v>0</v>
      </c>
      <c r="K42" s="87">
        <f t="shared" si="6"/>
        <v>0</v>
      </c>
      <c r="M42" s="72"/>
    </row>
    <row r="43" spans="1:13">
      <c r="A43" s="89">
        <f>'Major Assumption Key'!A48</f>
        <v>2049</v>
      </c>
      <c r="B43" s="88">
        <f t="shared" si="1"/>
        <v>0</v>
      </c>
      <c r="C43" s="811" t="s">
        <v>98</v>
      </c>
      <c r="D43" s="90" t="str">
        <f t="shared" si="2"/>
        <v>Routine Maintenance</v>
      </c>
      <c r="E43" s="87">
        <f t="shared" si="3"/>
        <v>0</v>
      </c>
      <c r="F43" s="87">
        <f t="shared" si="4"/>
        <v>0</v>
      </c>
      <c r="G43" s="87" cm="1">
        <f t="array" ref="G43">IFERROR(-IF(A43=$H$8,LOOKUP(2,1/($F$14:$F$54&lt;&gt;0),$F$14:$F$54)*(8-(A43-_xlfn.XLOOKUP(LOOKUP(2,1/($F$14:$F$54&lt;&gt;0),$F$14:$F$54),$F$14:$F$54,$A$14:$A$54,,0)))/8,0),0)</f>
        <v>0</v>
      </c>
      <c r="H43" s="87">
        <f t="shared" si="5"/>
        <v>0</v>
      </c>
      <c r="I43" s="87">
        <f>IF(AND($A43&gt;=$H$7,$A43&lt;=$H$8),IFERROR('State of Good Repair - AP-AP'!$B$27*$C$108*B43*(1-$J$108)*VLOOKUP($E$108,$B$150:$D$152,3,0)*(HLOOKUP(C43,$E$149:$I$155,$O$150,0)-1)/100,0)+IFERROR('State of Good Repair - AP-AP'!$B$27*$C$109*B43*(1-$J$109)*VLOOKUP($E$109,$B$150:$D$152,3,0)*(HLOOKUP(C43,$E$149:$I$155,$O$151,0)-1)/100,0),0)</f>
        <v>0</v>
      </c>
      <c r="J43" s="87">
        <f>IF(AND($A43&gt;=$H$7,$A43&lt;=$H$8),(IFERROR('State of Good Repair - AP-AP'!$B$27*$C$108*B43*$J$108*VLOOKUP($E$108,$B$153:$D$155,3,0)*(HLOOKUP(C43,$E$149:$I$155,$P$150,0)-1)/100,0)+IFERROR('State of Good Repair - AP-AP'!$B$27*$C$109*B43*$J$109*VLOOKUP($E$109,$B$153:$D$155,3,0)*(HLOOKUP(C43,$E$149:$I$155,$P$151,0)-1)/100,0)),0)</f>
        <v>0</v>
      </c>
      <c r="K43" s="87">
        <f t="shared" si="6"/>
        <v>0</v>
      </c>
      <c r="M43" s="72"/>
    </row>
    <row r="44" spans="1:13">
      <c r="A44" s="89">
        <f>'Major Assumption Key'!A49</f>
        <v>2050</v>
      </c>
      <c r="B44" s="88">
        <f t="shared" si="1"/>
        <v>0</v>
      </c>
      <c r="C44" s="811" t="s">
        <v>99</v>
      </c>
      <c r="D44" s="90" t="str">
        <f t="shared" si="2"/>
        <v>Routine Maintenance</v>
      </c>
      <c r="E44" s="87">
        <f t="shared" si="3"/>
        <v>0</v>
      </c>
      <c r="F44" s="87">
        <f t="shared" si="4"/>
        <v>0</v>
      </c>
      <c r="G44" s="87" cm="1">
        <f t="array" ref="G44">IFERROR(-IF(A44=$H$8,LOOKUP(2,1/($F$14:$F$54&lt;&gt;0),$F$14:$F$54)*(8-(A44-_xlfn.XLOOKUP(LOOKUP(2,1/($F$14:$F$54&lt;&gt;0),$F$14:$F$54),$F$14:$F$54,$A$14:$A$54,,0)))/8,0),0)</f>
        <v>0</v>
      </c>
      <c r="H44" s="87">
        <f t="shared" si="5"/>
        <v>0</v>
      </c>
      <c r="I44" s="87">
        <f>IF(AND($A44&gt;=$H$7,$A44&lt;=$H$8),IFERROR('State of Good Repair - AP-AP'!$B$27*$C$108*B44*(1-$J$108)*VLOOKUP($E$108,$B$150:$D$152,3,0)*(HLOOKUP(C44,$E$149:$I$155,$O$150,0)-1)/100,0)+IFERROR('State of Good Repair - AP-AP'!$B$27*$C$109*B44*(1-$J$109)*VLOOKUP($E$109,$B$150:$D$152,3,0)*(HLOOKUP(C44,$E$149:$I$155,$O$151,0)-1)/100,0),0)</f>
        <v>0</v>
      </c>
      <c r="J44" s="87">
        <f>IF(AND($A44&gt;=$H$7,$A44&lt;=$H$8),(IFERROR('State of Good Repair - AP-AP'!$B$27*$C$108*B44*$J$108*VLOOKUP($E$108,$B$153:$D$155,3,0)*(HLOOKUP(C44,$E$149:$I$155,$P$150,0)-1)/100,0)+IFERROR('State of Good Repair - AP-AP'!$B$27*$C$109*B44*$J$109*VLOOKUP($E$109,$B$153:$D$155,3,0)*(HLOOKUP(C44,$E$149:$I$155,$P$151,0)-1)/100,0)),0)</f>
        <v>0</v>
      </c>
      <c r="K44" s="87">
        <f t="shared" si="6"/>
        <v>0</v>
      </c>
      <c r="M44" s="72"/>
    </row>
    <row r="45" spans="1:13">
      <c r="A45" s="89">
        <f>'Major Assumption Key'!A50</f>
        <v>2051</v>
      </c>
      <c r="B45" s="88">
        <f t="shared" si="1"/>
        <v>0</v>
      </c>
      <c r="C45" s="811" t="s">
        <v>99</v>
      </c>
      <c r="D45" s="90" t="str">
        <f t="shared" si="2"/>
        <v>Routine Maintenance</v>
      </c>
      <c r="E45" s="87">
        <f t="shared" si="3"/>
        <v>0</v>
      </c>
      <c r="F45" s="87">
        <f t="shared" si="4"/>
        <v>0</v>
      </c>
      <c r="G45" s="87" cm="1">
        <f t="array" ref="G45">IFERROR(-IF(A45=$H$8,LOOKUP(2,1/($F$14:$F$54&lt;&gt;0),$F$14:$F$54)*(8-(A45-_xlfn.XLOOKUP(LOOKUP(2,1/($F$14:$F$54&lt;&gt;0),$F$14:$F$54),$F$14:$F$54,$A$14:$A$54,,0)))/8,0),0)</f>
        <v>0</v>
      </c>
      <c r="H45" s="87">
        <f t="shared" si="5"/>
        <v>0</v>
      </c>
      <c r="I45" s="87">
        <f>IF(AND($A45&gt;=$H$7,$A45&lt;=$H$8),IFERROR('State of Good Repair - AP-AP'!$B$27*$C$108*B45*(1-$J$108)*VLOOKUP($E$108,$B$150:$D$152,3,0)*(HLOOKUP(C45,$E$149:$I$155,$O$150,0)-1)/100,0)+IFERROR('State of Good Repair - AP-AP'!$B$27*$C$109*B45*(1-$J$109)*VLOOKUP($E$109,$B$150:$D$152,3,0)*(HLOOKUP(C45,$E$149:$I$155,$O$151,0)-1)/100,0),0)</f>
        <v>0</v>
      </c>
      <c r="J45" s="87">
        <f>IF(AND($A45&gt;=$H$7,$A45&lt;=$H$8),(IFERROR('State of Good Repair - AP-AP'!$B$27*$C$108*B45*$J$108*VLOOKUP($E$108,$B$153:$D$155,3,0)*(HLOOKUP(C45,$E$149:$I$155,$P$150,0)-1)/100,0)+IFERROR('State of Good Repair - AP-AP'!$B$27*$C$109*B45*$J$109*VLOOKUP($E$109,$B$153:$D$155,3,0)*(HLOOKUP(C45,$E$149:$I$155,$P$151,0)-1)/100,0)),0)</f>
        <v>0</v>
      </c>
      <c r="K45" s="87">
        <f t="shared" si="6"/>
        <v>0</v>
      </c>
      <c r="M45" s="72"/>
    </row>
    <row r="46" spans="1:13">
      <c r="A46" s="89">
        <f>'Major Assumption Key'!A51</f>
        <v>2052</v>
      </c>
      <c r="B46" s="88">
        <f t="shared" si="1"/>
        <v>0</v>
      </c>
      <c r="C46" s="811" t="s">
        <v>567</v>
      </c>
      <c r="D46" s="90" t="str">
        <f t="shared" si="2"/>
        <v>Rehab</v>
      </c>
      <c r="E46" s="87">
        <f t="shared" si="3"/>
        <v>0</v>
      </c>
      <c r="F46" s="87">
        <f t="shared" si="4"/>
        <v>0</v>
      </c>
      <c r="G46" s="87" cm="1">
        <f t="array" ref="G46">IFERROR(-IF(A46=$H$8,LOOKUP(2,1/($F$14:$F$54&lt;&gt;0),$F$14:$F$54)*(8-(A46-_xlfn.XLOOKUP(LOOKUP(2,1/($F$14:$F$54&lt;&gt;0),$F$14:$F$54),$F$14:$F$54,$A$14:$A$54,,0)))/8,0),0)</f>
        <v>0</v>
      </c>
      <c r="H46" s="87">
        <f t="shared" si="5"/>
        <v>0</v>
      </c>
      <c r="I46" s="87">
        <f>IF(AND($A46&gt;=$H$7,$A46&lt;=$H$8),IFERROR('State of Good Repair - AP-AP'!$B$27*$C$108*B46*(1-$J$108)*VLOOKUP($E$108,$B$150:$D$152,3,0)*(HLOOKUP(C46,$E$149:$I$155,$O$150,0)-1)/100,0)+IFERROR('State of Good Repair - AP-AP'!$B$27*$C$109*B46*(1-$J$109)*VLOOKUP($E$109,$B$150:$D$152,3,0)*(HLOOKUP(C46,$E$149:$I$155,$O$151,0)-1)/100,0),0)</f>
        <v>0</v>
      </c>
      <c r="J46" s="87">
        <f>IF(AND($A46&gt;=$H$7,$A46&lt;=$H$8),(IFERROR('State of Good Repair - AP-AP'!$B$27*$C$108*B46*$J$108*VLOOKUP($E$108,$B$153:$D$155,3,0)*(HLOOKUP(C46,$E$149:$I$155,$P$150,0)-1)/100,0)+IFERROR('State of Good Repair - AP-AP'!$B$27*$C$109*B46*$J$109*VLOOKUP($E$109,$B$153:$D$155,3,0)*(HLOOKUP(C46,$E$149:$I$155,$P$151,0)-1)/100,0)),0)</f>
        <v>0</v>
      </c>
      <c r="K46" s="87">
        <f t="shared" si="6"/>
        <v>0</v>
      </c>
      <c r="M46" s="72"/>
    </row>
    <row r="47" spans="1:13">
      <c r="A47" s="89">
        <f>'Major Assumption Key'!A52</f>
        <v>2053</v>
      </c>
      <c r="B47" s="88">
        <f t="shared" si="1"/>
        <v>0</v>
      </c>
      <c r="C47" s="811" t="s">
        <v>96</v>
      </c>
      <c r="D47" s="90" t="str">
        <f t="shared" si="2"/>
        <v>Routine Maintenance</v>
      </c>
      <c r="E47" s="87">
        <f t="shared" si="3"/>
        <v>0</v>
      </c>
      <c r="F47" s="87">
        <f t="shared" si="4"/>
        <v>0</v>
      </c>
      <c r="G47" s="87" cm="1">
        <f t="array" ref="G47">IFERROR(-IF(A47=$H$8,LOOKUP(2,1/($F$14:$F$54&lt;&gt;0),$F$14:$F$54)*(8-(A47-_xlfn.XLOOKUP(LOOKUP(2,1/($F$14:$F$54&lt;&gt;0),$F$14:$F$54),$F$14:$F$54,$A$14:$A$54,,0)))/8,0),0)</f>
        <v>0</v>
      </c>
      <c r="H47" s="87">
        <f t="shared" si="5"/>
        <v>0</v>
      </c>
      <c r="I47" s="87">
        <f>IF(AND($A47&gt;=$H$7,$A47&lt;=$H$8),IFERROR('State of Good Repair - AP-AP'!$B$27*$C$108*B47*(1-$J$108)*VLOOKUP($E$108,$B$150:$D$152,3,0)*(HLOOKUP(C47,$E$149:$I$155,$O$150,0)-1)/100,0)+IFERROR('State of Good Repair - AP-AP'!$B$27*$C$109*B47*(1-$J$109)*VLOOKUP($E$109,$B$150:$D$152,3,0)*(HLOOKUP(C47,$E$149:$I$155,$O$151,0)-1)/100,0),0)</f>
        <v>0</v>
      </c>
      <c r="J47" s="87">
        <f>IF(AND($A47&gt;=$H$7,$A47&lt;=$H$8),(IFERROR('State of Good Repair - AP-AP'!$B$27*$C$108*B47*$J$108*VLOOKUP($E$108,$B$153:$D$155,3,0)*(HLOOKUP(C47,$E$149:$I$155,$P$150,0)-1)/100,0)+IFERROR('State of Good Repair - AP-AP'!$B$27*$C$109*B47*$J$109*VLOOKUP($E$109,$B$153:$D$155,3,0)*(HLOOKUP(C47,$E$149:$I$155,$P$151,0)-1)/100,0)),0)</f>
        <v>0</v>
      </c>
      <c r="K47" s="87">
        <f t="shared" si="6"/>
        <v>0</v>
      </c>
      <c r="M47" s="72"/>
    </row>
    <row r="48" spans="1:13">
      <c r="A48" s="89">
        <f>'Major Assumption Key'!A53</f>
        <v>2054</v>
      </c>
      <c r="B48" s="88">
        <f t="shared" si="1"/>
        <v>0</v>
      </c>
      <c r="C48" s="811" t="s">
        <v>96</v>
      </c>
      <c r="D48" s="90" t="str">
        <f t="shared" si="2"/>
        <v>Routine Maintenance</v>
      </c>
      <c r="E48" s="87">
        <f t="shared" si="3"/>
        <v>0</v>
      </c>
      <c r="F48" s="87">
        <f t="shared" si="4"/>
        <v>0</v>
      </c>
      <c r="G48" s="87" cm="1">
        <f t="array" ref="G48">IFERROR(-IF(A48=$H$8,LOOKUP(2,1/($F$14:$F$54&lt;&gt;0),$F$14:$F$54)*(8-(A48-_xlfn.XLOOKUP(LOOKUP(2,1/($F$14:$F$54&lt;&gt;0),$F$14:$F$54),$F$14:$F$54,$A$14:$A$54,,0)))/8,0),0)</f>
        <v>0</v>
      </c>
      <c r="H48" s="87">
        <f t="shared" si="5"/>
        <v>0</v>
      </c>
      <c r="I48" s="87">
        <f>IF(AND($A48&gt;=$H$7,$A48&lt;=$H$8),IFERROR('State of Good Repair - AP-AP'!$B$27*$C$108*B48*(1-$J$108)*VLOOKUP($E$108,$B$150:$D$152,3,0)*(HLOOKUP(C48,$E$149:$I$155,$O$150,0)-1)/100,0)+IFERROR('State of Good Repair - AP-AP'!$B$27*$C$109*B48*(1-$J$109)*VLOOKUP($E$109,$B$150:$D$152,3,0)*(HLOOKUP(C48,$E$149:$I$155,$O$151,0)-1)/100,0),0)</f>
        <v>0</v>
      </c>
      <c r="J48" s="87">
        <f>IF(AND($A48&gt;=$H$7,$A48&lt;=$H$8),(IFERROR('State of Good Repair - AP-AP'!$B$27*$C$108*B48*$J$108*VLOOKUP($E$108,$B$153:$D$155,3,0)*(HLOOKUP(C48,$E$149:$I$155,$P$150,0)-1)/100,0)+IFERROR('State of Good Repair - AP-AP'!$B$27*$C$109*B48*$J$109*VLOOKUP($E$109,$B$153:$D$155,3,0)*(HLOOKUP(C48,$E$149:$I$155,$P$151,0)-1)/100,0)),0)</f>
        <v>0</v>
      </c>
      <c r="K48" s="87">
        <f t="shared" si="6"/>
        <v>0</v>
      </c>
      <c r="M48" s="72"/>
    </row>
    <row r="49" spans="1:13">
      <c r="A49" s="89">
        <f>'Major Assumption Key'!A54</f>
        <v>2055</v>
      </c>
      <c r="B49" s="88">
        <f t="shared" si="1"/>
        <v>0</v>
      </c>
      <c r="C49" s="811" t="s">
        <v>97</v>
      </c>
      <c r="D49" s="90" t="str">
        <f t="shared" si="2"/>
        <v>Routine Maintenance</v>
      </c>
      <c r="E49" s="87">
        <f t="shared" si="3"/>
        <v>0</v>
      </c>
      <c r="F49" s="87">
        <f t="shared" si="4"/>
        <v>0</v>
      </c>
      <c r="G49" s="87" cm="1">
        <f t="array" ref="G49">IFERROR(-IF(A49=$H$8,LOOKUP(2,1/($F$14:$F$54&lt;&gt;0),$F$14:$F$54)*(8-(A49-_xlfn.XLOOKUP(LOOKUP(2,1/($F$14:$F$54&lt;&gt;0),$F$14:$F$54),$F$14:$F$54,$A$14:$A$54,,0)))/8,0),0)</f>
        <v>0</v>
      </c>
      <c r="H49" s="87">
        <f t="shared" si="5"/>
        <v>0</v>
      </c>
      <c r="I49" s="87">
        <f>IF(AND($A49&gt;=$H$7,$A49&lt;=$H$8),IFERROR('State of Good Repair - AP-AP'!$B$27*$C$108*B49*(1-$J$108)*VLOOKUP($E$108,$B$150:$D$152,3,0)*(HLOOKUP(C49,$E$149:$I$155,$O$150,0)-1)/100,0)+IFERROR('State of Good Repair - AP-AP'!$B$27*$C$109*B49*(1-$J$109)*VLOOKUP($E$109,$B$150:$D$152,3,0)*(HLOOKUP(C49,$E$149:$I$155,$O$151,0)-1)/100,0),0)</f>
        <v>0</v>
      </c>
      <c r="J49" s="87">
        <f>IF(AND($A49&gt;=$H$7,$A49&lt;=$H$8),(IFERROR('State of Good Repair - AP-AP'!$B$27*$C$108*B49*$J$108*VLOOKUP($E$108,$B$153:$D$155,3,0)*(HLOOKUP(C49,$E$149:$I$155,$P$150,0)-1)/100,0)+IFERROR('State of Good Repair - AP-AP'!$B$27*$C$109*B49*$J$109*VLOOKUP($E$109,$B$153:$D$155,3,0)*(HLOOKUP(C49,$E$149:$I$155,$P$151,0)-1)/100,0)),0)</f>
        <v>0</v>
      </c>
      <c r="K49" s="87">
        <f t="shared" si="6"/>
        <v>0</v>
      </c>
      <c r="M49" s="72"/>
    </row>
    <row r="50" spans="1:13">
      <c r="A50" s="89">
        <f>'Major Assumption Key'!A55</f>
        <v>2056</v>
      </c>
      <c r="B50" s="88">
        <f t="shared" si="1"/>
        <v>0</v>
      </c>
      <c r="C50" s="811" t="s">
        <v>98</v>
      </c>
      <c r="D50" s="90" t="str">
        <f t="shared" si="2"/>
        <v>Routine Maintenance</v>
      </c>
      <c r="E50" s="87">
        <f t="shared" si="3"/>
        <v>0</v>
      </c>
      <c r="F50" s="87">
        <f t="shared" si="4"/>
        <v>0</v>
      </c>
      <c r="G50" s="87" cm="1">
        <f t="array" ref="G50">IFERROR(-IF(A50=$H$8,LOOKUP(2,1/($F$14:$F$54&lt;&gt;0),$F$14:$F$54)*(8-(A50-_xlfn.XLOOKUP(LOOKUP(2,1/($F$14:$F$54&lt;&gt;0),$F$14:$F$54),$F$14:$F$54,$A$14:$A$54,,0)))/8,0),0)</f>
        <v>0</v>
      </c>
      <c r="H50" s="87">
        <f t="shared" si="5"/>
        <v>0</v>
      </c>
      <c r="I50" s="87">
        <f>IF(AND($A50&gt;=$H$7,$A50&lt;=$H$8),IFERROR('State of Good Repair - AP-AP'!$B$27*$C$108*B50*(1-$J$108)*VLOOKUP($E$108,$B$150:$D$152,3,0)*(HLOOKUP(C50,$E$149:$I$155,$O$150,0)-1)/100,0)+IFERROR('State of Good Repair - AP-AP'!$B$27*$C$109*B50*(1-$J$109)*VLOOKUP($E$109,$B$150:$D$152,3,0)*(HLOOKUP(C50,$E$149:$I$155,$O$151,0)-1)/100,0),0)</f>
        <v>0</v>
      </c>
      <c r="J50" s="87">
        <f>IF(AND($A50&gt;=$H$7,$A50&lt;=$H$8),(IFERROR('State of Good Repair - AP-AP'!$B$27*$C$108*B50*$J$108*VLOOKUP($E$108,$B$153:$D$155,3,0)*(HLOOKUP(C50,$E$149:$I$155,$P$150,0)-1)/100,0)+IFERROR('State of Good Repair - AP-AP'!$B$27*$C$109*B50*$J$109*VLOOKUP($E$109,$B$153:$D$155,3,0)*(HLOOKUP(C50,$E$149:$I$155,$P$151,0)-1)/100,0)),0)</f>
        <v>0</v>
      </c>
      <c r="K50" s="87">
        <f t="shared" si="6"/>
        <v>0</v>
      </c>
      <c r="M50" s="72"/>
    </row>
    <row r="51" spans="1:13">
      <c r="A51" s="89">
        <f>'Major Assumption Key'!A56</f>
        <v>2057</v>
      </c>
      <c r="B51" s="88">
        <f t="shared" si="1"/>
        <v>0</v>
      </c>
      <c r="C51" s="811" t="s">
        <v>99</v>
      </c>
      <c r="D51" s="90" t="str">
        <f t="shared" si="2"/>
        <v>Routine Maintenance</v>
      </c>
      <c r="E51" s="87">
        <f t="shared" si="3"/>
        <v>0</v>
      </c>
      <c r="F51" s="87">
        <f t="shared" si="4"/>
        <v>0</v>
      </c>
      <c r="G51" s="87" cm="1">
        <f t="array" ref="G51">IFERROR(-IF(A51=$H$8,LOOKUP(2,1/($F$14:$F$54&lt;&gt;0),$F$14:$F$54)*(8-(A51-_xlfn.XLOOKUP(LOOKUP(2,1/($F$14:$F$54&lt;&gt;0),$F$14:$F$54),$F$14:$F$54,$A$14:$A$54,,0)))/8,0),0)</f>
        <v>0</v>
      </c>
      <c r="H51" s="87">
        <f t="shared" si="5"/>
        <v>0</v>
      </c>
      <c r="I51" s="87">
        <f>IF(AND($A51&gt;=$H$7,$A51&lt;=$H$8),IFERROR('State of Good Repair - AP-AP'!$B$27*$C$108*B51*(1-$J$108)*VLOOKUP($E$108,$B$150:$D$152,3,0)*(HLOOKUP(C51,$E$149:$I$155,$O$150,0)-1)/100,0)+IFERROR('State of Good Repair - AP-AP'!$B$27*$C$109*B51*(1-$J$109)*VLOOKUP($E$109,$B$150:$D$152,3,0)*(HLOOKUP(C51,$E$149:$I$155,$O$151,0)-1)/100,0),0)</f>
        <v>0</v>
      </c>
      <c r="J51" s="87">
        <f>IF(AND($A51&gt;=$H$7,$A51&lt;=$H$8),(IFERROR('State of Good Repair - AP-AP'!$B$27*$C$108*B51*$J$108*VLOOKUP($E$108,$B$153:$D$155,3,0)*(HLOOKUP(C51,$E$149:$I$155,$P$150,0)-1)/100,0)+IFERROR('State of Good Repair - AP-AP'!$B$27*$C$109*B51*$J$109*VLOOKUP($E$109,$B$153:$D$155,3,0)*(HLOOKUP(C51,$E$149:$I$155,$P$151,0)-1)/100,0)),0)</f>
        <v>0</v>
      </c>
      <c r="K51" s="87">
        <f t="shared" si="6"/>
        <v>0</v>
      </c>
      <c r="M51" s="72"/>
    </row>
    <row r="52" spans="1:13">
      <c r="A52" s="89">
        <f>'Major Assumption Key'!A57</f>
        <v>2058</v>
      </c>
      <c r="B52" s="88">
        <f t="shared" si="1"/>
        <v>0</v>
      </c>
      <c r="C52" s="811" t="s">
        <v>99</v>
      </c>
      <c r="D52" s="90" t="str">
        <f t="shared" si="2"/>
        <v>Routine Maintenance</v>
      </c>
      <c r="E52" s="87">
        <f t="shared" si="3"/>
        <v>0</v>
      </c>
      <c r="F52" s="87">
        <f t="shared" si="4"/>
        <v>0</v>
      </c>
      <c r="G52" s="87" cm="1">
        <f t="array" ref="G52">IFERROR(-IF(A52=$H$8,LOOKUP(2,1/($F$14:$F$54&lt;&gt;0),$F$14:$F$54)*(8-(A52-_xlfn.XLOOKUP(LOOKUP(2,1/($F$14:$F$54&lt;&gt;0),$F$14:$F$54),$F$14:$F$54,$A$14:$A$54,,0)))/8,0),0)</f>
        <v>0</v>
      </c>
      <c r="H52" s="87">
        <f t="shared" si="5"/>
        <v>0</v>
      </c>
      <c r="I52" s="87">
        <f>IF(AND($A52&gt;=$H$7,$A52&lt;=$H$8),IFERROR('State of Good Repair - AP-AP'!$B$27*$C$108*B52*(1-$J$108)*VLOOKUP($E$108,$B$150:$D$152,3,0)*(HLOOKUP(C52,$E$149:$I$155,$O$150,0)-1)/100,0)+IFERROR('State of Good Repair - AP-AP'!$B$27*$C$109*B52*(1-$J$109)*VLOOKUP($E$109,$B$150:$D$152,3,0)*(HLOOKUP(C52,$E$149:$I$155,$O$151,0)-1)/100,0),0)</f>
        <v>0</v>
      </c>
      <c r="J52" s="87">
        <f>IF(AND($A52&gt;=$H$7,$A52&lt;=$H$8),(IFERROR('State of Good Repair - AP-AP'!$B$27*$C$108*B52*$J$108*VLOOKUP($E$108,$B$153:$D$155,3,0)*(HLOOKUP(C52,$E$149:$I$155,$P$150,0)-1)/100,0)+IFERROR('State of Good Repair - AP-AP'!$B$27*$C$109*B52*$J$109*VLOOKUP($E$109,$B$153:$D$155,3,0)*(HLOOKUP(C52,$E$149:$I$155,$P$151,0)-1)/100,0)),0)</f>
        <v>0</v>
      </c>
      <c r="K52" s="87">
        <f t="shared" si="6"/>
        <v>0</v>
      </c>
      <c r="M52" s="72"/>
    </row>
    <row r="53" spans="1:13">
      <c r="A53" s="89">
        <f>'Major Assumption Key'!A58</f>
        <v>2059</v>
      </c>
      <c r="B53" s="88">
        <f t="shared" si="1"/>
        <v>0</v>
      </c>
      <c r="C53" s="811" t="s">
        <v>567</v>
      </c>
      <c r="D53" s="90" t="str">
        <f t="shared" si="2"/>
        <v>Rehab</v>
      </c>
      <c r="E53" s="87">
        <f t="shared" si="3"/>
        <v>0</v>
      </c>
      <c r="F53" s="87">
        <f t="shared" si="4"/>
        <v>0</v>
      </c>
      <c r="G53" s="87" cm="1">
        <f t="array" ref="G53">IFERROR(-IF(A53=$H$8,LOOKUP(2,1/($F$14:$F$54&lt;&gt;0),$F$14:$F$54)*(8-(A53-_xlfn.XLOOKUP(LOOKUP(2,1/($F$14:$F$54&lt;&gt;0),$F$14:$F$54),$F$14:$F$54,$A$14:$A$54,,0)))/8,0),0)</f>
        <v>0</v>
      </c>
      <c r="H53" s="87">
        <f t="shared" si="5"/>
        <v>0</v>
      </c>
      <c r="I53" s="87">
        <f>IF(AND($A53&gt;=$H$7,$A53&lt;=$H$8),IFERROR('State of Good Repair - AP-AP'!$B$27*$C$108*B53*(1-$J$108)*VLOOKUP($E$108,$B$150:$D$152,3,0)*(HLOOKUP(C53,$E$149:$I$155,$O$150,0)-1)/100,0)+IFERROR('State of Good Repair - AP-AP'!$B$27*$C$109*B53*(1-$J$109)*VLOOKUP($E$109,$B$150:$D$152,3,0)*(HLOOKUP(C53,$E$149:$I$155,$O$151,0)-1)/100,0),0)</f>
        <v>0</v>
      </c>
      <c r="J53" s="87">
        <f>IF(AND($A53&gt;=$H$7,$A53&lt;=$H$8),(IFERROR('State of Good Repair - AP-AP'!$B$27*$C$108*B53*$J$108*VLOOKUP($E$108,$B$153:$D$155,3,0)*(HLOOKUP(C53,$E$149:$I$155,$P$150,0)-1)/100,0)+IFERROR('State of Good Repair - AP-AP'!$B$27*$C$109*B53*$J$109*VLOOKUP($E$109,$B$153:$D$155,3,0)*(HLOOKUP(C53,$E$149:$I$155,$P$151,0)-1)/100,0)),0)</f>
        <v>0</v>
      </c>
      <c r="K53" s="87">
        <f t="shared" si="6"/>
        <v>0</v>
      </c>
      <c r="M53" s="72"/>
    </row>
    <row r="54" spans="1:13">
      <c r="A54" s="89">
        <f>'Major Assumption Key'!A59</f>
        <v>2060</v>
      </c>
      <c r="B54" s="88">
        <f t="shared" si="1"/>
        <v>0</v>
      </c>
      <c r="C54" s="811" t="s">
        <v>96</v>
      </c>
      <c r="D54" s="90" t="str">
        <f t="shared" si="2"/>
        <v>Routine Maintenance</v>
      </c>
      <c r="E54" s="87">
        <f t="shared" si="3"/>
        <v>0</v>
      </c>
      <c r="F54" s="87">
        <f t="shared" si="4"/>
        <v>0</v>
      </c>
      <c r="G54" s="87" cm="1">
        <f t="array" ref="G54">IFERROR(-IF(A54=$H$8,LOOKUP(2,1/($F$14:$F$54&lt;&gt;0),$F$14:$F$54)*(8-(A54-_xlfn.XLOOKUP(LOOKUP(2,1/($F$14:$F$54&lt;&gt;0),$F$14:$F$54),$F$14:$F$54,$A$14:$A$54,,0)))/8,0),0)</f>
        <v>0</v>
      </c>
      <c r="H54" s="87">
        <f t="shared" si="5"/>
        <v>0</v>
      </c>
      <c r="I54" s="87">
        <f>IF(AND($A54&gt;=$H$7,$A54&lt;=$H$8),IFERROR('State of Good Repair - AP-AP'!$B$27*$C$108*B54*(1-$J$108)*VLOOKUP($E$108,$B$150:$D$152,3,0)*(HLOOKUP(C54,$E$149:$I$155,$O$150,0)-1)/100,0)+IFERROR('State of Good Repair - AP-AP'!$B$27*$C$109*B54*(1-$J$109)*VLOOKUP($E$109,$B$150:$D$152,3,0)*(HLOOKUP(C54,$E$149:$I$155,$O$151,0)-1)/100,0),0)</f>
        <v>0</v>
      </c>
      <c r="J54" s="87">
        <f>IF(AND($A54&gt;=$H$7,$A54&lt;=$H$8),(IFERROR('State of Good Repair - AP-AP'!$B$27*$C$108*B54*$J$108*VLOOKUP($E$108,$B$153:$D$155,3,0)*(HLOOKUP(C54,$E$149:$I$155,$P$150,0)-1)/100,0)+IFERROR('State of Good Repair - AP-AP'!$B$27*$C$109*B54*$J$109*VLOOKUP($E$109,$B$153:$D$155,3,0)*(HLOOKUP(C54,$E$149:$I$155,$P$151,0)-1)/100,0)),0)</f>
        <v>0</v>
      </c>
      <c r="K54" s="87">
        <f t="shared" si="6"/>
        <v>0</v>
      </c>
      <c r="M54" s="72"/>
    </row>
    <row r="55" spans="1:13">
      <c r="A55" s="94" t="s">
        <v>63</v>
      </c>
      <c r="B55" s="86"/>
      <c r="C55" s="85"/>
      <c r="D55" s="85"/>
      <c r="E55" s="121">
        <f>SUMIFS(E$14:E$54,$A$14:$A$54,"&gt;="&amp;$H$7,$A$14:$A$54,"&lt;="&amp;$H$8)</f>
        <v>0</v>
      </c>
      <c r="F55" s="121">
        <f t="shared" ref="F55:K55" si="7">SUMIFS(F$14:F$54,$A$14:$A$54,"&gt;="&amp;$H$7,$A$14:$A$54,"&lt;="&amp;$H$8)</f>
        <v>0</v>
      </c>
      <c r="G55" s="121">
        <f t="shared" si="7"/>
        <v>0</v>
      </c>
      <c r="H55" s="121">
        <f t="shared" si="7"/>
        <v>0</v>
      </c>
      <c r="I55" s="121">
        <f t="shared" si="7"/>
        <v>0</v>
      </c>
      <c r="J55" s="121">
        <f t="shared" si="7"/>
        <v>0</v>
      </c>
      <c r="K55" s="121">
        <f t="shared" si="7"/>
        <v>0</v>
      </c>
      <c r="M55" s="72"/>
    </row>
    <row r="56" spans="1:13">
      <c r="B56" s="73"/>
      <c r="M56" s="72"/>
    </row>
    <row r="57" spans="1:13">
      <c r="C57" s="72"/>
      <c r="D57" s="72"/>
      <c r="E57" s="72"/>
      <c r="F57" s="72"/>
      <c r="G57" s="72"/>
      <c r="H57" s="72"/>
      <c r="I57" s="72"/>
      <c r="M57" s="72"/>
    </row>
    <row r="58" spans="1:13" ht="37.950000000000003" customHeight="1">
      <c r="A58" s="1916" t="s">
        <v>489</v>
      </c>
      <c r="B58" s="1917"/>
      <c r="C58" s="1917"/>
      <c r="D58" s="1917"/>
      <c r="E58" s="1917"/>
      <c r="F58" s="1917"/>
      <c r="G58" s="1917"/>
      <c r="H58" s="1917"/>
      <c r="I58" s="1917"/>
      <c r="J58" s="1917"/>
      <c r="K58" s="1917"/>
      <c r="M58" s="72"/>
    </row>
    <row r="59" spans="1:13" ht="75" customHeight="1">
      <c r="A59" s="93" t="s">
        <v>510</v>
      </c>
      <c r="B59" s="91" t="s">
        <v>80</v>
      </c>
      <c r="C59" s="92" t="s">
        <v>559</v>
      </c>
      <c r="D59" s="92" t="s">
        <v>560</v>
      </c>
      <c r="E59" s="91" t="s">
        <v>569</v>
      </c>
      <c r="F59" s="91" t="s">
        <v>647</v>
      </c>
      <c r="G59" s="91" t="s">
        <v>571</v>
      </c>
      <c r="H59" s="91" t="s">
        <v>563</v>
      </c>
      <c r="I59" s="176" t="s">
        <v>564</v>
      </c>
      <c r="J59" s="176" t="s">
        <v>565</v>
      </c>
      <c r="K59" s="177" t="s">
        <v>566</v>
      </c>
      <c r="M59" s="72"/>
    </row>
    <row r="60" spans="1:13">
      <c r="A60" s="89">
        <f>'Major Assumption Key'!A19</f>
        <v>2020</v>
      </c>
      <c r="B60" s="88" t="str">
        <f>B14</f>
        <v/>
      </c>
      <c r="C60" s="812" t="str" cm="1">
        <f t="array" ref="C60">IF(A60-$H$9&lt;0,"",INDEX('Life Cycle of Rehabilitation'!$A$19:$A$73,A60-$H$9+1,0))</f>
        <v/>
      </c>
      <c r="D60" s="90" t="str">
        <f>IF(C60="",IF(AND(A60&gt;='Cost Summary'!$C$26,A60&lt;='Cost Summary'!$D$26),"Construction",D14),IF(C60="Light Rehabilitation","Rehab","Routine Maintenance"))</f>
        <v/>
      </c>
      <c r="E60" s="87">
        <f t="shared" ref="E60:E100" si="8">IF(AND($A60&gt;=$H$7,$A60&lt;=$H$8),IF(A60&gt;$H$9,IF(D60="Routine Maintenance",VLOOKUP(C60,$A$136:$D$142,4,0)*(1+$H$5)^(A60-$H$6),0),E14),0)</f>
        <v>0</v>
      </c>
      <c r="F60" s="87">
        <f>IF(D60="Rehab",$B$163*$H$108,0)*(1+$H$5)^(A14-$H$6)</f>
        <v>0</v>
      </c>
      <c r="G60" s="87"/>
      <c r="H60" s="87">
        <f>IF(AND(A60&gt;='Cost Summary'!$C$26,A60&lt;='Cost Summary'!$D$26),$J$186/IF('Cost Summary'!$D$26='Cost Summary'!$C$26,1,'Cost Summary'!$D$26-'Cost Summary'!$C$26)*(1+$H$5)^(A60-$H$6),0)+IF(D60="Rehab",$J$200,0)</f>
        <v>0</v>
      </c>
      <c r="I60" s="87">
        <f>IF(AND($A14&gt;=$H$7,$A14&lt;=$H$8),IFERROR('State of Good Repair - AP-AP'!$B$27*$C$108*B60*(1-$J$108)*VLOOKUP($E$108,$B$150:$D$152,3,0)*(HLOOKUP(C60,$E$149:$I$155,$O$150,0)-1)/100,0)+IFERROR('State of Good Repair - AP-AP'!$B$27*$C$109*B60*(1-$J$109)*VLOOKUP($E$109,$B$150:$D$152,3,0)*(HLOOKUP(C60,$E$149:$I$155,$O$151,0)-1)/100,0),0)</f>
        <v>0</v>
      </c>
      <c r="J60" s="87">
        <f>IF(AND($A14&gt;=$H$7,$A14&lt;=$H$8),IFERROR('State of Good Repair - AP-AP'!$B$27*$C$108*B60*$J$108*VLOOKUP($E$108,$B$153:$D$155,3,0)*(HLOOKUP(C60,$E$149:$I$155,$P$150,0)-1)/100,0)+IFERROR('State of Good Repair - AP-AP'!$B$27*$C$109*B60*$J$109*VLOOKUP($E$109,$B$153:$D$155,3,0)*(HLOOKUP(C60,$E$149:$I$155,$P$151,0)-1)/100,0),0)</f>
        <v>0</v>
      </c>
      <c r="K60" s="87">
        <f t="shared" ref="K60" si="9">I60+J60</f>
        <v>0</v>
      </c>
      <c r="M60" s="72"/>
    </row>
    <row r="61" spans="1:13">
      <c r="A61" s="89">
        <f>'Major Assumption Key'!A20</f>
        <v>2021</v>
      </c>
      <c r="B61" s="88" t="str">
        <f t="shared" ref="B61:B100" si="10">B15</f>
        <v/>
      </c>
      <c r="C61" s="812" t="str" cm="1">
        <f t="array" ref="C61">IF(A61-$H$9&lt;0,"",INDEX('Life Cycle of Rehabilitation'!$A$19:$A$73,A61-$H$9+1,0))</f>
        <v/>
      </c>
      <c r="D61" s="90" t="str">
        <f>IF(C61="",IF(AND(A61&gt;='Cost Summary'!$C$26,A61&lt;='Cost Summary'!$D$26),"Construction",D15),IF(C61="Light Rehabilitation","Rehab","Routine Maintenance"))</f>
        <v/>
      </c>
      <c r="E61" s="87">
        <f t="shared" si="8"/>
        <v>0</v>
      </c>
      <c r="F61" s="87">
        <f t="shared" ref="F61:F100" si="11">IF(D61="Rehab",$B$163*$H$108,0)*(1+$H$5)^(A15-$H$6)</f>
        <v>0</v>
      </c>
      <c r="G61" s="87"/>
      <c r="H61" s="87">
        <f>IF(AND(A61&gt;='Cost Summary'!$C$26,A61&lt;='Cost Summary'!$D$26),$J$186/IF('Cost Summary'!$D$26='Cost Summary'!$C$26,1,'Cost Summary'!$D$26-'Cost Summary'!$C$26)*(1+$H$5)^(A61-$H$6),0)+IF(D61="Rehab",$J$200,0)</f>
        <v>0</v>
      </c>
      <c r="I61" s="87">
        <f>IF(AND($A15&gt;=$H$7,$A15&lt;=$H$8),IFERROR('State of Good Repair - AP-AP'!$B$27*$C$108*B61*(1-$J$108)*VLOOKUP($E$108,$B$150:$D$152,3,0)*(HLOOKUP(C61,$E$149:$I$155,$O$150,0)-1)/100,0)+IFERROR('State of Good Repair - AP-AP'!$B$27*$C$109*B61*(1-$J$109)*VLOOKUP($E$109,$B$150:$D$152,3,0)*(HLOOKUP(C61,$E$149:$I$155,$O$151,0)-1)/100,0),0)</f>
        <v>0</v>
      </c>
      <c r="J61" s="87">
        <f>IF(AND($A15&gt;=$H$7,$A15&lt;=$H$8),IFERROR('State of Good Repair - AP-AP'!$B$27*$C$108*B61*$J$108*VLOOKUP($E$108,$B$153:$D$155,3,0)*(HLOOKUP(C61,$E$149:$I$155,$P$150,0)-1)/100,0)+IFERROR('State of Good Repair - AP-AP'!$B$27*$C$109*B61*$J$109*VLOOKUP($E$109,$B$153:$D$155,3,0)*(HLOOKUP(C61,$E$149:$I$155,$P$151,0)-1)/100,0),0)</f>
        <v>0</v>
      </c>
      <c r="K61" s="87">
        <f t="shared" ref="K61:K100" si="12">I61+J61</f>
        <v>0</v>
      </c>
      <c r="M61" s="72"/>
    </row>
    <row r="62" spans="1:13">
      <c r="A62" s="89">
        <f>'Major Assumption Key'!A21</f>
        <v>2022</v>
      </c>
      <c r="B62" s="88">
        <f t="shared" si="10"/>
        <v>0</v>
      </c>
      <c r="C62" s="812" t="str" cm="1">
        <f t="array" ref="C62">IF(A62-$H$9&lt;0,"",INDEX('Life Cycle of Rehabilitation'!$A$19:$A$73,A62-$H$9+1,0))</f>
        <v/>
      </c>
      <c r="D62" s="90" t="str">
        <f>IF(C62="",IF(AND(A62&gt;='Cost Summary'!$C$26,A62&lt;='Cost Summary'!$D$26),"Construction",D16),IF(C62="Light Rehabilitation","Rehab","Routine Maintenance"))</f>
        <v/>
      </c>
      <c r="E62" s="87">
        <f t="shared" si="8"/>
        <v>0</v>
      </c>
      <c r="F62" s="87">
        <f t="shared" si="11"/>
        <v>0</v>
      </c>
      <c r="G62" s="87"/>
      <c r="H62" s="87">
        <f>IF(AND(A62&gt;='Cost Summary'!$C$26,A62&lt;='Cost Summary'!$D$26),$J$186/IF('Cost Summary'!$D$26='Cost Summary'!$C$26,1,'Cost Summary'!$D$26-'Cost Summary'!$C$26)*(1+$H$5)^(A62-$H$6),0)+IF(D62="Rehab",$J$200,0)</f>
        <v>0</v>
      </c>
      <c r="I62" s="87">
        <f>IF(AND($A16&gt;=$H$7,$A16&lt;=$H$8),IFERROR('State of Good Repair - AP-AP'!$B$27*$C$108*B62*(1-$J$108)*VLOOKUP($E$108,$B$150:$D$152,3,0)*(HLOOKUP(C62,$E$149:$I$155,$O$150,0)-1)/100,0)+IFERROR('State of Good Repair - AP-AP'!$B$27*$C$109*B62*(1-$J$109)*VLOOKUP($E$109,$B$150:$D$152,3,0)*(HLOOKUP(C62,$E$149:$I$155,$O$151,0)-1)/100,0),0)</f>
        <v>0</v>
      </c>
      <c r="J62" s="87">
        <f>IF(AND($A16&gt;=$H$7,$A16&lt;=$H$8),IFERROR('State of Good Repair - AP-AP'!$B$27*$C$108*B62*$J$108*VLOOKUP($E$108,$B$153:$D$155,3,0)*(HLOOKUP(C62,$E$149:$I$155,$P$150,0)-1)/100,0)+IFERROR('State of Good Repair - AP-AP'!$B$27*$C$109*B62*$J$109*VLOOKUP($E$109,$B$153:$D$155,3,0)*(HLOOKUP(C62,$E$149:$I$155,$P$151,0)-1)/100,0),0)</f>
        <v>0</v>
      </c>
      <c r="K62" s="87">
        <f t="shared" si="12"/>
        <v>0</v>
      </c>
      <c r="M62" s="72"/>
    </row>
    <row r="63" spans="1:13">
      <c r="A63" s="89">
        <f>'Major Assumption Key'!A22</f>
        <v>2023</v>
      </c>
      <c r="B63" s="88">
        <f t="shared" si="10"/>
        <v>0</v>
      </c>
      <c r="C63" s="812" t="str" cm="1">
        <f t="array" ref="C63">IF(A63-$H$9&lt;0,"",INDEX('Life Cycle of Rehabilitation'!$A$19:$A$73,A63-$H$9+1,0))</f>
        <v/>
      </c>
      <c r="D63" s="90" t="str">
        <f>IF(C63="",IF(AND(A63&gt;='Cost Summary'!$C$26,A63&lt;='Cost Summary'!$D$26),"Construction",D17),IF(C63="Light Rehabilitation","Rehab","Routine Maintenance"))</f>
        <v>Routine Maintenance</v>
      </c>
      <c r="E63" s="87">
        <f t="shared" si="8"/>
        <v>0</v>
      </c>
      <c r="F63" s="87">
        <f t="shared" si="11"/>
        <v>0</v>
      </c>
      <c r="G63" s="87"/>
      <c r="H63" s="87">
        <f>IF(AND(A63&gt;='Cost Summary'!$C$26,A63&lt;='Cost Summary'!$D$26),$J$186/IF('Cost Summary'!$D$26='Cost Summary'!$C$26,1,'Cost Summary'!$D$26-'Cost Summary'!$C$26)*(1+$H$5)^(A63-$H$6),0)+IF(D63="Rehab",$J$200,0)</f>
        <v>0</v>
      </c>
      <c r="I63" s="87">
        <f>IF(AND($A17&gt;=$H$7,$A17&lt;=$H$8),IFERROR('State of Good Repair - AP-AP'!$B$27*$C$108*B63*(1-$J$108)*VLOOKUP($E$108,$B$150:$D$152,3,0)*(HLOOKUP(C63,$E$149:$I$155,$O$150,0)-1)/100,0)+IFERROR('State of Good Repair - AP-AP'!$B$27*$C$109*B63*(1-$J$109)*VLOOKUP($E$109,$B$150:$D$152,3,0)*(HLOOKUP(C63,$E$149:$I$155,$O$151,0)-1)/100,0),0)</f>
        <v>0</v>
      </c>
      <c r="J63" s="87">
        <f>IF(AND($A17&gt;=$H$7,$A17&lt;=$H$8),IFERROR('State of Good Repair - AP-AP'!$B$27*$C$108*B63*$J$108*VLOOKUP($E$108,$B$153:$D$155,3,0)*(HLOOKUP(C63,$E$149:$I$155,$P$150,0)-1)/100,0)+IFERROR('State of Good Repair - AP-AP'!$B$27*$C$109*B63*$J$109*VLOOKUP($E$109,$B$153:$D$155,3,0)*(HLOOKUP(C63,$E$149:$I$155,$P$151,0)-1)/100,0),0)</f>
        <v>0</v>
      </c>
      <c r="K63" s="87">
        <f t="shared" si="12"/>
        <v>0</v>
      </c>
      <c r="M63" s="72"/>
    </row>
    <row r="64" spans="1:13">
      <c r="A64" s="89">
        <f>'Major Assumption Key'!A23</f>
        <v>2024</v>
      </c>
      <c r="B64" s="88">
        <f t="shared" si="10"/>
        <v>0</v>
      </c>
      <c r="C64" s="812" t="str" cm="1">
        <f t="array" ref="C64">IF(A64-$H$9&lt;0,"",INDEX('Life Cycle of Rehabilitation'!$A$19:$A$73,A64-$H$9+1,0))</f>
        <v/>
      </c>
      <c r="D64" s="90" t="str">
        <f>IF(C64="",IF(AND(A64&gt;='Cost Summary'!$C$26,A64&lt;='Cost Summary'!$D$26),"Construction",D18),IF(C64="Light Rehabilitation","Rehab","Routine Maintenance"))</f>
        <v>Rehab</v>
      </c>
      <c r="E64" s="87">
        <f t="shared" si="8"/>
        <v>0</v>
      </c>
      <c r="F64" s="87">
        <f t="shared" si="11"/>
        <v>0</v>
      </c>
      <c r="G64" s="87"/>
      <c r="H64" s="87">
        <f>IF(AND(A64&gt;='Cost Summary'!$C$26,A64&lt;='Cost Summary'!$D$26),$J$186/IF('Cost Summary'!$D$26='Cost Summary'!$C$26,1,'Cost Summary'!$D$26-'Cost Summary'!$C$26)*(1+$H$5)^(A64-$H$6),0)+IF(D64="Rehab",$J$200,0)</f>
        <v>0</v>
      </c>
      <c r="I64" s="87">
        <f>IF(AND($A18&gt;=$H$7,$A18&lt;=$H$8),IFERROR('State of Good Repair - AP-AP'!$B$27*$C$108*B64*(1-$J$108)*VLOOKUP($E$108,$B$150:$D$152,3,0)*(HLOOKUP(C64,$E$149:$I$155,$O$150,0)-1)/100,0)+IFERROR('State of Good Repair - AP-AP'!$B$27*$C$109*B64*(1-$J$109)*VLOOKUP($E$109,$B$150:$D$152,3,0)*(HLOOKUP(C64,$E$149:$I$155,$O$151,0)-1)/100,0),0)</f>
        <v>0</v>
      </c>
      <c r="J64" s="87">
        <f>IF(AND($A18&gt;=$H$7,$A18&lt;=$H$8),IFERROR('State of Good Repair - AP-AP'!$B$27*$C$108*B64*$J$108*VLOOKUP($E$108,$B$153:$D$155,3,0)*(HLOOKUP(C64,$E$149:$I$155,$P$150,0)-1)/100,0)+IFERROR('State of Good Repair - AP-AP'!$B$27*$C$109*B64*$J$109*VLOOKUP($E$109,$B$153:$D$155,3,0)*(HLOOKUP(C64,$E$149:$I$155,$P$151,0)-1)/100,0),0)</f>
        <v>0</v>
      </c>
      <c r="K64" s="87">
        <f t="shared" si="12"/>
        <v>0</v>
      </c>
      <c r="M64" s="72"/>
    </row>
    <row r="65" spans="1:13">
      <c r="A65" s="89">
        <f>'Major Assumption Key'!A24</f>
        <v>2025</v>
      </c>
      <c r="B65" s="88">
        <f t="shared" si="10"/>
        <v>0</v>
      </c>
      <c r="C65" s="812" t="str" cm="1">
        <f t="array" ref="C65">IF(A65-$H$9&lt;0,"",INDEX('Life Cycle of Rehabilitation'!$A$19:$A$73,A65-$H$9+1,0))</f>
        <v/>
      </c>
      <c r="D65" s="90" t="str">
        <f>IF(C65="",IF(AND(A65&gt;='Cost Summary'!$C$26,A65&lt;='Cost Summary'!$D$26),"Construction",D19),IF(C65="Light Rehabilitation","Rehab","Routine Maintenance"))</f>
        <v>Routine Maintenance</v>
      </c>
      <c r="E65" s="87">
        <f t="shared" si="8"/>
        <v>0</v>
      </c>
      <c r="F65" s="87">
        <f t="shared" si="11"/>
        <v>0</v>
      </c>
      <c r="G65" s="87"/>
      <c r="H65" s="87">
        <f>IF(AND(A65&gt;='Cost Summary'!$C$26,A65&lt;='Cost Summary'!$D$26),$J$186/IF('Cost Summary'!$D$26='Cost Summary'!$C$26,1,'Cost Summary'!$D$26-'Cost Summary'!$C$26)*(1+$H$5)^(A65-$H$6),0)+IF(D65="Rehab",$J$200,0)</f>
        <v>0</v>
      </c>
      <c r="I65" s="87">
        <f>IF(AND($A19&gt;=$H$7,$A19&lt;=$H$8),IFERROR('State of Good Repair - AP-AP'!$B$27*$C$108*B65*(1-$J$108)*VLOOKUP($E$108,$B$150:$D$152,3,0)*(HLOOKUP(C65,$E$149:$I$155,$O$150,0)-1)/100,0)+IFERROR('State of Good Repair - AP-AP'!$B$27*$C$109*B65*(1-$J$109)*VLOOKUP($E$109,$B$150:$D$152,3,0)*(HLOOKUP(C65,$E$149:$I$155,$O$151,0)-1)/100,0),0)</f>
        <v>0</v>
      </c>
      <c r="J65" s="87">
        <f>IF(AND($A19&gt;=$H$7,$A19&lt;=$H$8),IFERROR('State of Good Repair - AP-AP'!$B$27*$C$108*B65*$J$108*VLOOKUP($E$108,$B$153:$D$155,3,0)*(HLOOKUP(C65,$E$149:$I$155,$P$150,0)-1)/100,0)+IFERROR('State of Good Repair - AP-AP'!$B$27*$C$109*B65*$J$109*VLOOKUP($E$109,$B$153:$D$155,3,0)*(HLOOKUP(C65,$E$149:$I$155,$P$151,0)-1)/100,0),0)</f>
        <v>0</v>
      </c>
      <c r="K65" s="87">
        <f t="shared" si="12"/>
        <v>0</v>
      </c>
      <c r="M65" s="72"/>
    </row>
    <row r="66" spans="1:13">
      <c r="A66" s="89">
        <f>'Major Assumption Key'!A25</f>
        <v>2026</v>
      </c>
      <c r="B66" s="88">
        <f t="shared" si="10"/>
        <v>0</v>
      </c>
      <c r="C66" s="812" t="str" cm="1">
        <f t="array" ref="C66">IF(A66-$H$9&lt;0,"",INDEX('Life Cycle of Rehabilitation'!$A$19:$A$73,A66-$H$9+1,0))</f>
        <v/>
      </c>
      <c r="D66" s="90" t="str">
        <f>IF(C66="",IF(AND(A66&gt;='Cost Summary'!$C$26,A66&lt;='Cost Summary'!$D$26),"Construction",D20),IF(C66="Light Rehabilitation","Rehab","Routine Maintenance"))</f>
        <v>Construction</v>
      </c>
      <c r="E66" s="87">
        <f t="shared" si="8"/>
        <v>0</v>
      </c>
      <c r="F66" s="87">
        <f t="shared" si="11"/>
        <v>0</v>
      </c>
      <c r="G66" s="87"/>
      <c r="H66" s="87">
        <f>IF(AND(A66&gt;='Cost Summary'!$C$26,A66&lt;='Cost Summary'!$D$26),$J$186/IF('Cost Summary'!$D$26='Cost Summary'!$C$26,1,'Cost Summary'!$D$26-'Cost Summary'!$C$26)*(1+$H$5)^(A66-$H$6),0)+IF(D66="Rehab",$J$200,0)</f>
        <v>0</v>
      </c>
      <c r="I66" s="87">
        <f>IF(AND($A20&gt;=$H$7,$A20&lt;=$H$8),IFERROR('State of Good Repair - AP-AP'!$B$27*$C$108*B66*(1-$J$108)*VLOOKUP($E$108,$B$150:$D$152,3,0)*(HLOOKUP(C66,$E$149:$I$155,$O$150,0)-1)/100,0)+IFERROR('State of Good Repair - AP-AP'!$B$27*$C$109*B66*(1-$J$109)*VLOOKUP($E$109,$B$150:$D$152,3,0)*(HLOOKUP(C66,$E$149:$I$155,$O$151,0)-1)/100,0),0)</f>
        <v>0</v>
      </c>
      <c r="J66" s="87">
        <f>IF(AND($A20&gt;=$H$7,$A20&lt;=$H$8),IFERROR('State of Good Repair - AP-AP'!$B$27*$C$108*B66*$J$108*VLOOKUP($E$108,$B$153:$D$155,3,0)*(HLOOKUP(C66,$E$149:$I$155,$P$150,0)-1)/100,0)+IFERROR('State of Good Repair - AP-AP'!$B$27*$C$109*B66*$J$109*VLOOKUP($E$109,$B$153:$D$155,3,0)*(HLOOKUP(C66,$E$149:$I$155,$P$151,0)-1)/100,0),0)</f>
        <v>0</v>
      </c>
      <c r="K66" s="87">
        <f t="shared" si="12"/>
        <v>0</v>
      </c>
      <c r="M66" s="72"/>
    </row>
    <row r="67" spans="1:13">
      <c r="A67" s="89">
        <f>'Major Assumption Key'!A26</f>
        <v>2027</v>
      </c>
      <c r="B67" s="88">
        <f t="shared" si="10"/>
        <v>0</v>
      </c>
      <c r="C67" s="812" t="str" cm="1">
        <f t="array" ref="C67">IF(A67-$H$9&lt;0,"",INDEX('Life Cycle of Rehabilitation'!$A$19:$A$73,A67-$H$9+1,0))</f>
        <v/>
      </c>
      <c r="D67" s="90" t="str">
        <f>IF(C67="",IF(AND(A67&gt;='Cost Summary'!$C$26,A67&lt;='Cost Summary'!$D$26),"Construction",D21),IF(C67="Light Rehabilitation","Rehab","Routine Maintenance"))</f>
        <v>Construction</v>
      </c>
      <c r="E67" s="87">
        <f t="shared" si="8"/>
        <v>0</v>
      </c>
      <c r="F67" s="87">
        <f t="shared" si="11"/>
        <v>0</v>
      </c>
      <c r="G67" s="87"/>
      <c r="H67" s="87">
        <f>IF(AND(A67&gt;='Cost Summary'!$C$26,A67&lt;='Cost Summary'!$D$26),$J$186/IF('Cost Summary'!$D$26='Cost Summary'!$C$26,1,'Cost Summary'!$D$26-'Cost Summary'!$C$26)*(1+$H$5)^(A67-$H$6),0)+IF(D67="Rehab",$J$200,0)</f>
        <v>0</v>
      </c>
      <c r="I67" s="87">
        <f>IF(AND($A21&gt;=$H$7,$A21&lt;=$H$8),IFERROR('State of Good Repair - AP-AP'!$B$27*$C$108*B67*(1-$J$108)*VLOOKUP($E$108,$B$150:$D$152,3,0)*(HLOOKUP(C67,$E$149:$I$155,$O$150,0)-1)/100,0)+IFERROR('State of Good Repair - AP-AP'!$B$27*$C$109*B67*(1-$J$109)*VLOOKUP($E$109,$B$150:$D$152,3,0)*(HLOOKUP(C67,$E$149:$I$155,$O$151,0)-1)/100,0),0)</f>
        <v>0</v>
      </c>
      <c r="J67" s="87">
        <f>IF(AND($A21&gt;=$H$7,$A21&lt;=$H$8),IFERROR('State of Good Repair - AP-AP'!$B$27*$C$108*B67*$J$108*VLOOKUP($E$108,$B$153:$D$155,3,0)*(HLOOKUP(C67,$E$149:$I$155,$P$150,0)-1)/100,0)+IFERROR('State of Good Repair - AP-AP'!$B$27*$C$109*B67*$J$109*VLOOKUP($E$109,$B$153:$D$155,3,0)*(HLOOKUP(C67,$E$149:$I$155,$P$151,0)-1)/100,0),0)</f>
        <v>0</v>
      </c>
      <c r="K67" s="87">
        <f t="shared" si="12"/>
        <v>0</v>
      </c>
      <c r="M67" s="72"/>
    </row>
    <row r="68" spans="1:13">
      <c r="A68" s="89">
        <f>'Major Assumption Key'!A27</f>
        <v>2028</v>
      </c>
      <c r="B68" s="88">
        <f t="shared" si="10"/>
        <v>0</v>
      </c>
      <c r="C68" s="812" t="str" cm="1">
        <f t="array" ref="C68">IF(A68-$H$9&lt;0,"",INDEX('Life Cycle of Rehabilitation'!$A$19:$A$73,A68-$H$9+1,0))</f>
        <v>New</v>
      </c>
      <c r="D68" s="90" t="str">
        <f>IF(C68="",IF(AND(A68&gt;='Cost Summary'!$C$26,A68&lt;='Cost Summary'!$D$26),"Construction",D22),IF(C68="Light Rehabilitation","Rehab","Routine Maintenance"))</f>
        <v>Routine Maintenance</v>
      </c>
      <c r="E68" s="87">
        <f t="shared" si="8"/>
        <v>0</v>
      </c>
      <c r="F68" s="87">
        <f t="shared" si="11"/>
        <v>0</v>
      </c>
      <c r="G68" s="87"/>
      <c r="H68" s="87">
        <f>IF(AND(A68&gt;='Cost Summary'!$C$26,A68&lt;='Cost Summary'!$D$26),$J$186/IF('Cost Summary'!$D$26='Cost Summary'!$C$26,1,'Cost Summary'!$D$26-'Cost Summary'!$C$26)*(1+$H$5)^(A68-$H$6),0)+IF(D68="Rehab",$J$200,0)</f>
        <v>0</v>
      </c>
      <c r="I68" s="87">
        <f>IF(AND($A22&gt;=$H$7,$A22&lt;=$H$8),IFERROR('State of Good Repair - AP-AP'!$B$27*$C$108*B68*(1-$J$108)*VLOOKUP($E$108,$B$150:$D$152,3,0)*(HLOOKUP(C68,$E$149:$I$155,$O$150,0)-1)/100,0)+IFERROR('State of Good Repair - AP-AP'!$B$27*$C$109*B68*(1-$J$109)*VLOOKUP($E$109,$B$150:$D$152,3,0)*(HLOOKUP(C68,$E$149:$I$155,$O$151,0)-1)/100,0),0)</f>
        <v>0</v>
      </c>
      <c r="J68" s="87">
        <f>IF(AND($A22&gt;=$H$7,$A22&lt;=$H$8),IFERROR('State of Good Repair - AP-AP'!$B$27*$C$108*B68*$J$108*VLOOKUP($E$108,$B$153:$D$155,3,0)*(HLOOKUP(C68,$E$149:$I$155,$P$150,0)-1)/100,0)+IFERROR('State of Good Repair - AP-AP'!$B$27*$C$109*B68*$J$109*VLOOKUP($E$109,$B$153:$D$155,3,0)*(HLOOKUP(C68,$E$149:$I$155,$P$151,0)-1)/100,0),0)</f>
        <v>0</v>
      </c>
      <c r="K68" s="87">
        <f t="shared" si="12"/>
        <v>0</v>
      </c>
      <c r="M68" s="72"/>
    </row>
    <row r="69" spans="1:13">
      <c r="A69" s="89">
        <f>'Major Assumption Key'!A28</f>
        <v>2029</v>
      </c>
      <c r="B69" s="88">
        <f t="shared" si="10"/>
        <v>0</v>
      </c>
      <c r="C69" s="812" t="str" cm="1">
        <f t="array" ref="C69">IF(A69-$H$9&lt;0,"",INDEX('Life Cycle of Rehabilitation'!$A$19:$A$73,A69-$H$9+1,0))</f>
        <v>New</v>
      </c>
      <c r="D69" s="90" t="str">
        <f>IF(C69="",IF(AND(A69&gt;='Cost Summary'!$C$26,A69&lt;='Cost Summary'!$D$26),"Construction",D23),IF(C69="Light Rehabilitation","Rehab","Routine Maintenance"))</f>
        <v>Routine Maintenance</v>
      </c>
      <c r="E69" s="87">
        <f t="shared" si="8"/>
        <v>0</v>
      </c>
      <c r="F69" s="87">
        <f t="shared" si="11"/>
        <v>0</v>
      </c>
      <c r="G69" s="87"/>
      <c r="H69" s="87">
        <f>IF(AND(A69&gt;='Cost Summary'!$C$26,A69&lt;='Cost Summary'!$D$26),$J$186/IF('Cost Summary'!$D$26='Cost Summary'!$C$26,1,'Cost Summary'!$D$26-'Cost Summary'!$C$26)*(1+$H$5)^(A69-$H$6),0)+IF(D69="Rehab",$J$200,0)</f>
        <v>0</v>
      </c>
      <c r="I69" s="87">
        <f>IF(AND($A23&gt;=$H$7,$A23&lt;=$H$8),IFERROR('State of Good Repair - AP-AP'!$B$27*$C$108*B69*(1-$J$108)*VLOOKUP($E$108,$B$150:$D$152,3,0)*(HLOOKUP(C69,$E$149:$I$155,$O$150,0)-1)/100,0)+IFERROR('State of Good Repair - AP-AP'!$B$27*$C$109*B69*(1-$J$109)*VLOOKUP($E$109,$B$150:$D$152,3,0)*(HLOOKUP(C69,$E$149:$I$155,$O$151,0)-1)/100,0),0)</f>
        <v>0</v>
      </c>
      <c r="J69" s="87">
        <f>IF(AND($A23&gt;=$H$7,$A23&lt;=$H$8),IFERROR('State of Good Repair - AP-AP'!$B$27*$C$108*B69*$J$108*VLOOKUP($E$108,$B$153:$D$155,3,0)*(HLOOKUP(C69,$E$149:$I$155,$P$150,0)-1)/100,0)+IFERROR('State of Good Repair - AP-AP'!$B$27*$C$109*B69*$J$109*VLOOKUP($E$109,$B$153:$D$155,3,0)*(HLOOKUP(C69,$E$149:$I$155,$P$151,0)-1)/100,0),0)</f>
        <v>0</v>
      </c>
      <c r="K69" s="87">
        <f t="shared" si="12"/>
        <v>0</v>
      </c>
      <c r="M69" s="72"/>
    </row>
    <row r="70" spans="1:13">
      <c r="A70" s="89">
        <f>'Major Assumption Key'!A29</f>
        <v>2030</v>
      </c>
      <c r="B70" s="88">
        <f t="shared" si="10"/>
        <v>0</v>
      </c>
      <c r="C70" s="812" t="str" cm="1">
        <f t="array" ref="C70">IF(A70-$H$9&lt;0,"",INDEX('Life Cycle of Rehabilitation'!$A$19:$A$73,A70-$H$9+1,0))</f>
        <v>New</v>
      </c>
      <c r="D70" s="90" t="str">
        <f>IF(C70="",IF(AND(A70&gt;='Cost Summary'!$C$26,A70&lt;='Cost Summary'!$D$26),"Construction",D24),IF(C70="Light Rehabilitation","Rehab","Routine Maintenance"))</f>
        <v>Routine Maintenance</v>
      </c>
      <c r="E70" s="87">
        <f t="shared" si="8"/>
        <v>0</v>
      </c>
      <c r="F70" s="87">
        <f t="shared" si="11"/>
        <v>0</v>
      </c>
      <c r="G70" s="87"/>
      <c r="H70" s="87">
        <f>IF(AND(A70&gt;='Cost Summary'!$C$26,A70&lt;='Cost Summary'!$D$26),$J$186/IF('Cost Summary'!$D$26='Cost Summary'!$C$26,1,'Cost Summary'!$D$26-'Cost Summary'!$C$26)*(1+$H$5)^(A70-$H$6),0)+IF(D70="Rehab",$J$200,0)</f>
        <v>0</v>
      </c>
      <c r="I70" s="87">
        <f>IF(AND($A24&gt;=$H$7,$A24&lt;=$H$8),IFERROR('State of Good Repair - AP-AP'!$B$27*$C$108*B70*(1-$J$108)*VLOOKUP($E$108,$B$150:$D$152,3,0)*(HLOOKUP(C70,$E$149:$I$155,$O$150,0)-1)/100,0)+IFERROR('State of Good Repair - AP-AP'!$B$27*$C$109*B70*(1-$J$109)*VLOOKUP($E$109,$B$150:$D$152,3,0)*(HLOOKUP(C70,$E$149:$I$155,$O$151,0)-1)/100,0),0)</f>
        <v>0</v>
      </c>
      <c r="J70" s="87">
        <f>IF(AND($A24&gt;=$H$7,$A24&lt;=$H$8),IFERROR('State of Good Repair - AP-AP'!$B$27*$C$108*B70*$J$108*VLOOKUP($E$108,$B$153:$D$155,3,0)*(HLOOKUP(C70,$E$149:$I$155,$P$150,0)-1)/100,0)+IFERROR('State of Good Repair - AP-AP'!$B$27*$C$109*B70*$J$109*VLOOKUP($E$109,$B$153:$D$155,3,0)*(HLOOKUP(C70,$E$149:$I$155,$P$151,0)-1)/100,0),0)</f>
        <v>0</v>
      </c>
      <c r="K70" s="87">
        <f t="shared" si="12"/>
        <v>0</v>
      </c>
      <c r="M70" s="72"/>
    </row>
    <row r="71" spans="1:13">
      <c r="A71" s="89">
        <f>'Major Assumption Key'!A30</f>
        <v>2031</v>
      </c>
      <c r="B71" s="88">
        <f t="shared" si="10"/>
        <v>0</v>
      </c>
      <c r="C71" s="812" t="str" cm="1">
        <f t="array" ref="C71">IF(A71-$H$9&lt;0,"",INDEX('Life Cycle of Rehabilitation'!$A$19:$A$73,A71-$H$9+1,0))</f>
        <v>New</v>
      </c>
      <c r="D71" s="90" t="str">
        <f>IF(C71="",IF(AND(A71&gt;='Cost Summary'!$C$26,A71&lt;='Cost Summary'!$D$26),"Construction",D25),IF(C71="Light Rehabilitation","Rehab","Routine Maintenance"))</f>
        <v>Routine Maintenance</v>
      </c>
      <c r="E71" s="87">
        <f t="shared" si="8"/>
        <v>0</v>
      </c>
      <c r="F71" s="87">
        <f t="shared" si="11"/>
        <v>0</v>
      </c>
      <c r="G71" s="87"/>
      <c r="H71" s="87">
        <f>IF(AND(A71&gt;='Cost Summary'!$C$26,A71&lt;='Cost Summary'!$D$26),$J$186/IF('Cost Summary'!$D$26='Cost Summary'!$C$26,1,'Cost Summary'!$D$26-'Cost Summary'!$C$26)*(1+$H$5)^(A71-$H$6),0)+IF(D71="Rehab",$J$200,0)</f>
        <v>0</v>
      </c>
      <c r="I71" s="87">
        <f>IF(AND($A25&gt;=$H$7,$A25&lt;=$H$8),IFERROR('State of Good Repair - AP-AP'!$B$27*$C$108*B71*(1-$J$108)*VLOOKUP($E$108,$B$150:$D$152,3,0)*(HLOOKUP(C71,$E$149:$I$155,$O$150,0)-1)/100,0)+IFERROR('State of Good Repair - AP-AP'!$B$27*$C$109*B71*(1-$J$109)*VLOOKUP($E$109,$B$150:$D$152,3,0)*(HLOOKUP(C71,$E$149:$I$155,$O$151,0)-1)/100,0),0)</f>
        <v>0</v>
      </c>
      <c r="J71" s="87">
        <f>IF(AND($A25&gt;=$H$7,$A25&lt;=$H$8),IFERROR('State of Good Repair - AP-AP'!$B$27*$C$108*B71*$J$108*VLOOKUP($E$108,$B$153:$D$155,3,0)*(HLOOKUP(C71,$E$149:$I$155,$P$150,0)-1)/100,0)+IFERROR('State of Good Repair - AP-AP'!$B$27*$C$109*B71*$J$109*VLOOKUP($E$109,$B$153:$D$155,3,0)*(HLOOKUP(C71,$E$149:$I$155,$P$151,0)-1)/100,0),0)</f>
        <v>0</v>
      </c>
      <c r="K71" s="87">
        <f t="shared" si="12"/>
        <v>0</v>
      </c>
      <c r="M71" s="72"/>
    </row>
    <row r="72" spans="1:13">
      <c r="A72" s="89">
        <f>'Major Assumption Key'!A31</f>
        <v>2032</v>
      </c>
      <c r="B72" s="88">
        <f t="shared" si="10"/>
        <v>0</v>
      </c>
      <c r="C72" s="812" t="str" cm="1">
        <f t="array" ref="C72">IF(A72-$H$9&lt;0,"",INDEX('Life Cycle of Rehabilitation'!$A$19:$A$73,A72-$H$9+1,0))</f>
        <v>New</v>
      </c>
      <c r="D72" s="90" t="str">
        <f>IF(C72="",IF(AND(A72&gt;='Cost Summary'!$C$26,A72&lt;='Cost Summary'!$D$26),"Construction",D26),IF(C72="Light Rehabilitation","Rehab","Routine Maintenance"))</f>
        <v>Routine Maintenance</v>
      </c>
      <c r="E72" s="87">
        <f t="shared" si="8"/>
        <v>0</v>
      </c>
      <c r="F72" s="87">
        <f t="shared" si="11"/>
        <v>0</v>
      </c>
      <c r="G72" s="87"/>
      <c r="H72" s="87">
        <f>IF(AND(A72&gt;='Cost Summary'!$C$26,A72&lt;='Cost Summary'!$D$26),$J$186/IF('Cost Summary'!$D$26='Cost Summary'!$C$26,1,'Cost Summary'!$D$26-'Cost Summary'!$C$26)*(1+$H$5)^(A72-$H$6),0)+IF(D72="Rehab",$J$200,0)</f>
        <v>0</v>
      </c>
      <c r="I72" s="87">
        <f>IF(AND($A26&gt;=$H$7,$A26&lt;=$H$8),IFERROR('State of Good Repair - AP-AP'!$B$27*$C$108*B72*(1-$J$108)*VLOOKUP($E$108,$B$150:$D$152,3,0)*(HLOOKUP(C72,$E$149:$I$155,$O$150,0)-1)/100,0)+IFERROR('State of Good Repair - AP-AP'!$B$27*$C$109*B72*(1-$J$109)*VLOOKUP($E$109,$B$150:$D$152,3,0)*(HLOOKUP(C72,$E$149:$I$155,$O$151,0)-1)/100,0),0)</f>
        <v>0</v>
      </c>
      <c r="J72" s="87">
        <f>IF(AND($A26&gt;=$H$7,$A26&lt;=$H$8),IFERROR('State of Good Repair - AP-AP'!$B$27*$C$108*B72*$J$108*VLOOKUP($E$108,$B$153:$D$155,3,0)*(HLOOKUP(C72,$E$149:$I$155,$P$150,0)-1)/100,0)+IFERROR('State of Good Repair - AP-AP'!$B$27*$C$109*B72*$J$109*VLOOKUP($E$109,$B$153:$D$155,3,0)*(HLOOKUP(C72,$E$149:$I$155,$P$151,0)-1)/100,0),0)</f>
        <v>0</v>
      </c>
      <c r="K72" s="87">
        <f t="shared" si="12"/>
        <v>0</v>
      </c>
      <c r="M72" s="72"/>
    </row>
    <row r="73" spans="1:13">
      <c r="A73" s="89">
        <f>'Major Assumption Key'!A32</f>
        <v>2033</v>
      </c>
      <c r="B73" s="88">
        <f t="shared" si="10"/>
        <v>0</v>
      </c>
      <c r="C73" s="812" t="str" cm="1">
        <f t="array" ref="C73">IF(A73-$H$9&lt;0,"",INDEX('Life Cycle of Rehabilitation'!$A$19:$A$73,A73-$H$9+1,0))</f>
        <v>New</v>
      </c>
      <c r="D73" s="90" t="str">
        <f>IF(C73="",IF(AND(A73&gt;='Cost Summary'!$C$26,A73&lt;='Cost Summary'!$D$26),"Construction",D27),IF(C73="Light Rehabilitation","Rehab","Routine Maintenance"))</f>
        <v>Routine Maintenance</v>
      </c>
      <c r="E73" s="87">
        <f t="shared" si="8"/>
        <v>0</v>
      </c>
      <c r="F73" s="87">
        <f t="shared" si="11"/>
        <v>0</v>
      </c>
      <c r="G73" s="87"/>
      <c r="H73" s="87">
        <f>IF(AND(A73&gt;='Cost Summary'!$C$26,A73&lt;='Cost Summary'!$D$26),$J$186/IF('Cost Summary'!$D$26='Cost Summary'!$C$26,1,'Cost Summary'!$D$26-'Cost Summary'!$C$26)*(1+$H$5)^(A73-$H$6),0)+IF(D73="Rehab",$J$200,0)</f>
        <v>0</v>
      </c>
      <c r="I73" s="87">
        <f>IF(AND($A27&gt;=$H$7,$A27&lt;=$H$8),IFERROR('State of Good Repair - AP-AP'!$B$27*$C$108*B73*(1-$J$108)*VLOOKUP($E$108,$B$150:$D$152,3,0)*(HLOOKUP(C73,$E$149:$I$155,$O$150,0)-1)/100,0)+IFERROR('State of Good Repair - AP-AP'!$B$27*$C$109*B73*(1-$J$109)*VLOOKUP($E$109,$B$150:$D$152,3,0)*(HLOOKUP(C73,$E$149:$I$155,$O$151,0)-1)/100,0),0)</f>
        <v>0</v>
      </c>
      <c r="J73" s="87">
        <f>IF(AND($A27&gt;=$H$7,$A27&lt;=$H$8),IFERROR('State of Good Repair - AP-AP'!$B$27*$C$108*B73*$J$108*VLOOKUP($E$108,$B$153:$D$155,3,0)*(HLOOKUP(C73,$E$149:$I$155,$P$150,0)-1)/100,0)+IFERROR('State of Good Repair - AP-AP'!$B$27*$C$109*B73*$J$109*VLOOKUP($E$109,$B$153:$D$155,3,0)*(HLOOKUP(C73,$E$149:$I$155,$P$151,0)-1)/100,0),0)</f>
        <v>0</v>
      </c>
      <c r="K73" s="87">
        <f t="shared" si="12"/>
        <v>0</v>
      </c>
      <c r="M73" s="72"/>
    </row>
    <row r="74" spans="1:13">
      <c r="A74" s="89">
        <f>'Major Assumption Key'!A33</f>
        <v>2034</v>
      </c>
      <c r="B74" s="88">
        <f t="shared" si="10"/>
        <v>0</v>
      </c>
      <c r="C74" s="812" t="str" cm="1">
        <f t="array" ref="C74">IF(A74-$H$9&lt;0,"",INDEX('Life Cycle of Rehabilitation'!$A$19:$A$73,A74-$H$9+1,0))</f>
        <v>Very Good</v>
      </c>
      <c r="D74" s="90" t="str">
        <f>IF(C74="",IF(AND(A74&gt;='Cost Summary'!$C$26,A74&lt;='Cost Summary'!$D$26),"Construction",D28),IF(C74="Light Rehabilitation","Rehab","Routine Maintenance"))</f>
        <v>Routine Maintenance</v>
      </c>
      <c r="E74" s="87">
        <f t="shared" si="8"/>
        <v>0</v>
      </c>
      <c r="F74" s="87">
        <f t="shared" si="11"/>
        <v>0</v>
      </c>
      <c r="G74" s="87"/>
      <c r="H74" s="87">
        <f>IF(AND(A74&gt;='Cost Summary'!$C$26,A74&lt;='Cost Summary'!$D$26),$J$186/IF('Cost Summary'!$D$26='Cost Summary'!$C$26,1,'Cost Summary'!$D$26-'Cost Summary'!$C$26)*(1+$H$5)^(A74-$H$6),0)+IF(D74="Rehab",$J$200,0)</f>
        <v>0</v>
      </c>
      <c r="I74" s="87">
        <f>IF(AND($A28&gt;=$H$7,$A28&lt;=$H$8),IFERROR('State of Good Repair - AP-AP'!$B$27*$C$108*B74*(1-$J$108)*VLOOKUP($E$108,$B$150:$D$152,3,0)*(HLOOKUP(C74,$E$149:$I$155,$O$150,0)-1)/100,0)+IFERROR('State of Good Repair - AP-AP'!$B$27*$C$109*B74*(1-$J$109)*VLOOKUP($E$109,$B$150:$D$152,3,0)*(HLOOKUP(C74,$E$149:$I$155,$O$151,0)-1)/100,0),0)</f>
        <v>0</v>
      </c>
      <c r="J74" s="87">
        <f>IF(AND($A28&gt;=$H$7,$A28&lt;=$H$8),IFERROR('State of Good Repair - AP-AP'!$B$27*$C$108*B74*$J$108*VLOOKUP($E$108,$B$153:$D$155,3,0)*(HLOOKUP(C74,$E$149:$I$155,$P$150,0)-1)/100,0)+IFERROR('State of Good Repair - AP-AP'!$B$27*$C$109*B74*$J$109*VLOOKUP($E$109,$B$153:$D$155,3,0)*(HLOOKUP(C74,$E$149:$I$155,$P$151,0)-1)/100,0),0)</f>
        <v>0</v>
      </c>
      <c r="K74" s="87">
        <f t="shared" si="12"/>
        <v>0</v>
      </c>
      <c r="M74" s="72"/>
    </row>
    <row r="75" spans="1:13">
      <c r="A75" s="89">
        <f>'Major Assumption Key'!A34</f>
        <v>2035</v>
      </c>
      <c r="B75" s="88">
        <f t="shared" si="10"/>
        <v>0</v>
      </c>
      <c r="C75" s="812" t="str" cm="1">
        <f t="array" ref="C75">IF(A75-$H$9&lt;0,"",INDEX('Life Cycle of Rehabilitation'!$A$19:$A$73,A75-$H$9+1,0))</f>
        <v>Very Good</v>
      </c>
      <c r="D75" s="90" t="str">
        <f>IF(C75="",IF(AND(A75&gt;='Cost Summary'!$C$26,A75&lt;='Cost Summary'!$D$26),"Construction",D29),IF(C75="Light Rehabilitation","Rehab","Routine Maintenance"))</f>
        <v>Routine Maintenance</v>
      </c>
      <c r="E75" s="87">
        <f t="shared" si="8"/>
        <v>0</v>
      </c>
      <c r="F75" s="87">
        <f t="shared" si="11"/>
        <v>0</v>
      </c>
      <c r="G75" s="87"/>
      <c r="H75" s="87">
        <f>IF(AND(A75&gt;='Cost Summary'!$C$26,A75&lt;='Cost Summary'!$D$26),$J$186/IF('Cost Summary'!$D$26='Cost Summary'!$C$26,1,'Cost Summary'!$D$26-'Cost Summary'!$C$26)*(1+$H$5)^(A75-$H$6),0)+IF(D75="Rehab",$J$200,0)</f>
        <v>0</v>
      </c>
      <c r="I75" s="87">
        <f>IF(AND($A29&gt;=$H$7,$A29&lt;=$H$8),IFERROR('State of Good Repair - AP-AP'!$B$27*$C$108*B75*(1-$J$108)*VLOOKUP($E$108,$B$150:$D$152,3,0)*(HLOOKUP(C75,$E$149:$I$155,$O$150,0)-1)/100,0)+IFERROR('State of Good Repair - AP-AP'!$B$27*$C$109*B75*(1-$J$109)*VLOOKUP($E$109,$B$150:$D$152,3,0)*(HLOOKUP(C75,$E$149:$I$155,$O$151,0)-1)/100,0),0)</f>
        <v>0</v>
      </c>
      <c r="J75" s="87">
        <f>IF(AND($A29&gt;=$H$7,$A29&lt;=$H$8),IFERROR('State of Good Repair - AP-AP'!$B$27*$C$108*B75*$J$108*VLOOKUP($E$108,$B$153:$D$155,3,0)*(HLOOKUP(C75,$E$149:$I$155,$P$150,0)-1)/100,0)+IFERROR('State of Good Repair - AP-AP'!$B$27*$C$109*B75*$J$109*VLOOKUP($E$109,$B$153:$D$155,3,0)*(HLOOKUP(C75,$E$149:$I$155,$P$151,0)-1)/100,0),0)</f>
        <v>0</v>
      </c>
      <c r="K75" s="87">
        <f t="shared" si="12"/>
        <v>0</v>
      </c>
      <c r="M75" s="72"/>
    </row>
    <row r="76" spans="1:13">
      <c r="A76" s="89">
        <f>'Major Assumption Key'!A35</f>
        <v>2036</v>
      </c>
      <c r="B76" s="88">
        <f t="shared" si="10"/>
        <v>0</v>
      </c>
      <c r="C76" s="812" t="str" cm="1">
        <f t="array" ref="C76">IF(A76-$H$9&lt;0,"",INDEX('Life Cycle of Rehabilitation'!$A$19:$A$73,A76-$H$9+1,0))</f>
        <v>Very Good</v>
      </c>
      <c r="D76" s="90" t="str">
        <f>IF(C76="",IF(AND(A76&gt;='Cost Summary'!$C$26,A76&lt;='Cost Summary'!$D$26),"Construction",D30),IF(C76="Light Rehabilitation","Rehab","Routine Maintenance"))</f>
        <v>Routine Maintenance</v>
      </c>
      <c r="E76" s="87">
        <f t="shared" si="8"/>
        <v>0</v>
      </c>
      <c r="F76" s="87">
        <f t="shared" si="11"/>
        <v>0</v>
      </c>
      <c r="G76" s="87"/>
      <c r="H76" s="87">
        <f>IF(AND(A76&gt;='Cost Summary'!$C$26,A76&lt;='Cost Summary'!$D$26),$J$186/IF('Cost Summary'!$D$26='Cost Summary'!$C$26,1,'Cost Summary'!$D$26-'Cost Summary'!$C$26)*(1+$H$5)^(A76-$H$6),0)+IF(D76="Rehab",$J$200,0)</f>
        <v>0</v>
      </c>
      <c r="I76" s="87">
        <f>IF(AND($A30&gt;=$H$7,$A30&lt;=$H$8),IFERROR('State of Good Repair - AP-AP'!$B$27*$C$108*B76*(1-$J$108)*VLOOKUP($E$108,$B$150:$D$152,3,0)*(HLOOKUP(C76,$E$149:$I$155,$O$150,0)-1)/100,0)+IFERROR('State of Good Repair - AP-AP'!$B$27*$C$109*B76*(1-$J$109)*VLOOKUP($E$109,$B$150:$D$152,3,0)*(HLOOKUP(C76,$E$149:$I$155,$O$151,0)-1)/100,0),0)</f>
        <v>0</v>
      </c>
      <c r="J76" s="87">
        <f>IF(AND($A30&gt;=$H$7,$A30&lt;=$H$8),IFERROR('State of Good Repair - AP-AP'!$B$27*$C$108*B76*$J$108*VLOOKUP($E$108,$B$153:$D$155,3,0)*(HLOOKUP(C76,$E$149:$I$155,$P$150,0)-1)/100,0)+IFERROR('State of Good Repair - AP-AP'!$B$27*$C$109*B76*$J$109*VLOOKUP($E$109,$B$153:$D$155,3,0)*(HLOOKUP(C76,$E$149:$I$155,$P$151,0)-1)/100,0),0)</f>
        <v>0</v>
      </c>
      <c r="K76" s="87">
        <f t="shared" si="12"/>
        <v>0</v>
      </c>
      <c r="M76" s="72"/>
    </row>
    <row r="77" spans="1:13">
      <c r="A77" s="89">
        <f>'Major Assumption Key'!A36</f>
        <v>2037</v>
      </c>
      <c r="B77" s="88">
        <f t="shared" si="10"/>
        <v>0</v>
      </c>
      <c r="C77" s="812" t="str" cm="1">
        <f t="array" ref="C77">IF(A77-$H$9&lt;0,"",INDEX('Life Cycle of Rehabilitation'!$A$19:$A$73,A77-$H$9+1,0))</f>
        <v>Very Good</v>
      </c>
      <c r="D77" s="90" t="str">
        <f>IF(C77="",IF(AND(A77&gt;='Cost Summary'!$C$26,A77&lt;='Cost Summary'!$D$26),"Construction",D31),IF(C77="Light Rehabilitation","Rehab","Routine Maintenance"))</f>
        <v>Routine Maintenance</v>
      </c>
      <c r="E77" s="87">
        <f t="shared" si="8"/>
        <v>0</v>
      </c>
      <c r="F77" s="87">
        <f t="shared" si="11"/>
        <v>0</v>
      </c>
      <c r="G77" s="87"/>
      <c r="H77" s="87">
        <f>IF(AND(A77&gt;='Cost Summary'!$C$26,A77&lt;='Cost Summary'!$D$26),$J$186/IF('Cost Summary'!$D$26='Cost Summary'!$C$26,1,'Cost Summary'!$D$26-'Cost Summary'!$C$26)*(1+$H$5)^(A77-$H$6),0)+IF(D77="Rehab",$J$200,0)</f>
        <v>0</v>
      </c>
      <c r="I77" s="87">
        <f>IF(AND($A31&gt;=$H$7,$A31&lt;=$H$8),IFERROR('State of Good Repair - AP-AP'!$B$27*$C$108*B77*(1-$J$108)*VLOOKUP($E$108,$B$150:$D$152,3,0)*(HLOOKUP(C77,$E$149:$I$155,$O$150,0)-1)/100,0)+IFERROR('State of Good Repair - AP-AP'!$B$27*$C$109*B77*(1-$J$109)*VLOOKUP($E$109,$B$150:$D$152,3,0)*(HLOOKUP(C77,$E$149:$I$155,$O$151,0)-1)/100,0),0)</f>
        <v>0</v>
      </c>
      <c r="J77" s="87">
        <f>IF(AND($A31&gt;=$H$7,$A31&lt;=$H$8),IFERROR('State of Good Repair - AP-AP'!$B$27*$C$108*B77*$J$108*VLOOKUP($E$108,$B$153:$D$155,3,0)*(HLOOKUP(C77,$E$149:$I$155,$P$150,0)-1)/100,0)+IFERROR('State of Good Repair - AP-AP'!$B$27*$C$109*B77*$J$109*VLOOKUP($E$109,$B$153:$D$155,3,0)*(HLOOKUP(C77,$E$149:$I$155,$P$151,0)-1)/100,0),0)</f>
        <v>0</v>
      </c>
      <c r="K77" s="87">
        <f t="shared" si="12"/>
        <v>0</v>
      </c>
      <c r="M77" s="72"/>
    </row>
    <row r="78" spans="1:13">
      <c r="A78" s="89">
        <f>'Major Assumption Key'!A37</f>
        <v>2038</v>
      </c>
      <c r="B78" s="88">
        <f t="shared" si="10"/>
        <v>0</v>
      </c>
      <c r="C78" s="812" t="str" cm="1">
        <f t="array" ref="C78">IF(A78-$H$9&lt;0,"",INDEX('Life Cycle of Rehabilitation'!$A$19:$A$73,A78-$H$9+1,0))</f>
        <v>Good</v>
      </c>
      <c r="D78" s="90" t="str">
        <f>IF(C78="",IF(AND(A78&gt;='Cost Summary'!$C$26,A78&lt;='Cost Summary'!$D$26),"Construction",D32),IF(C78="Light Rehabilitation","Rehab","Routine Maintenance"))</f>
        <v>Routine Maintenance</v>
      </c>
      <c r="E78" s="87">
        <f t="shared" si="8"/>
        <v>0</v>
      </c>
      <c r="F78" s="87">
        <f t="shared" si="11"/>
        <v>0</v>
      </c>
      <c r="G78" s="87"/>
      <c r="H78" s="87">
        <f>IF(AND(A78&gt;='Cost Summary'!$C$26,A78&lt;='Cost Summary'!$D$26),$J$186/IF('Cost Summary'!$D$26='Cost Summary'!$C$26,1,'Cost Summary'!$D$26-'Cost Summary'!$C$26)*(1+$H$5)^(A78-$H$6),0)+IF(D78="Rehab",$J$200,0)</f>
        <v>0</v>
      </c>
      <c r="I78" s="87">
        <f>IF(AND($A32&gt;=$H$7,$A32&lt;=$H$8),IFERROR('State of Good Repair - AP-AP'!$B$27*$C$108*B78*(1-$J$108)*VLOOKUP($E$108,$B$150:$D$152,3,0)*(HLOOKUP(C78,$E$149:$I$155,$O$150,0)-1)/100,0)+IFERROR('State of Good Repair - AP-AP'!$B$27*$C$109*B78*(1-$J$109)*VLOOKUP($E$109,$B$150:$D$152,3,0)*(HLOOKUP(C78,$E$149:$I$155,$O$151,0)-1)/100,0),0)</f>
        <v>0</v>
      </c>
      <c r="J78" s="87">
        <f>IF(AND($A32&gt;=$H$7,$A32&lt;=$H$8),IFERROR('State of Good Repair - AP-AP'!$B$27*$C$108*B78*$J$108*VLOOKUP($E$108,$B$153:$D$155,3,0)*(HLOOKUP(C78,$E$149:$I$155,$P$150,0)-1)/100,0)+IFERROR('State of Good Repair - AP-AP'!$B$27*$C$109*B78*$J$109*VLOOKUP($E$109,$B$153:$D$155,3,0)*(HLOOKUP(C78,$E$149:$I$155,$P$151,0)-1)/100,0),0)</f>
        <v>0</v>
      </c>
      <c r="K78" s="87">
        <f t="shared" si="12"/>
        <v>0</v>
      </c>
      <c r="M78" s="72"/>
    </row>
    <row r="79" spans="1:13">
      <c r="A79" s="89">
        <f>'Major Assumption Key'!A38</f>
        <v>2039</v>
      </c>
      <c r="B79" s="88">
        <f t="shared" si="10"/>
        <v>0</v>
      </c>
      <c r="C79" s="812" t="str" cm="1">
        <f t="array" ref="C79">IF(A79-$H$9&lt;0,"",INDEX('Life Cycle of Rehabilitation'!$A$19:$A$73,A79-$H$9+1,0))</f>
        <v>Good</v>
      </c>
      <c r="D79" s="90" t="str">
        <f>IF(C79="",IF(AND(A79&gt;='Cost Summary'!$C$26,A79&lt;='Cost Summary'!$D$26),"Construction",D33),IF(C79="Light Rehabilitation","Rehab","Routine Maintenance"))</f>
        <v>Routine Maintenance</v>
      </c>
      <c r="E79" s="87">
        <f t="shared" si="8"/>
        <v>0</v>
      </c>
      <c r="F79" s="87">
        <f t="shared" si="11"/>
        <v>0</v>
      </c>
      <c r="G79" s="87"/>
      <c r="H79" s="87">
        <f>IF(AND(A79&gt;='Cost Summary'!$C$26,A79&lt;='Cost Summary'!$D$26),$J$186/IF('Cost Summary'!$D$26='Cost Summary'!$C$26,1,'Cost Summary'!$D$26-'Cost Summary'!$C$26)*(1+$H$5)^(A79-$H$6),0)+IF(D79="Rehab",$J$200,0)</f>
        <v>0</v>
      </c>
      <c r="I79" s="87">
        <f>IF(AND($A33&gt;=$H$7,$A33&lt;=$H$8),IFERROR('State of Good Repair - AP-AP'!$B$27*$C$108*B79*(1-$J$108)*VLOOKUP($E$108,$B$150:$D$152,3,0)*(HLOOKUP(C79,$E$149:$I$155,$O$150,0)-1)/100,0)+IFERROR('State of Good Repair - AP-AP'!$B$27*$C$109*B79*(1-$J$109)*VLOOKUP($E$109,$B$150:$D$152,3,0)*(HLOOKUP(C79,$E$149:$I$155,$O$151,0)-1)/100,0),0)</f>
        <v>0</v>
      </c>
      <c r="J79" s="87">
        <f>IF(AND($A33&gt;=$H$7,$A33&lt;=$H$8),IFERROR('State of Good Repair - AP-AP'!$B$27*$C$108*B79*$J$108*VLOOKUP($E$108,$B$153:$D$155,3,0)*(HLOOKUP(C79,$E$149:$I$155,$P$150,0)-1)/100,0)+IFERROR('State of Good Repair - AP-AP'!$B$27*$C$109*B79*$J$109*VLOOKUP($E$109,$B$153:$D$155,3,0)*(HLOOKUP(C79,$E$149:$I$155,$P$151,0)-1)/100,0),0)</f>
        <v>0</v>
      </c>
      <c r="K79" s="87">
        <f t="shared" si="12"/>
        <v>0</v>
      </c>
      <c r="M79" s="72"/>
    </row>
    <row r="80" spans="1:13">
      <c r="A80" s="89">
        <f>'Major Assumption Key'!A39</f>
        <v>2040</v>
      </c>
      <c r="B80" s="88">
        <f t="shared" si="10"/>
        <v>0</v>
      </c>
      <c r="C80" s="812" t="str" cm="1">
        <f t="array" ref="C80">IF(A80-$H$9&lt;0,"",INDEX('Life Cycle of Rehabilitation'!$A$19:$A$73,A80-$H$9+1,0))</f>
        <v>Good</v>
      </c>
      <c r="D80" s="90" t="str">
        <f>IF(C80="",IF(AND(A80&gt;='Cost Summary'!$C$26,A80&lt;='Cost Summary'!$D$26),"Construction",D34),IF(C80="Light Rehabilitation","Rehab","Routine Maintenance"))</f>
        <v>Routine Maintenance</v>
      </c>
      <c r="E80" s="87">
        <f t="shared" si="8"/>
        <v>0</v>
      </c>
      <c r="F80" s="87">
        <f t="shared" si="11"/>
        <v>0</v>
      </c>
      <c r="G80" s="87"/>
      <c r="H80" s="87">
        <f>IF(AND(A80&gt;='Cost Summary'!$C$26,A80&lt;='Cost Summary'!$D$26),$J$186/IF('Cost Summary'!$D$26='Cost Summary'!$C$26,1,'Cost Summary'!$D$26-'Cost Summary'!$C$26)*(1+$H$5)^(A80-$H$6),0)+IF(D80="Rehab",$J$200,0)</f>
        <v>0</v>
      </c>
      <c r="I80" s="87">
        <f>IF(AND($A34&gt;=$H$7,$A34&lt;=$H$8),IFERROR('State of Good Repair - AP-AP'!$B$27*$C$108*B80*(1-$J$108)*VLOOKUP($E$108,$B$150:$D$152,3,0)*(HLOOKUP(C80,$E$149:$I$155,$O$150,0)-1)/100,0)+IFERROR('State of Good Repair - AP-AP'!$B$27*$C$109*B80*(1-$J$109)*VLOOKUP($E$109,$B$150:$D$152,3,0)*(HLOOKUP(C80,$E$149:$I$155,$O$151,0)-1)/100,0),0)</f>
        <v>0</v>
      </c>
      <c r="J80" s="87">
        <f>IF(AND($A34&gt;=$H$7,$A34&lt;=$H$8),IFERROR('State of Good Repair - AP-AP'!$B$27*$C$108*B80*$J$108*VLOOKUP($E$108,$B$153:$D$155,3,0)*(HLOOKUP(C80,$E$149:$I$155,$P$150,0)-1)/100,0)+IFERROR('State of Good Repair - AP-AP'!$B$27*$C$109*B80*$J$109*VLOOKUP($E$109,$B$153:$D$155,3,0)*(HLOOKUP(C80,$E$149:$I$155,$P$151,0)-1)/100,0),0)</f>
        <v>0</v>
      </c>
      <c r="K80" s="87">
        <f t="shared" si="12"/>
        <v>0</v>
      </c>
      <c r="M80" s="72"/>
    </row>
    <row r="81" spans="1:13">
      <c r="A81" s="89">
        <f>'Major Assumption Key'!A40</f>
        <v>2041</v>
      </c>
      <c r="B81" s="88">
        <f t="shared" si="10"/>
        <v>0</v>
      </c>
      <c r="C81" s="812" t="str" cm="1">
        <f t="array" ref="C81">IF(A81-$H$9&lt;0,"",INDEX('Life Cycle of Rehabilitation'!$A$19:$A$73,A81-$H$9+1,0))</f>
        <v>Fair</v>
      </c>
      <c r="D81" s="90" t="str">
        <f>IF(C81="",IF(AND(A81&gt;='Cost Summary'!$C$26,A81&lt;='Cost Summary'!$D$26),"Construction",D35),IF(C81="Light Rehabilitation","Rehab","Routine Maintenance"))</f>
        <v>Routine Maintenance</v>
      </c>
      <c r="E81" s="87">
        <f t="shared" si="8"/>
        <v>0</v>
      </c>
      <c r="F81" s="87">
        <f t="shared" si="11"/>
        <v>0</v>
      </c>
      <c r="G81" s="87"/>
      <c r="H81" s="87">
        <f>IF(AND(A81&gt;='Cost Summary'!$C$26,A81&lt;='Cost Summary'!$D$26),$J$186/IF('Cost Summary'!$D$26='Cost Summary'!$C$26,1,'Cost Summary'!$D$26-'Cost Summary'!$C$26)*(1+$H$5)^(A81-$H$6),0)+IF(D81="Rehab",$J$200,0)</f>
        <v>0</v>
      </c>
      <c r="I81" s="87">
        <f>IF(AND($A35&gt;=$H$7,$A35&lt;=$H$8),IFERROR('State of Good Repair - AP-AP'!$B$27*$C$108*B81*(1-$J$108)*VLOOKUP($E$108,$B$150:$D$152,3,0)*(HLOOKUP(C81,$E$149:$I$155,$O$150,0)-1)/100,0)+IFERROR('State of Good Repair - AP-AP'!$B$27*$C$109*B81*(1-$J$109)*VLOOKUP($E$109,$B$150:$D$152,3,0)*(HLOOKUP(C81,$E$149:$I$155,$O$151,0)-1)/100,0),0)</f>
        <v>0</v>
      </c>
      <c r="J81" s="87">
        <f>IF(AND($A35&gt;=$H$7,$A35&lt;=$H$8),IFERROR('State of Good Repair - AP-AP'!$B$27*$C$108*B81*$J$108*VLOOKUP($E$108,$B$153:$D$155,3,0)*(HLOOKUP(C81,$E$149:$I$155,$P$150,0)-1)/100,0)+IFERROR('State of Good Repair - AP-AP'!$B$27*$C$109*B81*$J$109*VLOOKUP($E$109,$B$153:$D$155,3,0)*(HLOOKUP(C81,$E$149:$I$155,$P$151,0)-1)/100,0),0)</f>
        <v>0</v>
      </c>
      <c r="K81" s="87">
        <f t="shared" si="12"/>
        <v>0</v>
      </c>
      <c r="M81" s="72"/>
    </row>
    <row r="82" spans="1:13">
      <c r="A82" s="89">
        <f>'Major Assumption Key'!A41</f>
        <v>2042</v>
      </c>
      <c r="B82" s="88">
        <f t="shared" si="10"/>
        <v>0</v>
      </c>
      <c r="C82" s="812" t="str" cm="1">
        <f t="array" ref="C82">IF(A82-$H$9&lt;0,"",INDEX('Life Cycle of Rehabilitation'!$A$19:$A$73,A82-$H$9+1,0))</f>
        <v>Fair</v>
      </c>
      <c r="D82" s="90" t="str">
        <f>IF(C82="",IF(AND(A82&gt;='Cost Summary'!$C$26,A82&lt;='Cost Summary'!$D$26),"Construction",D36),IF(C82="Light Rehabilitation","Rehab","Routine Maintenance"))</f>
        <v>Routine Maintenance</v>
      </c>
      <c r="E82" s="87">
        <f t="shared" si="8"/>
        <v>0</v>
      </c>
      <c r="F82" s="87">
        <f t="shared" si="11"/>
        <v>0</v>
      </c>
      <c r="G82" s="87"/>
      <c r="H82" s="87">
        <f>IF(AND(A82&gt;='Cost Summary'!$C$26,A82&lt;='Cost Summary'!$D$26),$J$186/IF('Cost Summary'!$D$26='Cost Summary'!$C$26,1,'Cost Summary'!$D$26-'Cost Summary'!$C$26)*(1+$H$5)^(A82-$H$6),0)+IF(D82="Rehab",$J$200,0)</f>
        <v>0</v>
      </c>
      <c r="I82" s="87">
        <f>IF(AND($A36&gt;=$H$7,$A36&lt;=$H$8),IFERROR('State of Good Repair - AP-AP'!$B$27*$C$108*B82*(1-$J$108)*VLOOKUP($E$108,$B$150:$D$152,3,0)*(HLOOKUP(C82,$E$149:$I$155,$O$150,0)-1)/100,0)+IFERROR('State of Good Repair - AP-AP'!$B$27*$C$109*B82*(1-$J$109)*VLOOKUP($E$109,$B$150:$D$152,3,0)*(HLOOKUP(C82,$E$149:$I$155,$O$151,0)-1)/100,0),0)</f>
        <v>0</v>
      </c>
      <c r="J82" s="87">
        <f>IF(AND($A36&gt;=$H$7,$A36&lt;=$H$8),IFERROR('State of Good Repair - AP-AP'!$B$27*$C$108*B82*$J$108*VLOOKUP($E$108,$B$153:$D$155,3,0)*(HLOOKUP(C82,$E$149:$I$155,$P$150,0)-1)/100,0)+IFERROR('State of Good Repair - AP-AP'!$B$27*$C$109*B82*$J$109*VLOOKUP($E$109,$B$153:$D$155,3,0)*(HLOOKUP(C82,$E$149:$I$155,$P$151,0)-1)/100,0),0)</f>
        <v>0</v>
      </c>
      <c r="K82" s="87">
        <f t="shared" si="12"/>
        <v>0</v>
      </c>
      <c r="M82" s="72"/>
    </row>
    <row r="83" spans="1:13">
      <c r="A83" s="89">
        <f>'Major Assumption Key'!A42</f>
        <v>2043</v>
      </c>
      <c r="B83" s="88">
        <f t="shared" si="10"/>
        <v>0</v>
      </c>
      <c r="C83" s="812" t="str" cm="1">
        <f t="array" ref="C83">IF(A83-$H$9&lt;0,"",INDEX('Life Cycle of Rehabilitation'!$A$19:$A$73,A83-$H$9+1,0))</f>
        <v>Fair</v>
      </c>
      <c r="D83" s="90" t="str">
        <f>IF(C83="",IF(AND(A83&gt;='Cost Summary'!$C$26,A83&lt;='Cost Summary'!$D$26),"Construction",D37),IF(C83="Light Rehabilitation","Rehab","Routine Maintenance"))</f>
        <v>Routine Maintenance</v>
      </c>
      <c r="E83" s="87">
        <f t="shared" si="8"/>
        <v>0</v>
      </c>
      <c r="F83" s="87">
        <f t="shared" si="11"/>
        <v>0</v>
      </c>
      <c r="G83" s="87"/>
      <c r="H83" s="87">
        <f>IF(AND(A83&gt;='Cost Summary'!$C$26,A83&lt;='Cost Summary'!$D$26),$J$186/IF('Cost Summary'!$D$26='Cost Summary'!$C$26,1,'Cost Summary'!$D$26-'Cost Summary'!$C$26)*(1+$H$5)^(A83-$H$6),0)+IF(D83="Rehab",$J$200,0)</f>
        <v>0</v>
      </c>
      <c r="I83" s="87">
        <f>IF(AND($A37&gt;=$H$7,$A37&lt;=$H$8),IFERROR('State of Good Repair - AP-AP'!$B$27*$C$108*B83*(1-$J$108)*VLOOKUP($E$108,$B$150:$D$152,3,0)*(HLOOKUP(C83,$E$149:$I$155,$O$150,0)-1)/100,0)+IFERROR('State of Good Repair - AP-AP'!$B$27*$C$109*B83*(1-$J$109)*VLOOKUP($E$109,$B$150:$D$152,3,0)*(HLOOKUP(C83,$E$149:$I$155,$O$151,0)-1)/100,0),0)</f>
        <v>0</v>
      </c>
      <c r="J83" s="87">
        <f>IF(AND($A37&gt;=$H$7,$A37&lt;=$H$8),IFERROR('State of Good Repair - AP-AP'!$B$27*$C$108*B83*$J$108*VLOOKUP($E$108,$B$153:$D$155,3,0)*(HLOOKUP(C83,$E$149:$I$155,$P$150,0)-1)/100,0)+IFERROR('State of Good Repair - AP-AP'!$B$27*$C$109*B83*$J$109*VLOOKUP($E$109,$B$153:$D$155,3,0)*(HLOOKUP(C83,$E$149:$I$155,$P$151,0)-1)/100,0),0)</f>
        <v>0</v>
      </c>
      <c r="K83" s="87">
        <f t="shared" si="12"/>
        <v>0</v>
      </c>
      <c r="M83" s="72"/>
    </row>
    <row r="84" spans="1:13">
      <c r="A84" s="89">
        <f>'Major Assumption Key'!A43</f>
        <v>2044</v>
      </c>
      <c r="B84" s="88">
        <f t="shared" si="10"/>
        <v>0</v>
      </c>
      <c r="C84" s="812" t="str" cm="1">
        <f t="array" ref="C84">IF(A84-$H$9&lt;0,"",INDEX('Life Cycle of Rehabilitation'!$A$19:$A$73,A84-$H$9+1,0))</f>
        <v>Poor</v>
      </c>
      <c r="D84" s="90" t="str">
        <f>IF(C84="",IF(AND(A84&gt;='Cost Summary'!$C$26,A84&lt;='Cost Summary'!$D$26),"Construction",D38),IF(C84="Light Rehabilitation","Rehab","Routine Maintenance"))</f>
        <v>Routine Maintenance</v>
      </c>
      <c r="E84" s="87">
        <f t="shared" si="8"/>
        <v>0</v>
      </c>
      <c r="F84" s="87">
        <f t="shared" si="11"/>
        <v>0</v>
      </c>
      <c r="G84" s="87"/>
      <c r="H84" s="87">
        <f>IF(AND(A84&gt;='Cost Summary'!$C$26,A84&lt;='Cost Summary'!$D$26),$J$186/IF('Cost Summary'!$D$26='Cost Summary'!$C$26,1,'Cost Summary'!$D$26-'Cost Summary'!$C$26)*(1+$H$5)^(A84-$H$6),0)+IF(D84="Rehab",$J$200,0)</f>
        <v>0</v>
      </c>
      <c r="I84" s="87">
        <f>IF(AND($A38&gt;=$H$7,$A38&lt;=$H$8),IFERROR('State of Good Repair - AP-AP'!$B$27*$C$108*B84*(1-$J$108)*VLOOKUP($E$108,$B$150:$D$152,3,0)*(HLOOKUP(C84,$E$149:$I$155,$O$150,0)-1)/100,0)+IFERROR('State of Good Repair - AP-AP'!$B$27*$C$109*B84*(1-$J$109)*VLOOKUP($E$109,$B$150:$D$152,3,0)*(HLOOKUP(C84,$E$149:$I$155,$O$151,0)-1)/100,0),0)</f>
        <v>0</v>
      </c>
      <c r="J84" s="87">
        <f>IF(AND($A38&gt;=$H$7,$A38&lt;=$H$8),IFERROR('State of Good Repair - AP-AP'!$B$27*$C$108*B84*$J$108*VLOOKUP($E$108,$B$153:$D$155,3,0)*(HLOOKUP(C84,$E$149:$I$155,$P$150,0)-1)/100,0)+IFERROR('State of Good Repair - AP-AP'!$B$27*$C$109*B84*$J$109*VLOOKUP($E$109,$B$153:$D$155,3,0)*(HLOOKUP(C84,$E$149:$I$155,$P$151,0)-1)/100,0),0)</f>
        <v>0</v>
      </c>
      <c r="K84" s="87">
        <f t="shared" si="12"/>
        <v>0</v>
      </c>
      <c r="M84" s="72"/>
    </row>
    <row r="85" spans="1:13">
      <c r="A85" s="89">
        <f>'Major Assumption Key'!A44</f>
        <v>2045</v>
      </c>
      <c r="B85" s="88">
        <f t="shared" si="10"/>
        <v>0</v>
      </c>
      <c r="C85" s="812" t="str" cm="1">
        <f t="array" ref="C85">IF(A85-$H$9&lt;0,"",INDEX('Life Cycle of Rehabilitation'!$A$19:$A$73,A85-$H$9+1,0))</f>
        <v>Poor</v>
      </c>
      <c r="D85" s="90" t="str">
        <f>IF(C85="",IF(AND(A85&gt;='Cost Summary'!$C$26,A85&lt;='Cost Summary'!$D$26),"Construction",D39),IF(C85="Light Rehabilitation","Rehab","Routine Maintenance"))</f>
        <v>Routine Maintenance</v>
      </c>
      <c r="E85" s="87">
        <f t="shared" si="8"/>
        <v>0</v>
      </c>
      <c r="F85" s="87">
        <f t="shared" si="11"/>
        <v>0</v>
      </c>
      <c r="G85" s="87"/>
      <c r="H85" s="87">
        <f>IF(AND(A85&gt;='Cost Summary'!$C$26,A85&lt;='Cost Summary'!$D$26),$J$186/IF('Cost Summary'!$D$26='Cost Summary'!$C$26,1,'Cost Summary'!$D$26-'Cost Summary'!$C$26)*(1+$H$5)^(A85-$H$6),0)+IF(D85="Rehab",$J$200,0)</f>
        <v>0</v>
      </c>
      <c r="I85" s="87">
        <f>IF(AND($A39&gt;=$H$7,$A39&lt;=$H$8),IFERROR('State of Good Repair - AP-AP'!$B$27*$C$108*B85*(1-$J$108)*VLOOKUP($E$108,$B$150:$D$152,3,0)*(HLOOKUP(C85,$E$149:$I$155,$O$150,0)-1)/100,0)+IFERROR('State of Good Repair - AP-AP'!$B$27*$C$109*B85*(1-$J$109)*VLOOKUP($E$109,$B$150:$D$152,3,0)*(HLOOKUP(C85,$E$149:$I$155,$O$151,0)-1)/100,0),0)</f>
        <v>0</v>
      </c>
      <c r="J85" s="87">
        <f>IF(AND($A39&gt;=$H$7,$A39&lt;=$H$8),IFERROR('State of Good Repair - AP-AP'!$B$27*$C$108*B85*$J$108*VLOOKUP($E$108,$B$153:$D$155,3,0)*(HLOOKUP(C85,$E$149:$I$155,$P$150,0)-1)/100,0)+IFERROR('State of Good Repair - AP-AP'!$B$27*$C$109*B85*$J$109*VLOOKUP($E$109,$B$153:$D$155,3,0)*(HLOOKUP(C85,$E$149:$I$155,$P$151,0)-1)/100,0),0)</f>
        <v>0</v>
      </c>
      <c r="K85" s="87">
        <f t="shared" si="12"/>
        <v>0</v>
      </c>
      <c r="M85" s="72"/>
    </row>
    <row r="86" spans="1:13">
      <c r="A86" s="89">
        <f>'Major Assumption Key'!A45</f>
        <v>2046</v>
      </c>
      <c r="B86" s="88">
        <f t="shared" si="10"/>
        <v>0</v>
      </c>
      <c r="C86" s="812" t="str" cm="1">
        <f t="array" ref="C86">IF(A86-$H$9&lt;0,"",INDEX('Life Cycle of Rehabilitation'!$A$19:$A$73,A86-$H$9+1,0))</f>
        <v>Poor</v>
      </c>
      <c r="D86" s="90" t="str">
        <f>IF(C86="",IF(AND(A86&gt;='Cost Summary'!$C$26,A86&lt;='Cost Summary'!$D$26),"Construction",D40),IF(C86="Light Rehabilitation","Rehab","Routine Maintenance"))</f>
        <v>Routine Maintenance</v>
      </c>
      <c r="E86" s="87">
        <f t="shared" si="8"/>
        <v>0</v>
      </c>
      <c r="F86" s="87">
        <f t="shared" si="11"/>
        <v>0</v>
      </c>
      <c r="G86" s="87"/>
      <c r="H86" s="87">
        <f>IF(AND(A86&gt;='Cost Summary'!$C$26,A86&lt;='Cost Summary'!$D$26),$J$186/IF('Cost Summary'!$D$26='Cost Summary'!$C$26,1,'Cost Summary'!$D$26-'Cost Summary'!$C$26)*(1+$H$5)^(A86-$H$6),0)+IF(D86="Rehab",$J$200,0)</f>
        <v>0</v>
      </c>
      <c r="I86" s="87">
        <f>IF(AND($A40&gt;=$H$7,$A40&lt;=$H$8),IFERROR('State of Good Repair - AP-AP'!$B$27*$C$108*B86*(1-$J$108)*VLOOKUP($E$108,$B$150:$D$152,3,0)*(HLOOKUP(C86,$E$149:$I$155,$O$150,0)-1)/100,0)+IFERROR('State of Good Repair - AP-AP'!$B$27*$C$109*B86*(1-$J$109)*VLOOKUP($E$109,$B$150:$D$152,3,0)*(HLOOKUP(C86,$E$149:$I$155,$O$151,0)-1)/100,0),0)</f>
        <v>0</v>
      </c>
      <c r="J86" s="87">
        <f>IF(AND($A40&gt;=$H$7,$A40&lt;=$H$8),IFERROR('State of Good Repair - AP-AP'!$B$27*$C$108*B86*$J$108*VLOOKUP($E$108,$B$153:$D$155,3,0)*(HLOOKUP(C86,$E$149:$I$155,$P$150,0)-1)/100,0)+IFERROR('State of Good Repair - AP-AP'!$B$27*$C$109*B86*$J$109*VLOOKUP($E$109,$B$153:$D$155,3,0)*(HLOOKUP(C86,$E$149:$I$155,$P$151,0)-1)/100,0),0)</f>
        <v>0</v>
      </c>
      <c r="K86" s="87">
        <f t="shared" si="12"/>
        <v>0</v>
      </c>
      <c r="M86" s="72"/>
    </row>
    <row r="87" spans="1:13">
      <c r="A87" s="89">
        <f>'Major Assumption Key'!A46</f>
        <v>2047</v>
      </c>
      <c r="B87" s="88">
        <f t="shared" si="10"/>
        <v>0</v>
      </c>
      <c r="C87" s="812" t="str" cm="1">
        <f t="array" ref="C87">IF(A87-$H$9&lt;0,"",INDEX('Life Cycle of Rehabilitation'!$A$19:$A$73,A87-$H$9+1,0))</f>
        <v>Poor</v>
      </c>
      <c r="D87" s="90" t="str">
        <f>IF(C87="",IF(AND(A87&gt;='Cost Summary'!$C$26,A87&lt;='Cost Summary'!$D$26),"Construction",D41),IF(C87="Light Rehabilitation","Rehab","Routine Maintenance"))</f>
        <v>Routine Maintenance</v>
      </c>
      <c r="E87" s="87">
        <f t="shared" si="8"/>
        <v>0</v>
      </c>
      <c r="F87" s="87">
        <f t="shared" si="11"/>
        <v>0</v>
      </c>
      <c r="G87" s="87"/>
      <c r="H87" s="87">
        <f>IF(AND(A87&gt;='Cost Summary'!$C$26,A87&lt;='Cost Summary'!$D$26),$J$186/IF('Cost Summary'!$D$26='Cost Summary'!$C$26,1,'Cost Summary'!$D$26-'Cost Summary'!$C$26)*(1+$H$5)^(A87-$H$6),0)+IF(D87="Rehab",$J$200,0)</f>
        <v>0</v>
      </c>
      <c r="I87" s="87">
        <f>IF(AND($A41&gt;=$H$7,$A41&lt;=$H$8),IFERROR('State of Good Repair - AP-AP'!$B$27*$C$108*B87*(1-$J$108)*VLOOKUP($E$108,$B$150:$D$152,3,0)*(HLOOKUP(C87,$E$149:$I$155,$O$150,0)-1)/100,0)+IFERROR('State of Good Repair - AP-AP'!$B$27*$C$109*B87*(1-$J$109)*VLOOKUP($E$109,$B$150:$D$152,3,0)*(HLOOKUP(C87,$E$149:$I$155,$O$151,0)-1)/100,0),0)</f>
        <v>0</v>
      </c>
      <c r="J87" s="87">
        <f>IF(AND($A41&gt;=$H$7,$A41&lt;=$H$8),IFERROR('State of Good Repair - AP-AP'!$B$27*$C$108*B87*$J$108*VLOOKUP($E$108,$B$153:$D$155,3,0)*(HLOOKUP(C87,$E$149:$I$155,$P$150,0)-1)/100,0)+IFERROR('State of Good Repair - AP-AP'!$B$27*$C$109*B87*$J$109*VLOOKUP($E$109,$B$153:$D$155,3,0)*(HLOOKUP(C87,$E$149:$I$155,$P$151,0)-1)/100,0),0)</f>
        <v>0</v>
      </c>
      <c r="K87" s="87">
        <f t="shared" si="12"/>
        <v>0</v>
      </c>
      <c r="M87" s="72"/>
    </row>
    <row r="88" spans="1:13">
      <c r="A88" s="89">
        <f>'Major Assumption Key'!A47</f>
        <v>2048</v>
      </c>
      <c r="B88" s="88">
        <f t="shared" si="10"/>
        <v>0</v>
      </c>
      <c r="C88" s="812" t="str" cm="1">
        <f t="array" ref="C88">IF(A88-$H$9&lt;0,"",INDEX('Life Cycle of Rehabilitation'!$A$19:$A$73,A88-$H$9+1,0))</f>
        <v>Light Rehabilitation</v>
      </c>
      <c r="D88" s="90" t="str">
        <f>IF(C88="",IF(AND(A88&gt;='Cost Summary'!$C$26,A88&lt;='Cost Summary'!$D$26),"Construction",D42),IF(C88="Light Rehabilitation","Rehab","Routine Maintenance"))</f>
        <v>Rehab</v>
      </c>
      <c r="E88" s="87">
        <f t="shared" si="8"/>
        <v>0</v>
      </c>
      <c r="F88" s="87">
        <f t="shared" si="11"/>
        <v>0</v>
      </c>
      <c r="G88" s="87"/>
      <c r="H88" s="87">
        <f>IF(AND(A88&gt;='Cost Summary'!$C$26,A88&lt;='Cost Summary'!$D$26),$J$186/IF('Cost Summary'!$D$26='Cost Summary'!$C$26,1,'Cost Summary'!$D$26-'Cost Summary'!$C$26)*(1+$H$5)^(A88-$H$6),0)+IF(D88="Rehab",$J$200,0)</f>
        <v>0</v>
      </c>
      <c r="I88" s="87">
        <f>IF(AND($A42&gt;=$H$7,$A42&lt;=$H$8),IFERROR('State of Good Repair - AP-AP'!$B$27*$C$108*B88*(1-$J$108)*VLOOKUP($E$108,$B$150:$D$152,3,0)*(HLOOKUP(C88,$E$149:$I$155,$O$150,0)-1)/100,0)+IFERROR('State of Good Repair - AP-AP'!$B$27*$C$109*B88*(1-$J$109)*VLOOKUP($E$109,$B$150:$D$152,3,0)*(HLOOKUP(C88,$E$149:$I$155,$O$151,0)-1)/100,0),0)</f>
        <v>0</v>
      </c>
      <c r="J88" s="87">
        <f>IF(AND($A42&gt;=$H$7,$A42&lt;=$H$8),IFERROR('State of Good Repair - AP-AP'!$B$27*$C$108*B88*$J$108*VLOOKUP($E$108,$B$153:$D$155,3,0)*(HLOOKUP(C88,$E$149:$I$155,$P$150,0)-1)/100,0)+IFERROR('State of Good Repair - AP-AP'!$B$27*$C$109*B88*$J$109*VLOOKUP($E$109,$B$153:$D$155,3,0)*(HLOOKUP(C88,$E$149:$I$155,$P$151,0)-1)/100,0),0)</f>
        <v>0</v>
      </c>
      <c r="K88" s="87">
        <f t="shared" si="12"/>
        <v>0</v>
      </c>
      <c r="M88" s="72"/>
    </row>
    <row r="89" spans="1:13">
      <c r="A89" s="89">
        <f>'Major Assumption Key'!A48</f>
        <v>2049</v>
      </c>
      <c r="B89" s="88">
        <f t="shared" si="10"/>
        <v>0</v>
      </c>
      <c r="C89" s="812" t="str" cm="1">
        <f t="array" ref="C89">IF(A89-$H$9&lt;0,"",INDEX('Life Cycle of Rehabilitation'!$A$19:$A$73,A89-$H$9+1,0))</f>
        <v>Very Good</v>
      </c>
      <c r="D89" s="90" t="str">
        <f>IF(C89="",IF(AND(A89&gt;='Cost Summary'!$C$26,A89&lt;='Cost Summary'!$D$26),"Construction",D43),IF(C89="Light Rehabilitation","Rehab","Routine Maintenance"))</f>
        <v>Routine Maintenance</v>
      </c>
      <c r="E89" s="87">
        <f t="shared" si="8"/>
        <v>0</v>
      </c>
      <c r="F89" s="87">
        <f t="shared" si="11"/>
        <v>0</v>
      </c>
      <c r="G89" s="87"/>
      <c r="H89" s="87">
        <f>IF(AND(A89&gt;='Cost Summary'!$C$26,A89&lt;='Cost Summary'!$D$26),$J$186/IF('Cost Summary'!$D$26='Cost Summary'!$C$26,1,'Cost Summary'!$D$26-'Cost Summary'!$C$26)*(1+$H$5)^(A89-$H$6),0)+IF(D89="Rehab",$J$200,0)</f>
        <v>0</v>
      </c>
      <c r="I89" s="87">
        <f>IF(AND($A43&gt;=$H$7,$A43&lt;=$H$8),IFERROR('State of Good Repair - AP-AP'!$B$27*$C$108*B89*(1-$J$108)*VLOOKUP($E$108,$B$150:$D$152,3,0)*(HLOOKUP(C89,$E$149:$I$155,$O$150,0)-1)/100,0)+IFERROR('State of Good Repair - AP-AP'!$B$27*$C$109*B89*(1-$J$109)*VLOOKUP($E$109,$B$150:$D$152,3,0)*(HLOOKUP(C89,$E$149:$I$155,$O$151,0)-1)/100,0),0)</f>
        <v>0</v>
      </c>
      <c r="J89" s="87">
        <f>IF(AND($A43&gt;=$H$7,$A43&lt;=$H$8),IFERROR('State of Good Repair - AP-AP'!$B$27*$C$108*B89*$J$108*VLOOKUP($E$108,$B$153:$D$155,3,0)*(HLOOKUP(C89,$E$149:$I$155,$P$150,0)-1)/100,0)+IFERROR('State of Good Repair - AP-AP'!$B$27*$C$109*B89*$J$109*VLOOKUP($E$109,$B$153:$D$155,3,0)*(HLOOKUP(C89,$E$149:$I$155,$P$151,0)-1)/100,0),0)</f>
        <v>0</v>
      </c>
      <c r="K89" s="87">
        <f t="shared" si="12"/>
        <v>0</v>
      </c>
      <c r="M89" s="72"/>
    </row>
    <row r="90" spans="1:13">
      <c r="A90" s="89">
        <f>'Major Assumption Key'!A49</f>
        <v>2050</v>
      </c>
      <c r="B90" s="88">
        <f t="shared" si="10"/>
        <v>0</v>
      </c>
      <c r="C90" s="812" t="str" cm="1">
        <f t="array" ref="C90">IF(A90-$H$9&lt;0,"",INDEX('Life Cycle of Rehabilitation'!$A$19:$A$73,A90-$H$9+1,0))</f>
        <v>Very Good</v>
      </c>
      <c r="D90" s="90" t="str">
        <f>IF(C90="",IF(AND(A90&gt;='Cost Summary'!$C$26,A90&lt;='Cost Summary'!$D$26),"Construction",D44),IF(C90="Light Rehabilitation","Rehab","Routine Maintenance"))</f>
        <v>Routine Maintenance</v>
      </c>
      <c r="E90" s="87">
        <f t="shared" si="8"/>
        <v>0</v>
      </c>
      <c r="F90" s="87">
        <f t="shared" si="11"/>
        <v>0</v>
      </c>
      <c r="G90" s="87"/>
      <c r="H90" s="87">
        <f>IF(AND(A90&gt;='Cost Summary'!$C$26,A90&lt;='Cost Summary'!$D$26),$J$186/IF('Cost Summary'!$D$26='Cost Summary'!$C$26,1,'Cost Summary'!$D$26-'Cost Summary'!$C$26)*(1+$H$5)^(A90-$H$6),0)+IF(D90="Rehab",$J$200,0)</f>
        <v>0</v>
      </c>
      <c r="I90" s="87">
        <f>IF(AND($A44&gt;=$H$7,$A44&lt;=$H$8),IFERROR('State of Good Repair - AP-AP'!$B$27*$C$108*B90*(1-$J$108)*VLOOKUP($E$108,$B$150:$D$152,3,0)*(HLOOKUP(C90,$E$149:$I$155,$O$150,0)-1)/100,0)+IFERROR('State of Good Repair - AP-AP'!$B$27*$C$109*B90*(1-$J$109)*VLOOKUP($E$109,$B$150:$D$152,3,0)*(HLOOKUP(C90,$E$149:$I$155,$O$151,0)-1)/100,0),0)</f>
        <v>0</v>
      </c>
      <c r="J90" s="87">
        <f>IF(AND($A44&gt;=$H$7,$A44&lt;=$H$8),IFERROR('State of Good Repair - AP-AP'!$B$27*$C$108*B90*$J$108*VLOOKUP($E$108,$B$153:$D$155,3,0)*(HLOOKUP(C90,$E$149:$I$155,$P$150,0)-1)/100,0)+IFERROR('State of Good Repair - AP-AP'!$B$27*$C$109*B90*$J$109*VLOOKUP($E$109,$B$153:$D$155,3,0)*(HLOOKUP(C90,$E$149:$I$155,$P$151,0)-1)/100,0),0)</f>
        <v>0</v>
      </c>
      <c r="K90" s="87">
        <f t="shared" si="12"/>
        <v>0</v>
      </c>
      <c r="M90" s="72"/>
    </row>
    <row r="91" spans="1:13">
      <c r="A91" s="89">
        <f>'Major Assumption Key'!A50</f>
        <v>2051</v>
      </c>
      <c r="B91" s="88">
        <f t="shared" si="10"/>
        <v>0</v>
      </c>
      <c r="C91" s="812" t="str" cm="1">
        <f t="array" ref="C91">IF(A91-$H$9&lt;0,"",INDEX('Life Cycle of Rehabilitation'!$A$19:$A$73,A91-$H$9+1,0))</f>
        <v>Very Good</v>
      </c>
      <c r="D91" s="90" t="str">
        <f>IF(C91="",IF(AND(A91&gt;='Cost Summary'!$C$26,A91&lt;='Cost Summary'!$D$26),"Construction",D45),IF(C91="Light Rehabilitation","Rehab","Routine Maintenance"))</f>
        <v>Routine Maintenance</v>
      </c>
      <c r="E91" s="87">
        <f t="shared" si="8"/>
        <v>0</v>
      </c>
      <c r="F91" s="87">
        <f t="shared" si="11"/>
        <v>0</v>
      </c>
      <c r="G91" s="87"/>
      <c r="H91" s="87">
        <f>IF(AND(A91&gt;='Cost Summary'!$C$26,A91&lt;='Cost Summary'!$D$26),$J$186/IF('Cost Summary'!$D$26='Cost Summary'!$C$26,1,'Cost Summary'!$D$26-'Cost Summary'!$C$26)*(1+$H$5)^(A91-$H$6),0)+IF(D91="Rehab",$J$200,0)</f>
        <v>0</v>
      </c>
      <c r="I91" s="87">
        <f>IF(AND($A45&gt;=$H$7,$A45&lt;=$H$8),IFERROR('State of Good Repair - AP-AP'!$B$27*$C$108*B91*(1-$J$108)*VLOOKUP($E$108,$B$150:$D$152,3,0)*(HLOOKUP(C91,$E$149:$I$155,$O$150,0)-1)/100,0)+IFERROR('State of Good Repair - AP-AP'!$B$27*$C$109*B91*(1-$J$109)*VLOOKUP($E$109,$B$150:$D$152,3,0)*(HLOOKUP(C91,$E$149:$I$155,$O$151,0)-1)/100,0),0)</f>
        <v>0</v>
      </c>
      <c r="J91" s="87">
        <f>IF(AND($A45&gt;=$H$7,$A45&lt;=$H$8),IFERROR('State of Good Repair - AP-AP'!$B$27*$C$108*B91*$J$108*VLOOKUP($E$108,$B$153:$D$155,3,0)*(HLOOKUP(C91,$E$149:$I$155,$P$150,0)-1)/100,0)+IFERROR('State of Good Repair - AP-AP'!$B$27*$C$109*B91*$J$109*VLOOKUP($E$109,$B$153:$D$155,3,0)*(HLOOKUP(C91,$E$149:$I$155,$P$151,0)-1)/100,0),0)</f>
        <v>0</v>
      </c>
      <c r="K91" s="87">
        <f t="shared" si="12"/>
        <v>0</v>
      </c>
      <c r="M91" s="72"/>
    </row>
    <row r="92" spans="1:13">
      <c r="A92" s="89">
        <f>'Major Assumption Key'!A51</f>
        <v>2052</v>
      </c>
      <c r="B92" s="88">
        <f t="shared" si="10"/>
        <v>0</v>
      </c>
      <c r="C92" s="812" t="str" cm="1">
        <f t="array" ref="C92">IF(A92-$H$9&lt;0,"",INDEX('Life Cycle of Rehabilitation'!$A$19:$A$73,A92-$H$9+1,0))</f>
        <v>Very Good</v>
      </c>
      <c r="D92" s="90" t="str">
        <f>IF(C92="",IF(AND(A92&gt;='Cost Summary'!$C$26,A92&lt;='Cost Summary'!$D$26),"Construction",D46),IF(C92="Light Rehabilitation","Rehab","Routine Maintenance"))</f>
        <v>Routine Maintenance</v>
      </c>
      <c r="E92" s="87">
        <f t="shared" si="8"/>
        <v>0</v>
      </c>
      <c r="F92" s="87">
        <f t="shared" si="11"/>
        <v>0</v>
      </c>
      <c r="G92" s="87"/>
      <c r="H92" s="87">
        <f>IF(AND(A92&gt;='Cost Summary'!$C$26,A92&lt;='Cost Summary'!$D$26),$J$186/IF('Cost Summary'!$D$26='Cost Summary'!$C$26,1,'Cost Summary'!$D$26-'Cost Summary'!$C$26)*(1+$H$5)^(A92-$H$6),0)+IF(D92="Rehab",$J$200,0)</f>
        <v>0</v>
      </c>
      <c r="I92" s="87">
        <f>IF(AND($A46&gt;=$H$7,$A46&lt;=$H$8),IFERROR('State of Good Repair - AP-AP'!$B$27*$C$108*B92*(1-$J$108)*VLOOKUP($E$108,$B$150:$D$152,3,0)*(HLOOKUP(C92,$E$149:$I$155,$O$150,0)-1)/100,0)+IFERROR('State of Good Repair - AP-AP'!$B$27*$C$109*B92*(1-$J$109)*VLOOKUP($E$109,$B$150:$D$152,3,0)*(HLOOKUP(C92,$E$149:$I$155,$O$151,0)-1)/100,0),0)</f>
        <v>0</v>
      </c>
      <c r="J92" s="87">
        <f>IF(AND($A46&gt;=$H$7,$A46&lt;=$H$8),IFERROR('State of Good Repair - AP-AP'!$B$27*$C$108*B92*$J$108*VLOOKUP($E$108,$B$153:$D$155,3,0)*(HLOOKUP(C92,$E$149:$I$155,$P$150,0)-1)/100,0)+IFERROR('State of Good Repair - AP-AP'!$B$27*$C$109*B92*$J$109*VLOOKUP($E$109,$B$153:$D$155,3,0)*(HLOOKUP(C92,$E$149:$I$155,$P$151,0)-1)/100,0),0)</f>
        <v>0</v>
      </c>
      <c r="K92" s="87">
        <f t="shared" si="12"/>
        <v>0</v>
      </c>
      <c r="M92" s="72"/>
    </row>
    <row r="93" spans="1:13">
      <c r="A93" s="89">
        <f>'Major Assumption Key'!A52</f>
        <v>2053</v>
      </c>
      <c r="B93" s="88">
        <f t="shared" si="10"/>
        <v>0</v>
      </c>
      <c r="C93" s="812" t="str" cm="1">
        <f t="array" ref="C93">IF(A93-$H$9&lt;0,"",INDEX('Life Cycle of Rehabilitation'!$A$19:$A$73,A93-$H$9+1,0))</f>
        <v>Good</v>
      </c>
      <c r="D93" s="90" t="str">
        <f>IF(C93="",IF(AND(A93&gt;='Cost Summary'!$C$26,A93&lt;='Cost Summary'!$D$26),"Construction",D47),IF(C93="Light Rehabilitation","Rehab","Routine Maintenance"))</f>
        <v>Routine Maintenance</v>
      </c>
      <c r="E93" s="87">
        <f t="shared" si="8"/>
        <v>0</v>
      </c>
      <c r="F93" s="87">
        <f t="shared" si="11"/>
        <v>0</v>
      </c>
      <c r="G93" s="87"/>
      <c r="H93" s="87">
        <f>IF(AND(A93&gt;='Cost Summary'!$C$26,A93&lt;='Cost Summary'!$D$26),$J$186/IF('Cost Summary'!$D$26='Cost Summary'!$C$26,1,'Cost Summary'!$D$26-'Cost Summary'!$C$26)*(1+$H$5)^(A93-$H$6),0)+IF(D93="Rehab",$J$200,0)</f>
        <v>0</v>
      </c>
      <c r="I93" s="87">
        <f>IF(AND($A47&gt;=$H$7,$A47&lt;=$H$8),IFERROR('State of Good Repair - AP-AP'!$B$27*$C$108*B93*(1-$J$108)*VLOOKUP($E$108,$B$150:$D$152,3,0)*(HLOOKUP(C93,$E$149:$I$155,$O$150,0)-1)/100,0)+IFERROR('State of Good Repair - AP-AP'!$B$27*$C$109*B93*(1-$J$109)*VLOOKUP($E$109,$B$150:$D$152,3,0)*(HLOOKUP(C93,$E$149:$I$155,$O$151,0)-1)/100,0),0)</f>
        <v>0</v>
      </c>
      <c r="J93" s="87">
        <f>IF(AND($A47&gt;=$H$7,$A47&lt;=$H$8),IFERROR('State of Good Repair - AP-AP'!$B$27*$C$108*B93*$J$108*VLOOKUP($E$108,$B$153:$D$155,3,0)*(HLOOKUP(C93,$E$149:$I$155,$P$150,0)-1)/100,0)+IFERROR('State of Good Repair - AP-AP'!$B$27*$C$109*B93*$J$109*VLOOKUP($E$109,$B$153:$D$155,3,0)*(HLOOKUP(C93,$E$149:$I$155,$P$151,0)-1)/100,0),0)</f>
        <v>0</v>
      </c>
      <c r="K93" s="87">
        <f t="shared" si="12"/>
        <v>0</v>
      </c>
      <c r="M93" s="72"/>
    </row>
    <row r="94" spans="1:13">
      <c r="A94" s="89">
        <f>'Major Assumption Key'!A53</f>
        <v>2054</v>
      </c>
      <c r="B94" s="88">
        <f t="shared" si="10"/>
        <v>0</v>
      </c>
      <c r="C94" s="812" t="str" cm="1">
        <f t="array" ref="C94">IF(A94-$H$9&lt;0,"",INDEX('Life Cycle of Rehabilitation'!$A$19:$A$73,A94-$H$9+1,0))</f>
        <v>Good</v>
      </c>
      <c r="D94" s="90" t="str">
        <f>IF(C94="",IF(AND(A94&gt;='Cost Summary'!$C$26,A94&lt;='Cost Summary'!$D$26),"Construction",D48),IF(C94="Light Rehabilitation","Rehab","Routine Maintenance"))</f>
        <v>Routine Maintenance</v>
      </c>
      <c r="E94" s="87">
        <f t="shared" si="8"/>
        <v>0</v>
      </c>
      <c r="F94" s="87">
        <f t="shared" si="11"/>
        <v>0</v>
      </c>
      <c r="G94" s="87"/>
      <c r="H94" s="87">
        <f>IF(AND(A94&gt;='Cost Summary'!$C$26,A94&lt;='Cost Summary'!$D$26),$J$186/IF('Cost Summary'!$D$26='Cost Summary'!$C$26,1,'Cost Summary'!$D$26-'Cost Summary'!$C$26)*(1+$H$5)^(A94-$H$6),0)+IF(D94="Rehab",$J$200,0)</f>
        <v>0</v>
      </c>
      <c r="I94" s="87">
        <f>IF(AND($A48&gt;=$H$7,$A48&lt;=$H$8),IFERROR('State of Good Repair - AP-AP'!$B$27*$C$108*B94*(1-$J$108)*VLOOKUP($E$108,$B$150:$D$152,3,0)*(HLOOKUP(C94,$E$149:$I$155,$O$150,0)-1)/100,0)+IFERROR('State of Good Repair - AP-AP'!$B$27*$C$109*B94*(1-$J$109)*VLOOKUP($E$109,$B$150:$D$152,3,0)*(HLOOKUP(C94,$E$149:$I$155,$O$151,0)-1)/100,0),0)</f>
        <v>0</v>
      </c>
      <c r="J94" s="87">
        <f>IF(AND($A48&gt;=$H$7,$A48&lt;=$H$8),IFERROR('State of Good Repair - AP-AP'!$B$27*$C$108*B94*$J$108*VLOOKUP($E$108,$B$153:$D$155,3,0)*(HLOOKUP(C94,$E$149:$I$155,$P$150,0)-1)/100,0)+IFERROR('State of Good Repair - AP-AP'!$B$27*$C$109*B94*$J$109*VLOOKUP($E$109,$B$153:$D$155,3,0)*(HLOOKUP(C94,$E$149:$I$155,$P$151,0)-1)/100,0),0)</f>
        <v>0</v>
      </c>
      <c r="K94" s="87">
        <f t="shared" si="12"/>
        <v>0</v>
      </c>
      <c r="M94" s="72"/>
    </row>
    <row r="95" spans="1:13">
      <c r="A95" s="89">
        <f>'Major Assumption Key'!A54</f>
        <v>2055</v>
      </c>
      <c r="B95" s="88">
        <f t="shared" si="10"/>
        <v>0</v>
      </c>
      <c r="C95" s="812" t="str" cm="1">
        <f t="array" ref="C95">IF(A95-$H$9&lt;0,"",INDEX('Life Cycle of Rehabilitation'!$A$19:$A$73,A95-$H$9+1,0))</f>
        <v>Good</v>
      </c>
      <c r="D95" s="90" t="str">
        <f>IF(C95="",IF(AND(A95&gt;='Cost Summary'!$C$26,A95&lt;='Cost Summary'!$D$26),"Construction",D49),IF(C95="Light Rehabilitation","Rehab","Routine Maintenance"))</f>
        <v>Routine Maintenance</v>
      </c>
      <c r="E95" s="87">
        <f t="shared" si="8"/>
        <v>0</v>
      </c>
      <c r="F95" s="87">
        <f t="shared" si="11"/>
        <v>0</v>
      </c>
      <c r="G95" s="87"/>
      <c r="H95" s="87">
        <f>IF(AND(A95&gt;='Cost Summary'!$C$26,A95&lt;='Cost Summary'!$D$26),$J$186/IF('Cost Summary'!$D$26='Cost Summary'!$C$26,1,'Cost Summary'!$D$26-'Cost Summary'!$C$26)*(1+$H$5)^(A95-$H$6),0)+IF(D95="Rehab",$J$200,0)</f>
        <v>0</v>
      </c>
      <c r="I95" s="87">
        <f>IF(AND($A49&gt;=$H$7,$A49&lt;=$H$8),IFERROR('State of Good Repair - AP-AP'!$B$27*$C$108*B95*(1-$J$108)*VLOOKUP($E$108,$B$150:$D$152,3,0)*(HLOOKUP(C95,$E$149:$I$155,$O$150,0)-1)/100,0)+IFERROR('State of Good Repair - AP-AP'!$B$27*$C$109*B95*(1-$J$109)*VLOOKUP($E$109,$B$150:$D$152,3,0)*(HLOOKUP(C95,$E$149:$I$155,$O$151,0)-1)/100,0),0)</f>
        <v>0</v>
      </c>
      <c r="J95" s="87">
        <f>IF(AND($A49&gt;=$H$7,$A49&lt;=$H$8),IFERROR('State of Good Repair - AP-AP'!$B$27*$C$108*B95*$J$108*VLOOKUP($E$108,$B$153:$D$155,3,0)*(HLOOKUP(C95,$E$149:$I$155,$P$150,0)-1)/100,0)+IFERROR('State of Good Repair - AP-AP'!$B$27*$C$109*B95*$J$109*VLOOKUP($E$109,$B$153:$D$155,3,0)*(HLOOKUP(C95,$E$149:$I$155,$P$151,0)-1)/100,0),0)</f>
        <v>0</v>
      </c>
      <c r="K95" s="87">
        <f t="shared" si="12"/>
        <v>0</v>
      </c>
      <c r="M95" s="72"/>
    </row>
    <row r="96" spans="1:13">
      <c r="A96" s="89">
        <f>'Major Assumption Key'!A55</f>
        <v>2056</v>
      </c>
      <c r="B96" s="88">
        <f t="shared" si="10"/>
        <v>0</v>
      </c>
      <c r="C96" s="812" t="str" cm="1">
        <f t="array" ref="C96">IF(A96-$H$9&lt;0,"",INDEX('Life Cycle of Rehabilitation'!$A$19:$A$73,A96-$H$9+1,0))</f>
        <v>Fair</v>
      </c>
      <c r="D96" s="90" t="str">
        <f>IF(C96="",IF(AND(A96&gt;='Cost Summary'!$C$26,A96&lt;='Cost Summary'!$D$26),"Construction",D50),IF(C96="Light Rehabilitation","Rehab","Routine Maintenance"))</f>
        <v>Routine Maintenance</v>
      </c>
      <c r="E96" s="87">
        <f t="shared" si="8"/>
        <v>0</v>
      </c>
      <c r="F96" s="87">
        <f t="shared" si="11"/>
        <v>0</v>
      </c>
      <c r="G96" s="87"/>
      <c r="H96" s="87">
        <f>IF(AND(A96&gt;='Cost Summary'!$C$26,A96&lt;='Cost Summary'!$D$26),$J$186/IF('Cost Summary'!$D$26='Cost Summary'!$C$26,1,'Cost Summary'!$D$26-'Cost Summary'!$C$26)*(1+$H$5)^(A96-$H$6),0)+IF(D96="Rehab",$J$200,0)</f>
        <v>0</v>
      </c>
      <c r="I96" s="87">
        <f>IF(AND($A50&gt;=$H$7,$A50&lt;=$H$8),IFERROR('State of Good Repair - AP-AP'!$B$27*$C$108*B96*(1-$J$108)*VLOOKUP($E$108,$B$150:$D$152,3,0)*(HLOOKUP(C96,$E$149:$I$155,$O$150,0)-1)/100,0)+IFERROR('State of Good Repair - AP-AP'!$B$27*$C$109*B96*(1-$J$109)*VLOOKUP($E$109,$B$150:$D$152,3,0)*(HLOOKUP(C96,$E$149:$I$155,$O$151,0)-1)/100,0),0)</f>
        <v>0</v>
      </c>
      <c r="J96" s="87">
        <f>IF(AND($A50&gt;=$H$7,$A50&lt;=$H$8),IFERROR('State of Good Repair - AP-AP'!$B$27*$C$108*B96*$J$108*VLOOKUP($E$108,$B$153:$D$155,3,0)*(HLOOKUP(C96,$E$149:$I$155,$P$150,0)-1)/100,0)+IFERROR('State of Good Repair - AP-AP'!$B$27*$C$109*B96*$J$109*VLOOKUP($E$109,$B$153:$D$155,3,0)*(HLOOKUP(C96,$E$149:$I$155,$P$151,0)-1)/100,0),0)</f>
        <v>0</v>
      </c>
      <c r="K96" s="87">
        <f t="shared" si="12"/>
        <v>0</v>
      </c>
      <c r="M96" s="72"/>
    </row>
    <row r="97" spans="1:16">
      <c r="A97" s="89">
        <f>'Major Assumption Key'!A56</f>
        <v>2057</v>
      </c>
      <c r="B97" s="88">
        <f t="shared" si="10"/>
        <v>0</v>
      </c>
      <c r="C97" s="812" t="str" cm="1">
        <f t="array" ref="C97">IF(A97-$H$9&lt;0,"",INDEX('Life Cycle of Rehabilitation'!$A$19:$A$73,A97-$H$9+1,0))</f>
        <v>Fair</v>
      </c>
      <c r="D97" s="90" t="str">
        <f>IF(C97="",IF(AND(A97&gt;='Cost Summary'!$C$26,A97&lt;='Cost Summary'!$D$26),"Construction",D51),IF(C97="Light Rehabilitation","Rehab","Routine Maintenance"))</f>
        <v>Routine Maintenance</v>
      </c>
      <c r="E97" s="87">
        <f t="shared" si="8"/>
        <v>0</v>
      </c>
      <c r="F97" s="87">
        <f t="shared" si="11"/>
        <v>0</v>
      </c>
      <c r="G97" s="87"/>
      <c r="H97" s="87">
        <f>IF(AND(A97&gt;='Cost Summary'!$C$26,A97&lt;='Cost Summary'!$D$26),$J$186/IF('Cost Summary'!$D$26='Cost Summary'!$C$26,1,'Cost Summary'!$D$26-'Cost Summary'!$C$26)*(1+$H$5)^(A97-$H$6),0)+IF(D97="Rehab",$J$200,0)</f>
        <v>0</v>
      </c>
      <c r="I97" s="87">
        <f>IF(AND($A51&gt;=$H$7,$A51&lt;=$H$8),IFERROR('State of Good Repair - AP-AP'!$B$27*$C$108*B97*(1-$J$108)*VLOOKUP($E$108,$B$150:$D$152,3,0)*(HLOOKUP(C97,$E$149:$I$155,$O$150,0)-1)/100,0)+IFERROR('State of Good Repair - AP-AP'!$B$27*$C$109*B97*(1-$J$109)*VLOOKUP($E$109,$B$150:$D$152,3,0)*(HLOOKUP(C97,$E$149:$I$155,$O$151,0)-1)/100,0),0)</f>
        <v>0</v>
      </c>
      <c r="J97" s="87">
        <f>IF(AND($A51&gt;=$H$7,$A51&lt;=$H$8),IFERROR('State of Good Repair - AP-AP'!$B$27*$C$108*B97*$J$108*VLOOKUP($E$108,$B$153:$D$155,3,0)*(HLOOKUP(C97,$E$149:$I$155,$P$150,0)-1)/100,0)+IFERROR('State of Good Repair - AP-AP'!$B$27*$C$109*B97*$J$109*VLOOKUP($E$109,$B$153:$D$155,3,0)*(HLOOKUP(C97,$E$149:$I$155,$P$151,0)-1)/100,0),0)</f>
        <v>0</v>
      </c>
      <c r="K97" s="87">
        <f t="shared" si="12"/>
        <v>0</v>
      </c>
      <c r="M97" s="72"/>
    </row>
    <row r="98" spans="1:16">
      <c r="A98" s="89">
        <f>'Major Assumption Key'!A57</f>
        <v>2058</v>
      </c>
      <c r="B98" s="88">
        <f t="shared" si="10"/>
        <v>0</v>
      </c>
      <c r="C98" s="812" t="str" cm="1">
        <f t="array" ref="C98">IF(A98-$H$9&lt;0,"",INDEX('Life Cycle of Rehabilitation'!$A$19:$A$73,A98-$H$9+1,0))</f>
        <v>Fair</v>
      </c>
      <c r="D98" s="90" t="str">
        <f>IF(C98="",IF(AND(A98&gt;='Cost Summary'!$C$26,A98&lt;='Cost Summary'!$D$26),"Construction",D52),IF(C98="Light Rehabilitation","Rehab","Routine Maintenance"))</f>
        <v>Routine Maintenance</v>
      </c>
      <c r="E98" s="87">
        <f t="shared" si="8"/>
        <v>0</v>
      </c>
      <c r="F98" s="87">
        <f t="shared" si="11"/>
        <v>0</v>
      </c>
      <c r="G98" s="87"/>
      <c r="H98" s="87">
        <f>IF(AND(A98&gt;='Cost Summary'!$C$26,A98&lt;='Cost Summary'!$D$26),$J$186/IF('Cost Summary'!$D$26='Cost Summary'!$C$26,1,'Cost Summary'!$D$26-'Cost Summary'!$C$26)*(1+$H$5)^(A98-$H$6),0)+IF(D98="Rehab",$J$200,0)</f>
        <v>0</v>
      </c>
      <c r="I98" s="87">
        <f>IF(AND($A52&gt;=$H$7,$A52&lt;=$H$8),IFERROR('State of Good Repair - AP-AP'!$B$27*$C$108*B98*(1-$J$108)*VLOOKUP($E$108,$B$150:$D$152,3,0)*(HLOOKUP(C98,$E$149:$I$155,$O$150,0)-1)/100,0)+IFERROR('State of Good Repair - AP-AP'!$B$27*$C$109*B98*(1-$J$109)*VLOOKUP($E$109,$B$150:$D$152,3,0)*(HLOOKUP(C98,$E$149:$I$155,$O$151,0)-1)/100,0),0)</f>
        <v>0</v>
      </c>
      <c r="J98" s="87">
        <f>IF(AND($A52&gt;=$H$7,$A52&lt;=$H$8),IFERROR('State of Good Repair - AP-AP'!$B$27*$C$108*B98*$J$108*VLOOKUP($E$108,$B$153:$D$155,3,0)*(HLOOKUP(C98,$E$149:$I$155,$P$150,0)-1)/100,0)+IFERROR('State of Good Repair - AP-AP'!$B$27*$C$109*B98*$J$109*VLOOKUP($E$109,$B$153:$D$155,3,0)*(HLOOKUP(C98,$E$149:$I$155,$P$151,0)-1)/100,0),0)</f>
        <v>0</v>
      </c>
      <c r="K98" s="87">
        <f t="shared" si="12"/>
        <v>0</v>
      </c>
      <c r="M98" s="72"/>
    </row>
    <row r="99" spans="1:16">
      <c r="A99" s="89">
        <f>'Major Assumption Key'!A58</f>
        <v>2059</v>
      </c>
      <c r="B99" s="88">
        <f t="shared" si="10"/>
        <v>0</v>
      </c>
      <c r="C99" s="812" t="str" cm="1">
        <f t="array" ref="C99">IF(A99-$H$9&lt;0,"",INDEX('Life Cycle of Rehabilitation'!$A$19:$A$73,A99-$H$9+1,0))</f>
        <v>Poor</v>
      </c>
      <c r="D99" s="90" t="str">
        <f>IF(C99="",IF(AND(A99&gt;='Cost Summary'!$C$26,A99&lt;='Cost Summary'!$D$26),"Construction",D53),IF(C99="Light Rehabilitation","Rehab","Routine Maintenance"))</f>
        <v>Routine Maintenance</v>
      </c>
      <c r="E99" s="87">
        <f t="shared" si="8"/>
        <v>0</v>
      </c>
      <c r="F99" s="87">
        <f t="shared" si="11"/>
        <v>0</v>
      </c>
      <c r="G99" s="87"/>
      <c r="H99" s="87">
        <f>IF(AND(A99&gt;='Cost Summary'!$C$26,A99&lt;='Cost Summary'!$D$26),$J$186/IF('Cost Summary'!$D$26='Cost Summary'!$C$26,1,'Cost Summary'!$D$26-'Cost Summary'!$C$26)*(1+$H$5)^(A99-$H$6),0)+IF(D99="Rehab",$J$200,0)</f>
        <v>0</v>
      </c>
      <c r="I99" s="87">
        <f>IF(AND($A53&gt;=$H$7,$A53&lt;=$H$8),IFERROR('State of Good Repair - AP-AP'!$B$27*$C$108*B99*(1-$J$108)*VLOOKUP($E$108,$B$150:$D$152,3,0)*(HLOOKUP(C99,$E$149:$I$155,$O$150,0)-1)/100,0)+IFERROR('State of Good Repair - AP-AP'!$B$27*$C$109*B99*(1-$J$109)*VLOOKUP($E$109,$B$150:$D$152,3,0)*(HLOOKUP(C99,$E$149:$I$155,$O$151,0)-1)/100,0),0)</f>
        <v>0</v>
      </c>
      <c r="J99" s="87">
        <f>IF(AND($A53&gt;=$H$7,$A53&lt;=$H$8),IFERROR('State of Good Repair - AP-AP'!$B$27*$C$108*B99*$J$108*VLOOKUP($E$108,$B$153:$D$155,3,0)*(HLOOKUP(C99,$E$149:$I$155,$P$150,0)-1)/100,0)+IFERROR('State of Good Repair - AP-AP'!$B$27*$C$109*B99*$J$109*VLOOKUP($E$109,$B$153:$D$155,3,0)*(HLOOKUP(C99,$E$149:$I$155,$P$151,0)-1)/100,0),0)</f>
        <v>0</v>
      </c>
      <c r="K99" s="87">
        <f t="shared" si="12"/>
        <v>0</v>
      </c>
      <c r="M99" s="72"/>
    </row>
    <row r="100" spans="1:16">
      <c r="A100" s="89">
        <f>'Major Assumption Key'!A59</f>
        <v>2060</v>
      </c>
      <c r="B100" s="88">
        <f t="shared" si="10"/>
        <v>0</v>
      </c>
      <c r="C100" s="812" t="str" cm="1">
        <f t="array" ref="C100">IF(A100-$H$9&lt;0,"",INDEX('Life Cycle of Rehabilitation'!$A$19:$A$73,A100-$H$9+1,0))</f>
        <v>Poor</v>
      </c>
      <c r="D100" s="90" t="str">
        <f>IF(C100="",IF(AND(A100&gt;='Cost Summary'!$C$26,A100&lt;='Cost Summary'!$D$26),"Construction",D54),IF(C100="Light Rehabilitation","Rehab","Routine Maintenance"))</f>
        <v>Routine Maintenance</v>
      </c>
      <c r="E100" s="87">
        <f t="shared" si="8"/>
        <v>0</v>
      </c>
      <c r="F100" s="87">
        <f t="shared" si="11"/>
        <v>0</v>
      </c>
      <c r="G100" s="87"/>
      <c r="H100" s="87">
        <f>IF(AND(A100&gt;='Cost Summary'!$C$26,A100&lt;='Cost Summary'!$D$26),$J$186/IF('Cost Summary'!$D$26='Cost Summary'!$C$26,1,'Cost Summary'!$D$26-'Cost Summary'!$C$26)*(1+$H$5)^(A100-$H$6),0)+IF(D100="Rehab",$J$200,0)</f>
        <v>0</v>
      </c>
      <c r="I100" s="87">
        <f>IF(AND($A54&gt;=$H$7,$A54&lt;=$H$8),IFERROR('State of Good Repair - AP-AP'!$B$27*$C$108*B100*(1-$J$108)*VLOOKUP($E$108,$B$150:$D$152,3,0)*(HLOOKUP(C100,$E$149:$I$155,$O$150,0)-1)/100,0)+IFERROR('State of Good Repair - AP-AP'!$B$27*$C$109*B100*(1-$J$109)*VLOOKUP($E$109,$B$150:$D$152,3,0)*(HLOOKUP(C100,$E$149:$I$155,$O$151,0)-1)/100,0),0)</f>
        <v>0</v>
      </c>
      <c r="J100" s="87">
        <f>IF(AND($A54&gt;=$H$7,$A54&lt;=$H$8),IFERROR('State of Good Repair - AP-AP'!$B$27*$C$108*B100*$J$108*VLOOKUP($E$108,$B$153:$D$155,3,0)*(HLOOKUP(C100,$E$149:$I$155,$P$150,0)-1)/100,0)+IFERROR('State of Good Repair - AP-AP'!$B$27*$C$109*B100*$J$109*VLOOKUP($E$109,$B$153:$D$155,3,0)*(HLOOKUP(C100,$E$149:$I$155,$P$151,0)-1)/100,0),0)</f>
        <v>0</v>
      </c>
      <c r="K100" s="87">
        <f t="shared" si="12"/>
        <v>0</v>
      </c>
      <c r="M100" s="72"/>
    </row>
    <row r="101" spans="1:16">
      <c r="A101" s="127" t="s">
        <v>63</v>
      </c>
      <c r="B101" s="86"/>
      <c r="C101" s="85"/>
      <c r="D101" s="85"/>
      <c r="E101" s="121">
        <f>SUMIFS(E$60:E$100,$A$60:$A$100,"&gt;="&amp;$H$7,$A$60:$A$100,"&lt;="&amp;$H$8)</f>
        <v>0</v>
      </c>
      <c r="F101" s="121">
        <f t="shared" ref="F101:J101" si="13">SUMIFS(F$60:F$100,$A$60:$A$100,"&gt;="&amp;$H$7,$A$60:$A$100,"&lt;="&amp;$H$8)</f>
        <v>0</v>
      </c>
      <c r="G101" s="121">
        <f t="shared" si="13"/>
        <v>0</v>
      </c>
      <c r="H101" s="121">
        <f t="shared" si="13"/>
        <v>0</v>
      </c>
      <c r="I101" s="121">
        <f t="shared" si="13"/>
        <v>0</v>
      </c>
      <c r="J101" s="121">
        <f t="shared" si="13"/>
        <v>0</v>
      </c>
      <c r="K101" s="121">
        <f>SUMIFS(K$60:K$100,$A$60:$A$100,"&gt;="&amp;$H$7,$A$60:$A$100,"&lt;="&amp;$H$8)</f>
        <v>0</v>
      </c>
      <c r="M101" s="72"/>
    </row>
    <row r="102" spans="1:16">
      <c r="A102" s="638"/>
      <c r="B102" s="639"/>
      <c r="C102" s="401"/>
      <c r="D102" s="401"/>
      <c r="E102" s="640"/>
      <c r="F102" s="640"/>
      <c r="G102" s="640"/>
      <c r="H102" s="640"/>
      <c r="I102" s="640"/>
      <c r="J102" s="640"/>
      <c r="K102" s="640"/>
      <c r="M102" s="72"/>
    </row>
    <row r="103" spans="1:16">
      <c r="M103" s="72"/>
    </row>
    <row r="104" spans="1:16">
      <c r="A104" s="169" t="s">
        <v>572</v>
      </c>
      <c r="B104" s="170"/>
      <c r="C104" s="171"/>
      <c r="M104" s="72"/>
    </row>
    <row r="105" spans="1:16">
      <c r="D105" s="72"/>
      <c r="M105" s="72"/>
    </row>
    <row r="106" spans="1:16">
      <c r="A106" s="101" t="s">
        <v>573</v>
      </c>
      <c r="H106" s="73" t="s">
        <v>574</v>
      </c>
    </row>
    <row r="107" spans="1:16">
      <c r="A107" s="799" t="s">
        <v>549</v>
      </c>
      <c r="B107" s="126" t="s">
        <v>77</v>
      </c>
      <c r="C107" s="814" t="s">
        <v>575</v>
      </c>
      <c r="D107" s="73" t="s">
        <v>76</v>
      </c>
      <c r="E107" s="73" t="s">
        <v>75</v>
      </c>
      <c r="F107" s="73" t="s">
        <v>78</v>
      </c>
      <c r="G107" s="73" t="s">
        <v>648</v>
      </c>
      <c r="H107" s="73" t="s">
        <v>578</v>
      </c>
      <c r="I107" s="815" t="s">
        <v>579</v>
      </c>
      <c r="J107" s="815" t="s">
        <v>580</v>
      </c>
      <c r="K107" s="815"/>
      <c r="N107" s="73"/>
      <c r="O107" s="73"/>
      <c r="P107" s="73"/>
    </row>
    <row r="108" spans="1:16">
      <c r="A108" s="799" t="str">
        <f>B6</f>
        <v>NAME of Segment A</v>
      </c>
      <c r="B108" s="166">
        <v>0</v>
      </c>
      <c r="C108" s="111">
        <f>B108/5280</f>
        <v>0</v>
      </c>
      <c r="D108" s="73" t="s">
        <v>581</v>
      </c>
      <c r="E108" s="816"/>
      <c r="F108" s="100">
        <v>0</v>
      </c>
      <c r="G108" s="100">
        <v>0</v>
      </c>
      <c r="H108" s="98">
        <f>(B108/5280)*F108</f>
        <v>0</v>
      </c>
      <c r="I108" s="73" t="str">
        <f>IF(G114=5,"Very Good",IF(G114=4,"Good",IF(G114=3,"Fair",IF(G114=2,"Poor","Very Poor"))))</f>
        <v>Very Poor</v>
      </c>
      <c r="J108" s="84">
        <f>'State of Good Repair - AP-AP'!$B$32</f>
        <v>3.1469138466308312E-2</v>
      </c>
      <c r="K108" s="84"/>
      <c r="N108" s="73"/>
      <c r="O108" s="73"/>
      <c r="P108" s="73"/>
    </row>
    <row r="109" spans="1:16">
      <c r="A109" s="799" t="str">
        <f>B7</f>
        <v>NAME of Segment B</v>
      </c>
      <c r="B109" s="166"/>
      <c r="C109" s="111">
        <f>B109/5280</f>
        <v>0</v>
      </c>
      <c r="D109" s="73" t="str">
        <f>D108</f>
        <v>ACP</v>
      </c>
      <c r="E109" s="816"/>
      <c r="F109" s="100"/>
      <c r="G109" s="100"/>
      <c r="H109" s="98"/>
      <c r="J109" s="84"/>
      <c r="K109" s="84"/>
      <c r="M109" s="817"/>
      <c r="N109" s="73"/>
      <c r="O109" s="73"/>
      <c r="P109" s="73"/>
    </row>
    <row r="110" spans="1:16">
      <c r="B110" s="126"/>
      <c r="C110" s="111"/>
      <c r="G110" s="107"/>
      <c r="H110" s="98"/>
      <c r="J110" s="84"/>
      <c r="K110" s="84"/>
      <c r="M110" s="120"/>
      <c r="N110" s="73"/>
    </row>
    <row r="111" spans="1:16">
      <c r="A111" s="101" t="s">
        <v>583</v>
      </c>
    </row>
    <row r="112" spans="1:16">
      <c r="A112" s="72" t="s">
        <v>86</v>
      </c>
      <c r="B112" s="126" t="s">
        <v>584</v>
      </c>
      <c r="C112" s="73" t="s">
        <v>585</v>
      </c>
      <c r="D112" s="73" t="s">
        <v>586</v>
      </c>
      <c r="E112" s="73" t="s">
        <v>587</v>
      </c>
      <c r="F112" s="73" t="s">
        <v>588</v>
      </c>
      <c r="G112" s="73" t="s">
        <v>87</v>
      </c>
      <c r="I112" s="401" t="s">
        <v>591</v>
      </c>
    </row>
    <row r="113" spans="1:9">
      <c r="A113" s="799" t="s">
        <v>589</v>
      </c>
      <c r="B113" s="126" t="s">
        <v>100</v>
      </c>
      <c r="C113" s="73" t="s">
        <v>99</v>
      </c>
      <c r="D113" s="73" t="s">
        <v>98</v>
      </c>
      <c r="E113" s="73" t="s">
        <v>97</v>
      </c>
      <c r="F113" s="73" t="s">
        <v>96</v>
      </c>
      <c r="G113" s="815" t="s">
        <v>590</v>
      </c>
      <c r="I113" s="402">
        <v>2023</v>
      </c>
    </row>
    <row r="114" spans="1:9">
      <c r="A114" s="72" t="str">
        <f>A6</f>
        <v>Name of Roadway</v>
      </c>
      <c r="B114" s="166">
        <v>0</v>
      </c>
      <c r="C114" s="100">
        <v>0</v>
      </c>
      <c r="D114" s="100">
        <v>0</v>
      </c>
      <c r="E114" s="100">
        <v>0</v>
      </c>
      <c r="F114" s="100">
        <v>0</v>
      </c>
      <c r="G114" s="98">
        <f>IFERROR(ROUND((1*B114+2*C114+3*D114+4*E114+5*F114)/SUM(B114:F114),0),0)</f>
        <v>0</v>
      </c>
    </row>
    <row r="115" spans="1:9">
      <c r="A115" s="72" t="str">
        <f>A6</f>
        <v>Name of Roadway</v>
      </c>
      <c r="B115" s="166"/>
      <c r="C115" s="100"/>
      <c r="D115" s="100"/>
      <c r="E115" s="100"/>
      <c r="F115" s="100"/>
      <c r="G115" s="98"/>
    </row>
    <row r="116" spans="1:9">
      <c r="A116" s="799" t="s">
        <v>592</v>
      </c>
      <c r="B116" s="126"/>
      <c r="D116" s="819"/>
      <c r="E116" s="819"/>
      <c r="F116" s="819"/>
      <c r="G116" s="98"/>
    </row>
    <row r="117" spans="1:9">
      <c r="A117" s="799"/>
      <c r="B117" s="126"/>
      <c r="D117" s="819"/>
      <c r="E117" s="819"/>
      <c r="F117" s="819"/>
      <c r="G117" s="98"/>
    </row>
    <row r="118" spans="1:9">
      <c r="B118" s="126"/>
      <c r="D118" s="817"/>
      <c r="E118" s="817"/>
      <c r="F118" s="817"/>
      <c r="G118" s="98"/>
    </row>
    <row r="119" spans="1:9">
      <c r="A119" s="169" t="s">
        <v>593</v>
      </c>
      <c r="B119" s="170"/>
      <c r="C119" s="171"/>
    </row>
    <row r="120" spans="1:9">
      <c r="A120" s="667" t="s">
        <v>578</v>
      </c>
      <c r="B120" s="799" t="s">
        <v>594</v>
      </c>
      <c r="C120" s="835">
        <v>16000</v>
      </c>
    </row>
    <row r="121" spans="1:9">
      <c r="A121" s="101"/>
      <c r="B121" s="101"/>
      <c r="C121" s="101"/>
    </row>
    <row r="122" spans="1:9">
      <c r="A122" s="101" t="s">
        <v>595</v>
      </c>
      <c r="B122" s="101"/>
      <c r="C122" s="101"/>
    </row>
    <row r="123" spans="1:9">
      <c r="A123" s="101"/>
      <c r="B123" s="101"/>
      <c r="C123" s="101"/>
    </row>
    <row r="124" spans="1:9">
      <c r="A124" s="667" t="s">
        <v>596</v>
      </c>
      <c r="B124" s="799"/>
      <c r="C124" s="799"/>
    </row>
    <row r="125" spans="1:9" ht="13.2" customHeight="1">
      <c r="A125" s="667" t="s">
        <v>473</v>
      </c>
      <c r="B125" s="799" t="s">
        <v>597</v>
      </c>
      <c r="C125" s="836">
        <v>111114400</v>
      </c>
      <c r="D125" s="818"/>
    </row>
    <row r="126" spans="1:9">
      <c r="A126" s="667" t="s">
        <v>599</v>
      </c>
      <c r="B126" s="799" t="s">
        <v>597</v>
      </c>
      <c r="C126" s="837">
        <f>'SOGR Supporting AP-CP'!C126</f>
        <v>6944.65</v>
      </c>
    </row>
    <row r="127" spans="1:9">
      <c r="A127" s="101"/>
      <c r="B127" s="101"/>
      <c r="C127" s="101"/>
    </row>
    <row r="128" spans="1:9">
      <c r="A128" s="101" t="s">
        <v>600</v>
      </c>
      <c r="B128" s="101"/>
      <c r="C128" s="101"/>
    </row>
    <row r="129" spans="1:16">
      <c r="C129" s="72"/>
      <c r="D129" s="72"/>
    </row>
    <row r="130" spans="1:16">
      <c r="C130" s="72"/>
      <c r="D130" s="72"/>
      <c r="N130" s="73"/>
      <c r="O130" s="73"/>
      <c r="P130" s="73"/>
    </row>
    <row r="131" spans="1:16">
      <c r="A131" s="101" t="s">
        <v>601</v>
      </c>
      <c r="C131" s="72"/>
      <c r="N131" s="73"/>
      <c r="O131" s="73"/>
      <c r="P131" s="73"/>
    </row>
    <row r="132" spans="1:16">
      <c r="A132" s="72" t="str">
        <f>A108</f>
        <v>NAME of Segment A</v>
      </c>
      <c r="B132" s="823">
        <f>H108</f>
        <v>0</v>
      </c>
      <c r="C132" s="824"/>
      <c r="N132" s="73"/>
      <c r="O132" s="73"/>
      <c r="P132" s="73"/>
    </row>
    <row r="133" spans="1:16">
      <c r="A133" s="72" t="str">
        <f>A109</f>
        <v>NAME of Segment B</v>
      </c>
      <c r="B133" s="823">
        <f>H109</f>
        <v>0</v>
      </c>
      <c r="C133" s="72"/>
      <c r="N133" s="73"/>
      <c r="O133" s="73"/>
      <c r="P133" s="73"/>
    </row>
    <row r="134" spans="1:16">
      <c r="B134" s="825"/>
      <c r="C134" s="72"/>
      <c r="N134" s="73"/>
      <c r="O134" s="73"/>
      <c r="P134" s="73"/>
    </row>
    <row r="135" spans="1:16">
      <c r="A135" s="101" t="s">
        <v>602</v>
      </c>
      <c r="C135" s="824"/>
    </row>
    <row r="136" spans="1:16">
      <c r="A136" s="72" t="s">
        <v>92</v>
      </c>
      <c r="B136" s="824" t="s">
        <v>94</v>
      </c>
      <c r="C136" s="126" t="s">
        <v>93</v>
      </c>
      <c r="D136" s="73" t="str">
        <f>A6</f>
        <v>Name of Roadway</v>
      </c>
      <c r="E136" s="126"/>
    </row>
    <row r="137" spans="1:16">
      <c r="A137" s="72" t="s">
        <v>95</v>
      </c>
      <c r="B137" s="826">
        <v>0</v>
      </c>
      <c r="C137" s="83">
        <v>0.24</v>
      </c>
      <c r="D137" s="81">
        <f>ROUND(SUM($B$132,$B$133)*$C$126*B137,0)</f>
        <v>0</v>
      </c>
      <c r="E137" s="81"/>
      <c r="F137" s="81"/>
    </row>
    <row r="138" spans="1:16">
      <c r="A138" s="72" t="s">
        <v>96</v>
      </c>
      <c r="B138" s="826">
        <v>0</v>
      </c>
      <c r="C138" s="83">
        <v>0.4</v>
      </c>
      <c r="D138" s="81">
        <f t="shared" ref="D138:D142" si="14">ROUND(SUM($B$132,$B$133)*$C$126*B138,0)</f>
        <v>0</v>
      </c>
      <c r="E138" s="81"/>
      <c r="F138" s="81"/>
    </row>
    <row r="139" spans="1:16">
      <c r="A139" s="72" t="s">
        <v>97</v>
      </c>
      <c r="B139" s="826">
        <v>0.25</v>
      </c>
      <c r="C139" s="83">
        <v>0.52</v>
      </c>
      <c r="D139" s="81">
        <f t="shared" si="14"/>
        <v>0</v>
      </c>
      <c r="E139" s="81"/>
      <c r="F139" s="81"/>
    </row>
    <row r="140" spans="1:16">
      <c r="A140" s="72" t="s">
        <v>98</v>
      </c>
      <c r="B140" s="827">
        <v>1</v>
      </c>
      <c r="C140" s="83">
        <v>0.64</v>
      </c>
      <c r="D140" s="81">
        <f t="shared" si="14"/>
        <v>0</v>
      </c>
      <c r="E140" s="81"/>
      <c r="F140" s="81"/>
    </row>
    <row r="141" spans="1:16">
      <c r="A141" s="72" t="s">
        <v>99</v>
      </c>
      <c r="B141" s="827">
        <v>1.5</v>
      </c>
      <c r="C141" s="83">
        <v>0.8</v>
      </c>
      <c r="D141" s="81">
        <f t="shared" si="14"/>
        <v>0</v>
      </c>
      <c r="E141" s="81"/>
      <c r="F141" s="81"/>
    </row>
    <row r="142" spans="1:16">
      <c r="A142" s="72" t="s">
        <v>100</v>
      </c>
      <c r="B142" s="827">
        <v>3</v>
      </c>
      <c r="C142" s="83">
        <v>1</v>
      </c>
      <c r="D142" s="81">
        <f t="shared" si="14"/>
        <v>0</v>
      </c>
      <c r="E142" s="81"/>
      <c r="F142" s="81"/>
    </row>
    <row r="143" spans="1:16">
      <c r="A143" s="799" t="s">
        <v>603</v>
      </c>
      <c r="C143" s="828"/>
    </row>
    <row r="144" spans="1:16">
      <c r="A144" s="799"/>
      <c r="C144" s="828"/>
    </row>
    <row r="145" spans="1:16">
      <c r="J145"/>
      <c r="K145"/>
      <c r="L145" s="72"/>
      <c r="M145" s="72"/>
    </row>
    <row r="146" spans="1:16">
      <c r="A146" s="169" t="s">
        <v>257</v>
      </c>
      <c r="B146" s="170"/>
      <c r="C146" s="171"/>
      <c r="D146" s="1"/>
      <c r="E146"/>
      <c r="F146"/>
      <c r="G146"/>
      <c r="H146"/>
      <c r="I146"/>
      <c r="J146"/>
      <c r="K146"/>
      <c r="L146" s="72"/>
      <c r="M146" s="72"/>
    </row>
    <row r="147" spans="1:16" ht="43.2" customHeight="1">
      <c r="A147" s="79" t="s">
        <v>604</v>
      </c>
      <c r="B147" s="78" t="s">
        <v>605</v>
      </c>
      <c r="C147" s="77" t="s">
        <v>606</v>
      </c>
      <c r="D147" s="108" t="s">
        <v>607</v>
      </c>
      <c r="E147" s="1908" t="s">
        <v>608</v>
      </c>
      <c r="F147" s="1909"/>
      <c r="G147" s="1909"/>
      <c r="H147" s="1909"/>
      <c r="I147" s="1910"/>
      <c r="J147"/>
      <c r="K147"/>
      <c r="L147" s="72"/>
      <c r="M147" s="72"/>
    </row>
    <row r="148" spans="1:16">
      <c r="A148" s="1918" t="s">
        <v>609</v>
      </c>
      <c r="B148" s="1919"/>
      <c r="C148" s="1919"/>
      <c r="D148" s="1920"/>
      <c r="E148" s="77">
        <v>2</v>
      </c>
      <c r="F148" s="77">
        <v>3</v>
      </c>
      <c r="G148" s="77">
        <v>4</v>
      </c>
      <c r="H148" s="77">
        <v>5</v>
      </c>
      <c r="I148" s="77">
        <v>6</v>
      </c>
      <c r="J148"/>
      <c r="K148"/>
      <c r="L148" s="1921" t="s">
        <v>610</v>
      </c>
      <c r="M148" s="1921"/>
      <c r="N148" s="1921"/>
      <c r="O148" s="1921"/>
      <c r="P148" s="1921"/>
    </row>
    <row r="149" spans="1:16">
      <c r="A149" s="1918" t="s">
        <v>611</v>
      </c>
      <c r="B149" s="1919"/>
      <c r="C149" s="1920"/>
      <c r="D149" s="108"/>
      <c r="E149" s="77" t="s">
        <v>96</v>
      </c>
      <c r="F149" s="77" t="s">
        <v>97</v>
      </c>
      <c r="G149" s="77" t="s">
        <v>98</v>
      </c>
      <c r="H149" s="77" t="s">
        <v>99</v>
      </c>
      <c r="I149" s="77" t="s">
        <v>100</v>
      </c>
      <c r="J149"/>
      <c r="K149"/>
      <c r="L149" s="72" t="s">
        <v>612</v>
      </c>
      <c r="M149" t="s">
        <v>76</v>
      </c>
      <c r="N149" s="52" t="s">
        <v>75</v>
      </c>
      <c r="O149" s="52" t="s">
        <v>127</v>
      </c>
      <c r="P149" s="52" t="s">
        <v>128</v>
      </c>
    </row>
    <row r="150" spans="1:16">
      <c r="A150" s="1922" t="s">
        <v>127</v>
      </c>
      <c r="B150" s="106" t="s">
        <v>582</v>
      </c>
      <c r="C150" s="75">
        <f>ROUND((14+16.1+16.3)/3,1)</f>
        <v>15.5</v>
      </c>
      <c r="D150" s="76">
        <f>C150*'Major Assumption Key'!$B$68</f>
        <v>21.235000000000003</v>
      </c>
      <c r="E150" s="75">
        <f>ROUND((1.02+1.01+1.02)/3,2)</f>
        <v>1.02</v>
      </c>
      <c r="F150" s="74">
        <f>ROUND((1.04+1.02+1.03)/3,2)</f>
        <v>1.03</v>
      </c>
      <c r="G150" s="74">
        <f>ROUND((1.08+1.05+1.09)/3,2)</f>
        <v>1.07</v>
      </c>
      <c r="H150" s="74">
        <f>ROUND((1.15+1.11+1.2)/3,2)</f>
        <v>1.1499999999999999</v>
      </c>
      <c r="I150" s="74">
        <f>ROUND((1.22+1.18+1.34)/3,2)</f>
        <v>1.25</v>
      </c>
      <c r="J150"/>
      <c r="K150"/>
      <c r="L150" s="72" t="str">
        <f>A6</f>
        <v>Name of Roadway</v>
      </c>
      <c r="M150" t="str">
        <f>D108</f>
        <v>ACP</v>
      </c>
      <c r="N150" s="52">
        <f>E108</f>
        <v>0</v>
      </c>
      <c r="O150" s="52">
        <f>IF(N150="Collector",2,IF(N150="Arterial",3,IF(N150="Highway",4,0)))</f>
        <v>0</v>
      </c>
      <c r="P150" s="52">
        <f>IF(N150="Collector",5,IF(N150="Arterial",6,IF(N150="Highway",7,0)))</f>
        <v>0</v>
      </c>
    </row>
    <row r="151" spans="1:16">
      <c r="A151" s="1923"/>
      <c r="B151" s="75" t="s">
        <v>613</v>
      </c>
      <c r="C151" s="75">
        <f>ROUND((16.8+20.2+20.8)/3,1)</f>
        <v>19.3</v>
      </c>
      <c r="D151" s="76">
        <f>C151*'Major Assumption Key'!$B$68</f>
        <v>26.441000000000003</v>
      </c>
      <c r="E151" s="75">
        <f>ROUND((1.02+1.01+1.02)/3,2)</f>
        <v>1.02</v>
      </c>
      <c r="F151" s="74">
        <f>ROUND((1.04+1.01+1.03)/3,2)</f>
        <v>1.03</v>
      </c>
      <c r="G151" s="74">
        <f>ROUND((1.08+1.05+1.09)/3,2)</f>
        <v>1.07</v>
      </c>
      <c r="H151" s="74">
        <f>ROUND((1.15+1.11+1.2)/3,2)</f>
        <v>1.1499999999999999</v>
      </c>
      <c r="I151" s="74">
        <f>ROUND((1.22+1.17+1.32)/3,2)</f>
        <v>1.24</v>
      </c>
      <c r="L151" s="72" t="str">
        <f>A6</f>
        <v>Name of Roadway</v>
      </c>
      <c r="M151" t="str">
        <f>D109</f>
        <v>ACP</v>
      </c>
      <c r="N151" s="52">
        <f>E109</f>
        <v>0</v>
      </c>
      <c r="O151" s="52">
        <f>IF(N151="Collector",2,IF(N151="Arterial",3,IF(N151="Highway",4,0)))</f>
        <v>0</v>
      </c>
      <c r="P151" s="52">
        <f>IF(N151="Collector",5,IF(N151="Arterial",6,IF(N151="Highway",7,0)))</f>
        <v>0</v>
      </c>
    </row>
    <row r="152" spans="1:16">
      <c r="A152" s="1924"/>
      <c r="B152" s="75" t="s">
        <v>614</v>
      </c>
      <c r="C152" s="75">
        <f>ROUND((21.3+26.5+28.2)/3,1)</f>
        <v>25.3</v>
      </c>
      <c r="D152" s="76">
        <f>C152*'Major Assumption Key'!$B$68</f>
        <v>34.661000000000001</v>
      </c>
      <c r="E152" s="75">
        <f>ROUND((1.02+1.01+1.01)/3,2)</f>
        <v>1.01</v>
      </c>
      <c r="F152" s="74">
        <f>ROUND((1.03+1.01+1.03)/3,2)</f>
        <v>1.02</v>
      </c>
      <c r="G152" s="74">
        <f>ROUND((1.07+1.04+1.08)/3,2)</f>
        <v>1.06</v>
      </c>
      <c r="H152" s="74">
        <f>ROUND((1.14+1.1+1.18)/3,2)</f>
        <v>1.1399999999999999</v>
      </c>
      <c r="I152" s="74">
        <f>ROUND((1.21+1.16+1.29)/3,2)</f>
        <v>1.22</v>
      </c>
      <c r="L152" s="72"/>
      <c r="M152"/>
      <c r="N152" s="52"/>
      <c r="O152" s="52"/>
      <c r="P152" s="52"/>
    </row>
    <row r="153" spans="1:16">
      <c r="A153" s="1922" t="s">
        <v>128</v>
      </c>
      <c r="B153" s="75" t="s">
        <v>582</v>
      </c>
      <c r="C153" s="75">
        <f>ROUND((23.9+57.5)/2,1)</f>
        <v>40.700000000000003</v>
      </c>
      <c r="D153" s="76">
        <f>C153*'Major Assumption Key'!$B$68</f>
        <v>55.759000000000007</v>
      </c>
      <c r="E153" s="75">
        <f>ROUND((1.01+1.02)/2,2)</f>
        <v>1.02</v>
      </c>
      <c r="F153" s="74">
        <f>ROUND((1.02+1.03)/2,2)</f>
        <v>1.03</v>
      </c>
      <c r="G153" s="74">
        <f>ROUND((1.06+1.07)/2,2)</f>
        <v>1.07</v>
      </c>
      <c r="H153" s="74">
        <f>ROUND((1.13+1.13)/2,2)</f>
        <v>1.1299999999999999</v>
      </c>
      <c r="I153" s="74">
        <f>ROUND((1.22+1.19)/2,2)</f>
        <v>1.21</v>
      </c>
    </row>
    <row r="154" spans="1:16">
      <c r="A154" s="1923"/>
      <c r="B154" s="75" t="s">
        <v>613</v>
      </c>
      <c r="C154" s="75">
        <f>ROUND((34.6+90.7)/2,1)</f>
        <v>62.7</v>
      </c>
      <c r="D154" s="76">
        <f>C154*'Major Assumption Key'!$B$68</f>
        <v>85.899000000000015</v>
      </c>
      <c r="E154" s="75">
        <f>ROUND((1.01+1.01)/2,2)</f>
        <v>1.01</v>
      </c>
      <c r="F154" s="74">
        <f>ROUND((1.02+1.02)/2,2)</f>
        <v>1.02</v>
      </c>
      <c r="G154" s="74">
        <f>ROUND((1.05+1.05)/2,2)</f>
        <v>1.05</v>
      </c>
      <c r="H154" s="74">
        <f>ROUND((1.12+1.1)/2,2)</f>
        <v>1.1100000000000001</v>
      </c>
      <c r="I154" s="74">
        <f>ROUND((1.2+1.15)/2,2)</f>
        <v>1.18</v>
      </c>
    </row>
    <row r="155" spans="1:16">
      <c r="A155" s="1924"/>
      <c r="B155" s="75" t="s">
        <v>614</v>
      </c>
      <c r="C155" s="75">
        <f>ROUND((48.1+130)/2,1)</f>
        <v>89.1</v>
      </c>
      <c r="D155" s="76">
        <f>C155*'Major Assumption Key'!$B$68</f>
        <v>122.06700000000001</v>
      </c>
      <c r="E155" s="75">
        <f>ROUND((1.01+1.01)/2,2)</f>
        <v>1.01</v>
      </c>
      <c r="F155" s="74">
        <f>ROUND((1.01+1.02)/2,2)</f>
        <v>1.02</v>
      </c>
      <c r="G155" s="74">
        <f>ROUND((1.04+1.04)/2,2)</f>
        <v>1.04</v>
      </c>
      <c r="H155" s="74">
        <f>ROUND((1.1+1.08)/2,2)</f>
        <v>1.0900000000000001</v>
      </c>
      <c r="I155" s="74">
        <f>ROUND((1.17+1.13)/2,2)</f>
        <v>1.1499999999999999</v>
      </c>
    </row>
    <row r="156" spans="1:16">
      <c r="A156" s="799" t="s">
        <v>615</v>
      </c>
    </row>
    <row r="157" spans="1:16">
      <c r="A157" s="72" t="s">
        <v>616</v>
      </c>
    </row>
    <row r="158" spans="1:16">
      <c r="A158" s="72" t="s">
        <v>617</v>
      </c>
    </row>
    <row r="161" spans="1:15">
      <c r="A161" s="169" t="s">
        <v>618</v>
      </c>
      <c r="B161" s="170"/>
      <c r="C161" s="171"/>
      <c r="D161" s="829"/>
    </row>
    <row r="162" spans="1:15">
      <c r="A162" s="102"/>
      <c r="B162" s="814" t="s">
        <v>599</v>
      </c>
      <c r="C162" s="829"/>
      <c r="M162" s="72"/>
    </row>
    <row r="163" spans="1:15">
      <c r="A163" s="818" t="s">
        <v>619</v>
      </c>
      <c r="B163" s="81">
        <f>'State of Good Repair - AP-AP'!B26</f>
        <v>283756</v>
      </c>
      <c r="C163" s="80"/>
    </row>
    <row r="164" spans="1:15">
      <c r="A164" s="818"/>
      <c r="B164" s="81"/>
      <c r="C164" s="80"/>
    </row>
    <row r="165" spans="1:15">
      <c r="A165" s="80"/>
      <c r="B165" s="81"/>
      <c r="C165" s="80"/>
    </row>
    <row r="166" spans="1:15">
      <c r="A166" s="169" t="s">
        <v>620</v>
      </c>
      <c r="B166" s="170"/>
      <c r="C166" s="171"/>
      <c r="D166" s="160"/>
      <c r="E166" s="160"/>
      <c r="F166" s="160"/>
      <c r="G166" s="160"/>
      <c r="H166" s="160"/>
      <c r="I166" s="160"/>
    </row>
    <row r="167" spans="1:15">
      <c r="A167" s="101" t="s">
        <v>573</v>
      </c>
      <c r="C167" s="160"/>
      <c r="D167" s="160"/>
      <c r="E167" s="160"/>
      <c r="F167" s="160"/>
      <c r="G167" s="160"/>
      <c r="H167" s="160"/>
      <c r="I167" s="160"/>
    </row>
    <row r="168" spans="1:15">
      <c r="A168" s="830" t="s">
        <v>74</v>
      </c>
      <c r="B168" s="830" t="s">
        <v>77</v>
      </c>
      <c r="C168" s="830" t="s">
        <v>621</v>
      </c>
      <c r="D168" s="830" t="s">
        <v>622</v>
      </c>
      <c r="E168" s="830" t="s">
        <v>575</v>
      </c>
      <c r="F168" s="830" t="s">
        <v>623</v>
      </c>
      <c r="G168" s="830" t="s">
        <v>624</v>
      </c>
      <c r="H168" s="830" t="s">
        <v>625</v>
      </c>
      <c r="I168" s="830" t="s">
        <v>626</v>
      </c>
      <c r="J168" s="830" t="s">
        <v>627</v>
      </c>
      <c r="K168" s="175"/>
      <c r="M168" s="72"/>
    </row>
    <row r="169" spans="1:15">
      <c r="A169" s="799" t="str">
        <f>$A$6</f>
        <v>Name of Roadway</v>
      </c>
      <c r="B169" s="99">
        <f>$B$108+$B$109</f>
        <v>0</v>
      </c>
      <c r="C169" s="126">
        <f>_xlfn.XLOOKUP("Rehab",$D$14:$D$54,$A$14:$A$54,"N/A",0)</f>
        <v>2024</v>
      </c>
      <c r="D169" s="99">
        <f>VLOOKUP(C169,$A$13:$B$54,2,FALSE)</f>
        <v>0</v>
      </c>
      <c r="E169" s="163">
        <f>$C$108+$C$109</f>
        <v>0</v>
      </c>
      <c r="F169" s="160">
        <f>$B$175</f>
        <v>0</v>
      </c>
      <c r="G169" s="160">
        <f>F169*$B$180</f>
        <v>0</v>
      </c>
      <c r="H169" s="164">
        <f>IFERROR((E169/G169)-(E169/F169),0)</f>
        <v>0</v>
      </c>
      <c r="I169" s="99">
        <f>(D169*$B$177)*($B$178*E169)*H169</f>
        <v>0</v>
      </c>
      <c r="J169" s="160">
        <f>I169*$B$179*(1+$H$5)^(C169-$H$6)</f>
        <v>0</v>
      </c>
      <c r="K169" s="165"/>
      <c r="M169" s="72"/>
    </row>
    <row r="170" spans="1:15">
      <c r="A170" s="799" t="str">
        <f>$A$6</f>
        <v>Name of Roadway</v>
      </c>
      <c r="B170" s="99">
        <f>$B$108+$B$109</f>
        <v>0</v>
      </c>
      <c r="C170" s="126">
        <f>C169+7</f>
        <v>2031</v>
      </c>
      <c r="D170" s="99">
        <f t="shared" ref="D170:D172" si="15">VLOOKUP(C170,$A$13:$B$54,2,FALSE)</f>
        <v>0</v>
      </c>
      <c r="E170" s="163">
        <f>$C$108+$C$109</f>
        <v>0</v>
      </c>
      <c r="F170" s="160">
        <f>F169</f>
        <v>0</v>
      </c>
      <c r="G170" s="160">
        <f>F170*$B$180</f>
        <v>0</v>
      </c>
      <c r="H170" s="164">
        <f t="shared" ref="H170:H172" si="16">IFERROR((E170/G170)-(E170/F170),0)</f>
        <v>0</v>
      </c>
      <c r="I170" s="99">
        <f>(D170*$B$177)*($B$178*E170)*H170</f>
        <v>0</v>
      </c>
      <c r="J170" s="160">
        <f t="shared" ref="J170:J172" si="17">I170*$B$179*(1+$H$5)^(C170-$H$6)</f>
        <v>0</v>
      </c>
      <c r="K170" s="165"/>
    </row>
    <row r="171" spans="1:15">
      <c r="A171" s="799" t="str">
        <f>$A$6</f>
        <v>Name of Roadway</v>
      </c>
      <c r="B171" s="99">
        <f>$B$108+$B$109</f>
        <v>0</v>
      </c>
      <c r="C171" s="126">
        <f t="shared" ref="C171:C172" si="18">C170+7</f>
        <v>2038</v>
      </c>
      <c r="D171" s="99">
        <f t="shared" si="15"/>
        <v>0</v>
      </c>
      <c r="E171" s="163">
        <f>$C$108+$C$109</f>
        <v>0</v>
      </c>
      <c r="F171" s="160">
        <f>F169</f>
        <v>0</v>
      </c>
      <c r="G171" s="160">
        <f>F171*$B$180</f>
        <v>0</v>
      </c>
      <c r="H171" s="164">
        <f t="shared" si="16"/>
        <v>0</v>
      </c>
      <c r="I171" s="99">
        <f>(D171*$B$177)*($B$178*E171)*H171</f>
        <v>0</v>
      </c>
      <c r="J171" s="160">
        <f t="shared" si="17"/>
        <v>0</v>
      </c>
      <c r="K171" s="165"/>
    </row>
    <row r="172" spans="1:15">
      <c r="A172" s="799" t="str">
        <f>$A$6</f>
        <v>Name of Roadway</v>
      </c>
      <c r="B172" s="99">
        <f>$B$108+$B$109</f>
        <v>0</v>
      </c>
      <c r="C172" s="126">
        <f t="shared" si="18"/>
        <v>2045</v>
      </c>
      <c r="D172" s="99">
        <f t="shared" si="15"/>
        <v>0</v>
      </c>
      <c r="E172" s="163">
        <f>$C$108+$C$109</f>
        <v>0</v>
      </c>
      <c r="F172" s="160">
        <f>F170</f>
        <v>0</v>
      </c>
      <c r="G172" s="160">
        <f>F172*$B$180</f>
        <v>0</v>
      </c>
      <c r="H172" s="164">
        <f t="shared" si="16"/>
        <v>0</v>
      </c>
      <c r="I172" s="99">
        <f>(D172*$B$177)*($B$178*E172)*H172</f>
        <v>0</v>
      </c>
      <c r="J172" s="160">
        <f t="shared" si="17"/>
        <v>0</v>
      </c>
      <c r="K172" s="165"/>
    </row>
    <row r="173" spans="1:15">
      <c r="A173" s="160"/>
      <c r="B173" s="160"/>
      <c r="C173" s="160"/>
      <c r="D173" s="160"/>
      <c r="E173" s="160"/>
      <c r="F173" s="160"/>
      <c r="G173" s="160"/>
      <c r="H173" s="160"/>
      <c r="I173" s="160"/>
    </row>
    <row r="174" spans="1:15">
      <c r="A174" s="646" t="s">
        <v>628</v>
      </c>
      <c r="B174"/>
      <c r="C174"/>
      <c r="D174"/>
      <c r="E174"/>
      <c r="F174"/>
      <c r="G174"/>
      <c r="H174"/>
      <c r="I174"/>
      <c r="J174"/>
      <c r="K174"/>
      <c r="N174" s="73"/>
      <c r="O174" s="73"/>
    </row>
    <row r="175" spans="1:15">
      <c r="A175" s="1" t="s">
        <v>629</v>
      </c>
      <c r="B175" s="209">
        <f>'State of Good Repair - AP-AP'!B24</f>
        <v>0</v>
      </c>
      <c r="C175" s="1" t="s">
        <v>630</v>
      </c>
      <c r="D175"/>
      <c r="E175"/>
      <c r="F175"/>
      <c r="G175"/>
      <c r="H175"/>
      <c r="I175"/>
      <c r="J175"/>
      <c r="K175"/>
      <c r="N175" s="73"/>
      <c r="O175" s="73"/>
    </row>
    <row r="176" spans="1:15">
      <c r="A176" s="1" t="s">
        <v>631</v>
      </c>
      <c r="B176">
        <f>B175*B180</f>
        <v>0</v>
      </c>
      <c r="C176" s="1" t="s">
        <v>632</v>
      </c>
      <c r="D176"/>
      <c r="E176"/>
      <c r="F176"/>
      <c r="G176"/>
      <c r="H176"/>
      <c r="I176"/>
      <c r="J176"/>
      <c r="K176"/>
      <c r="N176" s="73"/>
      <c r="O176" s="73"/>
    </row>
    <row r="177" spans="1:14">
      <c r="A177" s="1" t="s">
        <v>633</v>
      </c>
      <c r="B177" s="103">
        <f>'State of Good Repair - AP-AP'!C33</f>
        <v>1.6489156772275735</v>
      </c>
      <c r="C177" s="1" t="s">
        <v>211</v>
      </c>
      <c r="D177"/>
      <c r="E177"/>
      <c r="F177"/>
      <c r="G177"/>
      <c r="H177"/>
      <c r="I177"/>
      <c r="J177"/>
      <c r="K177"/>
      <c r="N177" s="73"/>
    </row>
    <row r="178" spans="1:14">
      <c r="A178" s="1" t="s">
        <v>634</v>
      </c>
      <c r="B178">
        <f>'State of Good Repair - AP-AP'!B22</f>
        <v>120</v>
      </c>
      <c r="C178" s="1" t="s">
        <v>635</v>
      </c>
      <c r="D178" s="104"/>
      <c r="E178" s="104"/>
      <c r="F178" s="104"/>
      <c r="G178" s="104"/>
      <c r="H178" s="72"/>
      <c r="I178" s="104"/>
      <c r="J178" s="104"/>
      <c r="K178" s="104"/>
      <c r="N178" s="73"/>
    </row>
    <row r="179" spans="1:14">
      <c r="A179" s="1" t="s">
        <v>636</v>
      </c>
      <c r="B179" s="105">
        <f>'State of Good Repair - AP-AP'!D33</f>
        <v>20.037421024681688</v>
      </c>
      <c r="C179" s="1" t="s">
        <v>211</v>
      </c>
      <c r="D179"/>
      <c r="E179"/>
      <c r="F179"/>
      <c r="G179"/>
      <c r="I179"/>
      <c r="J179"/>
      <c r="K179"/>
    </row>
    <row r="180" spans="1:14">
      <c r="A180" s="1" t="s">
        <v>637</v>
      </c>
      <c r="B180" s="109">
        <f>'State of Good Repair - AP-AP'!B23</f>
        <v>0.75</v>
      </c>
      <c r="C180" s="799" t="s">
        <v>638</v>
      </c>
    </row>
    <row r="181" spans="1:14">
      <c r="A181" s="1"/>
      <c r="C181" s="80"/>
    </row>
    <row r="183" spans="1:14">
      <c r="A183" s="169" t="s">
        <v>639</v>
      </c>
      <c r="B183" s="170"/>
      <c r="C183" s="171"/>
      <c r="D183" s="160"/>
      <c r="E183" s="160"/>
      <c r="F183" s="160"/>
      <c r="G183" s="160"/>
      <c r="H183" s="160"/>
      <c r="I183" s="160"/>
    </row>
    <row r="184" spans="1:14">
      <c r="A184" s="101" t="s">
        <v>573</v>
      </c>
      <c r="C184" s="160"/>
      <c r="D184" s="160"/>
      <c r="E184" s="160"/>
      <c r="F184" s="160"/>
      <c r="G184" s="160"/>
      <c r="H184" s="160"/>
      <c r="I184" s="160"/>
    </row>
    <row r="185" spans="1:14" ht="28.8">
      <c r="A185" s="830" t="s">
        <v>74</v>
      </c>
      <c r="B185" s="172" t="s">
        <v>77</v>
      </c>
      <c r="C185" s="831" t="s">
        <v>621</v>
      </c>
      <c r="D185" s="830" t="s">
        <v>622</v>
      </c>
      <c r="E185" s="167" t="s">
        <v>575</v>
      </c>
      <c r="F185" s="167" t="s">
        <v>623</v>
      </c>
      <c r="G185" s="168" t="s">
        <v>624</v>
      </c>
      <c r="H185" s="168" t="s">
        <v>625</v>
      </c>
      <c r="I185" s="168" t="s">
        <v>626</v>
      </c>
      <c r="J185" s="832" t="s">
        <v>649</v>
      </c>
      <c r="K185" s="175"/>
    </row>
    <row r="186" spans="1:14">
      <c r="A186" s="799" t="str">
        <f>$A$6</f>
        <v>Name of Roadway</v>
      </c>
      <c r="B186" s="99">
        <f>$B$108+$B$109</f>
        <v>0</v>
      </c>
      <c r="C186" s="166" t="str">
        <f>'Cost Summary'!C26&amp;"-"&amp;'Cost Summary'!D26</f>
        <v>2026-2027</v>
      </c>
      <c r="D186" s="631">
        <f>AVERAGEIFS(B60:B100,A60:A100,"&gt;="&amp;'Cost Summary'!C26,A60:A100,"&lt;="&amp;'Cost Summary'!D26)</f>
        <v>0</v>
      </c>
      <c r="E186" s="163">
        <f>$C$108+$C$109</f>
        <v>0</v>
      </c>
      <c r="F186" s="642">
        <f>$B$189</f>
        <v>0</v>
      </c>
      <c r="G186" s="160">
        <f>F186*$B$194</f>
        <v>0</v>
      </c>
      <c r="H186" s="164">
        <f>IFERROR((E186/G186)-(E186/F186),0)</f>
        <v>0</v>
      </c>
      <c r="I186" s="99">
        <f>IFERROR((D186*$B$191)*($B$192*E186)*H186,0)</f>
        <v>0</v>
      </c>
      <c r="J186" s="165">
        <f>IFERROR(I186*$B$193,0)</f>
        <v>0</v>
      </c>
      <c r="K186" s="165"/>
    </row>
    <row r="187" spans="1:14">
      <c r="A187" s="799"/>
      <c r="B187" s="99"/>
      <c r="C187" s="126"/>
      <c r="D187" s="99"/>
      <c r="E187" s="163"/>
      <c r="F187" s="160"/>
      <c r="G187" s="160"/>
      <c r="H187" s="164"/>
      <c r="I187" s="99"/>
      <c r="J187" s="165"/>
      <c r="K187" s="165"/>
    </row>
    <row r="188" spans="1:14">
      <c r="A188" s="646" t="s">
        <v>642</v>
      </c>
      <c r="B188" s="644"/>
      <c r="C188" s="171"/>
      <c r="D188"/>
      <c r="E188"/>
      <c r="F188"/>
      <c r="G188"/>
      <c r="H188"/>
      <c r="I188"/>
      <c r="J188"/>
      <c r="K188"/>
    </row>
    <row r="189" spans="1:14">
      <c r="A189" s="1" t="s">
        <v>629</v>
      </c>
      <c r="B189" s="209">
        <f>'State of Good Repair - AP-AP'!B24</f>
        <v>0</v>
      </c>
      <c r="C189" s="1" t="s">
        <v>630</v>
      </c>
      <c r="D189"/>
      <c r="E189"/>
      <c r="F189"/>
      <c r="G189"/>
      <c r="H189"/>
      <c r="I189"/>
      <c r="J189"/>
      <c r="K189"/>
    </row>
    <row r="190" spans="1:14">
      <c r="A190" s="1" t="s">
        <v>631</v>
      </c>
      <c r="B190">
        <f>B189*B194</f>
        <v>0</v>
      </c>
      <c r="C190" s="1" t="s">
        <v>632</v>
      </c>
      <c r="D190"/>
      <c r="E190"/>
      <c r="F190"/>
      <c r="G190"/>
      <c r="H190"/>
      <c r="I190"/>
      <c r="J190"/>
      <c r="K190"/>
    </row>
    <row r="191" spans="1:14">
      <c r="A191" s="1" t="s">
        <v>633</v>
      </c>
      <c r="B191" s="103">
        <f>'State of Good Repair - AP-AP'!C33</f>
        <v>1.6489156772275735</v>
      </c>
      <c r="C191" s="1" t="s">
        <v>211</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104"/>
      <c r="E192" s="104"/>
      <c r="F192" s="104"/>
      <c r="G192" s="104"/>
      <c r="H192" s="72"/>
      <c r="I192" s="104"/>
      <c r="J192" s="104"/>
      <c r="K192" s="104"/>
    </row>
    <row r="193" spans="1:11">
      <c r="A193" s="1" t="s">
        <v>636</v>
      </c>
      <c r="B193" s="105">
        <f>'State of Good Repair - AP-AP'!D33</f>
        <v>20.037421024681688</v>
      </c>
      <c r="C193" s="1" t="s">
        <v>211</v>
      </c>
      <c r="D193"/>
      <c r="E193"/>
      <c r="F193"/>
      <c r="G193"/>
      <c r="I193"/>
      <c r="J193"/>
      <c r="K193"/>
    </row>
    <row r="194" spans="1:11">
      <c r="A194" s="1" t="s">
        <v>637</v>
      </c>
      <c r="B194" s="109">
        <f>'State of Good Repair - AP-AP'!B23</f>
        <v>0.75</v>
      </c>
      <c r="C194" s="799" t="s">
        <v>638</v>
      </c>
    </row>
    <row r="195" spans="1:11">
      <c r="A195" s="73"/>
      <c r="B195" s="81"/>
      <c r="C195" s="829"/>
      <c r="D195" s="829"/>
    </row>
    <row r="196" spans="1:11">
      <c r="A196" s="73"/>
      <c r="B196" s="81"/>
      <c r="C196" s="829"/>
      <c r="D196" s="829"/>
    </row>
    <row r="197" spans="1:11">
      <c r="A197" s="169" t="s">
        <v>650</v>
      </c>
      <c r="B197" s="170"/>
      <c r="C197" s="171"/>
      <c r="D197" s="160"/>
      <c r="E197" s="160"/>
      <c r="F197" s="160"/>
      <c r="G197" s="160"/>
      <c r="H197" s="160"/>
      <c r="I197" s="160"/>
    </row>
    <row r="198" spans="1:11">
      <c r="A198" s="101" t="s">
        <v>573</v>
      </c>
      <c r="C198" s="160"/>
      <c r="D198" s="160"/>
      <c r="E198" s="160"/>
      <c r="F198" s="160"/>
      <c r="G198" s="160"/>
      <c r="H198" s="160"/>
      <c r="I198" s="160"/>
    </row>
    <row r="199" spans="1:11">
      <c r="A199" s="830" t="s">
        <v>74</v>
      </c>
      <c r="B199" s="830" t="s">
        <v>77</v>
      </c>
      <c r="C199" s="830" t="s">
        <v>640</v>
      </c>
      <c r="D199" s="830" t="s">
        <v>622</v>
      </c>
      <c r="E199" s="830" t="s">
        <v>575</v>
      </c>
      <c r="F199" s="830" t="s">
        <v>623</v>
      </c>
      <c r="G199" s="830" t="s">
        <v>624</v>
      </c>
      <c r="H199" s="830" t="s">
        <v>625</v>
      </c>
      <c r="I199" s="830" t="s">
        <v>626</v>
      </c>
      <c r="J199" s="830" t="s">
        <v>641</v>
      </c>
    </row>
    <row r="200" spans="1:11">
      <c r="A200" s="799" t="str">
        <f>$A$6</f>
        <v>Name of Roadway</v>
      </c>
      <c r="B200" s="99">
        <f>$B$108+$B$109</f>
        <v>0</v>
      </c>
      <c r="C200" s="126">
        <f>_xlfn.XLOOKUP("Rehab",$D$60:$D$100,$A$60:$A$100,"N/A",0)</f>
        <v>2024</v>
      </c>
      <c r="D200" s="99">
        <f>VLOOKUP(C200,$A$60:$B$100,2,FALSE)</f>
        <v>0</v>
      </c>
      <c r="E200" s="163">
        <f>$C$108+$C$109</f>
        <v>0</v>
      </c>
      <c r="F200" s="642">
        <f>$B$203</f>
        <v>0</v>
      </c>
      <c r="G200" s="160">
        <f>F200*$B$208</f>
        <v>0</v>
      </c>
      <c r="H200" s="164">
        <f>IFERROR((E186/G186)-(E186/F186),0)</f>
        <v>0</v>
      </c>
      <c r="I200" s="99">
        <f>(D200*$B$205)*($B$206*E200)*H200</f>
        <v>0</v>
      </c>
      <c r="J200" s="165">
        <f>IFERROR(I200*$B$207*(1+$H$5)^(C200-$H$6),0)</f>
        <v>0</v>
      </c>
    </row>
    <row r="201" spans="1:11">
      <c r="A201" s="73"/>
      <c r="B201" s="81"/>
      <c r="C201" s="829"/>
      <c r="D201" s="829"/>
    </row>
    <row r="202" spans="1:11">
      <c r="A202" s="646" t="s">
        <v>628</v>
      </c>
      <c r="B202"/>
      <c r="C202"/>
      <c r="D202" s="829"/>
    </row>
    <row r="203" spans="1:11">
      <c r="A203" s="1" t="s">
        <v>629</v>
      </c>
      <c r="B203" s="209">
        <f>'State of Good Repair - AP-AP'!B25</f>
        <v>0</v>
      </c>
      <c r="C203" s="1" t="s">
        <v>630</v>
      </c>
      <c r="D203" s="829"/>
    </row>
    <row r="204" spans="1:11">
      <c r="A204" s="1" t="s">
        <v>631</v>
      </c>
      <c r="B204">
        <f>B203*B208</f>
        <v>0</v>
      </c>
      <c r="C204" s="1" t="s">
        <v>632</v>
      </c>
      <c r="D204" s="829"/>
    </row>
    <row r="205" spans="1:11">
      <c r="A205" s="1" t="s">
        <v>633</v>
      </c>
      <c r="B205" s="103">
        <f>'State of Good Repair - AP-AP'!C33</f>
        <v>1.6489156772275735</v>
      </c>
      <c r="C205" s="1" t="s">
        <v>211</v>
      </c>
      <c r="D205" s="829"/>
    </row>
    <row r="206" spans="1:11">
      <c r="A206" s="1" t="s">
        <v>634</v>
      </c>
      <c r="B206">
        <f>'State of Good Repair - AP-AP'!B22</f>
        <v>120</v>
      </c>
      <c r="C206" s="1" t="s">
        <v>635</v>
      </c>
      <c r="D206" s="829"/>
    </row>
    <row r="207" spans="1:11">
      <c r="A207" s="1" t="s">
        <v>636</v>
      </c>
      <c r="B207" s="105">
        <f>'State of Good Repair - AP-AP'!D33</f>
        <v>20.037421024681688</v>
      </c>
      <c r="C207" s="1" t="s">
        <v>211</v>
      </c>
      <c r="D207" s="829"/>
    </row>
    <row r="208" spans="1:11">
      <c r="A208" s="1" t="s">
        <v>637</v>
      </c>
      <c r="B208" s="109">
        <f>'State of Good Repair - AP-AP'!B23</f>
        <v>0.75</v>
      </c>
      <c r="C208" s="799" t="s">
        <v>638</v>
      </c>
      <c r="D208" s="829"/>
    </row>
    <row r="209" spans="1:9">
      <c r="A209" s="73"/>
      <c r="B209" s="81"/>
      <c r="C209" s="829"/>
      <c r="D209" s="829"/>
    </row>
    <row r="210" spans="1:9">
      <c r="A210" s="73"/>
      <c r="B210" s="81"/>
      <c r="C210" s="829"/>
      <c r="D210" s="829"/>
    </row>
    <row r="211" spans="1:9">
      <c r="A211" s="73"/>
      <c r="B211" s="81"/>
      <c r="C211" s="829"/>
      <c r="D211" s="829"/>
    </row>
    <row r="212" spans="1:9">
      <c r="A212" s="73"/>
      <c r="B212" s="81"/>
      <c r="C212" s="829"/>
      <c r="D212" s="829"/>
    </row>
    <row r="213" spans="1:9">
      <c r="A213" s="73"/>
      <c r="B213" s="81"/>
      <c r="C213" s="829"/>
      <c r="D213" s="829"/>
    </row>
    <row r="214" spans="1:9">
      <c r="A214" s="838"/>
      <c r="B214" s="839"/>
      <c r="C214" s="839"/>
      <c r="D214" s="839"/>
      <c r="E214" s="839"/>
      <c r="F214" s="839"/>
      <c r="G214" s="839"/>
      <c r="H214" s="839"/>
      <c r="I214" s="839"/>
    </row>
  </sheetData>
  <mergeCells count="11">
    <mergeCell ref="L148:P148"/>
    <mergeCell ref="A4:A5"/>
    <mergeCell ref="B4:B5"/>
    <mergeCell ref="E4:E5"/>
    <mergeCell ref="A12:K12"/>
    <mergeCell ref="A58:K58"/>
    <mergeCell ref="A150:A152"/>
    <mergeCell ref="A153:A155"/>
    <mergeCell ref="A149:C149"/>
    <mergeCell ref="E147:I147"/>
    <mergeCell ref="A148:D14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77734375" defaultRowHeight="14.4"/>
  <cols>
    <col min="1" max="1" width="35.2187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44140625" style="2" customWidth="1"/>
    <col min="26" max="16384" width="8.77734375" style="2"/>
  </cols>
  <sheetData>
    <row r="1" spans="1:25" ht="25.2" customHeight="1">
      <c r="A1" s="271" t="s">
        <v>185</v>
      </c>
      <c r="B1" s="42" t="s">
        <v>651</v>
      </c>
      <c r="C1" s="71"/>
      <c r="D1" s="268"/>
      <c r="E1" s="268"/>
      <c r="F1" s="33" t="s">
        <v>187</v>
      </c>
      <c r="G1" s="45" t="str">
        <f>HYPERLINK("#'"&amp;INDEX('Master Key'!$B:$B,MATCH("Master Key",'Master Key'!$B:$B,0),1)&amp;"'!A1","Go To Sheet")</f>
        <v>Go To Sheet</v>
      </c>
    </row>
    <row r="2" spans="1:25" ht="15" thickBot="1">
      <c r="A2" s="58"/>
      <c r="B2" s="58"/>
      <c r="C2" s="58"/>
      <c r="D2" s="58"/>
      <c r="E2" s="58"/>
    </row>
    <row r="3" spans="1:25" ht="60" customHeight="1">
      <c r="A3" s="154" t="s">
        <v>482</v>
      </c>
      <c r="B3" s="1893" t="s">
        <v>516</v>
      </c>
      <c r="C3" s="1894"/>
      <c r="D3" s="1894"/>
      <c r="E3" s="70"/>
      <c r="F3" s="1895" t="s">
        <v>484</v>
      </c>
      <c r="G3" s="1896"/>
      <c r="H3" s="1896"/>
      <c r="I3" s="1896"/>
      <c r="J3" s="1896"/>
      <c r="K3" s="1896"/>
      <c r="L3" s="1896"/>
      <c r="M3" s="1896"/>
      <c r="N3" s="1896"/>
      <c r="O3" s="1896"/>
      <c r="P3" s="1896"/>
      <c r="Q3" s="1896"/>
      <c r="R3" s="1896"/>
      <c r="S3" s="1896"/>
      <c r="T3" s="1897"/>
      <c r="U3" s="289"/>
    </row>
    <row r="4" spans="1:25" ht="18" customHeight="1">
      <c r="C4" s="58"/>
      <c r="D4" s="58"/>
      <c r="E4" s="70"/>
      <c r="F4" s="69" t="s">
        <v>508</v>
      </c>
      <c r="G4" s="66" t="s">
        <v>66</v>
      </c>
      <c r="H4" s="66" t="s">
        <v>66</v>
      </c>
      <c r="I4" s="66"/>
      <c r="J4" s="66" t="s">
        <v>66</v>
      </c>
      <c r="K4" s="68" t="s">
        <v>487</v>
      </c>
      <c r="L4" s="67" t="s">
        <v>66</v>
      </c>
      <c r="M4" s="66" t="s">
        <v>131</v>
      </c>
      <c r="N4" s="66" t="s">
        <v>131</v>
      </c>
      <c r="O4" s="66"/>
      <c r="P4" s="66" t="s">
        <v>131</v>
      </c>
      <c r="Q4" s="66" t="s">
        <v>131</v>
      </c>
      <c r="R4" s="65" t="s">
        <v>131</v>
      </c>
      <c r="S4" s="1899" t="s">
        <v>509</v>
      </c>
      <c r="T4" s="1900"/>
      <c r="U4" s="289"/>
      <c r="V4" s="67" t="s">
        <v>66</v>
      </c>
      <c r="W4" s="65" t="s">
        <v>131</v>
      </c>
      <c r="X4" s="1899" t="s">
        <v>509</v>
      </c>
      <c r="Y4" s="1900"/>
    </row>
    <row r="5" spans="1:25" ht="60" customHeight="1" thickBot="1">
      <c r="A5" s="156" t="s">
        <v>489</v>
      </c>
      <c r="B5" s="1885" t="s">
        <v>644</v>
      </c>
      <c r="C5" s="1885"/>
      <c r="D5" s="1885"/>
      <c r="E5" s="58"/>
      <c r="F5" s="64" t="s">
        <v>518</v>
      </c>
      <c r="G5" s="1903" t="s">
        <v>519</v>
      </c>
      <c r="H5" s="1904"/>
      <c r="I5" s="1904"/>
      <c r="J5" s="1904"/>
      <c r="K5" s="1905"/>
      <c r="L5" s="62" t="s">
        <v>512</v>
      </c>
      <c r="M5" s="1903" t="s">
        <v>519</v>
      </c>
      <c r="N5" s="1904"/>
      <c r="O5" s="1904"/>
      <c r="P5" s="1904"/>
      <c r="Q5" s="1905"/>
      <c r="R5" s="60" t="s">
        <v>512</v>
      </c>
      <c r="S5" s="1901"/>
      <c r="T5" s="1902"/>
      <c r="U5" s="289"/>
      <c r="V5" s="62" t="s">
        <v>512</v>
      </c>
      <c r="W5" s="60" t="s">
        <v>512</v>
      </c>
      <c r="X5" s="1901"/>
      <c r="Y5" s="1902"/>
    </row>
    <row r="6" spans="1:25" ht="28.8">
      <c r="C6" s="58"/>
      <c r="D6" s="58"/>
      <c r="E6" s="58"/>
      <c r="F6" s="63" t="s">
        <v>510</v>
      </c>
      <c r="G6" s="61" t="s">
        <v>520</v>
      </c>
      <c r="H6" s="61" t="s">
        <v>521</v>
      </c>
      <c r="I6" s="61" t="s">
        <v>522</v>
      </c>
      <c r="J6" s="61" t="s">
        <v>523</v>
      </c>
      <c r="K6" s="61" t="s">
        <v>524</v>
      </c>
      <c r="L6" s="62" t="s">
        <v>525</v>
      </c>
      <c r="M6" s="61" t="s">
        <v>520</v>
      </c>
      <c r="N6" s="61" t="s">
        <v>526</v>
      </c>
      <c r="O6" s="61" t="s">
        <v>522</v>
      </c>
      <c r="P6" s="61" t="s">
        <v>523</v>
      </c>
      <c r="Q6" s="61" t="s">
        <v>524</v>
      </c>
      <c r="R6" s="60" t="s">
        <v>527</v>
      </c>
      <c r="S6" s="122" t="s">
        <v>419</v>
      </c>
      <c r="T6" s="123" t="str">
        <f>"Discounted @ "&amp;TEXT('Major Assumption Key'!$B$8,"0.0%")</f>
        <v>Discounted @ 3.1%</v>
      </c>
      <c r="U6" s="289"/>
      <c r="V6" s="62" t="s">
        <v>525</v>
      </c>
      <c r="W6" s="60" t="s">
        <v>527</v>
      </c>
      <c r="X6" s="122" t="s">
        <v>419</v>
      </c>
      <c r="Y6" s="123" t="str">
        <f>"Discounted @ "&amp;TEXT('Major Assumption Key'!$B$8,"0.0%")</f>
        <v>Discounted @ 3.1%</v>
      </c>
    </row>
    <row r="7" spans="1:25" ht="19.95" customHeight="1">
      <c r="A7" s="58"/>
      <c r="B7" s="58"/>
      <c r="C7" s="58"/>
      <c r="D7" s="58"/>
      <c r="E7" s="58"/>
      <c r="F7" s="57">
        <f>'Major Assumption Key'!A19</f>
        <v>2020</v>
      </c>
      <c r="G7" s="791">
        <f>'SOGR Supporting CP-CP'!E14</f>
        <v>0</v>
      </c>
      <c r="H7" s="791">
        <f>'SOGR Supporting CP-CP'!F14</f>
        <v>0</v>
      </c>
      <c r="I7" s="791">
        <f>'SOGR Supporting CP-CP'!G14</f>
        <v>0</v>
      </c>
      <c r="J7" s="791">
        <f>'SOGR Supporting CP-CP'!H14</f>
        <v>0</v>
      </c>
      <c r="K7" s="792">
        <f>'SOGR Supporting CP-CP'!K14</f>
        <v>0</v>
      </c>
      <c r="L7" s="774">
        <f>IF(AND($F7&gt;=MIN($F7),$F7&lt;=MAX('Major Assumption Key'!$B$6)),SUM(G7:K7),0)</f>
        <v>0</v>
      </c>
      <c r="M7" s="791">
        <f>'SOGR Supporting CP-CP'!E60</f>
        <v>0</v>
      </c>
      <c r="N7" s="791">
        <f>'SOGR Supporting CP-CP'!F60</f>
        <v>0</v>
      </c>
      <c r="O7" s="791">
        <f>'SOGR Supporting CP-CP'!G60</f>
        <v>0</v>
      </c>
      <c r="P7" s="791">
        <f>'SOGR Supporting CP-CP'!H60</f>
        <v>0</v>
      </c>
      <c r="Q7" s="791">
        <f>'SOGR Supporting CP-CP'!K60</f>
        <v>0</v>
      </c>
      <c r="R7" s="775">
        <f>IF(AND($F7&gt;=MIN('Major Assumption Key'!$B$4),$F7&lt;=MAX('Major Assumption Key'!$B$6)),SUM(M7:Q7),0)</f>
        <v>0</v>
      </c>
      <c r="S7" s="37">
        <f t="shared" ref="S7" si="0">(R7-L7)*-1</f>
        <v>0</v>
      </c>
      <c r="T7" s="38">
        <f>S7/(1+'Major Assumption Key'!$B$8)^($F7-'Major Assumption Key'!$B$7)</f>
        <v>0</v>
      </c>
      <c r="U7" s="289"/>
      <c r="V7" s="774">
        <f t="shared" ref="V7:V48" si="1">ROUND(L7,-3)</f>
        <v>0</v>
      </c>
      <c r="W7" s="775">
        <f t="shared" ref="W7:W48" si="2">ROUND(R7,-3)</f>
        <v>0</v>
      </c>
      <c r="X7" s="37">
        <f t="shared" ref="X7:X48" si="3">ROUND(S7,-3)</f>
        <v>0</v>
      </c>
      <c r="Y7" s="38">
        <f t="shared" ref="Y7" si="4">ROUND(T7,-3)</f>
        <v>0</v>
      </c>
    </row>
    <row r="8" spans="1:25" ht="19.95" customHeight="1">
      <c r="E8" s="58"/>
      <c r="F8" s="57">
        <f>'Major Assumption Key'!A20</f>
        <v>2021</v>
      </c>
      <c r="G8" s="791">
        <f>'SOGR Supporting CP-CP'!E15</f>
        <v>0</v>
      </c>
      <c r="H8" s="791">
        <f>'SOGR Supporting CP-CP'!F15</f>
        <v>0</v>
      </c>
      <c r="I8" s="791">
        <f>'SOGR Supporting CP-CP'!G15</f>
        <v>0</v>
      </c>
      <c r="J8" s="791">
        <f>'SOGR Supporting CP-CP'!H15</f>
        <v>0</v>
      </c>
      <c r="K8" s="792">
        <f>'SOGR Supporting CP-CP'!K15</f>
        <v>0</v>
      </c>
      <c r="L8" s="774">
        <f>IF(AND($F8&gt;=MIN($F8),$F8&lt;=MAX('Major Assumption Key'!$B$6)),SUM(G8:K8),0)</f>
        <v>0</v>
      </c>
      <c r="M8" s="791">
        <f>'SOGR Supporting CP-CP'!E61</f>
        <v>0</v>
      </c>
      <c r="N8" s="791">
        <f>'SOGR Supporting CP-CP'!F61</f>
        <v>0</v>
      </c>
      <c r="O8" s="791">
        <f>'SOGR Supporting CP-CP'!G61</f>
        <v>0</v>
      </c>
      <c r="P8" s="791">
        <f>'SOGR Supporting CP-CP'!H61</f>
        <v>0</v>
      </c>
      <c r="Q8" s="791">
        <f>'SOGR Supporting CP-CP'!K61</f>
        <v>0</v>
      </c>
      <c r="R8" s="775">
        <f>IF(AND($F8&gt;=MIN('Major Assumption Key'!$B$4),$F8&lt;=MAX('Major Assumption Key'!$B$6)),SUM(M8:Q8),0)</f>
        <v>0</v>
      </c>
      <c r="S8" s="37">
        <f t="shared" ref="S8:S47" si="5">(R8-L8)*-1</f>
        <v>0</v>
      </c>
      <c r="T8" s="38">
        <f>S8/(1+'Major Assumption Key'!$B$8)^($F8-'Major Assumption Key'!$B$7)</f>
        <v>0</v>
      </c>
      <c r="U8" s="289"/>
      <c r="V8" s="774">
        <f t="shared" ref="V8:V47" si="6">ROUND(L8,-3)</f>
        <v>0</v>
      </c>
      <c r="W8" s="775">
        <f t="shared" ref="W8:W47" si="7">ROUND(R8,-3)</f>
        <v>0</v>
      </c>
      <c r="X8" s="37">
        <f t="shared" ref="X8:X47" si="8">ROUND(S8,-3)</f>
        <v>0</v>
      </c>
      <c r="Y8" s="38">
        <f t="shared" ref="Y8:Y47" si="9">ROUND(T8,-3)</f>
        <v>0</v>
      </c>
    </row>
    <row r="9" spans="1:25" ht="19.95" customHeight="1">
      <c r="A9" s="1888" t="s">
        <v>432</v>
      </c>
      <c r="B9" s="1889"/>
      <c r="C9" s="1889"/>
      <c r="D9" s="1890"/>
      <c r="E9" s="58"/>
      <c r="F9" s="57">
        <f>'Major Assumption Key'!A21</f>
        <v>2022</v>
      </c>
      <c r="G9" s="791">
        <f>'SOGR Supporting CP-CP'!E16</f>
        <v>0</v>
      </c>
      <c r="H9" s="791">
        <f>'SOGR Supporting CP-CP'!F16</f>
        <v>0</v>
      </c>
      <c r="I9" s="791">
        <f>'SOGR Supporting CP-CP'!G16</f>
        <v>0</v>
      </c>
      <c r="J9" s="791">
        <f>'SOGR Supporting CP-CP'!H16</f>
        <v>0</v>
      </c>
      <c r="K9" s="792">
        <f>'SOGR Supporting CP-CP'!K16</f>
        <v>0</v>
      </c>
      <c r="L9" s="774">
        <f>IF(AND($F9&gt;=MIN($F9),$F9&lt;=MAX('Major Assumption Key'!$B$6)),SUM(G9:K9),0)</f>
        <v>0</v>
      </c>
      <c r="M9" s="791">
        <f>'SOGR Supporting CP-CP'!E62</f>
        <v>0</v>
      </c>
      <c r="N9" s="791">
        <f>'SOGR Supporting CP-CP'!F62</f>
        <v>0</v>
      </c>
      <c r="O9" s="791">
        <f>'SOGR Supporting CP-CP'!G62</f>
        <v>0</v>
      </c>
      <c r="P9" s="791">
        <f>'SOGR Supporting CP-CP'!H62</f>
        <v>0</v>
      </c>
      <c r="Q9" s="791">
        <f>'SOGR Supporting CP-CP'!K62</f>
        <v>0</v>
      </c>
      <c r="R9" s="775">
        <f>IF(AND($F9&gt;=MIN('Major Assumption Key'!$B$4),$F9&lt;=MAX('Major Assumption Key'!$B$6)),SUM(M9:Q9),0)</f>
        <v>0</v>
      </c>
      <c r="S9" s="37">
        <f t="shared" si="5"/>
        <v>0</v>
      </c>
      <c r="T9" s="38">
        <f>S9/(1+'Major Assumption Key'!$B$8)^($F9-'Major Assumption Key'!$B$7)</f>
        <v>0</v>
      </c>
      <c r="U9" s="289"/>
      <c r="V9" s="774">
        <f t="shared" si="6"/>
        <v>0</v>
      </c>
      <c r="W9" s="775">
        <f t="shared" si="7"/>
        <v>0</v>
      </c>
      <c r="X9" s="37">
        <f t="shared" si="8"/>
        <v>0</v>
      </c>
      <c r="Y9" s="38">
        <f t="shared" si="9"/>
        <v>0</v>
      </c>
    </row>
    <row r="10" spans="1:25" ht="19.95" customHeight="1">
      <c r="A10" s="1891" t="s">
        <v>418</v>
      </c>
      <c r="B10" s="1891"/>
      <c r="C10" s="49" t="s">
        <v>419</v>
      </c>
      <c r="D10" s="49" t="str">
        <f>_xlfn.CONCAT("Discounted @",TEXT('Major Assumption Key'!B8,"0.0%"))</f>
        <v>Discounted @3.1%</v>
      </c>
      <c r="E10" s="58"/>
      <c r="F10" s="57">
        <f>'Major Assumption Key'!A22</f>
        <v>2023</v>
      </c>
      <c r="G10" s="791">
        <f>'SOGR Supporting CP-CP'!E17</f>
        <v>0</v>
      </c>
      <c r="H10" s="791">
        <f>'SOGR Supporting CP-CP'!F17</f>
        <v>0</v>
      </c>
      <c r="I10" s="791">
        <f>'SOGR Supporting CP-CP'!G17</f>
        <v>0</v>
      </c>
      <c r="J10" s="791">
        <f>'SOGR Supporting CP-CP'!H17</f>
        <v>0</v>
      </c>
      <c r="K10" s="792">
        <f>'SOGR Supporting CP-CP'!K17</f>
        <v>0</v>
      </c>
      <c r="L10" s="774">
        <f>IF(AND($F10&gt;=MIN($F10),$F10&lt;=MAX('Major Assumption Key'!$B$6)),SUM(G10:K10),0)</f>
        <v>0</v>
      </c>
      <c r="M10" s="791">
        <f>'SOGR Supporting CP-CP'!E63</f>
        <v>0</v>
      </c>
      <c r="N10" s="791">
        <f>'SOGR Supporting CP-CP'!F63</f>
        <v>0</v>
      </c>
      <c r="O10" s="791">
        <f>'SOGR Supporting CP-CP'!G63</f>
        <v>0</v>
      </c>
      <c r="P10" s="791">
        <f>'SOGR Supporting CP-CP'!H63</f>
        <v>0</v>
      </c>
      <c r="Q10" s="791">
        <f>'SOGR Supporting CP-CP'!K63</f>
        <v>0</v>
      </c>
      <c r="R10" s="775">
        <f>IF(AND($F10&gt;=MIN('Major Assumption Key'!$B$4),$F10&lt;=MAX('Major Assumption Key'!$B$6)),SUM(M10:Q10),0)</f>
        <v>0</v>
      </c>
      <c r="S10" s="37">
        <f t="shared" si="5"/>
        <v>0</v>
      </c>
      <c r="T10" s="38">
        <f>S10/(1+'Major Assumption Key'!$B$8)^($F10-'Major Assumption Key'!$B$7)</f>
        <v>0</v>
      </c>
      <c r="U10" s="289"/>
      <c r="V10" s="774">
        <f t="shared" si="6"/>
        <v>0</v>
      </c>
      <c r="W10" s="775">
        <f t="shared" si="7"/>
        <v>0</v>
      </c>
      <c r="X10" s="37">
        <f t="shared" si="8"/>
        <v>0</v>
      </c>
      <c r="Y10" s="38">
        <f t="shared" si="9"/>
        <v>0</v>
      </c>
    </row>
    <row r="11" spans="1:25" ht="19.95" customHeight="1">
      <c r="A11" s="1892" t="s">
        <v>11</v>
      </c>
      <c r="B11" s="1892"/>
      <c r="C11" s="56">
        <f>'BCA Summary'!$H$7</f>
        <v>1.0111569298276737</v>
      </c>
      <c r="D11" s="56">
        <f>'BCA Summary'!$I$7</f>
        <v>0.6276932096418345</v>
      </c>
      <c r="E11" s="58"/>
      <c r="F11" s="57">
        <f>'Major Assumption Key'!A23</f>
        <v>2024</v>
      </c>
      <c r="G11" s="791">
        <f>'SOGR Supporting CP-CP'!E18</f>
        <v>0</v>
      </c>
      <c r="H11" s="791">
        <f>'SOGR Supporting CP-CP'!F18</f>
        <v>0</v>
      </c>
      <c r="I11" s="791">
        <f>'SOGR Supporting CP-CP'!G18</f>
        <v>0</v>
      </c>
      <c r="J11" s="791">
        <f>'SOGR Supporting CP-CP'!H18</f>
        <v>0</v>
      </c>
      <c r="K11" s="792">
        <f>'SOGR Supporting CP-CP'!K18</f>
        <v>0</v>
      </c>
      <c r="L11" s="774">
        <f>IF(AND($F11&gt;=MIN($F11),$F11&lt;=MAX('Major Assumption Key'!$B$6)),SUM(G11:K11),0)</f>
        <v>0</v>
      </c>
      <c r="M11" s="791">
        <f>'SOGR Supporting CP-CP'!E64</f>
        <v>0</v>
      </c>
      <c r="N11" s="791">
        <f>'SOGR Supporting CP-CP'!F64</f>
        <v>0</v>
      </c>
      <c r="O11" s="791">
        <f>'SOGR Supporting CP-CP'!G64</f>
        <v>0</v>
      </c>
      <c r="P11" s="791">
        <f>'SOGR Supporting CP-CP'!H64</f>
        <v>0</v>
      </c>
      <c r="Q11" s="791">
        <f>'SOGR Supporting CP-CP'!K64</f>
        <v>0</v>
      </c>
      <c r="R11" s="775">
        <f>IF(AND($F11&gt;=MIN('Major Assumption Key'!$B$4),$F11&lt;=MAX('Major Assumption Key'!$B$6)),SUM(M11:Q11),0)</f>
        <v>0</v>
      </c>
      <c r="S11" s="37">
        <f t="shared" si="5"/>
        <v>0</v>
      </c>
      <c r="T11" s="38">
        <f>S11/(1+'Major Assumption Key'!$B$8)^($F11-'Major Assumption Key'!$B$7)</f>
        <v>0</v>
      </c>
      <c r="U11" s="289"/>
      <c r="V11" s="774">
        <f t="shared" si="6"/>
        <v>0</v>
      </c>
      <c r="W11" s="775">
        <f t="shared" si="7"/>
        <v>0</v>
      </c>
      <c r="X11" s="37">
        <f t="shared" si="8"/>
        <v>0</v>
      </c>
      <c r="Y11" s="38">
        <f t="shared" si="9"/>
        <v>0</v>
      </c>
    </row>
    <row r="12" spans="1:25" ht="19.95" customHeight="1">
      <c r="A12" s="1892" t="s">
        <v>12</v>
      </c>
      <c r="B12" s="1892"/>
      <c r="C12" s="49">
        <f>'BCA Summary'!$H$8</f>
        <v>236636.98382712901</v>
      </c>
      <c r="D12" s="49">
        <f>'BCA Summary'!$I$8</f>
        <v>-6930297.4454113934</v>
      </c>
      <c r="E12" s="58"/>
      <c r="F12" s="57">
        <f>'Major Assumption Key'!A24</f>
        <v>2025</v>
      </c>
      <c r="G12" s="791">
        <f>'SOGR Supporting CP-CP'!E19</f>
        <v>0</v>
      </c>
      <c r="H12" s="791">
        <f>'SOGR Supporting CP-CP'!F19</f>
        <v>0</v>
      </c>
      <c r="I12" s="791">
        <f>'SOGR Supporting CP-CP'!G19</f>
        <v>0</v>
      </c>
      <c r="J12" s="791">
        <f>'SOGR Supporting CP-CP'!H19</f>
        <v>0</v>
      </c>
      <c r="K12" s="792">
        <f>'SOGR Supporting CP-CP'!K19</f>
        <v>0</v>
      </c>
      <c r="L12" s="774">
        <f>IF(AND($F12&gt;=MIN($F12),$F12&lt;=MAX('Major Assumption Key'!$B$6)),SUM(G12:K12),0)</f>
        <v>0</v>
      </c>
      <c r="M12" s="791">
        <f>'SOGR Supporting CP-CP'!E65</f>
        <v>0</v>
      </c>
      <c r="N12" s="791">
        <f>'SOGR Supporting CP-CP'!F65</f>
        <v>0</v>
      </c>
      <c r="O12" s="791">
        <f>'SOGR Supporting CP-CP'!G65</f>
        <v>0</v>
      </c>
      <c r="P12" s="791">
        <f>'SOGR Supporting CP-CP'!H65</f>
        <v>0</v>
      </c>
      <c r="Q12" s="791">
        <f>'SOGR Supporting CP-CP'!K65</f>
        <v>0</v>
      </c>
      <c r="R12" s="775">
        <f>IF(AND($F12&gt;=MIN('Major Assumption Key'!$B$4),$F12&lt;=MAX('Major Assumption Key'!$B$6)),SUM(M12:Q12),0)</f>
        <v>0</v>
      </c>
      <c r="S12" s="37">
        <f t="shared" si="5"/>
        <v>0</v>
      </c>
      <c r="T12" s="38">
        <f>S12/(1+'Major Assumption Key'!$B$8)^($F12-'Major Assumption Key'!$B$7)</f>
        <v>0</v>
      </c>
      <c r="U12" s="289"/>
      <c r="V12" s="774">
        <f t="shared" si="6"/>
        <v>0</v>
      </c>
      <c r="W12" s="775">
        <f t="shared" si="7"/>
        <v>0</v>
      </c>
      <c r="X12" s="37">
        <f t="shared" si="8"/>
        <v>0</v>
      </c>
      <c r="Y12" s="38">
        <f t="shared" si="9"/>
        <v>0</v>
      </c>
    </row>
    <row r="13" spans="1:25" ht="19.95" customHeight="1">
      <c r="C13" s="58"/>
      <c r="D13" s="58"/>
      <c r="E13" s="58"/>
      <c r="F13" s="57">
        <f>'Major Assumption Key'!A25</f>
        <v>2026</v>
      </c>
      <c r="G13" s="791">
        <f>'SOGR Supporting CP-CP'!E20</f>
        <v>0</v>
      </c>
      <c r="H13" s="791">
        <f>'SOGR Supporting CP-CP'!F20</f>
        <v>0</v>
      </c>
      <c r="I13" s="791">
        <f>'SOGR Supporting CP-CP'!G20</f>
        <v>0</v>
      </c>
      <c r="J13" s="791">
        <f>'SOGR Supporting CP-CP'!H20</f>
        <v>0</v>
      </c>
      <c r="K13" s="792">
        <f>'SOGR Supporting CP-CP'!K20</f>
        <v>0</v>
      </c>
      <c r="L13" s="774">
        <f>IF(AND($F13&gt;=MIN($F13),$F13&lt;=MAX('Major Assumption Key'!$B$6)),SUM(G13:K13),0)</f>
        <v>0</v>
      </c>
      <c r="M13" s="791">
        <f>'SOGR Supporting CP-CP'!E66</f>
        <v>0</v>
      </c>
      <c r="N13" s="791">
        <f>'SOGR Supporting CP-CP'!F66</f>
        <v>0</v>
      </c>
      <c r="O13" s="791">
        <f>'SOGR Supporting CP-CP'!G66</f>
        <v>0</v>
      </c>
      <c r="P13" s="791">
        <f>'SOGR Supporting CP-CP'!H66</f>
        <v>0</v>
      </c>
      <c r="Q13" s="791">
        <f>'SOGR Supporting CP-CP'!K66</f>
        <v>0</v>
      </c>
      <c r="R13" s="775">
        <f>IF(AND($F13&gt;=MIN('Major Assumption Key'!$B$4),$F13&lt;=MAX('Major Assumption Key'!$B$6)),SUM(M13:Q13),0)</f>
        <v>0</v>
      </c>
      <c r="S13" s="37">
        <f t="shared" si="5"/>
        <v>0</v>
      </c>
      <c r="T13" s="38">
        <f>S13/(1+'Major Assumption Key'!$B$8)^($F13-'Major Assumption Key'!$B$7)</f>
        <v>0</v>
      </c>
      <c r="U13" s="289"/>
      <c r="V13" s="774">
        <f t="shared" si="6"/>
        <v>0</v>
      </c>
      <c r="W13" s="775">
        <f t="shared" si="7"/>
        <v>0</v>
      </c>
      <c r="X13" s="37">
        <f t="shared" si="8"/>
        <v>0</v>
      </c>
      <c r="Y13" s="38">
        <f t="shared" si="9"/>
        <v>0</v>
      </c>
    </row>
    <row r="14" spans="1:25" ht="19.95" customHeight="1" thickBot="1">
      <c r="C14" s="58"/>
      <c r="D14" s="58"/>
      <c r="E14" s="58"/>
      <c r="F14" s="57">
        <f>'Major Assumption Key'!A26</f>
        <v>2027</v>
      </c>
      <c r="G14" s="791">
        <f>'SOGR Supporting CP-CP'!E21</f>
        <v>0</v>
      </c>
      <c r="H14" s="791">
        <f>'SOGR Supporting CP-CP'!F21</f>
        <v>0</v>
      </c>
      <c r="I14" s="791">
        <f>'SOGR Supporting CP-CP'!G21</f>
        <v>0</v>
      </c>
      <c r="J14" s="791">
        <f>'SOGR Supporting CP-CP'!H21</f>
        <v>0</v>
      </c>
      <c r="K14" s="792">
        <f>'SOGR Supporting CP-CP'!K21</f>
        <v>0</v>
      </c>
      <c r="L14" s="774">
        <f>IF(AND($F14&gt;=MIN($F14),$F14&lt;=MAX('Major Assumption Key'!$B$6)),SUM(G14:K14),0)</f>
        <v>0</v>
      </c>
      <c r="M14" s="791">
        <f>'SOGR Supporting CP-CP'!E67</f>
        <v>0</v>
      </c>
      <c r="N14" s="791">
        <f>'SOGR Supporting CP-CP'!F67</f>
        <v>0</v>
      </c>
      <c r="O14" s="791">
        <f>'SOGR Supporting CP-CP'!G67</f>
        <v>0</v>
      </c>
      <c r="P14" s="791">
        <f>'SOGR Supporting CP-CP'!H67</f>
        <v>0</v>
      </c>
      <c r="Q14" s="791">
        <f>'SOGR Supporting CP-CP'!K67</f>
        <v>0</v>
      </c>
      <c r="R14" s="775">
        <f>IF(AND($F14&gt;=MIN('Major Assumption Key'!$B$4),$F14&lt;=MAX('Major Assumption Key'!$B$6)),SUM(M14:Q14),0)</f>
        <v>0</v>
      </c>
      <c r="S14" s="37">
        <f t="shared" si="5"/>
        <v>0</v>
      </c>
      <c r="T14" s="38">
        <f>S14/(1+'Major Assumption Key'!$B$8)^($F14-'Major Assumption Key'!$B$7)</f>
        <v>0</v>
      </c>
      <c r="U14" s="289"/>
      <c r="V14" s="774">
        <f t="shared" si="6"/>
        <v>0</v>
      </c>
      <c r="W14" s="775">
        <f t="shared" si="7"/>
        <v>0</v>
      </c>
      <c r="X14" s="37">
        <f t="shared" si="8"/>
        <v>0</v>
      </c>
      <c r="Y14" s="38">
        <f t="shared" si="9"/>
        <v>0</v>
      </c>
    </row>
    <row r="15" spans="1:25" ht="19.95" customHeight="1">
      <c r="A15" s="569" t="s">
        <v>181</v>
      </c>
      <c r="B15" s="570" t="s">
        <v>434</v>
      </c>
      <c r="C15" s="1906" t="s">
        <v>498</v>
      </c>
      <c r="D15" s="1907"/>
      <c r="E15" s="58"/>
      <c r="F15" s="57">
        <f>'Major Assumption Key'!A27</f>
        <v>2028</v>
      </c>
      <c r="G15" s="791">
        <f>'SOGR Supporting CP-CP'!E22</f>
        <v>0</v>
      </c>
      <c r="H15" s="791">
        <f>'SOGR Supporting CP-CP'!F22</f>
        <v>0</v>
      </c>
      <c r="I15" s="791">
        <f>'SOGR Supporting CP-CP'!G22</f>
        <v>0</v>
      </c>
      <c r="J15" s="791">
        <f>'SOGR Supporting CP-CP'!H22</f>
        <v>0</v>
      </c>
      <c r="K15" s="792">
        <f>'SOGR Supporting CP-CP'!K22</f>
        <v>0</v>
      </c>
      <c r="L15" s="774">
        <f>IF(AND($F15&gt;=MIN($F15),$F15&lt;=MAX('Major Assumption Key'!$B$6)),SUM(G15:K15),0)</f>
        <v>0</v>
      </c>
      <c r="M15" s="791">
        <f>'SOGR Supporting CP-CP'!E68</f>
        <v>0</v>
      </c>
      <c r="N15" s="791">
        <f>'SOGR Supporting CP-CP'!F68</f>
        <v>0</v>
      </c>
      <c r="O15" s="791">
        <f>'SOGR Supporting CP-CP'!G68</f>
        <v>0</v>
      </c>
      <c r="P15" s="791">
        <f>'SOGR Supporting CP-CP'!H68</f>
        <v>0</v>
      </c>
      <c r="Q15" s="791">
        <f>'SOGR Supporting CP-CP'!K68</f>
        <v>0</v>
      </c>
      <c r="R15" s="775">
        <f>IF(AND($F15&gt;=MIN('Major Assumption Key'!$B$4),$F15&lt;=MAX('Major Assumption Key'!$B$6)),SUM(M15:Q15),0)</f>
        <v>0</v>
      </c>
      <c r="S15" s="37">
        <f t="shared" si="5"/>
        <v>0</v>
      </c>
      <c r="T15" s="38">
        <f>S15/(1+'Major Assumption Key'!$B$8)^($F15-'Major Assumption Key'!$B$7)</f>
        <v>0</v>
      </c>
      <c r="U15" s="289"/>
      <c r="V15" s="774">
        <f t="shared" si="6"/>
        <v>0</v>
      </c>
      <c r="W15" s="775">
        <f t="shared" si="7"/>
        <v>0</v>
      </c>
      <c r="X15" s="37">
        <f t="shared" si="8"/>
        <v>0</v>
      </c>
      <c r="Y15" s="38">
        <f t="shared" si="9"/>
        <v>0</v>
      </c>
    </row>
    <row r="16" spans="1:25" ht="19.95" customHeight="1">
      <c r="A16" s="768" t="str">
        <f>'Major Assumption Key'!$A$3</f>
        <v>Project Open Year:</v>
      </c>
      <c r="B16" s="777">
        <f>'Major Assumption Key'!$B$3</f>
        <v>2028</v>
      </c>
      <c r="C16" s="767" t="s">
        <v>436</v>
      </c>
      <c r="D16" s="547"/>
      <c r="E16" s="58"/>
      <c r="F16" s="57">
        <f>'Major Assumption Key'!A28</f>
        <v>2029</v>
      </c>
      <c r="G16" s="791">
        <f>'SOGR Supporting CP-CP'!E23</f>
        <v>0</v>
      </c>
      <c r="H16" s="791">
        <f>'SOGR Supporting CP-CP'!F23</f>
        <v>0</v>
      </c>
      <c r="I16" s="791">
        <f>'SOGR Supporting CP-CP'!G23</f>
        <v>0</v>
      </c>
      <c r="J16" s="791">
        <f>'SOGR Supporting CP-CP'!H23</f>
        <v>0</v>
      </c>
      <c r="K16" s="792">
        <f>'SOGR Supporting CP-CP'!K23</f>
        <v>0</v>
      </c>
      <c r="L16" s="774">
        <f>IF(AND($F16&gt;=MIN($F16),$F16&lt;=MAX('Major Assumption Key'!$B$6)),SUM(G16:K16),0)</f>
        <v>0</v>
      </c>
      <c r="M16" s="791">
        <f>'SOGR Supporting CP-CP'!E69</f>
        <v>0</v>
      </c>
      <c r="N16" s="791">
        <f>'SOGR Supporting CP-CP'!F69</f>
        <v>0</v>
      </c>
      <c r="O16" s="791">
        <f>'SOGR Supporting CP-CP'!G69</f>
        <v>0</v>
      </c>
      <c r="P16" s="791">
        <f>'SOGR Supporting CP-CP'!H69</f>
        <v>0</v>
      </c>
      <c r="Q16" s="791">
        <f>'SOGR Supporting CP-CP'!K69</f>
        <v>0</v>
      </c>
      <c r="R16" s="775">
        <f>IF(AND($F16&gt;=MIN('Major Assumption Key'!$B$4),$F16&lt;=MAX('Major Assumption Key'!$B$6)),SUM(M16:Q16),0)</f>
        <v>0</v>
      </c>
      <c r="S16" s="37">
        <f t="shared" si="5"/>
        <v>0</v>
      </c>
      <c r="T16" s="38">
        <f>S16/(1+'Major Assumption Key'!$B$8)^($F16-'Major Assumption Key'!$B$7)</f>
        <v>0</v>
      </c>
      <c r="U16" s="289"/>
      <c r="V16" s="774">
        <f t="shared" si="6"/>
        <v>0</v>
      </c>
      <c r="W16" s="775">
        <f t="shared" si="7"/>
        <v>0</v>
      </c>
      <c r="X16" s="37">
        <f t="shared" si="8"/>
        <v>0</v>
      </c>
      <c r="Y16" s="38">
        <f t="shared" si="9"/>
        <v>0</v>
      </c>
    </row>
    <row r="17" spans="1:25" ht="19.95" customHeight="1">
      <c r="A17" s="768" t="str">
        <f>'Major Assumption Key'!$A$4</f>
        <v>Planning Horizon Begin Year:</v>
      </c>
      <c r="B17" s="777">
        <f>'Major Assumption Key'!$B$4</f>
        <v>2022</v>
      </c>
      <c r="C17" s="767" t="s">
        <v>436</v>
      </c>
      <c r="D17" s="770"/>
      <c r="E17" s="58"/>
      <c r="F17" s="57">
        <f>'Major Assumption Key'!A29</f>
        <v>2030</v>
      </c>
      <c r="G17" s="791">
        <f>'SOGR Supporting CP-CP'!E24</f>
        <v>0</v>
      </c>
      <c r="H17" s="791">
        <f>'SOGR Supporting CP-CP'!F24</f>
        <v>0</v>
      </c>
      <c r="I17" s="791">
        <f>'SOGR Supporting CP-CP'!G24</f>
        <v>0</v>
      </c>
      <c r="J17" s="791">
        <f>'SOGR Supporting CP-CP'!H24</f>
        <v>0</v>
      </c>
      <c r="K17" s="792">
        <f>'SOGR Supporting CP-CP'!K24</f>
        <v>0</v>
      </c>
      <c r="L17" s="774">
        <f>IF(AND($F17&gt;=MIN($F17),$F17&lt;=MAX('Major Assumption Key'!$B$6)),SUM(G17:K17),0)</f>
        <v>0</v>
      </c>
      <c r="M17" s="791">
        <f>'SOGR Supporting CP-CP'!E70</f>
        <v>0</v>
      </c>
      <c r="N17" s="791">
        <f>'SOGR Supporting CP-CP'!F70</f>
        <v>0</v>
      </c>
      <c r="O17" s="791">
        <f>'SOGR Supporting CP-CP'!G70</f>
        <v>0</v>
      </c>
      <c r="P17" s="791">
        <f>'SOGR Supporting CP-CP'!H70</f>
        <v>0</v>
      </c>
      <c r="Q17" s="791">
        <f>'SOGR Supporting CP-CP'!K70</f>
        <v>0</v>
      </c>
      <c r="R17" s="775">
        <f>IF(AND($F17&gt;=MIN('Major Assumption Key'!$B$4),$F17&lt;=MAX('Major Assumption Key'!$B$6)),SUM(M17:Q17),0)</f>
        <v>0</v>
      </c>
      <c r="S17" s="37">
        <f t="shared" si="5"/>
        <v>0</v>
      </c>
      <c r="T17" s="38">
        <f>S17/(1+'Major Assumption Key'!$B$8)^($F17-'Major Assumption Key'!$B$7)</f>
        <v>0</v>
      </c>
      <c r="U17" s="289"/>
      <c r="V17" s="774">
        <f t="shared" si="6"/>
        <v>0</v>
      </c>
      <c r="W17" s="775">
        <f t="shared" si="7"/>
        <v>0</v>
      </c>
      <c r="X17" s="37">
        <f t="shared" si="8"/>
        <v>0</v>
      </c>
      <c r="Y17" s="38">
        <f t="shared" si="9"/>
        <v>0</v>
      </c>
    </row>
    <row r="18" spans="1:25" ht="19.95" customHeight="1">
      <c r="A18" s="768" t="str">
        <f>'Major Assumption Key'!$A$6</f>
        <v>Planning Horizon End Year:</v>
      </c>
      <c r="B18" s="777">
        <f>'Major Assumption Key'!$B$6</f>
        <v>2047</v>
      </c>
      <c r="C18" s="767" t="s">
        <v>436</v>
      </c>
      <c r="D18" s="770"/>
      <c r="E18" s="58"/>
      <c r="F18" s="57">
        <f>'Major Assumption Key'!A30</f>
        <v>2031</v>
      </c>
      <c r="G18" s="791">
        <f>'SOGR Supporting CP-CP'!E25</f>
        <v>0</v>
      </c>
      <c r="H18" s="791">
        <f>'SOGR Supporting CP-CP'!F25</f>
        <v>0</v>
      </c>
      <c r="I18" s="791">
        <f>'SOGR Supporting CP-CP'!G25</f>
        <v>0</v>
      </c>
      <c r="J18" s="791">
        <f>'SOGR Supporting CP-CP'!H25</f>
        <v>0</v>
      </c>
      <c r="K18" s="792">
        <f>'SOGR Supporting CP-CP'!K25</f>
        <v>0</v>
      </c>
      <c r="L18" s="774">
        <f>IF(AND($F18&gt;=MIN($F18),$F18&lt;=MAX('Major Assumption Key'!$B$6)),SUM(G18:K18),0)</f>
        <v>0</v>
      </c>
      <c r="M18" s="791">
        <f>'SOGR Supporting CP-CP'!E71</f>
        <v>0</v>
      </c>
      <c r="N18" s="791">
        <f>'SOGR Supporting CP-CP'!F71</f>
        <v>0</v>
      </c>
      <c r="O18" s="791">
        <f>'SOGR Supporting CP-CP'!G71</f>
        <v>0</v>
      </c>
      <c r="P18" s="791">
        <f>'SOGR Supporting CP-CP'!H71</f>
        <v>0</v>
      </c>
      <c r="Q18" s="791">
        <f>'SOGR Supporting CP-CP'!K71</f>
        <v>0</v>
      </c>
      <c r="R18" s="775">
        <f>IF(AND($F18&gt;=MIN('Major Assumption Key'!$B$4),$F18&lt;=MAX('Major Assumption Key'!$B$6)),SUM(M18:Q18),0)</f>
        <v>0</v>
      </c>
      <c r="S18" s="37">
        <f t="shared" si="5"/>
        <v>0</v>
      </c>
      <c r="T18" s="38">
        <f>S18/(1+'Major Assumption Key'!$B$8)^($F18-'Major Assumption Key'!$B$7)</f>
        <v>0</v>
      </c>
      <c r="U18" s="289"/>
      <c r="V18" s="774">
        <f t="shared" si="6"/>
        <v>0</v>
      </c>
      <c r="W18" s="775">
        <f t="shared" si="7"/>
        <v>0</v>
      </c>
      <c r="X18" s="37">
        <f t="shared" si="8"/>
        <v>0</v>
      </c>
      <c r="Y18" s="38">
        <f t="shared" si="9"/>
        <v>0</v>
      </c>
    </row>
    <row r="19" spans="1:25" ht="19.95" customHeight="1">
      <c r="A19" s="768" t="s">
        <v>528</v>
      </c>
      <c r="B19" s="777">
        <f>C32</f>
        <v>1.6489156772275735</v>
      </c>
      <c r="C19" s="2" t="s">
        <v>211</v>
      </c>
      <c r="D19" s="571"/>
      <c r="E19" s="58"/>
      <c r="F19" s="57">
        <f>'Major Assumption Key'!A31</f>
        <v>2032</v>
      </c>
      <c r="G19" s="791">
        <f>'SOGR Supporting CP-CP'!E26</f>
        <v>0</v>
      </c>
      <c r="H19" s="791">
        <f>'SOGR Supporting CP-CP'!F26</f>
        <v>0</v>
      </c>
      <c r="I19" s="791">
        <f>'SOGR Supporting CP-CP'!G26</f>
        <v>0</v>
      </c>
      <c r="J19" s="791">
        <f>'SOGR Supporting CP-CP'!H26</f>
        <v>0</v>
      </c>
      <c r="K19" s="792">
        <f>'SOGR Supporting CP-CP'!K26</f>
        <v>0</v>
      </c>
      <c r="L19" s="774">
        <f>IF(AND($F19&gt;=MIN($F19),$F19&lt;=MAX('Major Assumption Key'!$B$6)),SUM(G19:K19),0)</f>
        <v>0</v>
      </c>
      <c r="M19" s="791">
        <f>'SOGR Supporting CP-CP'!E72</f>
        <v>0</v>
      </c>
      <c r="N19" s="791">
        <f>'SOGR Supporting CP-CP'!F72</f>
        <v>0</v>
      </c>
      <c r="O19" s="791">
        <f>'SOGR Supporting CP-CP'!G72</f>
        <v>0</v>
      </c>
      <c r="P19" s="791">
        <f>'SOGR Supporting CP-CP'!H72</f>
        <v>0</v>
      </c>
      <c r="Q19" s="791">
        <f>'SOGR Supporting CP-CP'!K72</f>
        <v>0</v>
      </c>
      <c r="R19" s="775">
        <f>IF(AND($F19&gt;=MIN('Major Assumption Key'!$B$4),$F19&lt;=MAX('Major Assumption Key'!$B$6)),SUM(M19:Q19),0)</f>
        <v>0</v>
      </c>
      <c r="S19" s="37">
        <f t="shared" si="5"/>
        <v>0</v>
      </c>
      <c r="T19" s="38">
        <f>S19/(1+'Major Assumption Key'!$B$8)^($F19-'Major Assumption Key'!$B$7)</f>
        <v>0</v>
      </c>
      <c r="U19" s="289"/>
      <c r="V19" s="774">
        <f t="shared" si="6"/>
        <v>0</v>
      </c>
      <c r="W19" s="775">
        <f t="shared" si="7"/>
        <v>0</v>
      </c>
      <c r="X19" s="37">
        <f t="shared" si="8"/>
        <v>0</v>
      </c>
      <c r="Y19" s="38">
        <f t="shared" si="9"/>
        <v>0</v>
      </c>
    </row>
    <row r="20" spans="1:25" ht="19.95" customHeight="1">
      <c r="A20" s="768" t="s">
        <v>529</v>
      </c>
      <c r="B20" s="794">
        <f>D32</f>
        <v>20.037421024681688</v>
      </c>
      <c r="C20" s="2" t="s">
        <v>211</v>
      </c>
      <c r="D20" s="571"/>
      <c r="E20" s="58"/>
      <c r="F20" s="57">
        <f>'Major Assumption Key'!A32</f>
        <v>2033</v>
      </c>
      <c r="G20" s="791">
        <f>'SOGR Supporting CP-CP'!E27</f>
        <v>0</v>
      </c>
      <c r="H20" s="791">
        <f>'SOGR Supporting CP-CP'!F27</f>
        <v>0</v>
      </c>
      <c r="I20" s="791">
        <f>'SOGR Supporting CP-CP'!G27</f>
        <v>0</v>
      </c>
      <c r="J20" s="791">
        <f>'SOGR Supporting CP-CP'!H27</f>
        <v>0</v>
      </c>
      <c r="K20" s="792">
        <f>'SOGR Supporting CP-CP'!K27</f>
        <v>0</v>
      </c>
      <c r="L20" s="774">
        <f>IF(AND($F20&gt;=MIN($F20),$F20&lt;=MAX('Major Assumption Key'!$B$6)),SUM(G20:K20),0)</f>
        <v>0</v>
      </c>
      <c r="M20" s="791">
        <f>'SOGR Supporting CP-CP'!E73</f>
        <v>0</v>
      </c>
      <c r="N20" s="791">
        <f>'SOGR Supporting CP-CP'!F73</f>
        <v>0</v>
      </c>
      <c r="O20" s="791">
        <f>'SOGR Supporting CP-CP'!G73</f>
        <v>0</v>
      </c>
      <c r="P20" s="791">
        <f>'SOGR Supporting CP-CP'!H73</f>
        <v>0</v>
      </c>
      <c r="Q20" s="791">
        <f>'SOGR Supporting CP-CP'!K73</f>
        <v>0</v>
      </c>
      <c r="R20" s="775">
        <f>IF(AND($F20&gt;=MIN('Major Assumption Key'!$B$4),$F20&lt;=MAX('Major Assumption Key'!$B$6)),SUM(M20:Q20),0)</f>
        <v>0</v>
      </c>
      <c r="S20" s="37">
        <f t="shared" si="5"/>
        <v>0</v>
      </c>
      <c r="T20" s="38">
        <f>S20/(1+'Major Assumption Key'!$B$8)^($F20-'Major Assumption Key'!$B$7)</f>
        <v>0</v>
      </c>
      <c r="U20" s="289"/>
      <c r="V20" s="774">
        <f t="shared" si="6"/>
        <v>0</v>
      </c>
      <c r="W20" s="775">
        <f t="shared" si="7"/>
        <v>0</v>
      </c>
      <c r="X20" s="37">
        <f t="shared" si="8"/>
        <v>0</v>
      </c>
      <c r="Y20" s="38">
        <f t="shared" si="9"/>
        <v>0</v>
      </c>
    </row>
    <row r="21" spans="1:25" ht="19.95" customHeight="1">
      <c r="A21" s="768" t="s">
        <v>530</v>
      </c>
      <c r="B21" s="777">
        <v>240</v>
      </c>
      <c r="C21" s="2" t="s">
        <v>531</v>
      </c>
      <c r="D21" s="770"/>
      <c r="E21" s="58"/>
      <c r="F21" s="57">
        <f>'Major Assumption Key'!A33</f>
        <v>2034</v>
      </c>
      <c r="G21" s="791">
        <f>'SOGR Supporting CP-CP'!E28</f>
        <v>0</v>
      </c>
      <c r="H21" s="791">
        <f>'SOGR Supporting CP-CP'!F28</f>
        <v>0</v>
      </c>
      <c r="I21" s="791">
        <f>'SOGR Supporting CP-CP'!G28</f>
        <v>0</v>
      </c>
      <c r="J21" s="791">
        <f>'SOGR Supporting CP-CP'!H28</f>
        <v>0</v>
      </c>
      <c r="K21" s="792">
        <f>'SOGR Supporting CP-CP'!K28</f>
        <v>0</v>
      </c>
      <c r="L21" s="774">
        <f>IF(AND($F21&gt;=MIN($F21),$F21&lt;=MAX('Major Assumption Key'!$B$6)),SUM(G21:K21),0)</f>
        <v>0</v>
      </c>
      <c r="M21" s="791">
        <f>'SOGR Supporting CP-CP'!E74</f>
        <v>0</v>
      </c>
      <c r="N21" s="791">
        <f>'SOGR Supporting CP-CP'!F74</f>
        <v>0</v>
      </c>
      <c r="O21" s="791">
        <f>'SOGR Supporting CP-CP'!G74</f>
        <v>0</v>
      </c>
      <c r="P21" s="791">
        <f>'SOGR Supporting CP-CP'!H74</f>
        <v>0</v>
      </c>
      <c r="Q21" s="791">
        <f>'SOGR Supporting CP-CP'!K74</f>
        <v>0</v>
      </c>
      <c r="R21" s="775">
        <f>IF(AND($F21&gt;=MIN('Major Assumption Key'!$B$4),$F21&lt;=MAX('Major Assumption Key'!$B$6)),SUM(M21:Q21),0)</f>
        <v>0</v>
      </c>
      <c r="S21" s="37">
        <f t="shared" si="5"/>
        <v>0</v>
      </c>
      <c r="T21" s="38">
        <f>S21/(1+'Major Assumption Key'!$B$8)^($F21-'Major Assumption Key'!$B$7)</f>
        <v>0</v>
      </c>
      <c r="U21" s="289"/>
      <c r="V21" s="774">
        <f t="shared" si="6"/>
        <v>0</v>
      </c>
      <c r="W21" s="775">
        <f t="shared" si="7"/>
        <v>0</v>
      </c>
      <c r="X21" s="37">
        <f t="shared" si="8"/>
        <v>0</v>
      </c>
      <c r="Y21" s="38">
        <f t="shared" si="9"/>
        <v>0</v>
      </c>
    </row>
    <row r="22" spans="1:25" ht="19.95" customHeight="1">
      <c r="A22" s="768" t="s">
        <v>532</v>
      </c>
      <c r="B22" s="777">
        <f>B21/2</f>
        <v>120</v>
      </c>
      <c r="C22" s="2" t="s">
        <v>533</v>
      </c>
      <c r="D22" s="770"/>
      <c r="E22" s="58"/>
      <c r="F22" s="57">
        <f>'Major Assumption Key'!A34</f>
        <v>2035</v>
      </c>
      <c r="G22" s="791">
        <f>'SOGR Supporting CP-CP'!E29</f>
        <v>0</v>
      </c>
      <c r="H22" s="791">
        <f>'SOGR Supporting CP-CP'!F29</f>
        <v>0</v>
      </c>
      <c r="I22" s="791">
        <f>'SOGR Supporting CP-CP'!G29</f>
        <v>0</v>
      </c>
      <c r="J22" s="791">
        <f>'SOGR Supporting CP-CP'!H29</f>
        <v>0</v>
      </c>
      <c r="K22" s="792">
        <f>'SOGR Supporting CP-CP'!K29</f>
        <v>0</v>
      </c>
      <c r="L22" s="774">
        <f>IF(AND($F22&gt;=MIN($F22),$F22&lt;=MAX('Major Assumption Key'!$B$6)),SUM(G22:K22),0)</f>
        <v>0</v>
      </c>
      <c r="M22" s="791">
        <f>'SOGR Supporting CP-CP'!E75</f>
        <v>0</v>
      </c>
      <c r="N22" s="791">
        <f>'SOGR Supporting CP-CP'!F75</f>
        <v>0</v>
      </c>
      <c r="O22" s="791">
        <f>'SOGR Supporting CP-CP'!G75</f>
        <v>0</v>
      </c>
      <c r="P22" s="791">
        <f>'SOGR Supporting CP-CP'!H75</f>
        <v>0</v>
      </c>
      <c r="Q22" s="791">
        <f>'SOGR Supporting CP-CP'!K75</f>
        <v>0</v>
      </c>
      <c r="R22" s="775">
        <f>IF(AND($F22&gt;=MIN('Major Assumption Key'!$B$4),$F22&lt;=MAX('Major Assumption Key'!$B$6)),SUM(M22:Q22),0)</f>
        <v>0</v>
      </c>
      <c r="S22" s="37">
        <f t="shared" si="5"/>
        <v>0</v>
      </c>
      <c r="T22" s="38">
        <f>S22/(1+'Major Assumption Key'!$B$8)^($F22-'Major Assumption Key'!$B$7)</f>
        <v>0</v>
      </c>
      <c r="U22" s="289"/>
      <c r="V22" s="774">
        <f t="shared" si="6"/>
        <v>0</v>
      </c>
      <c r="W22" s="775">
        <f t="shared" si="7"/>
        <v>0</v>
      </c>
      <c r="X22" s="37">
        <f t="shared" si="8"/>
        <v>0</v>
      </c>
      <c r="Y22" s="38">
        <f t="shared" si="9"/>
        <v>0</v>
      </c>
    </row>
    <row r="23" spans="1:25" ht="19.95" customHeight="1">
      <c r="A23" s="768" t="s">
        <v>534</v>
      </c>
      <c r="B23" s="833">
        <v>0.75</v>
      </c>
      <c r="C23" s="2" t="s">
        <v>535</v>
      </c>
      <c r="D23" s="770"/>
      <c r="E23" s="58"/>
      <c r="F23" s="57">
        <f>'Major Assumption Key'!A35</f>
        <v>2036</v>
      </c>
      <c r="G23" s="791">
        <f>'SOGR Supporting CP-CP'!E30</f>
        <v>0</v>
      </c>
      <c r="H23" s="791">
        <f>'SOGR Supporting CP-CP'!F30</f>
        <v>0</v>
      </c>
      <c r="I23" s="791">
        <f>'SOGR Supporting CP-CP'!G30</f>
        <v>0</v>
      </c>
      <c r="J23" s="791">
        <f>'SOGR Supporting CP-CP'!H30</f>
        <v>0</v>
      </c>
      <c r="K23" s="792">
        <f>'SOGR Supporting CP-CP'!K30</f>
        <v>0</v>
      </c>
      <c r="L23" s="774">
        <f>IF(AND($F23&gt;=MIN($F23),$F23&lt;=MAX('Major Assumption Key'!$B$6)),SUM(G23:K23),0)</f>
        <v>0</v>
      </c>
      <c r="M23" s="791">
        <f>'SOGR Supporting CP-CP'!E76</f>
        <v>0</v>
      </c>
      <c r="N23" s="791">
        <f>'SOGR Supporting CP-CP'!F76</f>
        <v>0</v>
      </c>
      <c r="O23" s="791">
        <f>'SOGR Supporting CP-CP'!G76</f>
        <v>0</v>
      </c>
      <c r="P23" s="791">
        <f>'SOGR Supporting CP-CP'!H76</f>
        <v>0</v>
      </c>
      <c r="Q23" s="791">
        <f>'SOGR Supporting CP-CP'!K76</f>
        <v>0</v>
      </c>
      <c r="R23" s="775">
        <f>IF(AND($F23&gt;=MIN('Major Assumption Key'!$B$4),$F23&lt;=MAX('Major Assumption Key'!$B$6)),SUM(M23:Q23),0)</f>
        <v>0</v>
      </c>
      <c r="S23" s="37">
        <f t="shared" si="5"/>
        <v>0</v>
      </c>
      <c r="T23" s="38">
        <f>S23/(1+'Major Assumption Key'!$B$8)^($F23-'Major Assumption Key'!$B$7)</f>
        <v>0</v>
      </c>
      <c r="U23" s="289"/>
      <c r="V23" s="774">
        <f t="shared" si="6"/>
        <v>0</v>
      </c>
      <c r="W23" s="775">
        <f t="shared" si="7"/>
        <v>0</v>
      </c>
      <c r="X23" s="37">
        <f t="shared" si="8"/>
        <v>0</v>
      </c>
      <c r="Y23" s="38">
        <f t="shared" si="9"/>
        <v>0</v>
      </c>
    </row>
    <row r="24" spans="1:25" ht="19.95" customHeight="1">
      <c r="A24" s="768" t="s">
        <v>536</v>
      </c>
      <c r="B24" s="796">
        <v>0</v>
      </c>
      <c r="D24" s="770"/>
      <c r="E24" s="58"/>
      <c r="F24" s="57">
        <f>'Major Assumption Key'!A36</f>
        <v>2037</v>
      </c>
      <c r="G24" s="791">
        <f>'SOGR Supporting CP-CP'!E31</f>
        <v>0</v>
      </c>
      <c r="H24" s="791">
        <f>'SOGR Supporting CP-CP'!F31</f>
        <v>0</v>
      </c>
      <c r="I24" s="791">
        <f>'SOGR Supporting CP-CP'!G31</f>
        <v>0</v>
      </c>
      <c r="J24" s="791">
        <f>'SOGR Supporting CP-CP'!H31</f>
        <v>0</v>
      </c>
      <c r="K24" s="792">
        <f>'SOGR Supporting CP-CP'!K31</f>
        <v>0</v>
      </c>
      <c r="L24" s="774">
        <f>IF(AND($F24&gt;=MIN($F24),$F24&lt;=MAX('Major Assumption Key'!$B$6)),SUM(G24:K24),0)</f>
        <v>0</v>
      </c>
      <c r="M24" s="791">
        <f>'SOGR Supporting CP-CP'!E77</f>
        <v>0</v>
      </c>
      <c r="N24" s="791">
        <f>'SOGR Supporting CP-CP'!F77</f>
        <v>0</v>
      </c>
      <c r="O24" s="791">
        <f>'SOGR Supporting CP-CP'!G77</f>
        <v>0</v>
      </c>
      <c r="P24" s="791">
        <f>'SOGR Supporting CP-CP'!H77</f>
        <v>0</v>
      </c>
      <c r="Q24" s="791">
        <f>'SOGR Supporting CP-CP'!K77</f>
        <v>0</v>
      </c>
      <c r="R24" s="775">
        <f>IF(AND($F24&gt;=MIN('Major Assumption Key'!$B$4),$F24&lt;=MAX('Major Assumption Key'!$B$6)),SUM(M24:Q24),0)</f>
        <v>0</v>
      </c>
      <c r="S24" s="37">
        <f t="shared" si="5"/>
        <v>0</v>
      </c>
      <c r="T24" s="38">
        <f>S24/(1+'Major Assumption Key'!$B$8)^($F24-'Major Assumption Key'!$B$7)</f>
        <v>0</v>
      </c>
      <c r="U24" s="289"/>
      <c r="V24" s="774">
        <f t="shared" si="6"/>
        <v>0</v>
      </c>
      <c r="W24" s="775">
        <f t="shared" si="7"/>
        <v>0</v>
      </c>
      <c r="X24" s="37">
        <f t="shared" si="8"/>
        <v>0</v>
      </c>
      <c r="Y24" s="38">
        <f t="shared" si="9"/>
        <v>0</v>
      </c>
    </row>
    <row r="25" spans="1:25" ht="19.95" customHeight="1">
      <c r="A25" s="768" t="s">
        <v>567</v>
      </c>
      <c r="B25" s="840">
        <f>'Cost of Rehab'!C12</f>
        <v>307824</v>
      </c>
      <c r="C25" s="2" t="s">
        <v>538</v>
      </c>
      <c r="D25" s="770"/>
      <c r="E25" s="58"/>
      <c r="F25" s="57">
        <f>'Major Assumption Key'!A37</f>
        <v>2038</v>
      </c>
      <c r="G25" s="791">
        <f>'SOGR Supporting CP-CP'!E32</f>
        <v>0</v>
      </c>
      <c r="H25" s="791">
        <f>'SOGR Supporting CP-CP'!F32</f>
        <v>0</v>
      </c>
      <c r="I25" s="791">
        <f>'SOGR Supporting CP-CP'!G32</f>
        <v>0</v>
      </c>
      <c r="J25" s="791">
        <f>'SOGR Supporting CP-CP'!H32</f>
        <v>0</v>
      </c>
      <c r="K25" s="792">
        <f>'SOGR Supporting CP-CP'!K32</f>
        <v>0</v>
      </c>
      <c r="L25" s="774">
        <f>IF(AND($F25&gt;=MIN($F25),$F25&lt;=MAX('Major Assumption Key'!$B$6)),SUM(G25:K25),0)</f>
        <v>0</v>
      </c>
      <c r="M25" s="791">
        <f>'SOGR Supporting CP-CP'!E78</f>
        <v>0</v>
      </c>
      <c r="N25" s="791">
        <f>'SOGR Supporting CP-CP'!F78</f>
        <v>0</v>
      </c>
      <c r="O25" s="791">
        <f>'SOGR Supporting CP-CP'!G78</f>
        <v>0</v>
      </c>
      <c r="P25" s="791">
        <f>'SOGR Supporting CP-CP'!H78</f>
        <v>0</v>
      </c>
      <c r="Q25" s="791">
        <f>'SOGR Supporting CP-CP'!K78</f>
        <v>0</v>
      </c>
      <c r="R25" s="775">
        <f>IF(AND($F25&gt;=MIN('Major Assumption Key'!$B$4),$F25&lt;=MAX('Major Assumption Key'!$B$6)),SUM(M25:Q25),0)</f>
        <v>0</v>
      </c>
      <c r="S25" s="37">
        <f t="shared" si="5"/>
        <v>0</v>
      </c>
      <c r="T25" s="38">
        <f>S25/(1+'Major Assumption Key'!$B$8)^($F25-'Major Assumption Key'!$B$7)</f>
        <v>0</v>
      </c>
      <c r="U25" s="289"/>
      <c r="V25" s="774">
        <f t="shared" si="6"/>
        <v>0</v>
      </c>
      <c r="W25" s="775">
        <f t="shared" si="7"/>
        <v>0</v>
      </c>
      <c r="X25" s="37">
        <f t="shared" si="8"/>
        <v>0</v>
      </c>
      <c r="Y25" s="38">
        <f t="shared" si="9"/>
        <v>0</v>
      </c>
    </row>
    <row r="26" spans="1:25" ht="19.95" customHeight="1" thickBot="1">
      <c r="A26" s="779" t="s">
        <v>539</v>
      </c>
      <c r="B26" s="798">
        <v>260</v>
      </c>
      <c r="C26" s="364" t="s">
        <v>540</v>
      </c>
      <c r="D26" s="781"/>
      <c r="E26" s="58"/>
      <c r="F26" s="57">
        <f>'Major Assumption Key'!A38</f>
        <v>2039</v>
      </c>
      <c r="G26" s="791">
        <f>'SOGR Supporting CP-CP'!E33</f>
        <v>0</v>
      </c>
      <c r="H26" s="791">
        <f>'SOGR Supporting CP-CP'!F33</f>
        <v>0</v>
      </c>
      <c r="I26" s="791">
        <f>'SOGR Supporting CP-CP'!G33</f>
        <v>0</v>
      </c>
      <c r="J26" s="791">
        <f>'SOGR Supporting CP-CP'!H33</f>
        <v>0</v>
      </c>
      <c r="K26" s="792">
        <f>'SOGR Supporting CP-CP'!K33</f>
        <v>0</v>
      </c>
      <c r="L26" s="774">
        <f>IF(AND($F26&gt;=MIN($F26),$F26&lt;=MAX('Major Assumption Key'!$B$6)),SUM(G26:K26),0)</f>
        <v>0</v>
      </c>
      <c r="M26" s="791">
        <f>'SOGR Supporting CP-CP'!E79</f>
        <v>0</v>
      </c>
      <c r="N26" s="791">
        <f>'SOGR Supporting CP-CP'!F79</f>
        <v>0</v>
      </c>
      <c r="O26" s="791">
        <f>'SOGR Supporting CP-CP'!G79</f>
        <v>0</v>
      </c>
      <c r="P26" s="791">
        <f>'SOGR Supporting CP-CP'!H79</f>
        <v>0</v>
      </c>
      <c r="Q26" s="791">
        <f>'SOGR Supporting CP-CP'!K79</f>
        <v>0</v>
      </c>
      <c r="R26" s="775">
        <f>IF(AND($F26&gt;=MIN('Major Assumption Key'!$B$4),$F26&lt;=MAX('Major Assumption Key'!$B$6)),SUM(M26:Q26),0)</f>
        <v>0</v>
      </c>
      <c r="S26" s="37">
        <f t="shared" si="5"/>
        <v>0</v>
      </c>
      <c r="T26" s="38">
        <f>S26/(1+'Major Assumption Key'!$B$8)^($F26-'Major Assumption Key'!$B$7)</f>
        <v>0</v>
      </c>
      <c r="U26" s="289"/>
      <c r="V26" s="774">
        <f t="shared" si="6"/>
        <v>0</v>
      </c>
      <c r="W26" s="775">
        <f t="shared" si="7"/>
        <v>0</v>
      </c>
      <c r="X26" s="37">
        <f t="shared" si="8"/>
        <v>0</v>
      </c>
      <c r="Y26" s="38">
        <f t="shared" si="9"/>
        <v>0</v>
      </c>
    </row>
    <row r="27" spans="1:25" ht="19.95" customHeight="1">
      <c r="A27" s="799"/>
      <c r="B27" s="799"/>
      <c r="C27" s="160"/>
      <c r="D27" s="800"/>
      <c r="E27" s="58"/>
      <c r="F27" s="57">
        <f>'Major Assumption Key'!A39</f>
        <v>2040</v>
      </c>
      <c r="G27" s="791">
        <f>'SOGR Supporting CP-CP'!E34</f>
        <v>0</v>
      </c>
      <c r="H27" s="791">
        <f>'SOGR Supporting CP-CP'!F34</f>
        <v>0</v>
      </c>
      <c r="I27" s="791">
        <f>'SOGR Supporting CP-CP'!G34</f>
        <v>0</v>
      </c>
      <c r="J27" s="791">
        <f>'SOGR Supporting CP-CP'!H34</f>
        <v>0</v>
      </c>
      <c r="K27" s="792">
        <f>'SOGR Supporting CP-CP'!K34</f>
        <v>0</v>
      </c>
      <c r="L27" s="774">
        <f>IF(AND($F27&gt;=MIN($F27),$F27&lt;=MAX('Major Assumption Key'!$B$6)),SUM(G27:K27),0)</f>
        <v>0</v>
      </c>
      <c r="M27" s="791">
        <f>'SOGR Supporting CP-CP'!E80</f>
        <v>0</v>
      </c>
      <c r="N27" s="791">
        <f>'SOGR Supporting CP-CP'!F80</f>
        <v>0</v>
      </c>
      <c r="O27" s="791">
        <f>'SOGR Supporting CP-CP'!G80</f>
        <v>0</v>
      </c>
      <c r="P27" s="791">
        <f>'SOGR Supporting CP-CP'!H80</f>
        <v>0</v>
      </c>
      <c r="Q27" s="791">
        <f>'SOGR Supporting CP-CP'!K80</f>
        <v>0</v>
      </c>
      <c r="R27" s="775">
        <f>IF(AND($F27&gt;=MIN('Major Assumption Key'!$B$4),$F27&lt;=MAX('Major Assumption Key'!$B$6)),SUM(M27:Q27),0)</f>
        <v>0</v>
      </c>
      <c r="S27" s="37">
        <f t="shared" si="5"/>
        <v>0</v>
      </c>
      <c r="T27" s="38">
        <f>S27/(1+'Major Assumption Key'!$B$8)^($F27-'Major Assumption Key'!$B$7)</f>
        <v>0</v>
      </c>
      <c r="U27" s="289"/>
      <c r="V27" s="774">
        <f t="shared" si="6"/>
        <v>0</v>
      </c>
      <c r="W27" s="775">
        <f t="shared" si="7"/>
        <v>0</v>
      </c>
      <c r="X27" s="37">
        <f t="shared" si="8"/>
        <v>0</v>
      </c>
      <c r="Y27" s="38">
        <f t="shared" si="9"/>
        <v>0</v>
      </c>
    </row>
    <row r="28" spans="1:25" ht="19.95" customHeight="1">
      <c r="E28" s="58"/>
      <c r="F28" s="57">
        <f>'Major Assumption Key'!A40</f>
        <v>2041</v>
      </c>
      <c r="G28" s="791">
        <f>'SOGR Supporting CP-CP'!E35</f>
        <v>0</v>
      </c>
      <c r="H28" s="791">
        <f>'SOGR Supporting CP-CP'!F35</f>
        <v>0</v>
      </c>
      <c r="I28" s="791">
        <f>'SOGR Supporting CP-CP'!G35</f>
        <v>0</v>
      </c>
      <c r="J28" s="791">
        <f>'SOGR Supporting CP-CP'!H35</f>
        <v>0</v>
      </c>
      <c r="K28" s="792">
        <f>'SOGR Supporting CP-CP'!K35</f>
        <v>0</v>
      </c>
      <c r="L28" s="774">
        <f>IF(AND($F28&gt;=MIN($F28),$F28&lt;=MAX('Major Assumption Key'!$B$6)),SUM(G28:K28),0)</f>
        <v>0</v>
      </c>
      <c r="M28" s="791">
        <f>'SOGR Supporting CP-CP'!E81</f>
        <v>0</v>
      </c>
      <c r="N28" s="791">
        <f>'SOGR Supporting CP-CP'!F81</f>
        <v>0</v>
      </c>
      <c r="O28" s="791">
        <f>'SOGR Supporting CP-CP'!G81</f>
        <v>0</v>
      </c>
      <c r="P28" s="791">
        <f>'SOGR Supporting CP-CP'!H81</f>
        <v>0</v>
      </c>
      <c r="Q28" s="791">
        <f>'SOGR Supporting CP-CP'!K81</f>
        <v>0</v>
      </c>
      <c r="R28" s="775">
        <f>IF(AND($F28&gt;=MIN('Major Assumption Key'!$B$4),$F28&lt;=MAX('Major Assumption Key'!$B$6)),SUM(M28:Q28),0)</f>
        <v>0</v>
      </c>
      <c r="S28" s="37">
        <f t="shared" si="5"/>
        <v>0</v>
      </c>
      <c r="T28" s="38">
        <f>S28/(1+'Major Assumption Key'!$B$8)^($F28-'Major Assumption Key'!$B$7)</f>
        <v>0</v>
      </c>
      <c r="U28" s="289"/>
      <c r="V28" s="774">
        <f t="shared" si="6"/>
        <v>0</v>
      </c>
      <c r="W28" s="775">
        <f t="shared" si="7"/>
        <v>0</v>
      </c>
      <c r="X28" s="37">
        <f t="shared" si="8"/>
        <v>0</v>
      </c>
      <c r="Y28" s="38">
        <f t="shared" si="9"/>
        <v>0</v>
      </c>
    </row>
    <row r="29" spans="1:25" ht="19.95" customHeight="1">
      <c r="A29" s="59" t="s">
        <v>541</v>
      </c>
      <c r="B29" s="59" t="s">
        <v>542</v>
      </c>
      <c r="C29" s="59" t="s">
        <v>543</v>
      </c>
      <c r="D29" s="59" t="s">
        <v>544</v>
      </c>
      <c r="E29" s="58"/>
      <c r="F29" s="57">
        <f>'Major Assumption Key'!A41</f>
        <v>2042</v>
      </c>
      <c r="G29" s="791">
        <f>'SOGR Supporting CP-CP'!E36</f>
        <v>0</v>
      </c>
      <c r="H29" s="791">
        <f>'SOGR Supporting CP-CP'!F36</f>
        <v>0</v>
      </c>
      <c r="I29" s="791">
        <f>'SOGR Supporting CP-CP'!G36</f>
        <v>0</v>
      </c>
      <c r="J29" s="791">
        <f>'SOGR Supporting CP-CP'!H36</f>
        <v>0</v>
      </c>
      <c r="K29" s="792">
        <f>'SOGR Supporting CP-CP'!K36</f>
        <v>0</v>
      </c>
      <c r="L29" s="774">
        <f>IF(AND($F29&gt;=MIN($F29),$F29&lt;=MAX('Major Assumption Key'!$B$6)),SUM(G29:K29),0)</f>
        <v>0</v>
      </c>
      <c r="M29" s="791">
        <f>'SOGR Supporting CP-CP'!E82</f>
        <v>0</v>
      </c>
      <c r="N29" s="791">
        <f>'SOGR Supporting CP-CP'!F82</f>
        <v>0</v>
      </c>
      <c r="O29" s="791">
        <f>'SOGR Supporting CP-CP'!G82</f>
        <v>0</v>
      </c>
      <c r="P29" s="791">
        <f>'SOGR Supporting CP-CP'!H82</f>
        <v>0</v>
      </c>
      <c r="Q29" s="791">
        <f>'SOGR Supporting CP-CP'!K82</f>
        <v>0</v>
      </c>
      <c r="R29" s="775">
        <f>IF(AND($F29&gt;=MIN('Major Assumption Key'!$B$4),$F29&lt;=MAX('Major Assumption Key'!$B$6)),SUM(M29:Q29),0)</f>
        <v>0</v>
      </c>
      <c r="S29" s="37">
        <f t="shared" si="5"/>
        <v>0</v>
      </c>
      <c r="T29" s="38">
        <f>S29/(1+'Major Assumption Key'!$B$8)^($F29-'Major Assumption Key'!$B$7)</f>
        <v>0</v>
      </c>
      <c r="U29" s="289"/>
      <c r="V29" s="774">
        <f t="shared" si="6"/>
        <v>0</v>
      </c>
      <c r="W29" s="775">
        <f t="shared" si="7"/>
        <v>0</v>
      </c>
      <c r="X29" s="37">
        <f t="shared" si="8"/>
        <v>0</v>
      </c>
      <c r="Y29" s="38">
        <f t="shared" si="9"/>
        <v>0</v>
      </c>
    </row>
    <row r="30" spans="1:25" ht="19.95" customHeight="1">
      <c r="A30" s="801" t="s">
        <v>545</v>
      </c>
      <c r="B30" s="802">
        <f>1-B31</f>
        <v>0.96853086153369172</v>
      </c>
      <c r="C30" s="372">
        <f>'BCA Guide - Parameter Values'!$C$46</f>
        <v>1.67</v>
      </c>
      <c r="D30" s="803">
        <f>'BCA Guide - Parameter Values'!$C$24</f>
        <v>19.600000000000001</v>
      </c>
      <c r="F30" s="57">
        <f>'Major Assumption Key'!A42</f>
        <v>2043</v>
      </c>
      <c r="G30" s="791">
        <f>'SOGR Supporting CP-CP'!E37</f>
        <v>0</v>
      </c>
      <c r="H30" s="791">
        <f>'SOGR Supporting CP-CP'!F37</f>
        <v>0</v>
      </c>
      <c r="I30" s="791">
        <f>'SOGR Supporting CP-CP'!G37</f>
        <v>0</v>
      </c>
      <c r="J30" s="791">
        <f>'SOGR Supporting CP-CP'!H37</f>
        <v>0</v>
      </c>
      <c r="K30" s="792">
        <f>'SOGR Supporting CP-CP'!K37</f>
        <v>0</v>
      </c>
      <c r="L30" s="774">
        <f>IF(AND($F30&gt;=MIN($F30),$F30&lt;=MAX('Major Assumption Key'!$B$6)),SUM(G30:K30),0)</f>
        <v>0</v>
      </c>
      <c r="M30" s="791">
        <f>'SOGR Supporting CP-CP'!E83</f>
        <v>0</v>
      </c>
      <c r="N30" s="791">
        <f>'SOGR Supporting CP-CP'!F83</f>
        <v>0</v>
      </c>
      <c r="O30" s="791">
        <f>'SOGR Supporting CP-CP'!G83</f>
        <v>0</v>
      </c>
      <c r="P30" s="791">
        <f>'SOGR Supporting CP-CP'!H83</f>
        <v>0</v>
      </c>
      <c r="Q30" s="791">
        <f>'SOGR Supporting CP-CP'!K83</f>
        <v>0</v>
      </c>
      <c r="R30" s="775">
        <f>IF(AND($F30&gt;=MIN('Major Assumption Key'!$B$4),$F30&lt;=MAX('Major Assumption Key'!$B$6)),SUM(M30:Q30),0)</f>
        <v>0</v>
      </c>
      <c r="S30" s="37">
        <f t="shared" si="5"/>
        <v>0</v>
      </c>
      <c r="T30" s="38">
        <f>S30/(1+'Major Assumption Key'!$B$8)^($F30-'Major Assumption Key'!$B$7)</f>
        <v>0</v>
      </c>
      <c r="U30" s="289"/>
      <c r="V30" s="774">
        <f t="shared" si="6"/>
        <v>0</v>
      </c>
      <c r="W30" s="775">
        <f t="shared" si="7"/>
        <v>0</v>
      </c>
      <c r="X30" s="37">
        <f t="shared" si="8"/>
        <v>0</v>
      </c>
      <c r="Y30" s="38">
        <f t="shared" si="9"/>
        <v>0</v>
      </c>
    </row>
    <row r="31" spans="1:25" ht="19.95" customHeight="1" thickBot="1">
      <c r="A31" s="804" t="s">
        <v>128</v>
      </c>
      <c r="B31" s="805">
        <f>'Major Assumption Key'!B11</f>
        <v>3.1469138466308312E-2</v>
      </c>
      <c r="C31" s="158">
        <v>1</v>
      </c>
      <c r="D31" s="806">
        <f>'BCA Guide - Parameter Values'!$C$29</f>
        <v>33.5</v>
      </c>
      <c r="F31" s="57">
        <f>'Major Assumption Key'!A43</f>
        <v>2044</v>
      </c>
      <c r="G31" s="791">
        <f>'SOGR Supporting CP-CP'!E38</f>
        <v>0</v>
      </c>
      <c r="H31" s="791">
        <f>'SOGR Supporting CP-CP'!F38</f>
        <v>0</v>
      </c>
      <c r="I31" s="791">
        <f>'SOGR Supporting CP-CP'!G38</f>
        <v>0</v>
      </c>
      <c r="J31" s="791">
        <f>'SOGR Supporting CP-CP'!H38</f>
        <v>0</v>
      </c>
      <c r="K31" s="792">
        <f>'SOGR Supporting CP-CP'!K38</f>
        <v>0</v>
      </c>
      <c r="L31" s="774">
        <f>IF(AND($F31&gt;=MIN($F31),$F31&lt;=MAX('Major Assumption Key'!$B$6)),SUM(G31:K31),0)</f>
        <v>0</v>
      </c>
      <c r="M31" s="791">
        <f>'SOGR Supporting CP-CP'!E84</f>
        <v>0</v>
      </c>
      <c r="N31" s="791">
        <f>'SOGR Supporting CP-CP'!F84</f>
        <v>0</v>
      </c>
      <c r="O31" s="791">
        <f>'SOGR Supporting CP-CP'!G84</f>
        <v>0</v>
      </c>
      <c r="P31" s="791">
        <f>'SOGR Supporting CP-CP'!H84</f>
        <v>0</v>
      </c>
      <c r="Q31" s="791">
        <f>'SOGR Supporting CP-CP'!K84</f>
        <v>0</v>
      </c>
      <c r="R31" s="775">
        <f>IF(AND($F31&gt;=MIN('Major Assumption Key'!$B$4),$F31&lt;=MAX('Major Assumption Key'!$B$6)),SUM(M31:Q31),0)</f>
        <v>0</v>
      </c>
      <c r="S31" s="37">
        <f t="shared" si="5"/>
        <v>0</v>
      </c>
      <c r="T31" s="38">
        <f>S31/(1+'Major Assumption Key'!$B$8)^($F31-'Major Assumption Key'!$B$7)</f>
        <v>0</v>
      </c>
      <c r="U31" s="289"/>
      <c r="V31" s="774">
        <f t="shared" si="6"/>
        <v>0</v>
      </c>
      <c r="W31" s="775">
        <f t="shared" si="7"/>
        <v>0</v>
      </c>
      <c r="X31" s="37">
        <f t="shared" si="8"/>
        <v>0</v>
      </c>
      <c r="Y31" s="38">
        <f t="shared" si="9"/>
        <v>0</v>
      </c>
    </row>
    <row r="32" spans="1:25" ht="19.95" customHeight="1" thickTop="1">
      <c r="A32" s="807"/>
      <c r="B32" s="807"/>
      <c r="C32" s="375">
        <f>SUMPRODUCT(B30:B31,C30:C31)</f>
        <v>1.6489156772275735</v>
      </c>
      <c r="D32" s="808">
        <f>SUMPRODUCT(B30:B31,D30:D31)</f>
        <v>20.037421024681688</v>
      </c>
      <c r="F32" s="57">
        <f>'Major Assumption Key'!A44</f>
        <v>2045</v>
      </c>
      <c r="G32" s="791">
        <f>'SOGR Supporting CP-CP'!E39</f>
        <v>0</v>
      </c>
      <c r="H32" s="791">
        <f>'SOGR Supporting CP-CP'!F39</f>
        <v>0</v>
      </c>
      <c r="I32" s="791">
        <f>'SOGR Supporting CP-CP'!G39</f>
        <v>0</v>
      </c>
      <c r="J32" s="791">
        <f>'SOGR Supporting CP-CP'!H39</f>
        <v>0</v>
      </c>
      <c r="K32" s="792">
        <f>'SOGR Supporting CP-CP'!K39</f>
        <v>0</v>
      </c>
      <c r="L32" s="774">
        <f>IF(AND($F32&gt;=MIN($F32),$F32&lt;=MAX('Major Assumption Key'!$B$6)),SUM(G32:K32),0)</f>
        <v>0</v>
      </c>
      <c r="M32" s="791">
        <f>'SOGR Supporting CP-CP'!E85</f>
        <v>0</v>
      </c>
      <c r="N32" s="791">
        <f>'SOGR Supporting CP-CP'!F85</f>
        <v>0</v>
      </c>
      <c r="O32" s="791">
        <f>'SOGR Supporting CP-CP'!G85</f>
        <v>0</v>
      </c>
      <c r="P32" s="791">
        <f>'SOGR Supporting CP-CP'!H85</f>
        <v>0</v>
      </c>
      <c r="Q32" s="791">
        <f>'SOGR Supporting CP-CP'!K85</f>
        <v>0</v>
      </c>
      <c r="R32" s="775">
        <f>IF(AND($F32&gt;=MIN('Major Assumption Key'!$B$4),$F32&lt;=MAX('Major Assumption Key'!$B$6)),SUM(M32:Q32),0)</f>
        <v>0</v>
      </c>
      <c r="S32" s="37">
        <f t="shared" si="5"/>
        <v>0</v>
      </c>
      <c r="T32" s="38">
        <f>S32/(1+'Major Assumption Key'!$B$8)^($F32-'Major Assumption Key'!$B$7)</f>
        <v>0</v>
      </c>
      <c r="U32" s="289"/>
      <c r="V32" s="774">
        <f t="shared" si="6"/>
        <v>0</v>
      </c>
      <c r="W32" s="775">
        <f t="shared" si="7"/>
        <v>0</v>
      </c>
      <c r="X32" s="37">
        <f t="shared" si="8"/>
        <v>0</v>
      </c>
      <c r="Y32" s="38">
        <f t="shared" si="9"/>
        <v>0</v>
      </c>
    </row>
    <row r="33" spans="1:25" ht="19.95" customHeight="1">
      <c r="A33" s="799"/>
      <c r="B33" s="799"/>
      <c r="C33" s="160"/>
      <c r="D33" s="800"/>
      <c r="F33" s="57">
        <f>'Major Assumption Key'!A45</f>
        <v>2046</v>
      </c>
      <c r="G33" s="791">
        <f>'SOGR Supporting CP-CP'!E40</f>
        <v>0</v>
      </c>
      <c r="H33" s="791">
        <f>'SOGR Supporting CP-CP'!F40</f>
        <v>0</v>
      </c>
      <c r="I33" s="791">
        <f>'SOGR Supporting CP-CP'!G40</f>
        <v>0</v>
      </c>
      <c r="J33" s="791">
        <f>'SOGR Supporting CP-CP'!H40</f>
        <v>0</v>
      </c>
      <c r="K33" s="792">
        <f>'SOGR Supporting CP-CP'!K40</f>
        <v>0</v>
      </c>
      <c r="L33" s="774">
        <f>IF(AND($F33&gt;=MIN($F33),$F33&lt;=MAX('Major Assumption Key'!$B$6)),SUM(G33:K33),0)</f>
        <v>0</v>
      </c>
      <c r="M33" s="791">
        <f>'SOGR Supporting CP-CP'!E86</f>
        <v>0</v>
      </c>
      <c r="N33" s="791">
        <f>'SOGR Supporting CP-CP'!F86</f>
        <v>0</v>
      </c>
      <c r="O33" s="791">
        <f>'SOGR Supporting CP-CP'!G86</f>
        <v>0</v>
      </c>
      <c r="P33" s="791">
        <f>'SOGR Supporting CP-CP'!H86</f>
        <v>0</v>
      </c>
      <c r="Q33" s="791">
        <f>'SOGR Supporting CP-CP'!K86</f>
        <v>0</v>
      </c>
      <c r="R33" s="775">
        <f>IF(AND($F33&gt;=MIN('Major Assumption Key'!$B$4),$F33&lt;=MAX('Major Assumption Key'!$B$6)),SUM(M33:Q33),0)</f>
        <v>0</v>
      </c>
      <c r="S33" s="37">
        <f t="shared" si="5"/>
        <v>0</v>
      </c>
      <c r="T33" s="38">
        <f>S33/(1+'Major Assumption Key'!$B$8)^($F33-'Major Assumption Key'!$B$7)</f>
        <v>0</v>
      </c>
      <c r="U33" s="289"/>
      <c r="V33" s="774">
        <f t="shared" si="6"/>
        <v>0</v>
      </c>
      <c r="W33" s="775">
        <f t="shared" si="7"/>
        <v>0</v>
      </c>
      <c r="X33" s="37">
        <f t="shared" si="8"/>
        <v>0</v>
      </c>
      <c r="Y33" s="38">
        <f t="shared" si="9"/>
        <v>0</v>
      </c>
    </row>
    <row r="34" spans="1:25" ht="19.95" customHeight="1">
      <c r="A34" s="799"/>
      <c r="B34" s="799"/>
      <c r="C34" s="160"/>
      <c r="D34" s="800"/>
      <c r="F34" s="57">
        <f>'Major Assumption Key'!A46</f>
        <v>2047</v>
      </c>
      <c r="G34" s="791">
        <f>'SOGR Supporting CP-CP'!E41</f>
        <v>0</v>
      </c>
      <c r="H34" s="791">
        <f>'SOGR Supporting CP-CP'!F41</f>
        <v>0</v>
      </c>
      <c r="I34" s="791">
        <f>'SOGR Supporting CP-CP'!G41</f>
        <v>0</v>
      </c>
      <c r="J34" s="791">
        <f>'SOGR Supporting CP-CP'!H41</f>
        <v>0</v>
      </c>
      <c r="K34" s="792">
        <f>'SOGR Supporting CP-CP'!K41</f>
        <v>0</v>
      </c>
      <c r="L34" s="774">
        <f>IF(AND($F34&gt;=MIN($F34),$F34&lt;=MAX('Major Assumption Key'!$B$6)),SUM(G34:K34),0)</f>
        <v>0</v>
      </c>
      <c r="M34" s="791">
        <f>'SOGR Supporting CP-CP'!E87</f>
        <v>0</v>
      </c>
      <c r="N34" s="791">
        <f>'SOGR Supporting CP-CP'!F87</f>
        <v>0</v>
      </c>
      <c r="O34" s="791">
        <f>'SOGR Supporting CP-CP'!G87</f>
        <v>0</v>
      </c>
      <c r="P34" s="791">
        <f>'SOGR Supporting CP-CP'!H87</f>
        <v>0</v>
      </c>
      <c r="Q34" s="791">
        <f>'SOGR Supporting CP-CP'!K87</f>
        <v>0</v>
      </c>
      <c r="R34" s="775">
        <f>IF(AND($F34&gt;=MIN('Major Assumption Key'!$B$4),$F34&lt;=MAX('Major Assumption Key'!$B$6)),SUM(M34:Q34),0)</f>
        <v>0</v>
      </c>
      <c r="S34" s="37">
        <f t="shared" si="5"/>
        <v>0</v>
      </c>
      <c r="T34" s="38">
        <f>S34/(1+'Major Assumption Key'!$B$8)^($F34-'Major Assumption Key'!$B$7)</f>
        <v>0</v>
      </c>
      <c r="U34" s="289"/>
      <c r="V34" s="774">
        <f t="shared" si="6"/>
        <v>0</v>
      </c>
      <c r="W34" s="775">
        <f t="shared" si="7"/>
        <v>0</v>
      </c>
      <c r="X34" s="37">
        <f t="shared" si="8"/>
        <v>0</v>
      </c>
      <c r="Y34" s="38">
        <f t="shared" si="9"/>
        <v>0</v>
      </c>
    </row>
    <row r="35" spans="1:25" ht="19.95" customHeight="1">
      <c r="A35" s="799"/>
      <c r="B35" s="799"/>
      <c r="C35" s="160"/>
      <c r="D35" s="800"/>
      <c r="F35" s="57">
        <f>'Major Assumption Key'!A47</f>
        <v>2048</v>
      </c>
      <c r="G35" s="791">
        <f>'SOGR Supporting CP-CP'!E42</f>
        <v>0</v>
      </c>
      <c r="H35" s="791">
        <f>'SOGR Supporting CP-CP'!F42</f>
        <v>0</v>
      </c>
      <c r="I35" s="791">
        <f>'SOGR Supporting CP-CP'!G42</f>
        <v>0</v>
      </c>
      <c r="J35" s="791">
        <f>'SOGR Supporting CP-CP'!H42</f>
        <v>0</v>
      </c>
      <c r="K35" s="792">
        <f>'SOGR Supporting CP-CP'!K42</f>
        <v>0</v>
      </c>
      <c r="L35" s="774">
        <f>IF(AND($F35&gt;=MIN($F35),$F35&lt;=MAX('Major Assumption Key'!$B$6)),SUM(G35:K35),0)</f>
        <v>0</v>
      </c>
      <c r="M35" s="791">
        <f>'SOGR Supporting CP-CP'!E88</f>
        <v>0</v>
      </c>
      <c r="N35" s="791">
        <f>'SOGR Supporting CP-CP'!F88</f>
        <v>0</v>
      </c>
      <c r="O35" s="791">
        <f>'SOGR Supporting CP-CP'!G88</f>
        <v>0</v>
      </c>
      <c r="P35" s="791">
        <f>'SOGR Supporting CP-CP'!H88</f>
        <v>0</v>
      </c>
      <c r="Q35" s="791">
        <f>'SOGR Supporting CP-CP'!K88</f>
        <v>0</v>
      </c>
      <c r="R35" s="775">
        <f>IF(AND($F35&gt;=MIN('Major Assumption Key'!$B$4),$F35&lt;=MAX('Major Assumption Key'!$B$6)),SUM(M35:Q35),0)</f>
        <v>0</v>
      </c>
      <c r="S35" s="37">
        <f t="shared" si="5"/>
        <v>0</v>
      </c>
      <c r="T35" s="38">
        <f>S35/(1+'Major Assumption Key'!$B$8)^($F35-'Major Assumption Key'!$B$7)</f>
        <v>0</v>
      </c>
      <c r="U35" s="289"/>
      <c r="V35" s="774">
        <f t="shared" si="6"/>
        <v>0</v>
      </c>
      <c r="W35" s="775">
        <f t="shared" si="7"/>
        <v>0</v>
      </c>
      <c r="X35" s="37">
        <f t="shared" si="8"/>
        <v>0</v>
      </c>
      <c r="Y35" s="38">
        <f t="shared" si="9"/>
        <v>0</v>
      </c>
    </row>
    <row r="36" spans="1:25" ht="19.95" customHeight="1">
      <c r="A36" s="799"/>
      <c r="B36" s="799"/>
      <c r="C36" s="160"/>
      <c r="D36" s="800"/>
      <c r="F36" s="57">
        <f>'Major Assumption Key'!A48</f>
        <v>2049</v>
      </c>
      <c r="G36" s="791">
        <f>'SOGR Supporting CP-CP'!E43</f>
        <v>0</v>
      </c>
      <c r="H36" s="791">
        <f>'SOGR Supporting CP-CP'!F43</f>
        <v>0</v>
      </c>
      <c r="I36" s="791">
        <f>'SOGR Supporting CP-CP'!G43</f>
        <v>0</v>
      </c>
      <c r="J36" s="791">
        <f>'SOGR Supporting CP-CP'!H43</f>
        <v>0</v>
      </c>
      <c r="K36" s="792">
        <f>'SOGR Supporting CP-CP'!K43</f>
        <v>0</v>
      </c>
      <c r="L36" s="774">
        <f>IF(AND($F36&gt;=MIN($F36),$F36&lt;=MAX('Major Assumption Key'!$B$6)),SUM(G36:K36),0)</f>
        <v>0</v>
      </c>
      <c r="M36" s="791">
        <f>'SOGR Supporting CP-CP'!E89</f>
        <v>0</v>
      </c>
      <c r="N36" s="791">
        <f>'SOGR Supporting CP-CP'!F89</f>
        <v>0</v>
      </c>
      <c r="O36" s="791">
        <f>'SOGR Supporting CP-CP'!G89</f>
        <v>0</v>
      </c>
      <c r="P36" s="791">
        <f>'SOGR Supporting CP-CP'!H89</f>
        <v>0</v>
      </c>
      <c r="Q36" s="791">
        <f>'SOGR Supporting CP-CP'!K89</f>
        <v>0</v>
      </c>
      <c r="R36" s="775">
        <f>IF(AND($F36&gt;=MIN('Major Assumption Key'!$B$4),$F36&lt;=MAX('Major Assumption Key'!$B$6)),SUM(M36:Q36),0)</f>
        <v>0</v>
      </c>
      <c r="S36" s="37">
        <f t="shared" si="5"/>
        <v>0</v>
      </c>
      <c r="T36" s="38">
        <f>S36/(1+'Major Assumption Key'!$B$8)^($F36-'Major Assumption Key'!$B$7)</f>
        <v>0</v>
      </c>
      <c r="U36" s="289"/>
      <c r="V36" s="774">
        <f t="shared" si="6"/>
        <v>0</v>
      </c>
      <c r="W36" s="775">
        <f t="shared" si="7"/>
        <v>0</v>
      </c>
      <c r="X36" s="37">
        <f t="shared" si="8"/>
        <v>0</v>
      </c>
      <c r="Y36" s="38">
        <f t="shared" si="9"/>
        <v>0</v>
      </c>
    </row>
    <row r="37" spans="1:25" ht="19.95" customHeight="1">
      <c r="A37" s="799"/>
      <c r="B37" s="799"/>
      <c r="C37" s="160"/>
      <c r="D37" s="800"/>
      <c r="F37" s="57">
        <f>'Major Assumption Key'!A49</f>
        <v>2050</v>
      </c>
      <c r="G37" s="791">
        <f>'SOGR Supporting CP-CP'!E44</f>
        <v>0</v>
      </c>
      <c r="H37" s="791">
        <f>'SOGR Supporting CP-CP'!F44</f>
        <v>0</v>
      </c>
      <c r="I37" s="791">
        <f>'SOGR Supporting CP-CP'!G44</f>
        <v>0</v>
      </c>
      <c r="J37" s="791">
        <f>'SOGR Supporting CP-CP'!H44</f>
        <v>0</v>
      </c>
      <c r="K37" s="792">
        <f>'SOGR Supporting CP-CP'!K44</f>
        <v>0</v>
      </c>
      <c r="L37" s="774">
        <f>IF(AND($F37&gt;=MIN($F37),$F37&lt;=MAX('Major Assumption Key'!$B$6)),SUM(G37:K37),0)</f>
        <v>0</v>
      </c>
      <c r="M37" s="791">
        <f>'SOGR Supporting CP-CP'!E90</f>
        <v>0</v>
      </c>
      <c r="N37" s="791">
        <f>'SOGR Supporting CP-CP'!F90</f>
        <v>0</v>
      </c>
      <c r="O37" s="791">
        <f>'SOGR Supporting CP-CP'!G90</f>
        <v>0</v>
      </c>
      <c r="P37" s="791">
        <f>'SOGR Supporting CP-CP'!H90</f>
        <v>0</v>
      </c>
      <c r="Q37" s="791">
        <f>'SOGR Supporting CP-CP'!K90</f>
        <v>0</v>
      </c>
      <c r="R37" s="775">
        <f>IF(AND($F37&gt;=MIN('Major Assumption Key'!$B$4),$F37&lt;=MAX('Major Assumption Key'!$B$6)),SUM(M37:Q37),0)</f>
        <v>0</v>
      </c>
      <c r="S37" s="37">
        <f t="shared" si="5"/>
        <v>0</v>
      </c>
      <c r="T37" s="38">
        <f>S37/(1+'Major Assumption Key'!$B$8)^($F37-'Major Assumption Key'!$B$7)</f>
        <v>0</v>
      </c>
      <c r="U37" s="289"/>
      <c r="V37" s="774">
        <f t="shared" si="6"/>
        <v>0</v>
      </c>
      <c r="W37" s="775">
        <f t="shared" si="7"/>
        <v>0</v>
      </c>
      <c r="X37" s="37">
        <f t="shared" si="8"/>
        <v>0</v>
      </c>
      <c r="Y37" s="38">
        <f t="shared" si="9"/>
        <v>0</v>
      </c>
    </row>
    <row r="38" spans="1:25" ht="19.95" customHeight="1">
      <c r="A38" s="799"/>
      <c r="B38" s="799"/>
      <c r="C38" s="160"/>
      <c r="D38" s="800"/>
      <c r="F38" s="57">
        <f>'Major Assumption Key'!A50</f>
        <v>2051</v>
      </c>
      <c r="G38" s="791">
        <f>'SOGR Supporting CP-CP'!E45</f>
        <v>0</v>
      </c>
      <c r="H38" s="791">
        <f>'SOGR Supporting CP-CP'!F45</f>
        <v>0</v>
      </c>
      <c r="I38" s="791">
        <f>'SOGR Supporting CP-CP'!G45</f>
        <v>0</v>
      </c>
      <c r="J38" s="791">
        <f>'SOGR Supporting CP-CP'!H45</f>
        <v>0</v>
      </c>
      <c r="K38" s="792">
        <f>'SOGR Supporting CP-CP'!K45</f>
        <v>0</v>
      </c>
      <c r="L38" s="774">
        <f>IF(AND($F38&gt;=MIN($F38),$F38&lt;=MAX('Major Assumption Key'!$B$6)),SUM(G38:K38),0)</f>
        <v>0</v>
      </c>
      <c r="M38" s="791">
        <f>'SOGR Supporting CP-CP'!E91</f>
        <v>0</v>
      </c>
      <c r="N38" s="791">
        <f>'SOGR Supporting CP-CP'!F91</f>
        <v>0</v>
      </c>
      <c r="O38" s="791">
        <f>'SOGR Supporting CP-CP'!G91</f>
        <v>0</v>
      </c>
      <c r="P38" s="791">
        <f>'SOGR Supporting CP-CP'!H91</f>
        <v>0</v>
      </c>
      <c r="Q38" s="791">
        <f>'SOGR Supporting CP-CP'!K91</f>
        <v>0</v>
      </c>
      <c r="R38" s="775">
        <f>IF(AND($F38&gt;=MIN('Major Assumption Key'!$B$4),$F38&lt;=MAX('Major Assumption Key'!$B$6)),SUM(M38:Q38),0)</f>
        <v>0</v>
      </c>
      <c r="S38" s="37">
        <f t="shared" si="5"/>
        <v>0</v>
      </c>
      <c r="T38" s="38">
        <f>S38/(1+'Major Assumption Key'!$B$8)^($F38-'Major Assumption Key'!$B$7)</f>
        <v>0</v>
      </c>
      <c r="U38" s="289"/>
      <c r="V38" s="774">
        <f t="shared" si="6"/>
        <v>0</v>
      </c>
      <c r="W38" s="775">
        <f t="shared" si="7"/>
        <v>0</v>
      </c>
      <c r="X38" s="37">
        <f t="shared" si="8"/>
        <v>0</v>
      </c>
      <c r="Y38" s="38">
        <f t="shared" si="9"/>
        <v>0</v>
      </c>
    </row>
    <row r="39" spans="1:25" ht="19.95" customHeight="1">
      <c r="A39" s="799"/>
      <c r="B39" s="799"/>
      <c r="C39" s="160"/>
      <c r="D39" s="800"/>
      <c r="F39" s="57">
        <f>'Major Assumption Key'!A51</f>
        <v>2052</v>
      </c>
      <c r="G39" s="791">
        <f>'SOGR Supporting CP-CP'!E46</f>
        <v>0</v>
      </c>
      <c r="H39" s="791">
        <f>'SOGR Supporting CP-CP'!F46</f>
        <v>0</v>
      </c>
      <c r="I39" s="791">
        <f>'SOGR Supporting CP-CP'!G46</f>
        <v>0</v>
      </c>
      <c r="J39" s="791">
        <f>'SOGR Supporting CP-CP'!H46</f>
        <v>0</v>
      </c>
      <c r="K39" s="792">
        <f>'SOGR Supporting CP-CP'!K46</f>
        <v>0</v>
      </c>
      <c r="L39" s="774">
        <f>IF(AND($F39&gt;=MIN($F39),$F39&lt;=MAX('Major Assumption Key'!$B$6)),SUM(G39:K39),0)</f>
        <v>0</v>
      </c>
      <c r="M39" s="791">
        <f>'SOGR Supporting CP-CP'!E92</f>
        <v>0</v>
      </c>
      <c r="N39" s="791">
        <f>'SOGR Supporting CP-CP'!F92</f>
        <v>0</v>
      </c>
      <c r="O39" s="791">
        <f>'SOGR Supporting CP-CP'!G92</f>
        <v>0</v>
      </c>
      <c r="P39" s="791">
        <f>'SOGR Supporting CP-CP'!H92</f>
        <v>0</v>
      </c>
      <c r="Q39" s="791">
        <f>'SOGR Supporting CP-CP'!K92</f>
        <v>0</v>
      </c>
      <c r="R39" s="775">
        <f>IF(AND($F39&gt;=MIN('Major Assumption Key'!$B$4),$F39&lt;=MAX('Major Assumption Key'!$B$6)),SUM(M39:Q39),0)</f>
        <v>0</v>
      </c>
      <c r="S39" s="37">
        <f t="shared" si="5"/>
        <v>0</v>
      </c>
      <c r="T39" s="38">
        <f>S39/(1+'Major Assumption Key'!$B$8)^($F39-'Major Assumption Key'!$B$7)</f>
        <v>0</v>
      </c>
      <c r="U39" s="289"/>
      <c r="V39" s="774">
        <f t="shared" si="6"/>
        <v>0</v>
      </c>
      <c r="W39" s="775">
        <f t="shared" si="7"/>
        <v>0</v>
      </c>
      <c r="X39" s="37">
        <f t="shared" si="8"/>
        <v>0</v>
      </c>
      <c r="Y39" s="38">
        <f t="shared" si="9"/>
        <v>0</v>
      </c>
    </row>
    <row r="40" spans="1:25" ht="19.95" customHeight="1">
      <c r="A40" s="799"/>
      <c r="B40" s="799"/>
      <c r="C40" s="160"/>
      <c r="D40" s="800"/>
      <c r="F40" s="57">
        <f>'Major Assumption Key'!A52</f>
        <v>2053</v>
      </c>
      <c r="G40" s="791">
        <f>'SOGR Supporting CP-CP'!E47</f>
        <v>0</v>
      </c>
      <c r="H40" s="791">
        <f>'SOGR Supporting CP-CP'!F47</f>
        <v>0</v>
      </c>
      <c r="I40" s="791">
        <f>'SOGR Supporting CP-CP'!G47</f>
        <v>0</v>
      </c>
      <c r="J40" s="791">
        <f>'SOGR Supporting CP-CP'!H47</f>
        <v>0</v>
      </c>
      <c r="K40" s="792">
        <f>'SOGR Supporting CP-CP'!K47</f>
        <v>0</v>
      </c>
      <c r="L40" s="774">
        <f>IF(AND($F40&gt;=MIN($F40),$F40&lt;=MAX('Major Assumption Key'!$B$6)),SUM(G40:K40),0)</f>
        <v>0</v>
      </c>
      <c r="M40" s="791">
        <f>'SOGR Supporting CP-CP'!E93</f>
        <v>0</v>
      </c>
      <c r="N40" s="791">
        <f>'SOGR Supporting CP-CP'!F93</f>
        <v>0</v>
      </c>
      <c r="O40" s="791">
        <f>'SOGR Supporting CP-CP'!G93</f>
        <v>0</v>
      </c>
      <c r="P40" s="791">
        <f>'SOGR Supporting CP-CP'!H93</f>
        <v>0</v>
      </c>
      <c r="Q40" s="791">
        <f>'SOGR Supporting CP-CP'!K93</f>
        <v>0</v>
      </c>
      <c r="R40" s="775">
        <f>IF(AND($F40&gt;=MIN('Major Assumption Key'!$B$4),$F40&lt;=MAX('Major Assumption Key'!$B$6)),SUM(M40:Q40),0)</f>
        <v>0</v>
      </c>
      <c r="S40" s="37">
        <f t="shared" si="5"/>
        <v>0</v>
      </c>
      <c r="T40" s="38">
        <f>S40/(1+'Major Assumption Key'!$B$8)^($F40-'Major Assumption Key'!$B$7)</f>
        <v>0</v>
      </c>
      <c r="U40" s="289"/>
      <c r="V40" s="774">
        <f t="shared" si="6"/>
        <v>0</v>
      </c>
      <c r="W40" s="775">
        <f t="shared" si="7"/>
        <v>0</v>
      </c>
      <c r="X40" s="37">
        <f t="shared" si="8"/>
        <v>0</v>
      </c>
      <c r="Y40" s="38">
        <f t="shared" si="9"/>
        <v>0</v>
      </c>
    </row>
    <row r="41" spans="1:25" ht="19.95" customHeight="1">
      <c r="A41" s="799"/>
      <c r="B41" s="799"/>
      <c r="C41" s="160"/>
      <c r="D41" s="800"/>
      <c r="F41" s="57">
        <f>'Major Assumption Key'!A53</f>
        <v>2054</v>
      </c>
      <c r="G41" s="791">
        <f>'SOGR Supporting CP-CP'!E48</f>
        <v>0</v>
      </c>
      <c r="H41" s="791">
        <f>'SOGR Supporting CP-CP'!F48</f>
        <v>0</v>
      </c>
      <c r="I41" s="791">
        <f>'SOGR Supporting CP-CP'!G48</f>
        <v>0</v>
      </c>
      <c r="J41" s="791">
        <f>'SOGR Supporting CP-CP'!H48</f>
        <v>0</v>
      </c>
      <c r="K41" s="792">
        <f>'SOGR Supporting CP-CP'!K48</f>
        <v>0</v>
      </c>
      <c r="L41" s="774">
        <f>IF(AND($F41&gt;=MIN($F41),$F41&lt;=MAX('Major Assumption Key'!$B$6)),SUM(G41:K41),0)</f>
        <v>0</v>
      </c>
      <c r="M41" s="791">
        <f>'SOGR Supporting CP-CP'!E94</f>
        <v>0</v>
      </c>
      <c r="N41" s="791">
        <f>'SOGR Supporting CP-CP'!F94</f>
        <v>0</v>
      </c>
      <c r="O41" s="791">
        <f>'SOGR Supporting CP-CP'!G94</f>
        <v>0</v>
      </c>
      <c r="P41" s="791">
        <f>'SOGR Supporting CP-CP'!H94</f>
        <v>0</v>
      </c>
      <c r="Q41" s="791">
        <f>'SOGR Supporting CP-CP'!K94</f>
        <v>0</v>
      </c>
      <c r="R41" s="775">
        <f>IF(AND($F41&gt;=MIN('Major Assumption Key'!$B$4),$F41&lt;=MAX('Major Assumption Key'!$B$6)),SUM(M41:Q41),0)</f>
        <v>0</v>
      </c>
      <c r="S41" s="37">
        <f t="shared" si="5"/>
        <v>0</v>
      </c>
      <c r="T41" s="38">
        <f>S41/(1+'Major Assumption Key'!$B$8)^($F41-'Major Assumption Key'!$B$7)</f>
        <v>0</v>
      </c>
      <c r="U41" s="289"/>
      <c r="V41" s="774">
        <f t="shared" si="6"/>
        <v>0</v>
      </c>
      <c r="W41" s="775">
        <f t="shared" si="7"/>
        <v>0</v>
      </c>
      <c r="X41" s="37">
        <f t="shared" si="8"/>
        <v>0</v>
      </c>
      <c r="Y41" s="38">
        <f t="shared" si="9"/>
        <v>0</v>
      </c>
    </row>
    <row r="42" spans="1:25" ht="19.95" customHeight="1">
      <c r="A42" s="799"/>
      <c r="B42" s="799"/>
      <c r="C42" s="160"/>
      <c r="D42" s="800"/>
      <c r="F42" s="57">
        <f>'Major Assumption Key'!A54</f>
        <v>2055</v>
      </c>
      <c r="G42" s="791">
        <f>'SOGR Supporting CP-CP'!E49</f>
        <v>0</v>
      </c>
      <c r="H42" s="791">
        <f>'SOGR Supporting CP-CP'!F49</f>
        <v>0</v>
      </c>
      <c r="I42" s="791">
        <f>'SOGR Supporting CP-CP'!G49</f>
        <v>0</v>
      </c>
      <c r="J42" s="791">
        <f>'SOGR Supporting CP-CP'!H49</f>
        <v>0</v>
      </c>
      <c r="K42" s="792">
        <f>'SOGR Supporting CP-CP'!K49</f>
        <v>0</v>
      </c>
      <c r="L42" s="774">
        <f>IF(AND($F42&gt;=MIN($F42),$F42&lt;=MAX('Major Assumption Key'!$B$6)),SUM(G42:K42),0)</f>
        <v>0</v>
      </c>
      <c r="M42" s="791">
        <f>'SOGR Supporting CP-CP'!E95</f>
        <v>0</v>
      </c>
      <c r="N42" s="791">
        <f>'SOGR Supporting CP-CP'!F95</f>
        <v>0</v>
      </c>
      <c r="O42" s="791">
        <f>'SOGR Supporting CP-CP'!G95</f>
        <v>0</v>
      </c>
      <c r="P42" s="791">
        <f>'SOGR Supporting CP-CP'!H95</f>
        <v>0</v>
      </c>
      <c r="Q42" s="791">
        <f>'SOGR Supporting CP-CP'!K95</f>
        <v>0</v>
      </c>
      <c r="R42" s="775">
        <f>IF(AND($F42&gt;=MIN('Major Assumption Key'!$B$4),$F42&lt;=MAX('Major Assumption Key'!$B$6)),SUM(M42:Q42),0)</f>
        <v>0</v>
      </c>
      <c r="S42" s="37">
        <f t="shared" si="5"/>
        <v>0</v>
      </c>
      <c r="T42" s="38">
        <f>S42/(1+'Major Assumption Key'!$B$8)^($F42-'Major Assumption Key'!$B$7)</f>
        <v>0</v>
      </c>
      <c r="U42" s="289"/>
      <c r="V42" s="774">
        <f t="shared" si="6"/>
        <v>0</v>
      </c>
      <c r="W42" s="775">
        <f t="shared" si="7"/>
        <v>0</v>
      </c>
      <c r="X42" s="37">
        <f t="shared" si="8"/>
        <v>0</v>
      </c>
      <c r="Y42" s="38">
        <f t="shared" si="9"/>
        <v>0</v>
      </c>
    </row>
    <row r="43" spans="1:25" ht="19.95" customHeight="1">
      <c r="A43" s="799"/>
      <c r="B43" s="799"/>
      <c r="C43" s="160"/>
      <c r="D43" s="800"/>
      <c r="F43" s="57">
        <f>'Major Assumption Key'!A55</f>
        <v>2056</v>
      </c>
      <c r="G43" s="791">
        <f>'SOGR Supporting CP-CP'!E50</f>
        <v>0</v>
      </c>
      <c r="H43" s="791">
        <f>'SOGR Supporting CP-CP'!F50</f>
        <v>0</v>
      </c>
      <c r="I43" s="791">
        <f>'SOGR Supporting CP-CP'!G50</f>
        <v>0</v>
      </c>
      <c r="J43" s="791">
        <f>'SOGR Supporting CP-CP'!H50</f>
        <v>0</v>
      </c>
      <c r="K43" s="792">
        <f>'SOGR Supporting CP-CP'!K50</f>
        <v>0</v>
      </c>
      <c r="L43" s="774">
        <f>IF(AND($F43&gt;=MIN($F43),$F43&lt;=MAX('Major Assumption Key'!$B$6)),SUM(G43:K43),0)</f>
        <v>0</v>
      </c>
      <c r="M43" s="791">
        <f>'SOGR Supporting CP-CP'!E96</f>
        <v>0</v>
      </c>
      <c r="N43" s="791">
        <f>'SOGR Supporting CP-CP'!F96</f>
        <v>0</v>
      </c>
      <c r="O43" s="791">
        <f>'SOGR Supporting CP-CP'!G96</f>
        <v>0</v>
      </c>
      <c r="P43" s="791">
        <f>'SOGR Supporting CP-CP'!H96</f>
        <v>0</v>
      </c>
      <c r="Q43" s="791">
        <f>'SOGR Supporting CP-CP'!K96</f>
        <v>0</v>
      </c>
      <c r="R43" s="775">
        <f>IF(AND($F43&gt;=MIN('Major Assumption Key'!$B$4),$F43&lt;=MAX('Major Assumption Key'!$B$6)),SUM(M43:Q43),0)</f>
        <v>0</v>
      </c>
      <c r="S43" s="37">
        <f t="shared" si="5"/>
        <v>0</v>
      </c>
      <c r="T43" s="38">
        <f>S43/(1+'Major Assumption Key'!$B$8)^($F43-'Major Assumption Key'!$B$7)</f>
        <v>0</v>
      </c>
      <c r="U43" s="289"/>
      <c r="V43" s="774">
        <f t="shared" si="6"/>
        <v>0</v>
      </c>
      <c r="W43" s="775">
        <f t="shared" si="7"/>
        <v>0</v>
      </c>
      <c r="X43" s="37">
        <f t="shared" si="8"/>
        <v>0</v>
      </c>
      <c r="Y43" s="38">
        <f t="shared" si="9"/>
        <v>0</v>
      </c>
    </row>
    <row r="44" spans="1:25" ht="19.95" customHeight="1">
      <c r="A44" s="799"/>
      <c r="B44" s="799"/>
      <c r="C44" s="160"/>
      <c r="D44" s="800"/>
      <c r="F44" s="57">
        <f>'Major Assumption Key'!A56</f>
        <v>2057</v>
      </c>
      <c r="G44" s="791">
        <f>'SOGR Supporting CP-CP'!E51</f>
        <v>0</v>
      </c>
      <c r="H44" s="791">
        <f>'SOGR Supporting CP-CP'!F51</f>
        <v>0</v>
      </c>
      <c r="I44" s="791">
        <f>'SOGR Supporting CP-CP'!G51</f>
        <v>0</v>
      </c>
      <c r="J44" s="791">
        <f>'SOGR Supporting CP-CP'!H51</f>
        <v>0</v>
      </c>
      <c r="K44" s="792">
        <f>'SOGR Supporting CP-CP'!K51</f>
        <v>0</v>
      </c>
      <c r="L44" s="774">
        <f>IF(AND($F44&gt;=MIN($F44),$F44&lt;=MAX('Major Assumption Key'!$B$6)),SUM(G44:K44),0)</f>
        <v>0</v>
      </c>
      <c r="M44" s="791">
        <f>'SOGR Supporting CP-CP'!E97</f>
        <v>0</v>
      </c>
      <c r="N44" s="791">
        <f>'SOGR Supporting CP-CP'!F97</f>
        <v>0</v>
      </c>
      <c r="O44" s="791">
        <f>'SOGR Supporting CP-CP'!G97</f>
        <v>0</v>
      </c>
      <c r="P44" s="791">
        <f>'SOGR Supporting CP-CP'!H97</f>
        <v>0</v>
      </c>
      <c r="Q44" s="791">
        <f>'SOGR Supporting CP-CP'!K97</f>
        <v>0</v>
      </c>
      <c r="R44" s="775">
        <f>IF(AND($F44&gt;=MIN('Major Assumption Key'!$B$4),$F44&lt;=MAX('Major Assumption Key'!$B$6)),SUM(M44:Q44),0)</f>
        <v>0</v>
      </c>
      <c r="S44" s="37">
        <f t="shared" si="5"/>
        <v>0</v>
      </c>
      <c r="T44" s="38">
        <f>S44/(1+'Major Assumption Key'!$B$8)^($F44-'Major Assumption Key'!$B$7)</f>
        <v>0</v>
      </c>
      <c r="U44" s="289"/>
      <c r="V44" s="774">
        <f t="shared" si="6"/>
        <v>0</v>
      </c>
      <c r="W44" s="775">
        <f t="shared" si="7"/>
        <v>0</v>
      </c>
      <c r="X44" s="37">
        <f t="shared" si="8"/>
        <v>0</v>
      </c>
      <c r="Y44" s="38">
        <f t="shared" si="9"/>
        <v>0</v>
      </c>
    </row>
    <row r="45" spans="1:25" ht="19.95" customHeight="1">
      <c r="A45" s="799"/>
      <c r="B45" s="799"/>
      <c r="C45" s="160"/>
      <c r="D45" s="800"/>
      <c r="F45" s="57">
        <f>'Major Assumption Key'!A57</f>
        <v>2058</v>
      </c>
      <c r="G45" s="791">
        <f>'SOGR Supporting CP-CP'!E52</f>
        <v>0</v>
      </c>
      <c r="H45" s="791">
        <f>'SOGR Supporting CP-CP'!F52</f>
        <v>0</v>
      </c>
      <c r="I45" s="791">
        <f>'SOGR Supporting CP-CP'!G52</f>
        <v>0</v>
      </c>
      <c r="J45" s="791">
        <f>'SOGR Supporting CP-CP'!H52</f>
        <v>0</v>
      </c>
      <c r="K45" s="792">
        <f>'SOGR Supporting CP-CP'!K52</f>
        <v>0</v>
      </c>
      <c r="L45" s="774">
        <f>IF(AND($F45&gt;=MIN($F45),$F45&lt;=MAX('Major Assumption Key'!$B$6)),SUM(G45:K45),0)</f>
        <v>0</v>
      </c>
      <c r="M45" s="791">
        <f>'SOGR Supporting CP-CP'!E98</f>
        <v>0</v>
      </c>
      <c r="N45" s="791">
        <f>'SOGR Supporting CP-CP'!F98</f>
        <v>0</v>
      </c>
      <c r="O45" s="791">
        <f>'SOGR Supporting CP-CP'!G98</f>
        <v>0</v>
      </c>
      <c r="P45" s="791">
        <f>'SOGR Supporting CP-CP'!H98</f>
        <v>0</v>
      </c>
      <c r="Q45" s="791">
        <f>'SOGR Supporting CP-CP'!K98</f>
        <v>0</v>
      </c>
      <c r="R45" s="775">
        <f>IF(AND($F45&gt;=MIN('Major Assumption Key'!$B$4),$F45&lt;=MAX('Major Assumption Key'!$B$6)),SUM(M45:Q45),0)</f>
        <v>0</v>
      </c>
      <c r="S45" s="37">
        <f t="shared" si="5"/>
        <v>0</v>
      </c>
      <c r="T45" s="38">
        <f>S45/(1+'Major Assumption Key'!$B$8)^($F45-'Major Assumption Key'!$B$7)</f>
        <v>0</v>
      </c>
      <c r="U45" s="289"/>
      <c r="V45" s="774">
        <f t="shared" si="6"/>
        <v>0</v>
      </c>
      <c r="W45" s="775">
        <f t="shared" si="7"/>
        <v>0</v>
      </c>
      <c r="X45" s="37">
        <f t="shared" si="8"/>
        <v>0</v>
      </c>
      <c r="Y45" s="38">
        <f t="shared" si="9"/>
        <v>0</v>
      </c>
    </row>
    <row r="46" spans="1:25" ht="19.95" customHeight="1">
      <c r="A46" s="799"/>
      <c r="B46" s="799"/>
      <c r="C46" s="160"/>
      <c r="D46" s="800"/>
      <c r="F46" s="57">
        <f>'Major Assumption Key'!A58</f>
        <v>2059</v>
      </c>
      <c r="G46" s="791">
        <f>'SOGR Supporting CP-CP'!E53</f>
        <v>0</v>
      </c>
      <c r="H46" s="791">
        <f>'SOGR Supporting CP-CP'!F53</f>
        <v>0</v>
      </c>
      <c r="I46" s="791">
        <f>'SOGR Supporting CP-CP'!G53</f>
        <v>0</v>
      </c>
      <c r="J46" s="791">
        <f>'SOGR Supporting CP-CP'!H53</f>
        <v>0</v>
      </c>
      <c r="K46" s="792">
        <f>'SOGR Supporting CP-CP'!K53</f>
        <v>0</v>
      </c>
      <c r="L46" s="774">
        <f>IF(AND($F46&gt;=MIN($F46),$F46&lt;=MAX('Major Assumption Key'!$B$6)),SUM(G46:K46),0)</f>
        <v>0</v>
      </c>
      <c r="M46" s="791">
        <f>'SOGR Supporting CP-CP'!E99</f>
        <v>0</v>
      </c>
      <c r="N46" s="791">
        <f>'SOGR Supporting CP-CP'!F99</f>
        <v>0</v>
      </c>
      <c r="O46" s="791">
        <f>'SOGR Supporting CP-CP'!G99</f>
        <v>0</v>
      </c>
      <c r="P46" s="791">
        <f>'SOGR Supporting CP-CP'!H99</f>
        <v>0</v>
      </c>
      <c r="Q46" s="791">
        <f>'SOGR Supporting CP-CP'!K99</f>
        <v>0</v>
      </c>
      <c r="R46" s="775">
        <f>IF(AND($F46&gt;=MIN('Major Assumption Key'!$B$4),$F46&lt;=MAX('Major Assumption Key'!$B$6)),SUM(M46:Q46),0)</f>
        <v>0</v>
      </c>
      <c r="S46" s="37">
        <f t="shared" si="5"/>
        <v>0</v>
      </c>
      <c r="T46" s="38">
        <f>S46/(1+'Major Assumption Key'!$B$8)^($F46-'Major Assumption Key'!$B$7)</f>
        <v>0</v>
      </c>
      <c r="U46" s="289"/>
      <c r="V46" s="774">
        <f t="shared" si="6"/>
        <v>0</v>
      </c>
      <c r="W46" s="775">
        <f t="shared" si="7"/>
        <v>0</v>
      </c>
      <c r="X46" s="37">
        <f t="shared" si="8"/>
        <v>0</v>
      </c>
      <c r="Y46" s="38">
        <f t="shared" si="9"/>
        <v>0</v>
      </c>
    </row>
    <row r="47" spans="1:25" ht="19.95" customHeight="1">
      <c r="A47" s="799"/>
      <c r="B47" s="799"/>
      <c r="C47" s="160"/>
      <c r="D47" s="800"/>
      <c r="F47" s="57">
        <f>'Major Assumption Key'!A59</f>
        <v>2060</v>
      </c>
      <c r="G47" s="791">
        <f>'SOGR Supporting CP-CP'!E54</f>
        <v>0</v>
      </c>
      <c r="H47" s="791">
        <f>'SOGR Supporting CP-CP'!F54</f>
        <v>0</v>
      </c>
      <c r="I47" s="791">
        <f>'SOGR Supporting CP-CP'!G54</f>
        <v>0</v>
      </c>
      <c r="J47" s="791">
        <f>'SOGR Supporting CP-CP'!H54</f>
        <v>0</v>
      </c>
      <c r="K47" s="792">
        <f>'SOGR Supporting CP-CP'!K54</f>
        <v>0</v>
      </c>
      <c r="L47" s="774">
        <f>IF(AND($F47&gt;=MIN($F47),$F47&lt;=MAX('Major Assumption Key'!$B$6)),SUM(G47:K47),0)</f>
        <v>0</v>
      </c>
      <c r="M47" s="791">
        <f>'SOGR Supporting CP-CP'!E100</f>
        <v>0</v>
      </c>
      <c r="N47" s="791">
        <f>'SOGR Supporting CP-CP'!F100</f>
        <v>0</v>
      </c>
      <c r="O47" s="791">
        <f>'SOGR Supporting CP-CP'!G100</f>
        <v>0</v>
      </c>
      <c r="P47" s="791">
        <f>'SOGR Supporting CP-CP'!H100</f>
        <v>0</v>
      </c>
      <c r="Q47" s="791">
        <f>'SOGR Supporting CP-CP'!K100</f>
        <v>0</v>
      </c>
      <c r="R47" s="775">
        <f>IF(AND($F47&gt;=MIN('Major Assumption Key'!$B$4),$F47&lt;=MAX('Major Assumption Key'!$B$6)),SUM(M47:Q47),0)</f>
        <v>0</v>
      </c>
      <c r="S47" s="37">
        <f t="shared" si="5"/>
        <v>0</v>
      </c>
      <c r="T47" s="38">
        <f>S47/(1+'Major Assumption Key'!$B$8)^($F47-'Major Assumption Key'!$B$7)</f>
        <v>0</v>
      </c>
      <c r="U47" s="289"/>
      <c r="V47" s="774">
        <f t="shared" si="6"/>
        <v>0</v>
      </c>
      <c r="W47" s="775">
        <f t="shared" si="7"/>
        <v>0</v>
      </c>
      <c r="X47" s="37">
        <f t="shared" si="8"/>
        <v>0</v>
      </c>
      <c r="Y47" s="38">
        <f t="shared" si="9"/>
        <v>0</v>
      </c>
    </row>
    <row r="48" spans="1:25" ht="19.95" customHeight="1" thickBot="1">
      <c r="A48" s="799"/>
      <c r="B48" s="799"/>
      <c r="C48" s="160"/>
      <c r="D48" s="800"/>
      <c r="F48" s="112" t="s">
        <v>504</v>
      </c>
      <c r="G48" s="113"/>
      <c r="H48" s="113"/>
      <c r="I48" s="113"/>
      <c r="J48" s="113"/>
      <c r="K48" s="113"/>
      <c r="L48" s="161">
        <f>SUM(L7:L47)</f>
        <v>0</v>
      </c>
      <c r="M48" s="114"/>
      <c r="N48" s="114"/>
      <c r="O48" s="114"/>
      <c r="P48" s="114"/>
      <c r="Q48" s="114"/>
      <c r="R48" s="119">
        <f>SUM(R7:R47)</f>
        <v>0</v>
      </c>
      <c r="S48" s="124">
        <f>SUM(S7:S47)</f>
        <v>0</v>
      </c>
      <c r="T48" s="125">
        <f>SUM(T7:T47)</f>
        <v>0</v>
      </c>
      <c r="U48" s="289"/>
      <c r="V48" s="161">
        <f t="shared" si="1"/>
        <v>0</v>
      </c>
      <c r="W48" s="119">
        <f t="shared" si="2"/>
        <v>0</v>
      </c>
      <c r="X48" s="124">
        <f t="shared" si="3"/>
        <v>0</v>
      </c>
      <c r="Y48" s="125">
        <f>ROUND(T48,-3)</f>
        <v>0</v>
      </c>
    </row>
    <row r="49" spans="1:18" ht="19.95" customHeight="1">
      <c r="A49" s="799"/>
      <c r="B49" s="799"/>
      <c r="C49" s="160"/>
      <c r="D49" s="800"/>
      <c r="L49" s="50"/>
      <c r="R49" s="50"/>
    </row>
    <row r="50" spans="1:18" ht="19.95" customHeight="1">
      <c r="A50" s="799"/>
      <c r="B50" s="799"/>
      <c r="C50" s="160"/>
      <c r="D50" s="800"/>
    </row>
    <row r="51" spans="1:18" ht="19.95" customHeight="1"/>
    <row r="52" spans="1:18" ht="19.95" customHeight="1"/>
    <row r="53" spans="1:18" ht="19.95" customHeight="1"/>
    <row r="54" spans="1:18" ht="19.95" customHeight="1"/>
    <row r="55" spans="1:18" ht="19.95" customHeight="1"/>
  </sheetData>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77734375" defaultRowHeight="14.4"/>
  <cols>
    <col min="1" max="1" width="35.21875" style="72" customWidth="1"/>
    <col min="2" max="2" width="31.44140625" style="72" customWidth="1"/>
    <col min="3" max="3" width="31.77734375" style="73" customWidth="1"/>
    <col min="4" max="4" width="28.44140625" style="73" customWidth="1"/>
    <col min="5" max="5" width="21.21875" style="73" customWidth="1"/>
    <col min="6" max="6" width="23.5546875" style="73" customWidth="1"/>
    <col min="7" max="7" width="29.77734375" style="73" customWidth="1"/>
    <col min="8" max="8" width="45.77734375" style="73" bestFit="1" customWidth="1"/>
    <col min="9" max="9" width="24.44140625" style="73" customWidth="1"/>
    <col min="10" max="10" width="27.44140625" style="73" customWidth="1"/>
    <col min="11" max="12" width="20.5546875" style="73" customWidth="1"/>
    <col min="13" max="13" width="23.21875" style="73" customWidth="1"/>
    <col min="14" max="14" width="20.44140625" style="72" customWidth="1"/>
    <col min="15" max="15" width="16" style="72" customWidth="1"/>
    <col min="16" max="33" width="19.21875" style="72" customWidth="1"/>
    <col min="34" max="34" width="23.21875" style="72" customWidth="1"/>
    <col min="35" max="37" width="14.5546875" style="72" customWidth="1"/>
    <col min="38" max="38" width="11.77734375" style="72" customWidth="1"/>
    <col min="39" max="39" width="16.21875" style="72" customWidth="1"/>
    <col min="40" max="40" width="13.77734375" style="72" customWidth="1"/>
    <col min="41" max="16384" width="8.77734375" style="72"/>
  </cols>
  <sheetData>
    <row r="1" spans="1:13" ht="25.2" customHeight="1">
      <c r="A1" s="271" t="s">
        <v>546</v>
      </c>
      <c r="B1" s="42" t="s">
        <v>652</v>
      </c>
      <c r="C1" s="71"/>
      <c r="D1" s="269"/>
      <c r="E1" s="269"/>
      <c r="F1" s="33" t="s">
        <v>187</v>
      </c>
      <c r="G1" s="45" t="str">
        <f>HYPERLINK("#'"&amp;INDEX('Master Key'!$B:$B,MATCH("Master Key",'Master Key'!$B:$B,0),1)&amp;"'!A1","Go To Sheet")</f>
        <v>Go To Sheet</v>
      </c>
      <c r="H1" s="45"/>
      <c r="J1" s="72"/>
      <c r="K1" s="72"/>
      <c r="L1" s="72"/>
      <c r="M1" s="72"/>
    </row>
    <row r="2" spans="1:13" ht="21.6" customHeight="1">
      <c r="A2" s="97"/>
      <c r="B2" s="97"/>
      <c r="C2" s="96"/>
      <c r="G2" s="33"/>
      <c r="H2" s="45"/>
      <c r="J2" s="72"/>
      <c r="K2" s="72"/>
      <c r="L2" s="72"/>
      <c r="M2" s="72"/>
    </row>
    <row r="3" spans="1:13" ht="15" thickBot="1">
      <c r="A3" s="95" t="s">
        <v>548</v>
      </c>
      <c r="B3" s="95"/>
      <c r="J3" s="72"/>
      <c r="K3" s="72"/>
      <c r="L3" s="72"/>
      <c r="M3" s="72"/>
    </row>
    <row r="4" spans="1:13" ht="54" customHeight="1">
      <c r="A4" s="1911" t="s">
        <v>74</v>
      </c>
      <c r="B4" s="1911" t="s">
        <v>549</v>
      </c>
      <c r="C4" s="162" t="s">
        <v>510</v>
      </c>
      <c r="D4" s="162" t="s">
        <v>550</v>
      </c>
      <c r="E4" s="1913" t="s">
        <v>551</v>
      </c>
      <c r="F4" s="72"/>
      <c r="G4" s="569" t="s">
        <v>181</v>
      </c>
      <c r="H4" s="570" t="s">
        <v>434</v>
      </c>
      <c r="I4" s="613" t="s">
        <v>498</v>
      </c>
      <c r="J4" s="72"/>
      <c r="K4" s="72"/>
      <c r="L4" s="72"/>
      <c r="M4" s="72"/>
    </row>
    <row r="5" spans="1:13" ht="19.95" customHeight="1">
      <c r="A5" s="1912"/>
      <c r="B5" s="1912"/>
      <c r="C5" s="296">
        <v>2022</v>
      </c>
      <c r="D5" s="296">
        <v>2042</v>
      </c>
      <c r="E5" s="1913"/>
      <c r="F5" s="72"/>
      <c r="G5" s="841" t="str">
        <f>'Major Assumption Key'!$A$10</f>
        <v>Inflation Rate</v>
      </c>
      <c r="H5" s="789">
        <f>'Major Assumption Key'!$B$10</f>
        <v>2.7894736842105264E-2</v>
      </c>
      <c r="I5" s="562" t="s">
        <v>436</v>
      </c>
      <c r="J5" s="72"/>
      <c r="K5" s="72"/>
      <c r="L5" s="72"/>
      <c r="M5" s="72"/>
    </row>
    <row r="6" spans="1:13" ht="19.95" customHeight="1">
      <c r="A6" s="809" t="s">
        <v>90</v>
      </c>
      <c r="B6" s="809" t="s">
        <v>553</v>
      </c>
      <c r="C6" s="173">
        <v>0</v>
      </c>
      <c r="D6" s="173">
        <v>0</v>
      </c>
      <c r="E6" s="810">
        <f>IFERROR((D6/C6)^(1/($D$5-$C$5))-1,0)</f>
        <v>0</v>
      </c>
      <c r="G6" s="620" t="str">
        <f>'Major Assumption Key'!$A$7</f>
        <v>Discount Year</v>
      </c>
      <c r="H6" s="357">
        <f>'Major Assumption Key'!$B$7</f>
        <v>2022</v>
      </c>
      <c r="I6" s="562" t="s">
        <v>436</v>
      </c>
      <c r="J6" s="72"/>
      <c r="K6" s="72"/>
      <c r="L6" s="72"/>
      <c r="M6" s="72"/>
    </row>
    <row r="7" spans="1:13" ht="19.95" customHeight="1">
      <c r="A7" s="809" t="s">
        <v>653</v>
      </c>
      <c r="B7" s="809" t="s">
        <v>554</v>
      </c>
      <c r="C7" s="174">
        <v>0</v>
      </c>
      <c r="D7" s="174">
        <v>0</v>
      </c>
      <c r="E7" s="810">
        <f>IFERROR((D7/C7)^(1/($D$5-$C$5))-1,0)</f>
        <v>0</v>
      </c>
      <c r="F7" s="799"/>
      <c r="G7" s="621" t="str">
        <f>'Major Assumption Key'!A4</f>
        <v>Planning Horizon Begin Year:</v>
      </c>
      <c r="H7" s="73">
        <f>'Major Assumption Key'!B4</f>
        <v>2022</v>
      </c>
      <c r="I7" s="562" t="s">
        <v>436</v>
      </c>
      <c r="J7" s="72"/>
      <c r="K7" s="72"/>
      <c r="L7" s="72"/>
      <c r="M7" s="72"/>
    </row>
    <row r="8" spans="1:13">
      <c r="A8" s="799" t="str">
        <f>'SOGR Supporting AP-CP'!A8</f>
        <v xml:space="preserve">Data Source: </v>
      </c>
      <c r="G8" s="621" t="str">
        <f>'Major Assumption Key'!A6</f>
        <v>Planning Horizon End Year:</v>
      </c>
      <c r="H8" s="73">
        <f>'Major Assumption Key'!B6</f>
        <v>2047</v>
      </c>
      <c r="I8" s="562" t="s">
        <v>436</v>
      </c>
      <c r="M8" s="72"/>
    </row>
    <row r="9" spans="1:13" ht="15" thickBot="1">
      <c r="A9" s="799" t="str">
        <f>'SOGR Supporting AP-CP'!A9</f>
        <v>1. Growth Rate is obtained from "Future Traffic &amp; Percent Truck" in the TxDOT Statewide Planning Map  https://www.txdot.gov/apps/statewide_mapping/StatewidePlanningMap.html</v>
      </c>
      <c r="G9" s="622" t="s">
        <v>188</v>
      </c>
      <c r="H9" s="619">
        <f>'Major Assumption Key'!B3</f>
        <v>2028</v>
      </c>
      <c r="I9" s="564" t="s">
        <v>436</v>
      </c>
      <c r="M9" s="72"/>
    </row>
    <row r="10" spans="1:13">
      <c r="A10" s="799" t="str">
        <f>'SOGR Supporting AP-CP'!A10</f>
        <v>2. 2022 traffic volume is obtained from TxDOT Traffic Count Database System (TCDS). https://txdot.public.ms2soft.com/tcds/tsearch.asp?loc=Txdot&amp;mod=TCDS</v>
      </c>
      <c r="G10" s="80"/>
      <c r="I10" s="2"/>
      <c r="M10" s="72"/>
    </row>
    <row r="11" spans="1:13">
      <c r="C11" s="72"/>
      <c r="D11" s="72"/>
      <c r="E11" s="72"/>
      <c r="F11" s="72"/>
      <c r="G11" s="72"/>
      <c r="H11" s="72"/>
      <c r="I11" s="72"/>
      <c r="L11" s="72"/>
      <c r="M11" s="72"/>
    </row>
    <row r="12" spans="1:13" ht="40.200000000000003" customHeight="1">
      <c r="A12" s="1914" t="s">
        <v>482</v>
      </c>
      <c r="B12" s="1915"/>
      <c r="C12" s="1915"/>
      <c r="D12" s="1915"/>
      <c r="E12" s="1915"/>
      <c r="F12" s="1915"/>
      <c r="G12" s="1915"/>
      <c r="H12" s="1915"/>
      <c r="I12" s="1915"/>
      <c r="J12" s="1915"/>
      <c r="K12" s="1915"/>
      <c r="M12" s="72"/>
    </row>
    <row r="13" spans="1:13" ht="76.5" customHeight="1">
      <c r="A13" s="93" t="s">
        <v>510</v>
      </c>
      <c r="B13" s="91" t="s">
        <v>80</v>
      </c>
      <c r="C13" s="92" t="s">
        <v>559</v>
      </c>
      <c r="D13" s="92" t="s">
        <v>560</v>
      </c>
      <c r="E13" s="91" t="s">
        <v>561</v>
      </c>
      <c r="F13" s="91" t="s">
        <v>654</v>
      </c>
      <c r="G13" s="91" t="s">
        <v>522</v>
      </c>
      <c r="H13" s="91" t="s">
        <v>563</v>
      </c>
      <c r="I13" s="176" t="s">
        <v>564</v>
      </c>
      <c r="J13" s="176" t="s">
        <v>565</v>
      </c>
      <c r="K13" s="177" t="s">
        <v>566</v>
      </c>
      <c r="M13" s="72"/>
    </row>
    <row r="14" spans="1:13">
      <c r="A14" s="89">
        <f>'Major Assumption Key'!A19</f>
        <v>2020</v>
      </c>
      <c r="B14" s="88" t="str">
        <f t="shared" ref="B14" si="0">IF(A14&lt;$C$5,"",$C$6*(1+$E$6)^(A14-$C$5))</f>
        <v/>
      </c>
      <c r="C14" s="811"/>
      <c r="D14" s="90" t="str">
        <f>IF(ISBLANK(C14),"",IF(AND(C14="Light Rehabilitation"),"Rehab","Routine Maintenance"))</f>
        <v/>
      </c>
      <c r="E14" s="87">
        <f>IF(AND($A14&gt;=$H$7,$A14&lt;=$H$8),IF(D14="Routine Maintenance",VLOOKUP(C14,$A$136:$D$142,4,0),0)*(1+$H$5)^(A14-$H$6),0)</f>
        <v>0</v>
      </c>
      <c r="F14" s="87">
        <f>IF(AND($A14&gt;=$H$7,$A14&lt;=$H$8),IF(D14="Rehab",$B$163*SUM($H$108:$H$109),0)*(1+$H$5)^(A14-$H$6),0)</f>
        <v>0</v>
      </c>
      <c r="G14" s="87" cm="1">
        <f t="array" ref="G14">IFERROR(-IF(A14=$H$8,LOOKUP(2,1/($F$14:$F$54&lt;&gt;0),$F$14:$F$54)*(19-(A14-_xlfn.XLOOKUP(LOOKUP(2,1/($F$14:$F$54&lt;&gt;0),$F$14:$F$54),$F$14:$F$54,$A$14:$A$54,,0)))/19,0),0)</f>
        <v>0</v>
      </c>
      <c r="H14" s="87">
        <f>IF(AND(A14&gt;=$H$7,A14&lt;=$H$8),IFERROR(IF(_xlfn.XLOOKUP(A14,$C$169:$C$172,$J$169:$J$172)&lt;&gt;0,_xlfn.XLOOKUP(A14,$C$169:$C$172,$J$169:$J$172),0),0),0)</f>
        <v>0</v>
      </c>
      <c r="I14" s="87">
        <f>IF(AND($A14&gt;=$H$7,$A14&lt;=$H$8),IFERROR('State of Good Repair AP-CP'!$B$26*$C$108*B14*(1-$J$108)*VLOOKUP($E$108,$B$150:$D$152,3,0)*(HLOOKUP(C14,$E$149:$I$155,$O$150,0)-1)/100,0)+IFERROR('State of Good Repair AP-CP'!$B$26*$C$109*B14*(1-$J$109)*VLOOKUP($E$109,$B$150:$D$152,3,0)*(HLOOKUP(C14,$E$149:$I$155,$O$151,0)-1)/100,0),0)</f>
        <v>0</v>
      </c>
      <c r="J14" s="87">
        <f>IF(AND($A14&gt;=$H$7,$A14&lt;=$H$8),(IFERROR('State of Good Repair AP-CP'!$B$26*$C$108*B14*$J$108*VLOOKUP($E$108,$B$153:$D$155,3,0)*(HLOOKUP(C14,$E$149:$I$155,$P$150,0)-1)/100,0)+IFERROR('State of Good Repair AP-CP'!$B$26*$C$109*B14*$J$109*VLOOKUP($E$109,$B$153:$D$155,3,0)*(HLOOKUP(C14,$E$149:$I$155,$P$151,0)-1)/100,0)),0)</f>
        <v>0</v>
      </c>
      <c r="K14" s="87">
        <f>I14+J14</f>
        <v>0</v>
      </c>
      <c r="M14" s="72"/>
    </row>
    <row r="15" spans="1:13">
      <c r="A15" s="89">
        <f>'Major Assumption Key'!A20</f>
        <v>2021</v>
      </c>
      <c r="B15" s="88" t="str">
        <f t="shared" ref="B15:B54" si="1">IF(A15&lt;$C$5,"",$C$6*(1+$E$6)^(A15-$C$5))</f>
        <v/>
      </c>
      <c r="C15" s="811"/>
      <c r="D15" s="90" t="str">
        <f t="shared" ref="D15:D54" si="2">IF(ISBLANK(C15),"",IF(AND(C15="Light Rehabilitation"),"Rehab","Routine Maintenance"))</f>
        <v/>
      </c>
      <c r="E15" s="87">
        <f t="shared" ref="E15:E54" si="3">IF(AND($A15&gt;=$H$7,$A15&lt;=$H$8),IF(D15="Routine Maintenance",VLOOKUP(C15,$A$136:$D$142,4,0),0)*(1+$H$5)^(A15-$H$6),0)</f>
        <v>0</v>
      </c>
      <c r="F15" s="87">
        <f t="shared" ref="F15:F54" si="4">IF(AND($A15&gt;=$H$7,$A15&lt;=$H$8),IF(D15="Rehab",$B$163*SUM($H$108:$H$109),0)*(1+$H$5)^(A15-$H$6),0)</f>
        <v>0</v>
      </c>
      <c r="G15" s="87" cm="1">
        <f t="array" ref="G15">IFERROR(-IF(A15=$H$8,LOOKUP(2,1/($F$14:$F$54&lt;&gt;0),$F$14:$F$54)*(19-(A15-_xlfn.XLOOKUP(LOOKUP(2,1/($F$14:$F$54&lt;&gt;0),$F$14:$F$54),$F$14:$F$54,$A$14:$A$54,,0)))/19,0),0)</f>
        <v>0</v>
      </c>
      <c r="H15" s="87">
        <f t="shared" ref="H15:H54" si="5">IF(AND(A15&gt;=$H$7,A15&lt;=$H$8),IFERROR(IF(_xlfn.XLOOKUP(A15,$C$169:$C$172,$J$169:$J$172)&lt;&gt;0,_xlfn.XLOOKUP(A15,$C$169:$C$172,$J$169:$J$172),0),0),0)</f>
        <v>0</v>
      </c>
      <c r="I15" s="87">
        <f>IF(AND($A15&gt;=$H$7,$A15&lt;=$H$8),IFERROR('State of Good Repair AP-CP'!$B$26*$C$108*B15*(1-$J$108)*VLOOKUP($E$108,$B$150:$D$152,3,0)*(HLOOKUP(C15,$E$149:$I$155,$O$150,0)-1)/100,0)+IFERROR('State of Good Repair AP-CP'!$B$26*$C$109*B15*(1-$J$109)*VLOOKUP($E$109,$B$150:$D$152,3,0)*(HLOOKUP(C15,$E$149:$I$155,$O$151,0)-1)/100,0),0)</f>
        <v>0</v>
      </c>
      <c r="J15" s="87">
        <f>IF(AND($A15&gt;=$H$7,$A15&lt;=$H$8),(IFERROR('State of Good Repair AP-CP'!$B$26*$C$108*B15*$J$108*VLOOKUP($E$108,$B$153:$D$155,3,0)*(HLOOKUP(C15,$E$149:$I$155,$P$150,0)-1)/100,0)+IFERROR('State of Good Repair AP-CP'!$B$26*$C$109*B15*$J$109*VLOOKUP($E$109,$B$153:$D$155,3,0)*(HLOOKUP(C15,$E$149:$I$155,$P$151,0)-1)/100,0)),0)</f>
        <v>0</v>
      </c>
      <c r="K15" s="87">
        <f t="shared" ref="K15:K54" si="6">I15+J15</f>
        <v>0</v>
      </c>
      <c r="M15" s="72"/>
    </row>
    <row r="16" spans="1:13">
      <c r="A16" s="89">
        <f>'Major Assumption Key'!A21</f>
        <v>2022</v>
      </c>
      <c r="B16" s="88">
        <f t="shared" si="1"/>
        <v>0</v>
      </c>
      <c r="C16" s="811"/>
      <c r="D16" s="90" t="str">
        <f t="shared" si="2"/>
        <v/>
      </c>
      <c r="E16" s="87">
        <f t="shared" si="3"/>
        <v>0</v>
      </c>
      <c r="F16" s="87">
        <f t="shared" si="4"/>
        <v>0</v>
      </c>
      <c r="G16" s="87" cm="1">
        <f t="array" ref="G16">IFERROR(-IF(A16=$H$8,LOOKUP(2,1/($F$14:$F$54&lt;&gt;0),$F$14:$F$54)*(19-(A16-_xlfn.XLOOKUP(LOOKUP(2,1/($F$14:$F$54&lt;&gt;0),$F$14:$F$54),$F$14:$F$54,$A$14:$A$54,,0)))/19,0),0)</f>
        <v>0</v>
      </c>
      <c r="H16" s="87">
        <f t="shared" si="5"/>
        <v>0</v>
      </c>
      <c r="I16" s="87">
        <f>IF(AND($A16&gt;=$H$7,$A16&lt;=$H$8),IFERROR('State of Good Repair AP-CP'!$B$26*$C$108*B16*(1-$J$108)*VLOOKUP($E$108,$B$150:$D$152,3,0)*(HLOOKUP(C16,$E$149:$I$155,$O$150,0)-1)/100,0)+IFERROR('State of Good Repair AP-CP'!$B$26*$C$109*B16*(1-$J$109)*VLOOKUP($E$109,$B$150:$D$152,3,0)*(HLOOKUP(C16,$E$149:$I$155,$O$151,0)-1)/100,0),0)</f>
        <v>0</v>
      </c>
      <c r="J16" s="87">
        <f>IF(AND($A16&gt;=$H$7,$A16&lt;=$H$8),(IFERROR('State of Good Repair AP-CP'!$B$26*$C$108*B16*$J$108*VLOOKUP($E$108,$B$153:$D$155,3,0)*(HLOOKUP(C16,$E$149:$I$155,$P$150,0)-1)/100,0)+IFERROR('State of Good Repair AP-CP'!$B$26*$C$109*B16*$J$109*VLOOKUP($E$109,$B$153:$D$155,3,0)*(HLOOKUP(C16,$E$149:$I$155,$P$151,0)-1)/100,0)),0)</f>
        <v>0</v>
      </c>
      <c r="K16" s="87">
        <f t="shared" si="6"/>
        <v>0</v>
      </c>
      <c r="M16" s="72"/>
    </row>
    <row r="17" spans="1:13">
      <c r="A17" s="89">
        <f>'Major Assumption Key'!A22</f>
        <v>2023</v>
      </c>
      <c r="B17" s="88">
        <f t="shared" si="1"/>
        <v>0</v>
      </c>
      <c r="C17" s="811" t="s">
        <v>99</v>
      </c>
      <c r="D17" s="90" t="str">
        <f t="shared" si="2"/>
        <v>Routine Maintenance</v>
      </c>
      <c r="E17" s="87">
        <f t="shared" si="3"/>
        <v>0</v>
      </c>
      <c r="F17" s="87">
        <f t="shared" si="4"/>
        <v>0</v>
      </c>
      <c r="G17" s="87" cm="1">
        <f t="array" ref="G17">IFERROR(-IF(A17=$H$8,LOOKUP(2,1/($F$14:$F$54&lt;&gt;0),$F$14:$F$54)*(19-(A17-_xlfn.XLOOKUP(LOOKUP(2,1/($F$14:$F$54&lt;&gt;0),$F$14:$F$54),$F$14:$F$54,$A$14:$A$54,,0)))/19,0),0)</f>
        <v>0</v>
      </c>
      <c r="H17" s="87">
        <f t="shared" si="5"/>
        <v>0</v>
      </c>
      <c r="I17" s="87">
        <f>IF(AND($A17&gt;=$H$7,$A17&lt;=$H$8),IFERROR('State of Good Repair AP-CP'!$B$26*$C$108*B17*(1-$J$108)*VLOOKUP($E$108,$B$150:$D$152,3,0)*(HLOOKUP(C17,$E$149:$I$155,$O$150,0)-1)/100,0)+IFERROR('State of Good Repair AP-CP'!$B$26*$C$109*B17*(1-$J$109)*VLOOKUP($E$109,$B$150:$D$152,3,0)*(HLOOKUP(C17,$E$149:$I$155,$O$151,0)-1)/100,0),0)</f>
        <v>0</v>
      </c>
      <c r="J17" s="87">
        <f>IF(AND($A17&gt;=$H$7,$A17&lt;=$H$8),(IFERROR('State of Good Repair AP-CP'!$B$26*$C$108*B17*$J$108*VLOOKUP($E$108,$B$153:$D$155,3,0)*(HLOOKUP(C17,$E$149:$I$155,$P$150,0)-1)/100,0)+IFERROR('State of Good Repair AP-CP'!$B$26*$C$109*B17*$J$109*VLOOKUP($E$109,$B$153:$D$155,3,0)*(HLOOKUP(C17,$E$149:$I$155,$P$151,0)-1)/100,0)),0)</f>
        <v>0</v>
      </c>
      <c r="K17" s="87">
        <f t="shared" si="6"/>
        <v>0</v>
      </c>
      <c r="M17" s="72"/>
    </row>
    <row r="18" spans="1:13">
      <c r="A18" s="89">
        <f>'Major Assumption Key'!A23</f>
        <v>2024</v>
      </c>
      <c r="B18" s="88">
        <f t="shared" si="1"/>
        <v>0</v>
      </c>
      <c r="C18" s="811" t="s">
        <v>99</v>
      </c>
      <c r="D18" s="90" t="str">
        <f t="shared" si="2"/>
        <v>Routine Maintenance</v>
      </c>
      <c r="E18" s="87">
        <f t="shared" si="3"/>
        <v>0</v>
      </c>
      <c r="F18" s="87">
        <f t="shared" si="4"/>
        <v>0</v>
      </c>
      <c r="G18" s="87" cm="1">
        <f t="array" ref="G18">IFERROR(-IF(A18=$H$8,LOOKUP(2,1/($F$14:$F$54&lt;&gt;0),$F$14:$F$54)*(19-(A18-_xlfn.XLOOKUP(LOOKUP(2,1/($F$14:$F$54&lt;&gt;0),$F$14:$F$54),$F$14:$F$54,$A$14:$A$54,,0)))/19,0),0)</f>
        <v>0</v>
      </c>
      <c r="H18" s="87">
        <f t="shared" si="5"/>
        <v>0</v>
      </c>
      <c r="I18" s="87">
        <f>IF(AND($A18&gt;=$H$7,$A18&lt;=$H$8),IFERROR('State of Good Repair AP-CP'!$B$26*$C$108*B18*(1-$J$108)*VLOOKUP($E$108,$B$150:$D$152,3,0)*(HLOOKUP(C18,$E$149:$I$155,$O$150,0)-1)/100,0)+IFERROR('State of Good Repair AP-CP'!$B$26*$C$109*B18*(1-$J$109)*VLOOKUP($E$109,$B$150:$D$152,3,0)*(HLOOKUP(C18,$E$149:$I$155,$O$151,0)-1)/100,0),0)</f>
        <v>0</v>
      </c>
      <c r="J18" s="87">
        <f>IF(AND($A18&gt;=$H$7,$A18&lt;=$H$8),(IFERROR('State of Good Repair AP-CP'!$B$26*$C$108*B18*$J$108*VLOOKUP($E$108,$B$153:$D$155,3,0)*(HLOOKUP(C18,$E$149:$I$155,$P$150,0)-1)/100,0)+IFERROR('State of Good Repair AP-CP'!$B$26*$C$109*B18*$J$109*VLOOKUP($E$109,$B$153:$D$155,3,0)*(HLOOKUP(C18,$E$149:$I$155,$P$151,0)-1)/100,0)),0)</f>
        <v>0</v>
      </c>
      <c r="K18" s="87">
        <f t="shared" si="6"/>
        <v>0</v>
      </c>
      <c r="M18" s="72"/>
    </row>
    <row r="19" spans="1:13">
      <c r="A19" s="89">
        <f>'Major Assumption Key'!A24</f>
        <v>2025</v>
      </c>
      <c r="B19" s="88">
        <f t="shared" si="1"/>
        <v>0</v>
      </c>
      <c r="C19" s="811" t="s">
        <v>567</v>
      </c>
      <c r="D19" s="90" t="str">
        <f t="shared" si="2"/>
        <v>Rehab</v>
      </c>
      <c r="E19" s="87">
        <f t="shared" si="3"/>
        <v>0</v>
      </c>
      <c r="F19" s="87">
        <f t="shared" si="4"/>
        <v>0</v>
      </c>
      <c r="G19" s="87" cm="1">
        <f t="array" ref="G19">IFERROR(-IF(A19=$H$8,LOOKUP(2,1/($F$14:$F$54&lt;&gt;0),$F$14:$F$54)*(19-(A19-_xlfn.XLOOKUP(LOOKUP(2,1/($F$14:$F$54&lt;&gt;0),$F$14:$F$54),$F$14:$F$54,$A$14:$A$54,,0)))/19,0),0)</f>
        <v>0</v>
      </c>
      <c r="H19" s="87">
        <f t="shared" si="5"/>
        <v>0</v>
      </c>
      <c r="I19" s="87">
        <f>IF(AND($A19&gt;=$H$7,$A19&lt;=$H$8),IFERROR('State of Good Repair AP-CP'!$B$26*$C$108*B19*(1-$J$108)*VLOOKUP($E$108,$B$150:$D$152,3,0)*(HLOOKUP(C19,$E$149:$I$155,$O$150,0)-1)/100,0)+IFERROR('State of Good Repair AP-CP'!$B$26*$C$109*B19*(1-$J$109)*VLOOKUP($E$109,$B$150:$D$152,3,0)*(HLOOKUP(C19,$E$149:$I$155,$O$151,0)-1)/100,0),0)</f>
        <v>0</v>
      </c>
      <c r="J19" s="87">
        <f>IF(AND($A19&gt;=$H$7,$A19&lt;=$H$8),(IFERROR('State of Good Repair AP-CP'!$B$26*$C$108*B19*$J$108*VLOOKUP($E$108,$B$153:$D$155,3,0)*(HLOOKUP(C19,$E$149:$I$155,$P$150,0)-1)/100,0)+IFERROR('State of Good Repair AP-CP'!$B$26*$C$109*B19*$J$109*VLOOKUP($E$109,$B$153:$D$155,3,0)*(HLOOKUP(C19,$E$149:$I$155,$P$151,0)-1)/100,0)),0)</f>
        <v>0</v>
      </c>
      <c r="K19" s="87">
        <f t="shared" si="6"/>
        <v>0</v>
      </c>
      <c r="M19" s="72"/>
    </row>
    <row r="20" spans="1:13">
      <c r="A20" s="89">
        <f>'Major Assumption Key'!A25</f>
        <v>2026</v>
      </c>
      <c r="B20" s="88">
        <f t="shared" si="1"/>
        <v>0</v>
      </c>
      <c r="C20" s="811" t="s">
        <v>96</v>
      </c>
      <c r="D20" s="90" t="str">
        <f t="shared" si="2"/>
        <v>Routine Maintenance</v>
      </c>
      <c r="E20" s="87">
        <f t="shared" si="3"/>
        <v>0</v>
      </c>
      <c r="F20" s="87">
        <f t="shared" si="4"/>
        <v>0</v>
      </c>
      <c r="G20" s="87" cm="1">
        <f t="array" ref="G20">IFERROR(-IF(A20=$H$8,LOOKUP(2,1/($F$14:$F$54&lt;&gt;0),$F$14:$F$54)*(19-(A20-_xlfn.XLOOKUP(LOOKUP(2,1/($F$14:$F$54&lt;&gt;0),$F$14:$F$54),$F$14:$F$54,$A$14:$A$54,,0)))/19,0),0)</f>
        <v>0</v>
      </c>
      <c r="H20" s="87">
        <f t="shared" si="5"/>
        <v>0</v>
      </c>
      <c r="I20" s="87">
        <f>IF(AND($A20&gt;=$H$7,$A20&lt;=$H$8),IFERROR('State of Good Repair AP-CP'!$B$26*$C$108*B20*(1-$J$108)*VLOOKUP($E$108,$B$150:$D$152,3,0)*(HLOOKUP(C20,$E$149:$I$155,$O$150,0)-1)/100,0)+IFERROR('State of Good Repair AP-CP'!$B$26*$C$109*B20*(1-$J$109)*VLOOKUP($E$109,$B$150:$D$152,3,0)*(HLOOKUP(C20,$E$149:$I$155,$O$151,0)-1)/100,0),0)</f>
        <v>0</v>
      </c>
      <c r="J20" s="87">
        <f>IF(AND($A20&gt;=$H$7,$A20&lt;=$H$8),(IFERROR('State of Good Repair AP-CP'!$B$26*$C$108*B20*$J$108*VLOOKUP($E$108,$B$153:$D$155,3,0)*(HLOOKUP(C20,$E$149:$I$155,$P$150,0)-1)/100,0)+IFERROR('State of Good Repair AP-CP'!$B$26*$C$109*B20*$J$109*VLOOKUP($E$109,$B$153:$D$155,3,0)*(HLOOKUP(C20,$E$149:$I$155,$P$151,0)-1)/100,0)),0)</f>
        <v>0</v>
      </c>
      <c r="K20" s="87">
        <f t="shared" si="6"/>
        <v>0</v>
      </c>
      <c r="M20" s="72"/>
    </row>
    <row r="21" spans="1:13">
      <c r="A21" s="89">
        <f>'Major Assumption Key'!A26</f>
        <v>2027</v>
      </c>
      <c r="B21" s="88">
        <f t="shared" si="1"/>
        <v>0</v>
      </c>
      <c r="C21" s="811" t="s">
        <v>96</v>
      </c>
      <c r="D21" s="90" t="str">
        <f t="shared" si="2"/>
        <v>Routine Maintenance</v>
      </c>
      <c r="E21" s="87">
        <f t="shared" si="3"/>
        <v>0</v>
      </c>
      <c r="F21" s="87">
        <f t="shared" si="4"/>
        <v>0</v>
      </c>
      <c r="G21" s="87" cm="1">
        <f t="array" ref="G21">IFERROR(-IF(A21=$H$8,LOOKUP(2,1/($F$14:$F$54&lt;&gt;0),$F$14:$F$54)*(19-(A21-_xlfn.XLOOKUP(LOOKUP(2,1/($F$14:$F$54&lt;&gt;0),$F$14:$F$54),$F$14:$F$54,$A$14:$A$54,,0)))/19,0),0)</f>
        <v>0</v>
      </c>
      <c r="H21" s="87">
        <f t="shared" si="5"/>
        <v>0</v>
      </c>
      <c r="I21" s="87">
        <f>IF(AND($A21&gt;=$H$7,$A21&lt;=$H$8),IFERROR('State of Good Repair AP-CP'!$B$26*$C$108*B21*(1-$J$108)*VLOOKUP($E$108,$B$150:$D$152,3,0)*(HLOOKUP(C21,$E$149:$I$155,$O$150,0)-1)/100,0)+IFERROR('State of Good Repair AP-CP'!$B$26*$C$109*B21*(1-$J$109)*VLOOKUP($E$109,$B$150:$D$152,3,0)*(HLOOKUP(C21,$E$149:$I$155,$O$151,0)-1)/100,0),0)</f>
        <v>0</v>
      </c>
      <c r="J21" s="87">
        <f>IF(AND($A21&gt;=$H$7,$A21&lt;=$H$8),(IFERROR('State of Good Repair AP-CP'!$B$26*$C$108*B21*$J$108*VLOOKUP($E$108,$B$153:$D$155,3,0)*(HLOOKUP(C21,$E$149:$I$155,$P$150,0)-1)/100,0)+IFERROR('State of Good Repair AP-CP'!$B$26*$C$109*B21*$J$109*VLOOKUP($E$109,$B$153:$D$155,3,0)*(HLOOKUP(C21,$E$149:$I$155,$P$151,0)-1)/100,0)),0)</f>
        <v>0</v>
      </c>
      <c r="K21" s="87">
        <f t="shared" si="6"/>
        <v>0</v>
      </c>
      <c r="M21" s="72"/>
    </row>
    <row r="22" spans="1:13">
      <c r="A22" s="89">
        <f>'Major Assumption Key'!A27</f>
        <v>2028</v>
      </c>
      <c r="B22" s="88">
        <f t="shared" si="1"/>
        <v>0</v>
      </c>
      <c r="C22" s="811" t="s">
        <v>96</v>
      </c>
      <c r="D22" s="90" t="str">
        <f t="shared" si="2"/>
        <v>Routine Maintenance</v>
      </c>
      <c r="E22" s="87">
        <f t="shared" si="3"/>
        <v>0</v>
      </c>
      <c r="F22" s="87">
        <f t="shared" si="4"/>
        <v>0</v>
      </c>
      <c r="G22" s="87" cm="1">
        <f t="array" ref="G22">IFERROR(-IF(A22=$H$8,LOOKUP(2,1/($F$14:$F$54&lt;&gt;0),$F$14:$F$54)*(19-(A22-_xlfn.XLOOKUP(LOOKUP(2,1/($F$14:$F$54&lt;&gt;0),$F$14:$F$54),$F$14:$F$54,$A$14:$A$54,,0)))/19,0),0)</f>
        <v>0</v>
      </c>
      <c r="H22" s="87">
        <f t="shared" si="5"/>
        <v>0</v>
      </c>
      <c r="I22" s="87">
        <f>IF(AND($A22&gt;=$H$7,$A22&lt;=$H$8),IFERROR('State of Good Repair AP-CP'!$B$26*$C$108*B22*(1-$J$108)*VLOOKUP($E$108,$B$150:$D$152,3,0)*(HLOOKUP(C22,$E$149:$I$155,$O$150,0)-1)/100,0)+IFERROR('State of Good Repair AP-CP'!$B$26*$C$109*B22*(1-$J$109)*VLOOKUP($E$109,$B$150:$D$152,3,0)*(HLOOKUP(C22,$E$149:$I$155,$O$151,0)-1)/100,0),0)</f>
        <v>0</v>
      </c>
      <c r="J22" s="87">
        <f>IF(AND($A22&gt;=$H$7,$A22&lt;=$H$8),(IFERROR('State of Good Repair AP-CP'!$B$26*$C$108*B22*$J$108*VLOOKUP($E$108,$B$153:$D$155,3,0)*(HLOOKUP(C22,$E$149:$I$155,$P$150,0)-1)/100,0)+IFERROR('State of Good Repair AP-CP'!$B$26*$C$109*B22*$J$109*VLOOKUP($E$109,$B$153:$D$155,3,0)*(HLOOKUP(C22,$E$149:$I$155,$P$151,0)-1)/100,0)),0)</f>
        <v>0</v>
      </c>
      <c r="K22" s="87">
        <f t="shared" si="6"/>
        <v>0</v>
      </c>
      <c r="M22" s="72"/>
    </row>
    <row r="23" spans="1:13">
      <c r="A23" s="89">
        <f>'Major Assumption Key'!A28</f>
        <v>2029</v>
      </c>
      <c r="B23" s="88">
        <f t="shared" si="1"/>
        <v>0</v>
      </c>
      <c r="C23" s="811" t="s">
        <v>96</v>
      </c>
      <c r="D23" s="90" t="str">
        <f t="shared" si="2"/>
        <v>Routine Maintenance</v>
      </c>
      <c r="E23" s="87">
        <f t="shared" si="3"/>
        <v>0</v>
      </c>
      <c r="F23" s="87">
        <f t="shared" si="4"/>
        <v>0</v>
      </c>
      <c r="G23" s="87" cm="1">
        <f t="array" ref="G23">IFERROR(-IF(A23=$H$8,LOOKUP(2,1/($F$14:$F$54&lt;&gt;0),$F$14:$F$54)*(19-(A23-_xlfn.XLOOKUP(LOOKUP(2,1/($F$14:$F$54&lt;&gt;0),$F$14:$F$54),$F$14:$F$54,$A$14:$A$54,,0)))/19,0),0)</f>
        <v>0</v>
      </c>
      <c r="H23" s="87">
        <f t="shared" si="5"/>
        <v>0</v>
      </c>
      <c r="I23" s="87">
        <f>IF(AND($A23&gt;=$H$7,$A23&lt;=$H$8),IFERROR('State of Good Repair AP-CP'!$B$26*$C$108*B23*(1-$J$108)*VLOOKUP($E$108,$B$150:$D$152,3,0)*(HLOOKUP(C23,$E$149:$I$155,$O$150,0)-1)/100,0)+IFERROR('State of Good Repair AP-CP'!$B$26*$C$109*B23*(1-$J$109)*VLOOKUP($E$109,$B$150:$D$152,3,0)*(HLOOKUP(C23,$E$149:$I$155,$O$151,0)-1)/100,0),0)</f>
        <v>0</v>
      </c>
      <c r="J23" s="87">
        <f>IF(AND($A23&gt;=$H$7,$A23&lt;=$H$8),(IFERROR('State of Good Repair AP-CP'!$B$26*$C$108*B23*$J$108*VLOOKUP($E$108,$B$153:$D$155,3,0)*(HLOOKUP(C23,$E$149:$I$155,$P$150,0)-1)/100,0)+IFERROR('State of Good Repair AP-CP'!$B$26*$C$109*B23*$J$109*VLOOKUP($E$109,$B$153:$D$155,3,0)*(HLOOKUP(C23,$E$149:$I$155,$P$151,0)-1)/100,0)),0)</f>
        <v>0</v>
      </c>
      <c r="K23" s="87">
        <f t="shared" si="6"/>
        <v>0</v>
      </c>
      <c r="M23" s="72"/>
    </row>
    <row r="24" spans="1:13">
      <c r="A24" s="89">
        <f>'Major Assumption Key'!A29</f>
        <v>2030</v>
      </c>
      <c r="B24" s="88">
        <f t="shared" si="1"/>
        <v>0</v>
      </c>
      <c r="C24" s="811" t="s">
        <v>97</v>
      </c>
      <c r="D24" s="90" t="str">
        <f t="shared" si="2"/>
        <v>Routine Maintenance</v>
      </c>
      <c r="E24" s="87">
        <f t="shared" si="3"/>
        <v>0</v>
      </c>
      <c r="F24" s="87">
        <f t="shared" si="4"/>
        <v>0</v>
      </c>
      <c r="G24" s="87" cm="1">
        <f t="array" ref="G24">IFERROR(-IF(A24=$H$8,LOOKUP(2,1/($F$14:$F$54&lt;&gt;0),$F$14:$F$54)*(19-(A24-_xlfn.XLOOKUP(LOOKUP(2,1/($F$14:$F$54&lt;&gt;0),$F$14:$F$54),$F$14:$F$54,$A$14:$A$54,,0)))/19,0),0)</f>
        <v>0</v>
      </c>
      <c r="H24" s="87">
        <f t="shared" si="5"/>
        <v>0</v>
      </c>
      <c r="I24" s="87">
        <f>IF(AND($A24&gt;=$H$7,$A24&lt;=$H$8),IFERROR('State of Good Repair AP-CP'!$B$26*$C$108*B24*(1-$J$108)*VLOOKUP($E$108,$B$150:$D$152,3,0)*(HLOOKUP(C24,$E$149:$I$155,$O$150,0)-1)/100,0)+IFERROR('State of Good Repair AP-CP'!$B$26*$C$109*B24*(1-$J$109)*VLOOKUP($E$109,$B$150:$D$152,3,0)*(HLOOKUP(C24,$E$149:$I$155,$O$151,0)-1)/100,0),0)</f>
        <v>0</v>
      </c>
      <c r="J24" s="87">
        <f>IF(AND($A24&gt;=$H$7,$A24&lt;=$H$8),(IFERROR('State of Good Repair AP-CP'!$B$26*$C$108*B24*$J$108*VLOOKUP($E$108,$B$153:$D$155,3,0)*(HLOOKUP(C24,$E$149:$I$155,$P$150,0)-1)/100,0)+IFERROR('State of Good Repair AP-CP'!$B$26*$C$109*B24*$J$109*VLOOKUP($E$109,$B$153:$D$155,3,0)*(HLOOKUP(C24,$E$149:$I$155,$P$151,0)-1)/100,0)),0)</f>
        <v>0</v>
      </c>
      <c r="K24" s="87">
        <f t="shared" si="6"/>
        <v>0</v>
      </c>
      <c r="M24" s="72"/>
    </row>
    <row r="25" spans="1:13">
      <c r="A25" s="89">
        <f>'Major Assumption Key'!A30</f>
        <v>2031</v>
      </c>
      <c r="B25" s="88">
        <f t="shared" si="1"/>
        <v>0</v>
      </c>
      <c r="C25" s="811" t="s">
        <v>97</v>
      </c>
      <c r="D25" s="90" t="str">
        <f t="shared" si="2"/>
        <v>Routine Maintenance</v>
      </c>
      <c r="E25" s="87">
        <f t="shared" si="3"/>
        <v>0</v>
      </c>
      <c r="F25" s="87">
        <f t="shared" si="4"/>
        <v>0</v>
      </c>
      <c r="G25" s="87" cm="1">
        <f t="array" ref="G25">IFERROR(-IF(A25=$H$8,LOOKUP(2,1/($F$14:$F$54&lt;&gt;0),$F$14:$F$54)*(19-(A25-_xlfn.XLOOKUP(LOOKUP(2,1/($F$14:$F$54&lt;&gt;0),$F$14:$F$54),$F$14:$F$54,$A$14:$A$54,,0)))/19,0),0)</f>
        <v>0</v>
      </c>
      <c r="H25" s="87">
        <f t="shared" si="5"/>
        <v>0</v>
      </c>
      <c r="I25" s="87">
        <f>IF(AND($A25&gt;=$H$7,$A25&lt;=$H$8),IFERROR('State of Good Repair AP-CP'!$B$26*$C$108*B25*(1-$J$108)*VLOOKUP($E$108,$B$150:$D$152,3,0)*(HLOOKUP(C25,$E$149:$I$155,$O$150,0)-1)/100,0)+IFERROR('State of Good Repair AP-CP'!$B$26*$C$109*B25*(1-$J$109)*VLOOKUP($E$109,$B$150:$D$152,3,0)*(HLOOKUP(C25,$E$149:$I$155,$O$151,0)-1)/100,0),0)</f>
        <v>0</v>
      </c>
      <c r="J25" s="87">
        <f>IF(AND($A25&gt;=$H$7,$A25&lt;=$H$8),(IFERROR('State of Good Repair AP-CP'!$B$26*$C$108*B25*$J$108*VLOOKUP($E$108,$B$153:$D$155,3,0)*(HLOOKUP(C25,$E$149:$I$155,$P$150,0)-1)/100,0)+IFERROR('State of Good Repair AP-CP'!$B$26*$C$109*B25*$J$109*VLOOKUP($E$109,$B$153:$D$155,3,0)*(HLOOKUP(C25,$E$149:$I$155,$P$151,0)-1)/100,0)),0)</f>
        <v>0</v>
      </c>
      <c r="K25" s="87">
        <f t="shared" si="6"/>
        <v>0</v>
      </c>
      <c r="M25" s="72"/>
    </row>
    <row r="26" spans="1:13">
      <c r="A26" s="89">
        <f>'Major Assumption Key'!A31</f>
        <v>2032</v>
      </c>
      <c r="B26" s="88">
        <f t="shared" si="1"/>
        <v>0</v>
      </c>
      <c r="C26" s="811" t="s">
        <v>97</v>
      </c>
      <c r="D26" s="90" t="str">
        <f t="shared" si="2"/>
        <v>Routine Maintenance</v>
      </c>
      <c r="E26" s="87">
        <f t="shared" si="3"/>
        <v>0</v>
      </c>
      <c r="F26" s="87">
        <f t="shared" si="4"/>
        <v>0</v>
      </c>
      <c r="G26" s="87" cm="1">
        <f t="array" ref="G26">IFERROR(-IF(A26=$H$8,LOOKUP(2,1/($F$14:$F$54&lt;&gt;0),$F$14:$F$54)*(19-(A26-_xlfn.XLOOKUP(LOOKUP(2,1/($F$14:$F$54&lt;&gt;0),$F$14:$F$54),$F$14:$F$54,$A$14:$A$54,,0)))/19,0),0)</f>
        <v>0</v>
      </c>
      <c r="H26" s="87">
        <f t="shared" si="5"/>
        <v>0</v>
      </c>
      <c r="I26" s="87">
        <f>IF(AND($A26&gt;=$H$7,$A26&lt;=$H$8),IFERROR('State of Good Repair AP-CP'!$B$26*$C$108*B26*(1-$J$108)*VLOOKUP($E$108,$B$150:$D$152,3,0)*(HLOOKUP(C26,$E$149:$I$155,$O$150,0)-1)/100,0)+IFERROR('State of Good Repair AP-CP'!$B$26*$C$109*B26*(1-$J$109)*VLOOKUP($E$109,$B$150:$D$152,3,0)*(HLOOKUP(C26,$E$149:$I$155,$O$151,0)-1)/100,0),0)</f>
        <v>0</v>
      </c>
      <c r="J26" s="87">
        <f>IF(AND($A26&gt;=$H$7,$A26&lt;=$H$8),(IFERROR('State of Good Repair AP-CP'!$B$26*$C$108*B26*$J$108*VLOOKUP($E$108,$B$153:$D$155,3,0)*(HLOOKUP(C26,$E$149:$I$155,$P$150,0)-1)/100,0)+IFERROR('State of Good Repair AP-CP'!$B$26*$C$109*B26*$J$109*VLOOKUP($E$109,$B$153:$D$155,3,0)*(HLOOKUP(C26,$E$149:$I$155,$P$151,0)-1)/100,0)),0)</f>
        <v>0</v>
      </c>
      <c r="K26" s="87">
        <f t="shared" si="6"/>
        <v>0</v>
      </c>
      <c r="M26" s="72"/>
    </row>
    <row r="27" spans="1:13">
      <c r="A27" s="89">
        <f>'Major Assumption Key'!A32</f>
        <v>2033</v>
      </c>
      <c r="B27" s="88">
        <f t="shared" si="1"/>
        <v>0</v>
      </c>
      <c r="C27" s="811" t="s">
        <v>98</v>
      </c>
      <c r="D27" s="90" t="str">
        <f t="shared" si="2"/>
        <v>Routine Maintenance</v>
      </c>
      <c r="E27" s="87">
        <f t="shared" si="3"/>
        <v>0</v>
      </c>
      <c r="F27" s="87">
        <f t="shared" si="4"/>
        <v>0</v>
      </c>
      <c r="G27" s="87" cm="1">
        <f t="array" ref="G27">IFERROR(-IF(A27=$H$8,LOOKUP(2,1/($F$14:$F$54&lt;&gt;0),$F$14:$F$54)*(19-(A27-_xlfn.XLOOKUP(LOOKUP(2,1/($F$14:$F$54&lt;&gt;0),$F$14:$F$54),$F$14:$F$54,$A$14:$A$54,,0)))/19,0),0)</f>
        <v>0</v>
      </c>
      <c r="H27" s="87">
        <f t="shared" si="5"/>
        <v>0</v>
      </c>
      <c r="I27" s="87">
        <f>IF(AND($A27&gt;=$H$7,$A27&lt;=$H$8),IFERROR('State of Good Repair AP-CP'!$B$26*$C$108*B27*(1-$J$108)*VLOOKUP($E$108,$B$150:$D$152,3,0)*(HLOOKUP(C27,$E$149:$I$155,$O$150,0)-1)/100,0)+IFERROR('State of Good Repair AP-CP'!$B$26*$C$109*B27*(1-$J$109)*VLOOKUP($E$109,$B$150:$D$152,3,0)*(HLOOKUP(C27,$E$149:$I$155,$O$151,0)-1)/100,0),0)</f>
        <v>0</v>
      </c>
      <c r="J27" s="87">
        <f>IF(AND($A27&gt;=$H$7,$A27&lt;=$H$8),(IFERROR('State of Good Repair AP-CP'!$B$26*$C$108*B27*$J$108*VLOOKUP($E$108,$B$153:$D$155,3,0)*(HLOOKUP(C27,$E$149:$I$155,$P$150,0)-1)/100,0)+IFERROR('State of Good Repair AP-CP'!$B$26*$C$109*B27*$J$109*VLOOKUP($E$109,$B$153:$D$155,3,0)*(HLOOKUP(C27,$E$149:$I$155,$P$151,0)-1)/100,0)),0)</f>
        <v>0</v>
      </c>
      <c r="K27" s="87">
        <f t="shared" si="6"/>
        <v>0</v>
      </c>
      <c r="M27" s="72"/>
    </row>
    <row r="28" spans="1:13">
      <c r="A28" s="89">
        <f>'Major Assumption Key'!A33</f>
        <v>2034</v>
      </c>
      <c r="B28" s="88">
        <f t="shared" si="1"/>
        <v>0</v>
      </c>
      <c r="C28" s="811" t="s">
        <v>98</v>
      </c>
      <c r="D28" s="90" t="str">
        <f t="shared" si="2"/>
        <v>Routine Maintenance</v>
      </c>
      <c r="E28" s="87">
        <f t="shared" si="3"/>
        <v>0</v>
      </c>
      <c r="F28" s="87">
        <f t="shared" si="4"/>
        <v>0</v>
      </c>
      <c r="G28" s="87" cm="1">
        <f t="array" ref="G28">IFERROR(-IF(A28=$H$8,LOOKUP(2,1/($F$14:$F$54&lt;&gt;0),$F$14:$F$54)*(19-(A28-_xlfn.XLOOKUP(LOOKUP(2,1/($F$14:$F$54&lt;&gt;0),$F$14:$F$54),$F$14:$F$54,$A$14:$A$54,,0)))/19,0),0)</f>
        <v>0</v>
      </c>
      <c r="H28" s="87">
        <f t="shared" si="5"/>
        <v>0</v>
      </c>
      <c r="I28" s="87">
        <f>IF(AND($A28&gt;=$H$7,$A28&lt;=$H$8),IFERROR('State of Good Repair AP-CP'!$B$26*$C$108*B28*(1-$J$108)*VLOOKUP($E$108,$B$150:$D$152,3,0)*(HLOOKUP(C28,$E$149:$I$155,$O$150,0)-1)/100,0)+IFERROR('State of Good Repair AP-CP'!$B$26*$C$109*B28*(1-$J$109)*VLOOKUP($E$109,$B$150:$D$152,3,0)*(HLOOKUP(C28,$E$149:$I$155,$O$151,0)-1)/100,0),0)</f>
        <v>0</v>
      </c>
      <c r="J28" s="87">
        <f>IF(AND($A28&gt;=$H$7,$A28&lt;=$H$8),(IFERROR('State of Good Repair AP-CP'!$B$26*$C$108*B28*$J$108*VLOOKUP($E$108,$B$153:$D$155,3,0)*(HLOOKUP(C28,$E$149:$I$155,$P$150,0)-1)/100,0)+IFERROR('State of Good Repair AP-CP'!$B$26*$C$109*B28*$J$109*VLOOKUP($E$109,$B$153:$D$155,3,0)*(HLOOKUP(C28,$E$149:$I$155,$P$151,0)-1)/100,0)),0)</f>
        <v>0</v>
      </c>
      <c r="K28" s="87">
        <f t="shared" si="6"/>
        <v>0</v>
      </c>
      <c r="M28" s="72"/>
    </row>
    <row r="29" spans="1:13">
      <c r="A29" s="89">
        <f>'Major Assumption Key'!A34</f>
        <v>2035</v>
      </c>
      <c r="B29" s="88">
        <f t="shared" si="1"/>
        <v>0</v>
      </c>
      <c r="C29" s="811" t="s">
        <v>98</v>
      </c>
      <c r="D29" s="90" t="str">
        <f t="shared" si="2"/>
        <v>Routine Maintenance</v>
      </c>
      <c r="E29" s="87">
        <f t="shared" si="3"/>
        <v>0</v>
      </c>
      <c r="F29" s="87">
        <f t="shared" si="4"/>
        <v>0</v>
      </c>
      <c r="G29" s="87" cm="1">
        <f t="array" ref="G29">IFERROR(-IF(A29=$H$8,LOOKUP(2,1/($F$14:$F$54&lt;&gt;0),$F$14:$F$54)*(19-(A29-_xlfn.XLOOKUP(LOOKUP(2,1/($F$14:$F$54&lt;&gt;0),$F$14:$F$54),$F$14:$F$54,$A$14:$A$54,,0)))/19,0),0)</f>
        <v>0</v>
      </c>
      <c r="H29" s="87">
        <f t="shared" si="5"/>
        <v>0</v>
      </c>
      <c r="I29" s="87">
        <f>IF(AND($A29&gt;=$H$7,$A29&lt;=$H$8),IFERROR('State of Good Repair AP-CP'!$B$26*$C$108*B29*(1-$J$108)*VLOOKUP($E$108,$B$150:$D$152,3,0)*(HLOOKUP(C29,$E$149:$I$155,$O$150,0)-1)/100,0)+IFERROR('State of Good Repair AP-CP'!$B$26*$C$109*B29*(1-$J$109)*VLOOKUP($E$109,$B$150:$D$152,3,0)*(HLOOKUP(C29,$E$149:$I$155,$O$151,0)-1)/100,0),0)</f>
        <v>0</v>
      </c>
      <c r="J29" s="87">
        <f>IF(AND($A29&gt;=$H$7,$A29&lt;=$H$8),(IFERROR('State of Good Repair AP-CP'!$B$26*$C$108*B29*$J$108*VLOOKUP($E$108,$B$153:$D$155,3,0)*(HLOOKUP(C29,$E$149:$I$155,$P$150,0)-1)/100,0)+IFERROR('State of Good Repair AP-CP'!$B$26*$C$109*B29*$J$109*VLOOKUP($E$109,$B$153:$D$155,3,0)*(HLOOKUP(C29,$E$149:$I$155,$P$151,0)-1)/100,0)),0)</f>
        <v>0</v>
      </c>
      <c r="K29" s="87">
        <f t="shared" si="6"/>
        <v>0</v>
      </c>
      <c r="M29" s="72"/>
    </row>
    <row r="30" spans="1:13">
      <c r="A30" s="89">
        <f>'Major Assumption Key'!A35</f>
        <v>2036</v>
      </c>
      <c r="B30" s="88">
        <f t="shared" si="1"/>
        <v>0</v>
      </c>
      <c r="C30" s="811" t="s">
        <v>99</v>
      </c>
      <c r="D30" s="90" t="str">
        <f t="shared" si="2"/>
        <v>Routine Maintenance</v>
      </c>
      <c r="E30" s="87">
        <f t="shared" si="3"/>
        <v>0</v>
      </c>
      <c r="F30" s="87">
        <f t="shared" si="4"/>
        <v>0</v>
      </c>
      <c r="G30" s="87" cm="1">
        <f t="array" ref="G30">IFERROR(-IF(A30=$H$8,LOOKUP(2,1/($F$14:$F$54&lt;&gt;0),$F$14:$F$54)*(19-(A30-_xlfn.XLOOKUP(LOOKUP(2,1/($F$14:$F$54&lt;&gt;0),$F$14:$F$54),$F$14:$F$54,$A$14:$A$54,,0)))/19,0),0)</f>
        <v>0</v>
      </c>
      <c r="H30" s="87">
        <f t="shared" si="5"/>
        <v>0</v>
      </c>
      <c r="I30" s="87">
        <f>IF(AND($A30&gt;=$H$7,$A30&lt;=$H$8),IFERROR('State of Good Repair AP-CP'!$B$26*$C$108*B30*(1-$J$108)*VLOOKUP($E$108,$B$150:$D$152,3,0)*(HLOOKUP(C30,$E$149:$I$155,$O$150,0)-1)/100,0)+IFERROR('State of Good Repair AP-CP'!$B$26*$C$109*B30*(1-$J$109)*VLOOKUP($E$109,$B$150:$D$152,3,0)*(HLOOKUP(C30,$E$149:$I$155,$O$151,0)-1)/100,0),0)</f>
        <v>0</v>
      </c>
      <c r="J30" s="87">
        <f>IF(AND($A30&gt;=$H$7,$A30&lt;=$H$8),(IFERROR('State of Good Repair AP-CP'!$B$26*$C$108*B30*$J$108*VLOOKUP($E$108,$B$153:$D$155,3,0)*(HLOOKUP(C30,$E$149:$I$155,$P$150,0)-1)/100,0)+IFERROR('State of Good Repair AP-CP'!$B$26*$C$109*B30*$J$109*VLOOKUP($E$109,$B$153:$D$155,3,0)*(HLOOKUP(C30,$E$149:$I$155,$P$151,0)-1)/100,0)),0)</f>
        <v>0</v>
      </c>
      <c r="K30" s="87">
        <f t="shared" si="6"/>
        <v>0</v>
      </c>
      <c r="M30" s="72"/>
    </row>
    <row r="31" spans="1:13">
      <c r="A31" s="89">
        <f>'Major Assumption Key'!A36</f>
        <v>2037</v>
      </c>
      <c r="B31" s="88">
        <f t="shared" si="1"/>
        <v>0</v>
      </c>
      <c r="C31" s="811" t="s">
        <v>99</v>
      </c>
      <c r="D31" s="90" t="str">
        <f t="shared" si="2"/>
        <v>Routine Maintenance</v>
      </c>
      <c r="E31" s="87">
        <f t="shared" si="3"/>
        <v>0</v>
      </c>
      <c r="F31" s="87">
        <f t="shared" si="4"/>
        <v>0</v>
      </c>
      <c r="G31" s="87" cm="1">
        <f t="array" ref="G31">IFERROR(-IF(A31=$H$8,LOOKUP(2,1/($F$14:$F$54&lt;&gt;0),$F$14:$F$54)*(19-(A31-_xlfn.XLOOKUP(LOOKUP(2,1/($F$14:$F$54&lt;&gt;0),$F$14:$F$54),$F$14:$F$54,$A$14:$A$54,,0)))/19,0),0)</f>
        <v>0</v>
      </c>
      <c r="H31" s="87">
        <f t="shared" si="5"/>
        <v>0</v>
      </c>
      <c r="I31" s="87">
        <f>IF(AND($A31&gt;=$H$7,$A31&lt;=$H$8),IFERROR('State of Good Repair AP-CP'!$B$26*$C$108*B31*(1-$J$108)*VLOOKUP($E$108,$B$150:$D$152,3,0)*(HLOOKUP(C31,$E$149:$I$155,$O$150,0)-1)/100,0)+IFERROR('State of Good Repair AP-CP'!$B$26*$C$109*B31*(1-$J$109)*VLOOKUP($E$109,$B$150:$D$152,3,0)*(HLOOKUP(C31,$E$149:$I$155,$O$151,0)-1)/100,0),0)</f>
        <v>0</v>
      </c>
      <c r="J31" s="87">
        <f>IF(AND($A31&gt;=$H$7,$A31&lt;=$H$8),(IFERROR('State of Good Repair AP-CP'!$B$26*$C$108*B31*$J$108*VLOOKUP($E$108,$B$153:$D$155,3,0)*(HLOOKUP(C31,$E$149:$I$155,$P$150,0)-1)/100,0)+IFERROR('State of Good Repair AP-CP'!$B$26*$C$109*B31*$J$109*VLOOKUP($E$109,$B$153:$D$155,3,0)*(HLOOKUP(C31,$E$149:$I$155,$P$151,0)-1)/100,0)),0)</f>
        <v>0</v>
      </c>
      <c r="K31" s="87">
        <f t="shared" si="6"/>
        <v>0</v>
      </c>
      <c r="M31" s="72"/>
    </row>
    <row r="32" spans="1:13">
      <c r="A32" s="89">
        <f>'Major Assumption Key'!A37</f>
        <v>2038</v>
      </c>
      <c r="B32" s="88">
        <f t="shared" si="1"/>
        <v>0</v>
      </c>
      <c r="C32" s="811" t="s">
        <v>99</v>
      </c>
      <c r="D32" s="90" t="str">
        <f t="shared" si="2"/>
        <v>Routine Maintenance</v>
      </c>
      <c r="E32" s="87">
        <f t="shared" si="3"/>
        <v>0</v>
      </c>
      <c r="F32" s="87">
        <f t="shared" si="4"/>
        <v>0</v>
      </c>
      <c r="G32" s="87" cm="1">
        <f t="array" ref="G32">IFERROR(-IF(A32=$H$8,LOOKUP(2,1/($F$14:$F$54&lt;&gt;0),$F$14:$F$54)*(19-(A32-_xlfn.XLOOKUP(LOOKUP(2,1/($F$14:$F$54&lt;&gt;0),$F$14:$F$54),$F$14:$F$54,$A$14:$A$54,,0)))/19,0),0)</f>
        <v>0</v>
      </c>
      <c r="H32" s="87">
        <f t="shared" si="5"/>
        <v>0</v>
      </c>
      <c r="I32" s="87">
        <f>IF(AND($A32&gt;=$H$7,$A32&lt;=$H$8),IFERROR('State of Good Repair AP-CP'!$B$26*$C$108*B32*(1-$J$108)*VLOOKUP($E$108,$B$150:$D$152,3,0)*(HLOOKUP(C32,$E$149:$I$155,$O$150,0)-1)/100,0)+IFERROR('State of Good Repair AP-CP'!$B$26*$C$109*B32*(1-$J$109)*VLOOKUP($E$109,$B$150:$D$152,3,0)*(HLOOKUP(C32,$E$149:$I$155,$O$151,0)-1)/100,0),0)</f>
        <v>0</v>
      </c>
      <c r="J32" s="87">
        <f>IF(AND($A32&gt;=$H$7,$A32&lt;=$H$8),(IFERROR('State of Good Repair AP-CP'!$B$26*$C$108*B32*$J$108*VLOOKUP($E$108,$B$153:$D$155,3,0)*(HLOOKUP(C32,$E$149:$I$155,$P$150,0)-1)/100,0)+IFERROR('State of Good Repair AP-CP'!$B$26*$C$109*B32*$J$109*VLOOKUP($E$109,$B$153:$D$155,3,0)*(HLOOKUP(C32,$E$149:$I$155,$P$151,0)-1)/100,0)),0)</f>
        <v>0</v>
      </c>
      <c r="K32" s="87">
        <f t="shared" si="6"/>
        <v>0</v>
      </c>
      <c r="M32" s="72"/>
    </row>
    <row r="33" spans="1:13">
      <c r="A33" s="89">
        <f>'Major Assumption Key'!A38</f>
        <v>2039</v>
      </c>
      <c r="B33" s="88">
        <f t="shared" si="1"/>
        <v>0</v>
      </c>
      <c r="C33" s="811" t="s">
        <v>99</v>
      </c>
      <c r="D33" s="90" t="str">
        <f t="shared" si="2"/>
        <v>Routine Maintenance</v>
      </c>
      <c r="E33" s="87">
        <f t="shared" si="3"/>
        <v>0</v>
      </c>
      <c r="F33" s="87">
        <f t="shared" si="4"/>
        <v>0</v>
      </c>
      <c r="G33" s="87" cm="1">
        <f t="array" ref="G33">IFERROR(-IF(A33=$H$8,LOOKUP(2,1/($F$14:$F$54&lt;&gt;0),$F$14:$F$54)*(19-(A33-_xlfn.XLOOKUP(LOOKUP(2,1/($F$14:$F$54&lt;&gt;0),$F$14:$F$54),$F$14:$F$54,$A$14:$A$54,,0)))/19,0),0)</f>
        <v>0</v>
      </c>
      <c r="H33" s="87">
        <f t="shared" si="5"/>
        <v>0</v>
      </c>
      <c r="I33" s="87">
        <f>IF(AND($A33&gt;=$H$7,$A33&lt;=$H$8),IFERROR('State of Good Repair AP-CP'!$B$26*$C$108*B33*(1-$J$108)*VLOOKUP($E$108,$B$150:$D$152,3,0)*(HLOOKUP(C33,$E$149:$I$155,$O$150,0)-1)/100,0)+IFERROR('State of Good Repair AP-CP'!$B$26*$C$109*B33*(1-$J$109)*VLOOKUP($E$109,$B$150:$D$152,3,0)*(HLOOKUP(C33,$E$149:$I$155,$O$151,0)-1)/100,0),0)</f>
        <v>0</v>
      </c>
      <c r="J33" s="87">
        <f>IF(AND($A33&gt;=$H$7,$A33&lt;=$H$8),(IFERROR('State of Good Repair AP-CP'!$B$26*$C$108*B33*$J$108*VLOOKUP($E$108,$B$153:$D$155,3,0)*(HLOOKUP(C33,$E$149:$I$155,$P$150,0)-1)/100,0)+IFERROR('State of Good Repair AP-CP'!$B$26*$C$109*B33*$J$109*VLOOKUP($E$109,$B$153:$D$155,3,0)*(HLOOKUP(C33,$E$149:$I$155,$P$151,0)-1)/100,0)),0)</f>
        <v>0</v>
      </c>
      <c r="K33" s="87">
        <f t="shared" si="6"/>
        <v>0</v>
      </c>
      <c r="M33" s="72"/>
    </row>
    <row r="34" spans="1:13">
      <c r="A34" s="89">
        <f>'Major Assumption Key'!A39</f>
        <v>2040</v>
      </c>
      <c r="B34" s="88">
        <f t="shared" si="1"/>
        <v>0</v>
      </c>
      <c r="C34" s="811" t="s">
        <v>567</v>
      </c>
      <c r="D34" s="90" t="str">
        <f t="shared" si="2"/>
        <v>Rehab</v>
      </c>
      <c r="E34" s="87">
        <f t="shared" si="3"/>
        <v>0</v>
      </c>
      <c r="F34" s="87">
        <f t="shared" si="4"/>
        <v>0</v>
      </c>
      <c r="G34" s="87" cm="1">
        <f t="array" ref="G34">IFERROR(-IF(A34=$H$8,LOOKUP(2,1/($F$14:$F$54&lt;&gt;0),$F$14:$F$54)*(19-(A34-_xlfn.XLOOKUP(LOOKUP(2,1/($F$14:$F$54&lt;&gt;0),$F$14:$F$54),$F$14:$F$54,$A$14:$A$54,,0)))/19,0),0)</f>
        <v>0</v>
      </c>
      <c r="H34" s="87">
        <f t="shared" si="5"/>
        <v>0</v>
      </c>
      <c r="I34" s="87">
        <f>IF(AND($A34&gt;=$H$7,$A34&lt;=$H$8),IFERROR('State of Good Repair AP-CP'!$B$26*$C$108*B34*(1-$J$108)*VLOOKUP($E$108,$B$150:$D$152,3,0)*(HLOOKUP(C34,$E$149:$I$155,$O$150,0)-1)/100,0)+IFERROR('State of Good Repair AP-CP'!$B$26*$C$109*B34*(1-$J$109)*VLOOKUP($E$109,$B$150:$D$152,3,0)*(HLOOKUP(C34,$E$149:$I$155,$O$151,0)-1)/100,0),0)</f>
        <v>0</v>
      </c>
      <c r="J34" s="87">
        <f>IF(AND($A34&gt;=$H$7,$A34&lt;=$H$8),(IFERROR('State of Good Repair AP-CP'!$B$26*$C$108*B34*$J$108*VLOOKUP($E$108,$B$153:$D$155,3,0)*(HLOOKUP(C34,$E$149:$I$155,$P$150,0)-1)/100,0)+IFERROR('State of Good Repair AP-CP'!$B$26*$C$109*B34*$J$109*VLOOKUP($E$109,$B$153:$D$155,3,0)*(HLOOKUP(C34,$E$149:$I$155,$P$151,0)-1)/100,0)),0)</f>
        <v>0</v>
      </c>
      <c r="K34" s="87">
        <f t="shared" si="6"/>
        <v>0</v>
      </c>
      <c r="M34" s="72"/>
    </row>
    <row r="35" spans="1:13">
      <c r="A35" s="89">
        <f>'Major Assumption Key'!A40</f>
        <v>2041</v>
      </c>
      <c r="B35" s="88">
        <f t="shared" si="1"/>
        <v>0</v>
      </c>
      <c r="C35" s="811" t="s">
        <v>96</v>
      </c>
      <c r="D35" s="90" t="str">
        <f t="shared" si="2"/>
        <v>Routine Maintenance</v>
      </c>
      <c r="E35" s="87">
        <f t="shared" si="3"/>
        <v>0</v>
      </c>
      <c r="F35" s="87">
        <f t="shared" si="4"/>
        <v>0</v>
      </c>
      <c r="G35" s="87" cm="1">
        <f t="array" ref="G35">IFERROR(-IF(A35=$H$8,LOOKUP(2,1/($F$14:$F$54&lt;&gt;0),$F$14:$F$54)*(19-(A35-_xlfn.XLOOKUP(LOOKUP(2,1/($F$14:$F$54&lt;&gt;0),$F$14:$F$54),$F$14:$F$54,$A$14:$A$54,,0)))/19,0),0)</f>
        <v>0</v>
      </c>
      <c r="H35" s="87">
        <f t="shared" si="5"/>
        <v>0</v>
      </c>
      <c r="I35" s="87">
        <f>IF(AND($A35&gt;=$H$7,$A35&lt;=$H$8),IFERROR('State of Good Repair AP-CP'!$B$26*$C$108*B35*(1-$J$108)*VLOOKUP($E$108,$B$150:$D$152,3,0)*(HLOOKUP(C35,$E$149:$I$155,$O$150,0)-1)/100,0)+IFERROR('State of Good Repair AP-CP'!$B$26*$C$109*B35*(1-$J$109)*VLOOKUP($E$109,$B$150:$D$152,3,0)*(HLOOKUP(C35,$E$149:$I$155,$O$151,0)-1)/100,0),0)</f>
        <v>0</v>
      </c>
      <c r="J35" s="87">
        <f>IF(AND($A35&gt;=$H$7,$A35&lt;=$H$8),(IFERROR('State of Good Repair AP-CP'!$B$26*$C$108*B35*$J$108*VLOOKUP($E$108,$B$153:$D$155,3,0)*(HLOOKUP(C35,$E$149:$I$155,$P$150,0)-1)/100,0)+IFERROR('State of Good Repair AP-CP'!$B$26*$C$109*B35*$J$109*VLOOKUP($E$109,$B$153:$D$155,3,0)*(HLOOKUP(C35,$E$149:$I$155,$P$151,0)-1)/100,0)),0)</f>
        <v>0</v>
      </c>
      <c r="K35" s="87">
        <f t="shared" si="6"/>
        <v>0</v>
      </c>
      <c r="M35" s="72"/>
    </row>
    <row r="36" spans="1:13">
      <c r="A36" s="89">
        <f>'Major Assumption Key'!A41</f>
        <v>2042</v>
      </c>
      <c r="B36" s="88">
        <f t="shared" si="1"/>
        <v>0</v>
      </c>
      <c r="C36" s="811" t="s">
        <v>96</v>
      </c>
      <c r="D36" s="90" t="str">
        <f t="shared" si="2"/>
        <v>Routine Maintenance</v>
      </c>
      <c r="E36" s="87">
        <f t="shared" si="3"/>
        <v>0</v>
      </c>
      <c r="F36" s="87">
        <f t="shared" si="4"/>
        <v>0</v>
      </c>
      <c r="G36" s="87" cm="1">
        <f t="array" ref="G36">IFERROR(-IF(A36=$H$8,LOOKUP(2,1/($F$14:$F$54&lt;&gt;0),$F$14:$F$54)*(19-(A36-_xlfn.XLOOKUP(LOOKUP(2,1/($F$14:$F$54&lt;&gt;0),$F$14:$F$54),$F$14:$F$54,$A$14:$A$54,,0)))/19,0),0)</f>
        <v>0</v>
      </c>
      <c r="H36" s="87">
        <f t="shared" si="5"/>
        <v>0</v>
      </c>
      <c r="I36" s="87">
        <f>IF(AND($A36&gt;=$H$7,$A36&lt;=$H$8),IFERROR('State of Good Repair AP-CP'!$B$26*$C$108*B36*(1-$J$108)*VLOOKUP($E$108,$B$150:$D$152,3,0)*(HLOOKUP(C36,$E$149:$I$155,$O$150,0)-1)/100,0)+IFERROR('State of Good Repair AP-CP'!$B$26*$C$109*B36*(1-$J$109)*VLOOKUP($E$109,$B$150:$D$152,3,0)*(HLOOKUP(C36,$E$149:$I$155,$O$151,0)-1)/100,0),0)</f>
        <v>0</v>
      </c>
      <c r="J36" s="87">
        <f>IF(AND($A36&gt;=$H$7,$A36&lt;=$H$8),(IFERROR('State of Good Repair AP-CP'!$B$26*$C$108*B36*$J$108*VLOOKUP($E$108,$B$153:$D$155,3,0)*(HLOOKUP(C36,$E$149:$I$155,$P$150,0)-1)/100,0)+IFERROR('State of Good Repair AP-CP'!$B$26*$C$109*B36*$J$109*VLOOKUP($E$109,$B$153:$D$155,3,0)*(HLOOKUP(C36,$E$149:$I$155,$P$151,0)-1)/100,0)),0)</f>
        <v>0</v>
      </c>
      <c r="K36" s="87">
        <f t="shared" si="6"/>
        <v>0</v>
      </c>
      <c r="M36" s="72"/>
    </row>
    <row r="37" spans="1:13">
      <c r="A37" s="89">
        <f>'Major Assumption Key'!A42</f>
        <v>2043</v>
      </c>
      <c r="B37" s="88">
        <f t="shared" si="1"/>
        <v>0</v>
      </c>
      <c r="C37" s="811" t="s">
        <v>96</v>
      </c>
      <c r="D37" s="90" t="str">
        <f t="shared" si="2"/>
        <v>Routine Maintenance</v>
      </c>
      <c r="E37" s="87">
        <f t="shared" si="3"/>
        <v>0</v>
      </c>
      <c r="F37" s="87">
        <f t="shared" si="4"/>
        <v>0</v>
      </c>
      <c r="G37" s="87" cm="1">
        <f t="array" ref="G37">IFERROR(-IF(A37=$H$8,LOOKUP(2,1/($F$14:$F$54&lt;&gt;0),$F$14:$F$54)*(19-(A37-_xlfn.XLOOKUP(LOOKUP(2,1/($F$14:$F$54&lt;&gt;0),$F$14:$F$54),$F$14:$F$54,$A$14:$A$54,,0)))/19,0),0)</f>
        <v>0</v>
      </c>
      <c r="H37" s="87">
        <f t="shared" si="5"/>
        <v>0</v>
      </c>
      <c r="I37" s="87">
        <f>IF(AND($A37&gt;=$H$7,$A37&lt;=$H$8),IFERROR('State of Good Repair AP-CP'!$B$26*$C$108*B37*(1-$J$108)*VLOOKUP($E$108,$B$150:$D$152,3,0)*(HLOOKUP(C37,$E$149:$I$155,$O$150,0)-1)/100,0)+IFERROR('State of Good Repair AP-CP'!$B$26*$C$109*B37*(1-$J$109)*VLOOKUP($E$109,$B$150:$D$152,3,0)*(HLOOKUP(C37,$E$149:$I$155,$O$151,0)-1)/100,0),0)</f>
        <v>0</v>
      </c>
      <c r="J37" s="87">
        <f>IF(AND($A37&gt;=$H$7,$A37&lt;=$H$8),(IFERROR('State of Good Repair AP-CP'!$B$26*$C$108*B37*$J$108*VLOOKUP($E$108,$B$153:$D$155,3,0)*(HLOOKUP(C37,$E$149:$I$155,$P$150,0)-1)/100,0)+IFERROR('State of Good Repair AP-CP'!$B$26*$C$109*B37*$J$109*VLOOKUP($E$109,$B$153:$D$155,3,0)*(HLOOKUP(C37,$E$149:$I$155,$P$151,0)-1)/100,0)),0)</f>
        <v>0</v>
      </c>
      <c r="K37" s="87">
        <f t="shared" si="6"/>
        <v>0</v>
      </c>
      <c r="M37" s="72"/>
    </row>
    <row r="38" spans="1:13">
      <c r="A38" s="89">
        <f>'Major Assumption Key'!A43</f>
        <v>2044</v>
      </c>
      <c r="B38" s="88">
        <f t="shared" si="1"/>
        <v>0</v>
      </c>
      <c r="C38" s="811" t="s">
        <v>96</v>
      </c>
      <c r="D38" s="90" t="str">
        <f t="shared" si="2"/>
        <v>Routine Maintenance</v>
      </c>
      <c r="E38" s="87">
        <f t="shared" si="3"/>
        <v>0</v>
      </c>
      <c r="F38" s="87">
        <f t="shared" si="4"/>
        <v>0</v>
      </c>
      <c r="G38" s="87" cm="1">
        <f t="array" ref="G38">IFERROR(-IF(A38=$H$8,LOOKUP(2,1/($F$14:$F$54&lt;&gt;0),$F$14:$F$54)*(19-(A38-_xlfn.XLOOKUP(LOOKUP(2,1/($F$14:$F$54&lt;&gt;0),$F$14:$F$54),$F$14:$F$54,$A$14:$A$54,,0)))/19,0),0)</f>
        <v>0</v>
      </c>
      <c r="H38" s="87">
        <f t="shared" si="5"/>
        <v>0</v>
      </c>
      <c r="I38" s="87">
        <f>IF(AND($A38&gt;=$H$7,$A38&lt;=$H$8),IFERROR('State of Good Repair AP-CP'!$B$26*$C$108*B38*(1-$J$108)*VLOOKUP($E$108,$B$150:$D$152,3,0)*(HLOOKUP(C38,$E$149:$I$155,$O$150,0)-1)/100,0)+IFERROR('State of Good Repair AP-CP'!$B$26*$C$109*B38*(1-$J$109)*VLOOKUP($E$109,$B$150:$D$152,3,0)*(HLOOKUP(C38,$E$149:$I$155,$O$151,0)-1)/100,0),0)</f>
        <v>0</v>
      </c>
      <c r="J38" s="87">
        <f>IF(AND($A38&gt;=$H$7,$A38&lt;=$H$8),(IFERROR('State of Good Repair AP-CP'!$B$26*$C$108*B38*$J$108*VLOOKUP($E$108,$B$153:$D$155,3,0)*(HLOOKUP(C38,$E$149:$I$155,$P$150,0)-1)/100,0)+IFERROR('State of Good Repair AP-CP'!$B$26*$C$109*B38*$J$109*VLOOKUP($E$109,$B$153:$D$155,3,0)*(HLOOKUP(C38,$E$149:$I$155,$P$151,0)-1)/100,0)),0)</f>
        <v>0</v>
      </c>
      <c r="K38" s="87">
        <f t="shared" si="6"/>
        <v>0</v>
      </c>
      <c r="M38" s="72"/>
    </row>
    <row r="39" spans="1:13">
      <c r="A39" s="89">
        <f>'Major Assumption Key'!A44</f>
        <v>2045</v>
      </c>
      <c r="B39" s="88">
        <f t="shared" si="1"/>
        <v>0</v>
      </c>
      <c r="C39" s="811" t="s">
        <v>97</v>
      </c>
      <c r="D39" s="90" t="str">
        <f t="shared" si="2"/>
        <v>Routine Maintenance</v>
      </c>
      <c r="E39" s="87">
        <f t="shared" si="3"/>
        <v>0</v>
      </c>
      <c r="F39" s="87">
        <f t="shared" si="4"/>
        <v>0</v>
      </c>
      <c r="G39" s="87" cm="1">
        <f t="array" ref="G39">IFERROR(-IF(A39=$H$8,LOOKUP(2,1/($F$14:$F$54&lt;&gt;0),$F$14:$F$54)*(19-(A39-_xlfn.XLOOKUP(LOOKUP(2,1/($F$14:$F$54&lt;&gt;0),$F$14:$F$54),$F$14:$F$54,$A$14:$A$54,,0)))/19,0),0)</f>
        <v>0</v>
      </c>
      <c r="H39" s="87">
        <f t="shared" si="5"/>
        <v>0</v>
      </c>
      <c r="I39" s="87">
        <f>IF(AND($A39&gt;=$H$7,$A39&lt;=$H$8),IFERROR('State of Good Repair AP-CP'!$B$26*$C$108*B39*(1-$J$108)*VLOOKUP($E$108,$B$150:$D$152,3,0)*(HLOOKUP(C39,$E$149:$I$155,$O$150,0)-1)/100,0)+IFERROR('State of Good Repair AP-CP'!$B$26*$C$109*B39*(1-$J$109)*VLOOKUP($E$109,$B$150:$D$152,3,0)*(HLOOKUP(C39,$E$149:$I$155,$O$151,0)-1)/100,0),0)</f>
        <v>0</v>
      </c>
      <c r="J39" s="87">
        <f>IF(AND($A39&gt;=$H$7,$A39&lt;=$H$8),(IFERROR('State of Good Repair AP-CP'!$B$26*$C$108*B39*$J$108*VLOOKUP($E$108,$B$153:$D$155,3,0)*(HLOOKUP(C39,$E$149:$I$155,$P$150,0)-1)/100,0)+IFERROR('State of Good Repair AP-CP'!$B$26*$C$109*B39*$J$109*VLOOKUP($E$109,$B$153:$D$155,3,0)*(HLOOKUP(C39,$E$149:$I$155,$P$151,0)-1)/100,0)),0)</f>
        <v>0</v>
      </c>
      <c r="K39" s="87">
        <f t="shared" si="6"/>
        <v>0</v>
      </c>
      <c r="M39" s="72"/>
    </row>
    <row r="40" spans="1:13">
      <c r="A40" s="89">
        <f>'Major Assumption Key'!A45</f>
        <v>2046</v>
      </c>
      <c r="B40" s="88">
        <f t="shared" si="1"/>
        <v>0</v>
      </c>
      <c r="C40" s="811" t="s">
        <v>97</v>
      </c>
      <c r="D40" s="90" t="str">
        <f t="shared" si="2"/>
        <v>Routine Maintenance</v>
      </c>
      <c r="E40" s="87">
        <f t="shared" si="3"/>
        <v>0</v>
      </c>
      <c r="F40" s="87">
        <f t="shared" si="4"/>
        <v>0</v>
      </c>
      <c r="G40" s="87" cm="1">
        <f t="array" ref="G40">IFERROR(-IF(A40=$H$8,LOOKUP(2,1/($F$14:$F$54&lt;&gt;0),$F$14:$F$54)*(19-(A40-_xlfn.XLOOKUP(LOOKUP(2,1/($F$14:$F$54&lt;&gt;0),$F$14:$F$54),$F$14:$F$54,$A$14:$A$54,,0)))/19,0),0)</f>
        <v>0</v>
      </c>
      <c r="H40" s="87">
        <f t="shared" si="5"/>
        <v>0</v>
      </c>
      <c r="I40" s="87">
        <f>IF(AND($A40&gt;=$H$7,$A40&lt;=$H$8),IFERROR('State of Good Repair AP-CP'!$B$26*$C$108*B40*(1-$J$108)*VLOOKUP($E$108,$B$150:$D$152,3,0)*(HLOOKUP(C40,$E$149:$I$155,$O$150,0)-1)/100,0)+IFERROR('State of Good Repair AP-CP'!$B$26*$C$109*B40*(1-$J$109)*VLOOKUP($E$109,$B$150:$D$152,3,0)*(HLOOKUP(C40,$E$149:$I$155,$O$151,0)-1)/100,0),0)</f>
        <v>0</v>
      </c>
      <c r="J40" s="87">
        <f>IF(AND($A40&gt;=$H$7,$A40&lt;=$H$8),(IFERROR('State of Good Repair AP-CP'!$B$26*$C$108*B40*$J$108*VLOOKUP($E$108,$B$153:$D$155,3,0)*(HLOOKUP(C40,$E$149:$I$155,$P$150,0)-1)/100,0)+IFERROR('State of Good Repair AP-CP'!$B$26*$C$109*B40*$J$109*VLOOKUP($E$109,$B$153:$D$155,3,0)*(HLOOKUP(C40,$E$149:$I$155,$P$151,0)-1)/100,0)),0)</f>
        <v>0</v>
      </c>
      <c r="K40" s="87">
        <f t="shared" si="6"/>
        <v>0</v>
      </c>
      <c r="M40" s="72"/>
    </row>
    <row r="41" spans="1:13">
      <c r="A41" s="89">
        <f>'Major Assumption Key'!A46</f>
        <v>2047</v>
      </c>
      <c r="B41" s="88">
        <f t="shared" si="1"/>
        <v>0</v>
      </c>
      <c r="C41" s="811" t="s">
        <v>97</v>
      </c>
      <c r="D41" s="90" t="str">
        <f t="shared" si="2"/>
        <v>Routine Maintenance</v>
      </c>
      <c r="E41" s="87">
        <f t="shared" si="3"/>
        <v>0</v>
      </c>
      <c r="F41" s="87">
        <f t="shared" si="4"/>
        <v>0</v>
      </c>
      <c r="G41" s="87" cm="1">
        <f t="array" ref="G41">IFERROR(-IF(A41=$H$8,LOOKUP(2,1/($F$14:$F$54&lt;&gt;0),$F$14:$F$54)*(19-(A41-_xlfn.XLOOKUP(LOOKUP(2,1/($F$14:$F$54&lt;&gt;0),$F$14:$F$54),$F$14:$F$54,$A$14:$A$54,,0)))/19,0),0)</f>
        <v>0</v>
      </c>
      <c r="H41" s="87">
        <f t="shared" si="5"/>
        <v>0</v>
      </c>
      <c r="I41" s="87">
        <f>IF(AND($A41&gt;=$H$7,$A41&lt;=$H$8),IFERROR('State of Good Repair AP-CP'!$B$26*$C$108*B41*(1-$J$108)*VLOOKUP($E$108,$B$150:$D$152,3,0)*(HLOOKUP(C41,$E$149:$I$155,$O$150,0)-1)/100,0)+IFERROR('State of Good Repair AP-CP'!$B$26*$C$109*B41*(1-$J$109)*VLOOKUP($E$109,$B$150:$D$152,3,0)*(HLOOKUP(C41,$E$149:$I$155,$O$151,0)-1)/100,0),0)</f>
        <v>0</v>
      </c>
      <c r="J41" s="87">
        <f>IF(AND($A41&gt;=$H$7,$A41&lt;=$H$8),(IFERROR('State of Good Repair AP-CP'!$B$26*$C$108*B41*$J$108*VLOOKUP($E$108,$B$153:$D$155,3,0)*(HLOOKUP(C41,$E$149:$I$155,$P$150,0)-1)/100,0)+IFERROR('State of Good Repair AP-CP'!$B$26*$C$109*B41*$J$109*VLOOKUP($E$109,$B$153:$D$155,3,0)*(HLOOKUP(C41,$E$149:$I$155,$P$151,0)-1)/100,0)),0)</f>
        <v>0</v>
      </c>
      <c r="K41" s="87">
        <f t="shared" si="6"/>
        <v>0</v>
      </c>
      <c r="M41" s="72"/>
    </row>
    <row r="42" spans="1:13">
      <c r="A42" s="89">
        <f>'Major Assumption Key'!A47</f>
        <v>2048</v>
      </c>
      <c r="B42" s="88">
        <f t="shared" si="1"/>
        <v>0</v>
      </c>
      <c r="C42" s="811" t="s">
        <v>98</v>
      </c>
      <c r="D42" s="90" t="str">
        <f t="shared" si="2"/>
        <v>Routine Maintenance</v>
      </c>
      <c r="E42" s="87">
        <f t="shared" si="3"/>
        <v>0</v>
      </c>
      <c r="F42" s="87">
        <f t="shared" si="4"/>
        <v>0</v>
      </c>
      <c r="G42" s="87" cm="1">
        <f t="array" ref="G42">IFERROR(-IF(A42=$H$8,LOOKUP(2,1/($F$14:$F$54&lt;&gt;0),$F$14:$F$54)*(19-(A42-_xlfn.XLOOKUP(LOOKUP(2,1/($F$14:$F$54&lt;&gt;0),$F$14:$F$54),$F$14:$F$54,$A$14:$A$54,,0)))/19,0),0)</f>
        <v>0</v>
      </c>
      <c r="H42" s="87">
        <f t="shared" si="5"/>
        <v>0</v>
      </c>
      <c r="I42" s="87">
        <f>IF(AND($A42&gt;=$H$7,$A42&lt;=$H$8),IFERROR('State of Good Repair AP-CP'!$B$26*$C$108*B42*(1-$J$108)*VLOOKUP($E$108,$B$150:$D$152,3,0)*(HLOOKUP(C42,$E$149:$I$155,$O$150,0)-1)/100,0)+IFERROR('State of Good Repair AP-CP'!$B$26*$C$109*B42*(1-$J$109)*VLOOKUP($E$109,$B$150:$D$152,3,0)*(HLOOKUP(C42,$E$149:$I$155,$O$151,0)-1)/100,0),0)</f>
        <v>0</v>
      </c>
      <c r="J42" s="87">
        <f>IF(AND($A42&gt;=$H$7,$A42&lt;=$H$8),(IFERROR('State of Good Repair AP-CP'!$B$26*$C$108*B42*$J$108*VLOOKUP($E$108,$B$153:$D$155,3,0)*(HLOOKUP(C42,$E$149:$I$155,$P$150,0)-1)/100,0)+IFERROR('State of Good Repair AP-CP'!$B$26*$C$109*B42*$J$109*VLOOKUP($E$109,$B$153:$D$155,3,0)*(HLOOKUP(C42,$E$149:$I$155,$P$151,0)-1)/100,0)),0)</f>
        <v>0</v>
      </c>
      <c r="K42" s="87">
        <f t="shared" si="6"/>
        <v>0</v>
      </c>
      <c r="M42" s="72"/>
    </row>
    <row r="43" spans="1:13">
      <c r="A43" s="89">
        <f>'Major Assumption Key'!A48</f>
        <v>2049</v>
      </c>
      <c r="B43" s="88">
        <f t="shared" si="1"/>
        <v>0</v>
      </c>
      <c r="C43" s="811" t="s">
        <v>98</v>
      </c>
      <c r="D43" s="90" t="str">
        <f t="shared" si="2"/>
        <v>Routine Maintenance</v>
      </c>
      <c r="E43" s="87">
        <f t="shared" si="3"/>
        <v>0</v>
      </c>
      <c r="F43" s="87">
        <f t="shared" si="4"/>
        <v>0</v>
      </c>
      <c r="G43" s="87" cm="1">
        <f t="array" ref="G43">IFERROR(-IF(A43=$H$8,LOOKUP(2,1/($F$14:$F$54&lt;&gt;0),$F$14:$F$54)*(19-(A43-_xlfn.XLOOKUP(LOOKUP(2,1/($F$14:$F$54&lt;&gt;0),$F$14:$F$54),$F$14:$F$54,$A$14:$A$54,,0)))/19,0),0)</f>
        <v>0</v>
      </c>
      <c r="H43" s="87">
        <f t="shared" si="5"/>
        <v>0</v>
      </c>
      <c r="I43" s="87">
        <f>IF(AND($A43&gt;=$H$7,$A43&lt;=$H$8),IFERROR('State of Good Repair AP-CP'!$B$26*$C$108*B43*(1-$J$108)*VLOOKUP($E$108,$B$150:$D$152,3,0)*(HLOOKUP(C43,$E$149:$I$155,$O$150,0)-1)/100,0)+IFERROR('State of Good Repair AP-CP'!$B$26*$C$109*B43*(1-$J$109)*VLOOKUP($E$109,$B$150:$D$152,3,0)*(HLOOKUP(C43,$E$149:$I$155,$O$151,0)-1)/100,0),0)</f>
        <v>0</v>
      </c>
      <c r="J43" s="87">
        <f>IF(AND($A43&gt;=$H$7,$A43&lt;=$H$8),(IFERROR('State of Good Repair AP-CP'!$B$26*$C$108*B43*$J$108*VLOOKUP($E$108,$B$153:$D$155,3,0)*(HLOOKUP(C43,$E$149:$I$155,$P$150,0)-1)/100,0)+IFERROR('State of Good Repair AP-CP'!$B$26*$C$109*B43*$J$109*VLOOKUP($E$109,$B$153:$D$155,3,0)*(HLOOKUP(C43,$E$149:$I$155,$P$151,0)-1)/100,0)),0)</f>
        <v>0</v>
      </c>
      <c r="K43" s="87">
        <f t="shared" si="6"/>
        <v>0</v>
      </c>
      <c r="M43" s="72"/>
    </row>
    <row r="44" spans="1:13">
      <c r="A44" s="89">
        <f>'Major Assumption Key'!A49</f>
        <v>2050</v>
      </c>
      <c r="B44" s="88">
        <f t="shared" si="1"/>
        <v>0</v>
      </c>
      <c r="C44" s="811" t="s">
        <v>98</v>
      </c>
      <c r="D44" s="90" t="str">
        <f t="shared" si="2"/>
        <v>Routine Maintenance</v>
      </c>
      <c r="E44" s="87">
        <f t="shared" si="3"/>
        <v>0</v>
      </c>
      <c r="F44" s="87">
        <f t="shared" si="4"/>
        <v>0</v>
      </c>
      <c r="G44" s="87" cm="1">
        <f t="array" ref="G44">IFERROR(-IF(A44=$H$8,LOOKUP(2,1/($F$14:$F$54&lt;&gt;0),$F$14:$F$54)*(19-(A44-_xlfn.XLOOKUP(LOOKUP(2,1/($F$14:$F$54&lt;&gt;0),$F$14:$F$54),$F$14:$F$54,$A$14:$A$54,,0)))/19,0),0)</f>
        <v>0</v>
      </c>
      <c r="H44" s="87">
        <f t="shared" si="5"/>
        <v>0</v>
      </c>
      <c r="I44" s="87">
        <f>IF(AND($A44&gt;=$H$7,$A44&lt;=$H$8),IFERROR('State of Good Repair AP-CP'!$B$26*$C$108*B44*(1-$J$108)*VLOOKUP($E$108,$B$150:$D$152,3,0)*(HLOOKUP(C44,$E$149:$I$155,$O$150,0)-1)/100,0)+IFERROR('State of Good Repair AP-CP'!$B$26*$C$109*B44*(1-$J$109)*VLOOKUP($E$109,$B$150:$D$152,3,0)*(HLOOKUP(C44,$E$149:$I$155,$O$151,0)-1)/100,0),0)</f>
        <v>0</v>
      </c>
      <c r="J44" s="87">
        <f>IF(AND($A44&gt;=$H$7,$A44&lt;=$H$8),(IFERROR('State of Good Repair AP-CP'!$B$26*$C$108*B44*$J$108*VLOOKUP($E$108,$B$153:$D$155,3,0)*(HLOOKUP(C44,$E$149:$I$155,$P$150,0)-1)/100,0)+IFERROR('State of Good Repair AP-CP'!$B$26*$C$109*B44*$J$109*VLOOKUP($E$109,$B$153:$D$155,3,0)*(HLOOKUP(C44,$E$149:$I$155,$P$151,0)-1)/100,0)),0)</f>
        <v>0</v>
      </c>
      <c r="K44" s="87">
        <f t="shared" si="6"/>
        <v>0</v>
      </c>
      <c r="M44" s="72"/>
    </row>
    <row r="45" spans="1:13">
      <c r="A45" s="89">
        <f>'Major Assumption Key'!A50</f>
        <v>2051</v>
      </c>
      <c r="B45" s="88">
        <f t="shared" si="1"/>
        <v>0</v>
      </c>
      <c r="C45" s="811" t="s">
        <v>99</v>
      </c>
      <c r="D45" s="90" t="str">
        <f t="shared" si="2"/>
        <v>Routine Maintenance</v>
      </c>
      <c r="E45" s="87">
        <f t="shared" si="3"/>
        <v>0</v>
      </c>
      <c r="F45" s="87">
        <f t="shared" si="4"/>
        <v>0</v>
      </c>
      <c r="G45" s="87" cm="1">
        <f t="array" ref="G45">IFERROR(-IF(A45=$H$8,LOOKUP(2,1/($F$14:$F$54&lt;&gt;0),$F$14:$F$54)*(19-(A45-_xlfn.XLOOKUP(LOOKUP(2,1/($F$14:$F$54&lt;&gt;0),$F$14:$F$54),$F$14:$F$54,$A$14:$A$54,,0)))/19,0),0)</f>
        <v>0</v>
      </c>
      <c r="H45" s="87">
        <f t="shared" si="5"/>
        <v>0</v>
      </c>
      <c r="I45" s="87">
        <f>IF(AND($A45&gt;=$H$7,$A45&lt;=$H$8),IFERROR('State of Good Repair AP-CP'!$B$26*$C$108*B45*(1-$J$108)*VLOOKUP($E$108,$B$150:$D$152,3,0)*(HLOOKUP(C45,$E$149:$I$155,$O$150,0)-1)/100,0)+IFERROR('State of Good Repair AP-CP'!$B$26*$C$109*B45*(1-$J$109)*VLOOKUP($E$109,$B$150:$D$152,3,0)*(HLOOKUP(C45,$E$149:$I$155,$O$151,0)-1)/100,0),0)</f>
        <v>0</v>
      </c>
      <c r="J45" s="87">
        <f>IF(AND($A45&gt;=$H$7,$A45&lt;=$H$8),(IFERROR('State of Good Repair AP-CP'!$B$26*$C$108*B45*$J$108*VLOOKUP($E$108,$B$153:$D$155,3,0)*(HLOOKUP(C45,$E$149:$I$155,$P$150,0)-1)/100,0)+IFERROR('State of Good Repair AP-CP'!$B$26*$C$109*B45*$J$109*VLOOKUP($E$109,$B$153:$D$155,3,0)*(HLOOKUP(C45,$E$149:$I$155,$P$151,0)-1)/100,0)),0)</f>
        <v>0</v>
      </c>
      <c r="K45" s="87">
        <f t="shared" si="6"/>
        <v>0</v>
      </c>
      <c r="M45" s="72"/>
    </row>
    <row r="46" spans="1:13">
      <c r="A46" s="89">
        <f>'Major Assumption Key'!A51</f>
        <v>2052</v>
      </c>
      <c r="B46" s="88">
        <f t="shared" si="1"/>
        <v>0</v>
      </c>
      <c r="C46" s="811" t="s">
        <v>99</v>
      </c>
      <c r="D46" s="90" t="str">
        <f t="shared" si="2"/>
        <v>Routine Maintenance</v>
      </c>
      <c r="E46" s="87">
        <f t="shared" si="3"/>
        <v>0</v>
      </c>
      <c r="F46" s="87">
        <f t="shared" si="4"/>
        <v>0</v>
      </c>
      <c r="G46" s="87" cm="1">
        <f t="array" ref="G46">IFERROR(-IF(A46=$H$8,LOOKUP(2,1/($F$14:$F$54&lt;&gt;0),$F$14:$F$54)*(19-(A46-_xlfn.XLOOKUP(LOOKUP(2,1/($F$14:$F$54&lt;&gt;0),$F$14:$F$54),$F$14:$F$54,$A$14:$A$54,,0)))/19,0),0)</f>
        <v>0</v>
      </c>
      <c r="H46" s="87">
        <f t="shared" si="5"/>
        <v>0</v>
      </c>
      <c r="I46" s="87">
        <f>IF(AND($A46&gt;=$H$7,$A46&lt;=$H$8),IFERROR('State of Good Repair AP-CP'!$B$26*$C$108*B46*(1-$J$108)*VLOOKUP($E$108,$B$150:$D$152,3,0)*(HLOOKUP(C46,$E$149:$I$155,$O$150,0)-1)/100,0)+IFERROR('State of Good Repair AP-CP'!$B$26*$C$109*B46*(1-$J$109)*VLOOKUP($E$109,$B$150:$D$152,3,0)*(HLOOKUP(C46,$E$149:$I$155,$O$151,0)-1)/100,0),0)</f>
        <v>0</v>
      </c>
      <c r="J46" s="87">
        <f>IF(AND($A46&gt;=$H$7,$A46&lt;=$H$8),(IFERROR('State of Good Repair AP-CP'!$B$26*$C$108*B46*$J$108*VLOOKUP($E$108,$B$153:$D$155,3,0)*(HLOOKUP(C46,$E$149:$I$155,$P$150,0)-1)/100,0)+IFERROR('State of Good Repair AP-CP'!$B$26*$C$109*B46*$J$109*VLOOKUP($E$109,$B$153:$D$155,3,0)*(HLOOKUP(C46,$E$149:$I$155,$P$151,0)-1)/100,0)),0)</f>
        <v>0</v>
      </c>
      <c r="K46" s="87">
        <f t="shared" si="6"/>
        <v>0</v>
      </c>
      <c r="M46" s="72"/>
    </row>
    <row r="47" spans="1:13">
      <c r="A47" s="89">
        <f>'Major Assumption Key'!A52</f>
        <v>2053</v>
      </c>
      <c r="B47" s="88">
        <f t="shared" si="1"/>
        <v>0</v>
      </c>
      <c r="C47" s="811" t="s">
        <v>99</v>
      </c>
      <c r="D47" s="90" t="str">
        <f t="shared" si="2"/>
        <v>Routine Maintenance</v>
      </c>
      <c r="E47" s="87">
        <f t="shared" si="3"/>
        <v>0</v>
      </c>
      <c r="F47" s="87">
        <f t="shared" si="4"/>
        <v>0</v>
      </c>
      <c r="G47" s="87" cm="1">
        <f t="array" ref="G47">IFERROR(-IF(A47=$H$8,LOOKUP(2,1/($F$14:$F$54&lt;&gt;0),$F$14:$F$54)*(19-(A47-_xlfn.XLOOKUP(LOOKUP(2,1/($F$14:$F$54&lt;&gt;0),$F$14:$F$54),$F$14:$F$54,$A$14:$A$54,,0)))/19,0),0)</f>
        <v>0</v>
      </c>
      <c r="H47" s="87">
        <f t="shared" si="5"/>
        <v>0</v>
      </c>
      <c r="I47" s="87">
        <f>IF(AND($A47&gt;=$H$7,$A47&lt;=$H$8),IFERROR('State of Good Repair AP-CP'!$B$26*$C$108*B47*(1-$J$108)*VLOOKUP($E$108,$B$150:$D$152,3,0)*(HLOOKUP(C47,$E$149:$I$155,$O$150,0)-1)/100,0)+IFERROR('State of Good Repair AP-CP'!$B$26*$C$109*B47*(1-$J$109)*VLOOKUP($E$109,$B$150:$D$152,3,0)*(HLOOKUP(C47,$E$149:$I$155,$O$151,0)-1)/100,0),0)</f>
        <v>0</v>
      </c>
      <c r="J47" s="87">
        <f>IF(AND($A47&gt;=$H$7,$A47&lt;=$H$8),(IFERROR('State of Good Repair AP-CP'!$B$26*$C$108*B47*$J$108*VLOOKUP($E$108,$B$153:$D$155,3,0)*(HLOOKUP(C47,$E$149:$I$155,$P$150,0)-1)/100,0)+IFERROR('State of Good Repair AP-CP'!$B$26*$C$109*B47*$J$109*VLOOKUP($E$109,$B$153:$D$155,3,0)*(HLOOKUP(C47,$E$149:$I$155,$P$151,0)-1)/100,0)),0)</f>
        <v>0</v>
      </c>
      <c r="K47" s="87">
        <f t="shared" si="6"/>
        <v>0</v>
      </c>
      <c r="M47" s="72"/>
    </row>
    <row r="48" spans="1:13">
      <c r="A48" s="89">
        <f>'Major Assumption Key'!A53</f>
        <v>2054</v>
      </c>
      <c r="B48" s="88">
        <f t="shared" si="1"/>
        <v>0</v>
      </c>
      <c r="C48" s="811" t="s">
        <v>99</v>
      </c>
      <c r="D48" s="90" t="str">
        <f t="shared" si="2"/>
        <v>Routine Maintenance</v>
      </c>
      <c r="E48" s="87">
        <f t="shared" si="3"/>
        <v>0</v>
      </c>
      <c r="F48" s="87">
        <f t="shared" si="4"/>
        <v>0</v>
      </c>
      <c r="G48" s="87" cm="1">
        <f t="array" ref="G48">IFERROR(-IF(A48=$H$8,LOOKUP(2,1/($F$14:$F$54&lt;&gt;0),$F$14:$F$54)*(19-(A48-_xlfn.XLOOKUP(LOOKUP(2,1/($F$14:$F$54&lt;&gt;0),$F$14:$F$54),$F$14:$F$54,$A$14:$A$54,,0)))/19,0),0)</f>
        <v>0</v>
      </c>
      <c r="H48" s="87">
        <f t="shared" si="5"/>
        <v>0</v>
      </c>
      <c r="I48" s="87">
        <f>IF(AND($A48&gt;=$H$7,$A48&lt;=$H$8),IFERROR('State of Good Repair AP-CP'!$B$26*$C$108*B48*(1-$J$108)*VLOOKUP($E$108,$B$150:$D$152,3,0)*(HLOOKUP(C48,$E$149:$I$155,$O$150,0)-1)/100,0)+IFERROR('State of Good Repair AP-CP'!$B$26*$C$109*B48*(1-$J$109)*VLOOKUP($E$109,$B$150:$D$152,3,0)*(HLOOKUP(C48,$E$149:$I$155,$O$151,0)-1)/100,0),0)</f>
        <v>0</v>
      </c>
      <c r="J48" s="87">
        <f>IF(AND($A48&gt;=$H$7,$A48&lt;=$H$8),(IFERROR('State of Good Repair AP-CP'!$B$26*$C$108*B48*$J$108*VLOOKUP($E$108,$B$153:$D$155,3,0)*(HLOOKUP(C48,$E$149:$I$155,$P$150,0)-1)/100,0)+IFERROR('State of Good Repair AP-CP'!$B$26*$C$109*B48*$J$109*VLOOKUP($E$109,$B$153:$D$155,3,0)*(HLOOKUP(C48,$E$149:$I$155,$P$151,0)-1)/100,0)),0)</f>
        <v>0</v>
      </c>
      <c r="K48" s="87">
        <f t="shared" si="6"/>
        <v>0</v>
      </c>
      <c r="M48" s="72"/>
    </row>
    <row r="49" spans="1:13">
      <c r="A49" s="89">
        <f>'Major Assumption Key'!A54</f>
        <v>2055</v>
      </c>
      <c r="B49" s="88">
        <f t="shared" si="1"/>
        <v>0</v>
      </c>
      <c r="C49" s="811" t="s">
        <v>567</v>
      </c>
      <c r="D49" s="90" t="str">
        <f t="shared" si="2"/>
        <v>Rehab</v>
      </c>
      <c r="E49" s="87">
        <f t="shared" si="3"/>
        <v>0</v>
      </c>
      <c r="F49" s="87">
        <f t="shared" si="4"/>
        <v>0</v>
      </c>
      <c r="G49" s="87" cm="1">
        <f t="array" ref="G49">IFERROR(-IF(A49=$H$8,LOOKUP(2,1/($F$14:$F$54&lt;&gt;0),$F$14:$F$54)*(19-(A49-_xlfn.XLOOKUP(LOOKUP(2,1/($F$14:$F$54&lt;&gt;0),$F$14:$F$54),$F$14:$F$54,$A$14:$A$54,,0)))/19,0),0)</f>
        <v>0</v>
      </c>
      <c r="H49" s="87">
        <f t="shared" si="5"/>
        <v>0</v>
      </c>
      <c r="I49" s="87">
        <f>IF(AND($A49&gt;=$H$7,$A49&lt;=$H$8),IFERROR('State of Good Repair AP-CP'!$B$26*$C$108*B49*(1-$J$108)*VLOOKUP($E$108,$B$150:$D$152,3,0)*(HLOOKUP(C49,$E$149:$I$155,$O$150,0)-1)/100,0)+IFERROR('State of Good Repair AP-CP'!$B$26*$C$109*B49*(1-$J$109)*VLOOKUP($E$109,$B$150:$D$152,3,0)*(HLOOKUP(C49,$E$149:$I$155,$O$151,0)-1)/100,0),0)</f>
        <v>0</v>
      </c>
      <c r="J49" s="87">
        <f>IF(AND($A49&gt;=$H$7,$A49&lt;=$H$8),(IFERROR('State of Good Repair AP-CP'!$B$26*$C$108*B49*$J$108*VLOOKUP($E$108,$B$153:$D$155,3,0)*(HLOOKUP(C49,$E$149:$I$155,$P$150,0)-1)/100,0)+IFERROR('State of Good Repair AP-CP'!$B$26*$C$109*B49*$J$109*VLOOKUP($E$109,$B$153:$D$155,3,0)*(HLOOKUP(C49,$E$149:$I$155,$P$151,0)-1)/100,0)),0)</f>
        <v>0</v>
      </c>
      <c r="K49" s="87">
        <f t="shared" si="6"/>
        <v>0</v>
      </c>
      <c r="M49" s="72"/>
    </row>
    <row r="50" spans="1:13">
      <c r="A50" s="89">
        <f>'Major Assumption Key'!A55</f>
        <v>2056</v>
      </c>
      <c r="B50" s="88">
        <f t="shared" si="1"/>
        <v>0</v>
      </c>
      <c r="C50" s="811" t="s">
        <v>96</v>
      </c>
      <c r="D50" s="90" t="str">
        <f t="shared" si="2"/>
        <v>Routine Maintenance</v>
      </c>
      <c r="E50" s="87">
        <f t="shared" si="3"/>
        <v>0</v>
      </c>
      <c r="F50" s="87">
        <f t="shared" si="4"/>
        <v>0</v>
      </c>
      <c r="G50" s="87" cm="1">
        <f t="array" ref="G50">IFERROR(-IF(A50=$H$8,LOOKUP(2,1/($F$14:$F$54&lt;&gt;0),$F$14:$F$54)*(19-(A50-_xlfn.XLOOKUP(LOOKUP(2,1/($F$14:$F$54&lt;&gt;0),$F$14:$F$54),$F$14:$F$54,$A$14:$A$54,,0)))/19,0),0)</f>
        <v>0</v>
      </c>
      <c r="H50" s="87">
        <f t="shared" si="5"/>
        <v>0</v>
      </c>
      <c r="I50" s="87">
        <f>IF(AND($A50&gt;=$H$7,$A50&lt;=$H$8),IFERROR('State of Good Repair AP-CP'!$B$26*$C$108*B50*(1-$J$108)*VLOOKUP($E$108,$B$150:$D$152,3,0)*(HLOOKUP(C50,$E$149:$I$155,$O$150,0)-1)/100,0)+IFERROR('State of Good Repair AP-CP'!$B$26*$C$109*B50*(1-$J$109)*VLOOKUP($E$109,$B$150:$D$152,3,0)*(HLOOKUP(C50,$E$149:$I$155,$O$151,0)-1)/100,0),0)</f>
        <v>0</v>
      </c>
      <c r="J50" s="87">
        <f>IF(AND($A50&gt;=$H$7,$A50&lt;=$H$8),(IFERROR('State of Good Repair AP-CP'!$B$26*$C$108*B50*$J$108*VLOOKUP($E$108,$B$153:$D$155,3,0)*(HLOOKUP(C50,$E$149:$I$155,$P$150,0)-1)/100,0)+IFERROR('State of Good Repair AP-CP'!$B$26*$C$109*B50*$J$109*VLOOKUP($E$109,$B$153:$D$155,3,0)*(HLOOKUP(C50,$E$149:$I$155,$P$151,0)-1)/100,0)),0)</f>
        <v>0</v>
      </c>
      <c r="K50" s="87">
        <f t="shared" si="6"/>
        <v>0</v>
      </c>
      <c r="M50" s="72"/>
    </row>
    <row r="51" spans="1:13">
      <c r="A51" s="89">
        <f>'Major Assumption Key'!A56</f>
        <v>2057</v>
      </c>
      <c r="B51" s="88">
        <f t="shared" si="1"/>
        <v>0</v>
      </c>
      <c r="C51" s="811" t="s">
        <v>96</v>
      </c>
      <c r="D51" s="90" t="str">
        <f t="shared" si="2"/>
        <v>Routine Maintenance</v>
      </c>
      <c r="E51" s="87">
        <f t="shared" si="3"/>
        <v>0</v>
      </c>
      <c r="F51" s="87">
        <f t="shared" si="4"/>
        <v>0</v>
      </c>
      <c r="G51" s="87" cm="1">
        <f t="array" ref="G51">IFERROR(-IF(A51=$H$8,LOOKUP(2,1/($F$14:$F$54&lt;&gt;0),$F$14:$F$54)*(19-(A51-_xlfn.XLOOKUP(LOOKUP(2,1/($F$14:$F$54&lt;&gt;0),$F$14:$F$54),$F$14:$F$54,$A$14:$A$54,,0)))/19,0),0)</f>
        <v>0</v>
      </c>
      <c r="H51" s="87">
        <f t="shared" si="5"/>
        <v>0</v>
      </c>
      <c r="I51" s="87">
        <f>IF(AND($A51&gt;=$H$7,$A51&lt;=$H$8),IFERROR('State of Good Repair AP-CP'!$B$26*$C$108*B51*(1-$J$108)*VLOOKUP($E$108,$B$150:$D$152,3,0)*(HLOOKUP(C51,$E$149:$I$155,$O$150,0)-1)/100,0)+IFERROR('State of Good Repair AP-CP'!$B$26*$C$109*B51*(1-$J$109)*VLOOKUP($E$109,$B$150:$D$152,3,0)*(HLOOKUP(C51,$E$149:$I$155,$O$151,0)-1)/100,0),0)</f>
        <v>0</v>
      </c>
      <c r="J51" s="87">
        <f>IF(AND($A51&gt;=$H$7,$A51&lt;=$H$8),(IFERROR('State of Good Repair AP-CP'!$B$26*$C$108*B51*$J$108*VLOOKUP($E$108,$B$153:$D$155,3,0)*(HLOOKUP(C51,$E$149:$I$155,$P$150,0)-1)/100,0)+IFERROR('State of Good Repair AP-CP'!$B$26*$C$109*B51*$J$109*VLOOKUP($E$109,$B$153:$D$155,3,0)*(HLOOKUP(C51,$E$149:$I$155,$P$151,0)-1)/100,0)),0)</f>
        <v>0</v>
      </c>
      <c r="K51" s="87">
        <f t="shared" si="6"/>
        <v>0</v>
      </c>
      <c r="M51" s="72"/>
    </row>
    <row r="52" spans="1:13">
      <c r="A52" s="89">
        <f>'Major Assumption Key'!A57</f>
        <v>2058</v>
      </c>
      <c r="B52" s="88">
        <f t="shared" si="1"/>
        <v>0</v>
      </c>
      <c r="C52" s="811" t="s">
        <v>96</v>
      </c>
      <c r="D52" s="90" t="str">
        <f t="shared" si="2"/>
        <v>Routine Maintenance</v>
      </c>
      <c r="E52" s="87">
        <f t="shared" si="3"/>
        <v>0</v>
      </c>
      <c r="F52" s="87">
        <f t="shared" si="4"/>
        <v>0</v>
      </c>
      <c r="G52" s="87" cm="1">
        <f t="array" ref="G52">IFERROR(-IF(A52=$H$8,LOOKUP(2,1/($F$14:$F$54&lt;&gt;0),$F$14:$F$54)*(19-(A52-_xlfn.XLOOKUP(LOOKUP(2,1/($F$14:$F$54&lt;&gt;0),$F$14:$F$54),$F$14:$F$54,$A$14:$A$54,,0)))/19,0),0)</f>
        <v>0</v>
      </c>
      <c r="H52" s="87">
        <f t="shared" si="5"/>
        <v>0</v>
      </c>
      <c r="I52" s="87">
        <f>IF(AND($A52&gt;=$H$7,$A52&lt;=$H$8),IFERROR('State of Good Repair AP-CP'!$B$26*$C$108*B52*(1-$J$108)*VLOOKUP($E$108,$B$150:$D$152,3,0)*(HLOOKUP(C52,$E$149:$I$155,$O$150,0)-1)/100,0)+IFERROR('State of Good Repair AP-CP'!$B$26*$C$109*B52*(1-$J$109)*VLOOKUP($E$109,$B$150:$D$152,3,0)*(HLOOKUP(C52,$E$149:$I$155,$O$151,0)-1)/100,0),0)</f>
        <v>0</v>
      </c>
      <c r="J52" s="87">
        <f>IF(AND($A52&gt;=$H$7,$A52&lt;=$H$8),(IFERROR('State of Good Repair AP-CP'!$B$26*$C$108*B52*$J$108*VLOOKUP($E$108,$B$153:$D$155,3,0)*(HLOOKUP(C52,$E$149:$I$155,$P$150,0)-1)/100,0)+IFERROR('State of Good Repair AP-CP'!$B$26*$C$109*B52*$J$109*VLOOKUP($E$109,$B$153:$D$155,3,0)*(HLOOKUP(C52,$E$149:$I$155,$P$151,0)-1)/100,0)),0)</f>
        <v>0</v>
      </c>
      <c r="K52" s="87">
        <f t="shared" si="6"/>
        <v>0</v>
      </c>
      <c r="M52" s="72"/>
    </row>
    <row r="53" spans="1:13">
      <c r="A53" s="89">
        <f>'Major Assumption Key'!A58</f>
        <v>2059</v>
      </c>
      <c r="B53" s="88">
        <f t="shared" si="1"/>
        <v>0</v>
      </c>
      <c r="C53" s="811" t="s">
        <v>96</v>
      </c>
      <c r="D53" s="90" t="str">
        <f t="shared" si="2"/>
        <v>Routine Maintenance</v>
      </c>
      <c r="E53" s="87">
        <f t="shared" si="3"/>
        <v>0</v>
      </c>
      <c r="F53" s="87">
        <f t="shared" si="4"/>
        <v>0</v>
      </c>
      <c r="G53" s="87" cm="1">
        <f t="array" ref="G53">IFERROR(-IF(A53=$H$8,LOOKUP(2,1/($F$14:$F$54&lt;&gt;0),$F$14:$F$54)*(19-(A53-_xlfn.XLOOKUP(LOOKUP(2,1/($F$14:$F$54&lt;&gt;0),$F$14:$F$54),$F$14:$F$54,$A$14:$A$54,,0)))/19,0),0)</f>
        <v>0</v>
      </c>
      <c r="H53" s="87">
        <f t="shared" si="5"/>
        <v>0</v>
      </c>
      <c r="I53" s="87">
        <f>IF(AND($A53&gt;=$H$7,$A53&lt;=$H$8),IFERROR('State of Good Repair AP-CP'!$B$26*$C$108*B53*(1-$J$108)*VLOOKUP($E$108,$B$150:$D$152,3,0)*(HLOOKUP(C53,$E$149:$I$155,$O$150,0)-1)/100,0)+IFERROR('State of Good Repair AP-CP'!$B$26*$C$109*B53*(1-$J$109)*VLOOKUP($E$109,$B$150:$D$152,3,0)*(HLOOKUP(C53,$E$149:$I$155,$O$151,0)-1)/100,0),0)</f>
        <v>0</v>
      </c>
      <c r="J53" s="87">
        <f>IF(AND($A53&gt;=$H$7,$A53&lt;=$H$8),(IFERROR('State of Good Repair AP-CP'!$B$26*$C$108*B53*$J$108*VLOOKUP($E$108,$B$153:$D$155,3,0)*(HLOOKUP(C53,$E$149:$I$155,$P$150,0)-1)/100,0)+IFERROR('State of Good Repair AP-CP'!$B$26*$C$109*B53*$J$109*VLOOKUP($E$109,$B$153:$D$155,3,0)*(HLOOKUP(C53,$E$149:$I$155,$P$151,0)-1)/100,0)),0)</f>
        <v>0</v>
      </c>
      <c r="K53" s="87">
        <f t="shared" si="6"/>
        <v>0</v>
      </c>
      <c r="M53" s="72"/>
    </row>
    <row r="54" spans="1:13">
      <c r="A54" s="89">
        <f>'Major Assumption Key'!A59</f>
        <v>2060</v>
      </c>
      <c r="B54" s="88">
        <f t="shared" si="1"/>
        <v>0</v>
      </c>
      <c r="C54" s="811" t="s">
        <v>97</v>
      </c>
      <c r="D54" s="90" t="str">
        <f t="shared" si="2"/>
        <v>Routine Maintenance</v>
      </c>
      <c r="E54" s="87">
        <f t="shared" si="3"/>
        <v>0</v>
      </c>
      <c r="F54" s="87">
        <f t="shared" si="4"/>
        <v>0</v>
      </c>
      <c r="G54" s="87" cm="1">
        <f t="array" ref="G54">IFERROR(-IF(A54=$H$8,LOOKUP(2,1/($F$14:$F$54&lt;&gt;0),$F$14:$F$54)*(19-(A54-_xlfn.XLOOKUP(LOOKUP(2,1/($F$14:$F$54&lt;&gt;0),$F$14:$F$54),$F$14:$F$54,$A$14:$A$54,,0)))/19,0),0)</f>
        <v>0</v>
      </c>
      <c r="H54" s="87">
        <f t="shared" si="5"/>
        <v>0</v>
      </c>
      <c r="I54" s="87">
        <f>IF(AND($A54&gt;=$H$7,$A54&lt;=$H$8),IFERROR('State of Good Repair AP-CP'!$B$26*$C$108*B54*(1-$J$108)*VLOOKUP($E$108,$B$150:$D$152,3,0)*(HLOOKUP(C54,$E$149:$I$155,$O$150,0)-1)/100,0)+IFERROR('State of Good Repair AP-CP'!$B$26*$C$109*B54*(1-$J$109)*VLOOKUP($E$109,$B$150:$D$152,3,0)*(HLOOKUP(C54,$E$149:$I$155,$O$151,0)-1)/100,0),0)</f>
        <v>0</v>
      </c>
      <c r="J54" s="87">
        <f>IF(AND($A54&gt;=$H$7,$A54&lt;=$H$8),(IFERROR('State of Good Repair AP-CP'!$B$26*$C$108*B54*$J$108*VLOOKUP($E$108,$B$153:$D$155,3,0)*(HLOOKUP(C54,$E$149:$I$155,$P$150,0)-1)/100,0)+IFERROR('State of Good Repair AP-CP'!$B$26*$C$109*B54*$J$109*VLOOKUP($E$109,$B$153:$D$155,3,0)*(HLOOKUP(C54,$E$149:$I$155,$P$151,0)-1)/100,0)),0)</f>
        <v>0</v>
      </c>
      <c r="K54" s="87">
        <f t="shared" si="6"/>
        <v>0</v>
      </c>
      <c r="M54" s="72"/>
    </row>
    <row r="55" spans="1:13">
      <c r="A55" s="94" t="s">
        <v>63</v>
      </c>
      <c r="B55" s="86"/>
      <c r="C55" s="85"/>
      <c r="D55" s="85"/>
      <c r="E55" s="121">
        <f>SUMIFS(E$14:E$54,$A$14:$A$54,"&gt;="&amp;$H$7,$A$14:$A$54,"&lt;="&amp;$H$8)</f>
        <v>0</v>
      </c>
      <c r="F55" s="121">
        <f t="shared" ref="F55:J55" si="7">SUMIFS(F$14:F$54,$A$14:$A$54,"&gt;="&amp;$H$7,$A$14:$A$54,"&lt;="&amp;$H$8)</f>
        <v>0</v>
      </c>
      <c r="G55" s="121">
        <f t="shared" si="7"/>
        <v>0</v>
      </c>
      <c r="H55" s="121">
        <f t="shared" si="7"/>
        <v>0</v>
      </c>
      <c r="I55" s="121">
        <f t="shared" si="7"/>
        <v>0</v>
      </c>
      <c r="J55" s="121">
        <f t="shared" si="7"/>
        <v>0</v>
      </c>
      <c r="K55" s="121">
        <f>SUMIFS(K$14:K$54,$A$14:$A$54,"&gt;="&amp;$H$7,$A$14:$A$54,"&lt;="&amp;$H$8)</f>
        <v>0</v>
      </c>
      <c r="M55" s="72"/>
    </row>
    <row r="56" spans="1:13">
      <c r="B56" s="73"/>
      <c r="M56" s="72"/>
    </row>
    <row r="57" spans="1:13">
      <c r="C57" s="72"/>
      <c r="D57" s="72"/>
      <c r="E57" s="72"/>
      <c r="F57" s="72"/>
      <c r="G57" s="72"/>
      <c r="H57" s="72"/>
      <c r="I57" s="72"/>
      <c r="M57" s="72"/>
    </row>
    <row r="58" spans="1:13" ht="37.950000000000003" customHeight="1">
      <c r="A58" s="1916" t="s">
        <v>489</v>
      </c>
      <c r="B58" s="1917"/>
      <c r="C58" s="1917"/>
      <c r="D58" s="1917"/>
      <c r="E58" s="1917"/>
      <c r="F58" s="1917"/>
      <c r="G58" s="1917"/>
      <c r="H58" s="1917"/>
      <c r="I58" s="1917"/>
      <c r="J58" s="1917"/>
      <c r="K58" s="1917"/>
      <c r="M58" s="72"/>
    </row>
    <row r="59" spans="1:13" ht="75" customHeight="1">
      <c r="A59" s="93" t="s">
        <v>510</v>
      </c>
      <c r="B59" s="91" t="s">
        <v>80</v>
      </c>
      <c r="C59" s="92" t="s">
        <v>559</v>
      </c>
      <c r="D59" s="92" t="s">
        <v>560</v>
      </c>
      <c r="E59" s="91" t="s">
        <v>569</v>
      </c>
      <c r="F59" s="91" t="s">
        <v>655</v>
      </c>
      <c r="G59" s="91" t="s">
        <v>571</v>
      </c>
      <c r="H59" s="91" t="s">
        <v>563</v>
      </c>
      <c r="I59" s="176" t="s">
        <v>564</v>
      </c>
      <c r="J59" s="176" t="s">
        <v>565</v>
      </c>
      <c r="K59" s="177" t="s">
        <v>566</v>
      </c>
      <c r="M59" s="72"/>
    </row>
    <row r="60" spans="1:13">
      <c r="A60" s="89">
        <f>'Major Assumption Key'!A19</f>
        <v>2020</v>
      </c>
      <c r="B60" s="88" t="str">
        <f>B14</f>
        <v/>
      </c>
      <c r="C60" s="812" t="str" cm="1">
        <f t="array" ref="C60">IF(A60-$H$9&lt;0,"",INDEX('Life Cycle of Rehabilitation'!$C$19:$C$73,A60-$H$9+1,0))</f>
        <v/>
      </c>
      <c r="D60" s="812" t="str">
        <f>IF(C60="",IF(AND(A60&gt;='Cost Summary'!$C$26,A60&lt;='Cost Summary'!$D$26),"Construction",D14),"Routine Maintenance")</f>
        <v/>
      </c>
      <c r="E60" s="87">
        <f t="shared" ref="E60:E100" si="8">IF(AND($A60&gt;=$H$7,$A60&lt;=$H$8),IF(A60&gt;$H$9,IF(D60="Routine Maintenance",VLOOKUP(C60,$A$136:$D$142,4,0)*(1+$H$5)^(A60-$H$6),0),E14),0)</f>
        <v>0</v>
      </c>
      <c r="F60" s="87"/>
      <c r="G60" s="87"/>
      <c r="H60" s="87">
        <f>IF(AND(A60&gt;='Cost Summary'!$C$26,A60&lt;='Cost Summary'!$D$26),$J$186/IF('Cost Summary'!$D$26='Cost Summary'!$C$26,1,'Cost Summary'!$D$26-'Cost Summary'!$C$26)*(1+$H$5)^(A60-$H$6),0)</f>
        <v>0</v>
      </c>
      <c r="I60" s="87">
        <f>IF(AND($A14&gt;=$H$7,$A14&lt;=$H$8),IFERROR('State of Good Repair CP-CP '!$B$26*$C$108*B60*(1-$J$108)*VLOOKUP($E$108,$B$150:$D$152,3,0)*(HLOOKUP(C60,$E$149:$I$155,$O$150,0)-1)/100,0)+IFERROR('State of Good Repair CP-CP '!$B$26*$C$109*B60*(1-$J$109)*VLOOKUP($E$109,$B$150:$D$152,3,0)*(HLOOKUP(C60,$E$149:$I$155,$O$151,0)-1)/100,0),0)</f>
        <v>0</v>
      </c>
      <c r="J60" s="87">
        <f>IF(AND($A14&gt;=$H$7,$A14&lt;=$H$8),IFERROR('State of Good Repair CP-CP '!$B$26*$C$108*B60*$J$108*VLOOKUP($E$108,$B$153:$D$155,3,0)*(HLOOKUP(C60,$E$149:$I$155,$P$150,0)-1)/100,0)+IFERROR('State of Good Repair CP-CP '!$B$26*$C$109*B60*$J$109*VLOOKUP($E$109,$B$153:$D$155,3,0)*(HLOOKUP(C60,$E$149:$I$155,$P$151,0)-1)/100,0),0)</f>
        <v>0</v>
      </c>
      <c r="K60" s="87">
        <f t="shared" ref="K60" si="9">I60+J60</f>
        <v>0</v>
      </c>
      <c r="M60" s="72"/>
    </row>
    <row r="61" spans="1:13">
      <c r="A61" s="89">
        <f>'Major Assumption Key'!A20</f>
        <v>2021</v>
      </c>
      <c r="B61" s="88" t="str">
        <f t="shared" ref="B61:B100" si="10">B15</f>
        <v/>
      </c>
      <c r="C61" s="812" t="str" cm="1">
        <f t="array" ref="C61">IF(A61-$H$9&lt;0,"",INDEX('Life Cycle of Rehabilitation'!$C$19:$C$73,A61-$H$9+1,0))</f>
        <v/>
      </c>
      <c r="D61" s="812" t="str">
        <f>IF(C61="",IF(AND(A61&gt;='Cost Summary'!$C$26,A61&lt;='Cost Summary'!$D$26),"Construction",D15),"Routine Maintenance")</f>
        <v/>
      </c>
      <c r="E61" s="87">
        <f t="shared" si="8"/>
        <v>0</v>
      </c>
      <c r="F61" s="87"/>
      <c r="G61" s="87"/>
      <c r="H61" s="87">
        <f>IF(AND(A61&gt;='Cost Summary'!$C$26,A61&lt;='Cost Summary'!$D$26),$J$186/IF('Cost Summary'!$D$26='Cost Summary'!$C$26,1,'Cost Summary'!$D$26-'Cost Summary'!$C$26)*(1+$H$5)^(A61-$H$6),0)</f>
        <v>0</v>
      </c>
      <c r="I61" s="87">
        <f>IF(AND($A15&gt;=$H$7,$A15&lt;=$H$8),IFERROR('State of Good Repair CP-CP '!$B$26*$C$108*B61*(1-$J$108)*VLOOKUP($E$108,$B$150:$D$152,3,0)*(HLOOKUP(C61,$E$149:$I$155,$O$150,0)-1)/100,0)+IFERROR('State of Good Repair CP-CP '!$B$26*$C$109*B61*(1-$J$109)*VLOOKUP($E$109,$B$150:$D$152,3,0)*(HLOOKUP(C61,$E$149:$I$155,$O$151,0)-1)/100,0),0)</f>
        <v>0</v>
      </c>
      <c r="J61" s="87">
        <f>IF(AND($A15&gt;=$H$7,$A15&lt;=$H$8),IFERROR('State of Good Repair CP-CP '!$B$26*$C$108*B61*$J$108*VLOOKUP($E$108,$B$153:$D$155,3,0)*(HLOOKUP(C61,$E$149:$I$155,$P$150,0)-1)/100,0)+IFERROR('State of Good Repair CP-CP '!$B$26*$C$109*B61*$J$109*VLOOKUP($E$109,$B$153:$D$155,3,0)*(HLOOKUP(C61,$E$149:$I$155,$P$151,0)-1)/100,0),0)</f>
        <v>0</v>
      </c>
      <c r="K61" s="87">
        <f t="shared" ref="K61:K100" si="11">I61+J61</f>
        <v>0</v>
      </c>
      <c r="M61" s="72"/>
    </row>
    <row r="62" spans="1:13">
      <c r="A62" s="89">
        <f>'Major Assumption Key'!A21</f>
        <v>2022</v>
      </c>
      <c r="B62" s="88">
        <f t="shared" si="10"/>
        <v>0</v>
      </c>
      <c r="C62" s="812" t="str" cm="1">
        <f t="array" ref="C62">IF(A62-$H$9&lt;0,"",INDEX('Life Cycle of Rehabilitation'!$C$19:$C$73,A62-$H$9+1,0))</f>
        <v/>
      </c>
      <c r="D62" s="812" t="str">
        <f>IF(C62="",IF(AND(A62&gt;='Cost Summary'!$C$26,A62&lt;='Cost Summary'!$D$26),"Construction",D16),"Routine Maintenance")</f>
        <v/>
      </c>
      <c r="E62" s="87">
        <f t="shared" si="8"/>
        <v>0</v>
      </c>
      <c r="F62" s="87"/>
      <c r="G62" s="87"/>
      <c r="H62" s="87">
        <f>IF(AND(A62&gt;='Cost Summary'!$C$26,A62&lt;='Cost Summary'!$D$26),$J$186/IF('Cost Summary'!$D$26='Cost Summary'!$C$26,1,'Cost Summary'!$D$26-'Cost Summary'!$C$26)*(1+$H$5)^(A62-$H$6),0)</f>
        <v>0</v>
      </c>
      <c r="I62" s="87">
        <f>IF(AND($A16&gt;=$H$7,$A16&lt;=$H$8),IFERROR('State of Good Repair CP-CP '!$B$26*$C$108*B62*(1-$J$108)*VLOOKUP($E$108,$B$150:$D$152,3,0)*(HLOOKUP(C62,$E$149:$I$155,$O$150,0)-1)/100,0)+IFERROR('State of Good Repair CP-CP '!$B$26*$C$109*B62*(1-$J$109)*VLOOKUP($E$109,$B$150:$D$152,3,0)*(HLOOKUP(C62,$E$149:$I$155,$O$151,0)-1)/100,0),0)</f>
        <v>0</v>
      </c>
      <c r="J62" s="87">
        <f>IF(AND($A16&gt;=$H$7,$A16&lt;=$H$8),IFERROR('State of Good Repair CP-CP '!$B$26*$C$108*B62*$J$108*VLOOKUP($E$108,$B$153:$D$155,3,0)*(HLOOKUP(C62,$E$149:$I$155,$P$150,0)-1)/100,0)+IFERROR('State of Good Repair CP-CP '!$B$26*$C$109*B62*$J$109*VLOOKUP($E$109,$B$153:$D$155,3,0)*(HLOOKUP(C62,$E$149:$I$155,$P$151,0)-1)/100,0),0)</f>
        <v>0</v>
      </c>
      <c r="K62" s="87">
        <f t="shared" si="11"/>
        <v>0</v>
      </c>
      <c r="M62" s="72"/>
    </row>
    <row r="63" spans="1:13">
      <c r="A63" s="89">
        <f>'Major Assumption Key'!A22</f>
        <v>2023</v>
      </c>
      <c r="B63" s="88">
        <f t="shared" si="10"/>
        <v>0</v>
      </c>
      <c r="C63" s="812" t="str" cm="1">
        <f t="array" ref="C63">IF(A63-$H$9&lt;0,"",INDEX('Life Cycle of Rehabilitation'!$C$19:$C$73,A63-$H$9+1,0))</f>
        <v/>
      </c>
      <c r="D63" s="812" t="str">
        <f>IF(C63="",IF(AND(A63&gt;='Cost Summary'!$C$26,A63&lt;='Cost Summary'!$D$26),"Construction",D17),"Routine Maintenance")</f>
        <v>Routine Maintenance</v>
      </c>
      <c r="E63" s="87">
        <f t="shared" si="8"/>
        <v>0</v>
      </c>
      <c r="F63" s="87"/>
      <c r="G63" s="87"/>
      <c r="H63" s="87">
        <f>IF(AND(A63&gt;='Cost Summary'!$C$26,A63&lt;='Cost Summary'!$D$26),$J$186/IF('Cost Summary'!$D$26='Cost Summary'!$C$26,1,'Cost Summary'!$D$26-'Cost Summary'!$C$26)*(1+$H$5)^(A63-$H$6),0)</f>
        <v>0</v>
      </c>
      <c r="I63" s="87">
        <f>IF(AND($A17&gt;=$H$7,$A17&lt;=$H$8),IFERROR('State of Good Repair CP-CP '!$B$26*$C$108*B63*(1-$J$108)*VLOOKUP($E$108,$B$150:$D$152,3,0)*(HLOOKUP(C63,$E$149:$I$155,$O$150,0)-1)/100,0)+IFERROR('State of Good Repair CP-CP '!$B$26*$C$109*B63*(1-$J$109)*VLOOKUP($E$109,$B$150:$D$152,3,0)*(HLOOKUP(C63,$E$149:$I$155,$O$151,0)-1)/100,0),0)</f>
        <v>0</v>
      </c>
      <c r="J63" s="87">
        <f>IF(AND($A17&gt;=$H$7,$A17&lt;=$H$8),IFERROR('State of Good Repair CP-CP '!$B$26*$C$108*B63*$J$108*VLOOKUP($E$108,$B$153:$D$155,3,0)*(HLOOKUP(C63,$E$149:$I$155,$P$150,0)-1)/100,0)+IFERROR('State of Good Repair CP-CP '!$B$26*$C$109*B63*$J$109*VLOOKUP($E$109,$B$153:$D$155,3,0)*(HLOOKUP(C63,$E$149:$I$155,$P$151,0)-1)/100,0),0)</f>
        <v>0</v>
      </c>
      <c r="K63" s="87">
        <f t="shared" si="11"/>
        <v>0</v>
      </c>
      <c r="M63" s="72"/>
    </row>
    <row r="64" spans="1:13">
      <c r="A64" s="89">
        <f>'Major Assumption Key'!A23</f>
        <v>2024</v>
      </c>
      <c r="B64" s="88">
        <f t="shared" si="10"/>
        <v>0</v>
      </c>
      <c r="C64" s="812" t="str" cm="1">
        <f t="array" ref="C64">IF(A64-$H$9&lt;0,"",INDEX('Life Cycle of Rehabilitation'!$C$19:$C$73,A64-$H$9+1,0))</f>
        <v/>
      </c>
      <c r="D64" s="812" t="str">
        <f>IF(C64="",IF(AND(A64&gt;='Cost Summary'!$C$26,A64&lt;='Cost Summary'!$D$26),"Construction",D18),"Routine Maintenance")</f>
        <v>Routine Maintenance</v>
      </c>
      <c r="E64" s="87">
        <f t="shared" si="8"/>
        <v>0</v>
      </c>
      <c r="F64" s="87"/>
      <c r="G64" s="87"/>
      <c r="H64" s="87">
        <f>IF(AND(A64&gt;='Cost Summary'!$C$26,A64&lt;='Cost Summary'!$D$26),$J$186/IF('Cost Summary'!$D$26='Cost Summary'!$C$26,1,'Cost Summary'!$D$26-'Cost Summary'!$C$26)*(1+$H$5)^(A64-$H$6),0)</f>
        <v>0</v>
      </c>
      <c r="I64" s="87">
        <f>IF(AND($A18&gt;=$H$7,$A18&lt;=$H$8),IFERROR('State of Good Repair CP-CP '!$B$26*$C$108*B64*(1-$J$108)*VLOOKUP($E$108,$B$150:$D$152,3,0)*(HLOOKUP(C64,$E$149:$I$155,$O$150,0)-1)/100,0)+IFERROR('State of Good Repair CP-CP '!$B$26*$C$109*B64*(1-$J$109)*VLOOKUP($E$109,$B$150:$D$152,3,0)*(HLOOKUP(C64,$E$149:$I$155,$O$151,0)-1)/100,0),0)</f>
        <v>0</v>
      </c>
      <c r="J64" s="87">
        <f>IF(AND($A18&gt;=$H$7,$A18&lt;=$H$8),IFERROR('State of Good Repair CP-CP '!$B$26*$C$108*B64*$J$108*VLOOKUP($E$108,$B$153:$D$155,3,0)*(HLOOKUP(C64,$E$149:$I$155,$P$150,0)-1)/100,0)+IFERROR('State of Good Repair CP-CP '!$B$26*$C$109*B64*$J$109*VLOOKUP($E$109,$B$153:$D$155,3,0)*(HLOOKUP(C64,$E$149:$I$155,$P$151,0)-1)/100,0),0)</f>
        <v>0</v>
      </c>
      <c r="K64" s="87">
        <f t="shared" si="11"/>
        <v>0</v>
      </c>
      <c r="M64" s="72"/>
    </row>
    <row r="65" spans="1:13">
      <c r="A65" s="89">
        <f>'Major Assumption Key'!A24</f>
        <v>2025</v>
      </c>
      <c r="B65" s="88">
        <f t="shared" si="10"/>
        <v>0</v>
      </c>
      <c r="C65" s="812" t="str" cm="1">
        <f t="array" ref="C65">IF(A65-$H$9&lt;0,"",INDEX('Life Cycle of Rehabilitation'!$C$19:$C$73,A65-$H$9+1,0))</f>
        <v/>
      </c>
      <c r="D65" s="812" t="str">
        <f>IF(C65="",IF(AND(A65&gt;='Cost Summary'!$C$26,A65&lt;='Cost Summary'!$D$26),"Construction",D19),"Routine Maintenance")</f>
        <v>Rehab</v>
      </c>
      <c r="E65" s="87">
        <f t="shared" si="8"/>
        <v>0</v>
      </c>
      <c r="F65" s="87"/>
      <c r="G65" s="87"/>
      <c r="H65" s="87">
        <f>IF(AND(A65&gt;='Cost Summary'!$C$26,A65&lt;='Cost Summary'!$D$26),$J$186/IF('Cost Summary'!$D$26='Cost Summary'!$C$26,1,'Cost Summary'!$D$26-'Cost Summary'!$C$26)*(1+$H$5)^(A65-$H$6),0)</f>
        <v>0</v>
      </c>
      <c r="I65" s="87">
        <f>IF(AND($A19&gt;=$H$7,$A19&lt;=$H$8),IFERROR('State of Good Repair CP-CP '!$B$26*$C$108*B65*(1-$J$108)*VLOOKUP($E$108,$B$150:$D$152,3,0)*(HLOOKUP(C65,$E$149:$I$155,$O$150,0)-1)/100,0)+IFERROR('State of Good Repair CP-CP '!$B$26*$C$109*B65*(1-$J$109)*VLOOKUP($E$109,$B$150:$D$152,3,0)*(HLOOKUP(C65,$E$149:$I$155,$O$151,0)-1)/100,0),0)</f>
        <v>0</v>
      </c>
      <c r="J65" s="87">
        <f>IF(AND($A19&gt;=$H$7,$A19&lt;=$H$8),IFERROR('State of Good Repair CP-CP '!$B$26*$C$108*B65*$J$108*VLOOKUP($E$108,$B$153:$D$155,3,0)*(HLOOKUP(C65,$E$149:$I$155,$P$150,0)-1)/100,0)+IFERROR('State of Good Repair CP-CP '!$B$26*$C$109*B65*$J$109*VLOOKUP($E$109,$B$153:$D$155,3,0)*(HLOOKUP(C65,$E$149:$I$155,$P$151,0)-1)/100,0),0)</f>
        <v>0</v>
      </c>
      <c r="K65" s="87">
        <f t="shared" si="11"/>
        <v>0</v>
      </c>
      <c r="M65" s="72"/>
    </row>
    <row r="66" spans="1:13">
      <c r="A66" s="89">
        <f>'Major Assumption Key'!A25</f>
        <v>2026</v>
      </c>
      <c r="B66" s="88">
        <f t="shared" si="10"/>
        <v>0</v>
      </c>
      <c r="C66" s="812" t="str" cm="1">
        <f t="array" ref="C66">IF(A66-$H$9&lt;0,"",INDEX('Life Cycle of Rehabilitation'!$C$19:$C$73,A66-$H$9+1,0))</f>
        <v/>
      </c>
      <c r="D66" s="812" t="str">
        <f>IF(C66="",IF(AND(A66&gt;='Cost Summary'!$C$26,A66&lt;='Cost Summary'!$D$26),"Construction",D20),"Routine Maintenance")</f>
        <v>Construction</v>
      </c>
      <c r="E66" s="87">
        <f t="shared" si="8"/>
        <v>0</v>
      </c>
      <c r="F66" s="87"/>
      <c r="G66" s="87"/>
      <c r="H66" s="87">
        <f>IF(AND(A66&gt;='Cost Summary'!$C$26,A66&lt;='Cost Summary'!$D$26),$J$186/IF('Cost Summary'!$D$26='Cost Summary'!$C$26,1,'Cost Summary'!$D$26-'Cost Summary'!$C$26)*(1+$H$5)^(A66-$H$6),0)</f>
        <v>0</v>
      </c>
      <c r="I66" s="87">
        <f>IF(AND($A20&gt;=$H$7,$A20&lt;=$H$8),IFERROR('State of Good Repair CP-CP '!$B$26*$C$108*B66*(1-$J$108)*VLOOKUP($E$108,$B$150:$D$152,3,0)*(HLOOKUP(C66,$E$149:$I$155,$O$150,0)-1)/100,0)+IFERROR('State of Good Repair CP-CP '!$B$26*$C$109*B66*(1-$J$109)*VLOOKUP($E$109,$B$150:$D$152,3,0)*(HLOOKUP(C66,$E$149:$I$155,$O$151,0)-1)/100,0),0)</f>
        <v>0</v>
      </c>
      <c r="J66" s="87">
        <f>IF(AND($A20&gt;=$H$7,$A20&lt;=$H$8),IFERROR('State of Good Repair CP-CP '!$B$26*$C$108*B66*$J$108*VLOOKUP($E$108,$B$153:$D$155,3,0)*(HLOOKUP(C66,$E$149:$I$155,$P$150,0)-1)/100,0)+IFERROR('State of Good Repair CP-CP '!$B$26*$C$109*B66*$J$109*VLOOKUP($E$109,$B$153:$D$155,3,0)*(HLOOKUP(C66,$E$149:$I$155,$P$151,0)-1)/100,0),0)</f>
        <v>0</v>
      </c>
      <c r="K66" s="87">
        <f t="shared" si="11"/>
        <v>0</v>
      </c>
      <c r="M66" s="72"/>
    </row>
    <row r="67" spans="1:13">
      <c r="A67" s="89">
        <f>'Major Assumption Key'!A26</f>
        <v>2027</v>
      </c>
      <c r="B67" s="88">
        <f t="shared" si="10"/>
        <v>0</v>
      </c>
      <c r="C67" s="812" t="str" cm="1">
        <f t="array" ref="C67">IF(A67-$H$9&lt;0,"",INDEX('Life Cycle of Rehabilitation'!$C$19:$C$73,A67-$H$9+1,0))</f>
        <v/>
      </c>
      <c r="D67" s="812" t="str">
        <f>IF(C67="",IF(AND(A67&gt;='Cost Summary'!$C$26,A67&lt;='Cost Summary'!$D$26),"Construction",D21),"Routine Maintenance")</f>
        <v>Construction</v>
      </c>
      <c r="E67" s="87">
        <f t="shared" si="8"/>
        <v>0</v>
      </c>
      <c r="F67" s="87"/>
      <c r="G67" s="87"/>
      <c r="H67" s="87">
        <f>IF(AND(A67&gt;='Cost Summary'!$C$26,A67&lt;='Cost Summary'!$D$26),$J$186/IF('Cost Summary'!$D$26='Cost Summary'!$C$26,1,'Cost Summary'!$D$26-'Cost Summary'!$C$26)*(1+$H$5)^(A67-$H$6),0)</f>
        <v>0</v>
      </c>
      <c r="I67" s="87">
        <f>IF(AND($A21&gt;=$H$7,$A21&lt;=$H$8),IFERROR('State of Good Repair CP-CP '!$B$26*$C$108*B67*(1-$J$108)*VLOOKUP($E$108,$B$150:$D$152,3,0)*(HLOOKUP(C67,$E$149:$I$155,$O$150,0)-1)/100,0)+IFERROR('State of Good Repair CP-CP '!$B$26*$C$109*B67*(1-$J$109)*VLOOKUP($E$109,$B$150:$D$152,3,0)*(HLOOKUP(C67,$E$149:$I$155,$O$151,0)-1)/100,0),0)</f>
        <v>0</v>
      </c>
      <c r="J67" s="87">
        <f>IF(AND($A21&gt;=$H$7,$A21&lt;=$H$8),IFERROR('State of Good Repair CP-CP '!$B$26*$C$108*B67*$J$108*VLOOKUP($E$108,$B$153:$D$155,3,0)*(HLOOKUP(C67,$E$149:$I$155,$P$150,0)-1)/100,0)+IFERROR('State of Good Repair CP-CP '!$B$26*$C$109*B67*$J$109*VLOOKUP($E$109,$B$153:$D$155,3,0)*(HLOOKUP(C67,$E$149:$I$155,$P$151,0)-1)/100,0),0)</f>
        <v>0</v>
      </c>
      <c r="K67" s="87">
        <f t="shared" si="11"/>
        <v>0</v>
      </c>
      <c r="M67" s="72"/>
    </row>
    <row r="68" spans="1:13">
      <c r="A68" s="89">
        <f>'Major Assumption Key'!A27</f>
        <v>2028</v>
      </c>
      <c r="B68" s="88">
        <f t="shared" si="10"/>
        <v>0</v>
      </c>
      <c r="C68" s="812" t="str" cm="1">
        <f t="array" ref="C68">IF(A68-$H$9&lt;0,"",INDEX('Life Cycle of Rehabilitation'!$C$19:$C$73,A68-$H$9+1,0))</f>
        <v>New</v>
      </c>
      <c r="D68" s="812" t="str">
        <f>IF(C68="",IF(AND(A68&gt;='Cost Summary'!$C$26,A68&lt;='Cost Summary'!$D$26),"Construction",D22),"Routine Maintenance")</f>
        <v>Routine Maintenance</v>
      </c>
      <c r="E68" s="87">
        <f t="shared" si="8"/>
        <v>0</v>
      </c>
      <c r="F68" s="87"/>
      <c r="G68" s="87"/>
      <c r="H68" s="87">
        <f>IF(AND(A68&gt;='Cost Summary'!$C$26,A68&lt;='Cost Summary'!$D$26),$J$186/IF('Cost Summary'!$D$26='Cost Summary'!$C$26,1,'Cost Summary'!$D$26-'Cost Summary'!$C$26)*(1+$H$5)^(A68-$H$6),0)</f>
        <v>0</v>
      </c>
      <c r="I68" s="87">
        <f>IF(AND($A22&gt;=$H$7,$A22&lt;=$H$8),IFERROR('State of Good Repair CP-CP '!$B$26*$C$108*B68*(1-$J$108)*VLOOKUP($E$108,$B$150:$D$152,3,0)*(HLOOKUP(C68,$E$149:$I$155,$O$150,0)-1)/100,0)+IFERROR('State of Good Repair CP-CP '!$B$26*$C$109*B68*(1-$J$109)*VLOOKUP($E$109,$B$150:$D$152,3,0)*(HLOOKUP(C68,$E$149:$I$155,$O$151,0)-1)/100,0),0)</f>
        <v>0</v>
      </c>
      <c r="J68" s="87">
        <f>IF(AND($A22&gt;=$H$7,$A22&lt;=$H$8),IFERROR('State of Good Repair CP-CP '!$B$26*$C$108*B68*$J$108*VLOOKUP($E$108,$B$153:$D$155,3,0)*(HLOOKUP(C68,$E$149:$I$155,$P$150,0)-1)/100,0)+IFERROR('State of Good Repair CP-CP '!$B$26*$C$109*B68*$J$109*VLOOKUP($E$109,$B$153:$D$155,3,0)*(HLOOKUP(C68,$E$149:$I$155,$P$151,0)-1)/100,0),0)</f>
        <v>0</v>
      </c>
      <c r="K68" s="87">
        <f t="shared" si="11"/>
        <v>0</v>
      </c>
      <c r="M68" s="72"/>
    </row>
    <row r="69" spans="1:13">
      <c r="A69" s="89">
        <f>'Major Assumption Key'!A28</f>
        <v>2029</v>
      </c>
      <c r="B69" s="88">
        <f t="shared" si="10"/>
        <v>0</v>
      </c>
      <c r="C69" s="812" t="str" cm="1">
        <f t="array" ref="C69">IF(A69-$H$9&lt;0,"",INDEX('Life Cycle of Rehabilitation'!$C$19:$C$73,A69-$H$9+1,0))</f>
        <v>New</v>
      </c>
      <c r="D69" s="812" t="str">
        <f>IF(C69="",IF(AND(A69&gt;='Cost Summary'!$C$26,A69&lt;='Cost Summary'!$D$26),"Construction",D23),"Routine Maintenance")</f>
        <v>Routine Maintenance</v>
      </c>
      <c r="E69" s="87">
        <f t="shared" si="8"/>
        <v>0</v>
      </c>
      <c r="F69" s="87"/>
      <c r="G69" s="87"/>
      <c r="H69" s="87">
        <f>IF(AND(A69&gt;='Cost Summary'!$C$26,A69&lt;='Cost Summary'!$D$26),$J$186/IF('Cost Summary'!$D$26='Cost Summary'!$C$26,1,'Cost Summary'!$D$26-'Cost Summary'!$C$26)*(1+$H$5)^(A69-$H$6),0)</f>
        <v>0</v>
      </c>
      <c r="I69" s="87">
        <f>IF(AND($A23&gt;=$H$7,$A23&lt;=$H$8),IFERROR('State of Good Repair CP-CP '!$B$26*$C$108*B69*(1-$J$108)*VLOOKUP($E$108,$B$150:$D$152,3,0)*(HLOOKUP(C69,$E$149:$I$155,$O$150,0)-1)/100,0)+IFERROR('State of Good Repair CP-CP '!$B$26*$C$109*B69*(1-$J$109)*VLOOKUP($E$109,$B$150:$D$152,3,0)*(HLOOKUP(C69,$E$149:$I$155,$O$151,0)-1)/100,0),0)</f>
        <v>0</v>
      </c>
      <c r="J69" s="87">
        <f>IF(AND($A23&gt;=$H$7,$A23&lt;=$H$8),IFERROR('State of Good Repair CP-CP '!$B$26*$C$108*B69*$J$108*VLOOKUP($E$108,$B$153:$D$155,3,0)*(HLOOKUP(C69,$E$149:$I$155,$P$150,0)-1)/100,0)+IFERROR('State of Good Repair CP-CP '!$B$26*$C$109*B69*$J$109*VLOOKUP($E$109,$B$153:$D$155,3,0)*(HLOOKUP(C69,$E$149:$I$155,$P$151,0)-1)/100,0),0)</f>
        <v>0</v>
      </c>
      <c r="K69" s="87">
        <f t="shared" si="11"/>
        <v>0</v>
      </c>
      <c r="M69" s="72"/>
    </row>
    <row r="70" spans="1:13">
      <c r="A70" s="89">
        <f>'Major Assumption Key'!A29</f>
        <v>2030</v>
      </c>
      <c r="B70" s="88">
        <f t="shared" si="10"/>
        <v>0</v>
      </c>
      <c r="C70" s="812" t="str" cm="1">
        <f t="array" ref="C70">IF(A70-$H$9&lt;0,"",INDEX('Life Cycle of Rehabilitation'!$C$19:$C$73,A70-$H$9+1,0))</f>
        <v>New</v>
      </c>
      <c r="D70" s="812" t="str">
        <f>IF(C70="",IF(AND(A70&gt;='Cost Summary'!$C$26,A70&lt;='Cost Summary'!$D$26),"Construction",D24),"Routine Maintenance")</f>
        <v>Routine Maintenance</v>
      </c>
      <c r="E70" s="87">
        <f t="shared" si="8"/>
        <v>0</v>
      </c>
      <c r="F70" s="87"/>
      <c r="G70" s="87"/>
      <c r="H70" s="87">
        <f>IF(AND(A70&gt;='Cost Summary'!$C$26,A70&lt;='Cost Summary'!$D$26),$J$186/IF('Cost Summary'!$D$26='Cost Summary'!$C$26,1,'Cost Summary'!$D$26-'Cost Summary'!$C$26)*(1+$H$5)^(A70-$H$6),0)</f>
        <v>0</v>
      </c>
      <c r="I70" s="87">
        <f>IF(AND($A24&gt;=$H$7,$A24&lt;=$H$8),IFERROR('State of Good Repair CP-CP '!$B$26*$C$108*B70*(1-$J$108)*VLOOKUP($E$108,$B$150:$D$152,3,0)*(HLOOKUP(C70,$E$149:$I$155,$O$150,0)-1)/100,0)+IFERROR('State of Good Repair CP-CP '!$B$26*$C$109*B70*(1-$J$109)*VLOOKUP($E$109,$B$150:$D$152,3,0)*(HLOOKUP(C70,$E$149:$I$155,$O$151,0)-1)/100,0),0)</f>
        <v>0</v>
      </c>
      <c r="J70" s="87">
        <f>IF(AND($A24&gt;=$H$7,$A24&lt;=$H$8),IFERROR('State of Good Repair CP-CP '!$B$26*$C$108*B70*$J$108*VLOOKUP($E$108,$B$153:$D$155,3,0)*(HLOOKUP(C70,$E$149:$I$155,$P$150,0)-1)/100,0)+IFERROR('State of Good Repair CP-CP '!$B$26*$C$109*B70*$J$109*VLOOKUP($E$109,$B$153:$D$155,3,0)*(HLOOKUP(C70,$E$149:$I$155,$P$151,0)-1)/100,0),0)</f>
        <v>0</v>
      </c>
      <c r="K70" s="87">
        <f t="shared" si="11"/>
        <v>0</v>
      </c>
      <c r="M70" s="72"/>
    </row>
    <row r="71" spans="1:13">
      <c r="A71" s="89">
        <f>'Major Assumption Key'!A30</f>
        <v>2031</v>
      </c>
      <c r="B71" s="88">
        <f t="shared" si="10"/>
        <v>0</v>
      </c>
      <c r="C71" s="812" t="str" cm="1">
        <f t="array" ref="C71">IF(A71-$H$9&lt;0,"",INDEX('Life Cycle of Rehabilitation'!$C$19:$C$73,A71-$H$9+1,0))</f>
        <v>New</v>
      </c>
      <c r="D71" s="812" t="str">
        <f>IF(C71="",IF(AND(A71&gt;='Cost Summary'!$C$26,A71&lt;='Cost Summary'!$D$26),"Construction",D25),"Routine Maintenance")</f>
        <v>Routine Maintenance</v>
      </c>
      <c r="E71" s="87">
        <f t="shared" si="8"/>
        <v>0</v>
      </c>
      <c r="F71" s="87"/>
      <c r="G71" s="87"/>
      <c r="H71" s="87">
        <f>IF(AND(A71&gt;='Cost Summary'!$C$26,A71&lt;='Cost Summary'!$D$26),$J$186/IF('Cost Summary'!$D$26='Cost Summary'!$C$26,1,'Cost Summary'!$D$26-'Cost Summary'!$C$26)*(1+$H$5)^(A71-$H$6),0)</f>
        <v>0</v>
      </c>
      <c r="I71" s="87">
        <f>IF(AND($A25&gt;=$H$7,$A25&lt;=$H$8),IFERROR('State of Good Repair CP-CP '!$B$26*$C$108*B71*(1-$J$108)*VLOOKUP($E$108,$B$150:$D$152,3,0)*(HLOOKUP(C71,$E$149:$I$155,$O$150,0)-1)/100,0)+IFERROR('State of Good Repair CP-CP '!$B$26*$C$109*B71*(1-$J$109)*VLOOKUP($E$109,$B$150:$D$152,3,0)*(HLOOKUP(C71,$E$149:$I$155,$O$151,0)-1)/100,0),0)</f>
        <v>0</v>
      </c>
      <c r="J71" s="87">
        <f>IF(AND($A25&gt;=$H$7,$A25&lt;=$H$8),IFERROR('State of Good Repair CP-CP '!$B$26*$C$108*B71*$J$108*VLOOKUP($E$108,$B$153:$D$155,3,0)*(HLOOKUP(C71,$E$149:$I$155,$P$150,0)-1)/100,0)+IFERROR('State of Good Repair CP-CP '!$B$26*$C$109*B71*$J$109*VLOOKUP($E$109,$B$153:$D$155,3,0)*(HLOOKUP(C71,$E$149:$I$155,$P$151,0)-1)/100,0),0)</f>
        <v>0</v>
      </c>
      <c r="K71" s="87">
        <f t="shared" si="11"/>
        <v>0</v>
      </c>
      <c r="M71" s="72"/>
    </row>
    <row r="72" spans="1:13">
      <c r="A72" s="89">
        <f>'Major Assumption Key'!A31</f>
        <v>2032</v>
      </c>
      <c r="B72" s="88">
        <f t="shared" si="10"/>
        <v>0</v>
      </c>
      <c r="C72" s="812" t="str" cm="1">
        <f t="array" ref="C72">IF(A72-$H$9&lt;0,"",INDEX('Life Cycle of Rehabilitation'!$C$19:$C$73,A72-$H$9+1,0))</f>
        <v>New</v>
      </c>
      <c r="D72" s="812" t="str">
        <f>IF(C72="",IF(AND(A72&gt;='Cost Summary'!$C$26,A72&lt;='Cost Summary'!$D$26),"Construction",D26),"Routine Maintenance")</f>
        <v>Routine Maintenance</v>
      </c>
      <c r="E72" s="87">
        <f t="shared" si="8"/>
        <v>0</v>
      </c>
      <c r="F72" s="87"/>
      <c r="G72" s="87"/>
      <c r="H72" s="87">
        <f>IF(AND(A72&gt;='Cost Summary'!$C$26,A72&lt;='Cost Summary'!$D$26),$J$186/IF('Cost Summary'!$D$26='Cost Summary'!$C$26,1,'Cost Summary'!$D$26-'Cost Summary'!$C$26)*(1+$H$5)^(A72-$H$6),0)</f>
        <v>0</v>
      </c>
      <c r="I72" s="87">
        <f>IF(AND($A26&gt;=$H$7,$A26&lt;=$H$8),IFERROR('State of Good Repair CP-CP '!$B$26*$C$108*B72*(1-$J$108)*VLOOKUP($E$108,$B$150:$D$152,3,0)*(HLOOKUP(C72,$E$149:$I$155,$O$150,0)-1)/100,0)+IFERROR('State of Good Repair CP-CP '!$B$26*$C$109*B72*(1-$J$109)*VLOOKUP($E$109,$B$150:$D$152,3,0)*(HLOOKUP(C72,$E$149:$I$155,$O$151,0)-1)/100,0),0)</f>
        <v>0</v>
      </c>
      <c r="J72" s="87">
        <f>IF(AND($A26&gt;=$H$7,$A26&lt;=$H$8),IFERROR('State of Good Repair CP-CP '!$B$26*$C$108*B72*$J$108*VLOOKUP($E$108,$B$153:$D$155,3,0)*(HLOOKUP(C72,$E$149:$I$155,$P$150,0)-1)/100,0)+IFERROR('State of Good Repair CP-CP '!$B$26*$C$109*B72*$J$109*VLOOKUP($E$109,$B$153:$D$155,3,0)*(HLOOKUP(C72,$E$149:$I$155,$P$151,0)-1)/100,0),0)</f>
        <v>0</v>
      </c>
      <c r="K72" s="87">
        <f t="shared" si="11"/>
        <v>0</v>
      </c>
      <c r="M72" s="72"/>
    </row>
    <row r="73" spans="1:13">
      <c r="A73" s="89">
        <f>'Major Assumption Key'!A32</f>
        <v>2033</v>
      </c>
      <c r="B73" s="88">
        <f t="shared" si="10"/>
        <v>0</v>
      </c>
      <c r="C73" s="812" t="str" cm="1">
        <f t="array" ref="C73">IF(A73-$H$9&lt;0,"",INDEX('Life Cycle of Rehabilitation'!$C$19:$C$73,A73-$H$9+1,0))</f>
        <v>New</v>
      </c>
      <c r="D73" s="812" t="str">
        <f>IF(C73="",IF(AND(A73&gt;='Cost Summary'!$C$26,A73&lt;='Cost Summary'!$D$26),"Construction",D27),"Routine Maintenance")</f>
        <v>Routine Maintenance</v>
      </c>
      <c r="E73" s="87">
        <f t="shared" si="8"/>
        <v>0</v>
      </c>
      <c r="F73" s="87"/>
      <c r="G73" s="87"/>
      <c r="H73" s="87">
        <f>IF(AND(A73&gt;='Cost Summary'!$C$26,A73&lt;='Cost Summary'!$D$26),$J$186/IF('Cost Summary'!$D$26='Cost Summary'!$C$26,1,'Cost Summary'!$D$26-'Cost Summary'!$C$26)*(1+$H$5)^(A73-$H$6),0)</f>
        <v>0</v>
      </c>
      <c r="I73" s="87">
        <f>IF(AND($A27&gt;=$H$7,$A27&lt;=$H$8),IFERROR('State of Good Repair CP-CP '!$B$26*$C$108*B73*(1-$J$108)*VLOOKUP($E$108,$B$150:$D$152,3,0)*(HLOOKUP(C73,$E$149:$I$155,$O$150,0)-1)/100,0)+IFERROR('State of Good Repair CP-CP '!$B$26*$C$109*B73*(1-$J$109)*VLOOKUP($E$109,$B$150:$D$152,3,0)*(HLOOKUP(C73,$E$149:$I$155,$O$151,0)-1)/100,0),0)</f>
        <v>0</v>
      </c>
      <c r="J73" s="87">
        <f>IF(AND($A27&gt;=$H$7,$A27&lt;=$H$8),IFERROR('State of Good Repair CP-CP '!$B$26*$C$108*B73*$J$108*VLOOKUP($E$108,$B$153:$D$155,3,0)*(HLOOKUP(C73,$E$149:$I$155,$P$150,0)-1)/100,0)+IFERROR('State of Good Repair CP-CP '!$B$26*$C$109*B73*$J$109*VLOOKUP($E$109,$B$153:$D$155,3,0)*(HLOOKUP(C73,$E$149:$I$155,$P$151,0)-1)/100,0),0)</f>
        <v>0</v>
      </c>
      <c r="K73" s="87">
        <f t="shared" si="11"/>
        <v>0</v>
      </c>
      <c r="M73" s="72"/>
    </row>
    <row r="74" spans="1:13">
      <c r="A74" s="89">
        <f>'Major Assumption Key'!A33</f>
        <v>2034</v>
      </c>
      <c r="B74" s="88">
        <f t="shared" si="10"/>
        <v>0</v>
      </c>
      <c r="C74" s="812" t="str" cm="1">
        <f t="array" ref="C74">IF(A74-$H$9&lt;0,"",INDEX('Life Cycle of Rehabilitation'!$C$19:$C$73,A74-$H$9+1,0))</f>
        <v>New</v>
      </c>
      <c r="D74" s="812" t="str">
        <f>IF(C74="",IF(AND(A74&gt;='Cost Summary'!$C$26,A74&lt;='Cost Summary'!$D$26),"Construction",D28),"Routine Maintenance")</f>
        <v>Routine Maintenance</v>
      </c>
      <c r="E74" s="87">
        <f t="shared" si="8"/>
        <v>0</v>
      </c>
      <c r="F74" s="87"/>
      <c r="G74" s="87"/>
      <c r="H74" s="87">
        <f>IF(AND(A74&gt;='Cost Summary'!$C$26,A74&lt;='Cost Summary'!$D$26),$J$186/IF('Cost Summary'!$D$26='Cost Summary'!$C$26,1,'Cost Summary'!$D$26-'Cost Summary'!$C$26)*(1+$H$5)^(A74-$H$6),0)</f>
        <v>0</v>
      </c>
      <c r="I74" s="87">
        <f>IF(AND($A28&gt;=$H$7,$A28&lt;=$H$8),IFERROR('State of Good Repair CP-CP '!$B$26*$C$108*B74*(1-$J$108)*VLOOKUP($E$108,$B$150:$D$152,3,0)*(HLOOKUP(C74,$E$149:$I$155,$O$150,0)-1)/100,0)+IFERROR('State of Good Repair CP-CP '!$B$26*$C$109*B74*(1-$J$109)*VLOOKUP($E$109,$B$150:$D$152,3,0)*(HLOOKUP(C74,$E$149:$I$155,$O$151,0)-1)/100,0),0)</f>
        <v>0</v>
      </c>
      <c r="J74" s="87">
        <f>IF(AND($A28&gt;=$H$7,$A28&lt;=$H$8),IFERROR('State of Good Repair CP-CP '!$B$26*$C$108*B74*$J$108*VLOOKUP($E$108,$B$153:$D$155,3,0)*(HLOOKUP(C74,$E$149:$I$155,$P$150,0)-1)/100,0)+IFERROR('State of Good Repair CP-CP '!$B$26*$C$109*B74*$J$109*VLOOKUP($E$109,$B$153:$D$155,3,0)*(HLOOKUP(C74,$E$149:$I$155,$P$151,0)-1)/100,0),0)</f>
        <v>0</v>
      </c>
      <c r="K74" s="87">
        <f t="shared" si="11"/>
        <v>0</v>
      </c>
      <c r="M74" s="72"/>
    </row>
    <row r="75" spans="1:13">
      <c r="A75" s="89">
        <f>'Major Assumption Key'!A34</f>
        <v>2035</v>
      </c>
      <c r="B75" s="88">
        <f t="shared" si="10"/>
        <v>0</v>
      </c>
      <c r="C75" s="812" t="str" cm="1">
        <f t="array" ref="C75">IF(A75-$H$9&lt;0,"",INDEX('Life Cycle of Rehabilitation'!$C$19:$C$73,A75-$H$9+1,0))</f>
        <v>New</v>
      </c>
      <c r="D75" s="812" t="str">
        <f>IF(C75="",IF(AND(A75&gt;='Cost Summary'!$C$26,A75&lt;='Cost Summary'!$D$26),"Construction",D29),"Routine Maintenance")</f>
        <v>Routine Maintenance</v>
      </c>
      <c r="E75" s="87">
        <f t="shared" si="8"/>
        <v>0</v>
      </c>
      <c r="F75" s="87"/>
      <c r="G75" s="87"/>
      <c r="H75" s="87">
        <f>IF(AND(A75&gt;='Cost Summary'!$C$26,A75&lt;='Cost Summary'!$D$26),$J$186/IF('Cost Summary'!$D$26='Cost Summary'!$C$26,1,'Cost Summary'!$D$26-'Cost Summary'!$C$26)*(1+$H$5)^(A75-$H$6),0)</f>
        <v>0</v>
      </c>
      <c r="I75" s="87">
        <f>IF(AND($A29&gt;=$H$7,$A29&lt;=$H$8),IFERROR('State of Good Repair CP-CP '!$B$26*$C$108*B75*(1-$J$108)*VLOOKUP($E$108,$B$150:$D$152,3,0)*(HLOOKUP(C75,$E$149:$I$155,$O$150,0)-1)/100,0)+IFERROR('State of Good Repair CP-CP '!$B$26*$C$109*B75*(1-$J$109)*VLOOKUP($E$109,$B$150:$D$152,3,0)*(HLOOKUP(C75,$E$149:$I$155,$O$151,0)-1)/100,0),0)</f>
        <v>0</v>
      </c>
      <c r="J75" s="87">
        <f>IF(AND($A29&gt;=$H$7,$A29&lt;=$H$8),IFERROR('State of Good Repair CP-CP '!$B$26*$C$108*B75*$J$108*VLOOKUP($E$108,$B$153:$D$155,3,0)*(HLOOKUP(C75,$E$149:$I$155,$P$150,0)-1)/100,0)+IFERROR('State of Good Repair CP-CP '!$B$26*$C$109*B75*$J$109*VLOOKUP($E$109,$B$153:$D$155,3,0)*(HLOOKUP(C75,$E$149:$I$155,$P$151,0)-1)/100,0),0)</f>
        <v>0</v>
      </c>
      <c r="K75" s="87">
        <f t="shared" si="11"/>
        <v>0</v>
      </c>
      <c r="M75" s="72"/>
    </row>
    <row r="76" spans="1:13">
      <c r="A76" s="89">
        <f>'Major Assumption Key'!A35</f>
        <v>2036</v>
      </c>
      <c r="B76" s="88">
        <f t="shared" si="10"/>
        <v>0</v>
      </c>
      <c r="C76" s="812" t="str" cm="1">
        <f t="array" ref="C76">IF(A76-$H$9&lt;0,"",INDEX('Life Cycle of Rehabilitation'!$C$19:$C$73,A76-$H$9+1,0))</f>
        <v>New</v>
      </c>
      <c r="D76" s="812" t="str">
        <f>IF(C76="",IF(AND(A76&gt;='Cost Summary'!$C$26,A76&lt;='Cost Summary'!$D$26),"Construction",D30),"Routine Maintenance")</f>
        <v>Routine Maintenance</v>
      </c>
      <c r="E76" s="87">
        <f t="shared" si="8"/>
        <v>0</v>
      </c>
      <c r="F76" s="87"/>
      <c r="G76" s="87"/>
      <c r="H76" s="87">
        <f>IF(AND(A76&gt;='Cost Summary'!$C$26,A76&lt;='Cost Summary'!$D$26),$J$186/IF('Cost Summary'!$D$26='Cost Summary'!$C$26,1,'Cost Summary'!$D$26-'Cost Summary'!$C$26)*(1+$H$5)^(A76-$H$6),0)</f>
        <v>0</v>
      </c>
      <c r="I76" s="87">
        <f>IF(AND($A30&gt;=$H$7,$A30&lt;=$H$8),IFERROR('State of Good Repair CP-CP '!$B$26*$C$108*B76*(1-$J$108)*VLOOKUP($E$108,$B$150:$D$152,3,0)*(HLOOKUP(C76,$E$149:$I$155,$O$150,0)-1)/100,0)+IFERROR('State of Good Repair CP-CP '!$B$26*$C$109*B76*(1-$J$109)*VLOOKUP($E$109,$B$150:$D$152,3,0)*(HLOOKUP(C76,$E$149:$I$155,$O$151,0)-1)/100,0),0)</f>
        <v>0</v>
      </c>
      <c r="J76" s="87">
        <f>IF(AND($A30&gt;=$H$7,$A30&lt;=$H$8),IFERROR('State of Good Repair CP-CP '!$B$26*$C$108*B76*$J$108*VLOOKUP($E$108,$B$153:$D$155,3,0)*(HLOOKUP(C76,$E$149:$I$155,$P$150,0)-1)/100,0)+IFERROR('State of Good Repair CP-CP '!$B$26*$C$109*B76*$J$109*VLOOKUP($E$109,$B$153:$D$155,3,0)*(HLOOKUP(C76,$E$149:$I$155,$P$151,0)-1)/100,0),0)</f>
        <v>0</v>
      </c>
      <c r="K76" s="87">
        <f t="shared" si="11"/>
        <v>0</v>
      </c>
      <c r="M76" s="72"/>
    </row>
    <row r="77" spans="1:13">
      <c r="A77" s="89">
        <f>'Major Assumption Key'!A36</f>
        <v>2037</v>
      </c>
      <c r="B77" s="88">
        <f t="shared" si="10"/>
        <v>0</v>
      </c>
      <c r="C77" s="812" t="str" cm="1">
        <f t="array" ref="C77">IF(A77-$H$9&lt;0,"",INDEX('Life Cycle of Rehabilitation'!$C$19:$C$73,A77-$H$9+1,0))</f>
        <v>New</v>
      </c>
      <c r="D77" s="812" t="str">
        <f>IF(C77="",IF(AND(A77&gt;='Cost Summary'!$C$26,A77&lt;='Cost Summary'!$D$26),"Construction",D31),"Routine Maintenance")</f>
        <v>Routine Maintenance</v>
      </c>
      <c r="E77" s="87">
        <f t="shared" si="8"/>
        <v>0</v>
      </c>
      <c r="F77" s="87"/>
      <c r="G77" s="87"/>
      <c r="H77" s="87">
        <f>IF(AND(A77&gt;='Cost Summary'!$C$26,A77&lt;='Cost Summary'!$D$26),$J$186/IF('Cost Summary'!$D$26='Cost Summary'!$C$26,1,'Cost Summary'!$D$26-'Cost Summary'!$C$26)*(1+$H$5)^(A77-$H$6),0)</f>
        <v>0</v>
      </c>
      <c r="I77" s="87">
        <f>IF(AND($A31&gt;=$H$7,$A31&lt;=$H$8),IFERROR('State of Good Repair CP-CP '!$B$26*$C$108*B77*(1-$J$108)*VLOOKUP($E$108,$B$150:$D$152,3,0)*(HLOOKUP(C77,$E$149:$I$155,$O$150,0)-1)/100,0)+IFERROR('State of Good Repair CP-CP '!$B$26*$C$109*B77*(1-$J$109)*VLOOKUP($E$109,$B$150:$D$152,3,0)*(HLOOKUP(C77,$E$149:$I$155,$O$151,0)-1)/100,0),0)</f>
        <v>0</v>
      </c>
      <c r="J77" s="87">
        <f>IF(AND($A31&gt;=$H$7,$A31&lt;=$H$8),IFERROR('State of Good Repair CP-CP '!$B$26*$C$108*B77*$J$108*VLOOKUP($E$108,$B$153:$D$155,3,0)*(HLOOKUP(C77,$E$149:$I$155,$P$150,0)-1)/100,0)+IFERROR('State of Good Repair CP-CP '!$B$26*$C$109*B77*$J$109*VLOOKUP($E$109,$B$153:$D$155,3,0)*(HLOOKUP(C77,$E$149:$I$155,$P$151,0)-1)/100,0),0)</f>
        <v>0</v>
      </c>
      <c r="K77" s="87">
        <f t="shared" si="11"/>
        <v>0</v>
      </c>
      <c r="M77" s="72"/>
    </row>
    <row r="78" spans="1:13">
      <c r="A78" s="89">
        <f>'Major Assumption Key'!A37</f>
        <v>2038</v>
      </c>
      <c r="B78" s="88">
        <f t="shared" si="10"/>
        <v>0</v>
      </c>
      <c r="C78" s="812" t="str" cm="1">
        <f t="array" ref="C78">IF(A78-$H$9&lt;0,"",INDEX('Life Cycle of Rehabilitation'!$C$19:$C$73,A78-$H$9+1,0))</f>
        <v>New</v>
      </c>
      <c r="D78" s="812" t="str">
        <f>IF(C78="",IF(AND(A78&gt;='Cost Summary'!$C$26,A78&lt;='Cost Summary'!$D$26),"Construction",D32),"Routine Maintenance")</f>
        <v>Routine Maintenance</v>
      </c>
      <c r="E78" s="87">
        <f t="shared" si="8"/>
        <v>0</v>
      </c>
      <c r="F78" s="87"/>
      <c r="G78" s="87"/>
      <c r="H78" s="87">
        <f>IF(AND(A78&gt;='Cost Summary'!$C$26,A78&lt;='Cost Summary'!$D$26),$J$186/IF('Cost Summary'!$D$26='Cost Summary'!$C$26,1,'Cost Summary'!$D$26-'Cost Summary'!$C$26)*(1+$H$5)^(A78-$H$6),0)</f>
        <v>0</v>
      </c>
      <c r="I78" s="87">
        <f>IF(AND($A32&gt;=$H$7,$A32&lt;=$H$8),IFERROR('State of Good Repair CP-CP '!$B$26*$C$108*B78*(1-$J$108)*VLOOKUP($E$108,$B$150:$D$152,3,0)*(HLOOKUP(C78,$E$149:$I$155,$O$150,0)-1)/100,0)+IFERROR('State of Good Repair CP-CP '!$B$26*$C$109*B78*(1-$J$109)*VLOOKUP($E$109,$B$150:$D$152,3,0)*(HLOOKUP(C78,$E$149:$I$155,$O$151,0)-1)/100,0),0)</f>
        <v>0</v>
      </c>
      <c r="J78" s="87">
        <f>IF(AND($A32&gt;=$H$7,$A32&lt;=$H$8),IFERROR('State of Good Repair CP-CP '!$B$26*$C$108*B78*$J$108*VLOOKUP($E$108,$B$153:$D$155,3,0)*(HLOOKUP(C78,$E$149:$I$155,$P$150,0)-1)/100,0)+IFERROR('State of Good Repair CP-CP '!$B$26*$C$109*B78*$J$109*VLOOKUP($E$109,$B$153:$D$155,3,0)*(HLOOKUP(C78,$E$149:$I$155,$P$151,0)-1)/100,0),0)</f>
        <v>0</v>
      </c>
      <c r="K78" s="87">
        <f t="shared" si="11"/>
        <v>0</v>
      </c>
      <c r="M78" s="72"/>
    </row>
    <row r="79" spans="1:13">
      <c r="A79" s="89">
        <f>'Major Assumption Key'!A38</f>
        <v>2039</v>
      </c>
      <c r="B79" s="88">
        <f t="shared" si="10"/>
        <v>0</v>
      </c>
      <c r="C79" s="812" t="str" cm="1">
        <f t="array" ref="C79">IF(A79-$H$9&lt;0,"",INDEX('Life Cycle of Rehabilitation'!$C$19:$C$73,A79-$H$9+1,0))</f>
        <v>New</v>
      </c>
      <c r="D79" s="812" t="str">
        <f>IF(C79="",IF(AND(A79&gt;='Cost Summary'!$C$26,A79&lt;='Cost Summary'!$D$26),"Construction",D33),"Routine Maintenance")</f>
        <v>Routine Maintenance</v>
      </c>
      <c r="E79" s="87">
        <f t="shared" si="8"/>
        <v>0</v>
      </c>
      <c r="F79" s="87"/>
      <c r="G79" s="87"/>
      <c r="H79" s="87">
        <f>IF(AND(A79&gt;='Cost Summary'!$C$26,A79&lt;='Cost Summary'!$D$26),$J$186/IF('Cost Summary'!$D$26='Cost Summary'!$C$26,1,'Cost Summary'!$D$26-'Cost Summary'!$C$26)*(1+$H$5)^(A79-$H$6),0)</f>
        <v>0</v>
      </c>
      <c r="I79" s="87">
        <f>IF(AND($A33&gt;=$H$7,$A33&lt;=$H$8),IFERROR('State of Good Repair CP-CP '!$B$26*$C$108*B79*(1-$J$108)*VLOOKUP($E$108,$B$150:$D$152,3,0)*(HLOOKUP(C79,$E$149:$I$155,$O$150,0)-1)/100,0)+IFERROR('State of Good Repair CP-CP '!$B$26*$C$109*B79*(1-$J$109)*VLOOKUP($E$109,$B$150:$D$152,3,0)*(HLOOKUP(C79,$E$149:$I$155,$O$151,0)-1)/100,0),0)</f>
        <v>0</v>
      </c>
      <c r="J79" s="87">
        <f>IF(AND($A33&gt;=$H$7,$A33&lt;=$H$8),IFERROR('State of Good Repair CP-CP '!$B$26*$C$108*B79*$J$108*VLOOKUP($E$108,$B$153:$D$155,3,0)*(HLOOKUP(C79,$E$149:$I$155,$P$150,0)-1)/100,0)+IFERROR('State of Good Repair CP-CP '!$B$26*$C$109*B79*$J$109*VLOOKUP($E$109,$B$153:$D$155,3,0)*(HLOOKUP(C79,$E$149:$I$155,$P$151,0)-1)/100,0),0)</f>
        <v>0</v>
      </c>
      <c r="K79" s="87">
        <f t="shared" si="11"/>
        <v>0</v>
      </c>
      <c r="M79" s="72"/>
    </row>
    <row r="80" spans="1:13">
      <c r="A80" s="89">
        <f>'Major Assumption Key'!A39</f>
        <v>2040</v>
      </c>
      <c r="B80" s="88">
        <f t="shared" si="10"/>
        <v>0</v>
      </c>
      <c r="C80" s="812" t="str" cm="1">
        <f t="array" ref="C80">IF(A80-$H$9&lt;0,"",INDEX('Life Cycle of Rehabilitation'!$C$19:$C$73,A80-$H$9+1,0))</f>
        <v>Very Good</v>
      </c>
      <c r="D80" s="812" t="str">
        <f>IF(C80="",IF(AND(A80&gt;='Cost Summary'!$C$26,A80&lt;='Cost Summary'!$D$26),"Construction",D34),"Routine Maintenance")</f>
        <v>Routine Maintenance</v>
      </c>
      <c r="E80" s="87">
        <f t="shared" si="8"/>
        <v>0</v>
      </c>
      <c r="F80" s="87"/>
      <c r="G80" s="87"/>
      <c r="H80" s="87">
        <f>IF(AND(A80&gt;='Cost Summary'!$C$26,A80&lt;='Cost Summary'!$D$26),$J$186/IF('Cost Summary'!$D$26='Cost Summary'!$C$26,1,'Cost Summary'!$D$26-'Cost Summary'!$C$26)*(1+$H$5)^(A80-$H$6),0)</f>
        <v>0</v>
      </c>
      <c r="I80" s="87">
        <f>IF(AND($A34&gt;=$H$7,$A34&lt;=$H$8),IFERROR('State of Good Repair CP-CP '!$B$26*$C$108*B80*(1-$J$108)*VLOOKUP($E$108,$B$150:$D$152,3,0)*(HLOOKUP(C80,$E$149:$I$155,$O$150,0)-1)/100,0)+IFERROR('State of Good Repair CP-CP '!$B$26*$C$109*B80*(1-$J$109)*VLOOKUP($E$109,$B$150:$D$152,3,0)*(HLOOKUP(C80,$E$149:$I$155,$O$151,0)-1)/100,0),0)</f>
        <v>0</v>
      </c>
      <c r="J80" s="87">
        <f>IF(AND($A34&gt;=$H$7,$A34&lt;=$H$8),IFERROR('State of Good Repair CP-CP '!$B$26*$C$108*B80*$J$108*VLOOKUP($E$108,$B$153:$D$155,3,0)*(HLOOKUP(C80,$E$149:$I$155,$P$150,0)-1)/100,0)+IFERROR('State of Good Repair CP-CP '!$B$26*$C$109*B80*$J$109*VLOOKUP($E$109,$B$153:$D$155,3,0)*(HLOOKUP(C80,$E$149:$I$155,$P$151,0)-1)/100,0),0)</f>
        <v>0</v>
      </c>
      <c r="K80" s="87">
        <f t="shared" si="11"/>
        <v>0</v>
      </c>
      <c r="M80" s="72"/>
    </row>
    <row r="81" spans="1:13">
      <c r="A81" s="89">
        <f>'Major Assumption Key'!A40</f>
        <v>2041</v>
      </c>
      <c r="B81" s="88">
        <f t="shared" si="10"/>
        <v>0</v>
      </c>
      <c r="C81" s="812" t="str" cm="1">
        <f t="array" ref="C81">IF(A81-$H$9&lt;0,"",INDEX('Life Cycle of Rehabilitation'!$C$19:$C$73,A81-$H$9+1,0))</f>
        <v>Very Good</v>
      </c>
      <c r="D81" s="812" t="str">
        <f>IF(C81="",IF(AND(A81&gt;='Cost Summary'!$C$26,A81&lt;='Cost Summary'!$D$26),"Construction",D35),"Routine Maintenance")</f>
        <v>Routine Maintenance</v>
      </c>
      <c r="E81" s="87">
        <f t="shared" si="8"/>
        <v>0</v>
      </c>
      <c r="F81" s="87"/>
      <c r="G81" s="87"/>
      <c r="H81" s="87">
        <f>IF(AND(A81&gt;='Cost Summary'!$C$26,A81&lt;='Cost Summary'!$D$26),$J$186/IF('Cost Summary'!$D$26='Cost Summary'!$C$26,1,'Cost Summary'!$D$26-'Cost Summary'!$C$26)*(1+$H$5)^(A81-$H$6),0)</f>
        <v>0</v>
      </c>
      <c r="I81" s="87">
        <f>IF(AND($A35&gt;=$H$7,$A35&lt;=$H$8),IFERROR('State of Good Repair CP-CP '!$B$26*$C$108*B81*(1-$J$108)*VLOOKUP($E$108,$B$150:$D$152,3,0)*(HLOOKUP(C81,$E$149:$I$155,$O$150,0)-1)/100,0)+IFERROR('State of Good Repair CP-CP '!$B$26*$C$109*B81*(1-$J$109)*VLOOKUP($E$109,$B$150:$D$152,3,0)*(HLOOKUP(C81,$E$149:$I$155,$O$151,0)-1)/100,0),0)</f>
        <v>0</v>
      </c>
      <c r="J81" s="87">
        <f>IF(AND($A35&gt;=$H$7,$A35&lt;=$H$8),IFERROR('State of Good Repair CP-CP '!$B$26*$C$108*B81*$J$108*VLOOKUP($E$108,$B$153:$D$155,3,0)*(HLOOKUP(C81,$E$149:$I$155,$P$150,0)-1)/100,0)+IFERROR('State of Good Repair CP-CP '!$B$26*$C$109*B81*$J$109*VLOOKUP($E$109,$B$153:$D$155,3,0)*(HLOOKUP(C81,$E$149:$I$155,$P$151,0)-1)/100,0),0)</f>
        <v>0</v>
      </c>
      <c r="K81" s="87">
        <f t="shared" si="11"/>
        <v>0</v>
      </c>
      <c r="M81" s="72"/>
    </row>
    <row r="82" spans="1:13">
      <c r="A82" s="89">
        <f>'Major Assumption Key'!A41</f>
        <v>2042</v>
      </c>
      <c r="B82" s="88">
        <f t="shared" si="10"/>
        <v>0</v>
      </c>
      <c r="C82" s="812" t="str" cm="1">
        <f t="array" ref="C82">IF(A82-$H$9&lt;0,"",INDEX('Life Cycle of Rehabilitation'!$C$19:$C$73,A82-$H$9+1,0))</f>
        <v>Very Good</v>
      </c>
      <c r="D82" s="812" t="str">
        <f>IF(C82="",IF(AND(A82&gt;='Cost Summary'!$C$26,A82&lt;='Cost Summary'!$D$26),"Construction",D36),"Routine Maintenance")</f>
        <v>Routine Maintenance</v>
      </c>
      <c r="E82" s="87">
        <f t="shared" si="8"/>
        <v>0</v>
      </c>
      <c r="F82" s="87"/>
      <c r="G82" s="87"/>
      <c r="H82" s="87">
        <f>IF(AND(A82&gt;='Cost Summary'!$C$26,A82&lt;='Cost Summary'!$D$26),$J$186/IF('Cost Summary'!$D$26='Cost Summary'!$C$26,1,'Cost Summary'!$D$26-'Cost Summary'!$C$26)*(1+$H$5)^(A82-$H$6),0)</f>
        <v>0</v>
      </c>
      <c r="I82" s="87">
        <f>IF(AND($A36&gt;=$H$7,$A36&lt;=$H$8),IFERROR('State of Good Repair CP-CP '!$B$26*$C$108*B82*(1-$J$108)*VLOOKUP($E$108,$B$150:$D$152,3,0)*(HLOOKUP(C82,$E$149:$I$155,$O$150,0)-1)/100,0)+IFERROR('State of Good Repair CP-CP '!$B$26*$C$109*B82*(1-$J$109)*VLOOKUP($E$109,$B$150:$D$152,3,0)*(HLOOKUP(C82,$E$149:$I$155,$O$151,0)-1)/100,0),0)</f>
        <v>0</v>
      </c>
      <c r="J82" s="87">
        <f>IF(AND($A36&gt;=$H$7,$A36&lt;=$H$8),IFERROR('State of Good Repair CP-CP '!$B$26*$C$108*B82*$J$108*VLOOKUP($E$108,$B$153:$D$155,3,0)*(HLOOKUP(C82,$E$149:$I$155,$P$150,0)-1)/100,0)+IFERROR('State of Good Repair CP-CP '!$B$26*$C$109*B82*$J$109*VLOOKUP($E$109,$B$153:$D$155,3,0)*(HLOOKUP(C82,$E$149:$I$155,$P$151,0)-1)/100,0),0)</f>
        <v>0</v>
      </c>
      <c r="K82" s="87">
        <f t="shared" si="11"/>
        <v>0</v>
      </c>
      <c r="M82" s="72"/>
    </row>
    <row r="83" spans="1:13">
      <c r="A83" s="89">
        <f>'Major Assumption Key'!A42</f>
        <v>2043</v>
      </c>
      <c r="B83" s="88">
        <f t="shared" si="10"/>
        <v>0</v>
      </c>
      <c r="C83" s="812" t="str" cm="1">
        <f t="array" ref="C83">IF(A83-$H$9&lt;0,"",INDEX('Life Cycle of Rehabilitation'!$C$19:$C$73,A83-$H$9+1,0))</f>
        <v>Very Good</v>
      </c>
      <c r="D83" s="812" t="str">
        <f>IF(C83="",IF(AND(A83&gt;='Cost Summary'!$C$26,A83&lt;='Cost Summary'!$D$26),"Construction",D37),"Routine Maintenance")</f>
        <v>Routine Maintenance</v>
      </c>
      <c r="E83" s="87">
        <f t="shared" si="8"/>
        <v>0</v>
      </c>
      <c r="F83" s="87"/>
      <c r="G83" s="87"/>
      <c r="H83" s="87">
        <f>IF(AND(A83&gt;='Cost Summary'!$C$26,A83&lt;='Cost Summary'!$D$26),$J$186/IF('Cost Summary'!$D$26='Cost Summary'!$C$26,1,'Cost Summary'!$D$26-'Cost Summary'!$C$26)*(1+$H$5)^(A83-$H$6),0)</f>
        <v>0</v>
      </c>
      <c r="I83" s="87">
        <f>IF(AND($A37&gt;=$H$7,$A37&lt;=$H$8),IFERROR('State of Good Repair CP-CP '!$B$26*$C$108*B83*(1-$J$108)*VLOOKUP($E$108,$B$150:$D$152,3,0)*(HLOOKUP(C83,$E$149:$I$155,$O$150,0)-1)/100,0)+IFERROR('State of Good Repair CP-CP '!$B$26*$C$109*B83*(1-$J$109)*VLOOKUP($E$109,$B$150:$D$152,3,0)*(HLOOKUP(C83,$E$149:$I$155,$O$151,0)-1)/100,0),0)</f>
        <v>0</v>
      </c>
      <c r="J83" s="87">
        <f>IF(AND($A37&gt;=$H$7,$A37&lt;=$H$8),IFERROR('State of Good Repair CP-CP '!$B$26*$C$108*B83*$J$108*VLOOKUP($E$108,$B$153:$D$155,3,0)*(HLOOKUP(C83,$E$149:$I$155,$P$150,0)-1)/100,0)+IFERROR('State of Good Repair CP-CP '!$B$26*$C$109*B83*$J$109*VLOOKUP($E$109,$B$153:$D$155,3,0)*(HLOOKUP(C83,$E$149:$I$155,$P$151,0)-1)/100,0),0)</f>
        <v>0</v>
      </c>
      <c r="K83" s="87">
        <f t="shared" si="11"/>
        <v>0</v>
      </c>
      <c r="M83" s="72"/>
    </row>
    <row r="84" spans="1:13">
      <c r="A84" s="89">
        <f>'Major Assumption Key'!A43</f>
        <v>2044</v>
      </c>
      <c r="B84" s="88">
        <f t="shared" si="10"/>
        <v>0</v>
      </c>
      <c r="C84" s="812" t="str" cm="1">
        <f t="array" ref="C84">IF(A84-$H$9&lt;0,"",INDEX('Life Cycle of Rehabilitation'!$C$19:$C$73,A84-$H$9+1,0))</f>
        <v>Very Good</v>
      </c>
      <c r="D84" s="812" t="str">
        <f>IF(C84="",IF(AND(A84&gt;='Cost Summary'!$C$26,A84&lt;='Cost Summary'!$D$26),"Construction",D38),"Routine Maintenance")</f>
        <v>Routine Maintenance</v>
      </c>
      <c r="E84" s="87">
        <f t="shared" si="8"/>
        <v>0</v>
      </c>
      <c r="F84" s="87"/>
      <c r="G84" s="87"/>
      <c r="H84" s="87">
        <f>IF(AND(A84&gt;='Cost Summary'!$C$26,A84&lt;='Cost Summary'!$D$26),$J$186/IF('Cost Summary'!$D$26='Cost Summary'!$C$26,1,'Cost Summary'!$D$26-'Cost Summary'!$C$26)*(1+$H$5)^(A84-$H$6),0)</f>
        <v>0</v>
      </c>
      <c r="I84" s="87">
        <f>IF(AND($A38&gt;=$H$7,$A38&lt;=$H$8),IFERROR('State of Good Repair CP-CP '!$B$26*$C$108*B84*(1-$J$108)*VLOOKUP($E$108,$B$150:$D$152,3,0)*(HLOOKUP(C84,$E$149:$I$155,$O$150,0)-1)/100,0)+IFERROR('State of Good Repair CP-CP '!$B$26*$C$109*B84*(1-$J$109)*VLOOKUP($E$109,$B$150:$D$152,3,0)*(HLOOKUP(C84,$E$149:$I$155,$O$151,0)-1)/100,0),0)</f>
        <v>0</v>
      </c>
      <c r="J84" s="87">
        <f>IF(AND($A38&gt;=$H$7,$A38&lt;=$H$8),IFERROR('State of Good Repair CP-CP '!$B$26*$C$108*B84*$J$108*VLOOKUP($E$108,$B$153:$D$155,3,0)*(HLOOKUP(C84,$E$149:$I$155,$P$150,0)-1)/100,0)+IFERROR('State of Good Repair CP-CP '!$B$26*$C$109*B84*$J$109*VLOOKUP($E$109,$B$153:$D$155,3,0)*(HLOOKUP(C84,$E$149:$I$155,$P$151,0)-1)/100,0),0)</f>
        <v>0</v>
      </c>
      <c r="K84" s="87">
        <f t="shared" si="11"/>
        <v>0</v>
      </c>
      <c r="M84" s="72"/>
    </row>
    <row r="85" spans="1:13">
      <c r="A85" s="89">
        <f>'Major Assumption Key'!A44</f>
        <v>2045</v>
      </c>
      <c r="B85" s="88">
        <f t="shared" si="10"/>
        <v>0</v>
      </c>
      <c r="C85" s="812" t="str" cm="1">
        <f t="array" ref="C85">IF(A85-$H$9&lt;0,"",INDEX('Life Cycle of Rehabilitation'!$C$19:$C$73,A85-$H$9+1,0))</f>
        <v>Very Good</v>
      </c>
      <c r="D85" s="812" t="str">
        <f>IF(C85="",IF(AND(A85&gt;='Cost Summary'!$C$26,A85&lt;='Cost Summary'!$D$26),"Construction",D39),"Routine Maintenance")</f>
        <v>Routine Maintenance</v>
      </c>
      <c r="E85" s="87">
        <f t="shared" si="8"/>
        <v>0</v>
      </c>
      <c r="F85" s="87"/>
      <c r="G85" s="87"/>
      <c r="H85" s="87">
        <f>IF(AND(A85&gt;='Cost Summary'!$C$26,A85&lt;='Cost Summary'!$D$26),$J$186/IF('Cost Summary'!$D$26='Cost Summary'!$C$26,1,'Cost Summary'!$D$26-'Cost Summary'!$C$26)*(1+$H$5)^(A85-$H$6),0)</f>
        <v>0</v>
      </c>
      <c r="I85" s="87">
        <f>IF(AND($A39&gt;=$H$7,$A39&lt;=$H$8),IFERROR('State of Good Repair CP-CP '!$B$26*$C$108*B85*(1-$J$108)*VLOOKUP($E$108,$B$150:$D$152,3,0)*(HLOOKUP(C85,$E$149:$I$155,$O$150,0)-1)/100,0)+IFERROR('State of Good Repair CP-CP '!$B$26*$C$109*B85*(1-$J$109)*VLOOKUP($E$109,$B$150:$D$152,3,0)*(HLOOKUP(C85,$E$149:$I$155,$O$151,0)-1)/100,0),0)</f>
        <v>0</v>
      </c>
      <c r="J85" s="87">
        <f>IF(AND($A39&gt;=$H$7,$A39&lt;=$H$8),IFERROR('State of Good Repair CP-CP '!$B$26*$C$108*B85*$J$108*VLOOKUP($E$108,$B$153:$D$155,3,0)*(HLOOKUP(C85,$E$149:$I$155,$P$150,0)-1)/100,0)+IFERROR('State of Good Repair CP-CP '!$B$26*$C$109*B85*$J$109*VLOOKUP($E$109,$B$153:$D$155,3,0)*(HLOOKUP(C85,$E$149:$I$155,$P$151,0)-1)/100,0),0)</f>
        <v>0</v>
      </c>
      <c r="K85" s="87">
        <f t="shared" si="11"/>
        <v>0</v>
      </c>
      <c r="M85" s="72"/>
    </row>
    <row r="86" spans="1:13">
      <c r="A86" s="89">
        <f>'Major Assumption Key'!A45</f>
        <v>2046</v>
      </c>
      <c r="B86" s="88">
        <f t="shared" si="10"/>
        <v>0</v>
      </c>
      <c r="C86" s="812" t="str" cm="1">
        <f t="array" ref="C86">IF(A86-$H$9&lt;0,"",INDEX('Life Cycle of Rehabilitation'!$C$19:$C$73,A86-$H$9+1,0))</f>
        <v>Very Good</v>
      </c>
      <c r="D86" s="812" t="str">
        <f>IF(C86="",IF(AND(A86&gt;='Cost Summary'!$C$26,A86&lt;='Cost Summary'!$D$26),"Construction",D40),"Routine Maintenance")</f>
        <v>Routine Maintenance</v>
      </c>
      <c r="E86" s="87">
        <f t="shared" si="8"/>
        <v>0</v>
      </c>
      <c r="F86" s="87"/>
      <c r="G86" s="87"/>
      <c r="H86" s="87">
        <f>IF(AND(A86&gt;='Cost Summary'!$C$26,A86&lt;='Cost Summary'!$D$26),$J$186/IF('Cost Summary'!$D$26='Cost Summary'!$C$26,1,'Cost Summary'!$D$26-'Cost Summary'!$C$26)*(1+$H$5)^(A86-$H$6),0)</f>
        <v>0</v>
      </c>
      <c r="I86" s="87">
        <f>IF(AND($A40&gt;=$H$7,$A40&lt;=$H$8),IFERROR('State of Good Repair CP-CP '!$B$26*$C$108*B86*(1-$J$108)*VLOOKUP($E$108,$B$150:$D$152,3,0)*(HLOOKUP(C86,$E$149:$I$155,$O$150,0)-1)/100,0)+IFERROR('State of Good Repair CP-CP '!$B$26*$C$109*B86*(1-$J$109)*VLOOKUP($E$109,$B$150:$D$152,3,0)*(HLOOKUP(C86,$E$149:$I$155,$O$151,0)-1)/100,0),0)</f>
        <v>0</v>
      </c>
      <c r="J86" s="87">
        <f>IF(AND($A40&gt;=$H$7,$A40&lt;=$H$8),IFERROR('State of Good Repair CP-CP '!$B$26*$C$108*B86*$J$108*VLOOKUP($E$108,$B$153:$D$155,3,0)*(HLOOKUP(C86,$E$149:$I$155,$P$150,0)-1)/100,0)+IFERROR('State of Good Repair CP-CP '!$B$26*$C$109*B86*$J$109*VLOOKUP($E$109,$B$153:$D$155,3,0)*(HLOOKUP(C86,$E$149:$I$155,$P$151,0)-1)/100,0),0)</f>
        <v>0</v>
      </c>
      <c r="K86" s="87">
        <f t="shared" si="11"/>
        <v>0</v>
      </c>
      <c r="M86" s="72"/>
    </row>
    <row r="87" spans="1:13">
      <c r="A87" s="89">
        <f>'Major Assumption Key'!A46</f>
        <v>2047</v>
      </c>
      <c r="B87" s="88">
        <f t="shared" si="10"/>
        <v>0</v>
      </c>
      <c r="C87" s="812" t="str" cm="1">
        <f t="array" ref="C87">IF(A87-$H$9&lt;0,"",INDEX('Life Cycle of Rehabilitation'!$C$19:$C$73,A87-$H$9+1,0))</f>
        <v>Very Good</v>
      </c>
      <c r="D87" s="812" t="str">
        <f>IF(C87="",IF(AND(A87&gt;='Cost Summary'!$C$26,A87&lt;='Cost Summary'!$D$26),"Construction",D41),"Routine Maintenance")</f>
        <v>Routine Maintenance</v>
      </c>
      <c r="E87" s="87">
        <f t="shared" si="8"/>
        <v>0</v>
      </c>
      <c r="F87" s="87"/>
      <c r="G87" s="87"/>
      <c r="H87" s="87">
        <f>IF(AND(A87&gt;='Cost Summary'!$C$26,A87&lt;='Cost Summary'!$D$26),$J$186/IF('Cost Summary'!$D$26='Cost Summary'!$C$26,1,'Cost Summary'!$D$26-'Cost Summary'!$C$26)*(1+$H$5)^(A87-$H$6),0)</f>
        <v>0</v>
      </c>
      <c r="I87" s="87">
        <f>IF(AND($A41&gt;=$H$7,$A41&lt;=$H$8),IFERROR('State of Good Repair CP-CP '!$B$26*$C$108*B87*(1-$J$108)*VLOOKUP($E$108,$B$150:$D$152,3,0)*(HLOOKUP(C87,$E$149:$I$155,$O$150,0)-1)/100,0)+IFERROR('State of Good Repair CP-CP '!$B$26*$C$109*B87*(1-$J$109)*VLOOKUP($E$109,$B$150:$D$152,3,0)*(HLOOKUP(C87,$E$149:$I$155,$O$151,0)-1)/100,0),0)</f>
        <v>0</v>
      </c>
      <c r="J87" s="87">
        <f>IF(AND($A41&gt;=$H$7,$A41&lt;=$H$8),IFERROR('State of Good Repair CP-CP '!$B$26*$C$108*B87*$J$108*VLOOKUP($E$108,$B$153:$D$155,3,0)*(HLOOKUP(C87,$E$149:$I$155,$P$150,0)-1)/100,0)+IFERROR('State of Good Repair CP-CP '!$B$26*$C$109*B87*$J$109*VLOOKUP($E$109,$B$153:$D$155,3,0)*(HLOOKUP(C87,$E$149:$I$155,$P$151,0)-1)/100,0),0)</f>
        <v>0</v>
      </c>
      <c r="K87" s="87">
        <f t="shared" si="11"/>
        <v>0</v>
      </c>
      <c r="M87" s="72"/>
    </row>
    <row r="88" spans="1:13">
      <c r="A88" s="89">
        <f>'Major Assumption Key'!A47</f>
        <v>2048</v>
      </c>
      <c r="B88" s="88">
        <f t="shared" si="10"/>
        <v>0</v>
      </c>
      <c r="C88" s="812" t="str" cm="1">
        <f t="array" ref="C88">IF(A88-$H$9&lt;0,"",INDEX('Life Cycle of Rehabilitation'!$C$19:$C$73,A88-$H$9+1,0))</f>
        <v>Good</v>
      </c>
      <c r="D88" s="812" t="str">
        <f>IF(C88="",IF(AND(A88&gt;='Cost Summary'!$C$26,A88&lt;='Cost Summary'!$D$26),"Construction",D42),"Routine Maintenance")</f>
        <v>Routine Maintenance</v>
      </c>
      <c r="E88" s="87">
        <f t="shared" si="8"/>
        <v>0</v>
      </c>
      <c r="F88" s="87"/>
      <c r="G88" s="87"/>
      <c r="H88" s="87">
        <f>IF(AND(A88&gt;='Cost Summary'!$C$26,A88&lt;='Cost Summary'!$D$26),$J$186/IF('Cost Summary'!$D$26='Cost Summary'!$C$26,1,'Cost Summary'!$D$26-'Cost Summary'!$C$26)*(1+$H$5)^(A88-$H$6),0)</f>
        <v>0</v>
      </c>
      <c r="I88" s="87">
        <f>IF(AND($A42&gt;=$H$7,$A42&lt;=$H$8),IFERROR('State of Good Repair CP-CP '!$B$26*$C$108*B88*(1-$J$108)*VLOOKUP($E$108,$B$150:$D$152,3,0)*(HLOOKUP(C88,$E$149:$I$155,$O$150,0)-1)/100,0)+IFERROR('State of Good Repair CP-CP '!$B$26*$C$109*B88*(1-$J$109)*VLOOKUP($E$109,$B$150:$D$152,3,0)*(HLOOKUP(C88,$E$149:$I$155,$O$151,0)-1)/100,0),0)</f>
        <v>0</v>
      </c>
      <c r="J88" s="87">
        <f>IF(AND($A42&gt;=$H$7,$A42&lt;=$H$8),IFERROR('State of Good Repair CP-CP '!$B$26*$C$108*B88*$J$108*VLOOKUP($E$108,$B$153:$D$155,3,0)*(HLOOKUP(C88,$E$149:$I$155,$P$150,0)-1)/100,0)+IFERROR('State of Good Repair CP-CP '!$B$26*$C$109*B88*$J$109*VLOOKUP($E$109,$B$153:$D$155,3,0)*(HLOOKUP(C88,$E$149:$I$155,$P$151,0)-1)/100,0),0)</f>
        <v>0</v>
      </c>
      <c r="K88" s="87">
        <f t="shared" si="11"/>
        <v>0</v>
      </c>
      <c r="M88" s="72"/>
    </row>
    <row r="89" spans="1:13">
      <c r="A89" s="89">
        <f>'Major Assumption Key'!A48</f>
        <v>2049</v>
      </c>
      <c r="B89" s="88">
        <f t="shared" si="10"/>
        <v>0</v>
      </c>
      <c r="C89" s="812" t="str" cm="1">
        <f t="array" ref="C89">IF(A89-$H$9&lt;0,"",INDEX('Life Cycle of Rehabilitation'!$C$19:$C$73,A89-$H$9+1,0))</f>
        <v>Good</v>
      </c>
      <c r="D89" s="812" t="str">
        <f>IF(C89="",IF(AND(A89&gt;='Cost Summary'!$C$26,A89&lt;='Cost Summary'!$D$26),"Construction",D43),"Routine Maintenance")</f>
        <v>Routine Maintenance</v>
      </c>
      <c r="E89" s="87">
        <f t="shared" si="8"/>
        <v>0</v>
      </c>
      <c r="F89" s="87"/>
      <c r="G89" s="87"/>
      <c r="H89" s="87">
        <f>IF(AND(A89&gt;='Cost Summary'!$C$26,A89&lt;='Cost Summary'!$D$26),$J$186/IF('Cost Summary'!$D$26='Cost Summary'!$C$26,1,'Cost Summary'!$D$26-'Cost Summary'!$C$26)*(1+$H$5)^(A89-$H$6),0)</f>
        <v>0</v>
      </c>
      <c r="I89" s="87">
        <f>IF(AND($A43&gt;=$H$7,$A43&lt;=$H$8),IFERROR('State of Good Repair CP-CP '!$B$26*$C$108*B89*(1-$J$108)*VLOOKUP($E$108,$B$150:$D$152,3,0)*(HLOOKUP(C89,$E$149:$I$155,$O$150,0)-1)/100,0)+IFERROR('State of Good Repair CP-CP '!$B$26*$C$109*B89*(1-$J$109)*VLOOKUP($E$109,$B$150:$D$152,3,0)*(HLOOKUP(C89,$E$149:$I$155,$O$151,0)-1)/100,0),0)</f>
        <v>0</v>
      </c>
      <c r="J89" s="87">
        <f>IF(AND($A43&gt;=$H$7,$A43&lt;=$H$8),IFERROR('State of Good Repair CP-CP '!$B$26*$C$108*B89*$J$108*VLOOKUP($E$108,$B$153:$D$155,3,0)*(HLOOKUP(C89,$E$149:$I$155,$P$150,0)-1)/100,0)+IFERROR('State of Good Repair CP-CP '!$B$26*$C$109*B89*$J$109*VLOOKUP($E$109,$B$153:$D$155,3,0)*(HLOOKUP(C89,$E$149:$I$155,$P$151,0)-1)/100,0),0)</f>
        <v>0</v>
      </c>
      <c r="K89" s="87">
        <f t="shared" si="11"/>
        <v>0</v>
      </c>
      <c r="M89" s="72"/>
    </row>
    <row r="90" spans="1:13">
      <c r="A90" s="89">
        <f>'Major Assumption Key'!A49</f>
        <v>2050</v>
      </c>
      <c r="B90" s="88">
        <f t="shared" si="10"/>
        <v>0</v>
      </c>
      <c r="C90" s="812" t="str" cm="1">
        <f t="array" ref="C90">IF(A90-$H$9&lt;0,"",INDEX('Life Cycle of Rehabilitation'!$C$19:$C$73,A90-$H$9+1,0))</f>
        <v>Good</v>
      </c>
      <c r="D90" s="812" t="str">
        <f>IF(C90="",IF(AND(A90&gt;='Cost Summary'!$C$26,A90&lt;='Cost Summary'!$D$26),"Construction",D44),"Routine Maintenance")</f>
        <v>Routine Maintenance</v>
      </c>
      <c r="E90" s="87">
        <f t="shared" si="8"/>
        <v>0</v>
      </c>
      <c r="F90" s="87"/>
      <c r="G90" s="87"/>
      <c r="H90" s="87">
        <f>IF(AND(A90&gt;='Cost Summary'!$C$26,A90&lt;='Cost Summary'!$D$26),$J$186/IF('Cost Summary'!$D$26='Cost Summary'!$C$26,1,'Cost Summary'!$D$26-'Cost Summary'!$C$26)*(1+$H$5)^(A90-$H$6),0)</f>
        <v>0</v>
      </c>
      <c r="I90" s="87">
        <f>IF(AND($A44&gt;=$H$7,$A44&lt;=$H$8),IFERROR('State of Good Repair CP-CP '!$B$26*$C$108*B90*(1-$J$108)*VLOOKUP($E$108,$B$150:$D$152,3,0)*(HLOOKUP(C90,$E$149:$I$155,$O$150,0)-1)/100,0)+IFERROR('State of Good Repair CP-CP '!$B$26*$C$109*B90*(1-$J$109)*VLOOKUP($E$109,$B$150:$D$152,3,0)*(HLOOKUP(C90,$E$149:$I$155,$O$151,0)-1)/100,0),0)</f>
        <v>0</v>
      </c>
      <c r="J90" s="87">
        <f>IF(AND($A44&gt;=$H$7,$A44&lt;=$H$8),IFERROR('State of Good Repair CP-CP '!$B$26*$C$108*B90*$J$108*VLOOKUP($E$108,$B$153:$D$155,3,0)*(HLOOKUP(C90,$E$149:$I$155,$P$150,0)-1)/100,0)+IFERROR('State of Good Repair CP-CP '!$B$26*$C$109*B90*$J$109*VLOOKUP($E$109,$B$153:$D$155,3,0)*(HLOOKUP(C90,$E$149:$I$155,$P$151,0)-1)/100,0),0)</f>
        <v>0</v>
      </c>
      <c r="K90" s="87">
        <f t="shared" si="11"/>
        <v>0</v>
      </c>
      <c r="M90" s="72"/>
    </row>
    <row r="91" spans="1:13">
      <c r="A91" s="89">
        <f>'Major Assumption Key'!A50</f>
        <v>2051</v>
      </c>
      <c r="B91" s="88">
        <f t="shared" si="10"/>
        <v>0</v>
      </c>
      <c r="C91" s="812" t="str" cm="1">
        <f t="array" ref="C91">IF(A91-$H$9&lt;0,"",INDEX('Life Cycle of Rehabilitation'!$C$19:$C$73,A91-$H$9+1,0))</f>
        <v>Good</v>
      </c>
      <c r="D91" s="812" t="str">
        <f>IF(C91="",IF(AND(A91&gt;='Cost Summary'!$C$26,A91&lt;='Cost Summary'!$D$26),"Construction",D45),"Routine Maintenance")</f>
        <v>Routine Maintenance</v>
      </c>
      <c r="E91" s="87">
        <f t="shared" si="8"/>
        <v>0</v>
      </c>
      <c r="F91" s="87"/>
      <c r="G91" s="87"/>
      <c r="H91" s="87">
        <f>IF(AND(A91&gt;='Cost Summary'!$C$26,A91&lt;='Cost Summary'!$D$26),$J$186/IF('Cost Summary'!$D$26='Cost Summary'!$C$26,1,'Cost Summary'!$D$26-'Cost Summary'!$C$26)*(1+$H$5)^(A91-$H$6),0)</f>
        <v>0</v>
      </c>
      <c r="I91" s="87">
        <f>IF(AND($A45&gt;=$H$7,$A45&lt;=$H$8),IFERROR('State of Good Repair CP-CP '!$B$26*$C$108*B91*(1-$J$108)*VLOOKUP($E$108,$B$150:$D$152,3,0)*(HLOOKUP(C91,$E$149:$I$155,$O$150,0)-1)/100,0)+IFERROR('State of Good Repair CP-CP '!$B$26*$C$109*B91*(1-$J$109)*VLOOKUP($E$109,$B$150:$D$152,3,0)*(HLOOKUP(C91,$E$149:$I$155,$O$151,0)-1)/100,0),0)</f>
        <v>0</v>
      </c>
      <c r="J91" s="87">
        <f>IF(AND($A45&gt;=$H$7,$A45&lt;=$H$8),IFERROR('State of Good Repair CP-CP '!$B$26*$C$108*B91*$J$108*VLOOKUP($E$108,$B$153:$D$155,3,0)*(HLOOKUP(C91,$E$149:$I$155,$P$150,0)-1)/100,0)+IFERROR('State of Good Repair CP-CP '!$B$26*$C$109*B91*$J$109*VLOOKUP($E$109,$B$153:$D$155,3,0)*(HLOOKUP(C91,$E$149:$I$155,$P$151,0)-1)/100,0),0)</f>
        <v>0</v>
      </c>
      <c r="K91" s="87">
        <f t="shared" si="11"/>
        <v>0</v>
      </c>
      <c r="M91" s="72"/>
    </row>
    <row r="92" spans="1:13">
      <c r="A92" s="89">
        <f>'Major Assumption Key'!A51</f>
        <v>2052</v>
      </c>
      <c r="B92" s="88">
        <f t="shared" si="10"/>
        <v>0</v>
      </c>
      <c r="C92" s="812" t="str" cm="1">
        <f t="array" ref="C92">IF(A92-$H$9&lt;0,"",INDEX('Life Cycle of Rehabilitation'!$C$19:$C$73,A92-$H$9+1,0))</f>
        <v>Good</v>
      </c>
      <c r="D92" s="812" t="str">
        <f>IF(C92="",IF(AND(A92&gt;='Cost Summary'!$C$26,A92&lt;='Cost Summary'!$D$26),"Construction",D46),"Routine Maintenance")</f>
        <v>Routine Maintenance</v>
      </c>
      <c r="E92" s="87">
        <f t="shared" si="8"/>
        <v>0</v>
      </c>
      <c r="F92" s="87"/>
      <c r="G92" s="87"/>
      <c r="H92" s="87">
        <f>IF(AND(A92&gt;='Cost Summary'!$C$26,A92&lt;='Cost Summary'!$D$26),$J$186/IF('Cost Summary'!$D$26='Cost Summary'!$C$26,1,'Cost Summary'!$D$26-'Cost Summary'!$C$26)*(1+$H$5)^(A92-$H$6),0)</f>
        <v>0</v>
      </c>
      <c r="I92" s="87">
        <f>IF(AND($A46&gt;=$H$7,$A46&lt;=$H$8),IFERROR('State of Good Repair CP-CP '!$B$26*$C$108*B92*(1-$J$108)*VLOOKUP($E$108,$B$150:$D$152,3,0)*(HLOOKUP(C92,$E$149:$I$155,$O$150,0)-1)/100,0)+IFERROR('State of Good Repair CP-CP '!$B$26*$C$109*B92*(1-$J$109)*VLOOKUP($E$109,$B$150:$D$152,3,0)*(HLOOKUP(C92,$E$149:$I$155,$O$151,0)-1)/100,0),0)</f>
        <v>0</v>
      </c>
      <c r="J92" s="87">
        <f>IF(AND($A46&gt;=$H$7,$A46&lt;=$H$8),IFERROR('State of Good Repair CP-CP '!$B$26*$C$108*B92*$J$108*VLOOKUP($E$108,$B$153:$D$155,3,0)*(HLOOKUP(C92,$E$149:$I$155,$P$150,0)-1)/100,0)+IFERROR('State of Good Repair CP-CP '!$B$26*$C$109*B92*$J$109*VLOOKUP($E$109,$B$153:$D$155,3,0)*(HLOOKUP(C92,$E$149:$I$155,$P$151,0)-1)/100,0),0)</f>
        <v>0</v>
      </c>
      <c r="K92" s="87">
        <f t="shared" si="11"/>
        <v>0</v>
      </c>
      <c r="M92" s="72"/>
    </row>
    <row r="93" spans="1:13">
      <c r="A93" s="89">
        <f>'Major Assumption Key'!A52</f>
        <v>2053</v>
      </c>
      <c r="B93" s="88">
        <f t="shared" si="10"/>
        <v>0</v>
      </c>
      <c r="C93" s="812" t="str" cm="1">
        <f t="array" ref="C93">IF(A93-$H$9&lt;0,"",INDEX('Life Cycle of Rehabilitation'!$C$19:$C$73,A93-$H$9+1,0))</f>
        <v>Good</v>
      </c>
      <c r="D93" s="812" t="str">
        <f>IF(C93="",IF(AND(A93&gt;='Cost Summary'!$C$26,A93&lt;='Cost Summary'!$D$26),"Construction",D47),"Routine Maintenance")</f>
        <v>Routine Maintenance</v>
      </c>
      <c r="E93" s="87">
        <f t="shared" si="8"/>
        <v>0</v>
      </c>
      <c r="F93" s="87"/>
      <c r="G93" s="87"/>
      <c r="H93" s="87">
        <f>IF(AND(A93&gt;='Cost Summary'!$C$26,A93&lt;='Cost Summary'!$D$26),$J$186/IF('Cost Summary'!$D$26='Cost Summary'!$C$26,1,'Cost Summary'!$D$26-'Cost Summary'!$C$26)*(1+$H$5)^(A93-$H$6),0)</f>
        <v>0</v>
      </c>
      <c r="I93" s="87">
        <f>IF(AND($A47&gt;=$H$7,$A47&lt;=$H$8),IFERROR('State of Good Repair CP-CP '!$B$26*$C$108*B93*(1-$J$108)*VLOOKUP($E$108,$B$150:$D$152,3,0)*(HLOOKUP(C93,$E$149:$I$155,$O$150,0)-1)/100,0)+IFERROR('State of Good Repair CP-CP '!$B$26*$C$109*B93*(1-$J$109)*VLOOKUP($E$109,$B$150:$D$152,3,0)*(HLOOKUP(C93,$E$149:$I$155,$O$151,0)-1)/100,0),0)</f>
        <v>0</v>
      </c>
      <c r="J93" s="87">
        <f>IF(AND($A47&gt;=$H$7,$A47&lt;=$H$8),IFERROR('State of Good Repair CP-CP '!$B$26*$C$108*B93*$J$108*VLOOKUP($E$108,$B$153:$D$155,3,0)*(HLOOKUP(C93,$E$149:$I$155,$P$150,0)-1)/100,0)+IFERROR('State of Good Repair CP-CP '!$B$26*$C$109*B93*$J$109*VLOOKUP($E$109,$B$153:$D$155,3,0)*(HLOOKUP(C93,$E$149:$I$155,$P$151,0)-1)/100,0),0)</f>
        <v>0</v>
      </c>
      <c r="K93" s="87">
        <f t="shared" si="11"/>
        <v>0</v>
      </c>
      <c r="M93" s="72"/>
    </row>
    <row r="94" spans="1:13">
      <c r="A94" s="89">
        <f>'Major Assumption Key'!A53</f>
        <v>2054</v>
      </c>
      <c r="B94" s="88">
        <f t="shared" si="10"/>
        <v>0</v>
      </c>
      <c r="C94" s="812" t="str" cm="1">
        <f t="array" ref="C94">IF(A94-$H$9&lt;0,"",INDEX('Life Cycle of Rehabilitation'!$C$19:$C$73,A94-$H$9+1,0))</f>
        <v>Fair</v>
      </c>
      <c r="D94" s="812" t="str">
        <f>IF(C94="",IF(AND(A94&gt;='Cost Summary'!$C$26,A94&lt;='Cost Summary'!$D$26),"Construction",D48),"Routine Maintenance")</f>
        <v>Routine Maintenance</v>
      </c>
      <c r="E94" s="87">
        <f t="shared" si="8"/>
        <v>0</v>
      </c>
      <c r="F94" s="87"/>
      <c r="G94" s="87"/>
      <c r="H94" s="87">
        <f>IF(AND(A94&gt;='Cost Summary'!$C$26,A94&lt;='Cost Summary'!$D$26),$J$186/IF('Cost Summary'!$D$26='Cost Summary'!$C$26,1,'Cost Summary'!$D$26-'Cost Summary'!$C$26)*(1+$H$5)^(A94-$H$6),0)</f>
        <v>0</v>
      </c>
      <c r="I94" s="87">
        <f>IF(AND($A48&gt;=$H$7,$A48&lt;=$H$8),IFERROR('State of Good Repair CP-CP '!$B$26*$C$108*B94*(1-$J$108)*VLOOKUP($E$108,$B$150:$D$152,3,0)*(HLOOKUP(C94,$E$149:$I$155,$O$150,0)-1)/100,0)+IFERROR('State of Good Repair CP-CP '!$B$26*$C$109*B94*(1-$J$109)*VLOOKUP($E$109,$B$150:$D$152,3,0)*(HLOOKUP(C94,$E$149:$I$155,$O$151,0)-1)/100,0),0)</f>
        <v>0</v>
      </c>
      <c r="J94" s="87">
        <f>IF(AND($A48&gt;=$H$7,$A48&lt;=$H$8),IFERROR('State of Good Repair CP-CP '!$B$26*$C$108*B94*$J$108*VLOOKUP($E$108,$B$153:$D$155,3,0)*(HLOOKUP(C94,$E$149:$I$155,$P$150,0)-1)/100,0)+IFERROR('State of Good Repair CP-CP '!$B$26*$C$109*B94*$J$109*VLOOKUP($E$109,$B$153:$D$155,3,0)*(HLOOKUP(C94,$E$149:$I$155,$P$151,0)-1)/100,0),0)</f>
        <v>0</v>
      </c>
      <c r="K94" s="87">
        <f t="shared" si="11"/>
        <v>0</v>
      </c>
      <c r="M94" s="72"/>
    </row>
    <row r="95" spans="1:13">
      <c r="A95" s="89">
        <f>'Major Assumption Key'!A54</f>
        <v>2055</v>
      </c>
      <c r="B95" s="88">
        <f t="shared" si="10"/>
        <v>0</v>
      </c>
      <c r="C95" s="812" t="str" cm="1">
        <f t="array" ref="C95">IF(A95-$H$9&lt;0,"",INDEX('Life Cycle of Rehabilitation'!$C$19:$C$73,A95-$H$9+1,0))</f>
        <v>Fair</v>
      </c>
      <c r="D95" s="812" t="str">
        <f>IF(C95="",IF(AND(A95&gt;='Cost Summary'!$C$26,A95&lt;='Cost Summary'!$D$26),"Construction",D49),"Routine Maintenance")</f>
        <v>Routine Maintenance</v>
      </c>
      <c r="E95" s="87">
        <f t="shared" si="8"/>
        <v>0</v>
      </c>
      <c r="F95" s="87"/>
      <c r="G95" s="87"/>
      <c r="H95" s="87">
        <f>IF(AND(A95&gt;='Cost Summary'!$C$26,A95&lt;='Cost Summary'!$D$26),$J$186/IF('Cost Summary'!$D$26='Cost Summary'!$C$26,1,'Cost Summary'!$D$26-'Cost Summary'!$C$26)*(1+$H$5)^(A95-$H$6),0)</f>
        <v>0</v>
      </c>
      <c r="I95" s="87">
        <f>IF(AND($A49&gt;=$H$7,$A49&lt;=$H$8),IFERROR('State of Good Repair CP-CP '!$B$26*$C$108*B95*(1-$J$108)*VLOOKUP($E$108,$B$150:$D$152,3,0)*(HLOOKUP(C95,$E$149:$I$155,$O$150,0)-1)/100,0)+IFERROR('State of Good Repair CP-CP '!$B$26*$C$109*B95*(1-$J$109)*VLOOKUP($E$109,$B$150:$D$152,3,0)*(HLOOKUP(C95,$E$149:$I$155,$O$151,0)-1)/100,0),0)</f>
        <v>0</v>
      </c>
      <c r="J95" s="87">
        <f>IF(AND($A49&gt;=$H$7,$A49&lt;=$H$8),IFERROR('State of Good Repair CP-CP '!$B$26*$C$108*B95*$J$108*VLOOKUP($E$108,$B$153:$D$155,3,0)*(HLOOKUP(C95,$E$149:$I$155,$P$150,0)-1)/100,0)+IFERROR('State of Good Repair CP-CP '!$B$26*$C$109*B95*$J$109*VLOOKUP($E$109,$B$153:$D$155,3,0)*(HLOOKUP(C95,$E$149:$I$155,$P$151,0)-1)/100,0),0)</f>
        <v>0</v>
      </c>
      <c r="K95" s="87">
        <f t="shared" si="11"/>
        <v>0</v>
      </c>
      <c r="M95" s="72"/>
    </row>
    <row r="96" spans="1:13">
      <c r="A96" s="89">
        <f>'Major Assumption Key'!A55</f>
        <v>2056</v>
      </c>
      <c r="B96" s="88">
        <f t="shared" si="10"/>
        <v>0</v>
      </c>
      <c r="C96" s="812" t="str" cm="1">
        <f t="array" ref="C96">IF(A96-$H$9&lt;0,"",INDEX('Life Cycle of Rehabilitation'!$C$19:$C$73,A96-$H$9+1,0))</f>
        <v>Fair</v>
      </c>
      <c r="D96" s="812" t="str">
        <f>IF(C96="",IF(AND(A96&gt;='Cost Summary'!$C$26,A96&lt;='Cost Summary'!$D$26),"Construction",D50),"Routine Maintenance")</f>
        <v>Routine Maintenance</v>
      </c>
      <c r="E96" s="87">
        <f t="shared" si="8"/>
        <v>0</v>
      </c>
      <c r="F96" s="87"/>
      <c r="G96" s="87"/>
      <c r="H96" s="87">
        <f>IF(AND(A96&gt;='Cost Summary'!$C$26,A96&lt;='Cost Summary'!$D$26),$J$186/IF('Cost Summary'!$D$26='Cost Summary'!$C$26,1,'Cost Summary'!$D$26-'Cost Summary'!$C$26)*(1+$H$5)^(A96-$H$6),0)</f>
        <v>0</v>
      </c>
      <c r="I96" s="87">
        <f>IF(AND($A50&gt;=$H$7,$A50&lt;=$H$8),IFERROR('State of Good Repair CP-CP '!$B$26*$C$108*B96*(1-$J$108)*VLOOKUP($E$108,$B$150:$D$152,3,0)*(HLOOKUP(C96,$E$149:$I$155,$O$150,0)-1)/100,0)+IFERROR('State of Good Repair CP-CP '!$B$26*$C$109*B96*(1-$J$109)*VLOOKUP($E$109,$B$150:$D$152,3,0)*(HLOOKUP(C96,$E$149:$I$155,$O$151,0)-1)/100,0),0)</f>
        <v>0</v>
      </c>
      <c r="J96" s="87">
        <f>IF(AND($A50&gt;=$H$7,$A50&lt;=$H$8),IFERROR('State of Good Repair CP-CP '!$B$26*$C$108*B96*$J$108*VLOOKUP($E$108,$B$153:$D$155,3,0)*(HLOOKUP(C96,$E$149:$I$155,$P$150,0)-1)/100,0)+IFERROR('State of Good Repair CP-CP '!$B$26*$C$109*B96*$J$109*VLOOKUP($E$109,$B$153:$D$155,3,0)*(HLOOKUP(C96,$E$149:$I$155,$P$151,0)-1)/100,0),0)</f>
        <v>0</v>
      </c>
      <c r="K96" s="87">
        <f t="shared" si="11"/>
        <v>0</v>
      </c>
      <c r="M96" s="72"/>
    </row>
    <row r="97" spans="1:16">
      <c r="A97" s="89">
        <f>'Major Assumption Key'!A56</f>
        <v>2057</v>
      </c>
      <c r="B97" s="88">
        <f t="shared" si="10"/>
        <v>0</v>
      </c>
      <c r="C97" s="812" t="str" cm="1">
        <f t="array" ref="C97">IF(A97-$H$9&lt;0,"",INDEX('Life Cycle of Rehabilitation'!$C$19:$C$73,A97-$H$9+1,0))</f>
        <v>Fair</v>
      </c>
      <c r="D97" s="812" t="str">
        <f>IF(C97="",IF(AND(A97&gt;='Cost Summary'!$C$26,A97&lt;='Cost Summary'!$D$26),"Construction",D51),"Routine Maintenance")</f>
        <v>Routine Maintenance</v>
      </c>
      <c r="E97" s="87">
        <f t="shared" si="8"/>
        <v>0</v>
      </c>
      <c r="F97" s="87"/>
      <c r="G97" s="87"/>
      <c r="H97" s="87">
        <f>IF(AND(A97&gt;='Cost Summary'!$C$26,A97&lt;='Cost Summary'!$D$26),$J$186/IF('Cost Summary'!$D$26='Cost Summary'!$C$26,1,'Cost Summary'!$D$26-'Cost Summary'!$C$26)*(1+$H$5)^(A97-$H$6),0)</f>
        <v>0</v>
      </c>
      <c r="I97" s="87">
        <f>IF(AND($A51&gt;=$H$7,$A51&lt;=$H$8),IFERROR('State of Good Repair CP-CP '!$B$26*$C$108*B97*(1-$J$108)*VLOOKUP($E$108,$B$150:$D$152,3,0)*(HLOOKUP(C97,$E$149:$I$155,$O$150,0)-1)/100,0)+IFERROR('State of Good Repair CP-CP '!$B$26*$C$109*B97*(1-$J$109)*VLOOKUP($E$109,$B$150:$D$152,3,0)*(HLOOKUP(C97,$E$149:$I$155,$O$151,0)-1)/100,0),0)</f>
        <v>0</v>
      </c>
      <c r="J97" s="87">
        <f>IF(AND($A51&gt;=$H$7,$A51&lt;=$H$8),IFERROR('State of Good Repair CP-CP '!$B$26*$C$108*B97*$J$108*VLOOKUP($E$108,$B$153:$D$155,3,0)*(HLOOKUP(C97,$E$149:$I$155,$P$150,0)-1)/100,0)+IFERROR('State of Good Repair CP-CP '!$B$26*$C$109*B97*$J$109*VLOOKUP($E$109,$B$153:$D$155,3,0)*(HLOOKUP(C97,$E$149:$I$155,$P$151,0)-1)/100,0),0)</f>
        <v>0</v>
      </c>
      <c r="K97" s="87">
        <f t="shared" si="11"/>
        <v>0</v>
      </c>
      <c r="M97" s="72"/>
    </row>
    <row r="98" spans="1:16">
      <c r="A98" s="89">
        <f>'Major Assumption Key'!A57</f>
        <v>2058</v>
      </c>
      <c r="B98" s="88">
        <f t="shared" si="10"/>
        <v>0</v>
      </c>
      <c r="C98" s="812" t="str" cm="1">
        <f t="array" ref="C98">IF(A98-$H$9&lt;0,"",INDEX('Life Cycle of Rehabilitation'!$C$19:$C$73,A98-$H$9+1,0))</f>
        <v>Fair</v>
      </c>
      <c r="D98" s="812" t="str">
        <f>IF(C98="",IF(AND(A98&gt;='Cost Summary'!$C$26,A98&lt;='Cost Summary'!$D$26),"Construction",D52),"Routine Maintenance")</f>
        <v>Routine Maintenance</v>
      </c>
      <c r="E98" s="87">
        <f t="shared" si="8"/>
        <v>0</v>
      </c>
      <c r="F98" s="87"/>
      <c r="G98" s="87"/>
      <c r="H98" s="87">
        <f>IF(AND(A98&gt;='Cost Summary'!$C$26,A98&lt;='Cost Summary'!$D$26),$J$186/IF('Cost Summary'!$D$26='Cost Summary'!$C$26,1,'Cost Summary'!$D$26-'Cost Summary'!$C$26)*(1+$H$5)^(A98-$H$6),0)</f>
        <v>0</v>
      </c>
      <c r="I98" s="87">
        <f>IF(AND($A52&gt;=$H$7,$A52&lt;=$H$8),IFERROR('State of Good Repair CP-CP '!$B$26*$C$108*B98*(1-$J$108)*VLOOKUP($E$108,$B$150:$D$152,3,0)*(HLOOKUP(C98,$E$149:$I$155,$O$150,0)-1)/100,0)+IFERROR('State of Good Repair CP-CP '!$B$26*$C$109*B98*(1-$J$109)*VLOOKUP($E$109,$B$150:$D$152,3,0)*(HLOOKUP(C98,$E$149:$I$155,$O$151,0)-1)/100,0),0)</f>
        <v>0</v>
      </c>
      <c r="J98" s="87">
        <f>IF(AND($A52&gt;=$H$7,$A52&lt;=$H$8),IFERROR('State of Good Repair CP-CP '!$B$26*$C$108*B98*$J$108*VLOOKUP($E$108,$B$153:$D$155,3,0)*(HLOOKUP(C98,$E$149:$I$155,$P$150,0)-1)/100,0)+IFERROR('State of Good Repair CP-CP '!$B$26*$C$109*B98*$J$109*VLOOKUP($E$109,$B$153:$D$155,3,0)*(HLOOKUP(C98,$E$149:$I$155,$P$151,0)-1)/100,0),0)</f>
        <v>0</v>
      </c>
      <c r="K98" s="87">
        <f t="shared" si="11"/>
        <v>0</v>
      </c>
      <c r="M98" s="72"/>
    </row>
    <row r="99" spans="1:16">
      <c r="A99" s="89">
        <f>'Major Assumption Key'!A58</f>
        <v>2059</v>
      </c>
      <c r="B99" s="88">
        <f t="shared" si="10"/>
        <v>0</v>
      </c>
      <c r="C99" s="812" t="str" cm="1">
        <f t="array" ref="C99">IF(A99-$H$9&lt;0,"",INDEX('Life Cycle of Rehabilitation'!$C$19:$C$73,A99-$H$9+1,0))</f>
        <v>Fair</v>
      </c>
      <c r="D99" s="812" t="str">
        <f>IF(C99="",IF(AND(A99&gt;='Cost Summary'!$C$26,A99&lt;='Cost Summary'!$D$26),"Construction",D53),"Routine Maintenance")</f>
        <v>Routine Maintenance</v>
      </c>
      <c r="E99" s="87">
        <f t="shared" si="8"/>
        <v>0</v>
      </c>
      <c r="F99" s="87"/>
      <c r="G99" s="87"/>
      <c r="H99" s="87">
        <f>IF(AND(A99&gt;='Cost Summary'!$C$26,A99&lt;='Cost Summary'!$D$26),$J$186/IF('Cost Summary'!$D$26='Cost Summary'!$C$26,1,'Cost Summary'!$D$26-'Cost Summary'!$C$26)*(1+$H$5)^(A99-$H$6),0)</f>
        <v>0</v>
      </c>
      <c r="I99" s="87">
        <f>IF(AND($A53&gt;=$H$7,$A53&lt;=$H$8),IFERROR('State of Good Repair CP-CP '!$B$26*$C$108*B99*(1-$J$108)*VLOOKUP($E$108,$B$150:$D$152,3,0)*(HLOOKUP(C99,$E$149:$I$155,$O$150,0)-1)/100,0)+IFERROR('State of Good Repair CP-CP '!$B$26*$C$109*B99*(1-$J$109)*VLOOKUP($E$109,$B$150:$D$152,3,0)*(HLOOKUP(C99,$E$149:$I$155,$O$151,0)-1)/100,0),0)</f>
        <v>0</v>
      </c>
      <c r="J99" s="87">
        <f>IF(AND($A53&gt;=$H$7,$A53&lt;=$H$8),IFERROR('State of Good Repair CP-CP '!$B$26*$C$108*B99*$J$108*VLOOKUP($E$108,$B$153:$D$155,3,0)*(HLOOKUP(C99,$E$149:$I$155,$P$150,0)-1)/100,0)+IFERROR('State of Good Repair CP-CP '!$B$26*$C$109*B99*$J$109*VLOOKUP($E$109,$B$153:$D$155,3,0)*(HLOOKUP(C99,$E$149:$I$155,$P$151,0)-1)/100,0),0)</f>
        <v>0</v>
      </c>
      <c r="K99" s="87">
        <f t="shared" si="11"/>
        <v>0</v>
      </c>
      <c r="M99" s="72"/>
    </row>
    <row r="100" spans="1:16">
      <c r="A100" s="89">
        <f>'Major Assumption Key'!A59</f>
        <v>2060</v>
      </c>
      <c r="B100" s="88">
        <f t="shared" si="10"/>
        <v>0</v>
      </c>
      <c r="C100" s="812" t="str" cm="1">
        <f t="array" ref="C100">IF(A100-$H$9&lt;0,"",INDEX('Life Cycle of Rehabilitation'!$C$19:$C$73,A100-$H$9+1,0))</f>
        <v>Poor</v>
      </c>
      <c r="D100" s="812" t="str">
        <f>IF(C100="",IF(AND(A100&gt;='Cost Summary'!$C$26,A100&lt;='Cost Summary'!$D$26),"Construction",D54),"Routine Maintenance")</f>
        <v>Routine Maintenance</v>
      </c>
      <c r="E100" s="87">
        <f t="shared" si="8"/>
        <v>0</v>
      </c>
      <c r="F100" s="87"/>
      <c r="G100" s="87"/>
      <c r="H100" s="87">
        <f>IF(AND(A100&gt;='Cost Summary'!$C$26,A100&lt;='Cost Summary'!$D$26),$J$186/IF('Cost Summary'!$D$26='Cost Summary'!$C$26,1,'Cost Summary'!$D$26-'Cost Summary'!$C$26)*(1+$H$5)^(A100-$H$6),0)</f>
        <v>0</v>
      </c>
      <c r="I100" s="87">
        <f>IF(AND($A54&gt;=$H$7,$A54&lt;=$H$8),IFERROR('State of Good Repair CP-CP '!$B$26*$C$108*B100*(1-$J$108)*VLOOKUP($E$108,$B$150:$D$152,3,0)*(HLOOKUP(C100,$E$149:$I$155,$O$150,0)-1)/100,0)+IFERROR('State of Good Repair CP-CP '!$B$26*$C$109*B100*(1-$J$109)*VLOOKUP($E$109,$B$150:$D$152,3,0)*(HLOOKUP(C100,$E$149:$I$155,$O$151,0)-1)/100,0),0)</f>
        <v>0</v>
      </c>
      <c r="J100" s="87">
        <f>IF(AND($A54&gt;=$H$7,$A54&lt;=$H$8),IFERROR('State of Good Repair CP-CP '!$B$26*$C$108*B100*$J$108*VLOOKUP($E$108,$B$153:$D$155,3,0)*(HLOOKUP(C100,$E$149:$I$155,$P$150,0)-1)/100,0)+IFERROR('State of Good Repair CP-CP '!$B$26*$C$109*B100*$J$109*VLOOKUP($E$109,$B$153:$D$155,3,0)*(HLOOKUP(C100,$E$149:$I$155,$P$151,0)-1)/100,0),0)</f>
        <v>0</v>
      </c>
      <c r="K100" s="87">
        <f t="shared" si="11"/>
        <v>0</v>
      </c>
      <c r="M100" s="72"/>
    </row>
    <row r="101" spans="1:16">
      <c r="A101" s="127" t="s">
        <v>63</v>
      </c>
      <c r="B101" s="86"/>
      <c r="C101" s="85"/>
      <c r="D101" s="85"/>
      <c r="E101" s="121">
        <f>SUMIFS(E$60:E$100,$A$60:$A$100,"&gt;="&amp;$H$7,$A$60:$A$100,"&lt;="&amp;$H$8)</f>
        <v>0</v>
      </c>
      <c r="F101" s="121">
        <f t="shared" ref="F101:K101" si="12">SUMIFS(F$60:F$100,$A$60:$A$100,"&gt;="&amp;$H$7,$A$60:$A$100,"&lt;="&amp;$H$8)</f>
        <v>0</v>
      </c>
      <c r="G101" s="121">
        <f t="shared" si="12"/>
        <v>0</v>
      </c>
      <c r="H101" s="121">
        <f t="shared" si="12"/>
        <v>0</v>
      </c>
      <c r="I101" s="121">
        <f t="shared" si="12"/>
        <v>0</v>
      </c>
      <c r="J101" s="121">
        <f t="shared" si="12"/>
        <v>0</v>
      </c>
      <c r="K101" s="121">
        <f t="shared" si="12"/>
        <v>0</v>
      </c>
      <c r="M101" s="72"/>
    </row>
    <row r="102" spans="1:16">
      <c r="A102" s="638"/>
      <c r="B102" s="639"/>
      <c r="C102" s="401"/>
      <c r="D102" s="401"/>
      <c r="E102" s="640"/>
      <c r="F102" s="640"/>
      <c r="G102" s="640"/>
      <c r="H102" s="640"/>
      <c r="I102" s="640"/>
      <c r="J102" s="640"/>
      <c r="K102" s="640"/>
      <c r="M102" s="72"/>
    </row>
    <row r="103" spans="1:16">
      <c r="M103" s="72"/>
    </row>
    <row r="104" spans="1:16">
      <c r="A104" s="169" t="s">
        <v>572</v>
      </c>
      <c r="B104" s="170"/>
      <c r="C104" s="171"/>
      <c r="M104" s="72"/>
    </row>
    <row r="105" spans="1:16">
      <c r="D105" s="72"/>
      <c r="M105" s="72"/>
    </row>
    <row r="106" spans="1:16">
      <c r="A106" s="101" t="s">
        <v>573</v>
      </c>
      <c r="B106" s="799" t="s">
        <v>656</v>
      </c>
      <c r="H106" s="815" t="s">
        <v>574</v>
      </c>
      <c r="M106" s="72"/>
    </row>
    <row r="107" spans="1:16">
      <c r="A107" s="799" t="s">
        <v>549</v>
      </c>
      <c r="B107" s="126" t="s">
        <v>77</v>
      </c>
      <c r="C107" s="814" t="s">
        <v>575</v>
      </c>
      <c r="D107" s="73" t="s">
        <v>76</v>
      </c>
      <c r="E107" s="73" t="s">
        <v>75</v>
      </c>
      <c r="F107" s="73" t="s">
        <v>78</v>
      </c>
      <c r="G107" s="73" t="s">
        <v>648</v>
      </c>
      <c r="H107" s="73" t="s">
        <v>578</v>
      </c>
      <c r="I107" s="815" t="s">
        <v>579</v>
      </c>
      <c r="J107" s="815" t="s">
        <v>580</v>
      </c>
      <c r="K107" s="815"/>
      <c r="N107" s="73"/>
      <c r="O107" s="73"/>
      <c r="P107" s="73"/>
    </row>
    <row r="108" spans="1:16">
      <c r="A108" s="799" t="str">
        <f>B6</f>
        <v>NAME of Segment A</v>
      </c>
      <c r="B108" s="166">
        <v>0</v>
      </c>
      <c r="C108" s="111">
        <f>B108/5280</f>
        <v>0</v>
      </c>
      <c r="D108" s="815" t="s">
        <v>657</v>
      </c>
      <c r="E108" s="816"/>
      <c r="F108" s="100">
        <v>0</v>
      </c>
      <c r="G108" s="100">
        <v>0</v>
      </c>
      <c r="H108" s="98">
        <f>(B108/5280)*F108</f>
        <v>0</v>
      </c>
      <c r="I108" s="73" t="str">
        <f>IF(G114=5,"Very Good",IF(G114=4,"Good",IF(G114=3,"Fair",IF(G114=2,"Poor","Very Poor"))))</f>
        <v>Very Poor</v>
      </c>
      <c r="J108" s="630">
        <f>'State of Good Repair CP-CP '!$B$31</f>
        <v>3.1469138466308312E-2</v>
      </c>
      <c r="K108" s="84"/>
      <c r="N108" s="73"/>
      <c r="O108" s="73"/>
      <c r="P108" s="73"/>
    </row>
    <row r="109" spans="1:16">
      <c r="A109" s="799" t="str">
        <f>B7</f>
        <v>NAME of Segment B</v>
      </c>
      <c r="B109" s="166">
        <v>0</v>
      </c>
      <c r="C109" s="111">
        <f>B109/5280</f>
        <v>0</v>
      </c>
      <c r="D109" s="73" t="s">
        <v>657</v>
      </c>
      <c r="E109" s="816"/>
      <c r="F109" s="100"/>
      <c r="G109" s="100"/>
      <c r="H109" s="98"/>
      <c r="J109" s="630"/>
      <c r="K109" s="84"/>
      <c r="M109" s="817"/>
      <c r="N109" s="73"/>
      <c r="O109" s="73"/>
      <c r="P109" s="73"/>
    </row>
    <row r="110" spans="1:16">
      <c r="M110" s="120"/>
    </row>
    <row r="111" spans="1:16">
      <c r="A111" s="101" t="s">
        <v>583</v>
      </c>
    </row>
    <row r="112" spans="1:16">
      <c r="A112" s="72" t="s">
        <v>86</v>
      </c>
      <c r="B112" s="126" t="s">
        <v>584</v>
      </c>
      <c r="C112" s="73" t="s">
        <v>585</v>
      </c>
      <c r="D112" s="73" t="s">
        <v>586</v>
      </c>
      <c r="E112" s="73" t="s">
        <v>587</v>
      </c>
      <c r="F112" s="73" t="s">
        <v>588</v>
      </c>
      <c r="G112" s="73" t="s">
        <v>87</v>
      </c>
    </row>
    <row r="113" spans="1:11">
      <c r="A113" s="799" t="s">
        <v>589</v>
      </c>
      <c r="B113" s="126" t="s">
        <v>100</v>
      </c>
      <c r="C113" s="73" t="s">
        <v>99</v>
      </c>
      <c r="D113" s="73" t="s">
        <v>98</v>
      </c>
      <c r="E113" s="73" t="s">
        <v>97</v>
      </c>
      <c r="F113" s="73" t="s">
        <v>96</v>
      </c>
      <c r="G113" s="815" t="s">
        <v>590</v>
      </c>
      <c r="H113" s="401" t="s">
        <v>591</v>
      </c>
    </row>
    <row r="114" spans="1:11">
      <c r="A114" s="72" t="str">
        <f>A6</f>
        <v>Name of Roadway 1</v>
      </c>
      <c r="B114" s="166">
        <v>0</v>
      </c>
      <c r="C114" s="166">
        <v>0</v>
      </c>
      <c r="D114" s="166">
        <v>0</v>
      </c>
      <c r="E114" s="166">
        <v>0</v>
      </c>
      <c r="F114" s="166">
        <v>0</v>
      </c>
      <c r="G114" s="98">
        <f>IFERROR(ROUND((1*B114+2*C114+3*D114+4*E114+5*F114)/SUM(B114:F114),0),0)</f>
        <v>0</v>
      </c>
      <c r="H114" s="402">
        <v>2023</v>
      </c>
      <c r="I114" s="818"/>
    </row>
    <row r="115" spans="1:11">
      <c r="A115" s="72" t="str">
        <f>A6</f>
        <v>Name of Roadway 1</v>
      </c>
      <c r="B115" s="166">
        <v>0</v>
      </c>
      <c r="C115" s="166">
        <v>0</v>
      </c>
      <c r="D115" s="166">
        <v>0</v>
      </c>
      <c r="E115" s="166">
        <v>0</v>
      </c>
      <c r="F115" s="166">
        <v>0</v>
      </c>
      <c r="G115" s="98">
        <f>IFERROR(ROUND((1*B115+2*C115+3*D115+4*E115+5*F115)/SUM(B115:F115),0),0)</f>
        <v>0</v>
      </c>
    </row>
    <row r="116" spans="1:11">
      <c r="A116" s="799" t="s">
        <v>592</v>
      </c>
      <c r="B116" s="126"/>
      <c r="D116" s="819"/>
      <c r="E116" s="819"/>
      <c r="F116" s="819"/>
      <c r="G116" s="98"/>
    </row>
    <row r="117" spans="1:11">
      <c r="B117" s="126"/>
      <c r="D117" s="817"/>
      <c r="E117" s="817"/>
      <c r="F117" s="817"/>
      <c r="G117" s="98"/>
    </row>
    <row r="119" spans="1:11">
      <c r="A119" s="169" t="s">
        <v>593</v>
      </c>
      <c r="B119" s="170"/>
      <c r="C119" s="171"/>
    </row>
    <row r="120" spans="1:11">
      <c r="A120" s="101" t="s">
        <v>578</v>
      </c>
      <c r="B120" s="72" t="s">
        <v>594</v>
      </c>
      <c r="C120" s="635">
        <v>16000</v>
      </c>
    </row>
    <row r="121" spans="1:11">
      <c r="A121" s="101"/>
      <c r="C121" s="82"/>
    </row>
    <row r="122" spans="1:11">
      <c r="A122" s="799" t="s">
        <v>595</v>
      </c>
    </row>
    <row r="124" spans="1:11">
      <c r="A124" s="101" t="s">
        <v>658</v>
      </c>
      <c r="C124" s="81"/>
      <c r="G124" s="842"/>
      <c r="H124" s="815"/>
      <c r="I124" s="815"/>
      <c r="J124" s="815"/>
      <c r="K124" s="815"/>
    </row>
    <row r="125" spans="1:11" ht="13.2" customHeight="1">
      <c r="A125" s="72" t="s">
        <v>473</v>
      </c>
      <c r="B125" s="72" t="s">
        <v>597</v>
      </c>
      <c r="C125" s="820">
        <v>111114400</v>
      </c>
      <c r="D125" s="818" t="s">
        <v>659</v>
      </c>
      <c r="G125" s="842"/>
      <c r="H125" s="81"/>
      <c r="I125" s="81"/>
      <c r="J125" s="81"/>
      <c r="K125" s="843"/>
    </row>
    <row r="126" spans="1:11">
      <c r="A126" s="72" t="s">
        <v>599</v>
      </c>
      <c r="B126" s="72" t="s">
        <v>597</v>
      </c>
      <c r="C126" s="822">
        <f>C125/C120</f>
        <v>6944.65</v>
      </c>
      <c r="G126" s="842"/>
      <c r="H126" s="81"/>
      <c r="I126" s="81"/>
      <c r="J126" s="81"/>
      <c r="K126" s="81"/>
    </row>
    <row r="127" spans="1:11">
      <c r="C127" s="822"/>
      <c r="G127" s="842"/>
      <c r="H127" s="81"/>
      <c r="I127" s="81"/>
      <c r="J127" s="81"/>
      <c r="K127" s="81"/>
    </row>
    <row r="128" spans="1:11">
      <c r="A128" s="799" t="s">
        <v>600</v>
      </c>
      <c r="C128" s="82"/>
      <c r="G128" s="815"/>
      <c r="H128" s="81"/>
      <c r="I128" s="81"/>
      <c r="J128" s="81"/>
      <c r="K128" s="81"/>
    </row>
    <row r="129" spans="1:16">
      <c r="C129" s="72"/>
      <c r="D129" s="72"/>
    </row>
    <row r="130" spans="1:16">
      <c r="C130" s="72"/>
      <c r="D130" s="72"/>
      <c r="N130" s="73"/>
      <c r="O130" s="73"/>
      <c r="P130" s="73"/>
    </row>
    <row r="131" spans="1:16">
      <c r="A131" s="101" t="s">
        <v>601</v>
      </c>
      <c r="C131" s="72"/>
      <c r="N131" s="73"/>
      <c r="O131" s="73"/>
      <c r="P131" s="73"/>
    </row>
    <row r="132" spans="1:16">
      <c r="A132" s="72" t="str">
        <f>A108</f>
        <v>NAME of Segment A</v>
      </c>
      <c r="B132" s="823">
        <f>H108</f>
        <v>0</v>
      </c>
      <c r="C132" s="824"/>
      <c r="N132" s="73"/>
      <c r="O132" s="73"/>
      <c r="P132" s="73"/>
    </row>
    <row r="133" spans="1:16">
      <c r="A133" s="72" t="str">
        <f>A109</f>
        <v>NAME of Segment B</v>
      </c>
      <c r="B133" s="823">
        <f>H109</f>
        <v>0</v>
      </c>
      <c r="C133" s="72"/>
      <c r="N133" s="73"/>
      <c r="O133" s="73"/>
      <c r="P133" s="73"/>
    </row>
    <row r="134" spans="1:16">
      <c r="B134" s="825"/>
      <c r="C134" s="72"/>
      <c r="N134" s="73"/>
      <c r="O134" s="73"/>
      <c r="P134" s="73"/>
    </row>
    <row r="135" spans="1:16">
      <c r="A135" s="101" t="s">
        <v>602</v>
      </c>
      <c r="C135" s="824"/>
    </row>
    <row r="136" spans="1:16">
      <c r="A136" s="72" t="s">
        <v>92</v>
      </c>
      <c r="B136" s="824" t="s">
        <v>94</v>
      </c>
      <c r="C136" s="126" t="s">
        <v>93</v>
      </c>
      <c r="D136" s="73" t="str">
        <f>A6</f>
        <v>Name of Roadway 1</v>
      </c>
      <c r="E136" s="126"/>
    </row>
    <row r="137" spans="1:16">
      <c r="A137" s="72" t="s">
        <v>95</v>
      </c>
      <c r="B137" s="826">
        <v>0</v>
      </c>
      <c r="C137" s="83">
        <v>0.24</v>
      </c>
      <c r="D137" s="81">
        <f>ROUND(SUM($B$132:$B$133)*$C$126*B137,0)</f>
        <v>0</v>
      </c>
      <c r="E137" s="81"/>
      <c r="F137" s="81"/>
    </row>
    <row r="138" spans="1:16">
      <c r="A138" s="72" t="s">
        <v>96</v>
      </c>
      <c r="B138" s="826">
        <v>0</v>
      </c>
      <c r="C138" s="83">
        <v>0.4</v>
      </c>
      <c r="D138" s="81">
        <f t="shared" ref="D138:D142" si="13">ROUND(SUM($B$132:$B$133)*$C$126*B138,0)</f>
        <v>0</v>
      </c>
      <c r="E138" s="81"/>
      <c r="F138" s="81"/>
    </row>
    <row r="139" spans="1:16">
      <c r="A139" s="72" t="s">
        <v>97</v>
      </c>
      <c r="B139" s="826">
        <v>0.25</v>
      </c>
      <c r="C139" s="83">
        <v>0.52</v>
      </c>
      <c r="D139" s="81">
        <f t="shared" si="13"/>
        <v>0</v>
      </c>
      <c r="E139" s="81"/>
      <c r="F139" s="81"/>
    </row>
    <row r="140" spans="1:16">
      <c r="A140" s="72" t="s">
        <v>98</v>
      </c>
      <c r="B140" s="827">
        <v>1</v>
      </c>
      <c r="C140" s="83">
        <v>0.64</v>
      </c>
      <c r="D140" s="81">
        <f t="shared" si="13"/>
        <v>0</v>
      </c>
      <c r="E140" s="81"/>
      <c r="F140" s="81"/>
    </row>
    <row r="141" spans="1:16">
      <c r="A141" s="72" t="s">
        <v>99</v>
      </c>
      <c r="B141" s="827">
        <v>1.5</v>
      </c>
      <c r="C141" s="83">
        <v>0.8</v>
      </c>
      <c r="D141" s="81">
        <f t="shared" si="13"/>
        <v>0</v>
      </c>
      <c r="E141" s="81"/>
      <c r="F141" s="81"/>
    </row>
    <row r="142" spans="1:16">
      <c r="A142" s="72" t="s">
        <v>100</v>
      </c>
      <c r="B142" s="827">
        <v>3</v>
      </c>
      <c r="C142" s="83">
        <v>1</v>
      </c>
      <c r="D142" s="81">
        <f t="shared" si="13"/>
        <v>0</v>
      </c>
      <c r="E142" s="81"/>
      <c r="F142" s="81"/>
    </row>
    <row r="143" spans="1:16">
      <c r="A143" s="799" t="s">
        <v>603</v>
      </c>
      <c r="C143" s="828"/>
    </row>
    <row r="144" spans="1:16">
      <c r="A144" s="799"/>
      <c r="C144" s="828"/>
    </row>
    <row r="145" spans="1:16">
      <c r="J145"/>
      <c r="K145"/>
      <c r="L145" s="72"/>
      <c r="M145" s="72"/>
    </row>
    <row r="146" spans="1:16">
      <c r="A146" s="169" t="s">
        <v>257</v>
      </c>
      <c r="B146" s="170"/>
      <c r="C146" s="171"/>
      <c r="D146" s="1"/>
      <c r="E146"/>
      <c r="F146"/>
      <c r="G146"/>
      <c r="H146"/>
      <c r="I146"/>
      <c r="J146"/>
      <c r="K146"/>
      <c r="L146" s="72"/>
      <c r="M146" s="72"/>
    </row>
    <row r="147" spans="1:16" ht="43.2" customHeight="1">
      <c r="A147" s="79" t="s">
        <v>604</v>
      </c>
      <c r="B147" s="78" t="s">
        <v>605</v>
      </c>
      <c r="C147" s="77" t="s">
        <v>606</v>
      </c>
      <c r="D147" s="108" t="s">
        <v>607</v>
      </c>
      <c r="E147" s="1908" t="s">
        <v>608</v>
      </c>
      <c r="F147" s="1909"/>
      <c r="G147" s="1909"/>
      <c r="H147" s="1909"/>
      <c r="I147" s="1910"/>
      <c r="J147"/>
      <c r="K147"/>
      <c r="L147" s="72"/>
      <c r="M147" s="72"/>
    </row>
    <row r="148" spans="1:16">
      <c r="A148" s="1918" t="s">
        <v>609</v>
      </c>
      <c r="B148" s="1919"/>
      <c r="C148" s="1919"/>
      <c r="D148" s="1920"/>
      <c r="E148" s="77">
        <v>2</v>
      </c>
      <c r="F148" s="77">
        <v>3</v>
      </c>
      <c r="G148" s="77">
        <v>4</v>
      </c>
      <c r="H148" s="77">
        <v>5</v>
      </c>
      <c r="I148" s="77">
        <v>6</v>
      </c>
      <c r="J148"/>
      <c r="K148"/>
      <c r="L148" s="1921" t="s">
        <v>610</v>
      </c>
      <c r="M148" s="1921"/>
      <c r="N148" s="1921"/>
      <c r="O148" s="1921"/>
      <c r="P148" s="1921"/>
    </row>
    <row r="149" spans="1:16">
      <c r="A149" s="1918" t="s">
        <v>611</v>
      </c>
      <c r="B149" s="1919"/>
      <c r="C149" s="1920"/>
      <c r="D149" s="108" t="s">
        <v>660</v>
      </c>
      <c r="E149" s="77" t="s">
        <v>96</v>
      </c>
      <c r="F149" s="77" t="s">
        <v>97</v>
      </c>
      <c r="G149" s="77" t="s">
        <v>98</v>
      </c>
      <c r="H149" s="77" t="s">
        <v>99</v>
      </c>
      <c r="I149" s="77" t="s">
        <v>100</v>
      </c>
      <c r="J149"/>
      <c r="K149"/>
      <c r="L149" s="72" t="s">
        <v>612</v>
      </c>
      <c r="M149" t="s">
        <v>76</v>
      </c>
      <c r="N149" s="52" t="s">
        <v>75</v>
      </c>
      <c r="O149" s="52" t="s">
        <v>127</v>
      </c>
      <c r="P149" s="52" t="s">
        <v>128</v>
      </c>
    </row>
    <row r="150" spans="1:16">
      <c r="A150" s="1922" t="s">
        <v>127</v>
      </c>
      <c r="B150" s="106" t="s">
        <v>582</v>
      </c>
      <c r="C150" s="75">
        <f>ROUND((14+16.1+16.3)/3,1)</f>
        <v>15.5</v>
      </c>
      <c r="D150" s="76">
        <f>C150*'Major Assumption Key'!$B$68</f>
        <v>21.235000000000003</v>
      </c>
      <c r="E150" s="75">
        <f>ROUND((1.02+1.01+1.02)/3,2)</f>
        <v>1.02</v>
      </c>
      <c r="F150" s="74">
        <f>ROUND((1.04+1.02+1.03)/3,2)</f>
        <v>1.03</v>
      </c>
      <c r="G150" s="74">
        <f>ROUND((1.08+1.05+1.09)/3,2)</f>
        <v>1.07</v>
      </c>
      <c r="H150" s="74">
        <f>ROUND((1.15+1.11+1.2)/3,2)</f>
        <v>1.1499999999999999</v>
      </c>
      <c r="I150" s="74">
        <f>ROUND((1.22+1.18+1.34)/3,2)</f>
        <v>1.25</v>
      </c>
      <c r="J150"/>
      <c r="K150"/>
      <c r="L150" s="72" t="str">
        <f>A6</f>
        <v>Name of Roadway 1</v>
      </c>
      <c r="M150" t="str">
        <f>D108</f>
        <v>JCP</v>
      </c>
      <c r="N150" s="52">
        <f>E108</f>
        <v>0</v>
      </c>
      <c r="O150" s="52">
        <f>IF(N150="Collector",2,IF(N150="Arterial",3,IF(N150="Highway",4,0)))</f>
        <v>0</v>
      </c>
      <c r="P150" s="52">
        <f>IF(N150="Collector",5,IF(N150="Arterial",6,IF(N150="Highway",7,0)))</f>
        <v>0</v>
      </c>
    </row>
    <row r="151" spans="1:16">
      <c r="A151" s="1923"/>
      <c r="B151" s="75" t="s">
        <v>613</v>
      </c>
      <c r="C151" s="75">
        <f>ROUND((16.8+20.2+20.8)/3,1)</f>
        <v>19.3</v>
      </c>
      <c r="D151" s="76">
        <f>C151*'Major Assumption Key'!$B$68</f>
        <v>26.441000000000003</v>
      </c>
      <c r="E151" s="75">
        <f>ROUND((1.02+1.01+1.02)/3,2)</f>
        <v>1.02</v>
      </c>
      <c r="F151" s="74">
        <f>ROUND((1.04+1.01+1.03)/3,2)</f>
        <v>1.03</v>
      </c>
      <c r="G151" s="74">
        <f>ROUND((1.08+1.05+1.09)/3,2)</f>
        <v>1.07</v>
      </c>
      <c r="H151" s="74">
        <f>ROUND((1.15+1.11+1.2)/3,2)</f>
        <v>1.1499999999999999</v>
      </c>
      <c r="I151" s="74">
        <f>ROUND((1.22+1.17+1.32)/3,2)</f>
        <v>1.24</v>
      </c>
      <c r="L151" s="72" t="str">
        <f>A6</f>
        <v>Name of Roadway 1</v>
      </c>
      <c r="M151" t="str">
        <f>D109</f>
        <v>JCP</v>
      </c>
      <c r="N151" s="52">
        <f>E109</f>
        <v>0</v>
      </c>
      <c r="O151" s="52">
        <f>IF(N151="Collector",2,IF(N151="Arterial",3,IF(N151="Highway",4,0)))</f>
        <v>0</v>
      </c>
      <c r="P151" s="52">
        <f>IF(N151="Collector",5,IF(N151="Arterial",6,IF(N151="Highway",7,0)))</f>
        <v>0</v>
      </c>
    </row>
    <row r="152" spans="1:16">
      <c r="A152" s="1924"/>
      <c r="B152" s="75" t="s">
        <v>614</v>
      </c>
      <c r="C152" s="75">
        <f>ROUND((21.3+26.5+28.2)/3,1)</f>
        <v>25.3</v>
      </c>
      <c r="D152" s="76">
        <f>C152*'Major Assumption Key'!$B$68</f>
        <v>34.661000000000001</v>
      </c>
      <c r="E152" s="75">
        <f>ROUND((1.02+1.01+1.01)/3,2)</f>
        <v>1.01</v>
      </c>
      <c r="F152" s="74">
        <f>ROUND((1.03+1.01+1.03)/3,2)</f>
        <v>1.02</v>
      </c>
      <c r="G152" s="74">
        <f>ROUND((1.07+1.04+1.08)/3,2)</f>
        <v>1.06</v>
      </c>
      <c r="H152" s="74">
        <f>ROUND((1.14+1.1+1.18)/3,2)</f>
        <v>1.1399999999999999</v>
      </c>
      <c r="I152" s="74">
        <f>ROUND((1.21+1.16+1.29)/3,2)</f>
        <v>1.22</v>
      </c>
      <c r="L152" s="72"/>
      <c r="M152"/>
      <c r="N152" s="52"/>
      <c r="O152" s="52"/>
      <c r="P152" s="52"/>
    </row>
    <row r="153" spans="1:16">
      <c r="A153" s="1922" t="s">
        <v>128</v>
      </c>
      <c r="B153" s="75" t="s">
        <v>582</v>
      </c>
      <c r="C153" s="75">
        <f>ROUND((23.9+57.5)/2,1)</f>
        <v>40.700000000000003</v>
      </c>
      <c r="D153" s="76">
        <f>C153*'Major Assumption Key'!$B$68</f>
        <v>55.759000000000007</v>
      </c>
      <c r="E153" s="75">
        <f>ROUND((1.01+1.02)/2,2)</f>
        <v>1.02</v>
      </c>
      <c r="F153" s="74">
        <f>ROUND((1.02+1.03)/2,2)</f>
        <v>1.03</v>
      </c>
      <c r="G153" s="74">
        <f>ROUND((1.06+1.07)/2,2)</f>
        <v>1.07</v>
      </c>
      <c r="H153" s="74">
        <f>ROUND((1.13+1.13)/2,2)</f>
        <v>1.1299999999999999</v>
      </c>
      <c r="I153" s="74">
        <f>ROUND((1.22+1.19)/2,2)</f>
        <v>1.21</v>
      </c>
    </row>
    <row r="154" spans="1:16">
      <c r="A154" s="1923"/>
      <c r="B154" s="75" t="s">
        <v>613</v>
      </c>
      <c r="C154" s="75">
        <f>ROUND((34.6+90.7)/2,1)</f>
        <v>62.7</v>
      </c>
      <c r="D154" s="76">
        <f>C154*'Major Assumption Key'!$B$68</f>
        <v>85.899000000000015</v>
      </c>
      <c r="E154" s="75">
        <f>ROUND((1.01+1.01)/2,2)</f>
        <v>1.01</v>
      </c>
      <c r="F154" s="74">
        <f>ROUND((1.02+1.02)/2,2)</f>
        <v>1.02</v>
      </c>
      <c r="G154" s="74">
        <f>ROUND((1.05+1.05)/2,2)</f>
        <v>1.05</v>
      </c>
      <c r="H154" s="74">
        <f>ROUND((1.12+1.1)/2,2)</f>
        <v>1.1100000000000001</v>
      </c>
      <c r="I154" s="74">
        <f>ROUND((1.2+1.15)/2,2)</f>
        <v>1.18</v>
      </c>
    </row>
    <row r="155" spans="1:16">
      <c r="A155" s="1924"/>
      <c r="B155" s="75" t="s">
        <v>614</v>
      </c>
      <c r="C155" s="75">
        <f>ROUND((48.1+130)/2,1)</f>
        <v>89.1</v>
      </c>
      <c r="D155" s="76">
        <f>C155*'Major Assumption Key'!$B$68</f>
        <v>122.06700000000001</v>
      </c>
      <c r="E155" s="75">
        <f>ROUND((1.01+1.01)/2,2)</f>
        <v>1.01</v>
      </c>
      <c r="F155" s="74">
        <f>ROUND((1.01+1.02)/2,2)</f>
        <v>1.02</v>
      </c>
      <c r="G155" s="74">
        <f>ROUND((1.04+1.04)/2,2)</f>
        <v>1.04</v>
      </c>
      <c r="H155" s="74">
        <f>ROUND((1.1+1.08)/2,2)</f>
        <v>1.0900000000000001</v>
      </c>
      <c r="I155" s="74">
        <f>ROUND((1.17+1.13)/2,2)</f>
        <v>1.1499999999999999</v>
      </c>
    </row>
    <row r="156" spans="1:16">
      <c r="A156" s="799" t="s">
        <v>615</v>
      </c>
    </row>
    <row r="157" spans="1:16">
      <c r="A157" s="72" t="s">
        <v>616</v>
      </c>
    </row>
    <row r="158" spans="1:16">
      <c r="A158" s="72" t="s">
        <v>617</v>
      </c>
    </row>
    <row r="161" spans="1:26">
      <c r="A161" s="169" t="s">
        <v>618</v>
      </c>
      <c r="B161" s="170"/>
      <c r="C161" s="171"/>
      <c r="D161" s="829"/>
    </row>
    <row r="162" spans="1:26">
      <c r="A162" s="102"/>
      <c r="B162" s="814" t="s">
        <v>599</v>
      </c>
      <c r="C162" s="829"/>
      <c r="M162" s="72"/>
    </row>
    <row r="163" spans="1:26">
      <c r="A163" s="818" t="s">
        <v>661</v>
      </c>
      <c r="B163" s="81">
        <f>'Cost of Rehab'!C12</f>
        <v>307824</v>
      </c>
      <c r="C163" s="829"/>
      <c r="E163" s="72"/>
      <c r="F163" s="72"/>
      <c r="G163" s="72"/>
      <c r="M163" s="72"/>
    </row>
    <row r="164" spans="1:26">
      <c r="A164" s="371"/>
      <c r="B164" s="814"/>
      <c r="C164" s="829"/>
      <c r="E164" s="844"/>
      <c r="F164" s="845"/>
      <c r="G164" s="829"/>
      <c r="M164" s="72"/>
    </row>
    <row r="165" spans="1:26">
      <c r="A165" s="80"/>
      <c r="B165" s="81"/>
      <c r="C165" s="80"/>
      <c r="E165" s="72"/>
      <c r="F165" s="72"/>
      <c r="G165" s="799"/>
      <c r="H165" s="287"/>
      <c r="L165" s="72"/>
      <c r="M165" s="799"/>
      <c r="N165" s="287"/>
      <c r="O165" s="799"/>
      <c r="S165" s="799"/>
      <c r="T165" s="287"/>
      <c r="Y165" s="799"/>
      <c r="Z165" s="287"/>
    </row>
    <row r="166" spans="1:26">
      <c r="A166" s="169" t="s">
        <v>620</v>
      </c>
      <c r="B166" s="170"/>
      <c r="C166" s="171"/>
      <c r="D166" s="160"/>
      <c r="E166" s="160"/>
      <c r="F166" s="160"/>
      <c r="G166" s="160"/>
      <c r="H166" s="160"/>
      <c r="I166" s="160"/>
      <c r="L166" s="72"/>
      <c r="M166" s="799"/>
      <c r="N166" s="287"/>
      <c r="O166" s="799"/>
      <c r="S166" s="799"/>
      <c r="T166" s="287"/>
      <c r="Y166" s="799"/>
      <c r="Z166" s="287"/>
    </row>
    <row r="167" spans="1:26">
      <c r="A167" s="101" t="s">
        <v>573</v>
      </c>
      <c r="C167" s="160"/>
      <c r="D167" s="160"/>
      <c r="E167" s="160"/>
      <c r="F167" s="160"/>
      <c r="G167" s="160"/>
      <c r="H167" s="160"/>
      <c r="I167" s="160"/>
      <c r="L167" s="72"/>
      <c r="M167" s="799"/>
      <c r="N167" s="287"/>
      <c r="O167" s="799"/>
      <c r="S167" s="799"/>
      <c r="T167" s="287"/>
      <c r="Y167" s="799"/>
      <c r="Z167" s="287"/>
    </row>
    <row r="168" spans="1:26" ht="28.8">
      <c r="A168" s="830" t="s">
        <v>74</v>
      </c>
      <c r="B168" s="172" t="s">
        <v>77</v>
      </c>
      <c r="C168" s="831" t="s">
        <v>621</v>
      </c>
      <c r="D168" s="830" t="s">
        <v>622</v>
      </c>
      <c r="E168" s="167" t="s">
        <v>575</v>
      </c>
      <c r="F168" s="167" t="s">
        <v>623</v>
      </c>
      <c r="G168" s="168" t="s">
        <v>624</v>
      </c>
      <c r="H168" s="168" t="s">
        <v>625</v>
      </c>
      <c r="I168" s="168" t="s">
        <v>626</v>
      </c>
      <c r="J168" s="832" t="s">
        <v>627</v>
      </c>
      <c r="L168" s="72"/>
      <c r="M168" s="799"/>
      <c r="N168" s="287"/>
      <c r="O168" s="799"/>
      <c r="S168" s="799"/>
      <c r="T168" s="287"/>
      <c r="Y168" s="799"/>
      <c r="Z168" s="287"/>
    </row>
    <row r="169" spans="1:26">
      <c r="A169" s="799" t="str">
        <f>$A$6</f>
        <v>Name of Roadway 1</v>
      </c>
      <c r="B169" s="99">
        <f>SUM($B$108:$B$109)</f>
        <v>0</v>
      </c>
      <c r="C169" s="126">
        <f>_xlfn.XLOOKUP("Rehab",$D$14:$D$54,$A$14:$A$54,"N/A",0)</f>
        <v>2025</v>
      </c>
      <c r="D169" s="99">
        <f>VLOOKUP(C169,$A$13:$B$54,2,FALSE)</f>
        <v>0</v>
      </c>
      <c r="E169" s="163">
        <f>$C$108+$C$109</f>
        <v>0</v>
      </c>
      <c r="F169" s="642">
        <f>$B$175</f>
        <v>0</v>
      </c>
      <c r="G169" s="160">
        <f>F169*$B$180</f>
        <v>0</v>
      </c>
      <c r="H169" s="164">
        <f>IFERROR((E169/G169)-(E169/F169),0)</f>
        <v>0</v>
      </c>
      <c r="I169" s="99">
        <f>(D169*$B$177)*($B$178*E169)*H169</f>
        <v>0</v>
      </c>
      <c r="J169" s="165">
        <f>I169*$B$179*(1+$H$5)^(C169-$H$6)</f>
        <v>0</v>
      </c>
      <c r="L169" s="72"/>
      <c r="M169" s="799"/>
      <c r="N169" s="287"/>
      <c r="O169" s="799"/>
      <c r="S169" s="799"/>
      <c r="T169" s="287"/>
      <c r="Y169" s="799"/>
      <c r="Z169" s="287"/>
    </row>
    <row r="170" spans="1:26">
      <c r="A170" s="799" t="str">
        <f t="shared" ref="A170:A171" si="14">$A$6</f>
        <v>Name of Roadway 1</v>
      </c>
      <c r="B170" s="99">
        <f t="shared" ref="B170:B171" si="15">SUM($B$108:$B$109)</f>
        <v>0</v>
      </c>
      <c r="C170" s="126">
        <f>C169+15</f>
        <v>2040</v>
      </c>
      <c r="D170" s="99">
        <f t="shared" ref="D170:D171" si="16">VLOOKUP(C170,$A$13:$B$54,2,FALSE)</f>
        <v>0</v>
      </c>
      <c r="E170" s="163">
        <f t="shared" ref="E170:E171" si="17">$C$108+$C$109</f>
        <v>0</v>
      </c>
      <c r="F170" s="642">
        <f t="shared" ref="F170:F171" si="18">$B$175</f>
        <v>0</v>
      </c>
      <c r="G170" s="160">
        <f t="shared" ref="G170" si="19">F170*$B$180</f>
        <v>0</v>
      </c>
      <c r="H170" s="164">
        <f t="shared" ref="H170:H171" si="20">IFERROR((E170/G170)-(E170/F170),0)</f>
        <v>0</v>
      </c>
      <c r="I170" s="99">
        <f t="shared" ref="I170:I171" si="21">(D170*$B$177)*($B$178*E170)*H170</f>
        <v>0</v>
      </c>
      <c r="J170" s="165">
        <f t="shared" ref="J170:J171" si="22">I170*$B$179*(1+$H$5)^(C170-$H$6)</f>
        <v>0</v>
      </c>
      <c r="L170" s="72"/>
      <c r="M170" s="799"/>
      <c r="N170" s="287"/>
      <c r="O170" s="799"/>
      <c r="S170" s="799"/>
      <c r="T170" s="287"/>
      <c r="Y170" s="799"/>
      <c r="Z170" s="287"/>
    </row>
    <row r="171" spans="1:26">
      <c r="A171" s="799" t="str">
        <f t="shared" si="14"/>
        <v>Name of Roadway 1</v>
      </c>
      <c r="B171" s="99">
        <f t="shared" si="15"/>
        <v>0</v>
      </c>
      <c r="C171" s="126">
        <f t="shared" ref="C171" si="23">C170+15</f>
        <v>2055</v>
      </c>
      <c r="D171" s="99">
        <f t="shared" si="16"/>
        <v>0</v>
      </c>
      <c r="E171" s="163">
        <f t="shared" si="17"/>
        <v>0</v>
      </c>
      <c r="F171" s="642">
        <f t="shared" si="18"/>
        <v>0</v>
      </c>
      <c r="G171" s="160">
        <f>F171*$B$180</f>
        <v>0</v>
      </c>
      <c r="H171" s="164">
        <f t="shared" si="20"/>
        <v>0</v>
      </c>
      <c r="I171" s="99">
        <f t="shared" si="21"/>
        <v>0</v>
      </c>
      <c r="J171" s="165">
        <f t="shared" si="22"/>
        <v>0</v>
      </c>
      <c r="L171" s="72"/>
      <c r="M171" s="799"/>
      <c r="N171" s="287"/>
      <c r="O171" s="799"/>
      <c r="S171" s="799"/>
      <c r="T171" s="287"/>
      <c r="Y171" s="799"/>
      <c r="Z171" s="287"/>
    </row>
    <row r="172" spans="1:26">
      <c r="A172" s="799"/>
      <c r="B172" s="99"/>
      <c r="C172" s="126"/>
      <c r="D172" s="99"/>
      <c r="E172" s="163"/>
      <c r="F172" s="642"/>
      <c r="G172" s="160"/>
      <c r="H172" s="164"/>
      <c r="I172" s="99"/>
      <c r="J172" s="165"/>
      <c r="L172" s="72"/>
      <c r="M172" s="799"/>
      <c r="N172" s="287"/>
      <c r="O172" s="799"/>
      <c r="S172" s="799"/>
      <c r="T172" s="287"/>
      <c r="Y172" s="799"/>
      <c r="Z172" s="287"/>
    </row>
    <row r="173" spans="1:26">
      <c r="A173" s="80"/>
      <c r="B173" s="81"/>
      <c r="C173" s="80"/>
      <c r="E173" s="72"/>
      <c r="F173" s="72"/>
      <c r="G173" s="799"/>
      <c r="H173" s="287"/>
      <c r="L173" s="72"/>
      <c r="M173" s="799"/>
      <c r="N173" s="287"/>
      <c r="O173" s="799"/>
      <c r="S173" s="799"/>
      <c r="T173" s="287"/>
      <c r="Y173" s="799"/>
      <c r="Z173" s="287"/>
    </row>
    <row r="174" spans="1:26">
      <c r="A174" s="169" t="s">
        <v>628</v>
      </c>
      <c r="B174" s="170"/>
      <c r="C174" s="171"/>
      <c r="E174" s="72"/>
      <c r="F174" s="72"/>
      <c r="G174" s="72"/>
      <c r="H174" s="72"/>
      <c r="I174" s="72"/>
      <c r="J174" s="72"/>
      <c r="K174" s="72"/>
      <c r="L174" s="72"/>
      <c r="M174" s="72"/>
    </row>
    <row r="175" spans="1:26">
      <c r="A175" s="1" t="s">
        <v>629</v>
      </c>
      <c r="B175" s="209">
        <f>'State of Good Repair CP-CP '!B24</f>
        <v>0</v>
      </c>
      <c r="C175" s="1" t="s">
        <v>630</v>
      </c>
      <c r="E175" s="72"/>
      <c r="F175" s="72"/>
      <c r="G175" s="72"/>
      <c r="L175" s="72"/>
      <c r="M175" s="72"/>
    </row>
    <row r="176" spans="1:26">
      <c r="A176" s="1" t="s">
        <v>631</v>
      </c>
      <c r="B176">
        <f>B175*B180</f>
        <v>0</v>
      </c>
      <c r="C176" s="1" t="s">
        <v>632</v>
      </c>
      <c r="E176" s="72"/>
      <c r="F176" s="72"/>
      <c r="G176" s="72"/>
      <c r="L176" s="72"/>
      <c r="M176" s="72"/>
    </row>
    <row r="177" spans="1:20">
      <c r="A177" s="1" t="s">
        <v>633</v>
      </c>
      <c r="B177" s="103">
        <f>'State of Good Repair CP-CP '!C32</f>
        <v>1.6489156772275735</v>
      </c>
      <c r="C177" s="1" t="s">
        <v>211</v>
      </c>
      <c r="E177" s="72"/>
      <c r="F177" s="72"/>
      <c r="G177" s="72"/>
      <c r="L177" s="72"/>
      <c r="M177" s="72"/>
    </row>
    <row r="178" spans="1:20">
      <c r="A178" s="1" t="s">
        <v>634</v>
      </c>
      <c r="B178">
        <f>'State of Good Repair CP-CP '!B22</f>
        <v>120</v>
      </c>
      <c r="C178" s="1" t="s">
        <v>635</v>
      </c>
      <c r="E178" s="72"/>
      <c r="F178" s="72"/>
      <c r="G178" s="72"/>
      <c r="L178" s="72"/>
      <c r="M178" s="72"/>
    </row>
    <row r="179" spans="1:20">
      <c r="A179" s="1" t="s">
        <v>636</v>
      </c>
      <c r="B179" s="105">
        <f>'State of Good Repair CP-CP '!D32</f>
        <v>20.037421024681688</v>
      </c>
      <c r="C179" s="1" t="s">
        <v>211</v>
      </c>
      <c r="E179" s="72"/>
      <c r="F179" s="72"/>
      <c r="G179" s="72"/>
      <c r="L179" s="72"/>
      <c r="M179" s="72"/>
      <c r="T179" s="799"/>
    </row>
    <row r="180" spans="1:20">
      <c r="A180" s="1" t="s">
        <v>637</v>
      </c>
      <c r="B180" s="109">
        <f>'State of Good Repair CP-CP '!B23</f>
        <v>0.75</v>
      </c>
      <c r="C180" s="799" t="s">
        <v>638</v>
      </c>
      <c r="E180" s="72"/>
      <c r="F180" s="72"/>
      <c r="G180" s="72"/>
      <c r="L180" s="72"/>
      <c r="M180" s="72"/>
    </row>
    <row r="181" spans="1:20">
      <c r="A181" s="80"/>
      <c r="B181" s="81"/>
      <c r="C181" s="80"/>
      <c r="E181" s="72"/>
      <c r="F181" s="72"/>
      <c r="G181" s="72"/>
      <c r="M181" s="72"/>
    </row>
    <row r="182" spans="1:20">
      <c r="A182" s="80"/>
      <c r="B182" s="81"/>
      <c r="C182" s="80"/>
      <c r="E182" s="72"/>
      <c r="F182" s="72"/>
      <c r="G182" s="72"/>
      <c r="M182" s="72"/>
    </row>
    <row r="183" spans="1:20">
      <c r="A183" s="169" t="s">
        <v>662</v>
      </c>
      <c r="B183" s="170"/>
      <c r="C183" s="171"/>
      <c r="D183" s="160"/>
      <c r="E183" s="160"/>
      <c r="F183" s="160"/>
      <c r="G183" s="160"/>
      <c r="H183" s="160"/>
      <c r="I183" s="160"/>
      <c r="M183" s="72"/>
    </row>
    <row r="184" spans="1:20">
      <c r="A184" s="101" t="s">
        <v>573</v>
      </c>
      <c r="C184" s="160"/>
      <c r="D184" s="160"/>
      <c r="E184" s="160"/>
      <c r="F184" s="160"/>
      <c r="G184" s="160"/>
      <c r="H184" s="160"/>
      <c r="I184" s="160"/>
      <c r="M184" s="72"/>
    </row>
    <row r="185" spans="1:20">
      <c r="A185" s="830" t="s">
        <v>74</v>
      </c>
      <c r="B185" s="830" t="s">
        <v>77</v>
      </c>
      <c r="C185" s="830" t="s">
        <v>640</v>
      </c>
      <c r="D185" s="830" t="s">
        <v>622</v>
      </c>
      <c r="E185" s="830" t="s">
        <v>575</v>
      </c>
      <c r="F185" s="830" t="s">
        <v>623</v>
      </c>
      <c r="G185" s="830" t="s">
        <v>624</v>
      </c>
      <c r="H185" s="830" t="s">
        <v>625</v>
      </c>
      <c r="I185" s="830" t="s">
        <v>626</v>
      </c>
      <c r="J185" s="830" t="s">
        <v>641</v>
      </c>
      <c r="M185" s="72"/>
    </row>
    <row r="186" spans="1:20">
      <c r="A186" s="799" t="str">
        <f>$A$6</f>
        <v>Name of Roadway 1</v>
      </c>
      <c r="B186" s="99">
        <f>$B$108+$B$109</f>
        <v>0</v>
      </c>
      <c r="C186" s="814" t="str">
        <f>'Cost Summary'!C26&amp;"-"&amp;'Cost Summary'!D26</f>
        <v>2026-2027</v>
      </c>
      <c r="D186" s="99">
        <f>AVERAGEIFS(B60:B100,A60:A100,"&gt;="&amp;'Cost Summary'!C26,A60:A100,"&lt;="&amp;'Cost Summary'!D26)</f>
        <v>0</v>
      </c>
      <c r="E186" s="163">
        <f>$C$108+$C$109</f>
        <v>0</v>
      </c>
      <c r="F186" s="160">
        <f>B190</f>
        <v>0</v>
      </c>
      <c r="G186" s="647">
        <f>F186*$B$195</f>
        <v>0</v>
      </c>
      <c r="H186" s="163">
        <f>IFERROR((E186/G186)-(E186/F186),0)</f>
        <v>0</v>
      </c>
      <c r="I186" s="163">
        <f>IFERROR((D186*$B$192)*($B$193*E186)*H186,0)</f>
        <v>0</v>
      </c>
      <c r="J186" s="178">
        <f>I186*$B$194</f>
        <v>0</v>
      </c>
      <c r="M186" s="72"/>
    </row>
    <row r="187" spans="1:20">
      <c r="A187" s="799"/>
      <c r="B187" s="99"/>
      <c r="C187" s="126"/>
      <c r="D187" s="99"/>
      <c r="E187" s="163"/>
      <c r="F187" s="160"/>
      <c r="G187" s="160"/>
      <c r="H187" s="164"/>
      <c r="I187" s="99"/>
      <c r="J187" s="165"/>
      <c r="M187" s="72"/>
    </row>
    <row r="188" spans="1:20">
      <c r="A188" s="799"/>
      <c r="B188" s="99"/>
      <c r="C188" s="126"/>
      <c r="D188" s="99"/>
      <c r="E188" s="163"/>
      <c r="F188" s="160"/>
      <c r="G188" s="160"/>
      <c r="H188" s="164"/>
      <c r="I188" s="99"/>
      <c r="J188" s="165"/>
      <c r="M188" s="72"/>
    </row>
    <row r="189" spans="1:20">
      <c r="A189" s="169" t="s">
        <v>642</v>
      </c>
      <c r="B189" s="170"/>
      <c r="C189" s="171"/>
      <c r="D189"/>
      <c r="E189"/>
      <c r="F189"/>
      <c r="G189"/>
      <c r="H189"/>
      <c r="I189"/>
      <c r="J189"/>
    </row>
    <row r="190" spans="1:20">
      <c r="A190" s="1" t="s">
        <v>629</v>
      </c>
      <c r="B190" s="209">
        <f>'State of Good Repair CP-CP '!B24</f>
        <v>0</v>
      </c>
      <c r="C190" s="1" t="s">
        <v>630</v>
      </c>
      <c r="D190"/>
      <c r="E190"/>
      <c r="F190"/>
      <c r="G190"/>
      <c r="H190"/>
      <c r="I190"/>
      <c r="J190"/>
    </row>
    <row r="191" spans="1:20">
      <c r="A191" s="1" t="s">
        <v>631</v>
      </c>
      <c r="B191">
        <f>B190*$B$195</f>
        <v>0</v>
      </c>
      <c r="C191" s="1" t="s">
        <v>632</v>
      </c>
      <c r="D191"/>
      <c r="E191"/>
      <c r="F191"/>
      <c r="G191"/>
      <c r="H191"/>
      <c r="I191"/>
      <c r="J191"/>
    </row>
    <row r="192" spans="1:20">
      <c r="A192" s="1" t="str">
        <f>'State of Good Repair CP-CP '!A19</f>
        <v>Vehicle Occupancy - Weighted Average</v>
      </c>
      <c r="B192" s="103">
        <f>'State of Good Repair CP-CP '!B19</f>
        <v>1.6489156772275735</v>
      </c>
      <c r="C192" s="1" t="s">
        <v>211</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104"/>
      <c r="E193" s="104"/>
      <c r="F193" s="104"/>
      <c r="G193" s="104"/>
      <c r="H193" s="72"/>
      <c r="I193" s="104"/>
      <c r="J193" s="104"/>
    </row>
    <row r="194" spans="1:10">
      <c r="A194" s="1" t="s">
        <v>636</v>
      </c>
      <c r="B194" s="105">
        <f>'State of Good Repair CP-CP '!B20</f>
        <v>20.037421024681688</v>
      </c>
      <c r="C194" s="1" t="s">
        <v>211</v>
      </c>
      <c r="D194"/>
      <c r="E194"/>
      <c r="F194"/>
      <c r="G194"/>
      <c r="I194"/>
      <c r="J194"/>
    </row>
    <row r="195" spans="1:10">
      <c r="A195" s="1" t="s">
        <v>637</v>
      </c>
      <c r="B195" s="109">
        <f>'State of Good Repair CP-CP '!B23</f>
        <v>0.75</v>
      </c>
      <c r="C195" s="799" t="s">
        <v>638</v>
      </c>
    </row>
    <row r="196" spans="1:10">
      <c r="B196" s="73"/>
    </row>
    <row r="197" spans="1:10">
      <c r="B197" s="73"/>
    </row>
    <row r="198" spans="1:10">
      <c r="B198" s="73"/>
    </row>
    <row r="199" spans="1:10">
      <c r="B199" s="73"/>
    </row>
    <row r="200" spans="1:10">
      <c r="B200" s="73"/>
    </row>
    <row r="201" spans="1:10">
      <c r="A201" s="80"/>
    </row>
    <row r="202" spans="1:10">
      <c r="A202" s="80"/>
    </row>
  </sheetData>
  <mergeCells count="11">
    <mergeCell ref="L148:P148"/>
    <mergeCell ref="A149:C149"/>
    <mergeCell ref="A153:A155"/>
    <mergeCell ref="A150:A152"/>
    <mergeCell ref="E147:I147"/>
    <mergeCell ref="A148:D148"/>
    <mergeCell ref="A4:A5"/>
    <mergeCell ref="B4:B5"/>
    <mergeCell ref="E4:E5"/>
    <mergeCell ref="A12:K12"/>
    <mergeCell ref="A58:K58"/>
  </mergeCells>
  <phoneticPr fontId="20"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heetViews>
  <sheetFormatPr defaultRowHeight="13.2"/>
  <cols>
    <col min="1" max="1" width="24.5546875" bestFit="1" customWidth="1"/>
    <col min="2" max="2" width="88.5546875" bestFit="1" customWidth="1"/>
    <col min="3" max="3" width="9.21875" bestFit="1" customWidth="1"/>
    <col min="4" max="4" width="17.77734375" bestFit="1" customWidth="1"/>
    <col min="5" max="5" width="24.44140625" bestFit="1" customWidth="1"/>
    <col min="6" max="6" width="10.44140625" bestFit="1" customWidth="1"/>
  </cols>
  <sheetData>
    <row r="1" spans="1:6" ht="14.4">
      <c r="A1" s="271" t="s">
        <v>185</v>
      </c>
      <c r="B1" s="1925" t="s">
        <v>663</v>
      </c>
      <c r="C1" s="1925"/>
      <c r="D1" s="1925"/>
      <c r="E1" s="33" t="s">
        <v>187</v>
      </c>
      <c r="F1" s="45" t="s">
        <v>664</v>
      </c>
    </row>
    <row r="3" spans="1:6">
      <c r="A3" s="110"/>
    </row>
    <row r="4" spans="1:6" s="110" customFormat="1">
      <c r="A4" s="636" t="s">
        <v>665</v>
      </c>
      <c r="B4" s="636"/>
      <c r="C4" s="636" t="s">
        <v>666</v>
      </c>
    </row>
    <row r="5" spans="1:6">
      <c r="A5" s="39" t="s">
        <v>581</v>
      </c>
      <c r="B5" s="39" t="s">
        <v>667</v>
      </c>
      <c r="C5" s="633">
        <v>67549</v>
      </c>
    </row>
    <row r="6" spans="1:6">
      <c r="A6" s="39" t="s">
        <v>668</v>
      </c>
      <c r="B6" s="39" t="s">
        <v>669</v>
      </c>
      <c r="C6" s="633">
        <v>88485</v>
      </c>
    </row>
    <row r="7" spans="1:6">
      <c r="A7" s="39" t="s">
        <v>657</v>
      </c>
      <c r="B7" s="39" t="s">
        <v>670</v>
      </c>
      <c r="C7" s="633">
        <v>88485</v>
      </c>
    </row>
    <row r="8" spans="1:6">
      <c r="A8" s="39"/>
      <c r="B8" s="39"/>
      <c r="C8" s="39"/>
    </row>
    <row r="9" spans="1:6" s="110" customFormat="1">
      <c r="A9" s="636" t="s">
        <v>567</v>
      </c>
      <c r="B9" s="636"/>
      <c r="C9" s="636" t="s">
        <v>666</v>
      </c>
    </row>
    <row r="10" spans="1:6">
      <c r="A10" s="39" t="s">
        <v>581</v>
      </c>
      <c r="B10" s="39" t="s">
        <v>671</v>
      </c>
      <c r="C10" s="633">
        <v>283756</v>
      </c>
    </row>
    <row r="11" spans="1:6">
      <c r="A11" s="39" t="s">
        <v>668</v>
      </c>
      <c r="B11" s="39" t="s">
        <v>672</v>
      </c>
      <c r="C11" s="633">
        <v>307824</v>
      </c>
    </row>
    <row r="12" spans="1:6">
      <c r="A12" s="39" t="s">
        <v>657</v>
      </c>
      <c r="B12" s="39" t="s">
        <v>672</v>
      </c>
      <c r="C12" s="633">
        <v>307824</v>
      </c>
    </row>
    <row r="13" spans="1:6">
      <c r="A13" s="39"/>
      <c r="B13" s="39"/>
      <c r="C13" s="39"/>
    </row>
    <row r="14" spans="1:6" s="110" customFormat="1">
      <c r="A14" s="636" t="s">
        <v>673</v>
      </c>
      <c r="B14" s="636"/>
      <c r="C14" s="636" t="s">
        <v>666</v>
      </c>
    </row>
    <row r="15" spans="1:6">
      <c r="A15" s="39" t="s">
        <v>581</v>
      </c>
      <c r="B15" s="39" t="s">
        <v>674</v>
      </c>
      <c r="C15" s="633">
        <v>400260</v>
      </c>
    </row>
    <row r="16" spans="1:6">
      <c r="A16" s="39" t="s">
        <v>668</v>
      </c>
      <c r="B16" s="39" t="s">
        <v>675</v>
      </c>
      <c r="C16" s="633">
        <v>399621</v>
      </c>
    </row>
    <row r="17" spans="1:3">
      <c r="A17" s="39" t="s">
        <v>657</v>
      </c>
      <c r="B17" s="39" t="s">
        <v>675</v>
      </c>
      <c r="C17" s="633">
        <v>399621</v>
      </c>
    </row>
    <row r="18" spans="1:3">
      <c r="A18" s="39"/>
      <c r="B18" s="39"/>
      <c r="C18" s="39"/>
    </row>
    <row r="19" spans="1:3" s="110" customFormat="1">
      <c r="A19" s="636" t="s">
        <v>676</v>
      </c>
      <c r="B19" s="636"/>
      <c r="C19" s="636" t="s">
        <v>666</v>
      </c>
    </row>
    <row r="20" spans="1:3">
      <c r="A20" s="39" t="s">
        <v>581</v>
      </c>
      <c r="B20" s="39" t="s">
        <v>677</v>
      </c>
      <c r="C20" s="633">
        <v>579727</v>
      </c>
    </row>
    <row r="21" spans="1:3">
      <c r="A21" s="39" t="s">
        <v>668</v>
      </c>
      <c r="B21" s="39" t="s">
        <v>677</v>
      </c>
      <c r="C21" s="633">
        <v>992071</v>
      </c>
    </row>
    <row r="22" spans="1:3">
      <c r="A22" s="39" t="s">
        <v>657</v>
      </c>
      <c r="B22" s="39" t="s">
        <v>677</v>
      </c>
      <c r="C22" s="633">
        <v>992071</v>
      </c>
    </row>
    <row r="24" spans="1:3">
      <c r="A24" t="s">
        <v>678</v>
      </c>
    </row>
    <row r="25" spans="1:3">
      <c r="A25" t="s">
        <v>581</v>
      </c>
      <c r="B25" t="s">
        <v>679</v>
      </c>
    </row>
    <row r="26" spans="1:3">
      <c r="A26" t="s">
        <v>668</v>
      </c>
      <c r="B26" t="s">
        <v>680</v>
      </c>
    </row>
    <row r="27" spans="1:3">
      <c r="A27" t="s">
        <v>657</v>
      </c>
      <c r="B27" t="s">
        <v>681</v>
      </c>
    </row>
    <row r="28" spans="1:3">
      <c r="A28" t="s">
        <v>682</v>
      </c>
      <c r="B28" t="s">
        <v>683</v>
      </c>
    </row>
    <row r="29" spans="1:3">
      <c r="A29" t="s">
        <v>670</v>
      </c>
    </row>
    <row r="30" spans="1:3">
      <c r="B30" t="s">
        <v>684</v>
      </c>
    </row>
    <row r="31" spans="1:3">
      <c r="A31" t="s">
        <v>677</v>
      </c>
    </row>
    <row r="32" spans="1:3">
      <c r="B32" t="s">
        <v>685</v>
      </c>
    </row>
    <row r="33" spans="1:2">
      <c r="A33" t="s">
        <v>666</v>
      </c>
      <c r="B33" t="s">
        <v>686</v>
      </c>
    </row>
    <row r="34" spans="1:2">
      <c r="A34" t="s">
        <v>687</v>
      </c>
      <c r="B34" t="s">
        <v>688</v>
      </c>
    </row>
    <row r="35" spans="1:2" ht="14.4">
      <c r="B35" s="634" t="s">
        <v>689</v>
      </c>
    </row>
    <row r="36" spans="1:2">
      <c r="A36" t="s">
        <v>690</v>
      </c>
      <c r="B36" t="s">
        <v>691</v>
      </c>
    </row>
    <row r="37" spans="1:2">
      <c r="A37" t="s">
        <v>692</v>
      </c>
      <c r="B37" t="s">
        <v>693</v>
      </c>
    </row>
  </sheetData>
  <mergeCells count="1">
    <mergeCell ref="B1:D1"/>
  </mergeCells>
  <hyperlinks>
    <hyperlink ref="B35" r:id="rId1" xr:uid="{C53413E6-9EF9-40A6-8A86-059E0E9937D5}"/>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heetViews>
  <sheetFormatPr defaultRowHeight="13.2"/>
  <cols>
    <col min="1" max="1" width="18.77734375" customWidth="1"/>
    <col min="2" max="2" width="17.44140625" bestFit="1" customWidth="1"/>
    <col min="3" max="3" width="20.77734375" customWidth="1"/>
    <col min="4" max="4" width="13.21875" bestFit="1" customWidth="1"/>
    <col min="5" max="5" width="24.44140625" bestFit="1" customWidth="1"/>
    <col min="6" max="6" width="10.44140625" bestFit="1" customWidth="1"/>
    <col min="10" max="10" width="42.44140625" customWidth="1"/>
  </cols>
  <sheetData>
    <row r="1" spans="1:16" ht="14.4">
      <c r="A1" s="271" t="s">
        <v>185</v>
      </c>
      <c r="B1" s="1925" t="s">
        <v>694</v>
      </c>
      <c r="C1" s="1925"/>
      <c r="D1" s="1925"/>
      <c r="E1" s="33" t="s">
        <v>187</v>
      </c>
      <c r="F1" s="45" t="str">
        <f>HYPERLINK("#'"&amp;INDEX('Master Key'!$B:$B,MATCH("Master Key",'Master Key'!$B:$B,0),1)&amp;"'!A1","Go To Sheet")</f>
        <v>Go To Sheet</v>
      </c>
    </row>
    <row r="2" spans="1:16">
      <c r="A2" t="s">
        <v>695</v>
      </c>
    </row>
    <row r="5" spans="1:16" ht="12.75" customHeight="1" thickBot="1">
      <c r="A5" s="110" t="s">
        <v>696</v>
      </c>
      <c r="L5" s="846"/>
      <c r="M5" s="846"/>
      <c r="N5" s="846"/>
      <c r="O5" s="846"/>
      <c r="P5" s="846"/>
    </row>
    <row r="6" spans="1:16" ht="12.75" customHeight="1">
      <c r="A6" s="584"/>
      <c r="B6" s="1926" t="s">
        <v>697</v>
      </c>
      <c r="C6" s="1927"/>
      <c r="D6" s="1928" t="s">
        <v>83</v>
      </c>
      <c r="E6" s="1927"/>
      <c r="J6" s="846"/>
      <c r="K6" s="846"/>
      <c r="L6" s="846"/>
      <c r="M6" s="846"/>
      <c r="N6" s="846"/>
      <c r="O6" s="846"/>
      <c r="P6" s="846"/>
    </row>
    <row r="7" spans="1:16" ht="12.75" customHeight="1">
      <c r="A7" s="585" t="s">
        <v>92</v>
      </c>
      <c r="B7" s="590" t="s">
        <v>131</v>
      </c>
      <c r="C7" s="583" t="s">
        <v>66</v>
      </c>
      <c r="D7" s="587" t="s">
        <v>131</v>
      </c>
      <c r="E7" s="583" t="s">
        <v>698</v>
      </c>
      <c r="J7" s="846"/>
      <c r="K7" s="846"/>
      <c r="L7" s="846"/>
      <c r="M7" s="846"/>
      <c r="N7" s="846"/>
      <c r="O7" s="846"/>
      <c r="P7" s="846"/>
    </row>
    <row r="8" spans="1:16" ht="12.75" customHeight="1">
      <c r="A8" s="585" t="s">
        <v>95</v>
      </c>
      <c r="B8" s="591">
        <v>6</v>
      </c>
      <c r="C8" s="466">
        <v>2</v>
      </c>
      <c r="D8" s="588">
        <v>12</v>
      </c>
      <c r="E8" s="466">
        <v>6</v>
      </c>
      <c r="J8" s="846"/>
      <c r="K8" s="846"/>
      <c r="L8" s="846"/>
      <c r="M8" s="846"/>
      <c r="N8" s="846"/>
      <c r="O8" s="846"/>
      <c r="P8" s="846"/>
    </row>
    <row r="9" spans="1:16" ht="14.4">
      <c r="A9" s="585" t="s">
        <v>96</v>
      </c>
      <c r="B9" s="591">
        <v>4</v>
      </c>
      <c r="C9" s="466">
        <v>2</v>
      </c>
      <c r="D9" s="588">
        <v>8</v>
      </c>
      <c r="E9" s="466">
        <v>4</v>
      </c>
      <c r="K9" s="818"/>
      <c r="L9" s="818"/>
      <c r="M9" s="818"/>
      <c r="N9" s="73"/>
      <c r="O9" s="73"/>
      <c r="P9" s="73"/>
    </row>
    <row r="10" spans="1:16">
      <c r="A10" s="585" t="s">
        <v>97</v>
      </c>
      <c r="B10" s="591">
        <v>3</v>
      </c>
      <c r="C10" s="466">
        <v>1</v>
      </c>
      <c r="D10" s="588">
        <v>6</v>
      </c>
      <c r="E10" s="466">
        <v>3</v>
      </c>
    </row>
    <row r="11" spans="1:16">
      <c r="A11" s="585" t="s">
        <v>98</v>
      </c>
      <c r="B11" s="591">
        <v>3</v>
      </c>
      <c r="C11" s="466">
        <v>1</v>
      </c>
      <c r="D11" s="588">
        <v>6</v>
      </c>
      <c r="E11" s="466">
        <v>3</v>
      </c>
    </row>
    <row r="12" spans="1:16">
      <c r="A12" s="585" t="s">
        <v>99</v>
      </c>
      <c r="B12" s="591">
        <v>4</v>
      </c>
      <c r="C12" s="466">
        <v>2</v>
      </c>
      <c r="D12" s="588">
        <v>8</v>
      </c>
      <c r="E12" s="466">
        <v>4</v>
      </c>
    </row>
    <row r="13" spans="1:16">
      <c r="A13" s="585" t="s">
        <v>100</v>
      </c>
      <c r="B13" s="591">
        <v>5</v>
      </c>
      <c r="C13" s="466">
        <v>2</v>
      </c>
      <c r="D13" s="588">
        <v>10</v>
      </c>
      <c r="E13" s="466">
        <v>5</v>
      </c>
    </row>
    <row r="14" spans="1:16" ht="13.8" thickBot="1">
      <c r="A14" s="586" t="s">
        <v>699</v>
      </c>
      <c r="B14" s="592">
        <v>25</v>
      </c>
      <c r="C14" s="467">
        <v>10</v>
      </c>
      <c r="D14" s="589">
        <v>50</v>
      </c>
      <c r="E14" s="467">
        <v>25</v>
      </c>
    </row>
    <row r="16" spans="1:16" ht="13.8" thickBot="1">
      <c r="A16" s="110" t="s">
        <v>700</v>
      </c>
    </row>
    <row r="17" spans="1:4">
      <c r="A17" s="1929" t="s">
        <v>697</v>
      </c>
      <c r="B17" s="1930"/>
      <c r="C17" s="1930" t="s">
        <v>701</v>
      </c>
      <c r="D17" s="1931"/>
    </row>
    <row r="18" spans="1:4">
      <c r="A18" s="593" t="s">
        <v>702</v>
      </c>
      <c r="B18" s="110" t="s">
        <v>703</v>
      </c>
      <c r="C18" s="110" t="s">
        <v>704</v>
      </c>
      <c r="D18" s="356" t="s">
        <v>705</v>
      </c>
    </row>
    <row r="19" spans="1:4">
      <c r="A19" s="594" t="s">
        <v>95</v>
      </c>
      <c r="B19" t="s">
        <v>95</v>
      </c>
      <c r="C19" t="s">
        <v>95</v>
      </c>
      <c r="D19" s="353" t="s">
        <v>95</v>
      </c>
    </row>
    <row r="20" spans="1:4">
      <c r="A20" s="594" t="s">
        <v>95</v>
      </c>
      <c r="B20" t="s">
        <v>95</v>
      </c>
      <c r="C20" t="s">
        <v>95</v>
      </c>
      <c r="D20" s="353" t="s">
        <v>95</v>
      </c>
    </row>
    <row r="21" spans="1:4">
      <c r="A21" s="594" t="s">
        <v>95</v>
      </c>
      <c r="B21" t="s">
        <v>96</v>
      </c>
      <c r="C21" t="s">
        <v>95</v>
      </c>
      <c r="D21" s="353" t="s">
        <v>95</v>
      </c>
    </row>
    <row r="22" spans="1:4">
      <c r="A22" s="594" t="s">
        <v>95</v>
      </c>
      <c r="B22" t="s">
        <v>96</v>
      </c>
      <c r="C22" t="s">
        <v>95</v>
      </c>
      <c r="D22" s="353" t="s">
        <v>95</v>
      </c>
    </row>
    <row r="23" spans="1:4">
      <c r="A23" s="594" t="s">
        <v>95</v>
      </c>
      <c r="B23" t="s">
        <v>97</v>
      </c>
      <c r="C23" t="s">
        <v>95</v>
      </c>
      <c r="D23" s="353" t="s">
        <v>95</v>
      </c>
    </row>
    <row r="24" spans="1:4">
      <c r="A24" s="594" t="s">
        <v>95</v>
      </c>
      <c r="B24" t="s">
        <v>98</v>
      </c>
      <c r="C24" t="s">
        <v>95</v>
      </c>
      <c r="D24" s="353" t="s">
        <v>95</v>
      </c>
    </row>
    <row r="25" spans="1:4">
      <c r="A25" s="594" t="s">
        <v>96</v>
      </c>
      <c r="B25" s="1" t="s">
        <v>99</v>
      </c>
      <c r="C25" t="s">
        <v>95</v>
      </c>
      <c r="D25" s="353" t="s">
        <v>96</v>
      </c>
    </row>
    <row r="26" spans="1:4">
      <c r="A26" s="594" t="s">
        <v>96</v>
      </c>
      <c r="B26" s="1" t="s">
        <v>99</v>
      </c>
      <c r="C26" t="s">
        <v>95</v>
      </c>
      <c r="D26" s="353" t="s">
        <v>96</v>
      </c>
    </row>
    <row r="27" spans="1:4">
      <c r="A27" s="594" t="s">
        <v>96</v>
      </c>
      <c r="B27" s="1" t="s">
        <v>567</v>
      </c>
      <c r="C27" t="s">
        <v>95</v>
      </c>
      <c r="D27" s="353" t="s">
        <v>96</v>
      </c>
    </row>
    <row r="28" spans="1:4">
      <c r="A28" s="594" t="s">
        <v>96</v>
      </c>
      <c r="B28" t="s">
        <v>96</v>
      </c>
      <c r="C28" t="s">
        <v>95</v>
      </c>
      <c r="D28" s="353" t="s">
        <v>96</v>
      </c>
    </row>
    <row r="29" spans="1:4">
      <c r="A29" s="594" t="s">
        <v>97</v>
      </c>
      <c r="B29" t="s">
        <v>96</v>
      </c>
      <c r="C29" t="s">
        <v>95</v>
      </c>
      <c r="D29" s="353" t="s">
        <v>97</v>
      </c>
    </row>
    <row r="30" spans="1:4">
      <c r="A30" s="594" t="s">
        <v>97</v>
      </c>
      <c r="B30" t="s">
        <v>97</v>
      </c>
      <c r="C30" t="s">
        <v>95</v>
      </c>
      <c r="D30" s="353" t="s">
        <v>97</v>
      </c>
    </row>
    <row r="31" spans="1:4">
      <c r="A31" s="594" t="s">
        <v>97</v>
      </c>
      <c r="B31" t="s">
        <v>98</v>
      </c>
      <c r="C31" t="s">
        <v>96</v>
      </c>
      <c r="D31" s="353" t="s">
        <v>97</v>
      </c>
    </row>
    <row r="32" spans="1:4">
      <c r="A32" s="594" t="s">
        <v>98</v>
      </c>
      <c r="B32" s="1" t="s">
        <v>99</v>
      </c>
      <c r="C32" t="s">
        <v>96</v>
      </c>
      <c r="D32" s="353" t="s">
        <v>98</v>
      </c>
    </row>
    <row r="33" spans="1:4">
      <c r="A33" s="594" t="s">
        <v>98</v>
      </c>
      <c r="B33" s="1" t="s">
        <v>99</v>
      </c>
      <c r="C33" t="s">
        <v>96</v>
      </c>
      <c r="D33" s="353" t="s">
        <v>98</v>
      </c>
    </row>
    <row r="34" spans="1:4">
      <c r="A34" s="594" t="s">
        <v>98</v>
      </c>
      <c r="B34" s="1" t="s">
        <v>567</v>
      </c>
      <c r="C34" t="s">
        <v>96</v>
      </c>
      <c r="D34" s="353" t="s">
        <v>98</v>
      </c>
    </row>
    <row r="35" spans="1:4">
      <c r="A35" s="594" t="s">
        <v>99</v>
      </c>
      <c r="B35" t="s">
        <v>96</v>
      </c>
      <c r="C35" t="s">
        <v>96</v>
      </c>
      <c r="D35" s="353" t="s">
        <v>99</v>
      </c>
    </row>
    <row r="36" spans="1:4">
      <c r="A36" s="594" t="s">
        <v>99</v>
      </c>
      <c r="B36" t="s">
        <v>96</v>
      </c>
      <c r="C36" t="s">
        <v>96</v>
      </c>
      <c r="D36" s="353" t="s">
        <v>99</v>
      </c>
    </row>
    <row r="37" spans="1:4">
      <c r="A37" s="594" t="s">
        <v>99</v>
      </c>
      <c r="B37" t="s">
        <v>97</v>
      </c>
      <c r="C37" t="s">
        <v>96</v>
      </c>
      <c r="D37" s="353" t="s">
        <v>99</v>
      </c>
    </row>
    <row r="38" spans="1:4">
      <c r="A38" s="594" t="s">
        <v>99</v>
      </c>
      <c r="B38" t="s">
        <v>98</v>
      </c>
      <c r="C38" t="s">
        <v>96</v>
      </c>
      <c r="D38" s="353" t="s">
        <v>99</v>
      </c>
    </row>
    <row r="39" spans="1:4">
      <c r="A39" s="438" t="s">
        <v>567</v>
      </c>
      <c r="B39" s="1" t="s">
        <v>99</v>
      </c>
      <c r="C39" t="s">
        <v>97</v>
      </c>
      <c r="D39" s="439" t="s">
        <v>567</v>
      </c>
    </row>
    <row r="40" spans="1:4">
      <c r="A40" s="594" t="s">
        <v>96</v>
      </c>
      <c r="B40" s="1" t="s">
        <v>99</v>
      </c>
      <c r="C40" t="s">
        <v>97</v>
      </c>
      <c r="D40" s="353" t="s">
        <v>96</v>
      </c>
    </row>
    <row r="41" spans="1:4">
      <c r="A41" s="594" t="s">
        <v>96</v>
      </c>
      <c r="B41" s="1" t="s">
        <v>567</v>
      </c>
      <c r="C41" t="s">
        <v>97</v>
      </c>
      <c r="D41" s="353" t="s">
        <v>96</v>
      </c>
    </row>
    <row r="42" spans="1:4">
      <c r="A42" s="594" t="s">
        <v>96</v>
      </c>
      <c r="B42" t="s">
        <v>96</v>
      </c>
      <c r="C42" t="s">
        <v>97</v>
      </c>
      <c r="D42" s="353" t="s">
        <v>96</v>
      </c>
    </row>
    <row r="43" spans="1:4">
      <c r="A43" s="594" t="s">
        <v>96</v>
      </c>
      <c r="B43" t="s">
        <v>96</v>
      </c>
      <c r="C43" t="s">
        <v>97</v>
      </c>
      <c r="D43" s="353" t="s">
        <v>96</v>
      </c>
    </row>
    <row r="44" spans="1:4">
      <c r="A44" s="594" t="s">
        <v>97</v>
      </c>
      <c r="B44" t="s">
        <v>97</v>
      </c>
      <c r="C44" t="s">
        <v>97</v>
      </c>
      <c r="D44" s="353" t="s">
        <v>97</v>
      </c>
    </row>
    <row r="45" spans="1:4">
      <c r="A45" s="594" t="s">
        <v>97</v>
      </c>
      <c r="B45" t="s">
        <v>98</v>
      </c>
      <c r="C45" t="s">
        <v>98</v>
      </c>
      <c r="D45" s="353" t="s">
        <v>97</v>
      </c>
    </row>
    <row r="46" spans="1:4">
      <c r="A46" s="594" t="s">
        <v>97</v>
      </c>
      <c r="B46" s="1" t="s">
        <v>99</v>
      </c>
      <c r="C46" t="s">
        <v>98</v>
      </c>
      <c r="D46" s="353" t="s">
        <v>97</v>
      </c>
    </row>
    <row r="47" spans="1:4">
      <c r="A47" s="594" t="s">
        <v>98</v>
      </c>
      <c r="B47" s="1" t="s">
        <v>99</v>
      </c>
      <c r="C47" t="s">
        <v>98</v>
      </c>
      <c r="D47" s="353" t="s">
        <v>98</v>
      </c>
    </row>
    <row r="48" spans="1:4">
      <c r="A48" s="594" t="s">
        <v>98</v>
      </c>
      <c r="B48" s="1" t="s">
        <v>567</v>
      </c>
      <c r="C48" t="s">
        <v>98</v>
      </c>
      <c r="D48" s="353" t="s">
        <v>98</v>
      </c>
    </row>
    <row r="49" spans="1:4">
      <c r="A49" s="594" t="s">
        <v>98</v>
      </c>
      <c r="B49" t="s">
        <v>96</v>
      </c>
      <c r="C49" t="s">
        <v>98</v>
      </c>
      <c r="D49" s="353" t="s">
        <v>98</v>
      </c>
    </row>
    <row r="50" spans="1:4">
      <c r="A50" s="594" t="s">
        <v>99</v>
      </c>
      <c r="B50" t="s">
        <v>96</v>
      </c>
      <c r="C50" t="s">
        <v>98</v>
      </c>
      <c r="D50" s="353" t="s">
        <v>99</v>
      </c>
    </row>
    <row r="51" spans="1:4">
      <c r="A51" s="594" t="s">
        <v>99</v>
      </c>
      <c r="B51" t="s">
        <v>97</v>
      </c>
      <c r="C51" t="s">
        <v>99</v>
      </c>
      <c r="D51" s="353" t="s">
        <v>99</v>
      </c>
    </row>
    <row r="52" spans="1:4">
      <c r="A52" s="594" t="s">
        <v>99</v>
      </c>
      <c r="B52" t="s">
        <v>98</v>
      </c>
      <c r="C52" t="s">
        <v>99</v>
      </c>
      <c r="D52" s="353" t="s">
        <v>99</v>
      </c>
    </row>
    <row r="53" spans="1:4">
      <c r="A53" s="594" t="s">
        <v>99</v>
      </c>
      <c r="B53" s="1" t="s">
        <v>99</v>
      </c>
      <c r="C53" t="s">
        <v>99</v>
      </c>
      <c r="D53" s="353" t="s">
        <v>99</v>
      </c>
    </row>
    <row r="54" spans="1:4">
      <c r="A54" s="438" t="s">
        <v>567</v>
      </c>
      <c r="B54" s="1" t="s">
        <v>99</v>
      </c>
      <c r="C54" t="s">
        <v>99</v>
      </c>
      <c r="D54" s="439" t="s">
        <v>567</v>
      </c>
    </row>
    <row r="55" spans="1:4">
      <c r="A55" s="594" t="s">
        <v>96</v>
      </c>
      <c r="B55" s="1" t="s">
        <v>567</v>
      </c>
      <c r="C55" t="s">
        <v>99</v>
      </c>
      <c r="D55" s="353" t="s">
        <v>96</v>
      </c>
    </row>
    <row r="56" spans="1:4">
      <c r="A56" s="594" t="s">
        <v>96</v>
      </c>
      <c r="B56" t="s">
        <v>96</v>
      </c>
      <c r="C56" t="s">
        <v>99</v>
      </c>
      <c r="D56" s="353" t="s">
        <v>96</v>
      </c>
    </row>
    <row r="57" spans="1:4">
      <c r="A57" s="594" t="s">
        <v>96</v>
      </c>
      <c r="B57" t="s">
        <v>96</v>
      </c>
      <c r="C57" t="s">
        <v>99</v>
      </c>
      <c r="D57" s="353" t="s">
        <v>96</v>
      </c>
    </row>
    <row r="58" spans="1:4">
      <c r="A58" s="594" t="s">
        <v>96</v>
      </c>
      <c r="B58" t="s">
        <v>97</v>
      </c>
      <c r="C58" t="s">
        <v>99</v>
      </c>
      <c r="D58" s="353" t="s">
        <v>96</v>
      </c>
    </row>
    <row r="59" spans="1:4">
      <c r="A59" s="594" t="s">
        <v>97</v>
      </c>
      <c r="B59" t="s">
        <v>98</v>
      </c>
      <c r="C59" s="1" t="s">
        <v>567</v>
      </c>
      <c r="D59" s="353" t="s">
        <v>97</v>
      </c>
    </row>
    <row r="60" spans="1:4">
      <c r="A60" s="594" t="s">
        <v>97</v>
      </c>
      <c r="B60" s="1" t="s">
        <v>99</v>
      </c>
      <c r="C60" t="s">
        <v>96</v>
      </c>
      <c r="D60" s="353" t="s">
        <v>97</v>
      </c>
    </row>
    <row r="61" spans="1:4">
      <c r="A61" s="594" t="s">
        <v>97</v>
      </c>
      <c r="B61" s="1" t="s">
        <v>99</v>
      </c>
      <c r="C61" t="s">
        <v>96</v>
      </c>
      <c r="D61" s="353" t="s">
        <v>97</v>
      </c>
    </row>
    <row r="62" spans="1:4">
      <c r="A62" s="594" t="s">
        <v>98</v>
      </c>
      <c r="B62" s="1" t="s">
        <v>567</v>
      </c>
      <c r="C62" t="s">
        <v>96</v>
      </c>
      <c r="D62" s="353" t="s">
        <v>98</v>
      </c>
    </row>
    <row r="63" spans="1:4">
      <c r="A63" s="594" t="s">
        <v>98</v>
      </c>
      <c r="B63" t="s">
        <v>96</v>
      </c>
      <c r="C63" t="s">
        <v>96</v>
      </c>
      <c r="D63" s="353" t="s">
        <v>98</v>
      </c>
    </row>
    <row r="64" spans="1:4">
      <c r="A64" s="594" t="s">
        <v>98</v>
      </c>
      <c r="B64" t="s">
        <v>96</v>
      </c>
      <c r="C64" t="s">
        <v>96</v>
      </c>
      <c r="D64" s="353" t="s">
        <v>98</v>
      </c>
    </row>
    <row r="65" spans="1:4">
      <c r="A65" s="594" t="s">
        <v>99</v>
      </c>
      <c r="B65" t="s">
        <v>97</v>
      </c>
      <c r="C65" t="s">
        <v>96</v>
      </c>
      <c r="D65" s="353" t="s">
        <v>99</v>
      </c>
    </row>
    <row r="66" spans="1:4">
      <c r="A66" s="594" t="s">
        <v>99</v>
      </c>
      <c r="B66" t="s">
        <v>98</v>
      </c>
      <c r="C66" t="s">
        <v>96</v>
      </c>
      <c r="D66" s="353" t="s">
        <v>99</v>
      </c>
    </row>
    <row r="67" spans="1:4">
      <c r="A67" s="594" t="s">
        <v>99</v>
      </c>
      <c r="B67" s="1" t="s">
        <v>99</v>
      </c>
      <c r="C67" t="s">
        <v>96</v>
      </c>
      <c r="D67" s="353" t="s">
        <v>99</v>
      </c>
    </row>
    <row r="68" spans="1:4">
      <c r="A68" s="594" t="s">
        <v>99</v>
      </c>
      <c r="B68" s="1" t="s">
        <v>99</v>
      </c>
      <c r="C68" t="s">
        <v>97</v>
      </c>
      <c r="D68" s="353" t="s">
        <v>99</v>
      </c>
    </row>
    <row r="69" spans="1:4">
      <c r="A69" s="438" t="s">
        <v>567</v>
      </c>
      <c r="B69" s="1" t="s">
        <v>567</v>
      </c>
      <c r="C69" t="s">
        <v>97</v>
      </c>
      <c r="D69" s="439" t="s">
        <v>567</v>
      </c>
    </row>
    <row r="70" spans="1:4">
      <c r="A70" s="594" t="s">
        <v>96</v>
      </c>
      <c r="B70" t="s">
        <v>96</v>
      </c>
      <c r="C70" t="s">
        <v>97</v>
      </c>
      <c r="D70" s="353" t="s">
        <v>96</v>
      </c>
    </row>
    <row r="71" spans="1:4">
      <c r="A71" s="594" t="s">
        <v>96</v>
      </c>
      <c r="B71" t="s">
        <v>96</v>
      </c>
      <c r="C71" t="s">
        <v>97</v>
      </c>
      <c r="D71" s="353" t="s">
        <v>96</v>
      </c>
    </row>
    <row r="72" spans="1:4">
      <c r="A72" s="594" t="s">
        <v>96</v>
      </c>
      <c r="B72" t="s">
        <v>97</v>
      </c>
      <c r="C72" t="s">
        <v>97</v>
      </c>
      <c r="D72" s="353" t="s">
        <v>96</v>
      </c>
    </row>
    <row r="73" spans="1:4" ht="13.8" thickBot="1">
      <c r="A73" s="595" t="s">
        <v>96</v>
      </c>
      <c r="B73" s="359" t="s">
        <v>98</v>
      </c>
      <c r="C73" s="359" t="s">
        <v>97</v>
      </c>
      <c r="D73" s="358" t="s">
        <v>96</v>
      </c>
    </row>
    <row r="75" spans="1:4">
      <c r="A75" t="s">
        <v>706</v>
      </c>
    </row>
    <row r="76" spans="1:4" ht="14.4">
      <c r="A76" t="s">
        <v>707</v>
      </c>
      <c r="B76" s="293" t="s">
        <v>708</v>
      </c>
      <c r="C76" s="842" t="s">
        <v>709</v>
      </c>
    </row>
    <row r="77" spans="1:4">
      <c r="A77" s="1" t="s">
        <v>710</v>
      </c>
      <c r="B77" s="293" t="s">
        <v>708</v>
      </c>
    </row>
    <row r="80" spans="1:4">
      <c r="A80" s="637" t="s">
        <v>711</v>
      </c>
      <c r="B80" s="637" t="s">
        <v>712</v>
      </c>
    </row>
    <row r="81" spans="1:2" ht="14.4">
      <c r="A81" s="814" t="s">
        <v>100</v>
      </c>
      <c r="B81" s="11">
        <v>1</v>
      </c>
    </row>
    <row r="82" spans="1:2" ht="14.4">
      <c r="A82" s="73" t="s">
        <v>99</v>
      </c>
      <c r="B82" s="11">
        <v>2</v>
      </c>
    </row>
    <row r="83" spans="1:2" ht="14.4">
      <c r="A83" s="73" t="s">
        <v>98</v>
      </c>
      <c r="B83" s="11">
        <v>3</v>
      </c>
    </row>
    <row r="84" spans="1:2" ht="14.4">
      <c r="A84" s="73" t="s">
        <v>97</v>
      </c>
      <c r="B84" s="11">
        <v>4</v>
      </c>
    </row>
    <row r="85" spans="1:2" ht="14.4">
      <c r="A85" s="73" t="s">
        <v>96</v>
      </c>
      <c r="B85" s="11">
        <v>5</v>
      </c>
    </row>
  </sheetData>
  <mergeCells count="5">
    <mergeCell ref="B6:C6"/>
    <mergeCell ref="D6:E6"/>
    <mergeCell ref="A17:B17"/>
    <mergeCell ref="C17:D17"/>
    <mergeCell ref="B1:D1"/>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77734375" bestFit="1" customWidth="1"/>
  </cols>
  <sheetData>
    <row r="1" spans="1:86" ht="14.4">
      <c r="A1" s="271" t="s">
        <v>413</v>
      </c>
      <c r="B1" s="1932" t="s">
        <v>713</v>
      </c>
      <c r="C1" s="1932"/>
      <c r="D1" s="1932"/>
      <c r="E1" s="33" t="s">
        <v>187</v>
      </c>
      <c r="F1" s="45" t="str">
        <f>HYPERLINK("#'"&amp;INDEX('Master Key'!$B:$B,MATCH("Master Key",'Master Key'!$B:$B,0),1)&amp;"'!A1","Go To Sheet")</f>
        <v>Go To Sheet</v>
      </c>
    </row>
    <row r="2" spans="1:86" ht="15.6">
      <c r="A2" s="596" t="s">
        <v>210</v>
      </c>
      <c r="B2" s="1" t="s">
        <v>714</v>
      </c>
    </row>
    <row r="4" spans="1:86">
      <c r="A4" s="628" t="s">
        <v>711</v>
      </c>
      <c r="B4" t="s">
        <v>715</v>
      </c>
      <c r="C4" t="s">
        <v>716</v>
      </c>
      <c r="D4" t="s">
        <v>717</v>
      </c>
      <c r="E4" t="s">
        <v>718</v>
      </c>
      <c r="F4" t="s">
        <v>719</v>
      </c>
      <c r="G4" t="s">
        <v>720</v>
      </c>
      <c r="H4" t="s">
        <v>721</v>
      </c>
      <c r="I4" t="s">
        <v>722</v>
      </c>
      <c r="J4" t="s">
        <v>723</v>
      </c>
      <c r="K4" t="s">
        <v>724</v>
      </c>
      <c r="L4" t="s">
        <v>725</v>
      </c>
      <c r="M4" t="s">
        <v>726</v>
      </c>
      <c r="N4" t="s">
        <v>727</v>
      </c>
      <c r="O4" t="s">
        <v>728</v>
      </c>
      <c r="P4" s="627" t="s">
        <v>729</v>
      </c>
      <c r="Q4" t="s">
        <v>730</v>
      </c>
      <c r="R4" t="s">
        <v>78</v>
      </c>
      <c r="S4" t="s">
        <v>731</v>
      </c>
      <c r="T4" t="s">
        <v>732</v>
      </c>
      <c r="U4" t="s">
        <v>733</v>
      </c>
      <c r="V4" t="s">
        <v>734</v>
      </c>
      <c r="W4" t="s">
        <v>735</v>
      </c>
      <c r="X4" t="s">
        <v>736</v>
      </c>
      <c r="Y4" t="s">
        <v>737</v>
      </c>
      <c r="Z4" t="s">
        <v>738</v>
      </c>
      <c r="AA4" t="s">
        <v>739</v>
      </c>
      <c r="AB4" t="s">
        <v>740</v>
      </c>
      <c r="AC4" t="s">
        <v>741</v>
      </c>
      <c r="AD4" t="s">
        <v>742</v>
      </c>
      <c r="AE4" t="s">
        <v>743</v>
      </c>
      <c r="AF4" t="s">
        <v>744</v>
      </c>
      <c r="AG4" t="s">
        <v>745</v>
      </c>
      <c r="AH4" t="s">
        <v>746</v>
      </c>
      <c r="AI4" t="s">
        <v>747</v>
      </c>
      <c r="AJ4" t="s">
        <v>748</v>
      </c>
      <c r="AK4" t="s">
        <v>749</v>
      </c>
      <c r="AL4" t="s">
        <v>750</v>
      </c>
      <c r="AM4" t="s">
        <v>751</v>
      </c>
      <c r="AN4" t="s">
        <v>752</v>
      </c>
      <c r="AO4" t="s">
        <v>753</v>
      </c>
      <c r="AP4" t="s">
        <v>754</v>
      </c>
      <c r="AQ4" t="s">
        <v>755</v>
      </c>
      <c r="AR4" t="s">
        <v>756</v>
      </c>
      <c r="AS4" t="s">
        <v>757</v>
      </c>
      <c r="AT4" t="s">
        <v>758</v>
      </c>
      <c r="AU4" t="s">
        <v>759</v>
      </c>
      <c r="AV4" t="s">
        <v>760</v>
      </c>
      <c r="AW4" t="s">
        <v>761</v>
      </c>
      <c r="AX4" t="s">
        <v>762</v>
      </c>
      <c r="AY4" t="s">
        <v>763</v>
      </c>
      <c r="AZ4" t="s">
        <v>764</v>
      </c>
      <c r="BA4" t="s">
        <v>765</v>
      </c>
      <c r="BB4" t="s">
        <v>766</v>
      </c>
      <c r="BC4" t="s">
        <v>767</v>
      </c>
      <c r="BD4" t="s">
        <v>768</v>
      </c>
      <c r="BE4" t="s">
        <v>769</v>
      </c>
      <c r="BF4" t="s">
        <v>770</v>
      </c>
      <c r="BG4" t="s">
        <v>771</v>
      </c>
      <c r="BH4" t="s">
        <v>772</v>
      </c>
      <c r="BI4" t="s">
        <v>773</v>
      </c>
      <c r="BJ4" t="s">
        <v>774</v>
      </c>
      <c r="BK4" t="s">
        <v>775</v>
      </c>
      <c r="BL4" t="s">
        <v>776</v>
      </c>
      <c r="BM4" t="s">
        <v>777</v>
      </c>
      <c r="BN4" t="s">
        <v>778</v>
      </c>
      <c r="BO4" t="s">
        <v>779</v>
      </c>
      <c r="BP4" t="s">
        <v>780</v>
      </c>
      <c r="BQ4" t="s">
        <v>781</v>
      </c>
      <c r="BR4" t="s">
        <v>782</v>
      </c>
      <c r="BS4" t="s">
        <v>783</v>
      </c>
      <c r="BT4" t="s">
        <v>784</v>
      </c>
      <c r="BU4" t="s">
        <v>785</v>
      </c>
      <c r="BV4" t="s">
        <v>786</v>
      </c>
      <c r="BW4" t="s">
        <v>787</v>
      </c>
      <c r="BX4" t="s">
        <v>788</v>
      </c>
      <c r="BY4" t="s">
        <v>789</v>
      </c>
      <c r="BZ4" t="s">
        <v>790</v>
      </c>
      <c r="CA4" t="s">
        <v>791</v>
      </c>
      <c r="CB4" t="s">
        <v>792</v>
      </c>
      <c r="CC4" t="s">
        <v>793</v>
      </c>
      <c r="CD4" t="s">
        <v>794</v>
      </c>
      <c r="CE4" t="s">
        <v>795</v>
      </c>
      <c r="CF4" t="s">
        <v>796</v>
      </c>
      <c r="CG4" t="s">
        <v>797</v>
      </c>
      <c r="CH4" t="s">
        <v>798</v>
      </c>
    </row>
    <row r="5" spans="1:86">
      <c r="A5" s="627" t="str">
        <f>IF(P5&gt;85,"Good",IF(P5&gt;70,"Satisfactory",IF(P5&gt;55,"Fair",IF(P5&gt;40,"Poor",IF(P5&gt;25,"Very Poor",IF(P5&gt;10,"Serious","Failed"))))))</f>
        <v>Failed</v>
      </c>
      <c r="P5" s="627"/>
      <c r="AC5" s="626"/>
      <c r="AD5" s="626"/>
      <c r="AO5" s="626"/>
    </row>
  </sheetData>
  <mergeCells count="1">
    <mergeCell ref="B1: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topLeftCell="A19" zoomScale="78" zoomScaleNormal="78" workbookViewId="0">
      <selection activeCell="B4" sqref="B4:D7"/>
    </sheetView>
  </sheetViews>
  <sheetFormatPr defaultColWidth="9.21875" defaultRowHeight="13.8"/>
  <cols>
    <col min="1" max="1" width="38.5546875" style="680" customWidth="1"/>
    <col min="2" max="2" width="34.5546875" style="680" customWidth="1"/>
    <col min="3" max="3" width="28.5546875" style="680" customWidth="1"/>
    <col min="4" max="4" width="21.21875" style="680" customWidth="1"/>
    <col min="5" max="5" width="17.77734375" style="680" bestFit="1" customWidth="1"/>
    <col min="6" max="6" width="17.77734375" style="680" customWidth="1"/>
    <col min="7" max="7" width="19.77734375" style="680" customWidth="1"/>
    <col min="8" max="8" width="13.21875" style="680" bestFit="1" customWidth="1"/>
    <col min="9" max="12" width="9.21875" style="680"/>
    <col min="13" max="13" width="15.44140625" style="680" customWidth="1"/>
    <col min="14" max="16384" width="9.21875" style="680"/>
  </cols>
  <sheetData>
    <row r="1" spans="1:4" ht="15.6">
      <c r="A1" s="706" t="s">
        <v>0</v>
      </c>
      <c r="B1" s="3"/>
      <c r="C1" s="3"/>
      <c r="D1" s="3"/>
    </row>
    <row r="2" spans="1:4" ht="14.4">
      <c r="A2" s="1830" t="s">
        <v>1</v>
      </c>
      <c r="B2" s="1830"/>
      <c r="C2" s="1830"/>
      <c r="D2" s="1830"/>
    </row>
    <row r="3" spans="1:4" ht="14.25" customHeight="1" thickBot="1">
      <c r="A3" s="694" t="s">
        <v>2</v>
      </c>
      <c r="B3" s="695" t="str">
        <f>_xlfn.CONCAT("Nominal $",'Major Assumption Key'!B7,, " ","No Discount")</f>
        <v>Nominal $2022 No Discount</v>
      </c>
      <c r="C3" s="694" t="str">
        <f>_xlfn.CONCAT("Real $"," ",'Major Assumption Key'!B7," No Discount")</f>
        <v>Real $ 2022 No Discount</v>
      </c>
      <c r="D3" s="695" t="str">
        <f>_xlfn.CONCAT(TEXT('Major Assumption Key'!B8,"0.0%")," Discount"," ",'Major Assumption Key'!B7)</f>
        <v>3.1% Discount 2022</v>
      </c>
    </row>
    <row r="4" spans="1:4" ht="15" customHeight="1" thickTop="1">
      <c r="A4" s="707" t="s">
        <v>3</v>
      </c>
      <c r="B4" s="708">
        <f>ROUND('Cost Summary'!I46,-3)</f>
        <v>100000</v>
      </c>
      <c r="C4" s="709">
        <f>ROUND('Cost Summary'!J46,-3)</f>
        <v>100000</v>
      </c>
      <c r="D4" s="708">
        <f>ROUND('Cost Summary'!K46,-3)</f>
        <v>100000</v>
      </c>
    </row>
    <row r="5" spans="1:4" ht="14.4">
      <c r="A5" s="710" t="s">
        <v>4</v>
      </c>
      <c r="B5" s="711">
        <f>ROUND('Cost Summary'!L46,-3)</f>
        <v>2990000</v>
      </c>
      <c r="C5" s="711">
        <f>ROUND('Cost Summary'!M46,-3)</f>
        <v>2753000</v>
      </c>
      <c r="D5" s="711">
        <f>ROUND('Cost Summary'!N46,-3)</f>
        <v>2512000</v>
      </c>
    </row>
    <row r="6" spans="1:4" ht="14.4">
      <c r="A6" s="710" t="s">
        <v>5</v>
      </c>
      <c r="B6" s="711">
        <f>ROUND('Cost Summary'!O45,-3)</f>
        <v>20778000</v>
      </c>
      <c r="C6" s="711">
        <f>ROUND('Cost Summary'!P45,-3)</f>
        <v>18356000</v>
      </c>
      <c r="D6" s="711">
        <f>ROUND('Cost Summary'!Q45,-3)</f>
        <v>16002000</v>
      </c>
    </row>
    <row r="7" spans="1:4" ht="14.4">
      <c r="A7" s="712" t="s">
        <v>6</v>
      </c>
      <c r="B7" s="713">
        <f>'Cost Summary'!U46</f>
        <v>23868000</v>
      </c>
      <c r="C7" s="713">
        <f>'Cost Summary'!V46</f>
        <v>21210000</v>
      </c>
      <c r="D7" s="713">
        <f>'Cost Summary'!W46</f>
        <v>18614000</v>
      </c>
    </row>
    <row r="8" spans="1:4" ht="14.4">
      <c r="A8" s="632"/>
      <c r="B8" s="3"/>
      <c r="C8" s="3"/>
      <c r="D8" s="3"/>
    </row>
    <row r="10" spans="1:4" ht="15.6">
      <c r="A10" s="706" t="s">
        <v>7</v>
      </c>
      <c r="B10" s="3"/>
      <c r="C10" s="3"/>
      <c r="D10" s="3"/>
    </row>
    <row r="11" spans="1:4" ht="14.4">
      <c r="A11" s="1830" t="s">
        <v>7</v>
      </c>
      <c r="B11" s="1830"/>
      <c r="C11" s="1830"/>
      <c r="D11" s="3"/>
    </row>
    <row r="12" spans="1:4" ht="14.4">
      <c r="A12" s="1828" t="s">
        <v>2</v>
      </c>
      <c r="B12" s="689" t="str">
        <f>_xlfn.CONCAT("$",'Major Assumption Key'!B7," ","Real Dollars")</f>
        <v>$2022 Real Dollars</v>
      </c>
      <c r="C12" s="689" t="str">
        <f>_xlfn.CONCAT("$",'Major Assumption Key'!B7," ","Real Dollars")</f>
        <v>$2022 Real Dollars</v>
      </c>
      <c r="D12" s="3"/>
    </row>
    <row r="13" spans="1:4" ht="15" thickBot="1">
      <c r="A13" s="1829"/>
      <c r="B13" s="695" t="s">
        <v>8</v>
      </c>
      <c r="C13" s="695" t="str">
        <f>_xlfn.CONCAT(TEXT('Major Assumption Key'!B8,"0.0%")," Discount")</f>
        <v>3.1% Discount</v>
      </c>
      <c r="D13" s="3"/>
    </row>
    <row r="14" spans="1:4" ht="15" thickTop="1">
      <c r="A14" s="714" t="s">
        <v>9</v>
      </c>
      <c r="B14" s="708">
        <f>'BCA Summary'!H14</f>
        <v>21447000</v>
      </c>
      <c r="C14" s="708">
        <f>'BCA Summary'!I14</f>
        <v>11684000</v>
      </c>
      <c r="D14" s="3"/>
    </row>
    <row r="15" spans="1:4" ht="14.4">
      <c r="A15" s="710" t="s">
        <v>10</v>
      </c>
      <c r="B15" s="711">
        <f>'BCA Summary'!H15</f>
        <v>21210000</v>
      </c>
      <c r="C15" s="711">
        <f>'BCA Summary'!I15</f>
        <v>18614000</v>
      </c>
      <c r="D15" s="3"/>
    </row>
    <row r="16" spans="1:4" ht="14.4">
      <c r="A16" s="710" t="s">
        <v>11</v>
      </c>
      <c r="B16" s="715">
        <f>'BCA Summary'!H7</f>
        <v>1.0111569298276737</v>
      </c>
      <c r="C16" s="715">
        <f>'BCA Summary'!I7</f>
        <v>0.6276932096418345</v>
      </c>
      <c r="D16" s="3"/>
    </row>
    <row r="17" spans="1:6" ht="14.4">
      <c r="A17" s="710" t="s">
        <v>12</v>
      </c>
      <c r="B17" s="711">
        <f>'BCA Summary'!H17</f>
        <v>237000</v>
      </c>
      <c r="C17" s="711">
        <f>'BCA Summary'!I17</f>
        <v>-6930000</v>
      </c>
      <c r="D17" s="3"/>
      <c r="E17" s="3"/>
      <c r="F17" s="3"/>
    </row>
    <row r="18" spans="1:6" ht="14.4">
      <c r="A18" s="632"/>
      <c r="B18" s="3"/>
      <c r="C18" s="3"/>
      <c r="D18" s="3"/>
      <c r="E18" s="3"/>
      <c r="F18" s="3"/>
    </row>
    <row r="20" spans="1:6" ht="15.6">
      <c r="A20" s="706" t="s">
        <v>13</v>
      </c>
      <c r="B20" s="3"/>
      <c r="C20" s="3"/>
      <c r="D20" s="3"/>
      <c r="E20" s="3"/>
      <c r="F20" s="3"/>
    </row>
    <row r="21" spans="1:6" ht="14.4">
      <c r="A21" s="1830" t="s">
        <v>14</v>
      </c>
      <c r="B21" s="1830"/>
      <c r="C21" s="1830"/>
      <c r="D21" s="1830"/>
      <c r="E21" s="1830"/>
      <c r="F21" s="1830"/>
    </row>
    <row r="22" spans="1:6" ht="15" customHeight="1" thickBot="1">
      <c r="A22" s="695" t="s">
        <v>15</v>
      </c>
      <c r="B22" s="695" t="s">
        <v>16</v>
      </c>
      <c r="C22" s="695" t="s">
        <v>17</v>
      </c>
      <c r="D22" s="695" t="s">
        <v>18</v>
      </c>
      <c r="E22" s="695" t="str">
        <f>_xlfn.CONCAT("$",'Major Assumption Key'!B7," Monetized")</f>
        <v>$2022 Monetized</v>
      </c>
      <c r="F22" s="695" t="str">
        <f>_xlfn.CONCAT("$",'Major Assumption Key'!B7," Real Dollars")</f>
        <v>$2022 Real Dollars</v>
      </c>
    </row>
    <row r="23" spans="1:6" ht="32.25" customHeight="1" thickTop="1">
      <c r="A23" s="696"/>
      <c r="B23" s="696"/>
      <c r="C23" s="696"/>
      <c r="D23" s="696"/>
      <c r="E23" s="696" t="s">
        <v>19</v>
      </c>
      <c r="F23" s="696" t="str">
        <f>_xlfn.CONCAT(TEXT('Major Assumption Key'!B8,"0.0%")," Discount")</f>
        <v>3.1% Discount</v>
      </c>
    </row>
    <row r="24" spans="1:6" ht="27.6">
      <c r="A24" s="716" t="s">
        <v>20</v>
      </c>
      <c r="B24" s="717" t="s">
        <v>21</v>
      </c>
      <c r="C24" s="717" t="s">
        <v>22</v>
      </c>
      <c r="D24" s="717" t="s">
        <v>23</v>
      </c>
      <c r="E24" s="718">
        <f>'Benefits Summary'!N52</f>
        <v>11014000</v>
      </c>
      <c r="F24" s="718">
        <f>'Benefits Summary'!O52</f>
        <v>5134000</v>
      </c>
    </row>
    <row r="25" spans="1:6" ht="27.6">
      <c r="A25" s="716" t="s">
        <v>24</v>
      </c>
      <c r="B25" s="717" t="s">
        <v>25</v>
      </c>
      <c r="C25" s="717" t="s">
        <v>26</v>
      </c>
      <c r="D25" s="717" t="s">
        <v>27</v>
      </c>
      <c r="E25" s="718">
        <f>'Benefits Summary'!N53</f>
        <v>0</v>
      </c>
      <c r="F25" s="718">
        <f>'Benefits Summary'!O53</f>
        <v>0</v>
      </c>
    </row>
    <row r="26" spans="1:6" ht="41.4">
      <c r="A26" s="716" t="s">
        <v>28</v>
      </c>
      <c r="B26" s="717" t="s">
        <v>29</v>
      </c>
      <c r="C26" s="717" t="s">
        <v>30</v>
      </c>
      <c r="D26" s="717" t="s">
        <v>31</v>
      </c>
      <c r="E26" s="718">
        <f>SUM('Benefits Summary'!N54:N56)</f>
        <v>0</v>
      </c>
      <c r="F26" s="718">
        <f>SUM('Benefits Summary'!O54:O56)</f>
        <v>0</v>
      </c>
    </row>
    <row r="27" spans="1:6" ht="41.4">
      <c r="A27" s="716" t="s">
        <v>32</v>
      </c>
      <c r="B27" s="717" t="s">
        <v>33</v>
      </c>
      <c r="C27" s="717" t="s">
        <v>34</v>
      </c>
      <c r="D27" s="717" t="s">
        <v>35</v>
      </c>
      <c r="E27" s="718">
        <f>SUM('Benefits Summary'!N57:N59)</f>
        <v>4518000</v>
      </c>
      <c r="F27" s="718">
        <f>SUM('Benefits Summary'!O57:O59)</f>
        <v>2859000</v>
      </c>
    </row>
    <row r="28" spans="1:6" ht="55.2">
      <c r="A28" s="716" t="s">
        <v>36</v>
      </c>
      <c r="B28" s="717" t="s">
        <v>37</v>
      </c>
      <c r="C28" s="717" t="s">
        <v>38</v>
      </c>
      <c r="D28" s="717" t="s">
        <v>39</v>
      </c>
      <c r="E28" s="718">
        <f>SUM('Benefits Summary'!N60:N64)</f>
        <v>1423000</v>
      </c>
      <c r="F28" s="718">
        <f>SUM('Benefits Summary'!O60:O64)</f>
        <v>887000</v>
      </c>
    </row>
    <row r="29" spans="1:6" ht="27.6">
      <c r="A29" s="716" t="s">
        <v>40</v>
      </c>
      <c r="B29" s="717" t="s">
        <v>41</v>
      </c>
      <c r="C29" s="717" t="s">
        <v>42</v>
      </c>
      <c r="D29" s="717" t="s">
        <v>43</v>
      </c>
      <c r="E29" s="718">
        <f>'Benefits Summary'!N65</f>
        <v>0</v>
      </c>
      <c r="F29" s="718">
        <f>'Benefits Summary'!O65</f>
        <v>0</v>
      </c>
    </row>
    <row r="30" spans="1:6" ht="69">
      <c r="A30" s="716" t="s">
        <v>44</v>
      </c>
      <c r="B30" s="717" t="s">
        <v>45</v>
      </c>
      <c r="C30" s="717" t="s">
        <v>46</v>
      </c>
      <c r="D30" s="717" t="s">
        <v>47</v>
      </c>
      <c r="E30" s="718">
        <f>SUM('Benefits Summary'!N66:N66)</f>
        <v>0</v>
      </c>
      <c r="F30" s="718">
        <f>SUM('Benefits Summary'!O66:O66)</f>
        <v>0</v>
      </c>
    </row>
    <row r="31" spans="1:6" ht="55.2">
      <c r="A31" s="716" t="s">
        <v>48</v>
      </c>
      <c r="B31" s="717" t="s">
        <v>49</v>
      </c>
      <c r="C31" s="717" t="s">
        <v>50</v>
      </c>
      <c r="D31" s="717" t="s">
        <v>51</v>
      </c>
      <c r="E31" s="718">
        <f>SUM('Benefits Summary'!N67:N68)</f>
        <v>4130000</v>
      </c>
      <c r="F31" s="718">
        <f>SUM('Benefits Summary'!O67:O68)</f>
        <v>2576000</v>
      </c>
    </row>
    <row r="32" spans="1:6" ht="69">
      <c r="A32" s="716" t="s">
        <v>52</v>
      </c>
      <c r="B32" s="717" t="s">
        <v>37</v>
      </c>
      <c r="C32" s="717" t="s">
        <v>53</v>
      </c>
      <c r="D32" s="717" t="s">
        <v>54</v>
      </c>
      <c r="E32" s="718">
        <f>MAX(IFERROR('Benefits Summary'!N69,0),IFERROR('Benefits Summary'!N70,0))</f>
        <v>240000</v>
      </c>
      <c r="F32" s="718">
        <f>MAX(IFERROR('Benefits Summary'!O69,0),IFERROR('Benefits Summary'!O70,0))</f>
        <v>153000</v>
      </c>
    </row>
    <row r="33" spans="1:6" ht="41.4">
      <c r="A33" s="716" t="s">
        <v>55</v>
      </c>
      <c r="B33" s="717" t="s">
        <v>49</v>
      </c>
      <c r="C33" s="717" t="s">
        <v>56</v>
      </c>
      <c r="D33" s="717" t="s">
        <v>57</v>
      </c>
      <c r="E33" s="718">
        <f>'Benefits Summary'!N71</f>
        <v>121000</v>
      </c>
      <c r="F33" s="718">
        <f>'Benefits Summary'!O71</f>
        <v>76000</v>
      </c>
    </row>
    <row r="34" spans="1:6" ht="41.4">
      <c r="A34" s="716" t="s">
        <v>58</v>
      </c>
      <c r="B34" s="717" t="s">
        <v>59</v>
      </c>
      <c r="C34" s="717" t="s">
        <v>60</v>
      </c>
      <c r="D34" s="717" t="s">
        <v>61</v>
      </c>
      <c r="E34" s="718">
        <f>SUM('Benefits Summary'!N72:N73)</f>
        <v>0</v>
      </c>
      <c r="F34" s="718">
        <f>SUM('Benefits Summary'!O72:O73)</f>
        <v>0</v>
      </c>
    </row>
    <row r="35" spans="1:6" ht="14.4">
      <c r="A35" s="716" t="s">
        <v>62</v>
      </c>
      <c r="B35" s="717"/>
      <c r="C35" s="717"/>
      <c r="D35" s="717"/>
      <c r="E35" s="718">
        <f>'Benefits Summary'!N74</f>
        <v>0</v>
      </c>
      <c r="F35" s="718">
        <f>'Benefits Summary'!O74</f>
        <v>0</v>
      </c>
    </row>
    <row r="36" spans="1:6" ht="20.25" customHeight="1">
      <c r="A36" s="719"/>
      <c r="B36" s="719"/>
      <c r="C36" s="719"/>
      <c r="D36" s="720" t="s">
        <v>63</v>
      </c>
      <c r="E36" s="721">
        <f>'Benefits Summary'!N75</f>
        <v>21447000</v>
      </c>
      <c r="F36" s="721">
        <f>'Benefits Summary'!O75</f>
        <v>11684000</v>
      </c>
    </row>
    <row r="37" spans="1:6">
      <c r="A37" s="3"/>
      <c r="B37" s="3"/>
      <c r="C37" s="3"/>
      <c r="D37" s="16"/>
      <c r="E37" s="722"/>
      <c r="F37" s="722"/>
    </row>
    <row r="38" spans="1:6" ht="15.6">
      <c r="A38" s="706" t="s">
        <v>64</v>
      </c>
      <c r="B38" s="3"/>
      <c r="C38" s="3"/>
      <c r="D38" s="16"/>
      <c r="E38" s="722"/>
      <c r="F38" s="722"/>
    </row>
    <row r="39" spans="1:6" ht="14.4">
      <c r="A39" s="1833" t="s">
        <v>64</v>
      </c>
      <c r="B39" s="1834"/>
      <c r="C39" s="723"/>
      <c r="D39" s="3"/>
      <c r="E39" s="3"/>
      <c r="F39" s="3"/>
    </row>
    <row r="40" spans="1:6" ht="15" thickBot="1">
      <c r="A40" s="695" t="s">
        <v>2</v>
      </c>
      <c r="B40" s="697" t="s">
        <v>65</v>
      </c>
      <c r="C40" s="723"/>
      <c r="D40" s="3"/>
      <c r="E40" s="3"/>
      <c r="F40" s="3"/>
    </row>
    <row r="41" spans="1:6" ht="15" thickTop="1">
      <c r="A41" s="714" t="s">
        <v>66</v>
      </c>
      <c r="B41" s="708">
        <f>ROUND('Useful Life'!J48,-3)</f>
        <v>0</v>
      </c>
      <c r="C41" s="723"/>
      <c r="D41" s="3"/>
      <c r="E41" s="3"/>
      <c r="F41" s="3"/>
    </row>
    <row r="42" spans="1:6" ht="15" thickBot="1">
      <c r="A42" s="724" t="s">
        <v>67</v>
      </c>
      <c r="B42" s="725">
        <f>ROUND('Useful Life'!M48,-3)</f>
        <v>11014000</v>
      </c>
      <c r="C42" s="723"/>
      <c r="D42" s="3"/>
      <c r="E42" s="3"/>
      <c r="F42" s="3"/>
    </row>
    <row r="43" spans="1:6" ht="15.6" thickTop="1" thickBot="1">
      <c r="A43" s="726" t="s">
        <v>68</v>
      </c>
      <c r="B43" s="727">
        <f>ROUND('Useful Life'!N48,-3)</f>
        <v>11014000</v>
      </c>
      <c r="C43" s="723"/>
      <c r="D43" s="3"/>
      <c r="E43" s="3"/>
      <c r="F43" s="3"/>
    </row>
    <row r="44" spans="1:6" ht="15" thickTop="1">
      <c r="A44" s="690" t="s">
        <v>69</v>
      </c>
      <c r="B44" s="691">
        <f>ROUND('Useful Life'!O48,-3)</f>
        <v>5134000</v>
      </c>
      <c r="C44" s="3"/>
      <c r="D44" s="3"/>
      <c r="E44" s="3"/>
      <c r="F44" s="3"/>
    </row>
    <row r="45" spans="1:6">
      <c r="A45" s="728"/>
      <c r="B45" s="728"/>
      <c r="C45" s="3"/>
      <c r="D45" s="3"/>
      <c r="E45" s="3"/>
      <c r="F45" s="3"/>
    </row>
    <row r="47" spans="1:6" ht="15.6">
      <c r="A47" s="706" t="s">
        <v>70</v>
      </c>
      <c r="B47" s="3"/>
      <c r="C47" s="3"/>
      <c r="D47" s="3"/>
      <c r="E47" s="3"/>
      <c r="F47" s="3"/>
    </row>
    <row r="48" spans="1:6" ht="14.4">
      <c r="A48" s="1833" t="s">
        <v>70</v>
      </c>
      <c r="B48" s="1834"/>
      <c r="C48" s="3"/>
      <c r="D48" s="3"/>
      <c r="E48" s="3"/>
      <c r="F48" s="3"/>
    </row>
    <row r="49" spans="1:8" ht="15" thickBot="1">
      <c r="A49" s="695" t="s">
        <v>2</v>
      </c>
      <c r="B49" s="695" t="s">
        <v>65</v>
      </c>
      <c r="C49" s="3"/>
      <c r="D49" s="3"/>
      <c r="E49" s="3"/>
      <c r="F49" s="3"/>
      <c r="G49" s="3"/>
      <c r="H49" s="3"/>
    </row>
    <row r="50" spans="1:8" ht="15" thickTop="1">
      <c r="A50" s="714" t="s">
        <v>66</v>
      </c>
      <c r="B50" s="708">
        <f>ROUND('Non-Roadway Maintenance'!H49,-3)</f>
        <v>0</v>
      </c>
      <c r="C50" s="723"/>
      <c r="D50" s="3"/>
      <c r="E50" s="3"/>
      <c r="F50" s="3"/>
      <c r="G50" s="3"/>
      <c r="H50" s="3"/>
    </row>
    <row r="51" spans="1:8" ht="15" thickBot="1">
      <c r="A51" s="724" t="s">
        <v>67</v>
      </c>
      <c r="B51" s="729">
        <f>ROUND('Non-Roadway Maintenance'!J49,-3)</f>
        <v>0</v>
      </c>
      <c r="C51" s="723"/>
      <c r="D51" s="3"/>
      <c r="E51" s="3"/>
      <c r="F51" s="3"/>
      <c r="G51" s="3"/>
      <c r="H51" s="3"/>
    </row>
    <row r="52" spans="1:8" ht="15.6" thickTop="1" thickBot="1">
      <c r="A52" s="726" t="s">
        <v>68</v>
      </c>
      <c r="B52" s="730">
        <f>ROUND('Non-Roadway Maintenance'!K49,-3)</f>
        <v>0</v>
      </c>
      <c r="C52" s="723"/>
      <c r="D52" s="3"/>
      <c r="E52" s="3"/>
      <c r="F52" s="3"/>
      <c r="G52" s="3"/>
      <c r="H52" s="3"/>
    </row>
    <row r="53" spans="1:8" ht="15" thickTop="1">
      <c r="A53" s="690" t="s">
        <v>69</v>
      </c>
      <c r="B53" s="692">
        <f>ROUND('Non-Roadway Maintenance'!L49,-3)</f>
        <v>0</v>
      </c>
      <c r="C53" s="723"/>
      <c r="D53" s="3"/>
      <c r="E53" s="3"/>
      <c r="F53" s="3"/>
      <c r="G53" s="3"/>
      <c r="H53" s="3"/>
    </row>
    <row r="54" spans="1:8">
      <c r="A54" s="728"/>
      <c r="B54" s="728"/>
      <c r="C54" s="3"/>
      <c r="D54" s="3"/>
      <c r="E54" s="3"/>
      <c r="F54" s="3"/>
      <c r="G54" s="3"/>
      <c r="H54" s="3"/>
    </row>
    <row r="57" spans="1:8" ht="15.6">
      <c r="A57" s="706" t="s">
        <v>71</v>
      </c>
      <c r="B57" s="3"/>
      <c r="C57" s="3"/>
      <c r="D57" s="3"/>
      <c r="E57" s="3"/>
      <c r="F57" s="3"/>
      <c r="G57" s="3"/>
      <c r="H57" s="3"/>
    </row>
    <row r="58" spans="1:8">
      <c r="A58" s="681" t="s">
        <v>72</v>
      </c>
      <c r="B58" s="3"/>
      <c r="C58" s="3"/>
      <c r="D58" s="3"/>
      <c r="E58" s="3"/>
      <c r="F58" s="3"/>
      <c r="G58" s="3"/>
      <c r="H58" s="3"/>
    </row>
    <row r="59" spans="1:8" ht="14.4">
      <c r="A59" s="1830" t="s">
        <v>73</v>
      </c>
      <c r="B59" s="1830"/>
      <c r="C59" s="1830"/>
      <c r="D59" s="1830"/>
      <c r="E59" s="1830"/>
      <c r="F59" s="1830"/>
      <c r="G59" s="1830"/>
      <c r="H59" s="1830"/>
    </row>
    <row r="60" spans="1:8" ht="15" thickBot="1">
      <c r="A60" s="698" t="s">
        <v>74</v>
      </c>
      <c r="B60" s="695" t="s">
        <v>75</v>
      </c>
      <c r="C60" s="695" t="s">
        <v>76</v>
      </c>
      <c r="D60" s="695" t="s">
        <v>77</v>
      </c>
      <c r="E60" s="695" t="s">
        <v>78</v>
      </c>
      <c r="F60" s="695" t="s">
        <v>79</v>
      </c>
      <c r="G60" s="695" t="s">
        <v>80</v>
      </c>
      <c r="H60" s="695" t="s">
        <v>81</v>
      </c>
    </row>
    <row r="61" spans="1:8" ht="15" thickTop="1">
      <c r="A61" s="714" t="str">
        <f>'SOGR Supporting AP-CP'!A108</f>
        <v>NAME of Segment A</v>
      </c>
      <c r="B61" s="731" t="str">
        <f>'SOGR Supporting AP-CP'!E108</f>
        <v>Collector</v>
      </c>
      <c r="C61" s="731" t="s">
        <v>82</v>
      </c>
      <c r="D61" s="731">
        <f>'SOGR Supporting AP-CP'!B108</f>
        <v>0</v>
      </c>
      <c r="E61" s="731">
        <f>'SOGR Supporting AP-CP'!F108</f>
        <v>0</v>
      </c>
      <c r="F61" s="732">
        <f>'SOGR Supporting AP-CP'!H108</f>
        <v>0</v>
      </c>
      <c r="G61" s="733">
        <f>'SOGR Supporting AP-CP'!C6</f>
        <v>0</v>
      </c>
      <c r="H61" s="734">
        <f>'SOGR Supporting AP-CP'!J108</f>
        <v>3.1469138466308312E-2</v>
      </c>
    </row>
    <row r="62" spans="1:8" ht="14.4">
      <c r="A62" s="710" t="str">
        <f>'SOGR Supporting AP-CP'!A109</f>
        <v>NAME of Segment B</v>
      </c>
      <c r="B62" s="735">
        <f>'SOGR Supporting AP-CP'!E109</f>
        <v>0</v>
      </c>
      <c r="C62" s="735" t="s">
        <v>82</v>
      </c>
      <c r="D62" s="735">
        <f>'SOGR Supporting AP-CP'!B109</f>
        <v>0</v>
      </c>
      <c r="E62" s="735">
        <f>'SOGR Supporting AP-CP'!F109</f>
        <v>0</v>
      </c>
      <c r="F62" s="736">
        <f>'SOGR Supporting AP-CP'!H109</f>
        <v>0</v>
      </c>
      <c r="G62" s="737">
        <f>'SOGR Supporting AP-CP'!C7</f>
        <v>0</v>
      </c>
      <c r="H62" s="738">
        <f>'SOGR Supporting AP-CP'!J109</f>
        <v>3.1469138466308312E-2</v>
      </c>
    </row>
    <row r="63" spans="1:8">
      <c r="A63" s="681" t="s">
        <v>83</v>
      </c>
      <c r="B63" s="3"/>
      <c r="C63" s="3"/>
      <c r="D63" s="3"/>
      <c r="E63" s="3"/>
      <c r="F63" s="3"/>
      <c r="G63" s="3"/>
      <c r="H63" s="3"/>
    </row>
    <row r="64" spans="1:8" ht="14.4">
      <c r="A64" s="1830" t="s">
        <v>73</v>
      </c>
      <c r="B64" s="1830"/>
      <c r="C64" s="1830"/>
      <c r="D64" s="1830"/>
      <c r="E64" s="1830"/>
      <c r="F64" s="1830"/>
      <c r="G64" s="1830"/>
      <c r="H64" s="1830"/>
    </row>
    <row r="65" spans="1:8" ht="15" thickBot="1">
      <c r="A65" s="698" t="s">
        <v>74</v>
      </c>
      <c r="B65" s="695" t="s">
        <v>75</v>
      </c>
      <c r="C65" s="695" t="s">
        <v>76</v>
      </c>
      <c r="D65" s="695" t="s">
        <v>77</v>
      </c>
      <c r="E65" s="695" t="s">
        <v>78</v>
      </c>
      <c r="F65" s="695" t="s">
        <v>79</v>
      </c>
      <c r="G65" s="695" t="s">
        <v>80</v>
      </c>
      <c r="H65" s="695" t="s">
        <v>81</v>
      </c>
    </row>
    <row r="66" spans="1:8" ht="15" thickTop="1">
      <c r="A66" s="714" t="str">
        <f>'SOGR Supporting CP-CP'!A6</f>
        <v>Name of Roadway 1</v>
      </c>
      <c r="B66" s="731">
        <f>'SOGR Supporting CP-CP'!E108</f>
        <v>0</v>
      </c>
      <c r="C66" s="731" t="s">
        <v>83</v>
      </c>
      <c r="D66" s="731">
        <f>'SOGR Supporting CP-CP'!B108</f>
        <v>0</v>
      </c>
      <c r="E66" s="731">
        <f>'SOGR Supporting CP-CP'!F108</f>
        <v>0</v>
      </c>
      <c r="F66" s="732">
        <f>'SOGR Supporting CP-CP'!H108</f>
        <v>0</v>
      </c>
      <c r="G66" s="733">
        <f>'SOGR Supporting CP-CP'!C6</f>
        <v>0</v>
      </c>
      <c r="H66" s="734">
        <f>'SOGR Supporting CP-CP'!J108</f>
        <v>3.1469138466308312E-2</v>
      </c>
    </row>
    <row r="67" spans="1:8" ht="14.4">
      <c r="A67" s="710" t="str">
        <f>'SOGR Supporting CP-CP'!A7</f>
        <v>Name of Roadway 2</v>
      </c>
      <c r="B67" s="735">
        <f>'SOGR Supporting CP-CP'!E109</f>
        <v>0</v>
      </c>
      <c r="C67" s="735" t="s">
        <v>83</v>
      </c>
      <c r="D67" s="735">
        <f>'SOGR Supporting CP-CP'!B109</f>
        <v>0</v>
      </c>
      <c r="E67" s="735">
        <f>'SOGR Supporting CP-CP'!F109</f>
        <v>0</v>
      </c>
      <c r="F67" s="736">
        <f>'SOGR Supporting CP-CP'!H109</f>
        <v>0</v>
      </c>
      <c r="G67" s="737">
        <f>'SOGR Supporting CP-CP'!C7</f>
        <v>0</v>
      </c>
      <c r="H67" s="738">
        <f>'SOGR Supporting CP-CP'!J109</f>
        <v>0</v>
      </c>
    </row>
    <row r="68" spans="1:8">
      <c r="A68" s="681" t="s">
        <v>84</v>
      </c>
      <c r="B68" s="3"/>
      <c r="C68" s="3"/>
      <c r="D68" s="3"/>
      <c r="E68" s="3"/>
      <c r="F68" s="3"/>
      <c r="G68" s="3"/>
      <c r="H68" s="3"/>
    </row>
    <row r="69" spans="1:8" ht="14.4">
      <c r="A69" s="1830" t="s">
        <v>73</v>
      </c>
      <c r="B69" s="1830"/>
      <c r="C69" s="1830"/>
      <c r="D69" s="1830"/>
      <c r="E69" s="1830"/>
      <c r="F69" s="1830"/>
      <c r="G69" s="1830"/>
      <c r="H69" s="1830"/>
    </row>
    <row r="70" spans="1:8" ht="15" thickBot="1">
      <c r="A70" s="698" t="s">
        <v>74</v>
      </c>
      <c r="B70" s="695" t="s">
        <v>75</v>
      </c>
      <c r="C70" s="695" t="s">
        <v>76</v>
      </c>
      <c r="D70" s="695" t="s">
        <v>77</v>
      </c>
      <c r="E70" s="695" t="s">
        <v>78</v>
      </c>
      <c r="F70" s="694" t="s">
        <v>79</v>
      </c>
      <c r="G70" s="695" t="s">
        <v>80</v>
      </c>
      <c r="H70" s="695" t="s">
        <v>81</v>
      </c>
    </row>
    <row r="71" spans="1:8" ht="15" thickTop="1">
      <c r="A71" s="714" t="str">
        <f>'SOGR Supporting AP-AP'!A6</f>
        <v>Name of Roadway</v>
      </c>
      <c r="B71" s="731">
        <f>'SOGR Supporting AP-AP'!E108</f>
        <v>0</v>
      </c>
      <c r="C71" s="731" t="s">
        <v>82</v>
      </c>
      <c r="D71" s="731">
        <f>'SOGR Supporting AP-AP'!B108</f>
        <v>0</v>
      </c>
      <c r="E71" s="731">
        <f>'SOGR Supporting AP-AP'!F108</f>
        <v>0</v>
      </c>
      <c r="F71" s="739">
        <f>'SOGR Supporting AP-AP'!H108</f>
        <v>0</v>
      </c>
      <c r="G71" s="733">
        <f>'SOGR Supporting AP-AP'!C6</f>
        <v>0</v>
      </c>
      <c r="H71" s="734">
        <f>'SOGR Supporting AP-AP'!J108</f>
        <v>3.1469138466308312E-2</v>
      </c>
    </row>
    <row r="72" spans="1:8" ht="14.4">
      <c r="A72" s="710" t="str">
        <f>'SOGR Supporting AP-AP'!A7</f>
        <v>Name of Roadway</v>
      </c>
      <c r="B72" s="735">
        <f>'SOGR Supporting AP-AP'!E109</f>
        <v>0</v>
      </c>
      <c r="C72" s="735" t="s">
        <v>82</v>
      </c>
      <c r="D72" s="735">
        <f>'SOGR Supporting AP-AP'!B109</f>
        <v>0</v>
      </c>
      <c r="E72" s="735">
        <f>'SOGR Supporting AP-AP'!F109</f>
        <v>0</v>
      </c>
      <c r="F72" s="736">
        <f>'SOGR Supporting AP-AP'!H109</f>
        <v>0</v>
      </c>
      <c r="G72" s="737">
        <f>'SOGR Supporting AP-AP'!C7</f>
        <v>0</v>
      </c>
      <c r="H72" s="738">
        <f>'SOGR Supporting AP-AP'!J109</f>
        <v>0</v>
      </c>
    </row>
    <row r="73" spans="1:8">
      <c r="A73" s="3" t="s">
        <v>73</v>
      </c>
      <c r="B73" s="3"/>
      <c r="C73" s="3"/>
      <c r="D73" s="3"/>
      <c r="E73" s="3"/>
      <c r="F73" s="3"/>
      <c r="G73" s="3"/>
      <c r="H73" s="3"/>
    </row>
    <row r="75" spans="1:8">
      <c r="A75" s="681" t="s">
        <v>72</v>
      </c>
      <c r="B75" s="3"/>
      <c r="C75" s="3"/>
      <c r="D75" s="3"/>
      <c r="E75" s="3"/>
      <c r="F75" s="3"/>
      <c r="G75" s="3"/>
      <c r="H75" s="3"/>
    </row>
    <row r="76" spans="1:8" ht="16.5" customHeight="1">
      <c r="A76" s="1841" t="s">
        <v>85</v>
      </c>
      <c r="B76" s="1842"/>
      <c r="C76" s="3"/>
      <c r="D76" s="3"/>
      <c r="E76" s="3"/>
      <c r="F76" s="3"/>
      <c r="G76" s="3"/>
      <c r="H76" s="3"/>
    </row>
    <row r="77" spans="1:8" ht="14.4">
      <c r="A77" s="693" t="s">
        <v>86</v>
      </c>
      <c r="B77" s="689" t="s">
        <v>87</v>
      </c>
      <c r="C77" s="3"/>
      <c r="D77" s="3"/>
      <c r="E77" s="3"/>
      <c r="F77" s="3"/>
      <c r="G77" s="3"/>
      <c r="H77" s="3"/>
    </row>
    <row r="78" spans="1:8" ht="15" thickBot="1">
      <c r="A78" s="698" t="s">
        <v>88</v>
      </c>
      <c r="B78" s="695" t="s">
        <v>89</v>
      </c>
      <c r="C78" s="3"/>
      <c r="D78" s="3"/>
      <c r="E78" s="3"/>
      <c r="F78" s="3"/>
      <c r="G78" s="3"/>
      <c r="H78" s="3"/>
    </row>
    <row r="79" spans="1:8" ht="15" thickTop="1">
      <c r="A79" s="714" t="s">
        <v>90</v>
      </c>
      <c r="B79" s="731" t="str">
        <f>IF('SOGR Supporting AP-CP'!G114=1,"Very Poor",IF('SOGR Supporting AP-CP'!G114=2,"Poor",IF('SOGR Supporting AP-CP'!G114=3,"Fair",IF('SOGR Supporting AP-CP'!G114=4,"Satisfactory",IF('SOGR Supporting AP-CP'!G114=5,"Good","N/A")))))</f>
        <v>N/A</v>
      </c>
      <c r="C79" s="3"/>
      <c r="D79" s="3"/>
      <c r="E79" s="3"/>
      <c r="F79" s="3"/>
      <c r="G79" s="3"/>
      <c r="H79" s="3"/>
    </row>
    <row r="80" spans="1:8" ht="14.4">
      <c r="A80" s="710" t="s">
        <v>90</v>
      </c>
      <c r="B80" s="735" t="str">
        <f>IF('SOGR Supporting AP-CP'!G115=1,"Very Poor",IF('SOGR Supporting AP-CP'!G115=2,"Poor",IF('SOGR Supporting AP-CP'!G115=3,"Fair",IF('SOGR Supporting AP-CP'!G115=4,"Satisfactory",IF('SOGR Supporting AP-CP'!G115=5,"Good","N/A")))))</f>
        <v>N/A</v>
      </c>
      <c r="C80" s="3"/>
      <c r="D80" s="3"/>
      <c r="E80" s="3"/>
      <c r="F80" s="3"/>
      <c r="G80" s="3"/>
      <c r="H80" s="3"/>
    </row>
    <row r="81" spans="1:3">
      <c r="A81" s="681" t="s">
        <v>83</v>
      </c>
      <c r="B81" s="3"/>
      <c r="C81" s="3"/>
    </row>
    <row r="82" spans="1:3" ht="16.5" customHeight="1">
      <c r="A82" s="1833" t="s">
        <v>85</v>
      </c>
      <c r="B82" s="1834"/>
      <c r="C82" s="3"/>
    </row>
    <row r="83" spans="1:3" ht="14.4">
      <c r="A83" s="693" t="s">
        <v>86</v>
      </c>
      <c r="B83" s="689" t="s">
        <v>87</v>
      </c>
      <c r="C83" s="3"/>
    </row>
    <row r="84" spans="1:3" ht="15" thickBot="1">
      <c r="A84" s="698" t="s">
        <v>88</v>
      </c>
      <c r="B84" s="695" t="s">
        <v>89</v>
      </c>
      <c r="C84" s="3"/>
    </row>
    <row r="85" spans="1:3" ht="15" thickTop="1">
      <c r="A85" s="714" t="str">
        <f>'SOGR Supporting CP-CP'!A114</f>
        <v>Name of Roadway 1</v>
      </c>
      <c r="B85" s="731" t="str">
        <f>IF('SOGR Supporting CP-CP'!G114=1,"Very Poor",IF('SOGR Supporting CP-CP'!G114=2,"Poor",IF('SOGR Supporting CP-CP'!G114=3,"Fair",IF('SOGR Supporting CP-CP'!G114=4,"Satisfactory",IF('SOGR Supporting CP-CP'!G114=5,"Good","N/A")))))</f>
        <v>N/A</v>
      </c>
      <c r="C85" s="580"/>
    </row>
    <row r="86" spans="1:3" ht="14.4">
      <c r="A86" s="710" t="str">
        <f>'SOGR Supporting CP-CP'!A115</f>
        <v>Name of Roadway 1</v>
      </c>
      <c r="B86" s="735" t="str">
        <f>IF('SOGR Supporting CP-CP'!G115=1,"Very Poor",IF('SOGR Supporting CP-CP'!G115=2,"Poor",IF('SOGR Supporting CP-CP'!G115=3,"Fair",IF('SOGR Supporting CP-CP'!G115=4,"Satisfactory",IF('SOGR Supporting CP-CP'!G115=5,"Good","N/A")))))</f>
        <v>N/A</v>
      </c>
      <c r="C86" s="3"/>
    </row>
    <row r="87" spans="1:3">
      <c r="A87" s="681" t="s">
        <v>84</v>
      </c>
      <c r="B87" s="3"/>
      <c r="C87" s="3"/>
    </row>
    <row r="88" spans="1:3" ht="16.5" customHeight="1">
      <c r="A88" s="1833" t="s">
        <v>85</v>
      </c>
      <c r="B88" s="1834"/>
      <c r="C88" s="3"/>
    </row>
    <row r="89" spans="1:3" ht="14.4">
      <c r="A89" s="693" t="s">
        <v>86</v>
      </c>
      <c r="B89" s="689" t="s">
        <v>87</v>
      </c>
      <c r="C89" s="3"/>
    </row>
    <row r="90" spans="1:3" ht="21" customHeight="1" thickBot="1">
      <c r="A90" s="698" t="s">
        <v>88</v>
      </c>
      <c r="B90" s="695" t="s">
        <v>89</v>
      </c>
      <c r="C90" s="3"/>
    </row>
    <row r="91" spans="1:3" ht="15" thickTop="1">
      <c r="A91" s="714" t="str">
        <f>'SOGR Supporting AP-AP'!A6</f>
        <v>Name of Roadway</v>
      </c>
      <c r="B91" s="731" t="str">
        <f>IF('SOGR Supporting AP-AP'!G114=1,"Very Poor",IF('SOGR Supporting AP-AP'!G114=2,"Poor",IF('SOGR Supporting AP-AP'!G114=3,"Fair",IF('SOGR Supporting AP-AP'!G114=4,"Satisfactory",IF('SOGR Supporting AP-AP'!G114=5,"Good","N/A")))))</f>
        <v>N/A</v>
      </c>
      <c r="C91" s="740"/>
    </row>
    <row r="92" spans="1:3" ht="14.4">
      <c r="A92" s="710" t="str">
        <f>'SOGR Supporting AP-AP'!A7</f>
        <v>Name of Roadway</v>
      </c>
      <c r="B92" s="735" t="str">
        <f>IF('SOGR Supporting AP-AP'!G115=1,"Very Poor",IF('SOGR Supporting AP-AP'!G115=2,"Poor",IF('SOGR Supporting AP-AP'!G115=3,"Fair",IF('SOGR Supporting AP-AP'!G115=4,"Satisfactory",IF('SOGR Supporting AP-AP'!G115=5,"Good","N/A")))))</f>
        <v>N/A</v>
      </c>
      <c r="C92" s="3"/>
    </row>
    <row r="96" spans="1:3">
      <c r="A96" s="681" t="s">
        <v>72</v>
      </c>
      <c r="B96" s="3"/>
      <c r="C96" s="3"/>
    </row>
    <row r="97" spans="1:4" ht="14.4">
      <c r="A97" s="1830" t="s">
        <v>91</v>
      </c>
      <c r="B97" s="1830"/>
      <c r="C97" s="1830"/>
      <c r="D97" s="1830"/>
    </row>
    <row r="98" spans="1:4" ht="15" thickBot="1">
      <c r="A98" s="698" t="s">
        <v>92</v>
      </c>
      <c r="B98" s="695" t="s">
        <v>93</v>
      </c>
      <c r="C98" s="695" t="s">
        <v>94</v>
      </c>
      <c r="D98" s="695" t="str">
        <f>'SOGR Supporting AP-CP'!D136</f>
        <v>Name of Roadway</v>
      </c>
    </row>
    <row r="99" spans="1:4" ht="15" thickTop="1">
      <c r="A99" s="714" t="s">
        <v>95</v>
      </c>
      <c r="B99" s="741">
        <f>'SOGR Supporting AP-CP'!C137</f>
        <v>0.24</v>
      </c>
      <c r="C99" s="732">
        <f>'SOGR Supporting AP-CP'!B137</f>
        <v>0</v>
      </c>
      <c r="D99" s="742">
        <f>'SOGR Supporting AP-CP'!D137</f>
        <v>0</v>
      </c>
    </row>
    <row r="100" spans="1:4" ht="14.4">
      <c r="A100" s="710" t="s">
        <v>96</v>
      </c>
      <c r="B100" s="743">
        <f>'SOGR Supporting AP-CP'!C138</f>
        <v>0.4</v>
      </c>
      <c r="C100" s="736">
        <f>'SOGR Supporting AP-CP'!B138</f>
        <v>0</v>
      </c>
      <c r="D100" s="744">
        <f>'SOGR Supporting AP-CP'!D138</f>
        <v>0</v>
      </c>
    </row>
    <row r="101" spans="1:4" ht="14.4">
      <c r="A101" s="710" t="s">
        <v>97</v>
      </c>
      <c r="B101" s="743">
        <f>'SOGR Supporting AP-CP'!C139</f>
        <v>0.52</v>
      </c>
      <c r="C101" s="736">
        <f>'SOGR Supporting AP-CP'!B139</f>
        <v>0.25</v>
      </c>
      <c r="D101" s="744">
        <f>'SOGR Supporting AP-CP'!D139</f>
        <v>0</v>
      </c>
    </row>
    <row r="102" spans="1:4" ht="14.4">
      <c r="A102" s="710" t="s">
        <v>98</v>
      </c>
      <c r="B102" s="743">
        <f>'SOGR Supporting AP-CP'!C140</f>
        <v>0.64</v>
      </c>
      <c r="C102" s="736">
        <f>'SOGR Supporting AP-CP'!B140</f>
        <v>1</v>
      </c>
      <c r="D102" s="744">
        <f>'SOGR Supporting AP-CP'!D140</f>
        <v>0</v>
      </c>
    </row>
    <row r="103" spans="1:4" ht="14.4">
      <c r="A103" s="710" t="s">
        <v>99</v>
      </c>
      <c r="B103" s="743">
        <f>'SOGR Supporting AP-CP'!C141</f>
        <v>0.8</v>
      </c>
      <c r="C103" s="736">
        <f>'SOGR Supporting AP-CP'!B141</f>
        <v>1.5</v>
      </c>
      <c r="D103" s="744">
        <f>'SOGR Supporting AP-CP'!D141</f>
        <v>0</v>
      </c>
    </row>
    <row r="104" spans="1:4" ht="14.4">
      <c r="A104" s="710" t="s">
        <v>100</v>
      </c>
      <c r="B104" s="743">
        <f>'SOGR Supporting AP-CP'!C142</f>
        <v>1</v>
      </c>
      <c r="C104" s="736">
        <f>'SOGR Supporting AP-CP'!B142</f>
        <v>3</v>
      </c>
      <c r="D104" s="744">
        <f>'SOGR Supporting AP-CP'!D142</f>
        <v>0</v>
      </c>
    </row>
    <row r="105" spans="1:4">
      <c r="A105" s="681" t="s">
        <v>83</v>
      </c>
      <c r="B105" s="3"/>
      <c r="C105" s="3"/>
      <c r="D105" s="3"/>
    </row>
    <row r="106" spans="1:4" ht="14.4">
      <c r="A106" s="1830" t="s">
        <v>91</v>
      </c>
      <c r="B106" s="1830"/>
      <c r="C106" s="1830"/>
      <c r="D106" s="1830"/>
    </row>
    <row r="107" spans="1:4" ht="15" thickBot="1">
      <c r="A107" s="698" t="s">
        <v>92</v>
      </c>
      <c r="B107" s="695" t="s">
        <v>93</v>
      </c>
      <c r="C107" s="695" t="s">
        <v>94</v>
      </c>
      <c r="D107" s="695" t="str">
        <f>'SOGR Supporting CP-CP'!A6</f>
        <v>Name of Roadway 1</v>
      </c>
    </row>
    <row r="108" spans="1:4" ht="15" thickTop="1">
      <c r="A108" s="714" t="s">
        <v>95</v>
      </c>
      <c r="B108" s="741">
        <f>'SOGR Supporting CP-CP'!C137</f>
        <v>0.24</v>
      </c>
      <c r="C108" s="732">
        <f>'SOGR Supporting CP-CP'!B137</f>
        <v>0</v>
      </c>
      <c r="D108" s="742">
        <f>'SOGR Supporting CP-CP'!D137</f>
        <v>0</v>
      </c>
    </row>
    <row r="109" spans="1:4" ht="14.4">
      <c r="A109" s="710" t="s">
        <v>96</v>
      </c>
      <c r="B109" s="743">
        <f>'SOGR Supporting CP-CP'!C138</f>
        <v>0.4</v>
      </c>
      <c r="C109" s="736">
        <f>'SOGR Supporting CP-CP'!B138</f>
        <v>0</v>
      </c>
      <c r="D109" s="744">
        <f>'SOGR Supporting CP-CP'!D138</f>
        <v>0</v>
      </c>
    </row>
    <row r="110" spans="1:4" ht="14.4">
      <c r="A110" s="710" t="s">
        <v>97</v>
      </c>
      <c r="B110" s="743">
        <f>'SOGR Supporting CP-CP'!C139</f>
        <v>0.52</v>
      </c>
      <c r="C110" s="736">
        <f>'SOGR Supporting CP-CP'!B139</f>
        <v>0.25</v>
      </c>
      <c r="D110" s="744">
        <f>'SOGR Supporting CP-CP'!D139</f>
        <v>0</v>
      </c>
    </row>
    <row r="111" spans="1:4" ht="14.4">
      <c r="A111" s="710" t="s">
        <v>98</v>
      </c>
      <c r="B111" s="743">
        <f>'SOGR Supporting CP-CP'!C140</f>
        <v>0.64</v>
      </c>
      <c r="C111" s="736">
        <f>'SOGR Supporting CP-CP'!B140</f>
        <v>1</v>
      </c>
      <c r="D111" s="744">
        <f>'SOGR Supporting CP-CP'!D140</f>
        <v>0</v>
      </c>
    </row>
    <row r="112" spans="1:4" ht="14.4">
      <c r="A112" s="710" t="s">
        <v>99</v>
      </c>
      <c r="B112" s="743">
        <f>'SOGR Supporting CP-CP'!C141</f>
        <v>0.8</v>
      </c>
      <c r="C112" s="736">
        <f>'SOGR Supporting CP-CP'!B141</f>
        <v>1.5</v>
      </c>
      <c r="D112" s="744">
        <f>'SOGR Supporting CP-CP'!D141</f>
        <v>0</v>
      </c>
    </row>
    <row r="113" spans="1:6" ht="14.4">
      <c r="A113" s="710" t="s">
        <v>100</v>
      </c>
      <c r="B113" s="743">
        <f>'SOGR Supporting CP-CP'!C142</f>
        <v>1</v>
      </c>
      <c r="C113" s="736">
        <f>'SOGR Supporting CP-CP'!B142</f>
        <v>3</v>
      </c>
      <c r="D113" s="744">
        <f>'SOGR Supporting CP-CP'!D142</f>
        <v>0</v>
      </c>
      <c r="E113" s="3"/>
      <c r="F113" s="3"/>
    </row>
    <row r="114" spans="1:6">
      <c r="A114" s="681" t="s">
        <v>84</v>
      </c>
      <c r="B114" s="3"/>
      <c r="C114" s="3"/>
      <c r="D114" s="3"/>
      <c r="E114" s="3"/>
      <c r="F114" s="3"/>
    </row>
    <row r="115" spans="1:6" ht="14.4">
      <c r="A115" s="1830" t="s">
        <v>91</v>
      </c>
      <c r="B115" s="1830"/>
      <c r="C115" s="1830"/>
      <c r="D115" s="1830"/>
      <c r="E115" s="3"/>
      <c r="F115" s="3"/>
    </row>
    <row r="116" spans="1:6" ht="15" thickBot="1">
      <c r="A116" s="698" t="s">
        <v>92</v>
      </c>
      <c r="B116" s="695" t="s">
        <v>93</v>
      </c>
      <c r="C116" s="695" t="s">
        <v>94</v>
      </c>
      <c r="D116" s="695" t="str">
        <f>'SOGR Supporting AP-AP'!A6</f>
        <v>Name of Roadway</v>
      </c>
      <c r="E116" s="3"/>
      <c r="F116" s="3"/>
    </row>
    <row r="117" spans="1:6" ht="15" thickTop="1">
      <c r="A117" s="714" t="s">
        <v>95</v>
      </c>
      <c r="B117" s="741">
        <f>'SOGR Supporting AP-AP'!C137</f>
        <v>0.24</v>
      </c>
      <c r="C117" s="732">
        <f>'SOGR Supporting AP-AP'!B137</f>
        <v>0</v>
      </c>
      <c r="D117" s="742">
        <f>'SOGR Supporting AP-AP'!D137</f>
        <v>0</v>
      </c>
      <c r="E117" s="3"/>
      <c r="F117" s="3"/>
    </row>
    <row r="118" spans="1:6" ht="14.4">
      <c r="A118" s="710" t="s">
        <v>96</v>
      </c>
      <c r="B118" s="743">
        <f>'SOGR Supporting AP-AP'!C138</f>
        <v>0.4</v>
      </c>
      <c r="C118" s="736">
        <f>'SOGR Supporting AP-AP'!B138</f>
        <v>0</v>
      </c>
      <c r="D118" s="744">
        <f>'SOGR Supporting AP-AP'!D138</f>
        <v>0</v>
      </c>
      <c r="E118" s="3"/>
      <c r="F118" s="3"/>
    </row>
    <row r="119" spans="1:6" ht="14.4">
      <c r="A119" s="710" t="s">
        <v>97</v>
      </c>
      <c r="B119" s="743">
        <f>'SOGR Supporting AP-AP'!C139</f>
        <v>0.52</v>
      </c>
      <c r="C119" s="736">
        <f>'SOGR Supporting AP-AP'!B139</f>
        <v>0.25</v>
      </c>
      <c r="D119" s="744">
        <f>'SOGR Supporting AP-AP'!D139</f>
        <v>0</v>
      </c>
      <c r="E119" s="3"/>
      <c r="F119" s="3"/>
    </row>
    <row r="120" spans="1:6" ht="14.4">
      <c r="A120" s="710" t="s">
        <v>98</v>
      </c>
      <c r="B120" s="743">
        <f>'SOGR Supporting AP-AP'!C140</f>
        <v>0.64</v>
      </c>
      <c r="C120" s="736">
        <f>'SOGR Supporting AP-AP'!B140</f>
        <v>1</v>
      </c>
      <c r="D120" s="744">
        <f>'SOGR Supporting AP-AP'!D140</f>
        <v>0</v>
      </c>
      <c r="E120" s="3"/>
      <c r="F120" s="3"/>
    </row>
    <row r="121" spans="1:6" ht="14.4">
      <c r="A121" s="710" t="s">
        <v>99</v>
      </c>
      <c r="B121" s="743">
        <f>'SOGR Supporting AP-AP'!C141</f>
        <v>0.8</v>
      </c>
      <c r="C121" s="736">
        <f>'SOGR Supporting AP-AP'!B141</f>
        <v>1.5</v>
      </c>
      <c r="D121" s="744">
        <f>'SOGR Supporting AP-AP'!D141</f>
        <v>0</v>
      </c>
      <c r="E121" s="3"/>
      <c r="F121" s="3"/>
    </row>
    <row r="122" spans="1:6" ht="14.4">
      <c r="A122" s="710" t="s">
        <v>100</v>
      </c>
      <c r="B122" s="743">
        <f>'SOGR Supporting AP-AP'!C142</f>
        <v>1</v>
      </c>
      <c r="C122" s="736">
        <f>'SOGR Supporting AP-AP'!B142</f>
        <v>3</v>
      </c>
      <c r="D122" s="744">
        <f>'SOGR Supporting AP-AP'!D142</f>
        <v>0</v>
      </c>
      <c r="E122" s="3"/>
      <c r="F122" s="3"/>
    </row>
    <row r="123" spans="1:6" ht="14.4">
      <c r="A123" s="745" t="s">
        <v>101</v>
      </c>
      <c r="B123" s="3"/>
      <c r="C123" s="3"/>
      <c r="D123" s="3"/>
      <c r="E123" s="3"/>
      <c r="F123" s="3"/>
    </row>
    <row r="126" spans="1:6">
      <c r="A126" s="681" t="s">
        <v>72</v>
      </c>
      <c r="B126" s="3"/>
      <c r="C126" s="3"/>
      <c r="D126" s="3"/>
      <c r="E126" s="3"/>
      <c r="F126" s="3"/>
    </row>
    <row r="127" spans="1:6" ht="14.4">
      <c r="A127" s="1830" t="s">
        <v>102</v>
      </c>
      <c r="B127" s="1830"/>
      <c r="C127" s="1830"/>
      <c r="D127" s="1830"/>
      <c r="E127" s="1830"/>
      <c r="F127" s="1830"/>
    </row>
    <row r="128" spans="1:6" ht="15" thickBot="1">
      <c r="A128" s="698" t="s">
        <v>74</v>
      </c>
      <c r="B128" s="698" t="s">
        <v>76</v>
      </c>
      <c r="C128" s="695" t="s">
        <v>103</v>
      </c>
      <c r="D128" s="695" t="s">
        <v>104</v>
      </c>
      <c r="E128" s="695" t="s">
        <v>105</v>
      </c>
      <c r="F128" s="695" t="s">
        <v>106</v>
      </c>
    </row>
    <row r="129" spans="1:44" ht="15" thickTop="1">
      <c r="A129" s="714" t="str">
        <f>'SOGR Supporting AP-CP'!$A$6</f>
        <v>Name of Roadway</v>
      </c>
      <c r="B129" s="714" t="s">
        <v>84</v>
      </c>
      <c r="C129" s="731">
        <f>IF(_xlfn.XLOOKUP("Rehab",'SOGR Supporting AP-CP'!$D$14:$D$54,'SOGR Supporting AP-CP'!$A$14:$A$54,,0)&lt;'Major Assumption Key'!$B$4,_xlfn.XLOOKUP("Rehab",'SOGR Supporting AP-CP'!$D$14:$D$54,'SOGR Supporting AP-CP'!$A$14:$A$54,,0)+7,_xlfn.XLOOKUP("Rehab",'SOGR Supporting AP-CP'!$D$14:$D$54,'SOGR Supporting AP-CP'!$A$14:$A$54,,0))</f>
        <v>2025</v>
      </c>
      <c r="D129" s="731">
        <f>C129+7</f>
        <v>2032</v>
      </c>
      <c r="E129" s="731">
        <f t="shared" ref="E129:F129" si="0">D129+7</f>
        <v>2039</v>
      </c>
      <c r="F129" s="731">
        <f t="shared" si="0"/>
        <v>2046</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681" t="s">
        <v>83</v>
      </c>
      <c r="B130" s="3"/>
      <c r="C130" s="3"/>
      <c r="D130" s="746"/>
      <c r="E130" s="74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1830" t="s">
        <v>102</v>
      </c>
      <c r="B131" s="1830"/>
      <c r="C131" s="1830"/>
      <c r="D131" s="1830"/>
      <c r="E131" s="1830"/>
      <c r="F131" s="1830"/>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698" t="s">
        <v>74</v>
      </c>
      <c r="B132" s="698" t="s">
        <v>76</v>
      </c>
      <c r="C132" s="695" t="s">
        <v>103</v>
      </c>
      <c r="D132" s="695" t="s">
        <v>104</v>
      </c>
      <c r="E132" s="695" t="s">
        <v>105</v>
      </c>
      <c r="F132" s="695" t="s">
        <v>106</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714" t="str">
        <f>'SOGR Supporting CP-CP'!A6</f>
        <v>Name of Roadway 1</v>
      </c>
      <c r="B133" s="714" t="s">
        <v>107</v>
      </c>
      <c r="C133" s="731">
        <f>IF(_xlfn.XLOOKUP("Rehab",'SOGR Supporting CP-CP'!D14:D54,'SOGR Supporting CP-CP'!A14:A54,,0)&lt;'Major Assumption Key'!$B$4,_xlfn.XLOOKUP("Rehab",'SOGR Supporting CP-CP'!D14:D54,'SOGR Supporting CP-CP'!A14:A54,,0)+15,_xlfn.XLOOKUP("Rehab",'SOGR Supporting CP-CP'!D14:D54,'SOGR Supporting CP-CP'!A14:A54,,0))</f>
        <v>2025</v>
      </c>
      <c r="D133" s="731">
        <f>C133+15</f>
        <v>2040</v>
      </c>
      <c r="E133" s="731">
        <f t="shared" ref="E133:F133" si="2">D133+15</f>
        <v>2055</v>
      </c>
      <c r="F133" s="731">
        <f t="shared" si="2"/>
        <v>2070</v>
      </c>
      <c r="G133" s="682"/>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681" t="s">
        <v>84</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1830" t="s">
        <v>102</v>
      </c>
      <c r="B135" s="1830"/>
      <c r="C135" s="1830"/>
      <c r="D135" s="1830"/>
      <c r="E135" s="1830"/>
      <c r="F135" s="1830"/>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698" t="s">
        <v>74</v>
      </c>
      <c r="B136" s="698" t="s">
        <v>76</v>
      </c>
      <c r="C136" s="695" t="s">
        <v>103</v>
      </c>
      <c r="D136" s="695" t="s">
        <v>104</v>
      </c>
      <c r="E136" s="695" t="s">
        <v>105</v>
      </c>
      <c r="F136" s="694" t="s">
        <v>106</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714" t="str">
        <f>'SOGR Supporting AP-AP'!A6</f>
        <v>Name of Roadway</v>
      </c>
      <c r="B137" s="714" t="s">
        <v>84</v>
      </c>
      <c r="C137" s="731">
        <f>IF(_xlfn.XLOOKUP("Rehab",'SOGR Supporting AP-AP'!D14:D54,'SOGR Supporting AP-AP'!A14:A54,,0)&lt;'Major Assumption Key'!$B$4,_xlfn.XLOOKUP("Rehab",'SOGR Supporting AP-AP'!D14:D54,'SOGR Supporting AP-AP'!A14:A54,,0)+7,_xlfn.XLOOKUP("Rehab",'SOGR Supporting AP-AP'!D14:D54,'SOGR Supporting AP-AP'!A14:A54,,0))</f>
        <v>2024</v>
      </c>
      <c r="D137" s="731">
        <f>C137+7</f>
        <v>2031</v>
      </c>
      <c r="E137" s="731">
        <f t="shared" ref="E137:F137" si="3">D137+7</f>
        <v>2038</v>
      </c>
      <c r="F137" s="748">
        <f t="shared" si="3"/>
        <v>2045</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102</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681" t="s">
        <v>72</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1833" t="s">
        <v>108</v>
      </c>
      <c r="B142" s="1840"/>
      <c r="C142" s="1840"/>
      <c r="D142" s="1840"/>
      <c r="E142" s="1840"/>
      <c r="F142" s="1840"/>
      <c r="G142" s="1840"/>
      <c r="H142" s="1834"/>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1828" t="s">
        <v>74</v>
      </c>
      <c r="B143" s="1828" t="s">
        <v>79</v>
      </c>
      <c r="C143" s="1828" t="s">
        <v>109</v>
      </c>
      <c r="D143" s="1828" t="s">
        <v>110</v>
      </c>
      <c r="E143" s="1828" t="s">
        <v>111</v>
      </c>
      <c r="F143" s="1828" t="s">
        <v>112</v>
      </c>
      <c r="G143" s="1828" t="s">
        <v>113</v>
      </c>
      <c r="H143" s="1828" t="s">
        <v>114</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1829"/>
      <c r="B144" s="1829"/>
      <c r="C144" s="1829"/>
      <c r="D144" s="1829"/>
      <c r="E144" s="1829"/>
      <c r="F144" s="1829"/>
      <c r="G144" s="1829"/>
      <c r="H144" s="1829"/>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714" t="str">
        <f>'SOGR Supporting AP-CP'!$A$6</f>
        <v>Name of Roadway</v>
      </c>
      <c r="B145" s="732">
        <f>SUM('SOGR Supporting AP-CP'!H108:H109)</f>
        <v>0</v>
      </c>
      <c r="C145" s="708">
        <f>ROUND(_xlfn.XLOOKUP(C129,'SOGR Supporting AP-CP'!$A$14:$A$54,'SOGR Supporting AP-CP'!$F$14:$F$54,,0),-3)</f>
        <v>0</v>
      </c>
      <c r="D145" s="708">
        <f>ROUND(_xlfn.XLOOKUP(D129,'SOGR Supporting AP-CP'!$A$14:$A$54,'SOGR Supporting AP-CP'!$F$14:$F$54,,0),-3)</f>
        <v>0</v>
      </c>
      <c r="E145" s="708">
        <f>ROUND(_xlfn.XLOOKUP(E129,'SOGR Supporting AP-CP'!$A$14:$A$54,'SOGR Supporting AP-CP'!$F$14:$F$54,,0),-3)</f>
        <v>0</v>
      </c>
      <c r="F145" s="708">
        <f>ROUND(_xlfn.XLOOKUP(F129,'SOGR Supporting AP-CP'!$A$14:$A$54,'SOGR Supporting AP-CP'!$F$14:$F$54,,0),-3)</f>
        <v>0</v>
      </c>
      <c r="G145" s="708">
        <f>ROUND(_xlfn.XLOOKUP('Major Assumption Key'!$B$6,'SOGR Supporting AP-CP'!$A$14:$A$54,'SOGR Supporting AP-CP'!$G$14:$G$54,,0),-3)</f>
        <v>0</v>
      </c>
      <c r="H145" s="708">
        <f>ROUND('SOGR Supporting AP-CP'!$F$55+'SOGR Supporting AP-CP'!$G$55,-3)</f>
        <v>0</v>
      </c>
    </row>
    <row r="146" spans="1:8">
      <c r="A146" s="681" t="s">
        <v>83</v>
      </c>
      <c r="B146" s="3"/>
      <c r="C146" s="3"/>
      <c r="D146" s="3"/>
      <c r="E146" s="3"/>
      <c r="F146" s="3"/>
      <c r="G146" s="3"/>
      <c r="H146" s="3"/>
    </row>
    <row r="147" spans="1:8" ht="14.4">
      <c r="A147" s="1830" t="s">
        <v>115</v>
      </c>
      <c r="B147" s="1830"/>
      <c r="C147" s="1830"/>
      <c r="D147" s="1830"/>
      <c r="E147" s="1830"/>
      <c r="F147" s="1830"/>
      <c r="G147" s="1830"/>
      <c r="H147" s="1830"/>
    </row>
    <row r="148" spans="1:8" ht="29.4" thickBot="1">
      <c r="A148" s="698" t="s">
        <v>74</v>
      </c>
      <c r="B148" s="695" t="s">
        <v>79</v>
      </c>
      <c r="C148" s="695" t="s">
        <v>116</v>
      </c>
      <c r="D148" s="695" t="s">
        <v>117</v>
      </c>
      <c r="E148" s="695" t="s">
        <v>118</v>
      </c>
      <c r="F148" s="695" t="s">
        <v>119</v>
      </c>
      <c r="G148" s="695" t="s">
        <v>113</v>
      </c>
      <c r="H148" s="695" t="s">
        <v>114</v>
      </c>
    </row>
    <row r="149" spans="1:8" ht="15" thickTop="1">
      <c r="A149" s="714" t="str">
        <f>'SOGR Supporting CP-CP'!A6</f>
        <v>Name of Roadway 1</v>
      </c>
      <c r="B149" s="732">
        <f>SUM('SOGR Supporting CP-CP'!H108:H109)</f>
        <v>0</v>
      </c>
      <c r="C149" s="708">
        <f>IFERROR(ROUND(_xlfn.XLOOKUP(C129,'SOGR Supporting CP-CP'!$A$14:$A$54,'SOGR Supporting CP-CP'!$F$14:$F$54,,0),-3),0)</f>
        <v>0</v>
      </c>
      <c r="D149" s="708">
        <f>IFERROR(ROUND(_xlfn.XLOOKUP(D129,'SOGR Supporting CP-CP'!$A$14:$A$54,'SOGR Supporting CP-CP'!$F$14:$F$54,,0),-3),0)</f>
        <v>0</v>
      </c>
      <c r="E149" s="708">
        <f>IFERROR(ROUND(_xlfn.XLOOKUP(E129,'SOGR Supporting CP-CP'!$A$14:$A$54,'SOGR Supporting CP-CP'!$F$14:$F$54,,0),-3),0)</f>
        <v>0</v>
      </c>
      <c r="F149" s="708">
        <f>IFERROR(ROUND(_xlfn.XLOOKUP(F129,'SOGR Supporting CP-CP'!$A$14:$A$54,'SOGR Supporting CP-CP'!$F$14:$F$54,,0),-3),0)</f>
        <v>0</v>
      </c>
      <c r="G149" s="708">
        <f>ROUND(_xlfn.XLOOKUP('Major Assumption Key'!$B$6,'SOGR Supporting CP-CP'!$A$14:$A$54,'SOGR Supporting CP-CP'!$G$14:$G$54,,0),-3)</f>
        <v>0</v>
      </c>
      <c r="H149" s="708">
        <f>ROUND('SOGR Supporting CP-CP'!F55+'SOGR Supporting CP-CP'!G55,-3)</f>
        <v>0</v>
      </c>
    </row>
    <row r="150" spans="1:8">
      <c r="A150" s="681" t="s">
        <v>84</v>
      </c>
      <c r="B150" s="3"/>
      <c r="C150" s="3"/>
      <c r="D150" s="3"/>
      <c r="E150" s="3"/>
      <c r="F150" s="3"/>
      <c r="G150" s="3"/>
      <c r="H150" s="3"/>
    </row>
    <row r="151" spans="1:8" ht="16.5" customHeight="1">
      <c r="A151" s="1830" t="s">
        <v>108</v>
      </c>
      <c r="B151" s="1830"/>
      <c r="C151" s="1830"/>
      <c r="D151" s="1830"/>
      <c r="E151" s="1830"/>
      <c r="F151" s="1830"/>
      <c r="G151" s="1830"/>
      <c r="H151" s="1830"/>
    </row>
    <row r="152" spans="1:8" ht="17.25" customHeight="1">
      <c r="A152" s="1828" t="s">
        <v>74</v>
      </c>
      <c r="B152" s="1828" t="s">
        <v>79</v>
      </c>
      <c r="C152" s="1828" t="s">
        <v>109</v>
      </c>
      <c r="D152" s="1828" t="s">
        <v>110</v>
      </c>
      <c r="E152" s="1828" t="s">
        <v>111</v>
      </c>
      <c r="F152" s="1828" t="s">
        <v>112</v>
      </c>
      <c r="G152" s="1828" t="s">
        <v>113</v>
      </c>
      <c r="H152" s="1828" t="s">
        <v>114</v>
      </c>
    </row>
    <row r="153" spans="1:8" ht="14.4" thickBot="1">
      <c r="A153" s="1829"/>
      <c r="B153" s="1829"/>
      <c r="C153" s="1829"/>
      <c r="D153" s="1829"/>
      <c r="E153" s="1829"/>
      <c r="F153" s="1829"/>
      <c r="G153" s="1829"/>
      <c r="H153" s="1829"/>
    </row>
    <row r="154" spans="1:8" ht="15" thickTop="1">
      <c r="A154" s="714" t="str">
        <f>'SOGR Supporting AP-AP'!A6</f>
        <v>Name of Roadway</v>
      </c>
      <c r="B154" s="732">
        <f>SUM('SOGR Supporting AP-AP'!H108:H109)</f>
        <v>0</v>
      </c>
      <c r="C154" s="708">
        <f>ROUND(_xlfn.XLOOKUP(C137,'SOGR Supporting AP-AP'!$A$14:$A$54,'SOGR Supporting AP-AP'!$F$14:$F$54,,0),-3)</f>
        <v>0</v>
      </c>
      <c r="D154" s="708">
        <f>ROUND(_xlfn.XLOOKUP(D137,'SOGR Supporting AP-AP'!$A$14:$A$54,'SOGR Supporting AP-AP'!$F$14:$F$54,,0),-3)</f>
        <v>0</v>
      </c>
      <c r="E154" s="708">
        <f>ROUND(_xlfn.XLOOKUP(E137,'SOGR Supporting AP-AP'!$A$14:$A$54,'SOGR Supporting AP-AP'!$F$14:$F$54,,0),-3)</f>
        <v>0</v>
      </c>
      <c r="F154" s="708">
        <f>ROUND(_xlfn.XLOOKUP(F137,'SOGR Supporting AP-AP'!$A$14:$A$54,'SOGR Supporting AP-AP'!$F$14:$F$54,,0),-3)</f>
        <v>0</v>
      </c>
      <c r="G154" s="708">
        <f>ROUND(_xlfn.XLOOKUP('Major Assumption Key'!$B$6,'SOGR Supporting AP-AP'!A14:A54,'SOGR Supporting AP-AP'!G14:G54,,0),-3)</f>
        <v>0</v>
      </c>
      <c r="H154" s="708">
        <f>ROUND('SOGR Supporting AP-AP'!F55+'SOGR Supporting AP-AP'!G55,-3)</f>
        <v>0</v>
      </c>
    </row>
    <row r="155" spans="1:8" ht="13.5" customHeight="1">
      <c r="A155" s="749"/>
      <c r="B155" s="750"/>
      <c r="C155" s="751"/>
      <c r="D155" s="746"/>
      <c r="E155" s="746"/>
      <c r="F155" s="752"/>
      <c r="G155" s="752"/>
      <c r="H155" s="752"/>
    </row>
    <row r="156" spans="1:8" ht="13.5" customHeight="1">
      <c r="A156" s="749"/>
      <c r="B156" s="750"/>
      <c r="C156" s="751"/>
      <c r="D156" s="746"/>
      <c r="E156" s="746"/>
      <c r="F156" s="752"/>
      <c r="G156" s="752"/>
      <c r="H156" s="752"/>
    </row>
    <row r="157" spans="1:8">
      <c r="A157" s="681" t="s">
        <v>72</v>
      </c>
      <c r="B157" s="3"/>
      <c r="C157" s="3"/>
      <c r="D157" s="3"/>
      <c r="E157" s="3"/>
      <c r="F157" s="3"/>
      <c r="G157" s="3"/>
      <c r="H157" s="3"/>
    </row>
    <row r="158" spans="1:8" ht="14.4">
      <c r="A158" s="1830" t="s">
        <v>120</v>
      </c>
      <c r="B158" s="1830"/>
      <c r="C158" s="1830"/>
      <c r="D158" s="1830"/>
      <c r="E158" s="1830"/>
      <c r="F158" s="1830"/>
      <c r="G158" s="1830"/>
      <c r="H158" s="3"/>
    </row>
    <row r="159" spans="1:8" ht="14.4">
      <c r="A159" s="1831" t="s">
        <v>74</v>
      </c>
      <c r="B159" s="1828" t="s">
        <v>121</v>
      </c>
      <c r="C159" s="1828"/>
      <c r="D159" s="1828"/>
      <c r="E159" s="1828" t="s">
        <v>122</v>
      </c>
      <c r="F159" s="1828"/>
      <c r="G159" s="1828"/>
      <c r="H159" s="3"/>
    </row>
    <row r="160" spans="1:8" ht="29.4" thickBot="1">
      <c r="A160" s="1832"/>
      <c r="B160" s="695" t="s">
        <v>123</v>
      </c>
      <c r="C160" s="695" t="s">
        <v>124</v>
      </c>
      <c r="D160" s="695" t="s">
        <v>125</v>
      </c>
      <c r="E160" s="695" t="s">
        <v>123</v>
      </c>
      <c r="F160" s="695" t="s">
        <v>124</v>
      </c>
      <c r="G160" s="695" t="s">
        <v>125</v>
      </c>
      <c r="H160" s="3"/>
    </row>
    <row r="161" spans="1:11" ht="15" thickTop="1">
      <c r="A161" s="714" t="str">
        <f>'SOGR Supporting AP-CP'!$A$6</f>
        <v>Name of Roadway</v>
      </c>
      <c r="B161" s="708">
        <f>ROUND('SOGR Supporting AP-CP'!E55,-3)</f>
        <v>0</v>
      </c>
      <c r="C161" s="708">
        <f>ROUND('SOGR Supporting AP-CP'!F55+'SOGR Supporting AP-CP'!G55,-3)</f>
        <v>0</v>
      </c>
      <c r="D161" s="708">
        <f>ROUND(B161+C161,-3)</f>
        <v>0</v>
      </c>
      <c r="E161" s="708">
        <f>ROUND('SOGR Supporting AP-CP'!E101,-3)</f>
        <v>0</v>
      </c>
      <c r="F161" s="731">
        <f>ROUND('SOGR Supporting AP-CP'!F101+'SOGR Supporting AP-CP'!G101,-3)</f>
        <v>0</v>
      </c>
      <c r="G161" s="708">
        <f>ROUND(E161+F161,-3)</f>
        <v>0</v>
      </c>
      <c r="H161" s="3"/>
      <c r="I161" s="3"/>
      <c r="J161" s="3"/>
      <c r="K161" s="3"/>
    </row>
    <row r="162" spans="1:11">
      <c r="A162" s="681" t="s">
        <v>84</v>
      </c>
      <c r="B162" s="3"/>
      <c r="C162" s="3"/>
      <c r="D162" s="3"/>
      <c r="E162" s="3"/>
      <c r="F162" s="3"/>
      <c r="G162" s="3"/>
      <c r="H162" s="3"/>
      <c r="I162" s="3"/>
      <c r="J162" s="3"/>
      <c r="K162" s="3"/>
    </row>
    <row r="163" spans="1:11" ht="14.4">
      <c r="A163" s="1830" t="s">
        <v>120</v>
      </c>
      <c r="B163" s="1830"/>
      <c r="C163" s="1830"/>
      <c r="D163" s="1830"/>
      <c r="E163" s="1830"/>
      <c r="F163" s="1830"/>
      <c r="G163" s="1830"/>
      <c r="H163" s="3"/>
      <c r="I163" s="3"/>
      <c r="J163" s="3"/>
      <c r="K163" s="3"/>
    </row>
    <row r="164" spans="1:11" ht="14.4">
      <c r="A164" s="1831" t="s">
        <v>74</v>
      </c>
      <c r="B164" s="1828" t="s">
        <v>121</v>
      </c>
      <c r="C164" s="1828"/>
      <c r="D164" s="1828"/>
      <c r="E164" s="1828" t="s">
        <v>122</v>
      </c>
      <c r="F164" s="1828"/>
      <c r="G164" s="1828"/>
      <c r="H164" s="3"/>
      <c r="I164" s="3"/>
      <c r="J164" s="3"/>
      <c r="K164" s="3"/>
    </row>
    <row r="165" spans="1:11" ht="29.4" thickBot="1">
      <c r="A165" s="1832"/>
      <c r="B165" s="695" t="s">
        <v>123</v>
      </c>
      <c r="C165" s="695" t="s">
        <v>124</v>
      </c>
      <c r="D165" s="695" t="s">
        <v>125</v>
      </c>
      <c r="E165" s="695" t="s">
        <v>123</v>
      </c>
      <c r="F165" s="695" t="s">
        <v>124</v>
      </c>
      <c r="G165" s="695" t="s">
        <v>125</v>
      </c>
      <c r="H165" s="3"/>
      <c r="I165" s="3"/>
      <c r="J165" s="3"/>
      <c r="K165" s="3"/>
    </row>
    <row r="166" spans="1:11" ht="15" thickTop="1">
      <c r="A166" s="714" t="str">
        <f>'SOGR Supporting AP-AP'!A6</f>
        <v>Name of Roadway</v>
      </c>
      <c r="B166" s="708">
        <f>ROUND('SOGR Supporting AP-AP'!E55,-3)</f>
        <v>0</v>
      </c>
      <c r="C166" s="708">
        <f>ROUND('SOGR Supporting AP-AP'!F55+'SOGR Supporting AP-AP'!G55,-3)</f>
        <v>0</v>
      </c>
      <c r="D166" s="708">
        <f>ROUND(B166+C166,-3)</f>
        <v>0</v>
      </c>
      <c r="E166" s="708">
        <f>ROUND('SOGR Supporting AP-AP'!E101,-3)</f>
        <v>0</v>
      </c>
      <c r="F166" s="731">
        <f>ROUND('SOGR Supporting AP-AP'!F101+'SOGR Supporting AP-AP'!G101,-3)</f>
        <v>0</v>
      </c>
      <c r="G166" s="708">
        <f>ROUND(E166+F166,-3)</f>
        <v>0</v>
      </c>
      <c r="H166" s="3"/>
      <c r="I166" s="3"/>
      <c r="J166" s="3"/>
      <c r="K166" s="3"/>
    </row>
    <row r="167" spans="1:11">
      <c r="A167" s="681" t="s">
        <v>83</v>
      </c>
      <c r="B167" s="3"/>
      <c r="C167" s="3"/>
      <c r="D167" s="3"/>
      <c r="E167" s="3"/>
      <c r="F167" s="3"/>
      <c r="G167" s="3"/>
      <c r="H167" s="3"/>
      <c r="I167" s="3"/>
      <c r="J167" s="3"/>
      <c r="K167" s="3"/>
    </row>
    <row r="168" spans="1:11" ht="14.4">
      <c r="A168" s="1830" t="s">
        <v>120</v>
      </c>
      <c r="B168" s="1830"/>
      <c r="C168" s="1830"/>
      <c r="D168" s="1830"/>
      <c r="E168" s="1830"/>
      <c r="F168" s="1830"/>
      <c r="G168" s="1830"/>
      <c r="H168" s="3"/>
      <c r="I168" s="3"/>
      <c r="J168" s="3"/>
      <c r="K168" s="16"/>
    </row>
    <row r="169" spans="1:11" ht="14.4">
      <c r="A169" s="1831" t="s">
        <v>74</v>
      </c>
      <c r="B169" s="1828" t="s">
        <v>121</v>
      </c>
      <c r="C169" s="1828"/>
      <c r="D169" s="1828"/>
      <c r="E169" s="1828" t="s">
        <v>122</v>
      </c>
      <c r="F169" s="1828"/>
      <c r="G169" s="1828"/>
      <c r="H169" s="3"/>
      <c r="I169" s="3"/>
      <c r="J169" s="3"/>
      <c r="K169" s="3"/>
    </row>
    <row r="170" spans="1:11" ht="29.4" thickBot="1">
      <c r="A170" s="1832"/>
      <c r="B170" s="695" t="s">
        <v>123</v>
      </c>
      <c r="C170" s="695" t="s">
        <v>124</v>
      </c>
      <c r="D170" s="695" t="s">
        <v>125</v>
      </c>
      <c r="E170" s="695" t="s">
        <v>123</v>
      </c>
      <c r="F170" s="695" t="s">
        <v>124</v>
      </c>
      <c r="G170" s="694" t="s">
        <v>125</v>
      </c>
      <c r="H170" s="3"/>
      <c r="I170" s="3"/>
      <c r="J170" s="3"/>
      <c r="K170" s="3"/>
    </row>
    <row r="171" spans="1:11" ht="15" thickTop="1">
      <c r="A171" s="753" t="str">
        <f>'SOGR Supporting CP-CP'!A6</f>
        <v>Name of Roadway 1</v>
      </c>
      <c r="B171" s="742">
        <f>ROUND('SOGR Supporting CP-CP'!E55,-3)</f>
        <v>0</v>
      </c>
      <c r="C171" s="742">
        <f>ROUND('SOGR Supporting CP-CP'!F55+'SOGR Supporting CP-CP'!G55,-3)</f>
        <v>0</v>
      </c>
      <c r="D171" s="742">
        <f>ROUND(B171+C171,-3)</f>
        <v>0</v>
      </c>
      <c r="E171" s="708">
        <f>ROUND('SOGR Supporting CP-CP'!E101,-3)</f>
        <v>0</v>
      </c>
      <c r="F171" s="708">
        <f>ROUND('SOGR Supporting CP-CP'!F101+'SOGR Supporting CP-CP'!G101,-3)</f>
        <v>0</v>
      </c>
      <c r="G171" s="709">
        <f>ROUND(F171+E171,-3)</f>
        <v>0</v>
      </c>
      <c r="H171" s="3"/>
      <c r="I171" s="3"/>
      <c r="J171" s="3"/>
      <c r="K171" s="3"/>
    </row>
    <row r="172" spans="1:11">
      <c r="A172" s="3" t="s">
        <v>120</v>
      </c>
      <c r="B172" s="3"/>
      <c r="C172" s="3"/>
      <c r="D172" s="3"/>
      <c r="E172" s="3"/>
      <c r="F172" s="3"/>
      <c r="G172" s="3"/>
      <c r="H172" s="3"/>
      <c r="I172" s="3"/>
      <c r="J172" s="3"/>
      <c r="K172" s="3"/>
    </row>
    <row r="175" spans="1:11">
      <c r="A175" s="681" t="s">
        <v>72</v>
      </c>
      <c r="B175" s="3"/>
      <c r="C175" s="3"/>
      <c r="D175" s="3"/>
      <c r="E175" s="3"/>
      <c r="F175" s="3"/>
      <c r="G175" s="3"/>
      <c r="H175" s="3"/>
      <c r="I175" s="3"/>
      <c r="J175" s="3"/>
      <c r="K175" s="3"/>
    </row>
    <row r="176" spans="1:11" ht="14.4">
      <c r="A176" s="1830" t="s">
        <v>126</v>
      </c>
      <c r="B176" s="1830"/>
      <c r="C176" s="1830"/>
      <c r="D176" s="1830"/>
      <c r="E176" s="1830"/>
      <c r="F176" s="1830"/>
      <c r="G176" s="1830"/>
      <c r="H176" s="3"/>
      <c r="I176" s="3"/>
      <c r="J176" s="3"/>
      <c r="K176" s="3"/>
    </row>
    <row r="177" spans="1:7" ht="14.4">
      <c r="A177" s="1831" t="s">
        <v>74</v>
      </c>
      <c r="B177" s="1828" t="s">
        <v>121</v>
      </c>
      <c r="C177" s="1828"/>
      <c r="D177" s="1828"/>
      <c r="E177" s="1828" t="s">
        <v>122</v>
      </c>
      <c r="F177" s="1828"/>
      <c r="G177" s="1828"/>
    </row>
    <row r="178" spans="1:7" ht="15" thickBot="1">
      <c r="A178" s="1832"/>
      <c r="B178" s="694" t="s">
        <v>127</v>
      </c>
      <c r="C178" s="694" t="s">
        <v>128</v>
      </c>
      <c r="D178" s="695" t="s">
        <v>129</v>
      </c>
      <c r="E178" s="695" t="s">
        <v>127</v>
      </c>
      <c r="F178" s="695" t="s">
        <v>128</v>
      </c>
      <c r="G178" s="694" t="s">
        <v>129</v>
      </c>
    </row>
    <row r="179" spans="1:7" ht="15" thickTop="1">
      <c r="A179" s="714" t="str">
        <f>'SOGR Supporting AP-CP'!$A$6</f>
        <v>Name of Roadway</v>
      </c>
      <c r="B179" s="709">
        <f>ROUND('SOGR Supporting AP-CP'!I55,-3)</f>
        <v>0</v>
      </c>
      <c r="C179" s="709">
        <f>ROUND('SOGR Supporting AP-CP'!J55,-3)</f>
        <v>0</v>
      </c>
      <c r="D179" s="708">
        <f>ROUND('SOGR Supporting AP-CP'!K55,-3)</f>
        <v>0</v>
      </c>
      <c r="E179" s="708">
        <f>ROUND('SOGR Supporting AP-CP'!I101,-3)</f>
        <v>0</v>
      </c>
      <c r="F179" s="708">
        <f>ROUND('SOGR Supporting AP-CP'!J101,-3)</f>
        <v>0</v>
      </c>
      <c r="G179" s="709">
        <f>ROUND('SOGR Supporting AP-CP'!K101,-3)</f>
        <v>0</v>
      </c>
    </row>
    <row r="180" spans="1:7">
      <c r="A180" s="681" t="s">
        <v>84</v>
      </c>
      <c r="B180" s="3"/>
      <c r="C180" s="3"/>
      <c r="D180" s="3"/>
      <c r="E180" s="3"/>
      <c r="F180" s="3"/>
      <c r="G180" s="3"/>
    </row>
    <row r="181" spans="1:7" ht="14.4">
      <c r="A181" s="1830" t="s">
        <v>126</v>
      </c>
      <c r="B181" s="1830"/>
      <c r="C181" s="1830"/>
      <c r="D181" s="1830"/>
      <c r="E181" s="1830"/>
      <c r="F181" s="1830"/>
      <c r="G181" s="1830"/>
    </row>
    <row r="182" spans="1:7" ht="14.4">
      <c r="A182" s="1831" t="s">
        <v>74</v>
      </c>
      <c r="B182" s="1828" t="s">
        <v>121</v>
      </c>
      <c r="C182" s="1828"/>
      <c r="D182" s="1828"/>
      <c r="E182" s="1828" t="s">
        <v>122</v>
      </c>
      <c r="F182" s="1828"/>
      <c r="G182" s="1828"/>
    </row>
    <row r="183" spans="1:7" ht="15" thickBot="1">
      <c r="A183" s="1832"/>
      <c r="B183" s="695" t="s">
        <v>127</v>
      </c>
      <c r="C183" s="695" t="s">
        <v>128</v>
      </c>
      <c r="D183" s="695" t="s">
        <v>129</v>
      </c>
      <c r="E183" s="695" t="s">
        <v>127</v>
      </c>
      <c r="F183" s="694" t="s">
        <v>128</v>
      </c>
      <c r="G183" s="695" t="s">
        <v>129</v>
      </c>
    </row>
    <row r="184" spans="1:7" ht="15" thickTop="1">
      <c r="A184" s="714" t="str">
        <f>'SOGR Supporting AP-AP'!A6</f>
        <v>Name of Roadway</v>
      </c>
      <c r="B184" s="708">
        <f>ROUND('SOGR Supporting AP-AP'!I55,-3)</f>
        <v>0</v>
      </c>
      <c r="C184" s="708">
        <f>ROUND('SOGR Supporting AP-AP'!J55,-3)</f>
        <v>0</v>
      </c>
      <c r="D184" s="708">
        <f>ROUND('SOGR Supporting AP-AP'!K55,-3)</f>
        <v>0</v>
      </c>
      <c r="E184" s="708">
        <f>ROUND('SOGR Supporting AP-AP'!I101,-3)</f>
        <v>0</v>
      </c>
      <c r="F184" s="709">
        <f>ROUND('SOGR Supporting AP-AP'!J101,-3)</f>
        <v>0</v>
      </c>
      <c r="G184" s="708">
        <f>ROUND('SOGR Supporting AP-AP'!K101,-3)</f>
        <v>0</v>
      </c>
    </row>
    <row r="185" spans="1:7">
      <c r="A185" s="681" t="s">
        <v>83</v>
      </c>
      <c r="B185" s="3"/>
      <c r="C185" s="3"/>
      <c r="D185" s="3"/>
      <c r="E185" s="3"/>
      <c r="F185" s="3"/>
      <c r="G185" s="3"/>
    </row>
    <row r="186" spans="1:7" ht="14.4">
      <c r="A186" s="1830" t="s">
        <v>126</v>
      </c>
      <c r="B186" s="1830"/>
      <c r="C186" s="1830"/>
      <c r="D186" s="1830"/>
      <c r="E186" s="1830"/>
      <c r="F186" s="1830"/>
      <c r="G186" s="1830"/>
    </row>
    <row r="187" spans="1:7" ht="14.4">
      <c r="A187" s="1831" t="s">
        <v>74</v>
      </c>
      <c r="B187" s="1828" t="s">
        <v>121</v>
      </c>
      <c r="C187" s="1828"/>
      <c r="D187" s="1828"/>
      <c r="E187" s="1828" t="s">
        <v>122</v>
      </c>
      <c r="F187" s="1828"/>
      <c r="G187" s="1828"/>
    </row>
    <row r="188" spans="1:7" ht="15" thickBot="1">
      <c r="A188" s="1832"/>
      <c r="B188" s="695" t="s">
        <v>127</v>
      </c>
      <c r="C188" s="694" t="s">
        <v>128</v>
      </c>
      <c r="D188" s="695" t="s">
        <v>129</v>
      </c>
      <c r="E188" s="695" t="s">
        <v>127</v>
      </c>
      <c r="F188" s="695" t="s">
        <v>128</v>
      </c>
      <c r="G188" s="695" t="s">
        <v>129</v>
      </c>
    </row>
    <row r="189" spans="1:7" ht="15" thickTop="1">
      <c r="A189" s="714" t="str">
        <f>'SOGR Supporting AP-AP'!A13</f>
        <v>Year</v>
      </c>
      <c r="B189" s="708">
        <f>ROUND('SOGR Supporting CP-CP'!I55,-3)</f>
        <v>0</v>
      </c>
      <c r="C189" s="709">
        <f>ROUND('SOGR Supporting CP-CP'!J55,-3)</f>
        <v>0</v>
      </c>
      <c r="D189" s="708">
        <f>ROUND('SOGR Supporting CP-CP'!K55,-3)</f>
        <v>0</v>
      </c>
      <c r="E189" s="708">
        <f>ROUND('SOGR Supporting CP-CP'!I101,-3)</f>
        <v>0</v>
      </c>
      <c r="F189" s="708">
        <f>ROUND('SOGR Supporting CP-CP'!J101,-3)</f>
        <v>0</v>
      </c>
      <c r="G189" s="708">
        <f>ROUND('SOGR Supporting CP-CP'!K101,-3)</f>
        <v>0</v>
      </c>
    </row>
    <row r="190" spans="1:7">
      <c r="A190" s="3" t="s">
        <v>126</v>
      </c>
      <c r="B190" s="3"/>
      <c r="C190" s="3"/>
      <c r="D190" s="3"/>
      <c r="E190" s="3"/>
      <c r="F190" s="3"/>
      <c r="G190" s="3"/>
    </row>
    <row r="193" spans="1:3" ht="14.4" thickBot="1">
      <c r="A193" s="681" t="s">
        <v>72</v>
      </c>
      <c r="B193" s="3"/>
      <c r="C193" s="3"/>
    </row>
    <row r="194" spans="1:3" ht="14.4">
      <c r="A194" s="1843" t="s">
        <v>130</v>
      </c>
      <c r="B194" s="1844"/>
      <c r="C194" s="723"/>
    </row>
    <row r="195" spans="1:3" ht="15" thickBot="1">
      <c r="A195" s="698" t="s">
        <v>2</v>
      </c>
      <c r="B195" s="695" t="str">
        <f>'SOGR Supporting AP-CP'!$A$6</f>
        <v>Name of Roadway</v>
      </c>
      <c r="C195" s="3"/>
    </row>
    <row r="196" spans="1:3" ht="15" thickTop="1">
      <c r="A196" s="714" t="s">
        <v>66</v>
      </c>
      <c r="B196" s="708">
        <f>ROUND('SOGR Supporting AP-CP'!H55,-3)</f>
        <v>0</v>
      </c>
      <c r="C196" s="3"/>
    </row>
    <row r="197" spans="1:3" ht="14.4">
      <c r="A197" s="710" t="s">
        <v>131</v>
      </c>
      <c r="B197" s="754">
        <f>ROUND('SOGR Supporting AP-CP'!H101,-3)</f>
        <v>0</v>
      </c>
      <c r="C197" s="723"/>
    </row>
    <row r="198" spans="1:3">
      <c r="A198" s="688" t="s">
        <v>84</v>
      </c>
      <c r="B198" s="3"/>
      <c r="C198" s="3"/>
    </row>
    <row r="199" spans="1:3" ht="15.6">
      <c r="A199" s="1836" t="s">
        <v>130</v>
      </c>
      <c r="B199" s="1837"/>
      <c r="C199" s="723"/>
    </row>
    <row r="200" spans="1:3" ht="15" thickBot="1">
      <c r="A200" s="698" t="s">
        <v>2</v>
      </c>
      <c r="B200" s="697" t="str">
        <f>'SOGR Supporting AP-AP'!A6</f>
        <v>Name of Roadway</v>
      </c>
      <c r="C200" s="723"/>
    </row>
    <row r="201" spans="1:3" ht="15" thickTop="1">
      <c r="A201" s="714" t="s">
        <v>66</v>
      </c>
      <c r="B201" s="708">
        <f>ROUND('SOGR Supporting AP-AP'!H55,-3)</f>
        <v>0</v>
      </c>
      <c r="C201" s="723"/>
    </row>
    <row r="202" spans="1:3" ht="14.4">
      <c r="A202" s="710" t="s">
        <v>131</v>
      </c>
      <c r="B202" s="754">
        <f>ROUND('SOGR Supporting AP-AP'!H101,-3)</f>
        <v>0</v>
      </c>
      <c r="C202" s="723"/>
    </row>
    <row r="203" spans="1:3">
      <c r="A203" s="688" t="s">
        <v>83</v>
      </c>
      <c r="B203" s="747"/>
      <c r="C203" s="3"/>
    </row>
    <row r="204" spans="1:3" ht="15.6">
      <c r="A204" s="1836" t="s">
        <v>130</v>
      </c>
      <c r="B204" s="1837"/>
      <c r="C204" s="723"/>
    </row>
    <row r="205" spans="1:3" ht="15" thickBot="1">
      <c r="A205" s="698" t="s">
        <v>2</v>
      </c>
      <c r="B205" s="699" t="str">
        <f>'SOGR Supporting CP-CP'!A6</f>
        <v>Name of Roadway 1</v>
      </c>
      <c r="C205" s="723"/>
    </row>
    <row r="206" spans="1:3" ht="15" thickTop="1">
      <c r="A206" s="714" t="s">
        <v>66</v>
      </c>
      <c r="B206" s="708">
        <f>ROUND('SOGR Supporting CP-CP'!H55,-3)</f>
        <v>0</v>
      </c>
      <c r="C206" s="723"/>
    </row>
    <row r="207" spans="1:3" ht="14.4">
      <c r="A207" s="710" t="s">
        <v>131</v>
      </c>
      <c r="B207" s="711">
        <f>ROUND('SOGR Supporting CP-CP'!H101,-3)</f>
        <v>0</v>
      </c>
      <c r="C207" s="3"/>
    </row>
    <row r="208" spans="1:3" ht="14.4">
      <c r="A208" s="755"/>
      <c r="B208" s="756"/>
      <c r="C208" s="3"/>
    </row>
    <row r="210" spans="1:3">
      <c r="A210" s="681" t="s">
        <v>72</v>
      </c>
      <c r="B210" s="3"/>
      <c r="C210" s="3"/>
    </row>
    <row r="211" spans="1:3" ht="15.6">
      <c r="A211" s="1836" t="s">
        <v>132</v>
      </c>
      <c r="B211" s="1837"/>
      <c r="C211" s="3"/>
    </row>
    <row r="212" spans="1:3" ht="15" thickBot="1">
      <c r="A212" s="695" t="s">
        <v>2</v>
      </c>
      <c r="B212" s="695" t="s">
        <v>65</v>
      </c>
      <c r="C212" s="3"/>
    </row>
    <row r="213" spans="1:3" ht="15" thickTop="1">
      <c r="A213" s="714" t="s">
        <v>66</v>
      </c>
      <c r="B213" s="708">
        <f>ROUND('State of Good Repair AP-CP'!L48,-3)</f>
        <v>0</v>
      </c>
      <c r="C213" s="723"/>
    </row>
    <row r="214" spans="1:3" ht="15" thickBot="1">
      <c r="A214" s="724" t="s">
        <v>67</v>
      </c>
      <c r="B214" s="757">
        <f>ROUND('State of Good Repair AP-CP'!R48,-3)</f>
        <v>0</v>
      </c>
      <c r="C214" s="3"/>
    </row>
    <row r="215" spans="1:3" ht="15.6" thickTop="1" thickBot="1">
      <c r="A215" s="726" t="s">
        <v>68</v>
      </c>
      <c r="B215" s="758">
        <f>ROUND('State of Good Repair AP-CP'!S48,-3)</f>
        <v>0</v>
      </c>
      <c r="C215" s="3"/>
    </row>
    <row r="216" spans="1:3" ht="15" thickTop="1">
      <c r="A216" s="690" t="s">
        <v>69</v>
      </c>
      <c r="B216" s="691">
        <f>ROUND('State of Good Repair AP-CP'!T48,-3)</f>
        <v>0</v>
      </c>
      <c r="C216" s="3"/>
    </row>
    <row r="217" spans="1:3">
      <c r="A217" s="688" t="s">
        <v>84</v>
      </c>
      <c r="B217" s="747"/>
      <c r="C217" s="3"/>
    </row>
    <row r="218" spans="1:3" ht="15.6">
      <c r="A218" s="1836" t="s">
        <v>132</v>
      </c>
      <c r="B218" s="1837"/>
      <c r="C218" s="3"/>
    </row>
    <row r="219" spans="1:3" ht="15" thickBot="1">
      <c r="A219" s="695" t="s">
        <v>2</v>
      </c>
      <c r="B219" s="695" t="s">
        <v>65</v>
      </c>
      <c r="C219" s="3"/>
    </row>
    <row r="220" spans="1:3" ht="15" thickTop="1">
      <c r="A220" s="714" t="s">
        <v>66</v>
      </c>
      <c r="B220" s="708">
        <f>ROUND('State of Good Repair - AP-AP'!L48,-3)</f>
        <v>0</v>
      </c>
      <c r="C220" s="723"/>
    </row>
    <row r="221" spans="1:3" ht="15" thickBot="1">
      <c r="A221" s="724" t="s">
        <v>67</v>
      </c>
      <c r="B221" s="725">
        <f>ROUND('State of Good Repair - AP-AP'!R48,-3)</f>
        <v>0</v>
      </c>
      <c r="C221" s="723"/>
    </row>
    <row r="222" spans="1:3" ht="15.6" thickTop="1" thickBot="1">
      <c r="A222" s="726" t="s">
        <v>68</v>
      </c>
      <c r="B222" s="759">
        <f>ROUND('State of Good Repair - AP-AP'!S48,-3)</f>
        <v>0</v>
      </c>
      <c r="C222" s="723"/>
    </row>
    <row r="223" spans="1:3" ht="15" thickTop="1">
      <c r="A223" s="690" t="s">
        <v>69</v>
      </c>
      <c r="B223" s="691">
        <f>ROUND('State of Good Repair - AP-AP'!T48,-3)</f>
        <v>0</v>
      </c>
      <c r="C223" s="3"/>
    </row>
    <row r="224" spans="1:3">
      <c r="A224" s="688" t="s">
        <v>83</v>
      </c>
      <c r="B224" s="3"/>
      <c r="C224" s="3"/>
    </row>
    <row r="225" spans="1:3" ht="15.6">
      <c r="A225" s="1835" t="s">
        <v>132</v>
      </c>
      <c r="B225" s="1835"/>
      <c r="C225" s="723"/>
    </row>
    <row r="226" spans="1:3" ht="15" thickBot="1">
      <c r="A226" s="695" t="s">
        <v>2</v>
      </c>
      <c r="B226" s="697" t="s">
        <v>65</v>
      </c>
      <c r="C226" s="723"/>
    </row>
    <row r="227" spans="1:3" ht="15" thickTop="1">
      <c r="A227" s="714" t="s">
        <v>66</v>
      </c>
      <c r="B227" s="708">
        <f>ROUND('State of Good Repair CP-CP '!L48,-3)</f>
        <v>0</v>
      </c>
      <c r="C227" s="3"/>
    </row>
    <row r="228" spans="1:3" ht="15" thickBot="1">
      <c r="A228" s="724" t="s">
        <v>67</v>
      </c>
      <c r="B228" s="757">
        <f>ROUND('State of Good Repair CP-CP '!R48,-3)</f>
        <v>0</v>
      </c>
      <c r="C228" s="3"/>
    </row>
    <row r="229" spans="1:3" ht="15.6" thickTop="1" thickBot="1">
      <c r="A229" s="726" t="s">
        <v>68</v>
      </c>
      <c r="B229" s="759">
        <f>ROUND('State of Good Repair CP-CP '!S48,-3)</f>
        <v>0</v>
      </c>
      <c r="C229" s="723"/>
    </row>
    <row r="230" spans="1:3" ht="15" thickTop="1">
      <c r="A230" s="690" t="s">
        <v>69</v>
      </c>
      <c r="B230" s="692">
        <f>ROUND('State of Good Repair CP-CP '!T48,-3)</f>
        <v>0</v>
      </c>
      <c r="C230" s="723"/>
    </row>
    <row r="231" spans="1:3" ht="14.4">
      <c r="A231" s="685"/>
      <c r="B231" s="687"/>
      <c r="C231" s="3"/>
    </row>
    <row r="232" spans="1:3" ht="14.4">
      <c r="A232" s="683"/>
      <c r="B232" s="684"/>
      <c r="C232" s="3"/>
    </row>
    <row r="233" spans="1:3" ht="16.2" thickBot="1">
      <c r="A233" s="706" t="s">
        <v>133</v>
      </c>
      <c r="B233" s="3"/>
      <c r="C233" s="3"/>
    </row>
    <row r="234" spans="1:3" ht="15.6">
      <c r="A234" s="1838" t="s">
        <v>133</v>
      </c>
      <c r="B234" s="1839"/>
      <c r="C234" s="723"/>
    </row>
    <row r="235" spans="1:3" ht="15" thickBot="1">
      <c r="A235" s="695" t="s">
        <v>2</v>
      </c>
      <c r="B235" s="697" t="s">
        <v>65</v>
      </c>
      <c r="C235" s="723"/>
    </row>
    <row r="236" spans="1:3" ht="15" thickTop="1">
      <c r="A236" s="714" t="s">
        <v>66</v>
      </c>
      <c r="B236" s="708">
        <f>ROUND('Roadway Safety'!$Z$48,-3)</f>
        <v>0</v>
      </c>
      <c r="C236" s="723"/>
    </row>
    <row r="237" spans="1:3" ht="15" thickBot="1">
      <c r="A237" s="724" t="s">
        <v>67</v>
      </c>
      <c r="B237" s="725">
        <f>ROUND('Roadway Safety'!$AA$48,-3)</f>
        <v>0</v>
      </c>
      <c r="C237" s="723"/>
    </row>
    <row r="238" spans="1:3" ht="15.6" thickTop="1" thickBot="1">
      <c r="A238" s="726" t="s">
        <v>68</v>
      </c>
      <c r="B238" s="703">
        <f>ROUND('Roadway Safety'!$AB$48,-3)</f>
        <v>0</v>
      </c>
      <c r="C238" s="723"/>
    </row>
    <row r="239" spans="1:3" ht="15" thickTop="1">
      <c r="A239" s="690" t="s">
        <v>69</v>
      </c>
      <c r="B239" s="692">
        <f>ROUND('Roadway Safety'!$AC$48,-3)</f>
        <v>0</v>
      </c>
      <c r="C239" s="723"/>
    </row>
    <row r="240" spans="1:3">
      <c r="A240" s="728"/>
      <c r="B240" s="728"/>
      <c r="C240" s="3"/>
    </row>
    <row r="242" spans="1:3" ht="15.6">
      <c r="A242" s="706" t="s">
        <v>134</v>
      </c>
      <c r="B242" s="3"/>
      <c r="C242" s="3"/>
    </row>
    <row r="243" spans="1:3" ht="15.6">
      <c r="A243" s="1836" t="s">
        <v>134</v>
      </c>
      <c r="B243" s="1837"/>
      <c r="C243" s="723"/>
    </row>
    <row r="244" spans="1:3" ht="15" thickBot="1">
      <c r="A244" s="695" t="s">
        <v>2</v>
      </c>
      <c r="B244" s="697" t="s">
        <v>65</v>
      </c>
      <c r="C244" s="723"/>
    </row>
    <row r="245" spans="1:3" ht="15" thickTop="1">
      <c r="A245" s="714" t="s">
        <v>66</v>
      </c>
      <c r="B245" s="708">
        <f>ROUND('Pedestrian Safety'!$T$48,-3)</f>
        <v>8000000</v>
      </c>
      <c r="C245" s="723"/>
    </row>
    <row r="246" spans="1:3" ht="15" thickBot="1">
      <c r="A246" s="724" t="s">
        <v>67</v>
      </c>
      <c r="B246" s="729">
        <f>ROUND('Pedestrian Safety'!U48,-3)</f>
        <v>6880000</v>
      </c>
      <c r="C246" s="723"/>
    </row>
    <row r="247" spans="1:3" ht="15.6" thickTop="1" thickBot="1">
      <c r="A247" s="726" t="s">
        <v>68</v>
      </c>
      <c r="B247" s="700">
        <f>ROUND('Pedestrian Safety'!V48,-3)</f>
        <v>1120000</v>
      </c>
      <c r="C247" s="3"/>
    </row>
    <row r="248" spans="1:3" ht="15" thickTop="1">
      <c r="A248" s="690" t="s">
        <v>69</v>
      </c>
      <c r="B248" s="692">
        <f>ROUND('Pedestrian Safety'!W48,-3)</f>
        <v>709000</v>
      </c>
      <c r="C248" s="723"/>
    </row>
    <row r="249" spans="1:3">
      <c r="A249" s="728"/>
      <c r="B249" s="728"/>
      <c r="C249" s="3"/>
    </row>
    <row r="251" spans="1:3" ht="15.6">
      <c r="A251" s="706" t="s">
        <v>135</v>
      </c>
      <c r="B251" s="3"/>
      <c r="C251" s="3"/>
    </row>
    <row r="252" spans="1:3" ht="15.6">
      <c r="A252" s="1836" t="s">
        <v>135</v>
      </c>
      <c r="B252" s="1837"/>
      <c r="C252" s="723"/>
    </row>
    <row r="253" spans="1:3" ht="15" thickBot="1">
      <c r="A253" s="695" t="s">
        <v>2</v>
      </c>
      <c r="B253" s="695" t="s">
        <v>65</v>
      </c>
      <c r="C253" s="3"/>
    </row>
    <row r="254" spans="1:3" ht="15" thickTop="1">
      <c r="A254" s="714" t="s">
        <v>66</v>
      </c>
      <c r="B254" s="708">
        <f>ROUND('Bike Safety'!V48,-3)</f>
        <v>7552000</v>
      </c>
      <c r="C254" s="3"/>
    </row>
    <row r="255" spans="1:3" ht="15" thickBot="1">
      <c r="A255" s="724" t="s">
        <v>67</v>
      </c>
      <c r="B255" s="757">
        <f>ROUND('Bike Safety'!W48,-3)</f>
        <v>4154000</v>
      </c>
      <c r="C255" s="3"/>
    </row>
    <row r="256" spans="1:3" ht="15.6" thickTop="1" thickBot="1">
      <c r="A256" s="726" t="s">
        <v>68</v>
      </c>
      <c r="B256" s="700">
        <f>ROUND('Bike Safety'!X48,-3)</f>
        <v>3398000</v>
      </c>
      <c r="C256" s="3"/>
    </row>
    <row r="257" spans="1:3" ht="15" thickTop="1">
      <c r="A257" s="690" t="s">
        <v>69</v>
      </c>
      <c r="B257" s="702">
        <f>ROUND('Bike Safety'!Y48,-3)</f>
        <v>2150000</v>
      </c>
      <c r="C257" s="723"/>
    </row>
    <row r="258" spans="1:3">
      <c r="A258" s="728"/>
      <c r="B258" s="728"/>
      <c r="C258" s="3"/>
    </row>
    <row r="260" spans="1:3" ht="16.2" thickBot="1">
      <c r="A260" s="706" t="s">
        <v>136</v>
      </c>
      <c r="B260" s="3"/>
      <c r="C260" s="3"/>
    </row>
    <row r="261" spans="1:3" ht="15.6">
      <c r="A261" s="1838" t="s">
        <v>136</v>
      </c>
      <c r="B261" s="1839"/>
      <c r="C261" s="723"/>
    </row>
    <row r="262" spans="1:3" ht="15" thickBot="1">
      <c r="A262" s="695" t="s">
        <v>2</v>
      </c>
      <c r="B262" s="697" t="s">
        <v>65</v>
      </c>
      <c r="C262" s="723"/>
    </row>
    <row r="263" spans="1:3" ht="15" thickTop="1">
      <c r="A263" s="714" t="s">
        <v>66</v>
      </c>
      <c r="B263" s="708">
        <f>ROUND('Facility Improve - Ped'!U48,-3)</f>
        <v>0</v>
      </c>
      <c r="C263" s="723"/>
    </row>
    <row r="264" spans="1:3" ht="15" thickBot="1">
      <c r="A264" s="724" t="s">
        <v>67</v>
      </c>
      <c r="B264" s="757">
        <f>ROUND('Facility Improve - Ped'!AJ48,-3)</f>
        <v>690000</v>
      </c>
      <c r="C264" s="3"/>
    </row>
    <row r="265" spans="1:3" ht="15.6" thickTop="1" thickBot="1">
      <c r="A265" s="726" t="s">
        <v>68</v>
      </c>
      <c r="B265" s="700">
        <f>ROUND('Facility Improve - Ped'!AK48,-3)</f>
        <v>690000</v>
      </c>
      <c r="C265" s="3"/>
    </row>
    <row r="266" spans="1:3" ht="15" thickTop="1">
      <c r="A266" s="690" t="s">
        <v>69</v>
      </c>
      <c r="B266" s="704">
        <f>ROUND('Facility Improve - Ped'!AL48,-3)</f>
        <v>430000</v>
      </c>
      <c r="C266" s="723"/>
    </row>
    <row r="267" spans="1:3">
      <c r="A267" s="3"/>
      <c r="B267" s="728"/>
      <c r="C267" s="3"/>
    </row>
    <row r="269" spans="1:3" ht="15.6">
      <c r="A269" s="706" t="s">
        <v>137</v>
      </c>
      <c r="B269" s="3"/>
      <c r="C269" s="3"/>
    </row>
    <row r="270" spans="1:3" ht="15.6">
      <c r="A270" s="1836"/>
      <c r="B270" s="1837"/>
      <c r="C270" s="723"/>
    </row>
    <row r="271" spans="1:3" ht="15" thickBot="1">
      <c r="A271" s="694" t="s">
        <v>2</v>
      </c>
      <c r="B271" s="697" t="s">
        <v>65</v>
      </c>
      <c r="C271" s="723"/>
    </row>
    <row r="272" spans="1:3" ht="15" thickTop="1">
      <c r="A272" s="707" t="s">
        <v>66</v>
      </c>
      <c r="B272" s="708">
        <f>ROUND('Facility Improve - Bike'!K48,-3)</f>
        <v>0</v>
      </c>
      <c r="C272" s="723"/>
    </row>
    <row r="273" spans="1:3" ht="15" thickBot="1">
      <c r="A273" s="724" t="s">
        <v>67</v>
      </c>
      <c r="B273" s="725">
        <f>ROUND('Facility Improve - Bike'!P48,-3)</f>
        <v>733000</v>
      </c>
      <c r="C273" s="723"/>
    </row>
    <row r="274" spans="1:3" ht="15.6" thickTop="1" thickBot="1">
      <c r="A274" s="726" t="s">
        <v>68</v>
      </c>
      <c r="B274" s="701">
        <f>ROUND('Facility Improve - Bike'!Q48,-3)</f>
        <v>733000</v>
      </c>
      <c r="C274" s="723"/>
    </row>
    <row r="275" spans="1:3" ht="15" thickTop="1">
      <c r="A275" s="690" t="s">
        <v>69</v>
      </c>
      <c r="B275" s="702">
        <f>ROUND('Facility Improve - Bike'!R48,-3)</f>
        <v>457000</v>
      </c>
      <c r="C275" s="723"/>
    </row>
    <row r="276" spans="1:3" ht="12" customHeight="1">
      <c r="A276" s="728"/>
      <c r="B276" s="728"/>
      <c r="C276" s="3"/>
    </row>
    <row r="278" spans="1:3" ht="15.6">
      <c r="A278" s="706" t="s">
        <v>138</v>
      </c>
      <c r="B278" s="3"/>
      <c r="C278" s="3"/>
    </row>
    <row r="279" spans="1:3" ht="15.6">
      <c r="A279" s="1836" t="s">
        <v>139</v>
      </c>
      <c r="B279" s="1837"/>
      <c r="C279" s="723"/>
    </row>
    <row r="280" spans="1:3" ht="15" thickBot="1">
      <c r="A280" s="695" t="s">
        <v>2</v>
      </c>
      <c r="B280" s="695" t="s">
        <v>65</v>
      </c>
      <c r="C280" s="723"/>
    </row>
    <row r="281" spans="1:3" ht="15" thickTop="1">
      <c r="A281" s="714" t="s">
        <v>66</v>
      </c>
      <c r="B281" s="708">
        <f>ROUND('Serve Improve - Transit Mode'!O48,-3)</f>
        <v>0</v>
      </c>
      <c r="C281" s="723"/>
    </row>
    <row r="282" spans="1:3" ht="15" thickBot="1">
      <c r="A282" s="724" t="s">
        <v>67</v>
      </c>
      <c r="B282" s="725">
        <f>ROUND('Serve Improve - Transit Mode'!X48,-3)</f>
        <v>0</v>
      </c>
      <c r="C282" s="723"/>
    </row>
    <row r="283" spans="1:3" ht="15.6" thickTop="1" thickBot="1">
      <c r="A283" s="726" t="s">
        <v>68</v>
      </c>
      <c r="B283" s="692">
        <f>ROUND('Serve Improve - Transit Mode'!Y48,-3)</f>
        <v>0</v>
      </c>
      <c r="C283" s="723"/>
    </row>
    <row r="284" spans="1:3" ht="15" thickTop="1">
      <c r="A284" s="690" t="s">
        <v>69</v>
      </c>
      <c r="B284" s="691">
        <f>ROUND('Serve Improve - Transit Mode'!Z48,-3)</f>
        <v>0</v>
      </c>
      <c r="C284" s="723"/>
    </row>
    <row r="285" spans="1:3" ht="14.4">
      <c r="A285" s="685"/>
      <c r="B285" s="687"/>
      <c r="C285" s="3"/>
    </row>
    <row r="287" spans="1:3" ht="15.6">
      <c r="A287" s="706" t="s">
        <v>139</v>
      </c>
      <c r="B287" s="3"/>
      <c r="C287" s="3"/>
    </row>
    <row r="288" spans="1:3" ht="15.6">
      <c r="A288" s="1836" t="s">
        <v>139</v>
      </c>
      <c r="B288" s="1837"/>
      <c r="C288" s="723"/>
    </row>
    <row r="289" spans="1:3" ht="15" thickBot="1">
      <c r="A289" s="695" t="s">
        <v>2</v>
      </c>
      <c r="B289" s="697" t="s">
        <v>65</v>
      </c>
      <c r="C289" s="723"/>
    </row>
    <row r="290" spans="1:3" ht="15" thickTop="1">
      <c r="A290" s="714" t="s">
        <v>66</v>
      </c>
      <c r="B290" s="708">
        <f>ROUND('Facility Improve - Transit Stop'!O48,-3)</f>
        <v>0</v>
      </c>
      <c r="C290" s="723"/>
    </row>
    <row r="291" spans="1:3" ht="15" thickBot="1">
      <c r="A291" s="724" t="s">
        <v>67</v>
      </c>
      <c r="B291" s="757">
        <f>ROUND('Facility Improve - Transit Stop'!X48,-3)</f>
        <v>0</v>
      </c>
      <c r="C291" s="3"/>
    </row>
    <row r="292" spans="1:3" ht="15.6" thickTop="1" thickBot="1">
      <c r="A292" s="726" t="s">
        <v>68</v>
      </c>
      <c r="B292" s="692">
        <f>ROUND('Facility Improve - Transit Stop'!Y48,-3)</f>
        <v>0</v>
      </c>
      <c r="C292" s="723"/>
    </row>
    <row r="293" spans="1:3" ht="15" thickTop="1">
      <c r="A293" s="690" t="s">
        <v>69</v>
      </c>
      <c r="B293" s="691">
        <f>ROUND('Facility Improve - Transit Stop'!Z48,-3)</f>
        <v>0</v>
      </c>
      <c r="C293" s="3"/>
    </row>
    <row r="294" spans="1:3" ht="28.5" customHeight="1">
      <c r="A294" s="728"/>
      <c r="B294" s="728"/>
      <c r="C294" s="3"/>
    </row>
    <row r="296" spans="1:3" ht="15.6">
      <c r="A296" s="706" t="s">
        <v>140</v>
      </c>
      <c r="B296" s="3"/>
      <c r="C296" s="3"/>
    </row>
    <row r="297" spans="1:3" ht="15.6">
      <c r="A297" s="1836" t="s">
        <v>140</v>
      </c>
      <c r="B297" s="1837"/>
      <c r="C297" s="3"/>
    </row>
    <row r="298" spans="1:3" ht="15" thickBot="1">
      <c r="A298" s="695" t="s">
        <v>2</v>
      </c>
      <c r="B298" s="697" t="s">
        <v>65</v>
      </c>
      <c r="C298" s="723"/>
    </row>
    <row r="299" spans="1:3" ht="15" thickTop="1">
      <c r="A299" s="714" t="s">
        <v>66</v>
      </c>
      <c r="B299" s="708">
        <f>ROUND('Amenity Improve - Transit Veh '!K48,-3)</f>
        <v>0</v>
      </c>
      <c r="C299" s="723"/>
    </row>
    <row r="300" spans="1:3" ht="15" thickBot="1">
      <c r="A300" s="724" t="s">
        <v>67</v>
      </c>
      <c r="B300" s="725">
        <f>ROUND('Amenity Improve - Transit Veh '!P48,-3)</f>
        <v>0</v>
      </c>
      <c r="C300" s="723"/>
    </row>
    <row r="301" spans="1:3" ht="15.6" thickTop="1" thickBot="1">
      <c r="A301" s="726" t="s">
        <v>68</v>
      </c>
      <c r="B301" s="700">
        <f>ROUND('Amenity Improve - Transit Veh '!Q48,-3)</f>
        <v>0</v>
      </c>
      <c r="C301" s="3"/>
    </row>
    <row r="302" spans="1:3" ht="15" thickTop="1">
      <c r="A302" s="690" t="s">
        <v>69</v>
      </c>
      <c r="B302" s="702">
        <f>ROUND('Amenity Improve - Transit Veh '!R48,-3)</f>
        <v>0</v>
      </c>
      <c r="C302" s="723"/>
    </row>
    <row r="303" spans="1:3">
      <c r="A303" s="728"/>
      <c r="B303" s="728"/>
      <c r="C303" s="3"/>
    </row>
    <row r="305" spans="1:3" ht="15.6">
      <c r="A305" s="706" t="s">
        <v>141</v>
      </c>
      <c r="B305" s="3"/>
      <c r="C305" s="3"/>
    </row>
    <row r="306" spans="1:3" ht="15.6">
      <c r="A306" s="1836" t="s">
        <v>141</v>
      </c>
      <c r="B306" s="1837"/>
      <c r="C306" s="723"/>
    </row>
    <row r="307" spans="1:3" ht="15" thickBot="1">
      <c r="A307" s="695" t="s">
        <v>2</v>
      </c>
      <c r="B307" s="697" t="s">
        <v>65</v>
      </c>
      <c r="C307" s="723"/>
    </row>
    <row r="308" spans="1:3" ht="15" thickTop="1">
      <c r="A308" s="714" t="s">
        <v>66</v>
      </c>
      <c r="B308" s="708">
        <f>ROUND('Value of Travel Time'!AG48,-3)</f>
        <v>0</v>
      </c>
      <c r="C308" s="3"/>
    </row>
    <row r="309" spans="1:3" ht="15" thickBot="1">
      <c r="A309" s="724" t="s">
        <v>67</v>
      </c>
      <c r="B309" s="757">
        <f>ROUND('Value of Travel Time'!AH48,-3)</f>
        <v>0</v>
      </c>
      <c r="C309" s="3"/>
    </row>
    <row r="310" spans="1:3" ht="15.6" thickTop="1" thickBot="1">
      <c r="A310" s="726" t="s">
        <v>68</v>
      </c>
      <c r="B310" s="760">
        <f>ROUND('Value of Travel Time'!AI48,-3)</f>
        <v>0</v>
      </c>
      <c r="C310" s="723"/>
    </row>
    <row r="311" spans="1:3" ht="15" thickTop="1">
      <c r="A311" s="690" t="s">
        <v>69</v>
      </c>
      <c r="B311" s="691">
        <f>ROUND('Value of Travel Time'!AJ48,-3)</f>
        <v>0</v>
      </c>
      <c r="C311" s="3"/>
    </row>
    <row r="312" spans="1:3" ht="12" customHeight="1">
      <c r="A312" s="728"/>
      <c r="B312" s="728"/>
      <c r="C312" s="3"/>
    </row>
    <row r="313" spans="1:3" ht="12" customHeight="1">
      <c r="A313" s="3"/>
      <c r="B313" s="3"/>
      <c r="C313" s="3"/>
    </row>
    <row r="314" spans="1:3" ht="15.6">
      <c r="A314" s="706" t="s">
        <v>142</v>
      </c>
      <c r="B314" s="3"/>
      <c r="C314" s="3"/>
    </row>
    <row r="315" spans="1:3" ht="17.25" customHeight="1">
      <c r="A315" s="1833" t="s">
        <v>143</v>
      </c>
      <c r="B315" s="1834"/>
      <c r="C315" s="723"/>
    </row>
    <row r="316" spans="1:3" ht="17.25" customHeight="1" thickBot="1">
      <c r="A316" s="695" t="s">
        <v>2</v>
      </c>
      <c r="B316" s="697" t="s">
        <v>65</v>
      </c>
      <c r="C316" s="723"/>
    </row>
    <row r="317" spans="1:3" ht="15.75" customHeight="1" thickTop="1">
      <c r="A317" s="714" t="s">
        <v>66</v>
      </c>
      <c r="B317" s="708"/>
      <c r="C317" s="723"/>
    </row>
    <row r="318" spans="1:3" ht="15.75" customHeight="1" thickBot="1">
      <c r="A318" s="724" t="s">
        <v>67</v>
      </c>
      <c r="B318" s="725"/>
      <c r="C318" s="723"/>
    </row>
    <row r="319" spans="1:3" ht="15.75" customHeight="1" thickTop="1" thickBot="1">
      <c r="A319" s="726" t="s">
        <v>68</v>
      </c>
      <c r="B319" s="700"/>
      <c r="C319" s="3"/>
    </row>
    <row r="320" spans="1:3" ht="15.75" customHeight="1" thickTop="1">
      <c r="A320" s="690" t="s">
        <v>69</v>
      </c>
      <c r="B320" s="691"/>
      <c r="C320" s="3"/>
    </row>
    <row r="321" spans="1:3">
      <c r="A321" s="728"/>
      <c r="B321" s="728"/>
      <c r="C321" s="3"/>
    </row>
    <row r="323" spans="1:3" ht="15.6">
      <c r="A323" s="706" t="s">
        <v>144</v>
      </c>
      <c r="B323" s="3"/>
      <c r="C323" s="3"/>
    </row>
    <row r="324" spans="1:3" ht="14.4">
      <c r="A324" s="1833" t="s">
        <v>144</v>
      </c>
      <c r="B324" s="1834"/>
      <c r="C324" s="3"/>
    </row>
    <row r="325" spans="1:3" ht="15" thickBot="1">
      <c r="A325" s="695" t="s">
        <v>2</v>
      </c>
      <c r="B325" s="695" t="s">
        <v>65</v>
      </c>
      <c r="C325" s="3"/>
    </row>
    <row r="326" spans="1:3" ht="15" thickTop="1">
      <c r="A326" s="714" t="s">
        <v>66</v>
      </c>
      <c r="B326" s="708">
        <f>ROUND('Mortality Reduction - Walk'!R48,-3)</f>
        <v>0</v>
      </c>
      <c r="C326" s="3"/>
    </row>
    <row r="327" spans="1:3" ht="15" thickBot="1">
      <c r="A327" s="724" t="s">
        <v>67</v>
      </c>
      <c r="B327" s="725">
        <f>ROUND('Mortality Reduction - Walk'!S48,-3)</f>
        <v>79000</v>
      </c>
      <c r="C327" s="723"/>
    </row>
    <row r="328" spans="1:3" ht="15" customHeight="1" thickTop="1" thickBot="1">
      <c r="A328" s="726" t="s">
        <v>68</v>
      </c>
      <c r="B328" s="703">
        <f>ROUND('Mortality Reduction - Walk'!T48,-3)</f>
        <v>79000</v>
      </c>
      <c r="C328" s="723"/>
    </row>
    <row r="329" spans="1:3" ht="15" thickTop="1">
      <c r="A329" s="690" t="s">
        <v>69</v>
      </c>
      <c r="B329" s="692">
        <f>ROUND('Mortality Reduction - Walk'!U48,-3)</f>
        <v>50000</v>
      </c>
      <c r="C329" s="723"/>
    </row>
    <row r="330" spans="1:3" ht="14.4">
      <c r="A330" s="685"/>
      <c r="B330" s="687"/>
      <c r="C330" s="3"/>
    </row>
    <row r="331" spans="1:3" ht="14.4">
      <c r="A331" s="683"/>
      <c r="B331" s="684"/>
      <c r="C331" s="3"/>
    </row>
    <row r="332" spans="1:3" ht="15.6">
      <c r="A332" s="706" t="s">
        <v>145</v>
      </c>
      <c r="B332" s="3"/>
      <c r="C332" s="3"/>
    </row>
    <row r="333" spans="1:3" ht="14.4">
      <c r="A333" s="1833" t="s">
        <v>145</v>
      </c>
      <c r="B333" s="1834"/>
      <c r="C333" s="3"/>
    </row>
    <row r="334" spans="1:3" ht="15" thickBot="1">
      <c r="A334" s="695" t="s">
        <v>2</v>
      </c>
      <c r="B334" s="697" t="s">
        <v>65</v>
      </c>
      <c r="C334" s="723"/>
    </row>
    <row r="335" spans="1:3" ht="15" thickTop="1">
      <c r="A335" s="714" t="s">
        <v>66</v>
      </c>
      <c r="B335" s="708">
        <f>ROUND('Mortality Reduction - Bike'!R48,-3)</f>
        <v>0</v>
      </c>
      <c r="C335" s="723"/>
    </row>
    <row r="336" spans="1:3" ht="15" thickBot="1">
      <c r="A336" s="724" t="s">
        <v>67</v>
      </c>
      <c r="B336" s="725">
        <f>ROUND('Mortality Reduction - Bike'!S48,-3)</f>
        <v>4051000</v>
      </c>
      <c r="C336" s="723"/>
    </row>
    <row r="337" spans="1:3" ht="15.6" thickTop="1" thickBot="1">
      <c r="A337" s="726" t="s">
        <v>68</v>
      </c>
      <c r="B337" s="701">
        <f>ROUND('Mortality Reduction - Bike'!T48,-3)</f>
        <v>4051000</v>
      </c>
      <c r="C337" s="723"/>
    </row>
    <row r="338" spans="1:3" ht="15" thickTop="1">
      <c r="A338" s="690" t="s">
        <v>69</v>
      </c>
      <c r="B338" s="691">
        <f>ROUND('Mortality Reduction - Bike'!U48,-3)</f>
        <v>2526000</v>
      </c>
      <c r="C338" s="3"/>
    </row>
    <row r="339" spans="1:3" ht="28.5" customHeight="1">
      <c r="A339" s="728"/>
      <c r="B339" s="728"/>
      <c r="C339" s="3"/>
    </row>
    <row r="341" spans="1:3" ht="15.6">
      <c r="A341" s="706" t="s">
        <v>146</v>
      </c>
      <c r="B341" s="3"/>
      <c r="C341" s="3"/>
    </row>
    <row r="342" spans="1:3" ht="14.4">
      <c r="A342" s="1833" t="s">
        <v>147</v>
      </c>
      <c r="B342" s="1834"/>
      <c r="C342" s="723"/>
    </row>
    <row r="343" spans="1:3" ht="15" thickBot="1">
      <c r="A343" s="695" t="s">
        <v>2</v>
      </c>
      <c r="B343" s="695" t="s">
        <v>65</v>
      </c>
      <c r="C343" s="723"/>
    </row>
    <row r="344" spans="1:3" ht="15" thickTop="1">
      <c r="A344" s="714" t="s">
        <v>66</v>
      </c>
      <c r="B344" s="708">
        <f>'Emission Reduction (VMT)'!V48</f>
        <v>0</v>
      </c>
      <c r="C344" s="723"/>
    </row>
    <row r="345" spans="1:3" ht="15" thickBot="1">
      <c r="A345" s="724" t="s">
        <v>67</v>
      </c>
      <c r="B345" s="761">
        <f>'Emission Reduction (VMT)'!W48</f>
        <v>0</v>
      </c>
      <c r="C345" s="723"/>
    </row>
    <row r="346" spans="1:3" ht="15.6" thickTop="1" thickBot="1">
      <c r="A346" s="726" t="s">
        <v>68</v>
      </c>
      <c r="B346" s="703">
        <f>'Emission Reduction (VMT)'!X48</f>
        <v>0</v>
      </c>
      <c r="C346" s="723"/>
    </row>
    <row r="347" spans="1:3" ht="15" thickTop="1">
      <c r="A347" s="690" t="s">
        <v>69</v>
      </c>
      <c r="B347" s="705">
        <f>'Emission Reduction (VMT)'!Y48</f>
        <v>0</v>
      </c>
      <c r="C347" s="3"/>
    </row>
    <row r="348" spans="1:3">
      <c r="A348" s="728"/>
      <c r="B348" s="728"/>
      <c r="C348" s="3"/>
    </row>
    <row r="350" spans="1:3" ht="15.6">
      <c r="A350" s="706" t="s">
        <v>148</v>
      </c>
      <c r="B350" s="3"/>
      <c r="C350" s="3"/>
    </row>
    <row r="351" spans="1:3" ht="14.4">
      <c r="A351" s="1833" t="s">
        <v>149</v>
      </c>
      <c r="B351" s="1834"/>
      <c r="C351" s="723"/>
    </row>
    <row r="352" spans="1:3" ht="15" thickBot="1">
      <c r="A352" s="695" t="s">
        <v>2</v>
      </c>
      <c r="B352" s="695" t="s">
        <v>65</v>
      </c>
      <c r="C352" s="723"/>
    </row>
    <row r="353" spans="1:3" ht="15" thickTop="1">
      <c r="A353" s="714" t="s">
        <v>66</v>
      </c>
      <c r="B353" s="708">
        <f>'Emission Reduction (Metric Ton)'!AD48</f>
        <v>1584000</v>
      </c>
      <c r="C353" s="723"/>
    </row>
    <row r="354" spans="1:3" ht="15" thickBot="1">
      <c r="A354" s="724" t="s">
        <v>67</v>
      </c>
      <c r="B354" s="757">
        <f>'Emission Reduction (Metric Ton)'!AE48</f>
        <v>1824000</v>
      </c>
      <c r="C354" s="3"/>
    </row>
    <row r="355" spans="1:3" ht="15.6" thickTop="1" thickBot="1">
      <c r="A355" s="726" t="s">
        <v>68</v>
      </c>
      <c r="B355" s="701">
        <f>'Emission Reduction (Metric Ton)'!AJ48</f>
        <v>240000</v>
      </c>
      <c r="C355" s="723"/>
    </row>
    <row r="356" spans="1:3" ht="15" thickTop="1">
      <c r="A356" s="690" t="s">
        <v>69</v>
      </c>
      <c r="B356" s="691">
        <f>'Emission Reduction (Metric Ton)'!AK48</f>
        <v>153000</v>
      </c>
      <c r="C356" s="3"/>
    </row>
    <row r="357" spans="1:3">
      <c r="A357" s="728"/>
      <c r="B357" s="728"/>
      <c r="C357" s="3"/>
    </row>
    <row r="359" spans="1:3" ht="15.6">
      <c r="A359" s="706" t="s">
        <v>150</v>
      </c>
      <c r="B359" s="3"/>
      <c r="C359" s="3"/>
    </row>
    <row r="360" spans="1:3" ht="14.4">
      <c r="A360" s="1833" t="s">
        <v>151</v>
      </c>
      <c r="B360" s="1834"/>
      <c r="C360" s="3"/>
    </row>
    <row r="361" spans="1:3" ht="15" thickBot="1">
      <c r="A361" s="695" t="s">
        <v>2</v>
      </c>
      <c r="B361" s="697" t="s">
        <v>65</v>
      </c>
      <c r="C361" s="723"/>
    </row>
    <row r="362" spans="1:3" ht="15" thickTop="1">
      <c r="A362" s="714" t="s">
        <v>66</v>
      </c>
      <c r="B362" s="708">
        <f>'Other Highway Use Externalities'!T48</f>
        <v>423000</v>
      </c>
      <c r="C362" s="723"/>
    </row>
    <row r="363" spans="1:3" ht="15" thickBot="1">
      <c r="A363" s="724" t="s">
        <v>67</v>
      </c>
      <c r="B363" s="725">
        <f>'Other Highway Use Externalities'!U48</f>
        <v>544000</v>
      </c>
      <c r="C363" s="723"/>
    </row>
    <row r="364" spans="1:3" ht="15.6" thickTop="1" thickBot="1">
      <c r="A364" s="726" t="s">
        <v>68</v>
      </c>
      <c r="B364" s="701">
        <f>'Other Highway Use Externalities'!V48</f>
        <v>121000</v>
      </c>
      <c r="C364" s="723"/>
    </row>
    <row r="365" spans="1:3" ht="15" thickTop="1">
      <c r="A365" s="690" t="s">
        <v>69</v>
      </c>
      <c r="B365" s="702">
        <f>'Other Highway Use Externalities'!W48</f>
        <v>76000</v>
      </c>
      <c r="C365" s="723"/>
    </row>
    <row r="366" spans="1:3">
      <c r="A366" s="728"/>
      <c r="B366" s="728"/>
      <c r="C366" s="3"/>
    </row>
    <row r="368" spans="1:3" ht="15.6">
      <c r="A368" s="706" t="s">
        <v>152</v>
      </c>
      <c r="B368" s="3"/>
      <c r="C368" s="3"/>
    </row>
    <row r="369" spans="1:3" ht="16.5" customHeight="1">
      <c r="A369" s="1833" t="s">
        <v>153</v>
      </c>
      <c r="B369" s="1834"/>
      <c r="C369" s="723"/>
    </row>
    <row r="370" spans="1:3" ht="15" thickBot="1">
      <c r="A370" s="695" t="s">
        <v>2</v>
      </c>
      <c r="B370" s="695" t="s">
        <v>65</v>
      </c>
      <c r="C370" s="723"/>
    </row>
    <row r="371" spans="1:3" ht="15" thickTop="1">
      <c r="A371" s="714" t="s">
        <v>66</v>
      </c>
      <c r="B371" s="708">
        <f>ROUND('Auto Idling Env. Benefits'!M48,-3)</f>
        <v>0</v>
      </c>
      <c r="C371" s="3"/>
    </row>
    <row r="372" spans="1:3" ht="15" thickBot="1">
      <c r="A372" s="724" t="s">
        <v>67</v>
      </c>
      <c r="B372" s="757">
        <f>ROUND('Auto Idling Env. Benefits'!T48,-3)</f>
        <v>0</v>
      </c>
      <c r="C372" s="3"/>
    </row>
    <row r="373" spans="1:3" ht="15.6" thickTop="1" thickBot="1">
      <c r="A373" s="726" t="s">
        <v>68</v>
      </c>
      <c r="B373" s="700">
        <f>ROUND('Auto Idling Env. Benefits'!Y48,-3)</f>
        <v>0</v>
      </c>
      <c r="C373" s="3"/>
    </row>
    <row r="374" spans="1:3" ht="15" thickTop="1">
      <c r="A374" s="690" t="s">
        <v>69</v>
      </c>
      <c r="B374" s="692">
        <f>ROUND('Auto Idling Env. Benefits'!Z48,-3)</f>
        <v>0</v>
      </c>
      <c r="C374" s="723"/>
    </row>
    <row r="375" spans="1:3" ht="12" customHeight="1">
      <c r="A375" s="728"/>
      <c r="B375" s="728"/>
      <c r="C375" s="3"/>
    </row>
    <row r="377" spans="1:3" ht="15.6">
      <c r="A377" s="706" t="s">
        <v>154</v>
      </c>
      <c r="B377" s="3"/>
      <c r="C377" s="3"/>
    </row>
    <row r="378" spans="1:3" ht="14.4">
      <c r="A378" s="1833" t="s">
        <v>155</v>
      </c>
      <c r="B378" s="1834"/>
      <c r="C378" s="3"/>
    </row>
    <row r="379" spans="1:3" ht="15" thickBot="1">
      <c r="A379" s="695" t="s">
        <v>2</v>
      </c>
      <c r="B379" s="694" t="s">
        <v>65</v>
      </c>
      <c r="C379" s="723"/>
    </row>
    <row r="380" spans="1:3" ht="15" thickTop="1">
      <c r="A380" s="714" t="s">
        <v>66</v>
      </c>
      <c r="B380" s="709">
        <f>ROUND('Auto Idling Benefit - Fuel'!J48,-3)</f>
        <v>0</v>
      </c>
      <c r="C380" s="723"/>
    </row>
    <row r="381" spans="1:3" ht="15" thickBot="1">
      <c r="A381" s="724" t="s">
        <v>67</v>
      </c>
      <c r="B381" s="757">
        <f>ROUND('Auto Idling Benefit - Fuel'!N48,-3)</f>
        <v>0</v>
      </c>
      <c r="C381" s="723"/>
    </row>
    <row r="382" spans="1:3" ht="15.6" thickTop="1" thickBot="1">
      <c r="A382" s="726" t="s">
        <v>68</v>
      </c>
      <c r="B382" s="703">
        <f>ROUND('Auto Idling Benefit - Fuel'!O48,-3)</f>
        <v>0</v>
      </c>
      <c r="C382" s="723"/>
    </row>
    <row r="383" spans="1:3" ht="15" thickTop="1">
      <c r="A383" s="690" t="s">
        <v>69</v>
      </c>
      <c r="B383" s="704">
        <f>ROUND('Auto Idling Benefit - Fuel'!P48,-3)</f>
        <v>0</v>
      </c>
      <c r="C383" s="723"/>
    </row>
    <row r="384" spans="1:3">
      <c r="A384" s="728"/>
      <c r="B384" s="728"/>
      <c r="C384" s="3"/>
    </row>
    <row r="386" spans="1:3" ht="15.6">
      <c r="A386" s="706" t="s">
        <v>156</v>
      </c>
      <c r="B386" s="3"/>
      <c r="C386" s="3"/>
    </row>
    <row r="387" spans="1:3" ht="14.4">
      <c r="A387" s="1833" t="s">
        <v>157</v>
      </c>
      <c r="B387" s="1834"/>
      <c r="C387" s="723"/>
    </row>
    <row r="388" spans="1:3" ht="15" thickBot="1">
      <c r="A388" s="694" t="s">
        <v>2</v>
      </c>
      <c r="B388" s="695" t="s">
        <v>65</v>
      </c>
      <c r="C388" s="723"/>
    </row>
    <row r="389" spans="1:3" ht="15" thickTop="1">
      <c r="A389" s="707" t="s">
        <v>66</v>
      </c>
      <c r="B389" s="708">
        <f>ROUND('Repurposed ROW'!H48,-3)</f>
        <v>0</v>
      </c>
      <c r="C389" s="723"/>
    </row>
    <row r="390" spans="1:3" ht="15" thickBot="1">
      <c r="A390" s="724" t="s">
        <v>67</v>
      </c>
      <c r="B390" s="757">
        <f>ROUND('Repurposed ROW'!J48,-3)</f>
        <v>0</v>
      </c>
      <c r="C390" s="3"/>
    </row>
    <row r="391" spans="1:3" ht="15.6" thickTop="1" thickBot="1">
      <c r="A391" s="726" t="s">
        <v>68</v>
      </c>
      <c r="B391" s="700">
        <f>ROUND('Repurposed ROW'!K48,-3)</f>
        <v>0</v>
      </c>
      <c r="C391" s="723"/>
    </row>
    <row r="392" spans="1:3" ht="15" thickTop="1">
      <c r="A392" s="690" t="s">
        <v>69</v>
      </c>
      <c r="B392" s="691">
        <f>ROUND('Repurposed ROW'!L48,-3)</f>
        <v>0</v>
      </c>
      <c r="C392" s="3"/>
    </row>
    <row r="393" spans="1:3">
      <c r="A393" s="728"/>
      <c r="B393" s="728"/>
      <c r="C393" s="3"/>
    </row>
    <row r="395" spans="1:3" ht="15.6">
      <c r="A395" s="706" t="s">
        <v>158</v>
      </c>
      <c r="B395" s="3"/>
      <c r="C395" s="3"/>
    </row>
    <row r="396" spans="1:3" ht="14.4">
      <c r="A396" s="1833" t="s">
        <v>158</v>
      </c>
      <c r="B396" s="1834"/>
      <c r="C396" s="723"/>
    </row>
    <row r="397" spans="1:3" ht="15" thickBot="1">
      <c r="A397" s="695" t="s">
        <v>2</v>
      </c>
      <c r="B397" s="695" t="s">
        <v>65</v>
      </c>
      <c r="C397" s="723"/>
    </row>
    <row r="398" spans="1:3" ht="15" thickTop="1">
      <c r="A398" s="714" t="s">
        <v>66</v>
      </c>
      <c r="B398" s="708">
        <f>ROUND('Prop. Tax Inc Sidewalk'!P48,-3)</f>
        <v>0</v>
      </c>
      <c r="C398" s="723"/>
    </row>
    <row r="399" spans="1:3" ht="15" thickBot="1">
      <c r="A399" s="724" t="s">
        <v>67</v>
      </c>
      <c r="B399" s="725">
        <f>ROUND('Prop. Tax Inc Sidewalk'!Q48,-3)</f>
        <v>0</v>
      </c>
      <c r="C399" s="723"/>
    </row>
    <row r="400" spans="1:3" ht="15.6" thickTop="1" thickBot="1">
      <c r="A400" s="726" t="s">
        <v>68</v>
      </c>
      <c r="B400" s="701">
        <f>ROUND('Prop. Tax Inc Sidewalk'!R48,-3)</f>
        <v>0</v>
      </c>
      <c r="C400" s="723"/>
    </row>
    <row r="401" spans="1:3" ht="15" thickTop="1">
      <c r="A401" s="690" t="s">
        <v>69</v>
      </c>
      <c r="B401" s="702">
        <f>ROUND('Prop. Tax Inc Sidewalk'!S48,-3)</f>
        <v>0</v>
      </c>
      <c r="C401" s="723"/>
    </row>
    <row r="402" spans="1:3" ht="26.25" customHeight="1">
      <c r="A402" s="728"/>
      <c r="B402" s="728"/>
      <c r="C402" s="3"/>
    </row>
    <row r="404" spans="1:3" ht="15.6">
      <c r="A404" s="706" t="s">
        <v>159</v>
      </c>
      <c r="B404" s="3"/>
      <c r="C404" s="3"/>
    </row>
    <row r="405" spans="1:3" ht="14.4">
      <c r="A405" s="1833" t="s">
        <v>159</v>
      </c>
      <c r="B405" s="1834"/>
      <c r="C405" s="723"/>
    </row>
    <row r="406" spans="1:3" ht="15" thickBot="1">
      <c r="A406" s="695" t="s">
        <v>2</v>
      </c>
      <c r="B406" s="695" t="s">
        <v>65</v>
      </c>
      <c r="C406" s="3"/>
    </row>
    <row r="407" spans="1:3" ht="15" thickTop="1">
      <c r="A407" s="714" t="s">
        <v>66</v>
      </c>
      <c r="B407" s="708">
        <f>ROUND('Prop. Tax Inc Sidewalk &amp; Bike'!P$48,-3)</f>
        <v>0</v>
      </c>
      <c r="C407" s="723"/>
    </row>
    <row r="408" spans="1:3" ht="15" thickBot="1">
      <c r="A408" s="724" t="s">
        <v>67</v>
      </c>
      <c r="B408" s="725">
        <f>ROUND('Prop. Tax Inc Sidewalk &amp; Bike'!Q48,-3)</f>
        <v>0</v>
      </c>
      <c r="C408" s="723"/>
    </row>
    <row r="409" spans="1:3" ht="15.6" thickTop="1" thickBot="1">
      <c r="A409" s="726" t="s">
        <v>68</v>
      </c>
      <c r="B409" s="701">
        <f>ROUND('Prop. Tax Inc Sidewalk &amp; Bike'!R48,-3)</f>
        <v>0</v>
      </c>
      <c r="C409" s="723"/>
    </row>
    <row r="410" spans="1:3" ht="15" thickTop="1">
      <c r="A410" s="690" t="s">
        <v>69</v>
      </c>
      <c r="B410" s="691">
        <f>ROUND('Prop. Tax Inc Sidewalk &amp; Bike'!S48,-3)</f>
        <v>0</v>
      </c>
      <c r="C410" s="3"/>
    </row>
    <row r="411" spans="1:3" ht="14.4">
      <c r="A411" s="762"/>
      <c r="B411" s="728"/>
      <c r="C411" s="3"/>
    </row>
    <row r="412" spans="1:3" ht="14.4">
      <c r="A412" s="2"/>
      <c r="B412" s="3"/>
      <c r="C412" s="3"/>
    </row>
    <row r="413" spans="1:3" ht="15.6">
      <c r="A413" s="706" t="s">
        <v>160</v>
      </c>
      <c r="B413" s="3"/>
      <c r="C413" s="3"/>
    </row>
    <row r="414" spans="1:3" ht="14.4">
      <c r="A414" s="1833" t="s">
        <v>160</v>
      </c>
      <c r="B414" s="1834"/>
      <c r="C414" s="3"/>
    </row>
    <row r="415" spans="1:3" ht="15" thickBot="1">
      <c r="A415" s="695" t="s">
        <v>2</v>
      </c>
      <c r="B415" s="697" t="s">
        <v>65</v>
      </c>
      <c r="C415" s="723"/>
    </row>
    <row r="416" spans="1:3" ht="15" thickTop="1">
      <c r="A416" s="714" t="s">
        <v>66</v>
      </c>
      <c r="B416" s="708">
        <f>ROUND('Prop. Tax Inc Shared Use Path'!R48,-3)</f>
        <v>0</v>
      </c>
      <c r="C416" s="3"/>
    </row>
    <row r="417" spans="1:3" ht="15" thickBot="1">
      <c r="A417" s="763" t="s">
        <v>67</v>
      </c>
      <c r="B417" s="764">
        <f>ROUND('Prop. Tax Inc Shared Use Path'!S48,-3)</f>
        <v>0</v>
      </c>
      <c r="C417" s="723"/>
    </row>
    <row r="418" spans="1:3" ht="15.6" thickTop="1" thickBot="1">
      <c r="A418" s="726" t="s">
        <v>68</v>
      </c>
      <c r="B418" s="700">
        <f>ROUND('Prop. Tax Inc Shared Use Path'!T48,-3)</f>
        <v>0</v>
      </c>
      <c r="C418" s="723"/>
    </row>
    <row r="419" spans="1:3" ht="15" thickTop="1">
      <c r="A419" s="690" t="s">
        <v>69</v>
      </c>
      <c r="B419" s="691">
        <f>ROUND('Prop. Tax Inc Shared Use Path'!U48,-3)</f>
        <v>0</v>
      </c>
      <c r="C419" s="723"/>
    </row>
    <row r="420" spans="1:3" ht="14.4">
      <c r="A420" s="685"/>
      <c r="B420" s="686"/>
      <c r="C420" s="3"/>
    </row>
    <row r="421" spans="1:3">
      <c r="A421" s="3"/>
      <c r="B421" s="413"/>
      <c r="C421" s="3"/>
    </row>
    <row r="422" spans="1:3">
      <c r="A422" s="16" t="s">
        <v>161</v>
      </c>
      <c r="B422" s="413"/>
      <c r="C422" s="3"/>
    </row>
    <row r="423" spans="1:3">
      <c r="A423" s="3" t="s">
        <v>162</v>
      </c>
      <c r="B423" s="413">
        <f>_xlfn.XLOOKUP('Major Assumption Key'!B3,'Bike Demand'!A23:A63,'Bike Demand'!D23:D63,,0)</f>
        <v>168.39254848273887</v>
      </c>
      <c r="C423" s="3"/>
    </row>
    <row r="424" spans="1:3">
      <c r="A424" s="3"/>
      <c r="B424" s="413"/>
      <c r="C424" s="3"/>
    </row>
    <row r="425" spans="1:3">
      <c r="A425" s="3"/>
      <c r="B425" s="413"/>
      <c r="C425" s="3"/>
    </row>
    <row r="426" spans="1:3">
      <c r="A426" s="16" t="s">
        <v>163</v>
      </c>
      <c r="B426" s="413"/>
      <c r="C426" s="3"/>
    </row>
    <row r="427" spans="1:3" ht="14.4">
      <c r="A427" s="2" t="s">
        <v>164</v>
      </c>
      <c r="B427" s="413">
        <f>_xlfn.XLOOKUP('Major Assumption Key'!$B$3,'VMT Reduction Supporting'!A21:A61,'VMT Reduction Supporting'!C21:C61,,0)</f>
        <v>1659.1097408404594</v>
      </c>
      <c r="C427" s="3"/>
    </row>
    <row r="428" spans="1:3" ht="14.4">
      <c r="A428" s="2" t="s">
        <v>165</v>
      </c>
      <c r="B428" s="413">
        <f>_xlfn.XLOOKUP('Major Assumption Key'!$B$3,'VMT Reduction Supporting'!A21:A61,'VMT Reduction Supporting'!F21:F61,,0)</f>
        <v>22674.499791486269</v>
      </c>
      <c r="C428" s="3"/>
    </row>
    <row r="429" spans="1:3">
      <c r="A429" s="3"/>
      <c r="B429" s="413"/>
      <c r="C429" s="3"/>
    </row>
    <row r="430" spans="1:3">
      <c r="A430" s="765" t="s">
        <v>166</v>
      </c>
      <c r="B430" s="413"/>
      <c r="C430" s="3"/>
    </row>
    <row r="431" spans="1:3">
      <c r="A431" s="3" t="s">
        <v>167</v>
      </c>
      <c r="B431" s="413">
        <f>_xlfn.XLOOKUP('Major Assumption Key'!B3,'Pedestrian Demand'!A43:A83,'Pedestrian Demand'!D43:D83,,0)</f>
        <v>2.9004248688944578</v>
      </c>
      <c r="C431" s="3"/>
    </row>
    <row r="432" spans="1:3">
      <c r="A432" s="3"/>
      <c r="B432" s="413"/>
      <c r="C432" s="3"/>
    </row>
    <row r="433" spans="1:2">
      <c r="A433" s="3"/>
      <c r="B433" s="413"/>
    </row>
    <row r="434" spans="1:2">
      <c r="A434" s="16" t="s">
        <v>168</v>
      </c>
      <c r="B434" s="413"/>
    </row>
    <row r="435" spans="1:2">
      <c r="A435" s="3" t="s">
        <v>169</v>
      </c>
      <c r="B435" s="413">
        <f>_xlfn.XLOOKUP('Major Assumption Key'!$B$3,'VMT Reduction Supporting'!A21:A61,'VMT Reduction Supporting'!B21:B61,,0)</f>
        <v>24057.091242186652</v>
      </c>
    </row>
    <row r="436" spans="1:2">
      <c r="A436" s="3" t="s">
        <v>170</v>
      </c>
      <c r="B436" s="413">
        <f>_xlfn.XLOOKUP('Major Assumption Key'!$B$3,'VMT Reduction Supporting'!A21:A61,'VMT Reduction Supporting'!E21:E61,,0)</f>
        <v>24419.06426582468</v>
      </c>
    </row>
    <row r="437" spans="1:2">
      <c r="A437" s="3"/>
      <c r="B437" s="413"/>
    </row>
    <row r="438" spans="1:2">
      <c r="A438" s="3"/>
      <c r="B438" s="413"/>
    </row>
    <row r="439" spans="1:2">
      <c r="A439" s="16" t="s">
        <v>171</v>
      </c>
      <c r="B439" s="413"/>
    </row>
    <row r="440" spans="1:2">
      <c r="A440" s="3" t="s">
        <v>172</v>
      </c>
      <c r="B440" s="413">
        <f>_xlfn.XLOOKUP('Major Assumption Key'!B3,'Transit Demand'!A55:A95,'Transit Demand'!B55:B95,,0)</f>
        <v>17573.35000683722</v>
      </c>
    </row>
    <row r="441" spans="1:2">
      <c r="A441" s="3" t="s">
        <v>173</v>
      </c>
      <c r="B441" s="413">
        <f>_xlfn.XLOOKUP('Major Assumption Key'!B3,'Transit Demand'!A55:A95,'Transit Demand'!C55:C95,,0)</f>
        <v>19840.312157719221</v>
      </c>
    </row>
    <row r="442" spans="1:2">
      <c r="A442" s="3"/>
      <c r="B442" s="413"/>
    </row>
    <row r="443" spans="1:2">
      <c r="A443" s="3"/>
      <c r="B443" s="413"/>
    </row>
    <row r="444" spans="1:2">
      <c r="A444" s="16" t="s">
        <v>174</v>
      </c>
      <c r="B444" s="413"/>
    </row>
    <row r="445" spans="1:2">
      <c r="A445" s="3" t="s">
        <v>169</v>
      </c>
      <c r="B445" s="413">
        <f>_xlfn.XLOOKUP('Major Assumption Key'!$B$3,'VMT Reduction Supporting'!A21:A61,'VMT Reduction Supporting'!D21:D61,,0)</f>
        <v>99567.464200691262</v>
      </c>
    </row>
    <row r="446" spans="1:2">
      <c r="A446" s="3" t="s">
        <v>170</v>
      </c>
      <c r="B446" s="413">
        <f>_xlfn.XLOOKUP('Major Assumption Key'!$B$3,'VMT Reduction Supporting'!A21:A61,'VMT Reduction Supporting'!G21:G61,,0)</f>
        <v>112411.66708258043</v>
      </c>
    </row>
    <row r="447" spans="1:2">
      <c r="A447" s="3"/>
      <c r="B447" s="413"/>
    </row>
  </sheetData>
  <mergeCells count="88">
    <mergeCell ref="A163:G163"/>
    <mergeCell ref="A164:A165"/>
    <mergeCell ref="A177:A178"/>
    <mergeCell ref="B177:D177"/>
    <mergeCell ref="E177:G177"/>
    <mergeCell ref="A176:G176"/>
    <mergeCell ref="A169:A170"/>
    <mergeCell ref="A211:B211"/>
    <mergeCell ref="A194:B194"/>
    <mergeCell ref="E182:G182"/>
    <mergeCell ref="A186:G186"/>
    <mergeCell ref="A181:G181"/>
    <mergeCell ref="A182:A183"/>
    <mergeCell ref="B182:D182"/>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97:D97"/>
    <mergeCell ref="A127:F127"/>
    <mergeCell ref="A143:A144"/>
    <mergeCell ref="B143:B144"/>
    <mergeCell ref="C143:C144"/>
    <mergeCell ref="D143:D144"/>
    <mergeCell ref="E143:E144"/>
    <mergeCell ref="F143:F144"/>
    <mergeCell ref="C152:C153"/>
    <mergeCell ref="A158:G158"/>
    <mergeCell ref="A159:A160"/>
    <mergeCell ref="B159:D159"/>
    <mergeCell ref="E159:G159"/>
    <mergeCell ref="F152:F153"/>
  </mergeCells>
  <phoneticPr fontId="106"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workbookViewId="0"/>
  </sheetViews>
  <sheetFormatPr defaultColWidth="8.77734375" defaultRowHeight="14.4"/>
  <cols>
    <col min="1" max="1" width="55" style="2" customWidth="1"/>
    <col min="2" max="3" width="28.21875" style="2" customWidth="1"/>
    <col min="4" max="4" width="36.5546875" style="2" customWidth="1"/>
    <col min="5" max="5" width="7.5546875" style="2" customWidth="1"/>
    <col min="6" max="6" width="31" style="2" customWidth="1"/>
    <col min="7" max="13" width="33.77734375" style="2" hidden="1" customWidth="1"/>
    <col min="14" max="14" width="19.77734375" style="2" hidden="1" customWidth="1"/>
    <col min="15" max="21" width="42.21875" style="2" customWidth="1"/>
    <col min="22" max="22" width="19.77734375" style="2" customWidth="1"/>
    <col min="23" max="23" width="20" style="2" bestFit="1" customWidth="1"/>
    <col min="24" max="24" width="18.21875" style="2" bestFit="1" customWidth="1"/>
    <col min="25" max="25" width="15.21875" style="5" bestFit="1" customWidth="1"/>
    <col min="26" max="26" width="16.5546875" style="5" customWidth="1"/>
    <col min="27" max="29" width="19.44140625" style="5" customWidth="1"/>
    <col min="30" max="30" width="4.5546875" style="5" customWidth="1"/>
    <col min="31" max="31" width="9.21875" style="5" bestFit="1" customWidth="1"/>
    <col min="32" max="32" width="16.77734375" style="9" customWidth="1"/>
    <col min="33" max="33" width="34.44140625" style="5" bestFit="1" customWidth="1"/>
    <col min="34" max="34" width="18.77734375" style="5" customWidth="1"/>
    <col min="35" max="35" width="40.21875" style="5" customWidth="1"/>
    <col min="36" max="36" width="30.21875" style="5" customWidth="1"/>
    <col min="37" max="16384" width="8.77734375" style="5"/>
  </cols>
  <sheetData>
    <row r="1" spans="1:33" ht="25.2" customHeight="1">
      <c r="A1" s="271" t="s">
        <v>185</v>
      </c>
      <c r="B1" s="42" t="s">
        <v>799</v>
      </c>
      <c r="C1" s="847"/>
      <c r="D1" s="766"/>
      <c r="E1" s="766"/>
      <c r="F1" s="33" t="s">
        <v>187</v>
      </c>
      <c r="G1" s="45" t="str">
        <f>HYPERLINK("#'"&amp;INDEX('Master Key'!$B:$B,MATCH("Master Key",'Master Key'!$B:$B,0),1)&amp;"'!A1","Go To Sheet")</f>
        <v>Go To Sheet</v>
      </c>
      <c r="H1" s="45"/>
      <c r="I1" s="45"/>
      <c r="J1" s="45"/>
      <c r="K1" s="45"/>
      <c r="L1" s="45"/>
      <c r="M1" s="45"/>
    </row>
    <row r="2" spans="1:33" ht="15" thickBot="1">
      <c r="A2" s="769"/>
      <c r="B2" s="769"/>
      <c r="C2" s="769"/>
      <c r="D2" s="767"/>
      <c r="E2" s="767"/>
    </row>
    <row r="3" spans="1:33" ht="60" customHeight="1">
      <c r="A3" s="154" t="s">
        <v>482</v>
      </c>
      <c r="B3" s="1884" t="s">
        <v>800</v>
      </c>
      <c r="C3" s="1884"/>
      <c r="D3" s="1884"/>
      <c r="E3" s="769"/>
      <c r="F3" s="1940" t="s">
        <v>801</v>
      </c>
      <c r="G3" s="1941"/>
      <c r="H3" s="1941"/>
      <c r="I3" s="1941"/>
      <c r="J3" s="1941"/>
      <c r="K3" s="1941"/>
      <c r="L3" s="1941"/>
      <c r="M3" s="1941"/>
      <c r="N3" s="1941"/>
      <c r="O3" s="1941"/>
      <c r="P3" s="1941"/>
      <c r="Q3" s="1941"/>
      <c r="R3" s="1941"/>
      <c r="S3" s="1941"/>
      <c r="T3" s="1941"/>
      <c r="U3" s="1941"/>
      <c r="V3" s="1941"/>
      <c r="W3" s="1941"/>
      <c r="X3" s="1942"/>
      <c r="Y3" s="290"/>
      <c r="Z3" s="1937" t="s">
        <v>420</v>
      </c>
      <c r="AA3" s="1937"/>
      <c r="AB3" s="1937"/>
      <c r="AC3" s="1937"/>
      <c r="AG3" s="7"/>
    </row>
    <row r="4" spans="1:33">
      <c r="C4" s="767"/>
      <c r="D4" s="767"/>
      <c r="E4" s="769"/>
      <c r="F4" s="34" t="s">
        <v>508</v>
      </c>
      <c r="G4" s="1945" t="s">
        <v>66</v>
      </c>
      <c r="H4" s="1946"/>
      <c r="I4" s="1946"/>
      <c r="J4" s="1946"/>
      <c r="K4" s="1946"/>
      <c r="L4" s="1946"/>
      <c r="M4" s="1947"/>
      <c r="N4" s="35" t="s">
        <v>66</v>
      </c>
      <c r="O4" s="1945" t="s">
        <v>131</v>
      </c>
      <c r="P4" s="1946"/>
      <c r="Q4" s="1946"/>
      <c r="R4" s="1946"/>
      <c r="S4" s="1946"/>
      <c r="T4" s="1946"/>
      <c r="U4" s="1947"/>
      <c r="V4" s="36" t="s">
        <v>131</v>
      </c>
      <c r="W4" s="1933" t="s">
        <v>488</v>
      </c>
      <c r="X4" s="1934"/>
      <c r="Y4" s="290"/>
      <c r="Z4" s="35" t="s">
        <v>66</v>
      </c>
      <c r="AA4" s="36" t="s">
        <v>131</v>
      </c>
      <c r="AB4" s="1933" t="s">
        <v>488</v>
      </c>
      <c r="AC4" s="1934"/>
    </row>
    <row r="5" spans="1:33" ht="60" customHeight="1" thickBot="1">
      <c r="A5" s="156" t="s">
        <v>489</v>
      </c>
      <c r="B5" s="1885" t="s">
        <v>802</v>
      </c>
      <c r="C5" s="1885"/>
      <c r="D5" s="1885"/>
      <c r="E5" s="767"/>
      <c r="F5" s="32" t="s">
        <v>518</v>
      </c>
      <c r="G5" s="15" t="s">
        <v>803</v>
      </c>
      <c r="H5" s="15" t="s">
        <v>804</v>
      </c>
      <c r="I5" s="15" t="s">
        <v>805</v>
      </c>
      <c r="J5" s="15" t="s">
        <v>806</v>
      </c>
      <c r="K5" s="15" t="s">
        <v>807</v>
      </c>
      <c r="L5" s="15" t="s">
        <v>808</v>
      </c>
      <c r="M5" s="15" t="s">
        <v>809</v>
      </c>
      <c r="N5" s="29" t="s">
        <v>15</v>
      </c>
      <c r="O5" s="15" t="s">
        <v>810</v>
      </c>
      <c r="P5" s="15" t="s">
        <v>804</v>
      </c>
      <c r="Q5" s="15" t="s">
        <v>805</v>
      </c>
      <c r="R5" s="15" t="s">
        <v>806</v>
      </c>
      <c r="S5" s="15" t="s">
        <v>807</v>
      </c>
      <c r="T5" s="15" t="s">
        <v>808</v>
      </c>
      <c r="U5" s="15" t="s">
        <v>809</v>
      </c>
      <c r="V5" s="31" t="s">
        <v>15</v>
      </c>
      <c r="W5" s="1943"/>
      <c r="X5" s="1944"/>
      <c r="Y5" s="290"/>
      <c r="Z5" s="29" t="s">
        <v>15</v>
      </c>
      <c r="AA5" s="31" t="s">
        <v>15</v>
      </c>
      <c r="AB5" s="1935"/>
      <c r="AC5" s="1936"/>
    </row>
    <row r="6" spans="1:33" ht="28.8">
      <c r="C6" s="767"/>
      <c r="D6" s="767"/>
      <c r="E6" s="767"/>
      <c r="F6" s="32"/>
      <c r="G6" s="15" t="s">
        <v>811</v>
      </c>
      <c r="H6" s="15" t="s">
        <v>811</v>
      </c>
      <c r="I6" s="15" t="s">
        <v>811</v>
      </c>
      <c r="J6" s="15" t="s">
        <v>811</v>
      </c>
      <c r="K6" s="15" t="s">
        <v>811</v>
      </c>
      <c r="L6" s="15" t="s">
        <v>811</v>
      </c>
      <c r="M6" s="15" t="s">
        <v>811</v>
      </c>
      <c r="N6" s="29" t="s">
        <v>812</v>
      </c>
      <c r="O6" s="15" t="s">
        <v>811</v>
      </c>
      <c r="P6" s="15" t="s">
        <v>811</v>
      </c>
      <c r="Q6" s="15" t="s">
        <v>811</v>
      </c>
      <c r="R6" s="15" t="s">
        <v>811</v>
      </c>
      <c r="S6" s="15" t="s">
        <v>811</v>
      </c>
      <c r="T6" s="15" t="s">
        <v>811</v>
      </c>
      <c r="U6" s="15" t="s">
        <v>811</v>
      </c>
      <c r="V6" s="31" t="s">
        <v>812</v>
      </c>
      <c r="W6" s="23" t="s">
        <v>419</v>
      </c>
      <c r="X6" s="24" t="str">
        <f>"Discounted @ "&amp;TEXT('Major Assumption Key'!$B$8,"0.0%")</f>
        <v>Discounted @ 3.1%</v>
      </c>
      <c r="Y6" s="290"/>
      <c r="Z6" s="29" t="s">
        <v>812</v>
      </c>
      <c r="AA6" s="31" t="s">
        <v>812</v>
      </c>
      <c r="AB6" s="23" t="s">
        <v>419</v>
      </c>
      <c r="AC6" s="24" t="str">
        <f>"Discounted @ "&amp;TEXT('Major Assumption Key'!$B$8,"0.0%")</f>
        <v>Discounted @ 3.1%</v>
      </c>
    </row>
    <row r="7" spans="1:33" ht="19.95" customHeight="1">
      <c r="A7" s="767"/>
      <c r="B7" s="767"/>
      <c r="C7" s="767"/>
      <c r="D7" s="767"/>
      <c r="E7" s="767"/>
      <c r="F7" s="772">
        <f>'Major Assumption Key'!A19</f>
        <v>2020</v>
      </c>
      <c r="G7" s="40">
        <f>IF(AND($F7&gt;=MIN($C$28),$F7&lt;=MAX($D$28)),SUMPRODUCT('BCA Guide - Parameter Values'!$C$6:$C$11,'Road Safety CRTMeasure'!$G$7:$G$12)+'Road Safety CRTMeasure'!$G$6*'BCA Guide - Parameter Values'!$C$14,0)</f>
        <v>0</v>
      </c>
      <c r="H7" s="40">
        <f>IF(AND($F7&gt;=MIN($C$29),$F7&lt;=MAX($D$29)),SUMPRODUCT('BCA Guide - Parameter Values'!$C$6:$C$11,'Road Safety CRTMeasure'!$G$19:$G$24)+'Road Safety CRTMeasure'!$G$18*'BCA Guide - Parameter Values'!$C$14,0)</f>
        <v>0</v>
      </c>
      <c r="I7" s="40">
        <f>IF(AND($F7&gt;=MIN($C$30),$F7&lt;=MAX($D$30)),SUMPRODUCT('BCA Guide - Parameter Values'!$C$6:$C$11,'Road Safety CRTMeasure'!$G$31:$G$36)+'Road Safety CRTMeasure'!$G$30*'BCA Guide - Parameter Values'!$C$14,0)</f>
        <v>0</v>
      </c>
      <c r="J7" s="40">
        <f>IF(AND($F7&gt;=MIN($C$31),$F7&lt;=MAX($D$31)),SUMPRODUCT('BCA Guide - Parameter Values'!$C$6:$C$11,'Road Safety CRTMeasure'!$G$43:$G$48)+'Road Safety CRTMeasure'!$G$42*'BCA Guide - Parameter Values'!$C$14,0)</f>
        <v>0</v>
      </c>
      <c r="K7" s="40">
        <f>IF(AND($F7&gt;=MIN($C$32),$F7&lt;=MAX($D$32)),SUMPRODUCT('BCA Guide - Parameter Values'!$C$6:$C$11,'Road Safety CRTMeasure'!$G$55:$G$60)+'Road Safety CRTMeasure'!$G$54*'BCA Guide - Parameter Values'!$C$14,0)</f>
        <v>0</v>
      </c>
      <c r="L7" s="40">
        <f>IF(AND($F7&gt;=MIN($C$33),$F7&lt;=MAX($D$33)),SUMPRODUCT('BCA Guide - Parameter Values'!$C$6:$C$11,'Road Safety CRTMeasure'!$G$67:$G$72)+'Road Safety CRTMeasure'!$G$66*'BCA Guide - Parameter Values'!$C$14,0)</f>
        <v>0</v>
      </c>
      <c r="M7" s="40">
        <f>IF(AND($F7&gt;=MIN($C$34),$F7&lt;=MAX($D$34)),SUMPRODUCT('BCA Guide - Parameter Values'!$C$6:$C$11,'Road Safety CRTMeasure'!$G$79:$G$84)+'Road Safety CRTMeasure'!$G$78*'BCA Guide - Parameter Values'!$C$14,0)</f>
        <v>0</v>
      </c>
      <c r="N7" s="784">
        <f>IF(AND(F7&gt;='Major Assumption Key'!$B$4,F7&lt;='Major Assumption Key'!$B$6),SUM(G7:M7),0)</f>
        <v>0</v>
      </c>
      <c r="O7" s="40">
        <f>IF(AND($F7&gt;=$C$28,$F7&lt;=$D$28),SUMPRODUCT('BCA Guide - Parameter Values'!$C$6:$C$11,'Road Safety CRTMeasure'!$H$7:$H$12)+'Road Safety CRTMeasure'!$H$6*'BCA Guide - Parameter Values'!$C$14,0)</f>
        <v>0</v>
      </c>
      <c r="P7" s="298">
        <f>IF(AND($F7&gt;=MIN($C$29),$F7&lt;=MAX($D$29)),SUMPRODUCT('BCA Guide - Parameter Values'!$C$6:$C$11,'Road Safety CRTMeasure'!$H$19:$H$24)+'Road Safety CRTMeasure'!$H$18*'BCA Guide - Parameter Values'!$C$14,0)</f>
        <v>0</v>
      </c>
      <c r="Q7" s="298">
        <f>IF(AND($F7&gt;=MIN($C$30),$F7&lt;=MAX($D$30)),SUMPRODUCT('BCA Guide - Parameter Values'!$C$6:$C$11,'Road Safety CRTMeasure'!$H$31:$H$36)+'Road Safety CRTMeasure'!$H$30*'BCA Guide - Parameter Values'!$C$14,0)</f>
        <v>0</v>
      </c>
      <c r="R7" s="298">
        <f>IF(AND($F7&gt;=MIN($C$31),$F7&lt;=MAX($D$31)),SUMPRODUCT('BCA Guide - Parameter Values'!$C$6:$C$11,'Road Safety CRTMeasure'!$H$43:$H$48)+'Road Safety CRTMeasure'!$H$42*'BCA Guide - Parameter Values'!$C$14,0)</f>
        <v>0</v>
      </c>
      <c r="S7" s="298">
        <f>IF(AND($F7&gt;=MIN($C$32),$F7&lt;=MAX($D$32)),SUMPRODUCT('BCA Guide - Parameter Values'!$C$6:$C$11,'Road Safety CRTMeasure'!$H$55:$H$60)+'Road Safety CRTMeasure'!$H$54*'BCA Guide - Parameter Values'!$C$14,0)</f>
        <v>0</v>
      </c>
      <c r="T7" s="298">
        <f>IF(AND($F7&gt;=MIN($C$33),$F7&lt;=MAX($D$33)),SUMPRODUCT('BCA Guide - Parameter Values'!$C$6:$C$11,'Road Safety CRTMeasure'!$H$67:$H$72)+'Road Safety CRTMeasure'!$H$66*'BCA Guide - Parameter Values'!$C$14,0)</f>
        <v>0</v>
      </c>
      <c r="U7" s="298">
        <f>IF(AND($F7&gt;=MIN($C$34),$F7&lt;=MAX($D$34)),SUMPRODUCT('BCA Guide - Parameter Values'!$C$6:$C$11,'Road Safety CRTMeasure'!$H$79:$H$84)+'Road Safety CRTMeasure'!$H$78*'BCA Guide - Parameter Values'!$C$14,0)</f>
        <v>0</v>
      </c>
      <c r="V7" s="848">
        <f>IF(AND(F7&gt;='Major Assumption Key'!$B$4,F7&lt;='Major Assumption Key'!$B$6),SUM(O7:U7),0)</f>
        <v>0</v>
      </c>
      <c r="W7" s="37">
        <f t="shared" ref="W7" si="0">(V7-N7)*-1</f>
        <v>0</v>
      </c>
      <c r="X7" s="38">
        <f>W7/(1+'Major Assumption Key'!$B$8)^($F7-'Major Assumption Key'!$B$7)</f>
        <v>0</v>
      </c>
      <c r="Y7" s="290"/>
      <c r="Z7" s="784">
        <f t="shared" ref="Z7" si="1">ROUND(N7,-3)</f>
        <v>0</v>
      </c>
      <c r="AA7" s="848">
        <f t="shared" ref="AA7:AA48" si="2">ROUND(V7,-3)</f>
        <v>0</v>
      </c>
      <c r="AB7" s="37">
        <f t="shared" ref="AB7:AB48" si="3">ROUND(W7,-3)</f>
        <v>0</v>
      </c>
      <c r="AC7" s="38">
        <f t="shared" ref="AC7:AC48" si="4">ROUND(X7,-3)</f>
        <v>0</v>
      </c>
    </row>
    <row r="8" spans="1:33" ht="19.95" customHeight="1">
      <c r="E8" s="767"/>
      <c r="F8" s="772">
        <f>'Major Assumption Key'!A20</f>
        <v>2021</v>
      </c>
      <c r="G8" s="40">
        <f>IF(AND($F8&gt;=MIN($C$28),$F8&lt;=MAX($D$28)),SUMPRODUCT('BCA Guide - Parameter Values'!$C$6:$C$11,'Road Safety CRTMeasure'!$G$7:$G$12)+'Road Safety CRTMeasure'!$G$6*'BCA Guide - Parameter Values'!$C$14,0)</f>
        <v>0</v>
      </c>
      <c r="H8" s="40">
        <f>IF(AND($F8&gt;=MIN($C$29),$F8&lt;=MAX($D$29)),SUMPRODUCT('BCA Guide - Parameter Values'!$C$6:$C$11,'Road Safety CRTMeasure'!$G$19:$G$24)+'Road Safety CRTMeasure'!$G$18*'BCA Guide - Parameter Values'!$C$14,0)</f>
        <v>0</v>
      </c>
      <c r="I8" s="40">
        <f>IF(AND($F8&gt;=MIN($C$30),$F8&lt;=MAX($D$30)),SUMPRODUCT('BCA Guide - Parameter Values'!$C$6:$C$11,'Road Safety CRTMeasure'!$G$31:$G$36)+'Road Safety CRTMeasure'!$G$30*'BCA Guide - Parameter Values'!$C$14,0)</f>
        <v>0</v>
      </c>
      <c r="J8" s="40">
        <f>IF(AND($F8&gt;=MIN($C$31),$F8&lt;=MAX($D$31)),SUMPRODUCT('BCA Guide - Parameter Values'!$C$6:$C$11,'Road Safety CRTMeasure'!$G$43:$G$48)+'Road Safety CRTMeasure'!$G$42*'BCA Guide - Parameter Values'!$C$14,0)</f>
        <v>0</v>
      </c>
      <c r="K8" s="40">
        <f>IF(AND($F8&gt;=MIN($C$32),$F8&lt;=MAX($D$32)),SUMPRODUCT('BCA Guide - Parameter Values'!$C$6:$C$11,'Road Safety CRTMeasure'!$G$55:$G$60)+'Road Safety CRTMeasure'!$G$54*'BCA Guide - Parameter Values'!$C$14,0)</f>
        <v>0</v>
      </c>
      <c r="L8" s="40">
        <f>IF(AND($F8&gt;=MIN($C$33),$F8&lt;=MAX($D$33)),SUMPRODUCT('BCA Guide - Parameter Values'!$C$6:$C$11,'Road Safety CRTMeasure'!$G$67:$G$72)+'Road Safety CRTMeasure'!$G$66*'BCA Guide - Parameter Values'!$C$14,0)</f>
        <v>0</v>
      </c>
      <c r="M8" s="40">
        <f>IF(AND($F8&gt;=MIN($C$34),$F8&lt;=MAX($D$34)),SUMPRODUCT('BCA Guide - Parameter Values'!$C$6:$C$11,'Road Safety CRTMeasure'!$G$79:$G$84)+'Road Safety CRTMeasure'!$G$78*'BCA Guide - Parameter Values'!$C$14,0)</f>
        <v>0</v>
      </c>
      <c r="N8" s="784">
        <f>IF(AND(F8&gt;='Major Assumption Key'!$B$4,F8&lt;='Major Assumption Key'!$B$6),SUM(G8:M8),0)</f>
        <v>0</v>
      </c>
      <c r="O8" s="40">
        <f>IF(AND($F8&gt;=$C$28,$F8&lt;=$D$28),SUMPRODUCT('BCA Guide - Parameter Values'!$C$6:$C$11,'Road Safety CRTMeasure'!$H$7:$H$12)+'Road Safety CRTMeasure'!$H$6*'BCA Guide - Parameter Values'!$C$14,0)</f>
        <v>0</v>
      </c>
      <c r="P8" s="298">
        <f>IF(AND($F8&gt;=MIN($C$29),$F8&lt;=MAX($D$29)),SUMPRODUCT('BCA Guide - Parameter Values'!$C$6:$C$11,'Road Safety CRTMeasure'!$H$19:$H$24)+'Road Safety CRTMeasure'!$H$18*'BCA Guide - Parameter Values'!$C$14,0)</f>
        <v>0</v>
      </c>
      <c r="Q8" s="298">
        <f>IF(AND($F8&gt;=MIN($C$30),$F8&lt;=MAX($D$30)),SUMPRODUCT('BCA Guide - Parameter Values'!$C$6:$C$11,'Road Safety CRTMeasure'!$H$31:$H$36)+'Road Safety CRTMeasure'!$H$30*'BCA Guide - Parameter Values'!$C$14,0)</f>
        <v>0</v>
      </c>
      <c r="R8" s="298">
        <f>IF(AND($F8&gt;=MIN($C$31),$F8&lt;=MAX($D$31)),SUMPRODUCT('BCA Guide - Parameter Values'!$C$6:$C$11,'Road Safety CRTMeasure'!$H$43:$H$48)+'Road Safety CRTMeasure'!$H$42*'BCA Guide - Parameter Values'!$C$14,0)</f>
        <v>0</v>
      </c>
      <c r="S8" s="298">
        <f>IF(AND($F8&gt;=MIN($C$32),$F8&lt;=MAX($D$32)),SUMPRODUCT('BCA Guide - Parameter Values'!$C$6:$C$11,'Road Safety CRTMeasure'!$H$55:$H$60)+'Road Safety CRTMeasure'!$H$54*'BCA Guide - Parameter Values'!$C$14,0)</f>
        <v>0</v>
      </c>
      <c r="T8" s="298">
        <f>IF(AND($F8&gt;=MIN($C$33),$F8&lt;=MAX($D$33)),SUMPRODUCT('BCA Guide - Parameter Values'!$C$6:$C$11,'Road Safety CRTMeasure'!$H$67:$H$72)+'Road Safety CRTMeasure'!$H$66*'BCA Guide - Parameter Values'!$C$14,0)</f>
        <v>0</v>
      </c>
      <c r="U8" s="298">
        <f>IF(AND($F8&gt;=MIN($C$34),$F8&lt;=MAX($D$34)),SUMPRODUCT('BCA Guide - Parameter Values'!$C$6:$C$11,'Road Safety CRTMeasure'!$H$79:$H$84)+'Road Safety CRTMeasure'!$H$78*'BCA Guide - Parameter Values'!$C$14,0)</f>
        <v>0</v>
      </c>
      <c r="V8" s="848">
        <f>IF(AND(F8&gt;='Major Assumption Key'!$B$4,F8&lt;='Major Assumption Key'!$B$6),SUM(O8:U8),0)</f>
        <v>0</v>
      </c>
      <c r="W8" s="37">
        <f t="shared" ref="W8:W47" si="5">(V8-N8)*-1</f>
        <v>0</v>
      </c>
      <c r="X8" s="38">
        <f>W8/(1+'Major Assumption Key'!$B$8)^($F8-'Major Assumption Key'!$B$7)</f>
        <v>0</v>
      </c>
      <c r="Y8" s="290"/>
      <c r="Z8" s="784">
        <f t="shared" ref="Z8:Z47" si="6">ROUND(N8,-3)</f>
        <v>0</v>
      </c>
      <c r="AA8" s="848">
        <f t="shared" ref="AA8:AA47" si="7">ROUND(V8,-3)</f>
        <v>0</v>
      </c>
      <c r="AB8" s="37">
        <f t="shared" ref="AB8:AB47" si="8">ROUND(W8,-3)</f>
        <v>0</v>
      </c>
      <c r="AC8" s="38">
        <f t="shared" ref="AC8:AC47" si="9">ROUND(X8,-3)</f>
        <v>0</v>
      </c>
    </row>
    <row r="9" spans="1:33" ht="19.95" customHeight="1">
      <c r="A9" s="1888" t="s">
        <v>432</v>
      </c>
      <c r="B9" s="1889"/>
      <c r="C9" s="1889"/>
      <c r="D9" s="1890"/>
      <c r="E9" s="767"/>
      <c r="F9" s="772">
        <f>'Major Assumption Key'!A21</f>
        <v>2022</v>
      </c>
      <c r="G9" s="40">
        <f>IF(AND($F9&gt;=MIN($C$28),$F9&lt;=MAX($D$28)),SUMPRODUCT('BCA Guide - Parameter Values'!$C$6:$C$11,'Road Safety CRTMeasure'!$G$7:$G$12)+'Road Safety CRTMeasure'!$G$6*'BCA Guide - Parameter Values'!$C$14,0)</f>
        <v>0</v>
      </c>
      <c r="H9" s="40">
        <f>IF(AND($F9&gt;=MIN($C$29),$F9&lt;=MAX($D$29)),SUMPRODUCT('BCA Guide - Parameter Values'!$C$6:$C$11,'Road Safety CRTMeasure'!$G$19:$G$24)+'Road Safety CRTMeasure'!$G$18*'BCA Guide - Parameter Values'!$C$14,0)</f>
        <v>0</v>
      </c>
      <c r="I9" s="40">
        <f>IF(AND($F9&gt;=MIN($C$30),$F9&lt;=MAX($D$30)),SUMPRODUCT('BCA Guide - Parameter Values'!$C$6:$C$11,'Road Safety CRTMeasure'!$G$31:$G$36)+'Road Safety CRTMeasure'!$G$30*'BCA Guide - Parameter Values'!$C$14,0)</f>
        <v>0</v>
      </c>
      <c r="J9" s="40">
        <f>IF(AND($F9&gt;=MIN($C$31),$F9&lt;=MAX($D$31)),SUMPRODUCT('BCA Guide - Parameter Values'!$C$6:$C$11,'Road Safety CRTMeasure'!$G$43:$G$48)+'Road Safety CRTMeasure'!$G$42*'BCA Guide - Parameter Values'!$C$14,0)</f>
        <v>0</v>
      </c>
      <c r="K9" s="40">
        <f>IF(AND($F9&gt;=MIN($C$32),$F9&lt;=MAX($D$32)),SUMPRODUCT('BCA Guide - Parameter Values'!$C$6:$C$11,'Road Safety CRTMeasure'!$G$55:$G$60)+'Road Safety CRTMeasure'!$G$54*'BCA Guide - Parameter Values'!$C$14,0)</f>
        <v>0</v>
      </c>
      <c r="L9" s="40">
        <f>IF(AND($F9&gt;=MIN($C$33),$F9&lt;=MAX($D$33)),SUMPRODUCT('BCA Guide - Parameter Values'!$C$6:$C$11,'Road Safety CRTMeasure'!$G$67:$G$72)+'Road Safety CRTMeasure'!$G$66*'BCA Guide - Parameter Values'!$C$14,0)</f>
        <v>0</v>
      </c>
      <c r="M9" s="40">
        <f>IF(AND($F9&gt;=MIN($C$34),$F9&lt;=MAX($D$34)),SUMPRODUCT('BCA Guide - Parameter Values'!$C$6:$C$11,'Road Safety CRTMeasure'!$G$79:$G$84)+'Road Safety CRTMeasure'!$G$78*'BCA Guide - Parameter Values'!$C$14,0)</f>
        <v>0</v>
      </c>
      <c r="N9" s="784">
        <f>IF(AND(F9&gt;='Major Assumption Key'!$B$4,F9&lt;='Major Assumption Key'!$B$6),SUM(G9:M9),0)</f>
        <v>0</v>
      </c>
      <c r="O9" s="40">
        <f>IF(AND($F9&gt;=$C$28,$F9&lt;=$D$28),SUMPRODUCT('BCA Guide - Parameter Values'!$C$6:$C$11,'Road Safety CRTMeasure'!$H$7:$H$12)+'Road Safety CRTMeasure'!$H$6*'BCA Guide - Parameter Values'!$C$14,0)</f>
        <v>0</v>
      </c>
      <c r="P9" s="298">
        <f>IF(AND($F9&gt;=MIN($C$29),$F9&lt;=MAX($D$29)),SUMPRODUCT('BCA Guide - Parameter Values'!$C$6:$C$11,'Road Safety CRTMeasure'!$H$19:$H$24)+'Road Safety CRTMeasure'!$H$18*'BCA Guide - Parameter Values'!$C$14,0)</f>
        <v>0</v>
      </c>
      <c r="Q9" s="298">
        <f>IF(AND($F9&gt;=MIN($C$30),$F9&lt;=MAX($D$30)),SUMPRODUCT('BCA Guide - Parameter Values'!$C$6:$C$11,'Road Safety CRTMeasure'!$H$31:$H$36)+'Road Safety CRTMeasure'!$H$30*'BCA Guide - Parameter Values'!$C$14,0)</f>
        <v>0</v>
      </c>
      <c r="R9" s="298">
        <f>IF(AND($F9&gt;=MIN($C$31),$F9&lt;=MAX($D$31)),SUMPRODUCT('BCA Guide - Parameter Values'!$C$6:$C$11,'Road Safety CRTMeasure'!$H$43:$H$48)+'Road Safety CRTMeasure'!$H$42*'BCA Guide - Parameter Values'!$C$14,0)</f>
        <v>0</v>
      </c>
      <c r="S9" s="298">
        <f>IF(AND($F9&gt;=MIN($C$32),$F9&lt;=MAX($D$32)),SUMPRODUCT('BCA Guide - Parameter Values'!$C$6:$C$11,'Road Safety CRTMeasure'!$H$55:$H$60)+'Road Safety CRTMeasure'!$H$54*'BCA Guide - Parameter Values'!$C$14,0)</f>
        <v>0</v>
      </c>
      <c r="T9" s="298">
        <f>IF(AND($F9&gt;=MIN($C$33),$F9&lt;=MAX($D$33)),SUMPRODUCT('BCA Guide - Parameter Values'!$C$6:$C$11,'Road Safety CRTMeasure'!$H$67:$H$72)+'Road Safety CRTMeasure'!$H$66*'BCA Guide - Parameter Values'!$C$14,0)</f>
        <v>0</v>
      </c>
      <c r="U9" s="298">
        <f>IF(AND($F9&gt;=MIN($C$34),$F9&lt;=MAX($D$34)),SUMPRODUCT('BCA Guide - Parameter Values'!$C$6:$C$11,'Road Safety CRTMeasure'!$H$79:$H$84)+'Road Safety CRTMeasure'!$H$78*'BCA Guide - Parameter Values'!$C$14,0)</f>
        <v>0</v>
      </c>
      <c r="V9" s="848">
        <f>IF(AND(F9&gt;='Major Assumption Key'!$B$4,F9&lt;='Major Assumption Key'!$B$6),SUM(O9:U9),0)</f>
        <v>0</v>
      </c>
      <c r="W9" s="37">
        <f t="shared" si="5"/>
        <v>0</v>
      </c>
      <c r="X9" s="38">
        <f>W9/(1+'Major Assumption Key'!$B$8)^($F9-'Major Assumption Key'!$B$7)</f>
        <v>0</v>
      </c>
      <c r="Y9" s="290"/>
      <c r="Z9" s="784">
        <f t="shared" si="6"/>
        <v>0</v>
      </c>
      <c r="AA9" s="848">
        <f t="shared" si="7"/>
        <v>0</v>
      </c>
      <c r="AB9" s="37">
        <f t="shared" si="8"/>
        <v>0</v>
      </c>
      <c r="AC9" s="38">
        <f t="shared" si="9"/>
        <v>0</v>
      </c>
    </row>
    <row r="10" spans="1:33" ht="19.95" customHeight="1">
      <c r="A10" s="1891" t="s">
        <v>418</v>
      </c>
      <c r="B10" s="1891"/>
      <c r="C10" s="49" t="s">
        <v>419</v>
      </c>
      <c r="D10" s="49" t="str">
        <f>_xlfn.CONCAT("Discounted @",TEXT('Major Assumption Key'!B8,"0.0%"))</f>
        <v>Discounted @3.1%</v>
      </c>
      <c r="E10" s="767"/>
      <c r="F10" s="772">
        <f>'Major Assumption Key'!A22</f>
        <v>2023</v>
      </c>
      <c r="G10" s="40">
        <f>IF(AND($F10&gt;=MIN($C$28),$F10&lt;=MAX($D$28)),SUMPRODUCT('BCA Guide - Parameter Values'!$C$6:$C$11,'Road Safety CRTMeasure'!$G$7:$G$12)+'Road Safety CRTMeasure'!$G$6*'BCA Guide - Parameter Values'!$C$14,0)</f>
        <v>0</v>
      </c>
      <c r="H10" s="40">
        <f>IF(AND($F10&gt;=MIN($C$29),$F10&lt;=MAX($D$29)),SUMPRODUCT('BCA Guide - Parameter Values'!$C$6:$C$11,'Road Safety CRTMeasure'!$G$19:$G$24)+'Road Safety CRTMeasure'!$G$18*'BCA Guide - Parameter Values'!$C$14,0)</f>
        <v>0</v>
      </c>
      <c r="I10" s="40">
        <f>IF(AND($F10&gt;=MIN($C$30),$F10&lt;=MAX($D$30)),SUMPRODUCT('BCA Guide - Parameter Values'!$C$6:$C$11,'Road Safety CRTMeasure'!$G$31:$G$36)+'Road Safety CRTMeasure'!$G$30*'BCA Guide - Parameter Values'!$C$14,0)</f>
        <v>0</v>
      </c>
      <c r="J10" s="40">
        <f>IF(AND($F10&gt;=MIN($C$31),$F10&lt;=MAX($D$31)),SUMPRODUCT('BCA Guide - Parameter Values'!$C$6:$C$11,'Road Safety CRTMeasure'!$G$43:$G$48)+'Road Safety CRTMeasure'!$G$42*'BCA Guide - Parameter Values'!$C$14,0)</f>
        <v>0</v>
      </c>
      <c r="K10" s="40">
        <f>IF(AND($F10&gt;=MIN($C$32),$F10&lt;=MAX($D$32)),SUMPRODUCT('BCA Guide - Parameter Values'!$C$6:$C$11,'Road Safety CRTMeasure'!$G$55:$G$60)+'Road Safety CRTMeasure'!$G$54*'BCA Guide - Parameter Values'!$C$14,0)</f>
        <v>0</v>
      </c>
      <c r="L10" s="40">
        <f>IF(AND($F10&gt;=MIN($C$33),$F10&lt;=MAX($D$33)),SUMPRODUCT('BCA Guide - Parameter Values'!$C$6:$C$11,'Road Safety CRTMeasure'!$G$67:$G$72)+'Road Safety CRTMeasure'!$G$66*'BCA Guide - Parameter Values'!$C$14,0)</f>
        <v>0</v>
      </c>
      <c r="M10" s="40">
        <f>IF(AND($F10&gt;=MIN($C$34),$F10&lt;=MAX($D$34)),SUMPRODUCT('BCA Guide - Parameter Values'!$C$6:$C$11,'Road Safety CRTMeasure'!$G$79:$G$84)+'Road Safety CRTMeasure'!$G$78*'BCA Guide - Parameter Values'!$C$14,0)</f>
        <v>0</v>
      </c>
      <c r="N10" s="784">
        <f>IF(AND(F10&gt;='Major Assumption Key'!$B$4,F10&lt;='Major Assumption Key'!$B$6),SUM(G10:M10),0)</f>
        <v>0</v>
      </c>
      <c r="O10" s="40">
        <f>IF(AND($F10&gt;=$C$28,$F10&lt;=$D$28),SUMPRODUCT('BCA Guide - Parameter Values'!$C$6:$C$11,'Road Safety CRTMeasure'!$H$7:$H$12)+'Road Safety CRTMeasure'!$H$6*'BCA Guide - Parameter Values'!$C$14,0)</f>
        <v>0</v>
      </c>
      <c r="P10" s="298">
        <f>IF(AND($F10&gt;=MIN($C$29),$F10&lt;=MAX($D$29)),SUMPRODUCT('BCA Guide - Parameter Values'!$C$6:$C$11,'Road Safety CRTMeasure'!$H$19:$H$24)+'Road Safety CRTMeasure'!$H$18*'BCA Guide - Parameter Values'!$C$14,0)</f>
        <v>0</v>
      </c>
      <c r="Q10" s="298">
        <f>IF(AND($F10&gt;=MIN($C$30),$F10&lt;=MAX($D$30)),SUMPRODUCT('BCA Guide - Parameter Values'!$C$6:$C$11,'Road Safety CRTMeasure'!$H$31:$H$36)+'Road Safety CRTMeasure'!$H$30*'BCA Guide - Parameter Values'!$C$14,0)</f>
        <v>0</v>
      </c>
      <c r="R10" s="298">
        <f>IF(AND($F10&gt;=MIN($C$31),$F10&lt;=MAX($D$31)),SUMPRODUCT('BCA Guide - Parameter Values'!$C$6:$C$11,'Road Safety CRTMeasure'!$H$43:$H$48)+'Road Safety CRTMeasure'!$H$42*'BCA Guide - Parameter Values'!$C$14,0)</f>
        <v>0</v>
      </c>
      <c r="S10" s="298">
        <f>IF(AND($F10&gt;=MIN($C$32),$F10&lt;=MAX($D$32)),SUMPRODUCT('BCA Guide - Parameter Values'!$C$6:$C$11,'Road Safety CRTMeasure'!$H$55:$H$60)+'Road Safety CRTMeasure'!$H$54*'BCA Guide - Parameter Values'!$C$14,0)</f>
        <v>0</v>
      </c>
      <c r="T10" s="298">
        <f>IF(AND($F10&gt;=MIN($C$33),$F10&lt;=MAX($D$33)),SUMPRODUCT('BCA Guide - Parameter Values'!$C$6:$C$11,'Road Safety CRTMeasure'!$H$67:$H$72)+'Road Safety CRTMeasure'!$H$66*'BCA Guide - Parameter Values'!$C$14,0)</f>
        <v>0</v>
      </c>
      <c r="U10" s="298">
        <f>IF(AND($F10&gt;=MIN($C$34),$F10&lt;=MAX($D$34)),SUMPRODUCT('BCA Guide - Parameter Values'!$C$6:$C$11,'Road Safety CRTMeasure'!$H$79:$H$84)+'Road Safety CRTMeasure'!$H$78*'BCA Guide - Parameter Values'!$C$14,0)</f>
        <v>0</v>
      </c>
      <c r="V10" s="848">
        <f>IF(AND(F10&gt;='Major Assumption Key'!$B$4,F10&lt;='Major Assumption Key'!$B$6),SUM(O10:U10),0)</f>
        <v>0</v>
      </c>
      <c r="W10" s="37">
        <f t="shared" si="5"/>
        <v>0</v>
      </c>
      <c r="X10" s="38">
        <f>W10/(1+'Major Assumption Key'!$B$8)^($F10-'Major Assumption Key'!$B$7)</f>
        <v>0</v>
      </c>
      <c r="Y10" s="290"/>
      <c r="Z10" s="784">
        <f t="shared" si="6"/>
        <v>0</v>
      </c>
      <c r="AA10" s="848">
        <f t="shared" si="7"/>
        <v>0</v>
      </c>
      <c r="AB10" s="37">
        <f t="shared" si="8"/>
        <v>0</v>
      </c>
      <c r="AC10" s="38">
        <f t="shared" si="9"/>
        <v>0</v>
      </c>
    </row>
    <row r="11" spans="1:33" ht="19.95" customHeight="1">
      <c r="A11" s="1892" t="s">
        <v>11</v>
      </c>
      <c r="B11" s="1892"/>
      <c r="C11" s="56">
        <f>'BCA Summary'!$H$7</f>
        <v>1.0111569298276737</v>
      </c>
      <c r="D11" s="56">
        <f>'BCA Summary'!$I$7</f>
        <v>0.6276932096418345</v>
      </c>
      <c r="E11" s="767"/>
      <c r="F11" s="772">
        <f>'Major Assumption Key'!A23</f>
        <v>2024</v>
      </c>
      <c r="G11" s="40">
        <f>IF(AND($F11&gt;=MIN($C$28),$F11&lt;=MAX($D$28)),SUMPRODUCT('BCA Guide - Parameter Values'!$C$6:$C$11,'Road Safety CRTMeasure'!$G$7:$G$12)+'Road Safety CRTMeasure'!$G$6*'BCA Guide - Parameter Values'!$C$14,0)</f>
        <v>0</v>
      </c>
      <c r="H11" s="40">
        <f>IF(AND($F11&gt;=MIN($C$29),$F11&lt;=MAX($D$29)),SUMPRODUCT('BCA Guide - Parameter Values'!$C$6:$C$11,'Road Safety CRTMeasure'!$G$19:$G$24)+'Road Safety CRTMeasure'!$G$18*'BCA Guide - Parameter Values'!$C$14,0)</f>
        <v>0</v>
      </c>
      <c r="I11" s="40">
        <f>IF(AND($F11&gt;=MIN($C$30),$F11&lt;=MAX($D$30)),SUMPRODUCT('BCA Guide - Parameter Values'!$C$6:$C$11,'Road Safety CRTMeasure'!$G$31:$G$36)+'Road Safety CRTMeasure'!$G$30*'BCA Guide - Parameter Values'!$C$14,0)</f>
        <v>0</v>
      </c>
      <c r="J11" s="40">
        <f>IF(AND($F11&gt;=MIN($C$31),$F11&lt;=MAX($D$31)),SUMPRODUCT('BCA Guide - Parameter Values'!$C$6:$C$11,'Road Safety CRTMeasure'!$G$43:$G$48)+'Road Safety CRTMeasure'!$G$42*'BCA Guide - Parameter Values'!$C$14,0)</f>
        <v>0</v>
      </c>
      <c r="K11" s="40">
        <f>IF(AND($F11&gt;=MIN($C$32),$F11&lt;=MAX($D$32)),SUMPRODUCT('BCA Guide - Parameter Values'!$C$6:$C$11,'Road Safety CRTMeasure'!$G$55:$G$60)+'Road Safety CRTMeasure'!$G$54*'BCA Guide - Parameter Values'!$C$14,0)</f>
        <v>0</v>
      </c>
      <c r="L11" s="40">
        <f>IF(AND($F11&gt;=MIN($C$33),$F11&lt;=MAX($D$33)),SUMPRODUCT('BCA Guide - Parameter Values'!$C$6:$C$11,'Road Safety CRTMeasure'!$G$67:$G$72)+'Road Safety CRTMeasure'!$G$66*'BCA Guide - Parameter Values'!$C$14,0)</f>
        <v>0</v>
      </c>
      <c r="M11" s="40">
        <f>IF(AND($F11&gt;=MIN($C$34),$F11&lt;=MAX($D$34)),SUMPRODUCT('BCA Guide - Parameter Values'!$C$6:$C$11,'Road Safety CRTMeasure'!$G$79:$G$84)+'Road Safety CRTMeasure'!$G$78*'BCA Guide - Parameter Values'!$C$14,0)</f>
        <v>0</v>
      </c>
      <c r="N11" s="784">
        <f>IF(AND(F11&gt;='Major Assumption Key'!$B$4,F11&lt;='Major Assumption Key'!$B$6),SUM(G11:M11),0)</f>
        <v>0</v>
      </c>
      <c r="O11" s="40">
        <f>IF(AND($F11&gt;=$C$28,$F11&lt;=$D$28),SUMPRODUCT('BCA Guide - Parameter Values'!$C$6:$C$11,'Road Safety CRTMeasure'!$H$7:$H$12)+'Road Safety CRTMeasure'!$H$6*'BCA Guide - Parameter Values'!$C$14,0)</f>
        <v>0</v>
      </c>
      <c r="P11" s="298">
        <f>IF(AND($F11&gt;=MIN($C$29),$F11&lt;=MAX($D$29)),SUMPRODUCT('BCA Guide - Parameter Values'!$C$6:$C$11,'Road Safety CRTMeasure'!$H$19:$H$24)+'Road Safety CRTMeasure'!$H$18*'BCA Guide - Parameter Values'!$C$14,0)</f>
        <v>0</v>
      </c>
      <c r="Q11" s="298">
        <f>IF(AND($F11&gt;=MIN($C$30),$F11&lt;=MAX($D$30)),SUMPRODUCT('BCA Guide - Parameter Values'!$C$6:$C$11,'Road Safety CRTMeasure'!$H$31:$H$36)+'Road Safety CRTMeasure'!$H$30*'BCA Guide - Parameter Values'!$C$14,0)</f>
        <v>0</v>
      </c>
      <c r="R11" s="298">
        <f>IF(AND($F11&gt;=MIN($C$31),$F11&lt;=MAX($D$31)),SUMPRODUCT('BCA Guide - Parameter Values'!$C$6:$C$11,'Road Safety CRTMeasure'!$H$43:$H$48)+'Road Safety CRTMeasure'!$H$42*'BCA Guide - Parameter Values'!$C$14,0)</f>
        <v>0</v>
      </c>
      <c r="S11" s="298">
        <f>IF(AND($F11&gt;=MIN($C$32),$F11&lt;=MAX($D$32)),SUMPRODUCT('BCA Guide - Parameter Values'!$C$6:$C$11,'Road Safety CRTMeasure'!$H$55:$H$60)+'Road Safety CRTMeasure'!$H$54*'BCA Guide - Parameter Values'!$C$14,0)</f>
        <v>0</v>
      </c>
      <c r="T11" s="298">
        <f>IF(AND($F11&gt;=MIN($C$33),$F11&lt;=MAX($D$33)),SUMPRODUCT('BCA Guide - Parameter Values'!$C$6:$C$11,'Road Safety CRTMeasure'!$H$67:$H$72)+'Road Safety CRTMeasure'!$H$66*'BCA Guide - Parameter Values'!$C$14,0)</f>
        <v>0</v>
      </c>
      <c r="U11" s="298">
        <f>IF(AND($F11&gt;=MIN($C$34),$F11&lt;=MAX($D$34)),SUMPRODUCT('BCA Guide - Parameter Values'!$C$6:$C$11,'Road Safety CRTMeasure'!$H$79:$H$84)+'Road Safety CRTMeasure'!$H$78*'BCA Guide - Parameter Values'!$C$14,0)</f>
        <v>0</v>
      </c>
      <c r="V11" s="848">
        <f>IF(AND(F11&gt;='Major Assumption Key'!$B$4,F11&lt;='Major Assumption Key'!$B$6),SUM(O11:U11),0)</f>
        <v>0</v>
      </c>
      <c r="W11" s="37">
        <f t="shared" si="5"/>
        <v>0</v>
      </c>
      <c r="X11" s="38">
        <f>W11/(1+'Major Assumption Key'!$B$8)^($F11-'Major Assumption Key'!$B$7)</f>
        <v>0</v>
      </c>
      <c r="Y11" s="290"/>
      <c r="Z11" s="784">
        <f t="shared" si="6"/>
        <v>0</v>
      </c>
      <c r="AA11" s="848">
        <f t="shared" si="7"/>
        <v>0</v>
      </c>
      <c r="AB11" s="37">
        <f t="shared" si="8"/>
        <v>0</v>
      </c>
      <c r="AC11" s="38">
        <f t="shared" si="9"/>
        <v>0</v>
      </c>
    </row>
    <row r="12" spans="1:33" ht="19.95" customHeight="1">
      <c r="A12" s="1892" t="s">
        <v>12</v>
      </c>
      <c r="B12" s="1892"/>
      <c r="C12" s="49">
        <f>'BCA Summary'!$H$8</f>
        <v>236636.98382712901</v>
      </c>
      <c r="D12" s="49">
        <f>'BCA Summary'!$I$8</f>
        <v>-6930297.4454113934</v>
      </c>
      <c r="E12" s="767"/>
      <c r="F12" s="772">
        <f>'Major Assumption Key'!A24</f>
        <v>2025</v>
      </c>
      <c r="G12" s="40">
        <f>IF(AND($F12&gt;=MIN($C$28),$F12&lt;=MAX($D$28)),SUMPRODUCT('BCA Guide - Parameter Values'!$C$6:$C$11,'Road Safety CRTMeasure'!$G$7:$G$12)+'Road Safety CRTMeasure'!$G$6*'BCA Guide - Parameter Values'!$C$14,0)</f>
        <v>0</v>
      </c>
      <c r="H12" s="40">
        <f>IF(AND($F12&gt;=MIN($C$29),$F12&lt;=MAX($D$29)),SUMPRODUCT('BCA Guide - Parameter Values'!$C$6:$C$11,'Road Safety CRTMeasure'!$G$19:$G$24)+'Road Safety CRTMeasure'!$G$18*'BCA Guide - Parameter Values'!$C$14,0)</f>
        <v>0</v>
      </c>
      <c r="I12" s="40">
        <f>IF(AND($F12&gt;=MIN($C$30),$F12&lt;=MAX($D$30)),SUMPRODUCT('BCA Guide - Parameter Values'!$C$6:$C$11,'Road Safety CRTMeasure'!$G$31:$G$36)+'Road Safety CRTMeasure'!$G$30*'BCA Guide - Parameter Values'!$C$14,0)</f>
        <v>0</v>
      </c>
      <c r="J12" s="40">
        <f>IF(AND($F12&gt;=MIN($C$31),$F12&lt;=MAX($D$31)),SUMPRODUCT('BCA Guide - Parameter Values'!$C$6:$C$11,'Road Safety CRTMeasure'!$G$43:$G$48)+'Road Safety CRTMeasure'!$G$42*'BCA Guide - Parameter Values'!$C$14,0)</f>
        <v>0</v>
      </c>
      <c r="K12" s="40">
        <f>IF(AND($F12&gt;=MIN($C$32),$F12&lt;=MAX($D$32)),SUMPRODUCT('BCA Guide - Parameter Values'!$C$6:$C$11,'Road Safety CRTMeasure'!$G$55:$G$60)+'Road Safety CRTMeasure'!$G$54*'BCA Guide - Parameter Values'!$C$14,0)</f>
        <v>0</v>
      </c>
      <c r="L12" s="40">
        <f>IF(AND($F12&gt;=MIN($C$33),$F12&lt;=MAX($D$33)),SUMPRODUCT('BCA Guide - Parameter Values'!$C$6:$C$11,'Road Safety CRTMeasure'!$G$67:$G$72)+'Road Safety CRTMeasure'!$G$66*'BCA Guide - Parameter Values'!$C$14,0)</f>
        <v>0</v>
      </c>
      <c r="M12" s="40">
        <f>IF(AND($F12&gt;=MIN($C$34),$F12&lt;=MAX($D$34)),SUMPRODUCT('BCA Guide - Parameter Values'!$C$6:$C$11,'Road Safety CRTMeasure'!$G$79:$G$84)+'Road Safety CRTMeasure'!$G$78*'BCA Guide - Parameter Values'!$C$14,0)</f>
        <v>0</v>
      </c>
      <c r="N12" s="784">
        <f>IF(AND(F12&gt;='Major Assumption Key'!$B$4,F12&lt;='Major Assumption Key'!$B$6),SUM(G12:M12),0)</f>
        <v>0</v>
      </c>
      <c r="O12" s="40">
        <f>IF(AND($F12&gt;=$C$28,$F12&lt;=$D$28),SUMPRODUCT('BCA Guide - Parameter Values'!$C$6:$C$11,'Road Safety CRTMeasure'!$H$7:$H$12)+'Road Safety CRTMeasure'!$H$6*'BCA Guide - Parameter Values'!$C$14,0)</f>
        <v>0</v>
      </c>
      <c r="P12" s="298">
        <f>IF(AND($F12&gt;=MIN($C$29),$F12&lt;=MAX($D$29)),SUMPRODUCT('BCA Guide - Parameter Values'!$C$6:$C$11,'Road Safety CRTMeasure'!$H$19:$H$24)+'Road Safety CRTMeasure'!$H$18*'BCA Guide - Parameter Values'!$C$14,0)</f>
        <v>0</v>
      </c>
      <c r="Q12" s="298">
        <f>IF(AND($F12&gt;=MIN($C$30),$F12&lt;=MAX($D$30)),SUMPRODUCT('BCA Guide - Parameter Values'!$C$6:$C$11,'Road Safety CRTMeasure'!$H$31:$H$36)+'Road Safety CRTMeasure'!$H$30*'BCA Guide - Parameter Values'!$C$14,0)</f>
        <v>0</v>
      </c>
      <c r="R12" s="298">
        <f>IF(AND($F12&gt;=MIN($C$31),$F12&lt;=MAX($D$31)),SUMPRODUCT('BCA Guide - Parameter Values'!$C$6:$C$11,'Road Safety CRTMeasure'!$H$43:$H$48)+'Road Safety CRTMeasure'!$H$42*'BCA Guide - Parameter Values'!$C$14,0)</f>
        <v>0</v>
      </c>
      <c r="S12" s="298">
        <f>IF(AND($F12&gt;=MIN($C$32),$F12&lt;=MAX($D$32)),SUMPRODUCT('BCA Guide - Parameter Values'!$C$6:$C$11,'Road Safety CRTMeasure'!$H$55:$H$60)+'Road Safety CRTMeasure'!$H$54*'BCA Guide - Parameter Values'!$C$14,0)</f>
        <v>0</v>
      </c>
      <c r="T12" s="298">
        <f>IF(AND($F12&gt;=MIN($C$33),$F12&lt;=MAX($D$33)),SUMPRODUCT('BCA Guide - Parameter Values'!$C$6:$C$11,'Road Safety CRTMeasure'!$H$67:$H$72)+'Road Safety CRTMeasure'!$H$66*'BCA Guide - Parameter Values'!$C$14,0)</f>
        <v>0</v>
      </c>
      <c r="U12" s="298">
        <f>IF(AND($F12&gt;=MIN($C$34),$F12&lt;=MAX($D$34)),SUMPRODUCT('BCA Guide - Parameter Values'!$C$6:$C$11,'Road Safety CRTMeasure'!$H$79:$H$84)+'Road Safety CRTMeasure'!$H$78*'BCA Guide - Parameter Values'!$C$14,0)</f>
        <v>0</v>
      </c>
      <c r="V12" s="848">
        <f>IF(AND(F12&gt;='Major Assumption Key'!$B$4,F12&lt;='Major Assumption Key'!$B$6),SUM(O12:U12),0)</f>
        <v>0</v>
      </c>
      <c r="W12" s="37">
        <f t="shared" si="5"/>
        <v>0</v>
      </c>
      <c r="X12" s="38">
        <f>W12/(1+'Major Assumption Key'!$B$8)^($F12-'Major Assumption Key'!$B$7)</f>
        <v>0</v>
      </c>
      <c r="Y12" s="290"/>
      <c r="Z12" s="784">
        <f t="shared" si="6"/>
        <v>0</v>
      </c>
      <c r="AA12" s="848">
        <f t="shared" si="7"/>
        <v>0</v>
      </c>
      <c r="AB12" s="37">
        <f t="shared" si="8"/>
        <v>0</v>
      </c>
      <c r="AC12" s="38">
        <f t="shared" si="9"/>
        <v>0</v>
      </c>
    </row>
    <row r="13" spans="1:33" ht="19.95" customHeight="1">
      <c r="C13" s="767"/>
      <c r="D13" s="767"/>
      <c r="E13" s="767"/>
      <c r="F13" s="772">
        <f>'Major Assumption Key'!A25</f>
        <v>2026</v>
      </c>
      <c r="G13" s="40">
        <f>IF(AND($F13&gt;=MIN($C$28),$F13&lt;=MAX($D$28)),SUMPRODUCT('BCA Guide - Parameter Values'!$C$6:$C$11,'Road Safety CRTMeasure'!$G$7:$G$12)+'Road Safety CRTMeasure'!$G$6*'BCA Guide - Parameter Values'!$C$14,0)</f>
        <v>0</v>
      </c>
      <c r="H13" s="40">
        <f>IF(AND($F13&gt;=MIN($C$29),$F13&lt;=MAX($D$29)),SUMPRODUCT('BCA Guide - Parameter Values'!$C$6:$C$11,'Road Safety CRTMeasure'!$G$19:$G$24)+'Road Safety CRTMeasure'!$G$18*'BCA Guide - Parameter Values'!$C$14,0)</f>
        <v>0</v>
      </c>
      <c r="I13" s="40">
        <f>IF(AND($F13&gt;=MIN($C$30),$F13&lt;=MAX($D$30)),SUMPRODUCT('BCA Guide - Parameter Values'!$C$6:$C$11,'Road Safety CRTMeasure'!$G$31:$G$36)+'Road Safety CRTMeasure'!$G$30*'BCA Guide - Parameter Values'!$C$14,0)</f>
        <v>0</v>
      </c>
      <c r="J13" s="40">
        <f>IF(AND($F13&gt;=MIN($C$31),$F13&lt;=MAX($D$31)),SUMPRODUCT('BCA Guide - Parameter Values'!$C$6:$C$11,'Road Safety CRTMeasure'!$G$43:$G$48)+'Road Safety CRTMeasure'!$G$42*'BCA Guide - Parameter Values'!$C$14,0)</f>
        <v>0</v>
      </c>
      <c r="K13" s="40">
        <f>IF(AND($F13&gt;=MIN($C$32),$F13&lt;=MAX($D$32)),SUMPRODUCT('BCA Guide - Parameter Values'!$C$6:$C$11,'Road Safety CRTMeasure'!$G$55:$G$60)+'Road Safety CRTMeasure'!$G$54*'BCA Guide - Parameter Values'!$C$14,0)</f>
        <v>0</v>
      </c>
      <c r="L13" s="40">
        <f>IF(AND($F13&gt;=MIN($C$33),$F13&lt;=MAX($D$33)),SUMPRODUCT('BCA Guide - Parameter Values'!$C$6:$C$11,'Road Safety CRTMeasure'!$G$67:$G$72)+'Road Safety CRTMeasure'!$G$66*'BCA Guide - Parameter Values'!$C$14,0)</f>
        <v>0</v>
      </c>
      <c r="M13" s="40">
        <f>IF(AND($F13&gt;=MIN($C$34),$F13&lt;=MAX($D$34)),SUMPRODUCT('BCA Guide - Parameter Values'!$C$6:$C$11,'Road Safety CRTMeasure'!$G$79:$G$84)+'Road Safety CRTMeasure'!$G$78*'BCA Guide - Parameter Values'!$C$14,0)</f>
        <v>0</v>
      </c>
      <c r="N13" s="784">
        <f>IF(AND(F13&gt;='Major Assumption Key'!$B$4,F13&lt;='Major Assumption Key'!$B$6),SUM(G13:M13),0)</f>
        <v>0</v>
      </c>
      <c r="O13" s="40">
        <f>IF(AND($F13&gt;=$C$28,$F13&lt;=$D$28),SUMPRODUCT('BCA Guide - Parameter Values'!$C$6:$C$11,'Road Safety CRTMeasure'!$H$7:$H$12)+'Road Safety CRTMeasure'!$H$6*'BCA Guide - Parameter Values'!$C$14,0)</f>
        <v>0</v>
      </c>
      <c r="P13" s="298">
        <f>IF(AND($F13&gt;=MIN($C$29),$F13&lt;=MAX($D$29)),SUMPRODUCT('BCA Guide - Parameter Values'!$C$6:$C$11,'Road Safety CRTMeasure'!$H$19:$H$24)+'Road Safety CRTMeasure'!$H$18*'BCA Guide - Parameter Values'!$C$14,0)</f>
        <v>0</v>
      </c>
      <c r="Q13" s="298">
        <f>IF(AND($F13&gt;=MIN($C$30),$F13&lt;=MAX($D$30)),SUMPRODUCT('BCA Guide - Parameter Values'!$C$6:$C$11,'Road Safety CRTMeasure'!$H$31:$H$36)+'Road Safety CRTMeasure'!$H$30*'BCA Guide - Parameter Values'!$C$14,0)</f>
        <v>0</v>
      </c>
      <c r="R13" s="298">
        <f>IF(AND($F13&gt;=MIN($C$31),$F13&lt;=MAX($D$31)),SUMPRODUCT('BCA Guide - Parameter Values'!$C$6:$C$11,'Road Safety CRTMeasure'!$H$43:$H$48)+'Road Safety CRTMeasure'!$H$42*'BCA Guide - Parameter Values'!$C$14,0)</f>
        <v>0</v>
      </c>
      <c r="S13" s="298">
        <f>IF(AND($F13&gt;=MIN($C$32),$F13&lt;=MAX($D$32)),SUMPRODUCT('BCA Guide - Parameter Values'!$C$6:$C$11,'Road Safety CRTMeasure'!$H$55:$H$60)+'Road Safety CRTMeasure'!$H$54*'BCA Guide - Parameter Values'!$C$14,0)</f>
        <v>0</v>
      </c>
      <c r="T13" s="298">
        <f>IF(AND($F13&gt;=MIN($C$33),$F13&lt;=MAX($D$33)),SUMPRODUCT('BCA Guide - Parameter Values'!$C$6:$C$11,'Road Safety CRTMeasure'!$H$67:$H$72)+'Road Safety CRTMeasure'!$H$66*'BCA Guide - Parameter Values'!$C$14,0)</f>
        <v>0</v>
      </c>
      <c r="U13" s="298">
        <f>IF(AND($F13&gt;=MIN($C$34),$F13&lt;=MAX($D$34)),SUMPRODUCT('BCA Guide - Parameter Values'!$C$6:$C$11,'Road Safety CRTMeasure'!$H$79:$H$84)+'Road Safety CRTMeasure'!$H$78*'BCA Guide - Parameter Values'!$C$14,0)</f>
        <v>0</v>
      </c>
      <c r="V13" s="848">
        <f>IF(AND(F13&gt;='Major Assumption Key'!$B$4,F13&lt;='Major Assumption Key'!$B$6),SUM(O13:U13),0)</f>
        <v>0</v>
      </c>
      <c r="W13" s="37">
        <f t="shared" si="5"/>
        <v>0</v>
      </c>
      <c r="X13" s="38">
        <f>W13/(1+'Major Assumption Key'!$B$8)^($F13-'Major Assumption Key'!$B$7)</f>
        <v>0</v>
      </c>
      <c r="Y13" s="290"/>
      <c r="Z13" s="784">
        <f t="shared" si="6"/>
        <v>0</v>
      </c>
      <c r="AA13" s="848">
        <f t="shared" si="7"/>
        <v>0</v>
      </c>
      <c r="AB13" s="37">
        <f t="shared" si="8"/>
        <v>0</v>
      </c>
      <c r="AC13" s="38">
        <f t="shared" si="9"/>
        <v>0</v>
      </c>
    </row>
    <row r="14" spans="1:33" ht="19.95" customHeight="1" thickBot="1">
      <c r="E14" s="767"/>
      <c r="F14" s="772">
        <f>'Major Assumption Key'!A26</f>
        <v>2027</v>
      </c>
      <c r="G14" s="40">
        <f>IF(AND($F14&gt;=MIN($C$28),$F14&lt;=MAX($D$28)),SUMPRODUCT('BCA Guide - Parameter Values'!$C$6:$C$11,'Road Safety CRTMeasure'!$G$7:$G$12)+'Road Safety CRTMeasure'!$G$6*'BCA Guide - Parameter Values'!$C$14,0)</f>
        <v>0</v>
      </c>
      <c r="H14" s="40">
        <f>IF(AND($F14&gt;=MIN($C$29),$F14&lt;=MAX($D$29)),SUMPRODUCT('BCA Guide - Parameter Values'!$C$6:$C$11,'Road Safety CRTMeasure'!$G$19:$G$24)+'Road Safety CRTMeasure'!$G$18*'BCA Guide - Parameter Values'!$C$14,0)</f>
        <v>0</v>
      </c>
      <c r="I14" s="40">
        <f>IF(AND($F14&gt;=MIN($C$30),$F14&lt;=MAX($D$30)),SUMPRODUCT('BCA Guide - Parameter Values'!$C$6:$C$11,'Road Safety CRTMeasure'!$G$31:$G$36)+'Road Safety CRTMeasure'!$G$30*'BCA Guide - Parameter Values'!$C$14,0)</f>
        <v>0</v>
      </c>
      <c r="J14" s="40">
        <f>IF(AND($F14&gt;=MIN($C$31),$F14&lt;=MAX($D$31)),SUMPRODUCT('BCA Guide - Parameter Values'!$C$6:$C$11,'Road Safety CRTMeasure'!$G$43:$G$48)+'Road Safety CRTMeasure'!$G$42*'BCA Guide - Parameter Values'!$C$14,0)</f>
        <v>0</v>
      </c>
      <c r="K14" s="40">
        <f>IF(AND($F14&gt;=MIN($C$32),$F14&lt;=MAX($D$32)),SUMPRODUCT('BCA Guide - Parameter Values'!$C$6:$C$11,'Road Safety CRTMeasure'!$G$55:$G$60)+'Road Safety CRTMeasure'!$G$54*'BCA Guide - Parameter Values'!$C$14,0)</f>
        <v>0</v>
      </c>
      <c r="L14" s="40">
        <f>IF(AND($F14&gt;=MIN($C$33),$F14&lt;=MAX($D$33)),SUMPRODUCT('BCA Guide - Parameter Values'!$C$6:$C$11,'Road Safety CRTMeasure'!$G$67:$G$72)+'Road Safety CRTMeasure'!$G$66*'BCA Guide - Parameter Values'!$C$14,0)</f>
        <v>0</v>
      </c>
      <c r="M14" s="40">
        <f>IF(AND($F14&gt;=MIN($C$34),$F14&lt;=MAX($D$34)),SUMPRODUCT('BCA Guide - Parameter Values'!$C$6:$C$11,'Road Safety CRTMeasure'!$G$79:$G$84)+'Road Safety CRTMeasure'!$G$78*'BCA Guide - Parameter Values'!$C$14,0)</f>
        <v>0</v>
      </c>
      <c r="N14" s="784">
        <f>IF(AND(F14&gt;='Major Assumption Key'!$B$4,F14&lt;='Major Assumption Key'!$B$6),SUM(G14:M14),0)</f>
        <v>0</v>
      </c>
      <c r="O14" s="40">
        <f>IF(AND($F14&gt;=$C$28,$F14&lt;=$D$28),SUMPRODUCT('BCA Guide - Parameter Values'!$C$6:$C$11,'Road Safety CRTMeasure'!$H$7:$H$12)+'Road Safety CRTMeasure'!$H$6*'BCA Guide - Parameter Values'!$C$14,0)</f>
        <v>0</v>
      </c>
      <c r="P14" s="298">
        <f>IF(AND($F14&gt;=MIN($C$29),$F14&lt;=MAX($D$29)),SUMPRODUCT('BCA Guide - Parameter Values'!$C$6:$C$11,'Road Safety CRTMeasure'!$H$19:$H$24)+'Road Safety CRTMeasure'!$H$18*'BCA Guide - Parameter Values'!$C$14,0)</f>
        <v>0</v>
      </c>
      <c r="Q14" s="298">
        <f>IF(AND($F14&gt;=MIN($C$30),$F14&lt;=MAX($D$30)),SUMPRODUCT('BCA Guide - Parameter Values'!$C$6:$C$11,'Road Safety CRTMeasure'!$H$31:$H$36)+'Road Safety CRTMeasure'!$H$30*'BCA Guide - Parameter Values'!$C$14,0)</f>
        <v>0</v>
      </c>
      <c r="R14" s="298">
        <f>IF(AND($F14&gt;=MIN($C$31),$F14&lt;=MAX($D$31)),SUMPRODUCT('BCA Guide - Parameter Values'!$C$6:$C$11,'Road Safety CRTMeasure'!$H$43:$H$48)+'Road Safety CRTMeasure'!$H$42*'BCA Guide - Parameter Values'!$C$14,0)</f>
        <v>0</v>
      </c>
      <c r="S14" s="298">
        <f>IF(AND($F14&gt;=MIN($C$32),$F14&lt;=MAX($D$32)),SUMPRODUCT('BCA Guide - Parameter Values'!$C$6:$C$11,'Road Safety CRTMeasure'!$H$55:$H$60)+'Road Safety CRTMeasure'!$H$54*'BCA Guide - Parameter Values'!$C$14,0)</f>
        <v>0</v>
      </c>
      <c r="T14" s="298">
        <f>IF(AND($F14&gt;=MIN($C$33),$F14&lt;=MAX($D$33)),SUMPRODUCT('BCA Guide - Parameter Values'!$C$6:$C$11,'Road Safety CRTMeasure'!$H$67:$H$72)+'Road Safety CRTMeasure'!$H$66*'BCA Guide - Parameter Values'!$C$14,0)</f>
        <v>0</v>
      </c>
      <c r="U14" s="298">
        <f>IF(AND($F14&gt;=MIN($C$34),$F14&lt;=MAX($D$34)),SUMPRODUCT('BCA Guide - Parameter Values'!$C$6:$C$11,'Road Safety CRTMeasure'!$H$79:$H$84)+'Road Safety CRTMeasure'!$H$78*'BCA Guide - Parameter Values'!$C$14,0)</f>
        <v>0</v>
      </c>
      <c r="V14" s="848">
        <f>IF(AND(F14&gt;='Major Assumption Key'!$B$4,F14&lt;='Major Assumption Key'!$B$6),SUM(O14:U14),0)</f>
        <v>0</v>
      </c>
      <c r="W14" s="37">
        <f t="shared" si="5"/>
        <v>0</v>
      </c>
      <c r="X14" s="38">
        <f>W14/(1+'Major Assumption Key'!$B$8)^($F14-'Major Assumption Key'!$B$7)</f>
        <v>0</v>
      </c>
      <c r="Y14" s="290"/>
      <c r="Z14" s="784">
        <f t="shared" si="6"/>
        <v>0</v>
      </c>
      <c r="AA14" s="848">
        <f t="shared" si="7"/>
        <v>0</v>
      </c>
      <c r="AB14" s="37">
        <f t="shared" si="8"/>
        <v>0</v>
      </c>
      <c r="AC14" s="38">
        <f t="shared" si="9"/>
        <v>0</v>
      </c>
    </row>
    <row r="15" spans="1:33" ht="19.95" customHeight="1">
      <c r="A15" s="361" t="s">
        <v>181</v>
      </c>
      <c r="B15" s="362" t="s">
        <v>434</v>
      </c>
      <c r="C15" s="1938" t="s">
        <v>498</v>
      </c>
      <c r="D15" s="1939"/>
      <c r="E15" s="767"/>
      <c r="F15" s="772">
        <f>'Major Assumption Key'!A27</f>
        <v>2028</v>
      </c>
      <c r="G15" s="40">
        <f>IF(AND($F15&gt;=MIN($C$28),$F15&lt;=MAX($D$28)),SUMPRODUCT('BCA Guide - Parameter Values'!$C$6:$C$11,'Road Safety CRTMeasure'!$G$7:$G$12)+'Road Safety CRTMeasure'!$G$6*'BCA Guide - Parameter Values'!$C$14,0)</f>
        <v>0</v>
      </c>
      <c r="H15" s="40">
        <f>IF(AND($F15&gt;=MIN($C$29),$F15&lt;=MAX($D$29)),SUMPRODUCT('BCA Guide - Parameter Values'!$C$6:$C$11,'Road Safety CRTMeasure'!$G$19:$G$24)+'Road Safety CRTMeasure'!$G$18*'BCA Guide - Parameter Values'!$C$14,0)</f>
        <v>0</v>
      </c>
      <c r="I15" s="40">
        <f>IF(AND($F15&gt;=MIN($C$30),$F15&lt;=MAX($D$30)),SUMPRODUCT('BCA Guide - Parameter Values'!$C$6:$C$11,'Road Safety CRTMeasure'!$G$31:$G$36)+'Road Safety CRTMeasure'!$G$30*'BCA Guide - Parameter Values'!$C$14,0)</f>
        <v>0</v>
      </c>
      <c r="J15" s="40">
        <f>IF(AND($F15&gt;=MIN($C$31),$F15&lt;=MAX($D$31)),SUMPRODUCT('BCA Guide - Parameter Values'!$C$6:$C$11,'Road Safety CRTMeasure'!$G$43:$G$48)+'Road Safety CRTMeasure'!$G$42*'BCA Guide - Parameter Values'!$C$14,0)</f>
        <v>0</v>
      </c>
      <c r="K15" s="40">
        <f>IF(AND($F15&gt;=MIN($C$32),$F15&lt;=MAX($D$32)),SUMPRODUCT('BCA Guide - Parameter Values'!$C$6:$C$11,'Road Safety CRTMeasure'!$G$55:$G$60)+'Road Safety CRTMeasure'!$G$54*'BCA Guide - Parameter Values'!$C$14,0)</f>
        <v>0</v>
      </c>
      <c r="L15" s="40">
        <f>IF(AND($F15&gt;=MIN($C$33),$F15&lt;=MAX($D$33)),SUMPRODUCT('BCA Guide - Parameter Values'!$C$6:$C$11,'Road Safety CRTMeasure'!$G$67:$G$72)+'Road Safety CRTMeasure'!$G$66*'BCA Guide - Parameter Values'!$C$14,0)</f>
        <v>0</v>
      </c>
      <c r="M15" s="40">
        <f>IF(AND($F15&gt;=MIN($C$34),$F15&lt;=MAX($D$34)),SUMPRODUCT('BCA Guide - Parameter Values'!$C$6:$C$11,'Road Safety CRTMeasure'!$G$79:$G$84)+'Road Safety CRTMeasure'!$G$78*'BCA Guide - Parameter Values'!$C$14,0)</f>
        <v>0</v>
      </c>
      <c r="N15" s="784">
        <f>IF(AND(F15&gt;='Major Assumption Key'!$B$4,F15&lt;='Major Assumption Key'!$B$6),SUM(G15:M15),0)</f>
        <v>0</v>
      </c>
      <c r="O15" s="40">
        <f>IF(AND($F15&gt;=$C$28,$F15&lt;=$D$28),SUMPRODUCT('BCA Guide - Parameter Values'!$C$6:$C$11,'Road Safety CRTMeasure'!$H$7:$H$12)+'Road Safety CRTMeasure'!$H$6*'BCA Guide - Parameter Values'!$C$14,0)</f>
        <v>0</v>
      </c>
      <c r="P15" s="298">
        <f>IF(AND($F15&gt;=MIN($C$29),$F15&lt;=MAX($D$29)),SUMPRODUCT('BCA Guide - Parameter Values'!$C$6:$C$11,'Road Safety CRTMeasure'!$H$19:$H$24)+'Road Safety CRTMeasure'!$H$18*'BCA Guide - Parameter Values'!$C$14,0)</f>
        <v>0</v>
      </c>
      <c r="Q15" s="298">
        <f>IF(AND($F15&gt;=MIN($C$30),$F15&lt;=MAX($D$30)),SUMPRODUCT('BCA Guide - Parameter Values'!$C$6:$C$11,'Road Safety CRTMeasure'!$H$31:$H$36)+'Road Safety CRTMeasure'!$H$30*'BCA Guide - Parameter Values'!$C$14,0)</f>
        <v>0</v>
      </c>
      <c r="R15" s="298">
        <f>IF(AND($F15&gt;=MIN($C$31),$F15&lt;=MAX($D$31)),SUMPRODUCT('BCA Guide - Parameter Values'!$C$6:$C$11,'Road Safety CRTMeasure'!$H$43:$H$48)+'Road Safety CRTMeasure'!$H$42*'BCA Guide - Parameter Values'!$C$14,0)</f>
        <v>0</v>
      </c>
      <c r="S15" s="298">
        <f>IF(AND($F15&gt;=MIN($C$32),$F15&lt;=MAX($D$32)),SUMPRODUCT('BCA Guide - Parameter Values'!$C$6:$C$11,'Road Safety CRTMeasure'!$H$55:$H$60)+'Road Safety CRTMeasure'!$H$54*'BCA Guide - Parameter Values'!$C$14,0)</f>
        <v>0</v>
      </c>
      <c r="T15" s="298">
        <f>IF(AND($F15&gt;=MIN($C$33),$F15&lt;=MAX($D$33)),SUMPRODUCT('BCA Guide - Parameter Values'!$C$6:$C$11,'Road Safety CRTMeasure'!$H$67:$H$72)+'Road Safety CRTMeasure'!$H$66*'BCA Guide - Parameter Values'!$C$14,0)</f>
        <v>0</v>
      </c>
      <c r="U15" s="298">
        <f>IF(AND($F15&gt;=MIN($C$34),$F15&lt;=MAX($D$34)),SUMPRODUCT('BCA Guide - Parameter Values'!$C$6:$C$11,'Road Safety CRTMeasure'!$H$79:$H$84)+'Road Safety CRTMeasure'!$H$78*'BCA Guide - Parameter Values'!$C$14,0)</f>
        <v>0</v>
      </c>
      <c r="V15" s="848">
        <f>IF(AND(F15&gt;='Major Assumption Key'!$B$4,F15&lt;='Major Assumption Key'!$B$6),SUM(O15:U15),0)</f>
        <v>0</v>
      </c>
      <c r="W15" s="37">
        <f t="shared" si="5"/>
        <v>0</v>
      </c>
      <c r="X15" s="38">
        <f>W15/(1+'Major Assumption Key'!$B$8)^($F15-'Major Assumption Key'!$B$7)</f>
        <v>0</v>
      </c>
      <c r="Y15" s="290"/>
      <c r="Z15" s="784">
        <f t="shared" si="6"/>
        <v>0</v>
      </c>
      <c r="AA15" s="848">
        <f t="shared" si="7"/>
        <v>0</v>
      </c>
      <c r="AB15" s="37">
        <f t="shared" si="8"/>
        <v>0</v>
      </c>
      <c r="AC15" s="38">
        <f t="shared" si="9"/>
        <v>0</v>
      </c>
    </row>
    <row r="16" spans="1:33" ht="19.95" customHeight="1">
      <c r="A16" s="768" t="str">
        <f>'Major Assumption Key'!A3</f>
        <v>Project Open Year:</v>
      </c>
      <c r="B16" s="777">
        <f>'Major Assumption Key'!B3</f>
        <v>2028</v>
      </c>
      <c r="C16" s="767" t="s">
        <v>436</v>
      </c>
      <c r="D16" s="770"/>
      <c r="E16" s="767"/>
      <c r="F16" s="772">
        <f>'Major Assumption Key'!A28</f>
        <v>2029</v>
      </c>
      <c r="G16" s="40">
        <f>IF(AND($F16&gt;=MIN($C$28),$F16&lt;=MAX($D$28)),SUMPRODUCT('BCA Guide - Parameter Values'!$C$6:$C$11,'Road Safety CRTMeasure'!$G$7:$G$12)+'Road Safety CRTMeasure'!$G$6*'BCA Guide - Parameter Values'!$C$14,0)</f>
        <v>0</v>
      </c>
      <c r="H16" s="40">
        <f>IF(AND($F16&gt;=MIN($C$29),$F16&lt;=MAX($D$29)),SUMPRODUCT('BCA Guide - Parameter Values'!$C$6:$C$11,'Road Safety CRTMeasure'!$G$19:$G$24)+'Road Safety CRTMeasure'!$G$18*'BCA Guide - Parameter Values'!$C$14,0)</f>
        <v>0</v>
      </c>
      <c r="I16" s="40">
        <f>IF(AND($F16&gt;=MIN($C$30),$F16&lt;=MAX($D$30)),SUMPRODUCT('BCA Guide - Parameter Values'!$C$6:$C$11,'Road Safety CRTMeasure'!$G$31:$G$36)+'Road Safety CRTMeasure'!$G$30*'BCA Guide - Parameter Values'!$C$14,0)</f>
        <v>0</v>
      </c>
      <c r="J16" s="40">
        <f>IF(AND($F16&gt;=MIN($C$31),$F16&lt;=MAX($D$31)),SUMPRODUCT('BCA Guide - Parameter Values'!$C$6:$C$11,'Road Safety CRTMeasure'!$G$43:$G$48)+'Road Safety CRTMeasure'!$G$42*'BCA Guide - Parameter Values'!$C$14,0)</f>
        <v>0</v>
      </c>
      <c r="K16" s="40">
        <f>IF(AND($F16&gt;=MIN($C$32),$F16&lt;=MAX($D$32)),SUMPRODUCT('BCA Guide - Parameter Values'!$C$6:$C$11,'Road Safety CRTMeasure'!$G$55:$G$60)+'Road Safety CRTMeasure'!$G$54*'BCA Guide - Parameter Values'!$C$14,0)</f>
        <v>0</v>
      </c>
      <c r="L16" s="40">
        <f>IF(AND($F16&gt;=MIN($C$33),$F16&lt;=MAX($D$33)),SUMPRODUCT('BCA Guide - Parameter Values'!$C$6:$C$11,'Road Safety CRTMeasure'!$G$67:$G$72)+'Road Safety CRTMeasure'!$G$66*'BCA Guide - Parameter Values'!$C$14,0)</f>
        <v>0</v>
      </c>
      <c r="M16" s="40">
        <f>IF(AND($F16&gt;=MIN($C$34),$F16&lt;=MAX($D$34)),SUMPRODUCT('BCA Guide - Parameter Values'!$C$6:$C$11,'Road Safety CRTMeasure'!$G$79:$G$84)+'Road Safety CRTMeasure'!$G$78*'BCA Guide - Parameter Values'!$C$14,0)</f>
        <v>0</v>
      </c>
      <c r="N16" s="784">
        <f>IF(AND(F16&gt;='Major Assumption Key'!$B$4,F16&lt;='Major Assumption Key'!$B$6),SUM(G16:M16),0)</f>
        <v>0</v>
      </c>
      <c r="O16" s="40">
        <f>IF(AND($F16&gt;=$C$28,$F16&lt;=$D$28),SUMPRODUCT('BCA Guide - Parameter Values'!$C$6:$C$11,'Road Safety CRTMeasure'!$H$7:$H$12)+'Road Safety CRTMeasure'!$H$6*'BCA Guide - Parameter Values'!$C$14,0)</f>
        <v>0</v>
      </c>
      <c r="P16" s="298">
        <f>IF(AND($F16&gt;=MIN($C$29),$F16&lt;=MAX($D$29)),SUMPRODUCT('BCA Guide - Parameter Values'!$C$6:$C$11,'Road Safety CRTMeasure'!$H$19:$H$24)+'Road Safety CRTMeasure'!$H$18*'BCA Guide - Parameter Values'!$C$14,0)</f>
        <v>0</v>
      </c>
      <c r="Q16" s="298">
        <f>IF(AND($F16&gt;=MIN($C$30),$F16&lt;=MAX($D$30)),SUMPRODUCT('BCA Guide - Parameter Values'!$C$6:$C$11,'Road Safety CRTMeasure'!$H$31:$H$36)+'Road Safety CRTMeasure'!$H$30*'BCA Guide - Parameter Values'!$C$14,0)</f>
        <v>0</v>
      </c>
      <c r="R16" s="298">
        <f>IF(AND($F16&gt;=MIN($C$31),$F16&lt;=MAX($D$31)),SUMPRODUCT('BCA Guide - Parameter Values'!$C$6:$C$11,'Road Safety CRTMeasure'!$H$43:$H$48)+'Road Safety CRTMeasure'!$H$42*'BCA Guide - Parameter Values'!$C$14,0)</f>
        <v>0</v>
      </c>
      <c r="S16" s="298">
        <f>IF(AND($F16&gt;=MIN($C$32),$F16&lt;=MAX($D$32)),SUMPRODUCT('BCA Guide - Parameter Values'!$C$6:$C$11,'Road Safety CRTMeasure'!$H$55:$H$60)+'Road Safety CRTMeasure'!$H$54*'BCA Guide - Parameter Values'!$C$14,0)</f>
        <v>0</v>
      </c>
      <c r="T16" s="298">
        <f>IF(AND($F16&gt;=MIN($C$33),$F16&lt;=MAX($D$33)),SUMPRODUCT('BCA Guide - Parameter Values'!$C$6:$C$11,'Road Safety CRTMeasure'!$H$67:$H$72)+'Road Safety CRTMeasure'!$H$66*'BCA Guide - Parameter Values'!$C$14,0)</f>
        <v>0</v>
      </c>
      <c r="U16" s="298">
        <f>IF(AND($F16&gt;=MIN($C$34),$F16&lt;=MAX($D$34)),SUMPRODUCT('BCA Guide - Parameter Values'!$C$6:$C$11,'Road Safety CRTMeasure'!$H$79:$H$84)+'Road Safety CRTMeasure'!$H$78*'BCA Guide - Parameter Values'!$C$14,0)</f>
        <v>0</v>
      </c>
      <c r="V16" s="848">
        <f>IF(AND(F16&gt;='Major Assumption Key'!$B$4,F16&lt;='Major Assumption Key'!$B$6),SUM(O16:U16),0)</f>
        <v>0</v>
      </c>
      <c r="W16" s="37">
        <f t="shared" si="5"/>
        <v>0</v>
      </c>
      <c r="X16" s="38">
        <f>W16/(1+'Major Assumption Key'!$B$8)^($F16-'Major Assumption Key'!$B$7)</f>
        <v>0</v>
      </c>
      <c r="Y16" s="290"/>
      <c r="Z16" s="784">
        <f t="shared" si="6"/>
        <v>0</v>
      </c>
      <c r="AA16" s="848">
        <f t="shared" si="7"/>
        <v>0</v>
      </c>
      <c r="AB16" s="37">
        <f t="shared" si="8"/>
        <v>0</v>
      </c>
      <c r="AC16" s="38">
        <f t="shared" si="9"/>
        <v>0</v>
      </c>
    </row>
    <row r="17" spans="1:33" ht="19.95" customHeight="1">
      <c r="A17" s="768" t="str">
        <f>'Major Assumption Key'!A4</f>
        <v>Planning Horizon Begin Year:</v>
      </c>
      <c r="B17" s="777">
        <f>'Major Assumption Key'!B4</f>
        <v>2022</v>
      </c>
      <c r="C17" s="767" t="s">
        <v>436</v>
      </c>
      <c r="D17" s="770"/>
      <c r="E17" s="767"/>
      <c r="F17" s="772">
        <f>'Major Assumption Key'!A29</f>
        <v>2030</v>
      </c>
      <c r="G17" s="40">
        <f>IF(AND($F17&gt;=MIN($C$28),$F17&lt;=MAX($D$28)),SUMPRODUCT('BCA Guide - Parameter Values'!$C$6:$C$11,'Road Safety CRTMeasure'!$G$7:$G$12)+'Road Safety CRTMeasure'!$G$6*'BCA Guide - Parameter Values'!$C$14,0)</f>
        <v>0</v>
      </c>
      <c r="H17" s="40">
        <f>IF(AND($F17&gt;=MIN($C$29),$F17&lt;=MAX($D$29)),SUMPRODUCT('BCA Guide - Parameter Values'!$C$6:$C$11,'Road Safety CRTMeasure'!$G$19:$G$24)+'Road Safety CRTMeasure'!$G$18*'BCA Guide - Parameter Values'!$C$14,0)</f>
        <v>0</v>
      </c>
      <c r="I17" s="40">
        <f>IF(AND($F17&gt;=MIN($C$30),$F17&lt;=MAX($D$30)),SUMPRODUCT('BCA Guide - Parameter Values'!$C$6:$C$11,'Road Safety CRTMeasure'!$G$31:$G$36)+'Road Safety CRTMeasure'!$G$30*'BCA Guide - Parameter Values'!$C$14,0)</f>
        <v>0</v>
      </c>
      <c r="J17" s="40">
        <f>IF(AND($F17&gt;=MIN($C$31),$F17&lt;=MAX($D$31)),SUMPRODUCT('BCA Guide - Parameter Values'!$C$6:$C$11,'Road Safety CRTMeasure'!$G$43:$G$48)+'Road Safety CRTMeasure'!$G$42*'BCA Guide - Parameter Values'!$C$14,0)</f>
        <v>0</v>
      </c>
      <c r="K17" s="40">
        <f>IF(AND($F17&gt;=MIN($C$32),$F17&lt;=MAX($D$32)),SUMPRODUCT('BCA Guide - Parameter Values'!$C$6:$C$11,'Road Safety CRTMeasure'!$G$55:$G$60)+'Road Safety CRTMeasure'!$G$54*'BCA Guide - Parameter Values'!$C$14,0)</f>
        <v>0</v>
      </c>
      <c r="L17" s="40">
        <f>IF(AND($F17&gt;=MIN($C$33),$F17&lt;=MAX($D$33)),SUMPRODUCT('BCA Guide - Parameter Values'!$C$6:$C$11,'Road Safety CRTMeasure'!$G$67:$G$72)+'Road Safety CRTMeasure'!$G$66*'BCA Guide - Parameter Values'!$C$14,0)</f>
        <v>0</v>
      </c>
      <c r="M17" s="40">
        <f>IF(AND($F17&gt;=MIN($C$34),$F17&lt;=MAX($D$34)),SUMPRODUCT('BCA Guide - Parameter Values'!$C$6:$C$11,'Road Safety CRTMeasure'!$G$79:$G$84)+'Road Safety CRTMeasure'!$G$78*'BCA Guide - Parameter Values'!$C$14,0)</f>
        <v>0</v>
      </c>
      <c r="N17" s="784">
        <f>IF(AND(F17&gt;='Major Assumption Key'!$B$4,F17&lt;='Major Assumption Key'!$B$6),SUM(G17:M17),0)</f>
        <v>0</v>
      </c>
      <c r="O17" s="40">
        <f>IF(AND($F17&gt;=$C$28,$F17&lt;=$D$28),SUMPRODUCT('BCA Guide - Parameter Values'!$C$6:$C$11,'Road Safety CRTMeasure'!$H$7:$H$12)+'Road Safety CRTMeasure'!$H$6*'BCA Guide - Parameter Values'!$C$14,0)</f>
        <v>0</v>
      </c>
      <c r="P17" s="298">
        <f>IF(AND($F17&gt;=MIN($C$29),$F17&lt;=MAX($D$29)),SUMPRODUCT('BCA Guide - Parameter Values'!$C$6:$C$11,'Road Safety CRTMeasure'!$H$19:$H$24)+'Road Safety CRTMeasure'!$H$18*'BCA Guide - Parameter Values'!$C$14,0)</f>
        <v>0</v>
      </c>
      <c r="Q17" s="298">
        <f>IF(AND($F17&gt;=MIN($C$30),$F17&lt;=MAX($D$30)),SUMPRODUCT('BCA Guide - Parameter Values'!$C$6:$C$11,'Road Safety CRTMeasure'!$H$31:$H$36)+'Road Safety CRTMeasure'!$H$30*'BCA Guide - Parameter Values'!$C$14,0)</f>
        <v>0</v>
      </c>
      <c r="R17" s="298">
        <f>IF(AND($F17&gt;=MIN($C$31),$F17&lt;=MAX($D$31)),SUMPRODUCT('BCA Guide - Parameter Values'!$C$6:$C$11,'Road Safety CRTMeasure'!$H$43:$H$48)+'Road Safety CRTMeasure'!$H$42*'BCA Guide - Parameter Values'!$C$14,0)</f>
        <v>0</v>
      </c>
      <c r="S17" s="298">
        <f>IF(AND($F17&gt;=MIN($C$32),$F17&lt;=MAX($D$32)),SUMPRODUCT('BCA Guide - Parameter Values'!$C$6:$C$11,'Road Safety CRTMeasure'!$H$55:$H$60)+'Road Safety CRTMeasure'!$H$54*'BCA Guide - Parameter Values'!$C$14,0)</f>
        <v>0</v>
      </c>
      <c r="T17" s="298">
        <f>IF(AND($F17&gt;=MIN($C$33),$F17&lt;=MAX($D$33)),SUMPRODUCT('BCA Guide - Parameter Values'!$C$6:$C$11,'Road Safety CRTMeasure'!$H$67:$H$72)+'Road Safety CRTMeasure'!$H$66*'BCA Guide - Parameter Values'!$C$14,0)</f>
        <v>0</v>
      </c>
      <c r="U17" s="298">
        <f>IF(AND($F17&gt;=MIN($C$34),$F17&lt;=MAX($D$34)),SUMPRODUCT('BCA Guide - Parameter Values'!$C$6:$C$11,'Road Safety CRTMeasure'!$H$79:$H$84)+'Road Safety CRTMeasure'!$H$78*'BCA Guide - Parameter Values'!$C$14,0)</f>
        <v>0</v>
      </c>
      <c r="V17" s="848">
        <f>IF(AND(F17&gt;='Major Assumption Key'!$B$4,F17&lt;='Major Assumption Key'!$B$6),SUM(O17:U17),0)</f>
        <v>0</v>
      </c>
      <c r="W17" s="37">
        <f t="shared" si="5"/>
        <v>0</v>
      </c>
      <c r="X17" s="38">
        <f>W17/(1+'Major Assumption Key'!$B$8)^($F17-'Major Assumption Key'!$B$7)</f>
        <v>0</v>
      </c>
      <c r="Y17" s="290"/>
      <c r="Z17" s="784">
        <f t="shared" si="6"/>
        <v>0</v>
      </c>
      <c r="AA17" s="848">
        <f t="shared" si="7"/>
        <v>0</v>
      </c>
      <c r="AB17" s="37">
        <f t="shared" si="8"/>
        <v>0</v>
      </c>
      <c r="AC17" s="38">
        <f t="shared" si="9"/>
        <v>0</v>
      </c>
    </row>
    <row r="18" spans="1:33" ht="19.95" customHeight="1">
      <c r="A18" s="768" t="str">
        <f>'Major Assumption Key'!A6</f>
        <v>Planning Horizon End Year:</v>
      </c>
      <c r="B18" s="777">
        <f>'Major Assumption Key'!B6</f>
        <v>2047</v>
      </c>
      <c r="C18" s="767" t="s">
        <v>436</v>
      </c>
      <c r="D18" s="770"/>
      <c r="E18" s="767"/>
      <c r="F18" s="772">
        <f>'Major Assumption Key'!A30</f>
        <v>2031</v>
      </c>
      <c r="G18" s="40">
        <f>IF(AND($F18&gt;=MIN($C$28),$F18&lt;=MAX($D$28)),SUMPRODUCT('BCA Guide - Parameter Values'!$C$6:$C$11,'Road Safety CRTMeasure'!$G$7:$G$12)+'Road Safety CRTMeasure'!$G$6*'BCA Guide - Parameter Values'!$C$14,0)</f>
        <v>0</v>
      </c>
      <c r="H18" s="40">
        <f>IF(AND($F18&gt;=MIN($C$29),$F18&lt;=MAX($D$29)),SUMPRODUCT('BCA Guide - Parameter Values'!$C$6:$C$11,'Road Safety CRTMeasure'!$G$19:$G$24)+'Road Safety CRTMeasure'!$G$18*'BCA Guide - Parameter Values'!$C$14,0)</f>
        <v>0</v>
      </c>
      <c r="I18" s="40">
        <f>IF(AND($F18&gt;=MIN($C$30),$F18&lt;=MAX($D$30)),SUMPRODUCT('BCA Guide - Parameter Values'!$C$6:$C$11,'Road Safety CRTMeasure'!$G$31:$G$36)+'Road Safety CRTMeasure'!$G$30*'BCA Guide - Parameter Values'!$C$14,0)</f>
        <v>0</v>
      </c>
      <c r="J18" s="40">
        <f>IF(AND($F18&gt;=MIN($C$31),$F18&lt;=MAX($D$31)),SUMPRODUCT('BCA Guide - Parameter Values'!$C$6:$C$11,'Road Safety CRTMeasure'!$G$43:$G$48)+'Road Safety CRTMeasure'!$G$42*'BCA Guide - Parameter Values'!$C$14,0)</f>
        <v>0</v>
      </c>
      <c r="K18" s="40">
        <f>IF(AND($F18&gt;=MIN($C$32),$F18&lt;=MAX($D$32)),SUMPRODUCT('BCA Guide - Parameter Values'!$C$6:$C$11,'Road Safety CRTMeasure'!$G$55:$G$60)+'Road Safety CRTMeasure'!$G$54*'BCA Guide - Parameter Values'!$C$14,0)</f>
        <v>0</v>
      </c>
      <c r="L18" s="40">
        <f>IF(AND($F18&gt;=MIN($C$33),$F18&lt;=MAX($D$33)),SUMPRODUCT('BCA Guide - Parameter Values'!$C$6:$C$11,'Road Safety CRTMeasure'!$G$67:$G$72)+'Road Safety CRTMeasure'!$G$66*'BCA Guide - Parameter Values'!$C$14,0)</f>
        <v>0</v>
      </c>
      <c r="M18" s="40">
        <f>IF(AND($F18&gt;=MIN($C$34),$F18&lt;=MAX($D$34)),SUMPRODUCT('BCA Guide - Parameter Values'!$C$6:$C$11,'Road Safety CRTMeasure'!$G$79:$G$84)+'Road Safety CRTMeasure'!$G$78*'BCA Guide - Parameter Values'!$C$14,0)</f>
        <v>0</v>
      </c>
      <c r="N18" s="784">
        <f>IF(AND(F18&gt;='Major Assumption Key'!$B$4,F18&lt;='Major Assumption Key'!$B$6),SUM(G18:M18),0)</f>
        <v>0</v>
      </c>
      <c r="O18" s="40">
        <f>IF(AND($F18&gt;=$C$28,$F18&lt;=$D$28),SUMPRODUCT('BCA Guide - Parameter Values'!$C$6:$C$11,'Road Safety CRTMeasure'!$H$7:$H$12)+'Road Safety CRTMeasure'!$H$6*'BCA Guide - Parameter Values'!$C$14,0)</f>
        <v>0</v>
      </c>
      <c r="P18" s="298">
        <f>IF(AND($F18&gt;=MIN($C$29),$F18&lt;=MAX($D$29)),SUMPRODUCT('BCA Guide - Parameter Values'!$C$6:$C$11,'Road Safety CRTMeasure'!$H$19:$H$24)+'Road Safety CRTMeasure'!$H$18*'BCA Guide - Parameter Values'!$C$14,0)</f>
        <v>0</v>
      </c>
      <c r="Q18" s="298">
        <f>IF(AND($F18&gt;=MIN($C$30),$F18&lt;=MAX($D$30)),SUMPRODUCT('BCA Guide - Parameter Values'!$C$6:$C$11,'Road Safety CRTMeasure'!$H$31:$H$36)+'Road Safety CRTMeasure'!$H$30*'BCA Guide - Parameter Values'!$C$14,0)</f>
        <v>0</v>
      </c>
      <c r="R18" s="298">
        <f>IF(AND($F18&gt;=MIN($C$31),$F18&lt;=MAX($D$31)),SUMPRODUCT('BCA Guide - Parameter Values'!$C$6:$C$11,'Road Safety CRTMeasure'!$H$43:$H$48)+'Road Safety CRTMeasure'!$H$42*'BCA Guide - Parameter Values'!$C$14,0)</f>
        <v>0</v>
      </c>
      <c r="S18" s="298">
        <f>IF(AND($F18&gt;=MIN($C$32),$F18&lt;=MAX($D$32)),SUMPRODUCT('BCA Guide - Parameter Values'!$C$6:$C$11,'Road Safety CRTMeasure'!$H$55:$H$60)+'Road Safety CRTMeasure'!$H$54*'BCA Guide - Parameter Values'!$C$14,0)</f>
        <v>0</v>
      </c>
      <c r="T18" s="298">
        <f>IF(AND($F18&gt;=MIN($C$33),$F18&lt;=MAX($D$33)),SUMPRODUCT('BCA Guide - Parameter Values'!$C$6:$C$11,'Road Safety CRTMeasure'!$H$67:$H$72)+'Road Safety CRTMeasure'!$H$66*'BCA Guide - Parameter Values'!$C$14,0)</f>
        <v>0</v>
      </c>
      <c r="U18" s="298">
        <f>IF(AND($F18&gt;=MIN($C$34),$F18&lt;=MAX($D$34)),SUMPRODUCT('BCA Guide - Parameter Values'!$C$6:$C$11,'Road Safety CRTMeasure'!$H$79:$H$84)+'Road Safety CRTMeasure'!$H$78*'BCA Guide - Parameter Values'!$C$14,0)</f>
        <v>0</v>
      </c>
      <c r="V18" s="848">
        <f>IF(AND(F18&gt;='Major Assumption Key'!$B$4,F18&lt;='Major Assumption Key'!$B$6),SUM(O18:U18),0)</f>
        <v>0</v>
      </c>
      <c r="W18" s="37">
        <f t="shared" si="5"/>
        <v>0</v>
      </c>
      <c r="X18" s="38">
        <f>W18/(1+'Major Assumption Key'!$B$8)^($F18-'Major Assumption Key'!$B$7)</f>
        <v>0</v>
      </c>
      <c r="Y18" s="290"/>
      <c r="Z18" s="784">
        <f t="shared" si="6"/>
        <v>0</v>
      </c>
      <c r="AA18" s="848">
        <f t="shared" si="7"/>
        <v>0</v>
      </c>
      <c r="AB18" s="37">
        <f t="shared" si="8"/>
        <v>0</v>
      </c>
      <c r="AC18" s="38">
        <f t="shared" si="9"/>
        <v>0</v>
      </c>
    </row>
    <row r="19" spans="1:33" ht="19.95" customHeight="1">
      <c r="A19" s="849" t="s">
        <v>813</v>
      </c>
      <c r="B19" s="850">
        <v>0</v>
      </c>
      <c r="C19" s="2" t="s">
        <v>814</v>
      </c>
      <c r="D19" s="770"/>
      <c r="E19" s="767"/>
      <c r="F19" s="772">
        <f>'Major Assumption Key'!A31</f>
        <v>2032</v>
      </c>
      <c r="G19" s="40">
        <f>IF(AND($F19&gt;=MIN($C$28),$F19&lt;=MAX($D$28)),SUMPRODUCT('BCA Guide - Parameter Values'!$C$6:$C$11,'Road Safety CRTMeasure'!$G$7:$G$12)+'Road Safety CRTMeasure'!$G$6*'BCA Guide - Parameter Values'!$C$14,0)</f>
        <v>0</v>
      </c>
      <c r="H19" s="40">
        <f>IF(AND($F19&gt;=MIN($C$29),$F19&lt;=MAX($D$29)),SUMPRODUCT('BCA Guide - Parameter Values'!$C$6:$C$11,'Road Safety CRTMeasure'!$G$19:$G$24)+'Road Safety CRTMeasure'!$G$18*'BCA Guide - Parameter Values'!$C$14,0)</f>
        <v>0</v>
      </c>
      <c r="I19" s="40">
        <f>IF(AND($F19&gt;=MIN($C$30),$F19&lt;=MAX($D$30)),SUMPRODUCT('BCA Guide - Parameter Values'!$C$6:$C$11,'Road Safety CRTMeasure'!$G$31:$G$36)+'Road Safety CRTMeasure'!$G$30*'BCA Guide - Parameter Values'!$C$14,0)</f>
        <v>0</v>
      </c>
      <c r="J19" s="40">
        <f>IF(AND($F19&gt;=MIN($C$31),$F19&lt;=MAX($D$31)),SUMPRODUCT('BCA Guide - Parameter Values'!$C$6:$C$11,'Road Safety CRTMeasure'!$G$43:$G$48)+'Road Safety CRTMeasure'!$G$42*'BCA Guide - Parameter Values'!$C$14,0)</f>
        <v>0</v>
      </c>
      <c r="K19" s="40">
        <f>IF(AND($F19&gt;=MIN($C$32),$F19&lt;=MAX($D$32)),SUMPRODUCT('BCA Guide - Parameter Values'!$C$6:$C$11,'Road Safety CRTMeasure'!$G$55:$G$60)+'Road Safety CRTMeasure'!$G$54*'BCA Guide - Parameter Values'!$C$14,0)</f>
        <v>0</v>
      </c>
      <c r="L19" s="40">
        <f>IF(AND($F19&gt;=MIN($C$33),$F19&lt;=MAX($D$33)),SUMPRODUCT('BCA Guide - Parameter Values'!$C$6:$C$11,'Road Safety CRTMeasure'!$G$67:$G$72)+'Road Safety CRTMeasure'!$G$66*'BCA Guide - Parameter Values'!$C$14,0)</f>
        <v>0</v>
      </c>
      <c r="M19" s="40">
        <f>IF(AND($F19&gt;=MIN($C$34),$F19&lt;=MAX($D$34)),SUMPRODUCT('BCA Guide - Parameter Values'!$C$6:$C$11,'Road Safety CRTMeasure'!$G$79:$G$84)+'Road Safety CRTMeasure'!$G$78*'BCA Guide - Parameter Values'!$C$14,0)</f>
        <v>0</v>
      </c>
      <c r="N19" s="784">
        <f>IF(AND(F19&gt;='Major Assumption Key'!$B$4,F19&lt;='Major Assumption Key'!$B$6),SUM(G19:M19),0)</f>
        <v>0</v>
      </c>
      <c r="O19" s="40">
        <f>IF(AND($F19&gt;=$C$28,$F19&lt;=$D$28),SUMPRODUCT('BCA Guide - Parameter Values'!$C$6:$C$11,'Road Safety CRTMeasure'!$H$7:$H$12)+'Road Safety CRTMeasure'!$H$6*'BCA Guide - Parameter Values'!$C$14,0)</f>
        <v>0</v>
      </c>
      <c r="P19" s="298">
        <f>IF(AND($F19&gt;=MIN($C$29),$F19&lt;=MAX($D$29)),SUMPRODUCT('BCA Guide - Parameter Values'!$C$6:$C$11,'Road Safety CRTMeasure'!$H$19:$H$24)+'Road Safety CRTMeasure'!$H$18*'BCA Guide - Parameter Values'!$C$14,0)</f>
        <v>0</v>
      </c>
      <c r="Q19" s="298">
        <f>IF(AND($F19&gt;=MIN($C$30),$F19&lt;=MAX($D$30)),SUMPRODUCT('BCA Guide - Parameter Values'!$C$6:$C$11,'Road Safety CRTMeasure'!$H$31:$H$36)+'Road Safety CRTMeasure'!$H$30*'BCA Guide - Parameter Values'!$C$14,0)</f>
        <v>0</v>
      </c>
      <c r="R19" s="298">
        <f>IF(AND($F19&gt;=MIN($C$31),$F19&lt;=MAX($D$31)),SUMPRODUCT('BCA Guide - Parameter Values'!$C$6:$C$11,'Road Safety CRTMeasure'!$H$43:$H$48)+'Road Safety CRTMeasure'!$H$42*'BCA Guide - Parameter Values'!$C$14,0)</f>
        <v>0</v>
      </c>
      <c r="S19" s="298">
        <f>IF(AND($F19&gt;=MIN($C$32),$F19&lt;=MAX($D$32)),SUMPRODUCT('BCA Guide - Parameter Values'!$C$6:$C$11,'Road Safety CRTMeasure'!$H$55:$H$60)+'Road Safety CRTMeasure'!$H$54*'BCA Guide - Parameter Values'!$C$14,0)</f>
        <v>0</v>
      </c>
      <c r="T19" s="298">
        <f>IF(AND($F19&gt;=MIN($C$33),$F19&lt;=MAX($D$33)),SUMPRODUCT('BCA Guide - Parameter Values'!$C$6:$C$11,'Road Safety CRTMeasure'!$H$67:$H$72)+'Road Safety CRTMeasure'!$H$66*'BCA Guide - Parameter Values'!$C$14,0)</f>
        <v>0</v>
      </c>
      <c r="U19" s="298">
        <f>IF(AND($F19&gt;=MIN($C$34),$F19&lt;=MAX($D$34)),SUMPRODUCT('BCA Guide - Parameter Values'!$C$6:$C$11,'Road Safety CRTMeasure'!$H$79:$H$84)+'Road Safety CRTMeasure'!$H$78*'BCA Guide - Parameter Values'!$C$14,0)</f>
        <v>0</v>
      </c>
      <c r="V19" s="848">
        <f>IF(AND(F19&gt;='Major Assumption Key'!$B$4,F19&lt;='Major Assumption Key'!$B$6),SUM(O19:U19),0)</f>
        <v>0</v>
      </c>
      <c r="W19" s="37">
        <f t="shared" si="5"/>
        <v>0</v>
      </c>
      <c r="X19" s="38">
        <f>W19/(1+'Major Assumption Key'!$B$8)^($F19-'Major Assumption Key'!$B$7)</f>
        <v>0</v>
      </c>
      <c r="Y19" s="290"/>
      <c r="Z19" s="784">
        <f t="shared" si="6"/>
        <v>0</v>
      </c>
      <c r="AA19" s="848">
        <f t="shared" si="7"/>
        <v>0</v>
      </c>
      <c r="AB19" s="37">
        <f t="shared" si="8"/>
        <v>0</v>
      </c>
      <c r="AC19" s="38">
        <f t="shared" si="9"/>
        <v>0</v>
      </c>
    </row>
    <row r="20" spans="1:33" ht="19.95" customHeight="1">
      <c r="A20" s="849" t="s">
        <v>815</v>
      </c>
      <c r="B20" s="850">
        <v>0</v>
      </c>
      <c r="C20" s="2" t="s">
        <v>814</v>
      </c>
      <c r="D20" s="770"/>
      <c r="E20" s="767"/>
      <c r="F20" s="772">
        <f>'Major Assumption Key'!A32</f>
        <v>2033</v>
      </c>
      <c r="G20" s="40">
        <f>IF(AND($F20&gt;=MIN($C$28),$F20&lt;=MAX($D$28)),SUMPRODUCT('BCA Guide - Parameter Values'!$C$6:$C$11,'Road Safety CRTMeasure'!$G$7:$G$12)+'Road Safety CRTMeasure'!$G$6*'BCA Guide - Parameter Values'!$C$14,0)</f>
        <v>0</v>
      </c>
      <c r="H20" s="40">
        <f>IF(AND($F20&gt;=MIN($C$29),$F20&lt;=MAX($D$29)),SUMPRODUCT('BCA Guide - Parameter Values'!$C$6:$C$11,'Road Safety CRTMeasure'!$G$19:$G$24)+'Road Safety CRTMeasure'!$G$18*'BCA Guide - Parameter Values'!$C$14,0)</f>
        <v>0</v>
      </c>
      <c r="I20" s="40">
        <f>IF(AND($F20&gt;=MIN($C$30),$F20&lt;=MAX($D$30)),SUMPRODUCT('BCA Guide - Parameter Values'!$C$6:$C$11,'Road Safety CRTMeasure'!$G$31:$G$36)+'Road Safety CRTMeasure'!$G$30*'BCA Guide - Parameter Values'!$C$14,0)</f>
        <v>0</v>
      </c>
      <c r="J20" s="40">
        <f>IF(AND($F20&gt;=MIN($C$31),$F20&lt;=MAX($D$31)),SUMPRODUCT('BCA Guide - Parameter Values'!$C$6:$C$11,'Road Safety CRTMeasure'!$G$43:$G$48)+'Road Safety CRTMeasure'!$G$42*'BCA Guide - Parameter Values'!$C$14,0)</f>
        <v>0</v>
      </c>
      <c r="K20" s="40">
        <f>IF(AND($F20&gt;=MIN($C$32),$F20&lt;=MAX($D$32)),SUMPRODUCT('BCA Guide - Parameter Values'!$C$6:$C$11,'Road Safety CRTMeasure'!$G$55:$G$60)+'Road Safety CRTMeasure'!$G$54*'BCA Guide - Parameter Values'!$C$14,0)</f>
        <v>0</v>
      </c>
      <c r="L20" s="40">
        <f>IF(AND($F20&gt;=MIN($C$33),$F20&lt;=MAX($D$33)),SUMPRODUCT('BCA Guide - Parameter Values'!$C$6:$C$11,'Road Safety CRTMeasure'!$G$67:$G$72)+'Road Safety CRTMeasure'!$G$66*'BCA Guide - Parameter Values'!$C$14,0)</f>
        <v>0</v>
      </c>
      <c r="M20" s="40">
        <f>IF(AND($F20&gt;=MIN($C$34),$F20&lt;=MAX($D$34)),SUMPRODUCT('BCA Guide - Parameter Values'!$C$6:$C$11,'Road Safety CRTMeasure'!$G$79:$G$84)+'Road Safety CRTMeasure'!$G$78*'BCA Guide - Parameter Values'!$C$14,0)</f>
        <v>0</v>
      </c>
      <c r="N20" s="784">
        <f>IF(AND(F20&gt;='Major Assumption Key'!$B$4,F20&lt;='Major Assumption Key'!$B$6),SUM(G20:M20),0)</f>
        <v>0</v>
      </c>
      <c r="O20" s="40">
        <f>IF(AND($F20&gt;=$C$28,$F20&lt;=$D$28),SUMPRODUCT('BCA Guide - Parameter Values'!$C$6:$C$11,'Road Safety CRTMeasure'!$H$7:$H$12)+'Road Safety CRTMeasure'!$H$6*'BCA Guide - Parameter Values'!$C$14,0)</f>
        <v>0</v>
      </c>
      <c r="P20" s="298">
        <f>IF(AND($F20&gt;=MIN($C$29),$F20&lt;=MAX($D$29)),SUMPRODUCT('BCA Guide - Parameter Values'!$C$6:$C$11,'Road Safety CRTMeasure'!$H$19:$H$24)+'Road Safety CRTMeasure'!$H$18*'BCA Guide - Parameter Values'!$C$14,0)</f>
        <v>0</v>
      </c>
      <c r="Q20" s="298">
        <f>IF(AND($F20&gt;=MIN($C$30),$F20&lt;=MAX($D$30)),SUMPRODUCT('BCA Guide - Parameter Values'!$C$6:$C$11,'Road Safety CRTMeasure'!$H$31:$H$36)+'Road Safety CRTMeasure'!$H$30*'BCA Guide - Parameter Values'!$C$14,0)</f>
        <v>0</v>
      </c>
      <c r="R20" s="298">
        <f>IF(AND($F20&gt;=MIN($C$31),$F20&lt;=MAX($D$31)),SUMPRODUCT('BCA Guide - Parameter Values'!$C$6:$C$11,'Road Safety CRTMeasure'!$H$43:$H$48)+'Road Safety CRTMeasure'!$H$42*'BCA Guide - Parameter Values'!$C$14,0)</f>
        <v>0</v>
      </c>
      <c r="S20" s="298">
        <f>IF(AND($F20&gt;=MIN($C$32),$F20&lt;=MAX($D$32)),SUMPRODUCT('BCA Guide - Parameter Values'!$C$6:$C$11,'Road Safety CRTMeasure'!$H$55:$H$60)+'Road Safety CRTMeasure'!$H$54*'BCA Guide - Parameter Values'!$C$14,0)</f>
        <v>0</v>
      </c>
      <c r="T20" s="298">
        <f>IF(AND($F20&gt;=MIN($C$33),$F20&lt;=MAX($D$33)),SUMPRODUCT('BCA Guide - Parameter Values'!$C$6:$C$11,'Road Safety CRTMeasure'!$H$67:$H$72)+'Road Safety CRTMeasure'!$H$66*'BCA Guide - Parameter Values'!$C$14,0)</f>
        <v>0</v>
      </c>
      <c r="U20" s="298">
        <f>IF(AND($F20&gt;=MIN($C$34),$F20&lt;=MAX($D$34)),SUMPRODUCT('BCA Guide - Parameter Values'!$C$6:$C$11,'Road Safety CRTMeasure'!$H$79:$H$84)+'Road Safety CRTMeasure'!$H$78*'BCA Guide - Parameter Values'!$C$14,0)</f>
        <v>0</v>
      </c>
      <c r="V20" s="848">
        <f>IF(AND(F20&gt;='Major Assumption Key'!$B$4,F20&lt;='Major Assumption Key'!$B$6),SUM(O20:U20),0)</f>
        <v>0</v>
      </c>
      <c r="W20" s="37">
        <f t="shared" si="5"/>
        <v>0</v>
      </c>
      <c r="X20" s="38">
        <f>W20/(1+'Major Assumption Key'!$B$8)^($F20-'Major Assumption Key'!$B$7)</f>
        <v>0</v>
      </c>
      <c r="Y20" s="290"/>
      <c r="Z20" s="784">
        <f t="shared" si="6"/>
        <v>0</v>
      </c>
      <c r="AA20" s="848">
        <f t="shared" si="7"/>
        <v>0</v>
      </c>
      <c r="AB20" s="37">
        <f t="shared" si="8"/>
        <v>0</v>
      </c>
      <c r="AC20" s="38">
        <f t="shared" si="9"/>
        <v>0</v>
      </c>
    </row>
    <row r="21" spans="1:33" ht="19.95" customHeight="1">
      <c r="A21" s="849" t="s">
        <v>816</v>
      </c>
      <c r="B21" s="850">
        <v>0</v>
      </c>
      <c r="C21" s="2" t="s">
        <v>814</v>
      </c>
      <c r="D21" s="770"/>
      <c r="E21" s="767"/>
      <c r="F21" s="772">
        <f>'Major Assumption Key'!A33</f>
        <v>2034</v>
      </c>
      <c r="G21" s="40">
        <f>IF(AND($F21&gt;=MIN($C$28),$F21&lt;=MAX($D$28)),SUMPRODUCT('BCA Guide - Parameter Values'!$C$6:$C$11,'Road Safety CRTMeasure'!$G$7:$G$12)+'Road Safety CRTMeasure'!$G$6*'BCA Guide - Parameter Values'!$C$14,0)</f>
        <v>0</v>
      </c>
      <c r="H21" s="40">
        <f>IF(AND($F21&gt;=MIN($C$29),$F21&lt;=MAX($D$29)),SUMPRODUCT('BCA Guide - Parameter Values'!$C$6:$C$11,'Road Safety CRTMeasure'!$G$19:$G$24)+'Road Safety CRTMeasure'!$G$18*'BCA Guide - Parameter Values'!$C$14,0)</f>
        <v>0</v>
      </c>
      <c r="I21" s="40">
        <f>IF(AND($F21&gt;=MIN($C$30),$F21&lt;=MAX($D$30)),SUMPRODUCT('BCA Guide - Parameter Values'!$C$6:$C$11,'Road Safety CRTMeasure'!$G$31:$G$36)+'Road Safety CRTMeasure'!$G$30*'BCA Guide - Parameter Values'!$C$14,0)</f>
        <v>0</v>
      </c>
      <c r="J21" s="40">
        <f>IF(AND($F21&gt;=MIN($C$31),$F21&lt;=MAX($D$31)),SUMPRODUCT('BCA Guide - Parameter Values'!$C$6:$C$11,'Road Safety CRTMeasure'!$G$43:$G$48)+'Road Safety CRTMeasure'!$G$42*'BCA Guide - Parameter Values'!$C$14,0)</f>
        <v>0</v>
      </c>
      <c r="K21" s="40">
        <f>IF(AND($F21&gt;=MIN($C$32),$F21&lt;=MAX($D$32)),SUMPRODUCT('BCA Guide - Parameter Values'!$C$6:$C$11,'Road Safety CRTMeasure'!$G$55:$G$60)+'Road Safety CRTMeasure'!$G$54*'BCA Guide - Parameter Values'!$C$14,0)</f>
        <v>0</v>
      </c>
      <c r="L21" s="40">
        <f>IF(AND($F21&gt;=MIN($C$33),$F21&lt;=MAX($D$33)),SUMPRODUCT('BCA Guide - Parameter Values'!$C$6:$C$11,'Road Safety CRTMeasure'!$G$67:$G$72)+'Road Safety CRTMeasure'!$G$66*'BCA Guide - Parameter Values'!$C$14,0)</f>
        <v>0</v>
      </c>
      <c r="M21" s="40">
        <f>IF(AND($F21&gt;=MIN($C$34),$F21&lt;=MAX($D$34)),SUMPRODUCT('BCA Guide - Parameter Values'!$C$6:$C$11,'Road Safety CRTMeasure'!$G$79:$G$84)+'Road Safety CRTMeasure'!$G$78*'BCA Guide - Parameter Values'!$C$14,0)</f>
        <v>0</v>
      </c>
      <c r="N21" s="784">
        <f>IF(AND(F21&gt;='Major Assumption Key'!$B$4,F21&lt;='Major Assumption Key'!$B$6),SUM(G21:M21),0)</f>
        <v>0</v>
      </c>
      <c r="O21" s="40">
        <f>IF(AND($F21&gt;=$C$28,$F21&lt;=$D$28),SUMPRODUCT('BCA Guide - Parameter Values'!$C$6:$C$11,'Road Safety CRTMeasure'!$H$7:$H$12)+'Road Safety CRTMeasure'!$H$6*'BCA Guide - Parameter Values'!$C$14,0)</f>
        <v>0</v>
      </c>
      <c r="P21" s="298">
        <f>IF(AND($F21&gt;=MIN($C$29),$F21&lt;=MAX($D$29)),SUMPRODUCT('BCA Guide - Parameter Values'!$C$6:$C$11,'Road Safety CRTMeasure'!$H$19:$H$24)+'Road Safety CRTMeasure'!$H$18*'BCA Guide - Parameter Values'!$C$14,0)</f>
        <v>0</v>
      </c>
      <c r="Q21" s="298">
        <f>IF(AND($F21&gt;=MIN($C$30),$F21&lt;=MAX($D$30)),SUMPRODUCT('BCA Guide - Parameter Values'!$C$6:$C$11,'Road Safety CRTMeasure'!$H$31:$H$36)+'Road Safety CRTMeasure'!$H$30*'BCA Guide - Parameter Values'!$C$14,0)</f>
        <v>0</v>
      </c>
      <c r="R21" s="298">
        <f>IF(AND($F21&gt;=MIN($C$31),$F21&lt;=MAX($D$31)),SUMPRODUCT('BCA Guide - Parameter Values'!$C$6:$C$11,'Road Safety CRTMeasure'!$H$43:$H$48)+'Road Safety CRTMeasure'!$H$42*'BCA Guide - Parameter Values'!$C$14,0)</f>
        <v>0</v>
      </c>
      <c r="S21" s="298">
        <f>IF(AND($F21&gt;=MIN($C$32),$F21&lt;=MAX($D$32)),SUMPRODUCT('BCA Guide - Parameter Values'!$C$6:$C$11,'Road Safety CRTMeasure'!$H$55:$H$60)+'Road Safety CRTMeasure'!$H$54*'BCA Guide - Parameter Values'!$C$14,0)</f>
        <v>0</v>
      </c>
      <c r="T21" s="298">
        <f>IF(AND($F21&gt;=MIN($C$33),$F21&lt;=MAX($D$33)),SUMPRODUCT('BCA Guide - Parameter Values'!$C$6:$C$11,'Road Safety CRTMeasure'!$H$67:$H$72)+'Road Safety CRTMeasure'!$H$66*'BCA Guide - Parameter Values'!$C$14,0)</f>
        <v>0</v>
      </c>
      <c r="U21" s="298">
        <f>IF(AND($F21&gt;=MIN($C$34),$F21&lt;=MAX($D$34)),SUMPRODUCT('BCA Guide - Parameter Values'!$C$6:$C$11,'Road Safety CRTMeasure'!$H$79:$H$84)+'Road Safety CRTMeasure'!$H$78*'BCA Guide - Parameter Values'!$C$14,0)</f>
        <v>0</v>
      </c>
      <c r="V21" s="848">
        <f>IF(AND(F21&gt;='Major Assumption Key'!$B$4,F21&lt;='Major Assumption Key'!$B$6),SUM(O21:U21),0)</f>
        <v>0</v>
      </c>
      <c r="W21" s="37">
        <f t="shared" si="5"/>
        <v>0</v>
      </c>
      <c r="X21" s="38">
        <f>W21/(1+'Major Assumption Key'!$B$8)^($F21-'Major Assumption Key'!$B$7)</f>
        <v>0</v>
      </c>
      <c r="Y21" s="290"/>
      <c r="Z21" s="784">
        <f t="shared" si="6"/>
        <v>0</v>
      </c>
      <c r="AA21" s="848">
        <f t="shared" si="7"/>
        <v>0</v>
      </c>
      <c r="AB21" s="37">
        <f t="shared" si="8"/>
        <v>0</v>
      </c>
      <c r="AC21" s="38">
        <f t="shared" si="9"/>
        <v>0</v>
      </c>
    </row>
    <row r="22" spans="1:33" ht="19.95" customHeight="1">
      <c r="A22" s="849" t="s">
        <v>817</v>
      </c>
      <c r="B22" s="850">
        <v>0</v>
      </c>
      <c r="C22" s="2" t="s">
        <v>814</v>
      </c>
      <c r="D22" s="770"/>
      <c r="E22" s="767"/>
      <c r="F22" s="772">
        <f>'Major Assumption Key'!A34</f>
        <v>2035</v>
      </c>
      <c r="G22" s="40">
        <f>IF(AND($F22&gt;=MIN($C$28),$F22&lt;=MAX($D$28)),SUMPRODUCT('BCA Guide - Parameter Values'!$C$6:$C$11,'Road Safety CRTMeasure'!$G$7:$G$12)+'Road Safety CRTMeasure'!$G$6*'BCA Guide - Parameter Values'!$C$14,0)</f>
        <v>0</v>
      </c>
      <c r="H22" s="40">
        <f>IF(AND($F22&gt;=MIN($C$29),$F22&lt;=MAX($D$29)),SUMPRODUCT('BCA Guide - Parameter Values'!$C$6:$C$11,'Road Safety CRTMeasure'!$G$19:$G$24)+'Road Safety CRTMeasure'!$G$18*'BCA Guide - Parameter Values'!$C$14,0)</f>
        <v>0</v>
      </c>
      <c r="I22" s="40">
        <f>IF(AND($F22&gt;=MIN($C$30),$F22&lt;=MAX($D$30)),SUMPRODUCT('BCA Guide - Parameter Values'!$C$6:$C$11,'Road Safety CRTMeasure'!$G$31:$G$36)+'Road Safety CRTMeasure'!$G$30*'BCA Guide - Parameter Values'!$C$14,0)</f>
        <v>0</v>
      </c>
      <c r="J22" s="40">
        <f>IF(AND($F22&gt;=MIN($C$31),$F22&lt;=MAX($D$31)),SUMPRODUCT('BCA Guide - Parameter Values'!$C$6:$C$11,'Road Safety CRTMeasure'!$G$43:$G$48)+'Road Safety CRTMeasure'!$G$42*'BCA Guide - Parameter Values'!$C$14,0)</f>
        <v>0</v>
      </c>
      <c r="K22" s="40">
        <f>IF(AND($F22&gt;=MIN($C$32),$F22&lt;=MAX($D$32)),SUMPRODUCT('BCA Guide - Parameter Values'!$C$6:$C$11,'Road Safety CRTMeasure'!$G$55:$G$60)+'Road Safety CRTMeasure'!$G$54*'BCA Guide - Parameter Values'!$C$14,0)</f>
        <v>0</v>
      </c>
      <c r="L22" s="40">
        <f>IF(AND($F22&gt;=MIN($C$33),$F22&lt;=MAX($D$33)),SUMPRODUCT('BCA Guide - Parameter Values'!$C$6:$C$11,'Road Safety CRTMeasure'!$G$67:$G$72)+'Road Safety CRTMeasure'!$G$66*'BCA Guide - Parameter Values'!$C$14,0)</f>
        <v>0</v>
      </c>
      <c r="M22" s="40">
        <f>IF(AND($F22&gt;=MIN($C$34),$F22&lt;=MAX($D$34)),SUMPRODUCT('BCA Guide - Parameter Values'!$C$6:$C$11,'Road Safety CRTMeasure'!$G$79:$G$84)+'Road Safety CRTMeasure'!$G$78*'BCA Guide - Parameter Values'!$C$14,0)</f>
        <v>0</v>
      </c>
      <c r="N22" s="784">
        <f>IF(AND(F22&gt;='Major Assumption Key'!$B$4,F22&lt;='Major Assumption Key'!$B$6),SUM(G22:M22),0)</f>
        <v>0</v>
      </c>
      <c r="O22" s="40">
        <f>IF(AND($F22&gt;=$C$28,$F22&lt;=$D$28),SUMPRODUCT('BCA Guide - Parameter Values'!$C$6:$C$11,'Road Safety CRTMeasure'!$H$7:$H$12)+'Road Safety CRTMeasure'!$H$6*'BCA Guide - Parameter Values'!$C$14,0)</f>
        <v>0</v>
      </c>
      <c r="P22" s="298">
        <f>IF(AND($F22&gt;=MIN($C$29),$F22&lt;=MAX($D$29)),SUMPRODUCT('BCA Guide - Parameter Values'!$C$6:$C$11,'Road Safety CRTMeasure'!$H$19:$H$24)+'Road Safety CRTMeasure'!$H$18*'BCA Guide - Parameter Values'!$C$14,0)</f>
        <v>0</v>
      </c>
      <c r="Q22" s="298">
        <f>IF(AND($F22&gt;=MIN($C$30),$F22&lt;=MAX($D$30)),SUMPRODUCT('BCA Guide - Parameter Values'!$C$6:$C$11,'Road Safety CRTMeasure'!$H$31:$H$36)+'Road Safety CRTMeasure'!$H$30*'BCA Guide - Parameter Values'!$C$14,0)</f>
        <v>0</v>
      </c>
      <c r="R22" s="298">
        <f>IF(AND($F22&gt;=MIN($C$31),$F22&lt;=MAX($D$31)),SUMPRODUCT('BCA Guide - Parameter Values'!$C$6:$C$11,'Road Safety CRTMeasure'!$H$43:$H$48)+'Road Safety CRTMeasure'!$H$42*'BCA Guide - Parameter Values'!$C$14,0)</f>
        <v>0</v>
      </c>
      <c r="S22" s="298">
        <f>IF(AND($F22&gt;=MIN($C$32),$F22&lt;=MAX($D$32)),SUMPRODUCT('BCA Guide - Parameter Values'!$C$6:$C$11,'Road Safety CRTMeasure'!$H$55:$H$60)+'Road Safety CRTMeasure'!$H$54*'BCA Guide - Parameter Values'!$C$14,0)</f>
        <v>0</v>
      </c>
      <c r="T22" s="298">
        <f>IF(AND($F22&gt;=MIN($C$33),$F22&lt;=MAX($D$33)),SUMPRODUCT('BCA Guide - Parameter Values'!$C$6:$C$11,'Road Safety CRTMeasure'!$H$67:$H$72)+'Road Safety CRTMeasure'!$H$66*'BCA Guide - Parameter Values'!$C$14,0)</f>
        <v>0</v>
      </c>
      <c r="U22" s="298">
        <f>IF(AND($F22&gt;=MIN($C$34),$F22&lt;=MAX($D$34)),SUMPRODUCT('BCA Guide - Parameter Values'!$C$6:$C$11,'Road Safety CRTMeasure'!$H$79:$H$84)+'Road Safety CRTMeasure'!$H$78*'BCA Guide - Parameter Values'!$C$14,0)</f>
        <v>0</v>
      </c>
      <c r="V22" s="848">
        <f>IF(AND(F22&gt;='Major Assumption Key'!$B$4,F22&lt;='Major Assumption Key'!$B$6),SUM(O22:U22),0)</f>
        <v>0</v>
      </c>
      <c r="W22" s="37">
        <f t="shared" si="5"/>
        <v>0</v>
      </c>
      <c r="X22" s="38">
        <f>W22/(1+'Major Assumption Key'!$B$8)^($F22-'Major Assumption Key'!$B$7)</f>
        <v>0</v>
      </c>
      <c r="Y22" s="290"/>
      <c r="Z22" s="784">
        <f t="shared" si="6"/>
        <v>0</v>
      </c>
      <c r="AA22" s="848">
        <f t="shared" si="7"/>
        <v>0</v>
      </c>
      <c r="AB22" s="37">
        <f t="shared" si="8"/>
        <v>0</v>
      </c>
      <c r="AC22" s="38">
        <f t="shared" si="9"/>
        <v>0</v>
      </c>
    </row>
    <row r="23" spans="1:33" ht="19.95" customHeight="1">
      <c r="A23" s="849" t="s">
        <v>818</v>
      </c>
      <c r="B23" s="850">
        <v>0</v>
      </c>
      <c r="C23" s="2" t="s">
        <v>814</v>
      </c>
      <c r="D23" s="770"/>
      <c r="E23" s="767"/>
      <c r="F23" s="772">
        <f>'Major Assumption Key'!A35</f>
        <v>2036</v>
      </c>
      <c r="G23" s="40">
        <f>IF(AND($F23&gt;=MIN($C$28),$F23&lt;=MAX($D$28)),SUMPRODUCT('BCA Guide - Parameter Values'!$C$6:$C$11,'Road Safety CRTMeasure'!$G$7:$G$12)+'Road Safety CRTMeasure'!$G$6*'BCA Guide - Parameter Values'!$C$14,0)</f>
        <v>0</v>
      </c>
      <c r="H23" s="40">
        <f>IF(AND($F23&gt;=MIN($C$29),$F23&lt;=MAX($D$29)),SUMPRODUCT('BCA Guide - Parameter Values'!$C$6:$C$11,'Road Safety CRTMeasure'!$G$19:$G$24)+'Road Safety CRTMeasure'!$G$18*'BCA Guide - Parameter Values'!$C$14,0)</f>
        <v>0</v>
      </c>
      <c r="I23" s="40">
        <f>IF(AND($F23&gt;=MIN($C$30),$F23&lt;=MAX($D$30)),SUMPRODUCT('BCA Guide - Parameter Values'!$C$6:$C$11,'Road Safety CRTMeasure'!$G$31:$G$36)+'Road Safety CRTMeasure'!$G$30*'BCA Guide - Parameter Values'!$C$14,0)</f>
        <v>0</v>
      </c>
      <c r="J23" s="40">
        <f>IF(AND($F23&gt;=MIN($C$31),$F23&lt;=MAX($D$31)),SUMPRODUCT('BCA Guide - Parameter Values'!$C$6:$C$11,'Road Safety CRTMeasure'!$G$43:$G$48)+'Road Safety CRTMeasure'!$G$42*'BCA Guide - Parameter Values'!$C$14,0)</f>
        <v>0</v>
      </c>
      <c r="K23" s="40">
        <f>IF(AND($F23&gt;=MIN($C$32),$F23&lt;=MAX($D$32)),SUMPRODUCT('BCA Guide - Parameter Values'!$C$6:$C$11,'Road Safety CRTMeasure'!$G$55:$G$60)+'Road Safety CRTMeasure'!$G$54*'BCA Guide - Parameter Values'!$C$14,0)</f>
        <v>0</v>
      </c>
      <c r="L23" s="40">
        <f>IF(AND($F23&gt;=MIN($C$33),$F23&lt;=MAX($D$33)),SUMPRODUCT('BCA Guide - Parameter Values'!$C$6:$C$11,'Road Safety CRTMeasure'!$G$67:$G$72)+'Road Safety CRTMeasure'!$G$66*'BCA Guide - Parameter Values'!$C$14,0)</f>
        <v>0</v>
      </c>
      <c r="M23" s="40">
        <f>IF(AND($F23&gt;=MIN($C$34),$F23&lt;=MAX($D$34)),SUMPRODUCT('BCA Guide - Parameter Values'!$C$6:$C$11,'Road Safety CRTMeasure'!$G$79:$G$84)+'Road Safety CRTMeasure'!$G$78*'BCA Guide - Parameter Values'!$C$14,0)</f>
        <v>0</v>
      </c>
      <c r="N23" s="784">
        <f>IF(AND(F23&gt;='Major Assumption Key'!$B$4,F23&lt;='Major Assumption Key'!$B$6),SUM(G23:M23),0)</f>
        <v>0</v>
      </c>
      <c r="O23" s="40">
        <f>IF(AND($F23&gt;=$C$28,$F23&lt;=$D$28),SUMPRODUCT('BCA Guide - Parameter Values'!$C$6:$C$11,'Road Safety CRTMeasure'!$H$7:$H$12)+'Road Safety CRTMeasure'!$H$6*'BCA Guide - Parameter Values'!$C$14,0)</f>
        <v>0</v>
      </c>
      <c r="P23" s="298">
        <f>IF(AND($F23&gt;=MIN($C$29),$F23&lt;=MAX($D$29)),SUMPRODUCT('BCA Guide - Parameter Values'!$C$6:$C$11,'Road Safety CRTMeasure'!$H$19:$H$24)+'Road Safety CRTMeasure'!$H$18*'BCA Guide - Parameter Values'!$C$14,0)</f>
        <v>0</v>
      </c>
      <c r="Q23" s="298">
        <f>IF(AND($F23&gt;=MIN($C$30),$F23&lt;=MAX($D$30)),SUMPRODUCT('BCA Guide - Parameter Values'!$C$6:$C$11,'Road Safety CRTMeasure'!$H$31:$H$36)+'Road Safety CRTMeasure'!$H$30*'BCA Guide - Parameter Values'!$C$14,0)</f>
        <v>0</v>
      </c>
      <c r="R23" s="298">
        <f>IF(AND($F23&gt;=MIN($C$31),$F23&lt;=MAX($D$31)),SUMPRODUCT('BCA Guide - Parameter Values'!$C$6:$C$11,'Road Safety CRTMeasure'!$H$43:$H$48)+'Road Safety CRTMeasure'!$H$42*'BCA Guide - Parameter Values'!$C$14,0)</f>
        <v>0</v>
      </c>
      <c r="S23" s="298">
        <f>IF(AND($F23&gt;=MIN($C$32),$F23&lt;=MAX($D$32)),SUMPRODUCT('BCA Guide - Parameter Values'!$C$6:$C$11,'Road Safety CRTMeasure'!$H$55:$H$60)+'Road Safety CRTMeasure'!$H$54*'BCA Guide - Parameter Values'!$C$14,0)</f>
        <v>0</v>
      </c>
      <c r="T23" s="298">
        <f>IF(AND($F23&gt;=MIN($C$33),$F23&lt;=MAX($D$33)),SUMPRODUCT('BCA Guide - Parameter Values'!$C$6:$C$11,'Road Safety CRTMeasure'!$H$67:$H$72)+'Road Safety CRTMeasure'!$H$66*'BCA Guide - Parameter Values'!$C$14,0)</f>
        <v>0</v>
      </c>
      <c r="U23" s="298">
        <f>IF(AND($F23&gt;=MIN($C$34),$F23&lt;=MAX($D$34)),SUMPRODUCT('BCA Guide - Parameter Values'!$C$6:$C$11,'Road Safety CRTMeasure'!$H$79:$H$84)+'Road Safety CRTMeasure'!$H$78*'BCA Guide - Parameter Values'!$C$14,0)</f>
        <v>0</v>
      </c>
      <c r="V23" s="848">
        <f>IF(AND(F23&gt;='Major Assumption Key'!$B$4,F23&lt;='Major Assumption Key'!$B$6),SUM(O23:U23),0)</f>
        <v>0</v>
      </c>
      <c r="W23" s="37">
        <f t="shared" si="5"/>
        <v>0</v>
      </c>
      <c r="X23" s="38">
        <f>W23/(1+'Major Assumption Key'!$B$8)^($F23-'Major Assumption Key'!$B$7)</f>
        <v>0</v>
      </c>
      <c r="Y23" s="290"/>
      <c r="Z23" s="784">
        <f t="shared" si="6"/>
        <v>0</v>
      </c>
      <c r="AA23" s="848">
        <f t="shared" si="7"/>
        <v>0</v>
      </c>
      <c r="AB23" s="37">
        <f t="shared" si="8"/>
        <v>0</v>
      </c>
      <c r="AC23" s="38">
        <f t="shared" si="9"/>
        <v>0</v>
      </c>
    </row>
    <row r="24" spans="1:33" ht="19.95" customHeight="1">
      <c r="A24" s="849" t="s">
        <v>819</v>
      </c>
      <c r="B24" s="850">
        <v>0</v>
      </c>
      <c r="C24" s="2" t="s">
        <v>814</v>
      </c>
      <c r="D24" s="770"/>
      <c r="E24" s="767"/>
      <c r="F24" s="772">
        <f>'Major Assumption Key'!A36</f>
        <v>2037</v>
      </c>
      <c r="G24" s="40">
        <f>IF(AND($F24&gt;=MIN($C$28),$F24&lt;=MAX($D$28)),SUMPRODUCT('BCA Guide - Parameter Values'!$C$6:$C$11,'Road Safety CRTMeasure'!$G$7:$G$12)+'Road Safety CRTMeasure'!$G$6*'BCA Guide - Parameter Values'!$C$14,0)</f>
        <v>0</v>
      </c>
      <c r="H24" s="40">
        <f>IF(AND($F24&gt;=MIN($C$29),$F24&lt;=MAX($D$29)),SUMPRODUCT('BCA Guide - Parameter Values'!$C$6:$C$11,'Road Safety CRTMeasure'!$G$19:$G$24)+'Road Safety CRTMeasure'!$G$18*'BCA Guide - Parameter Values'!$C$14,0)</f>
        <v>0</v>
      </c>
      <c r="I24" s="40">
        <f>IF(AND($F24&gt;=MIN($C$30),$F24&lt;=MAX($D$30)),SUMPRODUCT('BCA Guide - Parameter Values'!$C$6:$C$11,'Road Safety CRTMeasure'!$G$31:$G$36)+'Road Safety CRTMeasure'!$G$30*'BCA Guide - Parameter Values'!$C$14,0)</f>
        <v>0</v>
      </c>
      <c r="J24" s="40">
        <f>IF(AND($F24&gt;=MIN($C$31),$F24&lt;=MAX($D$31)),SUMPRODUCT('BCA Guide - Parameter Values'!$C$6:$C$11,'Road Safety CRTMeasure'!$G$43:$G$48)+'Road Safety CRTMeasure'!$G$42*'BCA Guide - Parameter Values'!$C$14,0)</f>
        <v>0</v>
      </c>
      <c r="K24" s="40">
        <f>IF(AND($F24&gt;=MIN($C$32),$F24&lt;=MAX($D$32)),SUMPRODUCT('BCA Guide - Parameter Values'!$C$6:$C$11,'Road Safety CRTMeasure'!$G$55:$G$60)+'Road Safety CRTMeasure'!$G$54*'BCA Guide - Parameter Values'!$C$14,0)</f>
        <v>0</v>
      </c>
      <c r="L24" s="40">
        <f>IF(AND($F24&gt;=MIN($C$33),$F24&lt;=MAX($D$33)),SUMPRODUCT('BCA Guide - Parameter Values'!$C$6:$C$11,'Road Safety CRTMeasure'!$G$67:$G$72)+'Road Safety CRTMeasure'!$G$66*'BCA Guide - Parameter Values'!$C$14,0)</f>
        <v>0</v>
      </c>
      <c r="M24" s="40">
        <f>IF(AND($F24&gt;=MIN($C$34),$F24&lt;=MAX($D$34)),SUMPRODUCT('BCA Guide - Parameter Values'!$C$6:$C$11,'Road Safety CRTMeasure'!$G$79:$G$84)+'Road Safety CRTMeasure'!$G$78*'BCA Guide - Parameter Values'!$C$14,0)</f>
        <v>0</v>
      </c>
      <c r="N24" s="784">
        <f>IF(AND(F24&gt;='Major Assumption Key'!$B$4,F24&lt;='Major Assumption Key'!$B$6),SUM(G24:M24),0)</f>
        <v>0</v>
      </c>
      <c r="O24" s="40">
        <f>IF(AND($F24&gt;=$C$28,$F24&lt;=$D$28),SUMPRODUCT('BCA Guide - Parameter Values'!$C$6:$C$11,'Road Safety CRTMeasure'!$H$7:$H$12)+'Road Safety CRTMeasure'!$H$6*'BCA Guide - Parameter Values'!$C$14,0)</f>
        <v>0</v>
      </c>
      <c r="P24" s="298">
        <f>IF(AND($F24&gt;=MIN($C$29),$F24&lt;=MAX($D$29)),SUMPRODUCT('BCA Guide - Parameter Values'!$C$6:$C$11,'Road Safety CRTMeasure'!$H$19:$H$24)+'Road Safety CRTMeasure'!$H$18*'BCA Guide - Parameter Values'!$C$14,0)</f>
        <v>0</v>
      </c>
      <c r="Q24" s="298">
        <f>IF(AND($F24&gt;=MIN($C$30),$F24&lt;=MAX($D$30)),SUMPRODUCT('BCA Guide - Parameter Values'!$C$6:$C$11,'Road Safety CRTMeasure'!$H$31:$H$36)+'Road Safety CRTMeasure'!$H$30*'BCA Guide - Parameter Values'!$C$14,0)</f>
        <v>0</v>
      </c>
      <c r="R24" s="298">
        <f>IF(AND($F24&gt;=MIN($C$31),$F24&lt;=MAX($D$31)),SUMPRODUCT('BCA Guide - Parameter Values'!$C$6:$C$11,'Road Safety CRTMeasure'!$H$43:$H$48)+'Road Safety CRTMeasure'!$H$42*'BCA Guide - Parameter Values'!$C$14,0)</f>
        <v>0</v>
      </c>
      <c r="S24" s="298">
        <f>IF(AND($F24&gt;=MIN($C$32),$F24&lt;=MAX($D$32)),SUMPRODUCT('BCA Guide - Parameter Values'!$C$6:$C$11,'Road Safety CRTMeasure'!$H$55:$H$60)+'Road Safety CRTMeasure'!$H$54*'BCA Guide - Parameter Values'!$C$14,0)</f>
        <v>0</v>
      </c>
      <c r="T24" s="298">
        <f>IF(AND($F24&gt;=MIN($C$33),$F24&lt;=MAX($D$33)),SUMPRODUCT('BCA Guide - Parameter Values'!$C$6:$C$11,'Road Safety CRTMeasure'!$H$67:$H$72)+'Road Safety CRTMeasure'!$H$66*'BCA Guide - Parameter Values'!$C$14,0)</f>
        <v>0</v>
      </c>
      <c r="U24" s="298">
        <f>IF(AND($F24&gt;=MIN($C$34),$F24&lt;=MAX($D$34)),SUMPRODUCT('BCA Guide - Parameter Values'!$C$6:$C$11,'Road Safety CRTMeasure'!$H$79:$H$84)+'Road Safety CRTMeasure'!$H$78*'BCA Guide - Parameter Values'!$C$14,0)</f>
        <v>0</v>
      </c>
      <c r="V24" s="848">
        <f>IF(AND(F24&gt;='Major Assumption Key'!$B$4,F24&lt;='Major Assumption Key'!$B$6),SUM(O24:U24),0)</f>
        <v>0</v>
      </c>
      <c r="W24" s="37">
        <f t="shared" si="5"/>
        <v>0</v>
      </c>
      <c r="X24" s="38">
        <f>W24/(1+'Major Assumption Key'!$B$8)^($F24-'Major Assumption Key'!$B$7)</f>
        <v>0</v>
      </c>
      <c r="Y24" s="290"/>
      <c r="Z24" s="784">
        <f t="shared" si="6"/>
        <v>0</v>
      </c>
      <c r="AA24" s="848">
        <f t="shared" si="7"/>
        <v>0</v>
      </c>
      <c r="AB24" s="37">
        <f t="shared" si="8"/>
        <v>0</v>
      </c>
      <c r="AC24" s="38">
        <f t="shared" si="9"/>
        <v>0</v>
      </c>
    </row>
    <row r="25" spans="1:33" ht="19.95" customHeight="1" thickBot="1">
      <c r="A25" s="851" t="s">
        <v>820</v>
      </c>
      <c r="B25" s="852">
        <v>0</v>
      </c>
      <c r="C25" s="364" t="s">
        <v>814</v>
      </c>
      <c r="D25" s="781"/>
      <c r="E25" s="767"/>
      <c r="F25" s="772">
        <f>'Major Assumption Key'!A37</f>
        <v>2038</v>
      </c>
      <c r="G25" s="40">
        <f>IF(AND($F25&gt;=MIN($C$28),$F25&lt;=MAX($D$28)),SUMPRODUCT('BCA Guide - Parameter Values'!$C$6:$C$11,'Road Safety CRTMeasure'!$G$7:$G$12)+'Road Safety CRTMeasure'!$G$6*'BCA Guide - Parameter Values'!$C$14,0)</f>
        <v>0</v>
      </c>
      <c r="H25" s="40">
        <f>IF(AND($F25&gt;=MIN($C$29),$F25&lt;=MAX($D$29)),SUMPRODUCT('BCA Guide - Parameter Values'!$C$6:$C$11,'Road Safety CRTMeasure'!$G$19:$G$24)+'Road Safety CRTMeasure'!$G$18*'BCA Guide - Parameter Values'!$C$14,0)</f>
        <v>0</v>
      </c>
      <c r="I25" s="40">
        <f>IF(AND($F25&gt;=MIN($C$30),$F25&lt;=MAX($D$30)),SUMPRODUCT('BCA Guide - Parameter Values'!$C$6:$C$11,'Road Safety CRTMeasure'!$G$31:$G$36)+'Road Safety CRTMeasure'!$G$30*'BCA Guide - Parameter Values'!$C$14,0)</f>
        <v>0</v>
      </c>
      <c r="J25" s="40">
        <f>IF(AND($F25&gt;=MIN($C$31),$F25&lt;=MAX($D$31)),SUMPRODUCT('BCA Guide - Parameter Values'!$C$6:$C$11,'Road Safety CRTMeasure'!$G$43:$G$48)+'Road Safety CRTMeasure'!$G$42*'BCA Guide - Parameter Values'!$C$14,0)</f>
        <v>0</v>
      </c>
      <c r="K25" s="40">
        <f>IF(AND($F25&gt;=MIN($C$32),$F25&lt;=MAX($D$32)),SUMPRODUCT('BCA Guide - Parameter Values'!$C$6:$C$11,'Road Safety CRTMeasure'!$G$55:$G$60)+'Road Safety CRTMeasure'!$G$54*'BCA Guide - Parameter Values'!$C$14,0)</f>
        <v>0</v>
      </c>
      <c r="L25" s="40">
        <f>IF(AND($F25&gt;=MIN($C$33),$F25&lt;=MAX($D$33)),SUMPRODUCT('BCA Guide - Parameter Values'!$C$6:$C$11,'Road Safety CRTMeasure'!$G$67:$G$72)+'Road Safety CRTMeasure'!$G$66*'BCA Guide - Parameter Values'!$C$14,0)</f>
        <v>0</v>
      </c>
      <c r="M25" s="40">
        <f>IF(AND($F25&gt;=MIN($C$34),$F25&lt;=MAX($D$34)),SUMPRODUCT('BCA Guide - Parameter Values'!$C$6:$C$11,'Road Safety CRTMeasure'!$G$79:$G$84)+'Road Safety CRTMeasure'!$G$78*'BCA Guide - Parameter Values'!$C$14,0)</f>
        <v>0</v>
      </c>
      <c r="N25" s="784">
        <f>IF(AND(F25&gt;='Major Assumption Key'!$B$4,F25&lt;='Major Assumption Key'!$B$6),SUM(G25:M25),0)</f>
        <v>0</v>
      </c>
      <c r="O25" s="40">
        <f>IF(AND($F25&gt;=$C$28,$F25&lt;=$D$28),SUMPRODUCT('BCA Guide - Parameter Values'!$C$6:$C$11,'Road Safety CRTMeasure'!$H$7:$H$12)+'Road Safety CRTMeasure'!$H$6*'BCA Guide - Parameter Values'!$C$14,0)</f>
        <v>0</v>
      </c>
      <c r="P25" s="298">
        <f>IF(AND($F25&gt;=MIN($C$29),$F25&lt;=MAX($D$29)),SUMPRODUCT('BCA Guide - Parameter Values'!$C$6:$C$11,'Road Safety CRTMeasure'!$H$19:$H$24)+'Road Safety CRTMeasure'!$H$18*'BCA Guide - Parameter Values'!$C$14,0)</f>
        <v>0</v>
      </c>
      <c r="Q25" s="298">
        <f>IF(AND($F25&gt;=MIN($C$30),$F25&lt;=MAX($D$30)),SUMPRODUCT('BCA Guide - Parameter Values'!$C$6:$C$11,'Road Safety CRTMeasure'!$H$31:$H$36)+'Road Safety CRTMeasure'!$H$30*'BCA Guide - Parameter Values'!$C$14,0)</f>
        <v>0</v>
      </c>
      <c r="R25" s="298">
        <f>IF(AND($F25&gt;=MIN($C$31),$F25&lt;=MAX($D$31)),SUMPRODUCT('BCA Guide - Parameter Values'!$C$6:$C$11,'Road Safety CRTMeasure'!$H$43:$H$48)+'Road Safety CRTMeasure'!$H$42*'BCA Guide - Parameter Values'!$C$14,0)</f>
        <v>0</v>
      </c>
      <c r="S25" s="298">
        <f>IF(AND($F25&gt;=MIN($C$32),$F25&lt;=MAX($D$32)),SUMPRODUCT('BCA Guide - Parameter Values'!$C$6:$C$11,'Road Safety CRTMeasure'!$H$55:$H$60)+'Road Safety CRTMeasure'!$H$54*'BCA Guide - Parameter Values'!$C$14,0)</f>
        <v>0</v>
      </c>
      <c r="T25" s="298">
        <f>IF(AND($F25&gt;=MIN($C$33),$F25&lt;=MAX($D$33)),SUMPRODUCT('BCA Guide - Parameter Values'!$C$6:$C$11,'Road Safety CRTMeasure'!$H$67:$H$72)+'Road Safety CRTMeasure'!$H$66*'BCA Guide - Parameter Values'!$C$14,0)</f>
        <v>0</v>
      </c>
      <c r="U25" s="298">
        <f>IF(AND($F25&gt;=MIN($C$34),$F25&lt;=MAX($D$34)),SUMPRODUCT('BCA Guide - Parameter Values'!$C$6:$C$11,'Road Safety CRTMeasure'!$H$79:$H$84)+'Road Safety CRTMeasure'!$H$78*'BCA Guide - Parameter Values'!$C$14,0)</f>
        <v>0</v>
      </c>
      <c r="V25" s="848">
        <f>IF(AND(F25&gt;='Major Assumption Key'!$B$4,F25&lt;='Major Assumption Key'!$B$6),SUM(O25:U25),0)</f>
        <v>0</v>
      </c>
      <c r="W25" s="37">
        <f t="shared" si="5"/>
        <v>0</v>
      </c>
      <c r="X25" s="38">
        <f>W25/(1+'Major Assumption Key'!$B$8)^($F25-'Major Assumption Key'!$B$7)</f>
        <v>0</v>
      </c>
      <c r="Y25" s="290"/>
      <c r="Z25" s="784">
        <f t="shared" si="6"/>
        <v>0</v>
      </c>
      <c r="AA25" s="848">
        <f t="shared" si="7"/>
        <v>0</v>
      </c>
      <c r="AB25" s="37">
        <f t="shared" si="8"/>
        <v>0</v>
      </c>
      <c r="AC25" s="38">
        <f t="shared" si="9"/>
        <v>0</v>
      </c>
    </row>
    <row r="26" spans="1:33" ht="19.95" customHeight="1" thickBot="1">
      <c r="C26" s="767"/>
      <c r="D26" s="767"/>
      <c r="E26" s="767"/>
      <c r="F26" s="772">
        <f>'Major Assumption Key'!A38</f>
        <v>2039</v>
      </c>
      <c r="G26" s="40">
        <f>IF(AND($F26&gt;=MIN($C$28),$F26&lt;=MAX($D$28)),SUMPRODUCT('BCA Guide - Parameter Values'!$C$6:$C$11,'Road Safety CRTMeasure'!$G$7:$G$12)+'Road Safety CRTMeasure'!$G$6*'BCA Guide - Parameter Values'!$C$14,0)</f>
        <v>0</v>
      </c>
      <c r="H26" s="40">
        <f>IF(AND($F26&gt;=MIN($C$29),$F26&lt;=MAX($D$29)),SUMPRODUCT('BCA Guide - Parameter Values'!$C$6:$C$11,'Road Safety CRTMeasure'!$G$19:$G$24)+'Road Safety CRTMeasure'!$G$18*'BCA Guide - Parameter Values'!$C$14,0)</f>
        <v>0</v>
      </c>
      <c r="I26" s="40">
        <f>IF(AND($F26&gt;=MIN($C$30),$F26&lt;=MAX($D$30)),SUMPRODUCT('BCA Guide - Parameter Values'!$C$6:$C$11,'Road Safety CRTMeasure'!$G$31:$G$36)+'Road Safety CRTMeasure'!$G$30*'BCA Guide - Parameter Values'!$C$14,0)</f>
        <v>0</v>
      </c>
      <c r="J26" s="40">
        <f>IF(AND($F26&gt;=MIN($C$31),$F26&lt;=MAX($D$31)),SUMPRODUCT('BCA Guide - Parameter Values'!$C$6:$C$11,'Road Safety CRTMeasure'!$G$43:$G$48)+'Road Safety CRTMeasure'!$G$42*'BCA Guide - Parameter Values'!$C$14,0)</f>
        <v>0</v>
      </c>
      <c r="K26" s="40">
        <f>IF(AND($F26&gt;=MIN($C$32),$F26&lt;=MAX($D$32)),SUMPRODUCT('BCA Guide - Parameter Values'!$C$6:$C$11,'Road Safety CRTMeasure'!$G$55:$G$60)+'Road Safety CRTMeasure'!$G$54*'BCA Guide - Parameter Values'!$C$14,0)</f>
        <v>0</v>
      </c>
      <c r="L26" s="40">
        <f>IF(AND($F26&gt;=MIN($C$33),$F26&lt;=MAX($D$33)),SUMPRODUCT('BCA Guide - Parameter Values'!$C$6:$C$11,'Road Safety CRTMeasure'!$G$67:$G$72)+'Road Safety CRTMeasure'!$G$66*'BCA Guide - Parameter Values'!$C$14,0)</f>
        <v>0</v>
      </c>
      <c r="M26" s="40">
        <f>IF(AND($F26&gt;=MIN($C$34),$F26&lt;=MAX($D$34)),SUMPRODUCT('BCA Guide - Parameter Values'!$C$6:$C$11,'Road Safety CRTMeasure'!$G$79:$G$84)+'Road Safety CRTMeasure'!$G$78*'BCA Guide - Parameter Values'!$C$14,0)</f>
        <v>0</v>
      </c>
      <c r="N26" s="784">
        <f>IF(AND(F26&gt;='Major Assumption Key'!$B$4,F26&lt;='Major Assumption Key'!$B$6),SUM(G26:M26),0)</f>
        <v>0</v>
      </c>
      <c r="O26" s="40">
        <f>IF(AND($F26&gt;=$C$28,$F26&lt;=$D$28),SUMPRODUCT('BCA Guide - Parameter Values'!$C$6:$C$11,'Road Safety CRTMeasure'!$H$7:$H$12)+'Road Safety CRTMeasure'!$H$6*'BCA Guide - Parameter Values'!$C$14,0)</f>
        <v>0</v>
      </c>
      <c r="P26" s="298">
        <f>IF(AND($F26&gt;=MIN($C$29),$F26&lt;=MAX($D$29)),SUMPRODUCT('BCA Guide - Parameter Values'!$C$6:$C$11,'Road Safety CRTMeasure'!$H$19:$H$24)+'Road Safety CRTMeasure'!$H$18*'BCA Guide - Parameter Values'!$C$14,0)</f>
        <v>0</v>
      </c>
      <c r="Q26" s="298">
        <f>IF(AND($F26&gt;=MIN($C$30),$F26&lt;=MAX($D$30)),SUMPRODUCT('BCA Guide - Parameter Values'!$C$6:$C$11,'Road Safety CRTMeasure'!$H$31:$H$36)+'Road Safety CRTMeasure'!$H$30*'BCA Guide - Parameter Values'!$C$14,0)</f>
        <v>0</v>
      </c>
      <c r="R26" s="298">
        <f>IF(AND($F26&gt;=MIN($C$31),$F26&lt;=MAX($D$31)),SUMPRODUCT('BCA Guide - Parameter Values'!$C$6:$C$11,'Road Safety CRTMeasure'!$H$43:$H$48)+'Road Safety CRTMeasure'!$H$42*'BCA Guide - Parameter Values'!$C$14,0)</f>
        <v>0</v>
      </c>
      <c r="S26" s="298">
        <f>IF(AND($F26&gt;=MIN($C$32),$F26&lt;=MAX($D$32)),SUMPRODUCT('BCA Guide - Parameter Values'!$C$6:$C$11,'Road Safety CRTMeasure'!$H$55:$H$60)+'Road Safety CRTMeasure'!$H$54*'BCA Guide - Parameter Values'!$C$14,0)</f>
        <v>0</v>
      </c>
      <c r="T26" s="298">
        <f>IF(AND($F26&gt;=MIN($C$33),$F26&lt;=MAX($D$33)),SUMPRODUCT('BCA Guide - Parameter Values'!$C$6:$C$11,'Road Safety CRTMeasure'!$H$67:$H$72)+'Road Safety CRTMeasure'!$H$66*'BCA Guide - Parameter Values'!$C$14,0)</f>
        <v>0</v>
      </c>
      <c r="U26" s="298">
        <f>IF(AND($F26&gt;=MIN($C$34),$F26&lt;=MAX($D$34)),SUMPRODUCT('BCA Guide - Parameter Values'!$C$6:$C$11,'Road Safety CRTMeasure'!$H$79:$H$84)+'Road Safety CRTMeasure'!$H$78*'BCA Guide - Parameter Values'!$C$14,0)</f>
        <v>0</v>
      </c>
      <c r="V26" s="848">
        <f>IF(AND(F26&gt;='Major Assumption Key'!$B$4,F26&lt;='Major Assumption Key'!$B$6),SUM(O26:U26),0)</f>
        <v>0</v>
      </c>
      <c r="W26" s="37">
        <f t="shared" si="5"/>
        <v>0</v>
      </c>
      <c r="X26" s="38">
        <f>W26/(1+'Major Assumption Key'!$B$8)^($F26-'Major Assumption Key'!$B$7)</f>
        <v>0</v>
      </c>
      <c r="Y26" s="290"/>
      <c r="Z26" s="784">
        <f t="shared" si="6"/>
        <v>0</v>
      </c>
      <c r="AA26" s="848">
        <f t="shared" si="7"/>
        <v>0</v>
      </c>
      <c r="AB26" s="37">
        <f t="shared" si="8"/>
        <v>0</v>
      </c>
      <c r="AC26" s="38">
        <f t="shared" si="9"/>
        <v>0</v>
      </c>
    </row>
    <row r="27" spans="1:33" ht="19.95" customHeight="1">
      <c r="A27" s="361" t="s">
        <v>821</v>
      </c>
      <c r="B27" s="362" t="s">
        <v>822</v>
      </c>
      <c r="C27" s="362" t="s">
        <v>823</v>
      </c>
      <c r="D27" s="393" t="s">
        <v>824</v>
      </c>
      <c r="E27" s="767"/>
      <c r="F27" s="772">
        <f>'Major Assumption Key'!A39</f>
        <v>2040</v>
      </c>
      <c r="G27" s="40">
        <f>IF(AND($F27&gt;=MIN($C$28),$F27&lt;=MAX($D$28)),SUMPRODUCT('BCA Guide - Parameter Values'!$C$6:$C$11,'Road Safety CRTMeasure'!$G$7:$G$12)+'Road Safety CRTMeasure'!$G$6*'BCA Guide - Parameter Values'!$C$14,0)</f>
        <v>0</v>
      </c>
      <c r="H27" s="40">
        <f>IF(AND($F27&gt;=MIN($C$29),$F27&lt;=MAX($D$29)),SUMPRODUCT('BCA Guide - Parameter Values'!$C$6:$C$11,'Road Safety CRTMeasure'!$G$19:$G$24)+'Road Safety CRTMeasure'!$G$18*'BCA Guide - Parameter Values'!$C$14,0)</f>
        <v>0</v>
      </c>
      <c r="I27" s="40">
        <f>IF(AND($F27&gt;=MIN($C$30),$F27&lt;=MAX($D$30)),SUMPRODUCT('BCA Guide - Parameter Values'!$C$6:$C$11,'Road Safety CRTMeasure'!$G$31:$G$36)+'Road Safety CRTMeasure'!$G$30*'BCA Guide - Parameter Values'!$C$14,0)</f>
        <v>0</v>
      </c>
      <c r="J27" s="40">
        <f>IF(AND($F27&gt;=MIN($C$31),$F27&lt;=MAX($D$31)),SUMPRODUCT('BCA Guide - Parameter Values'!$C$6:$C$11,'Road Safety CRTMeasure'!$G$43:$G$48)+'Road Safety CRTMeasure'!$G$42*'BCA Guide - Parameter Values'!$C$14,0)</f>
        <v>0</v>
      </c>
      <c r="K27" s="40">
        <f>IF(AND($F27&gt;=MIN($C$32),$F27&lt;=MAX($D$32)),SUMPRODUCT('BCA Guide - Parameter Values'!$C$6:$C$11,'Road Safety CRTMeasure'!$G$55:$G$60)+'Road Safety CRTMeasure'!$G$54*'BCA Guide - Parameter Values'!$C$14,0)</f>
        <v>0</v>
      </c>
      <c r="L27" s="40">
        <f>IF(AND($F27&gt;=MIN($C$33),$F27&lt;=MAX($D$33)),SUMPRODUCT('BCA Guide - Parameter Values'!$C$6:$C$11,'Road Safety CRTMeasure'!$G$67:$G$72)+'Road Safety CRTMeasure'!$G$66*'BCA Guide - Parameter Values'!$C$14,0)</f>
        <v>0</v>
      </c>
      <c r="M27" s="40">
        <f>IF(AND($F27&gt;=MIN($C$34),$F27&lt;=MAX($D$34)),SUMPRODUCT('BCA Guide - Parameter Values'!$C$6:$C$11,'Road Safety CRTMeasure'!$G$79:$G$84)+'Road Safety CRTMeasure'!$G$78*'BCA Guide - Parameter Values'!$C$14,0)</f>
        <v>0</v>
      </c>
      <c r="N27" s="784">
        <f>IF(AND(F27&gt;='Major Assumption Key'!$B$4,F27&lt;='Major Assumption Key'!$B$6),SUM(G27:M27),0)</f>
        <v>0</v>
      </c>
      <c r="O27" s="40">
        <f>IF(AND($F27&gt;=$C$28,$F27&lt;=$D$28),SUMPRODUCT('BCA Guide - Parameter Values'!$C$6:$C$11,'Road Safety CRTMeasure'!$H$7:$H$12)+'Road Safety CRTMeasure'!$H$6*'BCA Guide - Parameter Values'!$C$14,0)</f>
        <v>0</v>
      </c>
      <c r="P27" s="298">
        <f>IF(AND($F27&gt;=MIN($C$29),$F27&lt;=MAX($D$29)),SUMPRODUCT('BCA Guide - Parameter Values'!$C$6:$C$11,'Road Safety CRTMeasure'!$H$19:$H$24)+'Road Safety CRTMeasure'!$H$18*'BCA Guide - Parameter Values'!$C$14,0)</f>
        <v>0</v>
      </c>
      <c r="Q27" s="298">
        <f>IF(AND($F27&gt;=MIN($C$30),$F27&lt;=MAX($D$30)),SUMPRODUCT('BCA Guide - Parameter Values'!$C$6:$C$11,'Road Safety CRTMeasure'!$H$31:$H$36)+'Road Safety CRTMeasure'!$H$30*'BCA Guide - Parameter Values'!$C$14,0)</f>
        <v>0</v>
      </c>
      <c r="R27" s="298">
        <f>IF(AND($F27&gt;=MIN($C$31),$F27&lt;=MAX($D$31)),SUMPRODUCT('BCA Guide - Parameter Values'!$C$6:$C$11,'Road Safety CRTMeasure'!$H$43:$H$48)+'Road Safety CRTMeasure'!$H$42*'BCA Guide - Parameter Values'!$C$14,0)</f>
        <v>0</v>
      </c>
      <c r="S27" s="298">
        <f>IF(AND($F27&gt;=MIN($C$32),$F27&lt;=MAX($D$32)),SUMPRODUCT('BCA Guide - Parameter Values'!$C$6:$C$11,'Road Safety CRTMeasure'!$H$55:$H$60)+'Road Safety CRTMeasure'!$H$54*'BCA Guide - Parameter Values'!$C$14,0)</f>
        <v>0</v>
      </c>
      <c r="T27" s="298">
        <f>IF(AND($F27&gt;=MIN($C$33),$F27&lt;=MAX($D$33)),SUMPRODUCT('BCA Guide - Parameter Values'!$C$6:$C$11,'Road Safety CRTMeasure'!$H$67:$H$72)+'Road Safety CRTMeasure'!$H$66*'BCA Guide - Parameter Values'!$C$14,0)</f>
        <v>0</v>
      </c>
      <c r="U27" s="298">
        <f>IF(AND($F27&gt;=MIN($C$34),$F27&lt;=MAX($D$34)),SUMPRODUCT('BCA Guide - Parameter Values'!$C$6:$C$11,'Road Safety CRTMeasure'!$H$79:$H$84)+'Road Safety CRTMeasure'!$H$78*'BCA Guide - Parameter Values'!$C$14,0)</f>
        <v>0</v>
      </c>
      <c r="V27" s="848">
        <f>IF(AND(F27&gt;='Major Assumption Key'!$B$4,F27&lt;='Major Assumption Key'!$B$6),SUM(O27:U27),0)</f>
        <v>0</v>
      </c>
      <c r="W27" s="37">
        <f t="shared" si="5"/>
        <v>0</v>
      </c>
      <c r="X27" s="38">
        <f>W27/(1+'Major Assumption Key'!$B$8)^($F27-'Major Assumption Key'!$B$7)</f>
        <v>0</v>
      </c>
      <c r="Y27" s="290"/>
      <c r="Z27" s="784">
        <f t="shared" si="6"/>
        <v>0</v>
      </c>
      <c r="AA27" s="848">
        <f t="shared" si="7"/>
        <v>0</v>
      </c>
      <c r="AB27" s="37">
        <f t="shared" si="8"/>
        <v>0</v>
      </c>
      <c r="AC27" s="38">
        <f t="shared" si="9"/>
        <v>0</v>
      </c>
    </row>
    <row r="28" spans="1:33" ht="19.95" customHeight="1">
      <c r="A28" s="397" t="str">
        <f>RIGHT(A19,LEN(A19)-27)</f>
        <v>Countermeasure #1</v>
      </c>
      <c r="B28" s="546">
        <v>0</v>
      </c>
      <c r="C28" s="357">
        <f>'Major Assumption Key'!$B$3</f>
        <v>2028</v>
      </c>
      <c r="D28" s="394">
        <f>C28+B28-1</f>
        <v>2027</v>
      </c>
      <c r="E28" s="767"/>
      <c r="F28" s="772">
        <f>'Major Assumption Key'!A40</f>
        <v>2041</v>
      </c>
      <c r="G28" s="40">
        <f>IF(AND($F28&gt;=MIN($C$28),$F28&lt;=MAX($D$28)),SUMPRODUCT('BCA Guide - Parameter Values'!$C$6:$C$11,'Road Safety CRTMeasure'!$G$7:$G$12)+'Road Safety CRTMeasure'!$G$6*'BCA Guide - Parameter Values'!$C$14,0)</f>
        <v>0</v>
      </c>
      <c r="H28" s="40">
        <f>IF(AND($F28&gt;=MIN($C$29),$F28&lt;=MAX($D$29)),SUMPRODUCT('BCA Guide - Parameter Values'!$C$6:$C$11,'Road Safety CRTMeasure'!$G$19:$G$24)+'Road Safety CRTMeasure'!$G$18*'BCA Guide - Parameter Values'!$C$14,0)</f>
        <v>0</v>
      </c>
      <c r="I28" s="40">
        <f>IF(AND($F28&gt;=MIN($C$30),$F28&lt;=MAX($D$30)),SUMPRODUCT('BCA Guide - Parameter Values'!$C$6:$C$11,'Road Safety CRTMeasure'!$G$31:$G$36)+'Road Safety CRTMeasure'!$G$30*'BCA Guide - Parameter Values'!$C$14,0)</f>
        <v>0</v>
      </c>
      <c r="J28" s="40">
        <f>IF(AND($F28&gt;=MIN($C$31),$F28&lt;=MAX($D$31)),SUMPRODUCT('BCA Guide - Parameter Values'!$C$6:$C$11,'Road Safety CRTMeasure'!$G$43:$G$48)+'Road Safety CRTMeasure'!$G$42*'BCA Guide - Parameter Values'!$C$14,0)</f>
        <v>0</v>
      </c>
      <c r="K28" s="40">
        <f>IF(AND($F28&gt;=MIN($C$32),$F28&lt;=MAX($D$32)),SUMPRODUCT('BCA Guide - Parameter Values'!$C$6:$C$11,'Road Safety CRTMeasure'!$G$55:$G$60)+'Road Safety CRTMeasure'!$G$54*'BCA Guide - Parameter Values'!$C$14,0)</f>
        <v>0</v>
      </c>
      <c r="L28" s="40">
        <f>IF(AND($F28&gt;=MIN($C$33),$F28&lt;=MAX($D$33)),SUMPRODUCT('BCA Guide - Parameter Values'!$C$6:$C$11,'Road Safety CRTMeasure'!$G$67:$G$72)+'Road Safety CRTMeasure'!$G$66*'BCA Guide - Parameter Values'!$C$14,0)</f>
        <v>0</v>
      </c>
      <c r="M28" s="40">
        <f>IF(AND($F28&gt;=MIN($C$34),$F28&lt;=MAX($D$34)),SUMPRODUCT('BCA Guide - Parameter Values'!$C$6:$C$11,'Road Safety CRTMeasure'!$G$79:$G$84)+'Road Safety CRTMeasure'!$G$78*'BCA Guide - Parameter Values'!$C$14,0)</f>
        <v>0</v>
      </c>
      <c r="N28" s="784">
        <f>IF(AND(F28&gt;='Major Assumption Key'!$B$4,F28&lt;='Major Assumption Key'!$B$6),SUM(G28:M28),0)</f>
        <v>0</v>
      </c>
      <c r="O28" s="40">
        <f>IF(AND($F28&gt;=$C$28,$F28&lt;=$D$28),SUMPRODUCT('BCA Guide - Parameter Values'!$C$6:$C$11,'Road Safety CRTMeasure'!$H$7:$H$12)+'Road Safety CRTMeasure'!$H$6*'BCA Guide - Parameter Values'!$C$14,0)</f>
        <v>0</v>
      </c>
      <c r="P28" s="298">
        <f>IF(AND($F28&gt;=MIN($C$29),$F28&lt;=MAX($D$29)),SUMPRODUCT('BCA Guide - Parameter Values'!$C$6:$C$11,'Road Safety CRTMeasure'!$H$19:$H$24)+'Road Safety CRTMeasure'!$H$18*'BCA Guide - Parameter Values'!$C$14,0)</f>
        <v>0</v>
      </c>
      <c r="Q28" s="298">
        <f>IF(AND($F28&gt;=MIN($C$30),$F28&lt;=MAX($D$30)),SUMPRODUCT('BCA Guide - Parameter Values'!$C$6:$C$11,'Road Safety CRTMeasure'!$H$31:$H$36)+'Road Safety CRTMeasure'!$H$30*'BCA Guide - Parameter Values'!$C$14,0)</f>
        <v>0</v>
      </c>
      <c r="R28" s="298">
        <f>IF(AND($F28&gt;=MIN($C$31),$F28&lt;=MAX($D$31)),SUMPRODUCT('BCA Guide - Parameter Values'!$C$6:$C$11,'Road Safety CRTMeasure'!$H$43:$H$48)+'Road Safety CRTMeasure'!$H$42*'BCA Guide - Parameter Values'!$C$14,0)</f>
        <v>0</v>
      </c>
      <c r="S28" s="298">
        <f>IF(AND($F28&gt;=MIN($C$32),$F28&lt;=MAX($D$32)),SUMPRODUCT('BCA Guide - Parameter Values'!$C$6:$C$11,'Road Safety CRTMeasure'!$H$55:$H$60)+'Road Safety CRTMeasure'!$H$54*'BCA Guide - Parameter Values'!$C$14,0)</f>
        <v>0</v>
      </c>
      <c r="T28" s="298">
        <f>IF(AND($F28&gt;=MIN($C$33),$F28&lt;=MAX($D$33)),SUMPRODUCT('BCA Guide - Parameter Values'!$C$6:$C$11,'Road Safety CRTMeasure'!$H$67:$H$72)+'Road Safety CRTMeasure'!$H$66*'BCA Guide - Parameter Values'!$C$14,0)</f>
        <v>0</v>
      </c>
      <c r="U28" s="298">
        <f>IF(AND($F28&gt;=MIN($C$34),$F28&lt;=MAX($D$34)),SUMPRODUCT('BCA Guide - Parameter Values'!$C$6:$C$11,'Road Safety CRTMeasure'!$H$79:$H$84)+'Road Safety CRTMeasure'!$H$78*'BCA Guide - Parameter Values'!$C$14,0)</f>
        <v>0</v>
      </c>
      <c r="V28" s="848">
        <f>IF(AND(F28&gt;='Major Assumption Key'!$B$4,F28&lt;='Major Assumption Key'!$B$6),SUM(O28:U28),0)</f>
        <v>0</v>
      </c>
      <c r="W28" s="37">
        <f t="shared" si="5"/>
        <v>0</v>
      </c>
      <c r="X28" s="38">
        <f>W28/(1+'Major Assumption Key'!$B$8)^($F28-'Major Assumption Key'!$B$7)</f>
        <v>0</v>
      </c>
      <c r="Y28" s="290"/>
      <c r="Z28" s="784">
        <f t="shared" si="6"/>
        <v>0</v>
      </c>
      <c r="AA28" s="848">
        <f t="shared" si="7"/>
        <v>0</v>
      </c>
      <c r="AB28" s="37">
        <f t="shared" si="8"/>
        <v>0</v>
      </c>
      <c r="AC28" s="38">
        <f t="shared" si="9"/>
        <v>0</v>
      </c>
    </row>
    <row r="29" spans="1:33" ht="19.95" customHeight="1">
      <c r="A29" s="397" t="str">
        <f t="shared" ref="A29:A34" si="10">RIGHT(A20,LEN(A20)-27)</f>
        <v>Countermeasure #2</v>
      </c>
      <c r="B29" s="546">
        <v>0</v>
      </c>
      <c r="C29" s="357">
        <f>'Major Assumption Key'!$B$3</f>
        <v>2028</v>
      </c>
      <c r="D29" s="394">
        <f t="shared" ref="D29:D34" si="11">C29+B29-1</f>
        <v>2027</v>
      </c>
      <c r="E29" s="767"/>
      <c r="F29" s="772">
        <f>'Major Assumption Key'!A41</f>
        <v>2042</v>
      </c>
      <c r="G29" s="40">
        <f>IF(AND($F29&gt;=MIN($C$28),$F29&lt;=MAX($D$28)),SUMPRODUCT('BCA Guide - Parameter Values'!$C$6:$C$11,'Road Safety CRTMeasure'!$G$7:$G$12)+'Road Safety CRTMeasure'!$G$6*'BCA Guide - Parameter Values'!$C$14,0)</f>
        <v>0</v>
      </c>
      <c r="H29" s="40">
        <f>IF(AND($F29&gt;=MIN($C$29),$F29&lt;=MAX($D$29)),SUMPRODUCT('BCA Guide - Parameter Values'!$C$6:$C$11,'Road Safety CRTMeasure'!$G$19:$G$24)+'Road Safety CRTMeasure'!$G$18*'BCA Guide - Parameter Values'!$C$14,0)</f>
        <v>0</v>
      </c>
      <c r="I29" s="40">
        <f>IF(AND($F29&gt;=MIN($C$30),$F29&lt;=MAX($D$30)),SUMPRODUCT('BCA Guide - Parameter Values'!$C$6:$C$11,'Road Safety CRTMeasure'!$G$31:$G$36)+'Road Safety CRTMeasure'!$G$30*'BCA Guide - Parameter Values'!$C$14,0)</f>
        <v>0</v>
      </c>
      <c r="J29" s="40">
        <f>IF(AND($F29&gt;=MIN($C$31),$F29&lt;=MAX($D$31)),SUMPRODUCT('BCA Guide - Parameter Values'!$C$6:$C$11,'Road Safety CRTMeasure'!$G$43:$G$48)+'Road Safety CRTMeasure'!$G$42*'BCA Guide - Parameter Values'!$C$14,0)</f>
        <v>0</v>
      </c>
      <c r="K29" s="40">
        <f>IF(AND($F29&gt;=MIN($C$32),$F29&lt;=MAX($D$32)),SUMPRODUCT('BCA Guide - Parameter Values'!$C$6:$C$11,'Road Safety CRTMeasure'!$G$55:$G$60)+'Road Safety CRTMeasure'!$G$54*'BCA Guide - Parameter Values'!$C$14,0)</f>
        <v>0</v>
      </c>
      <c r="L29" s="40">
        <f>IF(AND($F29&gt;=MIN($C$33),$F29&lt;=MAX($D$33)),SUMPRODUCT('BCA Guide - Parameter Values'!$C$6:$C$11,'Road Safety CRTMeasure'!$G$67:$G$72)+'Road Safety CRTMeasure'!$G$66*'BCA Guide - Parameter Values'!$C$14,0)</f>
        <v>0</v>
      </c>
      <c r="M29" s="40">
        <f>IF(AND($F29&gt;=MIN($C$34),$F29&lt;=MAX($D$34)),SUMPRODUCT('BCA Guide - Parameter Values'!$C$6:$C$11,'Road Safety CRTMeasure'!$G$79:$G$84)+'Road Safety CRTMeasure'!$G$78*'BCA Guide - Parameter Values'!$C$14,0)</f>
        <v>0</v>
      </c>
      <c r="N29" s="784">
        <f>IF(AND(F29&gt;='Major Assumption Key'!$B$4,F29&lt;='Major Assumption Key'!$B$6),SUM(G29:M29),0)</f>
        <v>0</v>
      </c>
      <c r="O29" s="40">
        <f>IF(AND($F29&gt;=$C$28,$F29&lt;=$D$28),SUMPRODUCT('BCA Guide - Parameter Values'!$C$6:$C$11,'Road Safety CRTMeasure'!$H$7:$H$12)+'Road Safety CRTMeasure'!$H$6*'BCA Guide - Parameter Values'!$C$14,0)</f>
        <v>0</v>
      </c>
      <c r="P29" s="298">
        <f>IF(AND($F29&gt;=MIN($C$29),$F29&lt;=MAX($D$29)),SUMPRODUCT('BCA Guide - Parameter Values'!$C$6:$C$11,'Road Safety CRTMeasure'!$H$19:$H$24)+'Road Safety CRTMeasure'!$H$18*'BCA Guide - Parameter Values'!$C$14,0)</f>
        <v>0</v>
      </c>
      <c r="Q29" s="298">
        <f>IF(AND($F29&gt;=MIN($C$30),$F29&lt;=MAX($D$30)),SUMPRODUCT('BCA Guide - Parameter Values'!$C$6:$C$11,'Road Safety CRTMeasure'!$H$31:$H$36)+'Road Safety CRTMeasure'!$H$30*'BCA Guide - Parameter Values'!$C$14,0)</f>
        <v>0</v>
      </c>
      <c r="R29" s="298">
        <f>IF(AND($F29&gt;=MIN($C$31),$F29&lt;=MAX($D$31)),SUMPRODUCT('BCA Guide - Parameter Values'!$C$6:$C$11,'Road Safety CRTMeasure'!$H$43:$H$48)+'Road Safety CRTMeasure'!$H$42*'BCA Guide - Parameter Values'!$C$14,0)</f>
        <v>0</v>
      </c>
      <c r="S29" s="298">
        <f>IF(AND($F29&gt;=MIN($C$32),$F29&lt;=MAX($D$32)),SUMPRODUCT('BCA Guide - Parameter Values'!$C$6:$C$11,'Road Safety CRTMeasure'!$H$55:$H$60)+'Road Safety CRTMeasure'!$H$54*'BCA Guide - Parameter Values'!$C$14,0)</f>
        <v>0</v>
      </c>
      <c r="T29" s="298">
        <f>IF(AND($F29&gt;=MIN($C$33),$F29&lt;=MAX($D$33)),SUMPRODUCT('BCA Guide - Parameter Values'!$C$6:$C$11,'Road Safety CRTMeasure'!$H$67:$H$72)+'Road Safety CRTMeasure'!$H$66*'BCA Guide - Parameter Values'!$C$14,0)</f>
        <v>0</v>
      </c>
      <c r="U29" s="298">
        <f>IF(AND($F29&gt;=MIN($C$34),$F29&lt;=MAX($D$34)),SUMPRODUCT('BCA Guide - Parameter Values'!$C$6:$C$11,'Road Safety CRTMeasure'!$H$79:$H$84)+'Road Safety CRTMeasure'!$H$78*'BCA Guide - Parameter Values'!$C$14,0)</f>
        <v>0</v>
      </c>
      <c r="V29" s="848">
        <f>IF(AND(F29&gt;='Major Assumption Key'!$B$4,F29&lt;='Major Assumption Key'!$B$6),SUM(O29:U29),0)</f>
        <v>0</v>
      </c>
      <c r="W29" s="37">
        <f t="shared" si="5"/>
        <v>0</v>
      </c>
      <c r="X29" s="38">
        <f>W29/(1+'Major Assumption Key'!$B$8)^($F29-'Major Assumption Key'!$B$7)</f>
        <v>0</v>
      </c>
      <c r="Y29" s="290"/>
      <c r="Z29" s="784">
        <f t="shared" si="6"/>
        <v>0</v>
      </c>
      <c r="AA29" s="848">
        <f t="shared" si="7"/>
        <v>0</v>
      </c>
      <c r="AB29" s="37">
        <f t="shared" si="8"/>
        <v>0</v>
      </c>
      <c r="AC29" s="38">
        <f t="shared" si="9"/>
        <v>0</v>
      </c>
    </row>
    <row r="30" spans="1:33" ht="19.95" customHeight="1">
      <c r="A30" s="397" t="str">
        <f t="shared" si="10"/>
        <v>Countermeasure #3</v>
      </c>
      <c r="B30" s="546">
        <v>0</v>
      </c>
      <c r="C30" s="357">
        <f>'Major Assumption Key'!$B$3</f>
        <v>2028</v>
      </c>
      <c r="D30" s="394">
        <f t="shared" si="11"/>
        <v>2027</v>
      </c>
      <c r="E30" s="767"/>
      <c r="F30" s="772">
        <f>'Major Assumption Key'!A42</f>
        <v>2043</v>
      </c>
      <c r="G30" s="40">
        <f>IF(AND($F30&gt;=MIN($C$28),$F30&lt;=MAX($D$28)),SUMPRODUCT('BCA Guide - Parameter Values'!$C$6:$C$11,'Road Safety CRTMeasure'!$G$7:$G$12)+'Road Safety CRTMeasure'!$G$6*'BCA Guide - Parameter Values'!$C$14,0)</f>
        <v>0</v>
      </c>
      <c r="H30" s="40">
        <f>IF(AND($F30&gt;=MIN($C$29),$F30&lt;=MAX($D$29)),SUMPRODUCT('BCA Guide - Parameter Values'!$C$6:$C$11,'Road Safety CRTMeasure'!$G$19:$G$24)+'Road Safety CRTMeasure'!$G$18*'BCA Guide - Parameter Values'!$C$14,0)</f>
        <v>0</v>
      </c>
      <c r="I30" s="40">
        <f>IF(AND($F30&gt;=MIN($C$30),$F30&lt;=MAX($D$30)),SUMPRODUCT('BCA Guide - Parameter Values'!$C$6:$C$11,'Road Safety CRTMeasure'!$G$31:$G$36)+'Road Safety CRTMeasure'!$G$30*'BCA Guide - Parameter Values'!$C$14,0)</f>
        <v>0</v>
      </c>
      <c r="J30" s="40">
        <f>IF(AND($F30&gt;=MIN($C$31),$F30&lt;=MAX($D$31)),SUMPRODUCT('BCA Guide - Parameter Values'!$C$6:$C$11,'Road Safety CRTMeasure'!$G$43:$G$48)+'Road Safety CRTMeasure'!$G$42*'BCA Guide - Parameter Values'!$C$14,0)</f>
        <v>0</v>
      </c>
      <c r="K30" s="40">
        <f>IF(AND($F30&gt;=MIN($C$32),$F30&lt;=MAX($D$32)),SUMPRODUCT('BCA Guide - Parameter Values'!$C$6:$C$11,'Road Safety CRTMeasure'!$G$55:$G$60)+'Road Safety CRTMeasure'!$G$54*'BCA Guide - Parameter Values'!$C$14,0)</f>
        <v>0</v>
      </c>
      <c r="L30" s="40">
        <f>IF(AND($F30&gt;=MIN($C$33),$F30&lt;=MAX($D$33)),SUMPRODUCT('BCA Guide - Parameter Values'!$C$6:$C$11,'Road Safety CRTMeasure'!$G$67:$G$72)+'Road Safety CRTMeasure'!$G$66*'BCA Guide - Parameter Values'!$C$14,0)</f>
        <v>0</v>
      </c>
      <c r="M30" s="40">
        <f>IF(AND($F30&gt;=MIN($C$34),$F30&lt;=MAX($D$34)),SUMPRODUCT('BCA Guide - Parameter Values'!$C$6:$C$11,'Road Safety CRTMeasure'!$G$79:$G$84)+'Road Safety CRTMeasure'!$G$78*'BCA Guide - Parameter Values'!$C$14,0)</f>
        <v>0</v>
      </c>
      <c r="N30" s="784">
        <f>IF(AND(F30&gt;='Major Assumption Key'!$B$4,F30&lt;='Major Assumption Key'!$B$6),SUM(G30:M30),0)</f>
        <v>0</v>
      </c>
      <c r="O30" s="40">
        <f>IF(AND($F30&gt;=$C$28,$F30&lt;=$D$28),SUMPRODUCT('BCA Guide - Parameter Values'!$C$6:$C$11,'Road Safety CRTMeasure'!$H$7:$H$12)+'Road Safety CRTMeasure'!$H$6*'BCA Guide - Parameter Values'!$C$14,0)</f>
        <v>0</v>
      </c>
      <c r="P30" s="298">
        <f>IF(AND($F30&gt;=MIN($C$29),$F30&lt;=MAX($D$29)),SUMPRODUCT('BCA Guide - Parameter Values'!$C$6:$C$11,'Road Safety CRTMeasure'!$H$19:$H$24)+'Road Safety CRTMeasure'!$H$18*'BCA Guide - Parameter Values'!$C$14,0)</f>
        <v>0</v>
      </c>
      <c r="Q30" s="298">
        <f>IF(AND($F30&gt;=MIN($C$30),$F30&lt;=MAX($D$30)),SUMPRODUCT('BCA Guide - Parameter Values'!$C$6:$C$11,'Road Safety CRTMeasure'!$H$31:$H$36)+'Road Safety CRTMeasure'!$H$30*'BCA Guide - Parameter Values'!$C$14,0)</f>
        <v>0</v>
      </c>
      <c r="R30" s="298">
        <f>IF(AND($F30&gt;=MIN($C$31),$F30&lt;=MAX($D$31)),SUMPRODUCT('BCA Guide - Parameter Values'!$C$6:$C$11,'Road Safety CRTMeasure'!$H$43:$H$48)+'Road Safety CRTMeasure'!$H$42*'BCA Guide - Parameter Values'!$C$14,0)</f>
        <v>0</v>
      </c>
      <c r="S30" s="298">
        <f>IF(AND($F30&gt;=MIN($C$32),$F30&lt;=MAX($D$32)),SUMPRODUCT('BCA Guide - Parameter Values'!$C$6:$C$11,'Road Safety CRTMeasure'!$H$55:$H$60)+'Road Safety CRTMeasure'!$H$54*'BCA Guide - Parameter Values'!$C$14,0)</f>
        <v>0</v>
      </c>
      <c r="T30" s="298">
        <f>IF(AND($F30&gt;=MIN($C$33),$F30&lt;=MAX($D$33)),SUMPRODUCT('BCA Guide - Parameter Values'!$C$6:$C$11,'Road Safety CRTMeasure'!$H$67:$H$72)+'Road Safety CRTMeasure'!$H$66*'BCA Guide - Parameter Values'!$C$14,0)</f>
        <v>0</v>
      </c>
      <c r="U30" s="298">
        <f>IF(AND($F30&gt;=MIN($C$34),$F30&lt;=MAX($D$34)),SUMPRODUCT('BCA Guide - Parameter Values'!$C$6:$C$11,'Road Safety CRTMeasure'!$H$79:$H$84)+'Road Safety CRTMeasure'!$H$78*'BCA Guide - Parameter Values'!$C$14,0)</f>
        <v>0</v>
      </c>
      <c r="V30" s="848">
        <f>IF(AND(F30&gt;='Major Assumption Key'!$B$4,F30&lt;='Major Assumption Key'!$B$6),SUM(O30:U30),0)</f>
        <v>0</v>
      </c>
      <c r="W30" s="37">
        <f t="shared" si="5"/>
        <v>0</v>
      </c>
      <c r="X30" s="38">
        <f>W30/(1+'Major Assumption Key'!$B$8)^($F30-'Major Assumption Key'!$B$7)</f>
        <v>0</v>
      </c>
      <c r="Y30" s="290"/>
      <c r="Z30" s="784">
        <f t="shared" si="6"/>
        <v>0</v>
      </c>
      <c r="AA30" s="848">
        <f t="shared" si="7"/>
        <v>0</v>
      </c>
      <c r="AB30" s="37">
        <f t="shared" si="8"/>
        <v>0</v>
      </c>
      <c r="AC30" s="38">
        <f t="shared" si="9"/>
        <v>0</v>
      </c>
      <c r="AG30" s="7"/>
    </row>
    <row r="31" spans="1:33" ht="19.95" customHeight="1">
      <c r="A31" s="397" t="str">
        <f t="shared" si="10"/>
        <v>Countermeasure #4</v>
      </c>
      <c r="B31" s="546">
        <v>0</v>
      </c>
      <c r="C31" s="357">
        <f>'Major Assumption Key'!$B$3</f>
        <v>2028</v>
      </c>
      <c r="D31" s="394">
        <f t="shared" si="11"/>
        <v>2027</v>
      </c>
      <c r="E31" s="767"/>
      <c r="F31" s="772">
        <f>'Major Assumption Key'!A43</f>
        <v>2044</v>
      </c>
      <c r="G31" s="40">
        <f>IF(AND($F31&gt;=MIN($C$28),$F31&lt;=MAX($D$28)),SUMPRODUCT('BCA Guide - Parameter Values'!$C$6:$C$11,'Road Safety CRTMeasure'!$G$7:$G$12)+'Road Safety CRTMeasure'!$G$6*'BCA Guide - Parameter Values'!$C$14,0)</f>
        <v>0</v>
      </c>
      <c r="H31" s="40">
        <f>IF(AND($F31&gt;=MIN($C$29),$F31&lt;=MAX($D$29)),SUMPRODUCT('BCA Guide - Parameter Values'!$C$6:$C$11,'Road Safety CRTMeasure'!$G$19:$G$24)+'Road Safety CRTMeasure'!$G$18*'BCA Guide - Parameter Values'!$C$14,0)</f>
        <v>0</v>
      </c>
      <c r="I31" s="40">
        <f>IF(AND($F31&gt;=MIN($C$30),$F31&lt;=MAX($D$30)),SUMPRODUCT('BCA Guide - Parameter Values'!$C$6:$C$11,'Road Safety CRTMeasure'!$G$31:$G$36)+'Road Safety CRTMeasure'!$G$30*'BCA Guide - Parameter Values'!$C$14,0)</f>
        <v>0</v>
      </c>
      <c r="J31" s="40">
        <f>IF(AND($F31&gt;=MIN($C$31),$F31&lt;=MAX($D$31)),SUMPRODUCT('BCA Guide - Parameter Values'!$C$6:$C$11,'Road Safety CRTMeasure'!$G$43:$G$48)+'Road Safety CRTMeasure'!$G$42*'BCA Guide - Parameter Values'!$C$14,0)</f>
        <v>0</v>
      </c>
      <c r="K31" s="40">
        <f>IF(AND($F31&gt;=MIN($C$32),$F31&lt;=MAX($D$32)),SUMPRODUCT('BCA Guide - Parameter Values'!$C$6:$C$11,'Road Safety CRTMeasure'!$G$55:$G$60)+'Road Safety CRTMeasure'!$G$54*'BCA Guide - Parameter Values'!$C$14,0)</f>
        <v>0</v>
      </c>
      <c r="L31" s="40">
        <f>IF(AND($F31&gt;=MIN($C$33),$F31&lt;=MAX($D$33)),SUMPRODUCT('BCA Guide - Parameter Values'!$C$6:$C$11,'Road Safety CRTMeasure'!$G$67:$G$72)+'Road Safety CRTMeasure'!$G$66*'BCA Guide - Parameter Values'!$C$14,0)</f>
        <v>0</v>
      </c>
      <c r="M31" s="40">
        <f>IF(AND($F31&gt;=MIN($C$34),$F31&lt;=MAX($D$34)),SUMPRODUCT('BCA Guide - Parameter Values'!$C$6:$C$11,'Road Safety CRTMeasure'!$G$79:$G$84)+'Road Safety CRTMeasure'!$G$78*'BCA Guide - Parameter Values'!$C$14,0)</f>
        <v>0</v>
      </c>
      <c r="N31" s="784">
        <f>IF(AND(F31&gt;='Major Assumption Key'!$B$4,F31&lt;='Major Assumption Key'!$B$6),SUM(G31:M31),0)</f>
        <v>0</v>
      </c>
      <c r="O31" s="40">
        <f>IF(AND($F31&gt;=$C$28,$F31&lt;=$D$28),SUMPRODUCT('BCA Guide - Parameter Values'!$C$6:$C$11,'Road Safety CRTMeasure'!$H$7:$H$12)+'Road Safety CRTMeasure'!$H$6*'BCA Guide - Parameter Values'!$C$14,0)</f>
        <v>0</v>
      </c>
      <c r="P31" s="298">
        <f>IF(AND($F31&gt;=MIN($C$29),$F31&lt;=MAX($D$29)),SUMPRODUCT('BCA Guide - Parameter Values'!$C$6:$C$11,'Road Safety CRTMeasure'!$H$19:$H$24)+'Road Safety CRTMeasure'!$H$18*'BCA Guide - Parameter Values'!$C$14,0)</f>
        <v>0</v>
      </c>
      <c r="Q31" s="298">
        <f>IF(AND($F31&gt;=MIN($C$30),$F31&lt;=MAX($D$30)),SUMPRODUCT('BCA Guide - Parameter Values'!$C$6:$C$11,'Road Safety CRTMeasure'!$H$31:$H$36)+'Road Safety CRTMeasure'!$H$30*'BCA Guide - Parameter Values'!$C$14,0)</f>
        <v>0</v>
      </c>
      <c r="R31" s="298">
        <f>IF(AND($F31&gt;=MIN($C$31),$F31&lt;=MAX($D$31)),SUMPRODUCT('BCA Guide - Parameter Values'!$C$6:$C$11,'Road Safety CRTMeasure'!$H$43:$H$48)+'Road Safety CRTMeasure'!$H$42*'BCA Guide - Parameter Values'!$C$14,0)</f>
        <v>0</v>
      </c>
      <c r="S31" s="298">
        <f>IF(AND($F31&gt;=MIN($C$32),$F31&lt;=MAX($D$32)),SUMPRODUCT('BCA Guide - Parameter Values'!$C$6:$C$11,'Road Safety CRTMeasure'!$H$55:$H$60)+'Road Safety CRTMeasure'!$H$54*'BCA Guide - Parameter Values'!$C$14,0)</f>
        <v>0</v>
      </c>
      <c r="T31" s="298">
        <f>IF(AND($F31&gt;=MIN($C$33),$F31&lt;=MAX($D$33)),SUMPRODUCT('BCA Guide - Parameter Values'!$C$6:$C$11,'Road Safety CRTMeasure'!$H$67:$H$72)+'Road Safety CRTMeasure'!$H$66*'BCA Guide - Parameter Values'!$C$14,0)</f>
        <v>0</v>
      </c>
      <c r="U31" s="298">
        <f>IF(AND($F31&gt;=MIN($C$34),$F31&lt;=MAX($D$34)),SUMPRODUCT('BCA Guide - Parameter Values'!$C$6:$C$11,'Road Safety CRTMeasure'!$H$79:$H$84)+'Road Safety CRTMeasure'!$H$78*'BCA Guide - Parameter Values'!$C$14,0)</f>
        <v>0</v>
      </c>
      <c r="V31" s="848">
        <f>IF(AND(F31&gt;='Major Assumption Key'!$B$4,F31&lt;='Major Assumption Key'!$B$6),SUM(O31:U31),0)</f>
        <v>0</v>
      </c>
      <c r="W31" s="37">
        <f t="shared" si="5"/>
        <v>0</v>
      </c>
      <c r="X31" s="38">
        <f>W31/(1+'Major Assumption Key'!$B$8)^($F31-'Major Assumption Key'!$B$7)</f>
        <v>0</v>
      </c>
      <c r="Y31" s="290"/>
      <c r="Z31" s="784">
        <f t="shared" si="6"/>
        <v>0</v>
      </c>
      <c r="AA31" s="848">
        <f t="shared" si="7"/>
        <v>0</v>
      </c>
      <c r="AB31" s="37">
        <f t="shared" si="8"/>
        <v>0</v>
      </c>
      <c r="AC31" s="38">
        <f t="shared" si="9"/>
        <v>0</v>
      </c>
    </row>
    <row r="32" spans="1:33" ht="19.95" customHeight="1">
      <c r="A32" s="397" t="str">
        <f t="shared" si="10"/>
        <v>Countermeasure #5</v>
      </c>
      <c r="B32" s="546">
        <v>0</v>
      </c>
      <c r="C32" s="357">
        <f>'Major Assumption Key'!$B$3</f>
        <v>2028</v>
      </c>
      <c r="D32" s="394">
        <f t="shared" si="11"/>
        <v>2027</v>
      </c>
      <c r="F32" s="772">
        <f>'Major Assumption Key'!A44</f>
        <v>2045</v>
      </c>
      <c r="G32" s="40">
        <f>IF(AND($F32&gt;=MIN($C$28),$F32&lt;=MAX($D$28)),SUMPRODUCT('BCA Guide - Parameter Values'!$C$6:$C$11,'Road Safety CRTMeasure'!$G$7:$G$12)+'Road Safety CRTMeasure'!$G$6*'BCA Guide - Parameter Values'!$C$14,0)</f>
        <v>0</v>
      </c>
      <c r="H32" s="40">
        <f>IF(AND($F32&gt;=MIN($C$29),$F32&lt;=MAX($D$29)),SUMPRODUCT('BCA Guide - Parameter Values'!$C$6:$C$11,'Road Safety CRTMeasure'!$G$19:$G$24)+'Road Safety CRTMeasure'!$G$18*'BCA Guide - Parameter Values'!$C$14,0)</f>
        <v>0</v>
      </c>
      <c r="I32" s="40">
        <f>IF(AND($F32&gt;=MIN($C$30),$F32&lt;=MAX($D$30)),SUMPRODUCT('BCA Guide - Parameter Values'!$C$6:$C$11,'Road Safety CRTMeasure'!$G$31:$G$36)+'Road Safety CRTMeasure'!$G$30*'BCA Guide - Parameter Values'!$C$14,0)</f>
        <v>0</v>
      </c>
      <c r="J32" s="40">
        <f>IF(AND($F32&gt;=MIN($C$31),$F32&lt;=MAX($D$31)),SUMPRODUCT('BCA Guide - Parameter Values'!$C$6:$C$11,'Road Safety CRTMeasure'!$G$43:$G$48)+'Road Safety CRTMeasure'!$G$42*'BCA Guide - Parameter Values'!$C$14,0)</f>
        <v>0</v>
      </c>
      <c r="K32" s="40">
        <f>IF(AND($F32&gt;=MIN($C$32),$F32&lt;=MAX($D$32)),SUMPRODUCT('BCA Guide - Parameter Values'!$C$6:$C$11,'Road Safety CRTMeasure'!$G$55:$G$60)+'Road Safety CRTMeasure'!$G$54*'BCA Guide - Parameter Values'!$C$14,0)</f>
        <v>0</v>
      </c>
      <c r="L32" s="40">
        <f>IF(AND($F32&gt;=MIN($C$33),$F32&lt;=MAX($D$33)),SUMPRODUCT('BCA Guide - Parameter Values'!$C$6:$C$11,'Road Safety CRTMeasure'!$G$67:$G$72)+'Road Safety CRTMeasure'!$G$66*'BCA Guide - Parameter Values'!$C$14,0)</f>
        <v>0</v>
      </c>
      <c r="M32" s="40">
        <f>IF(AND($F32&gt;=MIN($C$34),$F32&lt;=MAX($D$34)),SUMPRODUCT('BCA Guide - Parameter Values'!$C$6:$C$11,'Road Safety CRTMeasure'!$G$79:$G$84)+'Road Safety CRTMeasure'!$G$78*'BCA Guide - Parameter Values'!$C$14,0)</f>
        <v>0</v>
      </c>
      <c r="N32" s="784">
        <f>IF(AND(F32&gt;='Major Assumption Key'!$B$4,F32&lt;='Major Assumption Key'!$B$6),SUM(G32:M32),0)</f>
        <v>0</v>
      </c>
      <c r="O32" s="40">
        <f>IF(AND($F32&gt;=$C$28,$F32&lt;=$D$28),SUMPRODUCT('BCA Guide - Parameter Values'!$C$6:$C$11,'Road Safety CRTMeasure'!$H$7:$H$12)+'Road Safety CRTMeasure'!$H$6*'BCA Guide - Parameter Values'!$C$14,0)</f>
        <v>0</v>
      </c>
      <c r="P32" s="298">
        <f>IF(AND($F32&gt;=MIN($C$29),$F32&lt;=MAX($D$29)),SUMPRODUCT('BCA Guide - Parameter Values'!$C$6:$C$11,'Road Safety CRTMeasure'!$H$19:$H$24)+'Road Safety CRTMeasure'!$H$18*'BCA Guide - Parameter Values'!$C$14,0)</f>
        <v>0</v>
      </c>
      <c r="Q32" s="298">
        <f>IF(AND($F32&gt;=MIN($C$30),$F32&lt;=MAX($D$30)),SUMPRODUCT('BCA Guide - Parameter Values'!$C$6:$C$11,'Road Safety CRTMeasure'!$H$31:$H$36)+'Road Safety CRTMeasure'!$H$30*'BCA Guide - Parameter Values'!$C$14,0)</f>
        <v>0</v>
      </c>
      <c r="R32" s="298">
        <f>IF(AND($F32&gt;=MIN($C$31),$F32&lt;=MAX($D$31)),SUMPRODUCT('BCA Guide - Parameter Values'!$C$6:$C$11,'Road Safety CRTMeasure'!$H$43:$H$48)+'Road Safety CRTMeasure'!$H$42*'BCA Guide - Parameter Values'!$C$14,0)</f>
        <v>0</v>
      </c>
      <c r="S32" s="298">
        <f>IF(AND($F32&gt;=MIN($C$32),$F32&lt;=MAX($D$32)),SUMPRODUCT('BCA Guide - Parameter Values'!$C$6:$C$11,'Road Safety CRTMeasure'!$H$55:$H$60)+'Road Safety CRTMeasure'!$H$54*'BCA Guide - Parameter Values'!$C$14,0)</f>
        <v>0</v>
      </c>
      <c r="T32" s="298">
        <f>IF(AND($F32&gt;=MIN($C$33),$F32&lt;=MAX($D$33)),SUMPRODUCT('BCA Guide - Parameter Values'!$C$6:$C$11,'Road Safety CRTMeasure'!$H$67:$H$72)+'Road Safety CRTMeasure'!$H$66*'BCA Guide - Parameter Values'!$C$14,0)</f>
        <v>0</v>
      </c>
      <c r="U32" s="298">
        <f>IF(AND($F32&gt;=MIN($C$34),$F32&lt;=MAX($D$34)),SUMPRODUCT('BCA Guide - Parameter Values'!$C$6:$C$11,'Road Safety CRTMeasure'!$H$79:$H$84)+'Road Safety CRTMeasure'!$H$78*'BCA Guide - Parameter Values'!$C$14,0)</f>
        <v>0</v>
      </c>
      <c r="V32" s="848">
        <f>IF(AND(F32&gt;='Major Assumption Key'!$B$4,F32&lt;='Major Assumption Key'!$B$6),SUM(O32:U32),0)</f>
        <v>0</v>
      </c>
      <c r="W32" s="37">
        <f t="shared" si="5"/>
        <v>0</v>
      </c>
      <c r="X32" s="38">
        <f>W32/(1+'Major Assumption Key'!$B$8)^($F32-'Major Assumption Key'!$B$7)</f>
        <v>0</v>
      </c>
      <c r="Y32" s="290"/>
      <c r="Z32" s="784">
        <f t="shared" si="6"/>
        <v>0</v>
      </c>
      <c r="AA32" s="848">
        <f t="shared" si="7"/>
        <v>0</v>
      </c>
      <c r="AB32" s="37">
        <f t="shared" si="8"/>
        <v>0</v>
      </c>
      <c r="AC32" s="38">
        <f t="shared" si="9"/>
        <v>0</v>
      </c>
    </row>
    <row r="33" spans="1:29" ht="19.95" customHeight="1">
      <c r="A33" s="397" t="str">
        <f t="shared" si="10"/>
        <v>Countermeasure #6</v>
      </c>
      <c r="B33" s="546">
        <v>0</v>
      </c>
      <c r="C33" s="357">
        <f>'Major Assumption Key'!$B$3</f>
        <v>2028</v>
      </c>
      <c r="D33" s="394">
        <f t="shared" si="11"/>
        <v>2027</v>
      </c>
      <c r="F33" s="772">
        <f>'Major Assumption Key'!A45</f>
        <v>2046</v>
      </c>
      <c r="G33" s="40">
        <f>IF(AND($F33&gt;=MIN($C$28),$F33&lt;=MAX($D$28)),SUMPRODUCT('BCA Guide - Parameter Values'!$C$6:$C$11,'Road Safety CRTMeasure'!$G$7:$G$12)+'Road Safety CRTMeasure'!$G$6*'BCA Guide - Parameter Values'!$C$14,0)</f>
        <v>0</v>
      </c>
      <c r="H33" s="40">
        <f>IF(AND($F33&gt;=MIN($C$29),$F33&lt;=MAX($D$29)),SUMPRODUCT('BCA Guide - Parameter Values'!$C$6:$C$11,'Road Safety CRTMeasure'!$G$19:$G$24)+'Road Safety CRTMeasure'!$G$18*'BCA Guide - Parameter Values'!$C$14,0)</f>
        <v>0</v>
      </c>
      <c r="I33" s="40">
        <f>IF(AND($F33&gt;=MIN($C$30),$F33&lt;=MAX($D$30)),SUMPRODUCT('BCA Guide - Parameter Values'!$C$6:$C$11,'Road Safety CRTMeasure'!$G$31:$G$36)+'Road Safety CRTMeasure'!$G$30*'BCA Guide - Parameter Values'!$C$14,0)</f>
        <v>0</v>
      </c>
      <c r="J33" s="40">
        <f>IF(AND($F33&gt;=MIN($C$31),$F33&lt;=MAX($D$31)),SUMPRODUCT('BCA Guide - Parameter Values'!$C$6:$C$11,'Road Safety CRTMeasure'!$G$43:$G$48)+'Road Safety CRTMeasure'!$G$42*'BCA Guide - Parameter Values'!$C$14,0)</f>
        <v>0</v>
      </c>
      <c r="K33" s="40">
        <f>IF(AND($F33&gt;=MIN($C$32),$F33&lt;=MAX($D$32)),SUMPRODUCT('BCA Guide - Parameter Values'!$C$6:$C$11,'Road Safety CRTMeasure'!$G$55:$G$60)+'Road Safety CRTMeasure'!$G$54*'BCA Guide - Parameter Values'!$C$14,0)</f>
        <v>0</v>
      </c>
      <c r="L33" s="40">
        <f>IF(AND($F33&gt;=MIN($C$33),$F33&lt;=MAX($D$33)),SUMPRODUCT('BCA Guide - Parameter Values'!$C$6:$C$11,'Road Safety CRTMeasure'!$G$67:$G$72)+'Road Safety CRTMeasure'!$G$66*'BCA Guide - Parameter Values'!$C$14,0)</f>
        <v>0</v>
      </c>
      <c r="M33" s="40">
        <f>IF(AND($F33&gt;=MIN($C$34),$F33&lt;=MAX($D$34)),SUMPRODUCT('BCA Guide - Parameter Values'!$C$6:$C$11,'Road Safety CRTMeasure'!$G$79:$G$84)+'Road Safety CRTMeasure'!$G$78*'BCA Guide - Parameter Values'!$C$14,0)</f>
        <v>0</v>
      </c>
      <c r="N33" s="784">
        <f>IF(AND(F33&gt;='Major Assumption Key'!$B$4,F33&lt;='Major Assumption Key'!$B$6),SUM(G33:M33),0)</f>
        <v>0</v>
      </c>
      <c r="O33" s="40">
        <f>IF(AND($F33&gt;=$C$28,$F33&lt;=$D$28),SUMPRODUCT('BCA Guide - Parameter Values'!$C$6:$C$11,'Road Safety CRTMeasure'!$H$7:$H$12)+'Road Safety CRTMeasure'!$H$6*'BCA Guide - Parameter Values'!$C$14,0)</f>
        <v>0</v>
      </c>
      <c r="P33" s="298">
        <f>IF(AND($F33&gt;=MIN($C$29),$F33&lt;=MAX($D$29)),SUMPRODUCT('BCA Guide - Parameter Values'!$C$6:$C$11,'Road Safety CRTMeasure'!$H$19:$H$24)+'Road Safety CRTMeasure'!$H$18*'BCA Guide - Parameter Values'!$C$14,0)</f>
        <v>0</v>
      </c>
      <c r="Q33" s="298">
        <f>IF(AND($F33&gt;=MIN($C$30),$F33&lt;=MAX($D$30)),SUMPRODUCT('BCA Guide - Parameter Values'!$C$6:$C$11,'Road Safety CRTMeasure'!$H$31:$H$36)+'Road Safety CRTMeasure'!$H$30*'BCA Guide - Parameter Values'!$C$14,0)</f>
        <v>0</v>
      </c>
      <c r="R33" s="298">
        <f>IF(AND($F33&gt;=MIN($C$31),$F33&lt;=MAX($D$31)),SUMPRODUCT('BCA Guide - Parameter Values'!$C$6:$C$11,'Road Safety CRTMeasure'!$H$43:$H$48)+'Road Safety CRTMeasure'!$H$42*'BCA Guide - Parameter Values'!$C$14,0)</f>
        <v>0</v>
      </c>
      <c r="S33" s="298">
        <f>IF(AND($F33&gt;=MIN($C$32),$F33&lt;=MAX($D$32)),SUMPRODUCT('BCA Guide - Parameter Values'!$C$6:$C$11,'Road Safety CRTMeasure'!$H$55:$H$60)+'Road Safety CRTMeasure'!$H$54*'BCA Guide - Parameter Values'!$C$14,0)</f>
        <v>0</v>
      </c>
      <c r="T33" s="298">
        <f>IF(AND($F33&gt;=MIN($C$33),$F33&lt;=MAX($D$33)),SUMPRODUCT('BCA Guide - Parameter Values'!$C$6:$C$11,'Road Safety CRTMeasure'!$H$67:$H$72)+'Road Safety CRTMeasure'!$H$66*'BCA Guide - Parameter Values'!$C$14,0)</f>
        <v>0</v>
      </c>
      <c r="U33" s="298">
        <f>IF(AND($F33&gt;=MIN($C$34),$F33&lt;=MAX($D$34)),SUMPRODUCT('BCA Guide - Parameter Values'!$C$6:$C$11,'Road Safety CRTMeasure'!$H$79:$H$84)+'Road Safety CRTMeasure'!$H$78*'BCA Guide - Parameter Values'!$C$14,0)</f>
        <v>0</v>
      </c>
      <c r="V33" s="848">
        <f>IF(AND(F33&gt;='Major Assumption Key'!$B$4,F33&lt;='Major Assumption Key'!$B$6),SUM(O33:U33),0)</f>
        <v>0</v>
      </c>
      <c r="W33" s="37">
        <f t="shared" si="5"/>
        <v>0</v>
      </c>
      <c r="X33" s="38">
        <f>W33/(1+'Major Assumption Key'!$B$8)^($F33-'Major Assumption Key'!$B$7)</f>
        <v>0</v>
      </c>
      <c r="Y33" s="290"/>
      <c r="Z33" s="784">
        <f t="shared" si="6"/>
        <v>0</v>
      </c>
      <c r="AA33" s="848">
        <f t="shared" si="7"/>
        <v>0</v>
      </c>
      <c r="AB33" s="37">
        <f t="shared" si="8"/>
        <v>0</v>
      </c>
      <c r="AC33" s="38">
        <f t="shared" si="9"/>
        <v>0</v>
      </c>
    </row>
    <row r="34" spans="1:29" ht="19.95" customHeight="1" thickBot="1">
      <c r="A34" s="398" t="str">
        <f t="shared" si="10"/>
        <v>Countermeasure #7</v>
      </c>
      <c r="B34" s="572">
        <v>0</v>
      </c>
      <c r="C34" s="395">
        <f>'Major Assumption Key'!$B$3</f>
        <v>2028</v>
      </c>
      <c r="D34" s="396">
        <f t="shared" si="11"/>
        <v>2027</v>
      </c>
      <c r="F34" s="772">
        <f>'Major Assumption Key'!A46</f>
        <v>2047</v>
      </c>
      <c r="G34" s="40">
        <f>IF(AND($F34&gt;=MIN($C$28),$F34&lt;=MAX($D$28)),SUMPRODUCT('BCA Guide - Parameter Values'!$C$6:$C$11,'Road Safety CRTMeasure'!$G$7:$G$12)+'Road Safety CRTMeasure'!$G$6*'BCA Guide - Parameter Values'!$C$14,0)</f>
        <v>0</v>
      </c>
      <c r="H34" s="40">
        <f>IF(AND($F34&gt;=MIN($C$29),$F34&lt;=MAX($D$29)),SUMPRODUCT('BCA Guide - Parameter Values'!$C$6:$C$11,'Road Safety CRTMeasure'!$G$19:$G$24)+'Road Safety CRTMeasure'!$G$18*'BCA Guide - Parameter Values'!$C$14,0)</f>
        <v>0</v>
      </c>
      <c r="I34" s="40">
        <f>IF(AND($F34&gt;=MIN($C$30),$F34&lt;=MAX($D$30)),SUMPRODUCT('BCA Guide - Parameter Values'!$C$6:$C$11,'Road Safety CRTMeasure'!$G$31:$G$36)+'Road Safety CRTMeasure'!$G$30*'BCA Guide - Parameter Values'!$C$14,0)</f>
        <v>0</v>
      </c>
      <c r="J34" s="40">
        <f>IF(AND($F34&gt;=MIN($C$31),$F34&lt;=MAX($D$31)),SUMPRODUCT('BCA Guide - Parameter Values'!$C$6:$C$11,'Road Safety CRTMeasure'!$G$43:$G$48)+'Road Safety CRTMeasure'!$G$42*'BCA Guide - Parameter Values'!$C$14,0)</f>
        <v>0</v>
      </c>
      <c r="K34" s="40">
        <f>IF(AND($F34&gt;=MIN($C$32),$F34&lt;=MAX($D$32)),SUMPRODUCT('BCA Guide - Parameter Values'!$C$6:$C$11,'Road Safety CRTMeasure'!$G$55:$G$60)+'Road Safety CRTMeasure'!$G$54*'BCA Guide - Parameter Values'!$C$14,0)</f>
        <v>0</v>
      </c>
      <c r="L34" s="40">
        <f>IF(AND($F34&gt;=MIN($C$33),$F34&lt;=MAX($D$33)),SUMPRODUCT('BCA Guide - Parameter Values'!$C$6:$C$11,'Road Safety CRTMeasure'!$G$67:$G$72)+'Road Safety CRTMeasure'!$G$66*'BCA Guide - Parameter Values'!$C$14,0)</f>
        <v>0</v>
      </c>
      <c r="M34" s="40">
        <f>IF(AND($F34&gt;=MIN($C$34),$F34&lt;=MAX($D$34)),SUMPRODUCT('BCA Guide - Parameter Values'!$C$6:$C$11,'Road Safety CRTMeasure'!$G$79:$G$84)+'Road Safety CRTMeasure'!$G$78*'BCA Guide - Parameter Values'!$C$14,0)</f>
        <v>0</v>
      </c>
      <c r="N34" s="784">
        <f>IF(AND(F34&gt;='Major Assumption Key'!$B$4,F34&lt;='Major Assumption Key'!$B$6),SUM(G34:M34),0)</f>
        <v>0</v>
      </c>
      <c r="O34" s="40">
        <f>IF(AND($F34&gt;=$C$28,$F34&lt;=$D$28),SUMPRODUCT('BCA Guide - Parameter Values'!$C$6:$C$11,'Road Safety CRTMeasure'!$H$7:$H$12)+'Road Safety CRTMeasure'!$H$6*'BCA Guide - Parameter Values'!$C$14,0)</f>
        <v>0</v>
      </c>
      <c r="P34" s="298">
        <f>IF(AND($F34&gt;=MIN($C$29),$F34&lt;=MAX($D$29)),SUMPRODUCT('BCA Guide - Parameter Values'!$C$6:$C$11,'Road Safety CRTMeasure'!$H$19:$H$24)+'Road Safety CRTMeasure'!$H$18*'BCA Guide - Parameter Values'!$C$14,0)</f>
        <v>0</v>
      </c>
      <c r="Q34" s="298">
        <f>IF(AND($F34&gt;=MIN($C$30),$F34&lt;=MAX($D$30)),SUMPRODUCT('BCA Guide - Parameter Values'!$C$6:$C$11,'Road Safety CRTMeasure'!$H$31:$H$36)+'Road Safety CRTMeasure'!$H$30*'BCA Guide - Parameter Values'!$C$14,0)</f>
        <v>0</v>
      </c>
      <c r="R34" s="298">
        <f>IF(AND($F34&gt;=MIN($C$31),$F34&lt;=MAX($D$31)),SUMPRODUCT('BCA Guide - Parameter Values'!$C$6:$C$11,'Road Safety CRTMeasure'!$H$43:$H$48)+'Road Safety CRTMeasure'!$H$42*'BCA Guide - Parameter Values'!$C$14,0)</f>
        <v>0</v>
      </c>
      <c r="S34" s="298">
        <f>IF(AND($F34&gt;=MIN($C$32),$F34&lt;=MAX($D$32)),SUMPRODUCT('BCA Guide - Parameter Values'!$C$6:$C$11,'Road Safety CRTMeasure'!$H$55:$H$60)+'Road Safety CRTMeasure'!$H$54*'BCA Guide - Parameter Values'!$C$14,0)</f>
        <v>0</v>
      </c>
      <c r="T34" s="298">
        <f>IF(AND($F34&gt;=MIN($C$33),$F34&lt;=MAX($D$33)),SUMPRODUCT('BCA Guide - Parameter Values'!$C$6:$C$11,'Road Safety CRTMeasure'!$H$67:$H$72)+'Road Safety CRTMeasure'!$H$66*'BCA Guide - Parameter Values'!$C$14,0)</f>
        <v>0</v>
      </c>
      <c r="U34" s="298">
        <f>IF(AND($F34&gt;=MIN($C$34),$F34&lt;=MAX($D$34)),SUMPRODUCT('BCA Guide - Parameter Values'!$C$6:$C$11,'Road Safety CRTMeasure'!$H$79:$H$84)+'Road Safety CRTMeasure'!$H$78*'BCA Guide - Parameter Values'!$C$14,0)</f>
        <v>0</v>
      </c>
      <c r="V34" s="848">
        <f>IF(AND(F34&gt;='Major Assumption Key'!$B$4,F34&lt;='Major Assumption Key'!$B$6),SUM(O34:U34),0)</f>
        <v>0</v>
      </c>
      <c r="W34" s="37">
        <f t="shared" si="5"/>
        <v>0</v>
      </c>
      <c r="X34" s="38">
        <f>W34/(1+'Major Assumption Key'!$B$8)^($F34-'Major Assumption Key'!$B$7)</f>
        <v>0</v>
      </c>
      <c r="Y34" s="290"/>
      <c r="Z34" s="784">
        <f t="shared" si="6"/>
        <v>0</v>
      </c>
      <c r="AA34" s="848">
        <f t="shared" si="7"/>
        <v>0</v>
      </c>
      <c r="AB34" s="37">
        <f t="shared" si="8"/>
        <v>0</v>
      </c>
      <c r="AC34" s="38">
        <f t="shared" si="9"/>
        <v>0</v>
      </c>
    </row>
    <row r="35" spans="1:29" ht="19.95" customHeight="1">
      <c r="F35" s="772">
        <f>'Major Assumption Key'!A47</f>
        <v>2048</v>
      </c>
      <c r="G35" s="40">
        <f>IF(AND($F35&gt;=MIN($C$28),$F35&lt;=MAX($D$28)),SUMPRODUCT('BCA Guide - Parameter Values'!$C$6:$C$11,'Road Safety CRTMeasure'!$G$7:$G$12)+'Road Safety CRTMeasure'!$G$6*'BCA Guide - Parameter Values'!$C$14,0)</f>
        <v>0</v>
      </c>
      <c r="H35" s="40">
        <f>IF(AND($F35&gt;=MIN($C$29),$F35&lt;=MAX($D$29)),SUMPRODUCT('BCA Guide - Parameter Values'!$C$6:$C$11,'Road Safety CRTMeasure'!$G$19:$G$24)+'Road Safety CRTMeasure'!$G$18*'BCA Guide - Parameter Values'!$C$14,0)</f>
        <v>0</v>
      </c>
      <c r="I35" s="40">
        <f>IF(AND($F35&gt;=MIN($C$30),$F35&lt;=MAX($D$30)),SUMPRODUCT('BCA Guide - Parameter Values'!$C$6:$C$11,'Road Safety CRTMeasure'!$G$31:$G$36)+'Road Safety CRTMeasure'!$G$30*'BCA Guide - Parameter Values'!$C$14,0)</f>
        <v>0</v>
      </c>
      <c r="J35" s="40">
        <f>IF(AND($F35&gt;=MIN($C$31),$F35&lt;=MAX($D$31)),SUMPRODUCT('BCA Guide - Parameter Values'!$C$6:$C$11,'Road Safety CRTMeasure'!$G$43:$G$48)+'Road Safety CRTMeasure'!$G$42*'BCA Guide - Parameter Values'!$C$14,0)</f>
        <v>0</v>
      </c>
      <c r="K35" s="40">
        <f>IF(AND($F35&gt;=MIN($C$32),$F35&lt;=MAX($D$32)),SUMPRODUCT('BCA Guide - Parameter Values'!$C$6:$C$11,'Road Safety CRTMeasure'!$G$55:$G$60)+'Road Safety CRTMeasure'!$G$54*'BCA Guide - Parameter Values'!$C$14,0)</f>
        <v>0</v>
      </c>
      <c r="L35" s="40">
        <f>IF(AND($F35&gt;=MIN($C$33),$F35&lt;=MAX($D$33)),SUMPRODUCT('BCA Guide - Parameter Values'!$C$6:$C$11,'Road Safety CRTMeasure'!$G$67:$G$72)+'Road Safety CRTMeasure'!$G$66*'BCA Guide - Parameter Values'!$C$14,0)</f>
        <v>0</v>
      </c>
      <c r="M35" s="40">
        <f>IF(AND($F35&gt;=MIN($C$34),$F35&lt;=MAX($D$34)),SUMPRODUCT('BCA Guide - Parameter Values'!$C$6:$C$11,'Road Safety CRTMeasure'!$G$79:$G$84)+'Road Safety CRTMeasure'!$G$78*'BCA Guide - Parameter Values'!$C$14,0)</f>
        <v>0</v>
      </c>
      <c r="N35" s="784">
        <f>IF(AND(F35&gt;='Major Assumption Key'!$B$4,F35&lt;='Major Assumption Key'!$B$6),SUM(G35:M35),0)</f>
        <v>0</v>
      </c>
      <c r="O35" s="40">
        <f>IF(AND($F35&gt;=$C$28,$F35&lt;=$D$28),SUMPRODUCT('BCA Guide - Parameter Values'!$C$6:$C$11,'Road Safety CRTMeasure'!$H$7:$H$12)+'Road Safety CRTMeasure'!$H$6*'BCA Guide - Parameter Values'!$C$14,0)</f>
        <v>0</v>
      </c>
      <c r="P35" s="298">
        <f>IF(AND($F35&gt;=MIN($C$29),$F35&lt;=MAX($D$29)),SUMPRODUCT('BCA Guide - Parameter Values'!$C$6:$C$11,'Road Safety CRTMeasure'!$H$19:$H$24)+'Road Safety CRTMeasure'!$H$18*'BCA Guide - Parameter Values'!$C$14,0)</f>
        <v>0</v>
      </c>
      <c r="Q35" s="298">
        <f>IF(AND($F35&gt;=MIN($C$30),$F35&lt;=MAX($D$30)),SUMPRODUCT('BCA Guide - Parameter Values'!$C$6:$C$11,'Road Safety CRTMeasure'!$H$31:$H$36)+'Road Safety CRTMeasure'!$H$30*'BCA Guide - Parameter Values'!$C$14,0)</f>
        <v>0</v>
      </c>
      <c r="R35" s="298">
        <f>IF(AND($F35&gt;=MIN($C$31),$F35&lt;=MAX($D$31)),SUMPRODUCT('BCA Guide - Parameter Values'!$C$6:$C$11,'Road Safety CRTMeasure'!$H$43:$H$48)+'Road Safety CRTMeasure'!$H$42*'BCA Guide - Parameter Values'!$C$14,0)</f>
        <v>0</v>
      </c>
      <c r="S35" s="298">
        <f>IF(AND($F35&gt;=MIN($C$32),$F35&lt;=MAX($D$32)),SUMPRODUCT('BCA Guide - Parameter Values'!$C$6:$C$11,'Road Safety CRTMeasure'!$H$55:$H$60)+'Road Safety CRTMeasure'!$H$54*'BCA Guide - Parameter Values'!$C$14,0)</f>
        <v>0</v>
      </c>
      <c r="T35" s="298">
        <f>IF(AND($F35&gt;=MIN($C$33),$F35&lt;=MAX($D$33)),SUMPRODUCT('BCA Guide - Parameter Values'!$C$6:$C$11,'Road Safety CRTMeasure'!$H$67:$H$72)+'Road Safety CRTMeasure'!$H$66*'BCA Guide - Parameter Values'!$C$14,0)</f>
        <v>0</v>
      </c>
      <c r="U35" s="298">
        <f>IF(AND($F35&gt;=MIN($C$34),$F35&lt;=MAX($D$34)),SUMPRODUCT('BCA Guide - Parameter Values'!$C$6:$C$11,'Road Safety CRTMeasure'!$H$79:$H$84)+'Road Safety CRTMeasure'!$H$78*'BCA Guide - Parameter Values'!$C$14,0)</f>
        <v>0</v>
      </c>
      <c r="V35" s="848">
        <f>IF(AND(F35&gt;='Major Assumption Key'!$B$4,F35&lt;='Major Assumption Key'!$B$6),SUM(O35:U35),0)</f>
        <v>0</v>
      </c>
      <c r="W35" s="37">
        <f t="shared" si="5"/>
        <v>0</v>
      </c>
      <c r="X35" s="38">
        <f>W35/(1+'Major Assumption Key'!$B$8)^($F35-'Major Assumption Key'!$B$7)</f>
        <v>0</v>
      </c>
      <c r="Y35" s="290"/>
      <c r="Z35" s="784">
        <f t="shared" si="6"/>
        <v>0</v>
      </c>
      <c r="AA35" s="848">
        <f t="shared" si="7"/>
        <v>0</v>
      </c>
      <c r="AB35" s="37">
        <f t="shared" si="8"/>
        <v>0</v>
      </c>
      <c r="AC35" s="38">
        <f t="shared" si="9"/>
        <v>0</v>
      </c>
    </row>
    <row r="36" spans="1:29" ht="19.95" customHeight="1">
      <c r="F36" s="772">
        <f>'Major Assumption Key'!A48</f>
        <v>2049</v>
      </c>
      <c r="G36" s="40">
        <f>IF(AND($F36&gt;=MIN($C$28),$F36&lt;=MAX($D$28)),SUMPRODUCT('BCA Guide - Parameter Values'!$C$6:$C$11,'Road Safety CRTMeasure'!$G$7:$G$12)+'Road Safety CRTMeasure'!$G$6*'BCA Guide - Parameter Values'!$C$14,0)</f>
        <v>0</v>
      </c>
      <c r="H36" s="40">
        <f>IF(AND($F36&gt;=MIN($C$29),$F36&lt;=MAX($D$29)),SUMPRODUCT('BCA Guide - Parameter Values'!$C$6:$C$11,'Road Safety CRTMeasure'!$G$19:$G$24)+'Road Safety CRTMeasure'!$G$18*'BCA Guide - Parameter Values'!$C$14,0)</f>
        <v>0</v>
      </c>
      <c r="I36" s="40">
        <f>IF(AND($F36&gt;=MIN($C$30),$F36&lt;=MAX($D$30)),SUMPRODUCT('BCA Guide - Parameter Values'!$C$6:$C$11,'Road Safety CRTMeasure'!$G$31:$G$36)+'Road Safety CRTMeasure'!$G$30*'BCA Guide - Parameter Values'!$C$14,0)</f>
        <v>0</v>
      </c>
      <c r="J36" s="40">
        <f>IF(AND($F36&gt;=MIN($C$31),$F36&lt;=MAX($D$31)),SUMPRODUCT('BCA Guide - Parameter Values'!$C$6:$C$11,'Road Safety CRTMeasure'!$G$43:$G$48)+'Road Safety CRTMeasure'!$G$42*'BCA Guide - Parameter Values'!$C$14,0)</f>
        <v>0</v>
      </c>
      <c r="K36" s="40">
        <f>IF(AND($F36&gt;=MIN($C$32),$F36&lt;=MAX($D$32)),SUMPRODUCT('BCA Guide - Parameter Values'!$C$6:$C$11,'Road Safety CRTMeasure'!$G$55:$G$60)+'Road Safety CRTMeasure'!$G$54*'BCA Guide - Parameter Values'!$C$14,0)</f>
        <v>0</v>
      </c>
      <c r="L36" s="40">
        <f>IF(AND($F36&gt;=MIN($C$33),$F36&lt;=MAX($D$33)),SUMPRODUCT('BCA Guide - Parameter Values'!$C$6:$C$11,'Road Safety CRTMeasure'!$G$67:$G$72)+'Road Safety CRTMeasure'!$G$66*'BCA Guide - Parameter Values'!$C$14,0)</f>
        <v>0</v>
      </c>
      <c r="M36" s="40">
        <f>IF(AND($F36&gt;=MIN($C$34),$F36&lt;=MAX($D$34)),SUMPRODUCT('BCA Guide - Parameter Values'!$C$6:$C$11,'Road Safety CRTMeasure'!$G$79:$G$84)+'Road Safety CRTMeasure'!$G$78*'BCA Guide - Parameter Values'!$C$14,0)</f>
        <v>0</v>
      </c>
      <c r="N36" s="784">
        <f>IF(AND(F36&gt;='Major Assumption Key'!$B$4,F36&lt;='Major Assumption Key'!$B$6),SUM(G36:M36),0)</f>
        <v>0</v>
      </c>
      <c r="O36" s="40">
        <f>IF(AND($F36&gt;=$C$28,$F36&lt;=$D$28),SUMPRODUCT('BCA Guide - Parameter Values'!$C$6:$C$11,'Road Safety CRTMeasure'!$H$7:$H$12)+'Road Safety CRTMeasure'!$H$6*'BCA Guide - Parameter Values'!$C$14,0)</f>
        <v>0</v>
      </c>
      <c r="P36" s="298">
        <f>IF(AND($F36&gt;=MIN($C$29),$F36&lt;=MAX($D$29)),SUMPRODUCT('BCA Guide - Parameter Values'!$C$6:$C$11,'Road Safety CRTMeasure'!$H$19:$H$24)+'Road Safety CRTMeasure'!$H$18*'BCA Guide - Parameter Values'!$C$14,0)</f>
        <v>0</v>
      </c>
      <c r="Q36" s="298">
        <f>IF(AND($F36&gt;=MIN($C$30),$F36&lt;=MAX($D$30)),SUMPRODUCT('BCA Guide - Parameter Values'!$C$6:$C$11,'Road Safety CRTMeasure'!$H$31:$H$36)+'Road Safety CRTMeasure'!$H$30*'BCA Guide - Parameter Values'!$C$14,0)</f>
        <v>0</v>
      </c>
      <c r="R36" s="298">
        <f>IF(AND($F36&gt;=MIN($C$31),$F36&lt;=MAX($D$31)),SUMPRODUCT('BCA Guide - Parameter Values'!$C$6:$C$11,'Road Safety CRTMeasure'!$H$43:$H$48)+'Road Safety CRTMeasure'!$H$42*'BCA Guide - Parameter Values'!$C$14,0)</f>
        <v>0</v>
      </c>
      <c r="S36" s="298">
        <f>IF(AND($F36&gt;=MIN($C$32),$F36&lt;=MAX($D$32)),SUMPRODUCT('BCA Guide - Parameter Values'!$C$6:$C$11,'Road Safety CRTMeasure'!$H$55:$H$60)+'Road Safety CRTMeasure'!$H$54*'BCA Guide - Parameter Values'!$C$14,0)</f>
        <v>0</v>
      </c>
      <c r="T36" s="298">
        <f>IF(AND($F36&gt;=MIN($C$33),$F36&lt;=MAX($D$33)),SUMPRODUCT('BCA Guide - Parameter Values'!$C$6:$C$11,'Road Safety CRTMeasure'!$H$67:$H$72)+'Road Safety CRTMeasure'!$H$66*'BCA Guide - Parameter Values'!$C$14,0)</f>
        <v>0</v>
      </c>
      <c r="U36" s="298">
        <f>IF(AND($F36&gt;=MIN($C$34),$F36&lt;=MAX($D$34)),SUMPRODUCT('BCA Guide - Parameter Values'!$C$6:$C$11,'Road Safety CRTMeasure'!$H$79:$H$84)+'Road Safety CRTMeasure'!$H$78*'BCA Guide - Parameter Values'!$C$14,0)</f>
        <v>0</v>
      </c>
      <c r="V36" s="848">
        <f>IF(AND(F36&gt;='Major Assumption Key'!$B$4,F36&lt;='Major Assumption Key'!$B$6),SUM(O36:U36),0)</f>
        <v>0</v>
      </c>
      <c r="W36" s="37">
        <f t="shared" si="5"/>
        <v>0</v>
      </c>
      <c r="X36" s="38">
        <f>W36/(1+'Major Assumption Key'!$B$8)^($F36-'Major Assumption Key'!$B$7)</f>
        <v>0</v>
      </c>
      <c r="Y36" s="290"/>
      <c r="Z36" s="784">
        <f t="shared" si="6"/>
        <v>0</v>
      </c>
      <c r="AA36" s="848">
        <f t="shared" si="7"/>
        <v>0</v>
      </c>
      <c r="AB36" s="37">
        <f t="shared" si="8"/>
        <v>0</v>
      </c>
      <c r="AC36" s="38">
        <f t="shared" si="9"/>
        <v>0</v>
      </c>
    </row>
    <row r="37" spans="1:29" ht="19.95" customHeight="1">
      <c r="F37" s="772">
        <f>'Major Assumption Key'!A49</f>
        <v>2050</v>
      </c>
      <c r="G37" s="40">
        <f>IF(AND($F37&gt;=MIN($C$28),$F37&lt;=MAX($D$28)),SUMPRODUCT('BCA Guide - Parameter Values'!$C$6:$C$11,'Road Safety CRTMeasure'!$G$7:$G$12)+'Road Safety CRTMeasure'!$G$6*'BCA Guide - Parameter Values'!$C$14,0)</f>
        <v>0</v>
      </c>
      <c r="H37" s="40">
        <f>IF(AND($F37&gt;=MIN($C$29),$F37&lt;=MAX($D$29)),SUMPRODUCT('BCA Guide - Parameter Values'!$C$6:$C$11,'Road Safety CRTMeasure'!$G$19:$G$24)+'Road Safety CRTMeasure'!$G$18*'BCA Guide - Parameter Values'!$C$14,0)</f>
        <v>0</v>
      </c>
      <c r="I37" s="40">
        <f>IF(AND($F37&gt;=MIN($C$30),$F37&lt;=MAX($D$30)),SUMPRODUCT('BCA Guide - Parameter Values'!$C$6:$C$11,'Road Safety CRTMeasure'!$G$31:$G$36)+'Road Safety CRTMeasure'!$G$30*'BCA Guide - Parameter Values'!$C$14,0)</f>
        <v>0</v>
      </c>
      <c r="J37" s="40">
        <f>IF(AND($F37&gt;=MIN($C$31),$F37&lt;=MAX($D$31)),SUMPRODUCT('BCA Guide - Parameter Values'!$C$6:$C$11,'Road Safety CRTMeasure'!$G$43:$G$48)+'Road Safety CRTMeasure'!$G$42*'BCA Guide - Parameter Values'!$C$14,0)</f>
        <v>0</v>
      </c>
      <c r="K37" s="40">
        <f>IF(AND($F37&gt;=MIN($C$32),$F37&lt;=MAX($D$32)),SUMPRODUCT('BCA Guide - Parameter Values'!$C$6:$C$11,'Road Safety CRTMeasure'!$G$55:$G$60)+'Road Safety CRTMeasure'!$G$54*'BCA Guide - Parameter Values'!$C$14,0)</f>
        <v>0</v>
      </c>
      <c r="L37" s="40">
        <f>IF(AND($F37&gt;=MIN($C$33),$F37&lt;=MAX($D$33)),SUMPRODUCT('BCA Guide - Parameter Values'!$C$6:$C$11,'Road Safety CRTMeasure'!$G$67:$G$72)+'Road Safety CRTMeasure'!$G$66*'BCA Guide - Parameter Values'!$C$14,0)</f>
        <v>0</v>
      </c>
      <c r="M37" s="40">
        <f>IF(AND($F37&gt;=MIN($C$34),$F37&lt;=MAX($D$34)),SUMPRODUCT('BCA Guide - Parameter Values'!$C$6:$C$11,'Road Safety CRTMeasure'!$G$79:$G$84)+'Road Safety CRTMeasure'!$G$78*'BCA Guide - Parameter Values'!$C$14,0)</f>
        <v>0</v>
      </c>
      <c r="N37" s="784">
        <f>IF(AND(F37&gt;='Major Assumption Key'!$B$4,F37&lt;='Major Assumption Key'!$B$6),SUM(G37:M37),0)</f>
        <v>0</v>
      </c>
      <c r="O37" s="40">
        <f>IF(AND($F37&gt;=$C$28,$F37&lt;=$D$28),SUMPRODUCT('BCA Guide - Parameter Values'!$C$6:$C$11,'Road Safety CRTMeasure'!$H$7:$H$12)+'Road Safety CRTMeasure'!$H$6*'BCA Guide - Parameter Values'!$C$14,0)</f>
        <v>0</v>
      </c>
      <c r="P37" s="298">
        <f>IF(AND($F37&gt;=MIN($C$29),$F37&lt;=MAX($D$29)),SUMPRODUCT('BCA Guide - Parameter Values'!$C$6:$C$11,'Road Safety CRTMeasure'!$H$19:$H$24)+'Road Safety CRTMeasure'!$H$18*'BCA Guide - Parameter Values'!$C$14,0)</f>
        <v>0</v>
      </c>
      <c r="Q37" s="298">
        <f>IF(AND($F37&gt;=MIN($C$30),$F37&lt;=MAX($D$30)),SUMPRODUCT('BCA Guide - Parameter Values'!$C$6:$C$11,'Road Safety CRTMeasure'!$H$31:$H$36)+'Road Safety CRTMeasure'!$H$30*'BCA Guide - Parameter Values'!$C$14,0)</f>
        <v>0</v>
      </c>
      <c r="R37" s="298">
        <f>IF(AND($F37&gt;=MIN($C$31),$F37&lt;=MAX($D$31)),SUMPRODUCT('BCA Guide - Parameter Values'!$C$6:$C$11,'Road Safety CRTMeasure'!$H$43:$H$48)+'Road Safety CRTMeasure'!$H$42*'BCA Guide - Parameter Values'!$C$14,0)</f>
        <v>0</v>
      </c>
      <c r="S37" s="298">
        <f>IF(AND($F37&gt;=MIN($C$32),$F37&lt;=MAX($D$32)),SUMPRODUCT('BCA Guide - Parameter Values'!$C$6:$C$11,'Road Safety CRTMeasure'!$H$55:$H$60)+'Road Safety CRTMeasure'!$H$54*'BCA Guide - Parameter Values'!$C$14,0)</f>
        <v>0</v>
      </c>
      <c r="T37" s="298">
        <f>IF(AND($F37&gt;=MIN($C$33),$F37&lt;=MAX($D$33)),SUMPRODUCT('BCA Guide - Parameter Values'!$C$6:$C$11,'Road Safety CRTMeasure'!$H$67:$H$72)+'Road Safety CRTMeasure'!$H$66*'BCA Guide - Parameter Values'!$C$14,0)</f>
        <v>0</v>
      </c>
      <c r="U37" s="298">
        <f>IF(AND($F37&gt;=MIN($C$34),$F37&lt;=MAX($D$34)),SUMPRODUCT('BCA Guide - Parameter Values'!$C$6:$C$11,'Road Safety CRTMeasure'!$H$79:$H$84)+'Road Safety CRTMeasure'!$H$78*'BCA Guide - Parameter Values'!$C$14,0)</f>
        <v>0</v>
      </c>
      <c r="V37" s="848">
        <f>IF(AND(F37&gt;='Major Assumption Key'!$B$4,F37&lt;='Major Assumption Key'!$B$6),SUM(O37:U37),0)</f>
        <v>0</v>
      </c>
      <c r="W37" s="37">
        <f t="shared" si="5"/>
        <v>0</v>
      </c>
      <c r="X37" s="38">
        <f>W37/(1+'Major Assumption Key'!$B$8)^($F37-'Major Assumption Key'!$B$7)</f>
        <v>0</v>
      </c>
      <c r="Y37" s="290"/>
      <c r="Z37" s="784">
        <f t="shared" si="6"/>
        <v>0</v>
      </c>
      <c r="AA37" s="848">
        <f t="shared" si="7"/>
        <v>0</v>
      </c>
      <c r="AB37" s="37">
        <f t="shared" si="8"/>
        <v>0</v>
      </c>
      <c r="AC37" s="38">
        <f t="shared" si="9"/>
        <v>0</v>
      </c>
    </row>
    <row r="38" spans="1:29" ht="19.95" customHeight="1">
      <c r="F38" s="772">
        <f>'Major Assumption Key'!A50</f>
        <v>2051</v>
      </c>
      <c r="G38" s="40">
        <f>IF(AND($F38&gt;=MIN($C$28),$F38&lt;=MAX($D$28)),SUMPRODUCT('BCA Guide - Parameter Values'!$C$6:$C$11,'Road Safety CRTMeasure'!$G$7:$G$12)+'Road Safety CRTMeasure'!$G$6*'BCA Guide - Parameter Values'!$C$14,0)</f>
        <v>0</v>
      </c>
      <c r="H38" s="40">
        <f>IF(AND($F38&gt;=MIN($C$29),$F38&lt;=MAX($D$29)),SUMPRODUCT('BCA Guide - Parameter Values'!$C$6:$C$11,'Road Safety CRTMeasure'!$G$19:$G$24)+'Road Safety CRTMeasure'!$G$18*'BCA Guide - Parameter Values'!$C$14,0)</f>
        <v>0</v>
      </c>
      <c r="I38" s="40">
        <f>IF(AND($F38&gt;=MIN($C$30),$F38&lt;=MAX($D$30)),SUMPRODUCT('BCA Guide - Parameter Values'!$C$6:$C$11,'Road Safety CRTMeasure'!$G$31:$G$36)+'Road Safety CRTMeasure'!$G$30*'BCA Guide - Parameter Values'!$C$14,0)</f>
        <v>0</v>
      </c>
      <c r="J38" s="40">
        <f>IF(AND($F38&gt;=MIN($C$31),$F38&lt;=MAX($D$31)),SUMPRODUCT('BCA Guide - Parameter Values'!$C$6:$C$11,'Road Safety CRTMeasure'!$G$43:$G$48)+'Road Safety CRTMeasure'!$G$42*'BCA Guide - Parameter Values'!$C$14,0)</f>
        <v>0</v>
      </c>
      <c r="K38" s="40">
        <f>IF(AND($F38&gt;=MIN($C$32),$F38&lt;=MAX($D$32)),SUMPRODUCT('BCA Guide - Parameter Values'!$C$6:$C$11,'Road Safety CRTMeasure'!$G$55:$G$60)+'Road Safety CRTMeasure'!$G$54*'BCA Guide - Parameter Values'!$C$14,0)</f>
        <v>0</v>
      </c>
      <c r="L38" s="40">
        <f>IF(AND($F38&gt;=MIN($C$33),$F38&lt;=MAX($D$33)),SUMPRODUCT('BCA Guide - Parameter Values'!$C$6:$C$11,'Road Safety CRTMeasure'!$G$67:$G$72)+'Road Safety CRTMeasure'!$G$66*'BCA Guide - Parameter Values'!$C$14,0)</f>
        <v>0</v>
      </c>
      <c r="M38" s="40">
        <f>IF(AND($F38&gt;=MIN($C$34),$F38&lt;=MAX($D$34)),SUMPRODUCT('BCA Guide - Parameter Values'!$C$6:$C$11,'Road Safety CRTMeasure'!$G$79:$G$84)+'Road Safety CRTMeasure'!$G$78*'BCA Guide - Parameter Values'!$C$14,0)</f>
        <v>0</v>
      </c>
      <c r="N38" s="784">
        <f>IF(AND(F38&gt;='Major Assumption Key'!$B$4,F38&lt;='Major Assumption Key'!$B$6),SUM(G38:M38),0)</f>
        <v>0</v>
      </c>
      <c r="O38" s="40">
        <f>IF(AND($F38&gt;=$C$28,$F38&lt;=$D$28),SUMPRODUCT('BCA Guide - Parameter Values'!$C$6:$C$11,'Road Safety CRTMeasure'!$H$7:$H$12)+'Road Safety CRTMeasure'!$H$6*'BCA Guide - Parameter Values'!$C$14,0)</f>
        <v>0</v>
      </c>
      <c r="P38" s="298">
        <f>IF(AND($F38&gt;=MIN($C$29),$F38&lt;=MAX($D$29)),SUMPRODUCT('BCA Guide - Parameter Values'!$C$6:$C$11,'Road Safety CRTMeasure'!$H$19:$H$24)+'Road Safety CRTMeasure'!$H$18*'BCA Guide - Parameter Values'!$C$14,0)</f>
        <v>0</v>
      </c>
      <c r="Q38" s="298">
        <f>IF(AND($F38&gt;=MIN($C$30),$F38&lt;=MAX($D$30)),SUMPRODUCT('BCA Guide - Parameter Values'!$C$6:$C$11,'Road Safety CRTMeasure'!$H$31:$H$36)+'Road Safety CRTMeasure'!$H$30*'BCA Guide - Parameter Values'!$C$14,0)</f>
        <v>0</v>
      </c>
      <c r="R38" s="298">
        <f>IF(AND($F38&gt;=MIN($C$31),$F38&lt;=MAX($D$31)),SUMPRODUCT('BCA Guide - Parameter Values'!$C$6:$C$11,'Road Safety CRTMeasure'!$H$43:$H$48)+'Road Safety CRTMeasure'!$H$42*'BCA Guide - Parameter Values'!$C$14,0)</f>
        <v>0</v>
      </c>
      <c r="S38" s="298">
        <f>IF(AND($F38&gt;=MIN($C$32),$F38&lt;=MAX($D$32)),SUMPRODUCT('BCA Guide - Parameter Values'!$C$6:$C$11,'Road Safety CRTMeasure'!$H$55:$H$60)+'Road Safety CRTMeasure'!$H$54*'BCA Guide - Parameter Values'!$C$14,0)</f>
        <v>0</v>
      </c>
      <c r="T38" s="298">
        <f>IF(AND($F38&gt;=MIN($C$33),$F38&lt;=MAX($D$33)),SUMPRODUCT('BCA Guide - Parameter Values'!$C$6:$C$11,'Road Safety CRTMeasure'!$H$67:$H$72)+'Road Safety CRTMeasure'!$H$66*'BCA Guide - Parameter Values'!$C$14,0)</f>
        <v>0</v>
      </c>
      <c r="U38" s="298">
        <f>IF(AND($F38&gt;=MIN($C$34),$F38&lt;=MAX($D$34)),SUMPRODUCT('BCA Guide - Parameter Values'!$C$6:$C$11,'Road Safety CRTMeasure'!$H$79:$H$84)+'Road Safety CRTMeasure'!$H$78*'BCA Guide - Parameter Values'!$C$14,0)</f>
        <v>0</v>
      </c>
      <c r="V38" s="848">
        <f>IF(AND(F38&gt;='Major Assumption Key'!$B$4,F38&lt;='Major Assumption Key'!$B$6),SUM(O38:U38),0)</f>
        <v>0</v>
      </c>
      <c r="W38" s="37">
        <f t="shared" si="5"/>
        <v>0</v>
      </c>
      <c r="X38" s="38">
        <f>W38/(1+'Major Assumption Key'!$B$8)^($F38-'Major Assumption Key'!$B$7)</f>
        <v>0</v>
      </c>
      <c r="Y38" s="290"/>
      <c r="Z38" s="784">
        <f t="shared" si="6"/>
        <v>0</v>
      </c>
      <c r="AA38" s="848">
        <f t="shared" si="7"/>
        <v>0</v>
      </c>
      <c r="AB38" s="37">
        <f t="shared" si="8"/>
        <v>0</v>
      </c>
      <c r="AC38" s="38">
        <f t="shared" si="9"/>
        <v>0</v>
      </c>
    </row>
    <row r="39" spans="1:29" ht="19.95" customHeight="1">
      <c r="F39" s="772">
        <f>'Major Assumption Key'!A51</f>
        <v>2052</v>
      </c>
      <c r="G39" s="40">
        <f>IF(AND($F39&gt;=MIN($C$28),$F39&lt;=MAX($D$28)),SUMPRODUCT('BCA Guide - Parameter Values'!$C$6:$C$11,'Road Safety CRTMeasure'!$G$7:$G$12)+'Road Safety CRTMeasure'!$G$6*'BCA Guide - Parameter Values'!$C$14,0)</f>
        <v>0</v>
      </c>
      <c r="H39" s="40">
        <f>IF(AND($F39&gt;=MIN($C$29),$F39&lt;=MAX($D$29)),SUMPRODUCT('BCA Guide - Parameter Values'!$C$6:$C$11,'Road Safety CRTMeasure'!$G$19:$G$24)+'Road Safety CRTMeasure'!$G$18*'BCA Guide - Parameter Values'!$C$14,0)</f>
        <v>0</v>
      </c>
      <c r="I39" s="40">
        <f>IF(AND($F39&gt;=MIN($C$30),$F39&lt;=MAX($D$30)),SUMPRODUCT('BCA Guide - Parameter Values'!$C$6:$C$11,'Road Safety CRTMeasure'!$G$31:$G$36)+'Road Safety CRTMeasure'!$G$30*'BCA Guide - Parameter Values'!$C$14,0)</f>
        <v>0</v>
      </c>
      <c r="J39" s="40">
        <f>IF(AND($F39&gt;=MIN($C$31),$F39&lt;=MAX($D$31)),SUMPRODUCT('BCA Guide - Parameter Values'!$C$6:$C$11,'Road Safety CRTMeasure'!$G$43:$G$48)+'Road Safety CRTMeasure'!$G$42*'BCA Guide - Parameter Values'!$C$14,0)</f>
        <v>0</v>
      </c>
      <c r="K39" s="40">
        <f>IF(AND($F39&gt;=MIN($C$32),$F39&lt;=MAX($D$32)),SUMPRODUCT('BCA Guide - Parameter Values'!$C$6:$C$11,'Road Safety CRTMeasure'!$G$55:$G$60)+'Road Safety CRTMeasure'!$G$54*'BCA Guide - Parameter Values'!$C$14,0)</f>
        <v>0</v>
      </c>
      <c r="L39" s="40">
        <f>IF(AND($F39&gt;=MIN($C$33),$F39&lt;=MAX($D$33)),SUMPRODUCT('BCA Guide - Parameter Values'!$C$6:$C$11,'Road Safety CRTMeasure'!$G$67:$G$72)+'Road Safety CRTMeasure'!$G$66*'BCA Guide - Parameter Values'!$C$14,0)</f>
        <v>0</v>
      </c>
      <c r="M39" s="40">
        <f>IF(AND($F39&gt;=MIN($C$34),$F39&lt;=MAX($D$34)),SUMPRODUCT('BCA Guide - Parameter Values'!$C$6:$C$11,'Road Safety CRTMeasure'!$G$79:$G$84)+'Road Safety CRTMeasure'!$G$78*'BCA Guide - Parameter Values'!$C$14,0)</f>
        <v>0</v>
      </c>
      <c r="N39" s="784">
        <f>IF(AND(F39&gt;='Major Assumption Key'!$B$4,F39&lt;='Major Assumption Key'!$B$6),SUM(G39:M39),0)</f>
        <v>0</v>
      </c>
      <c r="O39" s="40">
        <f>IF(AND($F39&gt;=$C$28,$F39&lt;=$D$28),SUMPRODUCT('BCA Guide - Parameter Values'!$C$6:$C$11,'Road Safety CRTMeasure'!$H$7:$H$12)+'Road Safety CRTMeasure'!$H$6*'BCA Guide - Parameter Values'!$C$14,0)</f>
        <v>0</v>
      </c>
      <c r="P39" s="298">
        <f>IF(AND($F39&gt;=MIN($C$29),$F39&lt;=MAX($D$29)),SUMPRODUCT('BCA Guide - Parameter Values'!$C$6:$C$11,'Road Safety CRTMeasure'!$H$19:$H$24)+'Road Safety CRTMeasure'!$H$18*'BCA Guide - Parameter Values'!$C$14,0)</f>
        <v>0</v>
      </c>
      <c r="Q39" s="298">
        <f>IF(AND($F39&gt;=MIN($C$30),$F39&lt;=MAX($D$30)),SUMPRODUCT('BCA Guide - Parameter Values'!$C$6:$C$11,'Road Safety CRTMeasure'!$H$31:$H$36)+'Road Safety CRTMeasure'!$H$30*'BCA Guide - Parameter Values'!$C$14,0)</f>
        <v>0</v>
      </c>
      <c r="R39" s="298">
        <f>IF(AND($F39&gt;=MIN($C$31),$F39&lt;=MAX($D$31)),SUMPRODUCT('BCA Guide - Parameter Values'!$C$6:$C$11,'Road Safety CRTMeasure'!$H$43:$H$48)+'Road Safety CRTMeasure'!$H$42*'BCA Guide - Parameter Values'!$C$14,0)</f>
        <v>0</v>
      </c>
      <c r="S39" s="298">
        <f>IF(AND($F39&gt;=MIN($C$32),$F39&lt;=MAX($D$32)),SUMPRODUCT('BCA Guide - Parameter Values'!$C$6:$C$11,'Road Safety CRTMeasure'!$H$55:$H$60)+'Road Safety CRTMeasure'!$H$54*'BCA Guide - Parameter Values'!$C$14,0)</f>
        <v>0</v>
      </c>
      <c r="T39" s="298">
        <f>IF(AND($F39&gt;=MIN($C$33),$F39&lt;=MAX($D$33)),SUMPRODUCT('BCA Guide - Parameter Values'!$C$6:$C$11,'Road Safety CRTMeasure'!$H$67:$H$72)+'Road Safety CRTMeasure'!$H$66*'BCA Guide - Parameter Values'!$C$14,0)</f>
        <v>0</v>
      </c>
      <c r="U39" s="298">
        <f>IF(AND($F39&gt;=MIN($C$34),$F39&lt;=MAX($D$34)),SUMPRODUCT('BCA Guide - Parameter Values'!$C$6:$C$11,'Road Safety CRTMeasure'!$H$79:$H$84)+'Road Safety CRTMeasure'!$H$78*'BCA Guide - Parameter Values'!$C$14,0)</f>
        <v>0</v>
      </c>
      <c r="V39" s="848">
        <f>IF(AND(F39&gt;='Major Assumption Key'!$B$4,F39&lt;='Major Assumption Key'!$B$6),SUM(O39:U39),0)</f>
        <v>0</v>
      </c>
      <c r="W39" s="37">
        <f t="shared" si="5"/>
        <v>0</v>
      </c>
      <c r="X39" s="38">
        <f>W39/(1+'Major Assumption Key'!$B$8)^($F39-'Major Assumption Key'!$B$7)</f>
        <v>0</v>
      </c>
      <c r="Y39" s="290"/>
      <c r="Z39" s="784">
        <f t="shared" si="6"/>
        <v>0</v>
      </c>
      <c r="AA39" s="848">
        <f t="shared" si="7"/>
        <v>0</v>
      </c>
      <c r="AB39" s="37">
        <f t="shared" si="8"/>
        <v>0</v>
      </c>
      <c r="AC39" s="38">
        <f t="shared" si="9"/>
        <v>0</v>
      </c>
    </row>
    <row r="40" spans="1:29" ht="19.95" customHeight="1">
      <c r="F40" s="772">
        <f>'Major Assumption Key'!A52</f>
        <v>2053</v>
      </c>
      <c r="G40" s="40">
        <f>IF(AND($F40&gt;=MIN($C$28),$F40&lt;=MAX($D$28)),SUMPRODUCT('BCA Guide - Parameter Values'!$C$6:$C$11,'Road Safety CRTMeasure'!$G$7:$G$12)+'Road Safety CRTMeasure'!$G$6*'BCA Guide - Parameter Values'!$C$14,0)</f>
        <v>0</v>
      </c>
      <c r="H40" s="40">
        <f>IF(AND($F40&gt;=MIN($C$29),$F40&lt;=MAX($D$29)),SUMPRODUCT('BCA Guide - Parameter Values'!$C$6:$C$11,'Road Safety CRTMeasure'!$G$19:$G$24)+'Road Safety CRTMeasure'!$G$18*'BCA Guide - Parameter Values'!$C$14,0)</f>
        <v>0</v>
      </c>
      <c r="I40" s="40">
        <f>IF(AND($F40&gt;=MIN($C$30),$F40&lt;=MAX($D$30)),SUMPRODUCT('BCA Guide - Parameter Values'!$C$6:$C$11,'Road Safety CRTMeasure'!$G$31:$G$36)+'Road Safety CRTMeasure'!$G$30*'BCA Guide - Parameter Values'!$C$14,0)</f>
        <v>0</v>
      </c>
      <c r="J40" s="40">
        <f>IF(AND($F40&gt;=MIN($C$31),$F40&lt;=MAX($D$31)),SUMPRODUCT('BCA Guide - Parameter Values'!$C$6:$C$11,'Road Safety CRTMeasure'!$G$43:$G$48)+'Road Safety CRTMeasure'!$G$42*'BCA Guide - Parameter Values'!$C$14,0)</f>
        <v>0</v>
      </c>
      <c r="K40" s="40">
        <f>IF(AND($F40&gt;=MIN($C$32),$F40&lt;=MAX($D$32)),SUMPRODUCT('BCA Guide - Parameter Values'!$C$6:$C$11,'Road Safety CRTMeasure'!$G$55:$G$60)+'Road Safety CRTMeasure'!$G$54*'BCA Guide - Parameter Values'!$C$14,0)</f>
        <v>0</v>
      </c>
      <c r="L40" s="40">
        <f>IF(AND($F40&gt;=MIN($C$33),$F40&lt;=MAX($D$33)),SUMPRODUCT('BCA Guide - Parameter Values'!$C$6:$C$11,'Road Safety CRTMeasure'!$G$67:$G$72)+'Road Safety CRTMeasure'!$G$66*'BCA Guide - Parameter Values'!$C$14,0)</f>
        <v>0</v>
      </c>
      <c r="M40" s="40">
        <f>IF(AND($F40&gt;=MIN($C$34),$F40&lt;=MAX($D$34)),SUMPRODUCT('BCA Guide - Parameter Values'!$C$6:$C$11,'Road Safety CRTMeasure'!$G$79:$G$84)+'Road Safety CRTMeasure'!$G$78*'BCA Guide - Parameter Values'!$C$14,0)</f>
        <v>0</v>
      </c>
      <c r="N40" s="784">
        <f>IF(AND(F40&gt;='Major Assumption Key'!$B$4,F40&lt;='Major Assumption Key'!$B$6),SUM(G40:M40),0)</f>
        <v>0</v>
      </c>
      <c r="O40" s="40">
        <f>IF(AND($F40&gt;=$C$28,$F40&lt;=$D$28),SUMPRODUCT('BCA Guide - Parameter Values'!$C$6:$C$11,'Road Safety CRTMeasure'!$H$7:$H$12)+'Road Safety CRTMeasure'!$H$6*'BCA Guide - Parameter Values'!$C$14,0)</f>
        <v>0</v>
      </c>
      <c r="P40" s="298">
        <f>IF(AND($F40&gt;=MIN($C$29),$F40&lt;=MAX($D$29)),SUMPRODUCT('BCA Guide - Parameter Values'!$C$6:$C$11,'Road Safety CRTMeasure'!$H$19:$H$24)+'Road Safety CRTMeasure'!$H$18*'BCA Guide - Parameter Values'!$C$14,0)</f>
        <v>0</v>
      </c>
      <c r="Q40" s="298">
        <f>IF(AND($F40&gt;=MIN($C$30),$F40&lt;=MAX($D$30)),SUMPRODUCT('BCA Guide - Parameter Values'!$C$6:$C$11,'Road Safety CRTMeasure'!$H$31:$H$36)+'Road Safety CRTMeasure'!$H$30*'BCA Guide - Parameter Values'!$C$14,0)</f>
        <v>0</v>
      </c>
      <c r="R40" s="298">
        <f>IF(AND($F40&gt;=MIN($C$31),$F40&lt;=MAX($D$31)),SUMPRODUCT('BCA Guide - Parameter Values'!$C$6:$C$11,'Road Safety CRTMeasure'!$H$43:$H$48)+'Road Safety CRTMeasure'!$H$42*'BCA Guide - Parameter Values'!$C$14,0)</f>
        <v>0</v>
      </c>
      <c r="S40" s="298">
        <f>IF(AND($F40&gt;=MIN($C$32),$F40&lt;=MAX($D$32)),SUMPRODUCT('BCA Guide - Parameter Values'!$C$6:$C$11,'Road Safety CRTMeasure'!$H$55:$H$60)+'Road Safety CRTMeasure'!$H$54*'BCA Guide - Parameter Values'!$C$14,0)</f>
        <v>0</v>
      </c>
      <c r="T40" s="298">
        <f>IF(AND($F40&gt;=MIN($C$33),$F40&lt;=MAX($D$33)),SUMPRODUCT('BCA Guide - Parameter Values'!$C$6:$C$11,'Road Safety CRTMeasure'!$H$67:$H$72)+'Road Safety CRTMeasure'!$H$66*'BCA Guide - Parameter Values'!$C$14,0)</f>
        <v>0</v>
      </c>
      <c r="U40" s="298">
        <f>IF(AND($F40&gt;=MIN($C$34),$F40&lt;=MAX($D$34)),SUMPRODUCT('BCA Guide - Parameter Values'!$C$6:$C$11,'Road Safety CRTMeasure'!$H$79:$H$84)+'Road Safety CRTMeasure'!$H$78*'BCA Guide - Parameter Values'!$C$14,0)</f>
        <v>0</v>
      </c>
      <c r="V40" s="848">
        <f>IF(AND(F40&gt;='Major Assumption Key'!$B$4,F40&lt;='Major Assumption Key'!$B$6),SUM(O40:U40),0)</f>
        <v>0</v>
      </c>
      <c r="W40" s="37">
        <f t="shared" si="5"/>
        <v>0</v>
      </c>
      <c r="X40" s="38">
        <f>W40/(1+'Major Assumption Key'!$B$8)^($F40-'Major Assumption Key'!$B$7)</f>
        <v>0</v>
      </c>
      <c r="Y40" s="290"/>
      <c r="Z40" s="784">
        <f t="shared" si="6"/>
        <v>0</v>
      </c>
      <c r="AA40" s="848">
        <f t="shared" si="7"/>
        <v>0</v>
      </c>
      <c r="AB40" s="37">
        <f t="shared" si="8"/>
        <v>0</v>
      </c>
      <c r="AC40" s="38">
        <f t="shared" si="9"/>
        <v>0</v>
      </c>
    </row>
    <row r="41" spans="1:29" ht="19.95" customHeight="1">
      <c r="F41" s="772">
        <f>'Major Assumption Key'!A53</f>
        <v>2054</v>
      </c>
      <c r="G41" s="40">
        <f>IF(AND($F41&gt;=MIN($C$28),$F41&lt;=MAX($D$28)),SUMPRODUCT('BCA Guide - Parameter Values'!$C$6:$C$11,'Road Safety CRTMeasure'!$G$7:$G$12)+'Road Safety CRTMeasure'!$G$6*'BCA Guide - Parameter Values'!$C$14,0)</f>
        <v>0</v>
      </c>
      <c r="H41" s="40">
        <f>IF(AND($F41&gt;=MIN($C$29),$F41&lt;=MAX($D$29)),SUMPRODUCT('BCA Guide - Parameter Values'!$C$6:$C$11,'Road Safety CRTMeasure'!$G$19:$G$24)+'Road Safety CRTMeasure'!$G$18*'BCA Guide - Parameter Values'!$C$14,0)</f>
        <v>0</v>
      </c>
      <c r="I41" s="40">
        <f>IF(AND($F41&gt;=MIN($C$30),$F41&lt;=MAX($D$30)),SUMPRODUCT('BCA Guide - Parameter Values'!$C$6:$C$11,'Road Safety CRTMeasure'!$G$31:$G$36)+'Road Safety CRTMeasure'!$G$30*'BCA Guide - Parameter Values'!$C$14,0)</f>
        <v>0</v>
      </c>
      <c r="J41" s="40">
        <f>IF(AND($F41&gt;=MIN($C$31),$F41&lt;=MAX($D$31)),SUMPRODUCT('BCA Guide - Parameter Values'!$C$6:$C$11,'Road Safety CRTMeasure'!$G$43:$G$48)+'Road Safety CRTMeasure'!$G$42*'BCA Guide - Parameter Values'!$C$14,0)</f>
        <v>0</v>
      </c>
      <c r="K41" s="40">
        <f>IF(AND($F41&gt;=MIN($C$32),$F41&lt;=MAX($D$32)),SUMPRODUCT('BCA Guide - Parameter Values'!$C$6:$C$11,'Road Safety CRTMeasure'!$G$55:$G$60)+'Road Safety CRTMeasure'!$G$54*'BCA Guide - Parameter Values'!$C$14,0)</f>
        <v>0</v>
      </c>
      <c r="L41" s="40">
        <f>IF(AND($F41&gt;=MIN($C$33),$F41&lt;=MAX($D$33)),SUMPRODUCT('BCA Guide - Parameter Values'!$C$6:$C$11,'Road Safety CRTMeasure'!$G$67:$G$72)+'Road Safety CRTMeasure'!$G$66*'BCA Guide - Parameter Values'!$C$14,0)</f>
        <v>0</v>
      </c>
      <c r="M41" s="40">
        <f>IF(AND($F41&gt;=MIN($C$34),$F41&lt;=MAX($D$34)),SUMPRODUCT('BCA Guide - Parameter Values'!$C$6:$C$11,'Road Safety CRTMeasure'!$G$79:$G$84)+'Road Safety CRTMeasure'!$G$78*'BCA Guide - Parameter Values'!$C$14,0)</f>
        <v>0</v>
      </c>
      <c r="N41" s="784">
        <f>IF(AND(F41&gt;='Major Assumption Key'!$B$4,F41&lt;='Major Assumption Key'!$B$6),SUM(G41:M41),0)</f>
        <v>0</v>
      </c>
      <c r="O41" s="40">
        <f>IF(AND($F41&gt;=$C$28,$F41&lt;=$D$28),SUMPRODUCT('BCA Guide - Parameter Values'!$C$6:$C$11,'Road Safety CRTMeasure'!$H$7:$H$12)+'Road Safety CRTMeasure'!$H$6*'BCA Guide - Parameter Values'!$C$14,0)</f>
        <v>0</v>
      </c>
      <c r="P41" s="298">
        <f>IF(AND($F41&gt;=MIN($C$29),$F41&lt;=MAX($D$29)),SUMPRODUCT('BCA Guide - Parameter Values'!$C$6:$C$11,'Road Safety CRTMeasure'!$H$19:$H$24)+'Road Safety CRTMeasure'!$H$18*'BCA Guide - Parameter Values'!$C$14,0)</f>
        <v>0</v>
      </c>
      <c r="Q41" s="298">
        <f>IF(AND($F41&gt;=MIN($C$30),$F41&lt;=MAX($D$30)),SUMPRODUCT('BCA Guide - Parameter Values'!$C$6:$C$11,'Road Safety CRTMeasure'!$H$31:$H$36)+'Road Safety CRTMeasure'!$H$30*'BCA Guide - Parameter Values'!$C$14,0)</f>
        <v>0</v>
      </c>
      <c r="R41" s="298">
        <f>IF(AND($F41&gt;=MIN($C$31),$F41&lt;=MAX($D$31)),SUMPRODUCT('BCA Guide - Parameter Values'!$C$6:$C$11,'Road Safety CRTMeasure'!$H$43:$H$48)+'Road Safety CRTMeasure'!$H$42*'BCA Guide - Parameter Values'!$C$14,0)</f>
        <v>0</v>
      </c>
      <c r="S41" s="298">
        <f>IF(AND($F41&gt;=MIN($C$32),$F41&lt;=MAX($D$32)),SUMPRODUCT('BCA Guide - Parameter Values'!$C$6:$C$11,'Road Safety CRTMeasure'!$H$55:$H$60)+'Road Safety CRTMeasure'!$H$54*'BCA Guide - Parameter Values'!$C$14,0)</f>
        <v>0</v>
      </c>
      <c r="T41" s="298">
        <f>IF(AND($F41&gt;=MIN($C$33),$F41&lt;=MAX($D$33)),SUMPRODUCT('BCA Guide - Parameter Values'!$C$6:$C$11,'Road Safety CRTMeasure'!$H$67:$H$72)+'Road Safety CRTMeasure'!$H$66*'BCA Guide - Parameter Values'!$C$14,0)</f>
        <v>0</v>
      </c>
      <c r="U41" s="298">
        <f>IF(AND($F41&gt;=MIN($C$34),$F41&lt;=MAX($D$34)),SUMPRODUCT('BCA Guide - Parameter Values'!$C$6:$C$11,'Road Safety CRTMeasure'!$H$79:$H$84)+'Road Safety CRTMeasure'!$H$78*'BCA Guide - Parameter Values'!$C$14,0)</f>
        <v>0</v>
      </c>
      <c r="V41" s="848">
        <f>IF(AND(F41&gt;='Major Assumption Key'!$B$4,F41&lt;='Major Assumption Key'!$B$6),SUM(O41:U41),0)</f>
        <v>0</v>
      </c>
      <c r="W41" s="37">
        <f t="shared" si="5"/>
        <v>0</v>
      </c>
      <c r="X41" s="38">
        <f>W41/(1+'Major Assumption Key'!$B$8)^($F41-'Major Assumption Key'!$B$7)</f>
        <v>0</v>
      </c>
      <c r="Y41" s="290"/>
      <c r="Z41" s="784">
        <f t="shared" si="6"/>
        <v>0</v>
      </c>
      <c r="AA41" s="848">
        <f t="shared" si="7"/>
        <v>0</v>
      </c>
      <c r="AB41" s="37">
        <f t="shared" si="8"/>
        <v>0</v>
      </c>
      <c r="AC41" s="38">
        <f t="shared" si="9"/>
        <v>0</v>
      </c>
    </row>
    <row r="42" spans="1:29" ht="19.95" customHeight="1">
      <c r="F42" s="772">
        <f>'Major Assumption Key'!A54</f>
        <v>2055</v>
      </c>
      <c r="G42" s="40">
        <f>IF(AND($F42&gt;=MIN($C$28),$F42&lt;=MAX($D$28)),SUMPRODUCT('BCA Guide - Parameter Values'!$C$6:$C$11,'Road Safety CRTMeasure'!$G$7:$G$12)+'Road Safety CRTMeasure'!$G$6*'BCA Guide - Parameter Values'!$C$14,0)</f>
        <v>0</v>
      </c>
      <c r="H42" s="40">
        <f>IF(AND($F42&gt;=MIN($C$29),$F42&lt;=MAX($D$29)),SUMPRODUCT('BCA Guide - Parameter Values'!$C$6:$C$11,'Road Safety CRTMeasure'!$G$19:$G$24)+'Road Safety CRTMeasure'!$G$18*'BCA Guide - Parameter Values'!$C$14,0)</f>
        <v>0</v>
      </c>
      <c r="I42" s="40">
        <f>IF(AND($F42&gt;=MIN($C$30),$F42&lt;=MAX($D$30)),SUMPRODUCT('BCA Guide - Parameter Values'!$C$6:$C$11,'Road Safety CRTMeasure'!$G$31:$G$36)+'Road Safety CRTMeasure'!$G$30*'BCA Guide - Parameter Values'!$C$14,0)</f>
        <v>0</v>
      </c>
      <c r="J42" s="40">
        <f>IF(AND($F42&gt;=MIN($C$31),$F42&lt;=MAX($D$31)),SUMPRODUCT('BCA Guide - Parameter Values'!$C$6:$C$11,'Road Safety CRTMeasure'!$G$43:$G$48)+'Road Safety CRTMeasure'!$G$42*'BCA Guide - Parameter Values'!$C$14,0)</f>
        <v>0</v>
      </c>
      <c r="K42" s="40">
        <f>IF(AND($F42&gt;=MIN($C$32),$F42&lt;=MAX($D$32)),SUMPRODUCT('BCA Guide - Parameter Values'!$C$6:$C$11,'Road Safety CRTMeasure'!$G$55:$G$60)+'Road Safety CRTMeasure'!$G$54*'BCA Guide - Parameter Values'!$C$14,0)</f>
        <v>0</v>
      </c>
      <c r="L42" s="40">
        <f>IF(AND($F42&gt;=MIN($C$33),$F42&lt;=MAX($D$33)),SUMPRODUCT('BCA Guide - Parameter Values'!$C$6:$C$11,'Road Safety CRTMeasure'!$G$67:$G$72)+'Road Safety CRTMeasure'!$G$66*'BCA Guide - Parameter Values'!$C$14,0)</f>
        <v>0</v>
      </c>
      <c r="M42" s="40">
        <f>IF(AND($F42&gt;=MIN($C$34),$F42&lt;=MAX($D$34)),SUMPRODUCT('BCA Guide - Parameter Values'!$C$6:$C$11,'Road Safety CRTMeasure'!$G$79:$G$84)+'Road Safety CRTMeasure'!$G$78*'BCA Guide - Parameter Values'!$C$14,0)</f>
        <v>0</v>
      </c>
      <c r="N42" s="784">
        <f>IF(AND(F42&gt;='Major Assumption Key'!$B$4,F42&lt;='Major Assumption Key'!$B$6),SUM(G42:M42),0)</f>
        <v>0</v>
      </c>
      <c r="O42" s="40">
        <f>IF(AND($F42&gt;=$C$28,$F42&lt;=$D$28),SUMPRODUCT('BCA Guide - Parameter Values'!$C$6:$C$11,'Road Safety CRTMeasure'!$H$7:$H$12)+'Road Safety CRTMeasure'!$H$6*'BCA Guide - Parameter Values'!$C$14,0)</f>
        <v>0</v>
      </c>
      <c r="P42" s="298">
        <f>IF(AND($F42&gt;=MIN($C$29),$F42&lt;=MAX($D$29)),SUMPRODUCT('BCA Guide - Parameter Values'!$C$6:$C$11,'Road Safety CRTMeasure'!$H$19:$H$24)+'Road Safety CRTMeasure'!$H$18*'BCA Guide - Parameter Values'!$C$14,0)</f>
        <v>0</v>
      </c>
      <c r="Q42" s="298">
        <f>IF(AND($F42&gt;=MIN($C$30),$F42&lt;=MAX($D$30)),SUMPRODUCT('BCA Guide - Parameter Values'!$C$6:$C$11,'Road Safety CRTMeasure'!$H$31:$H$36)+'Road Safety CRTMeasure'!$H$30*'BCA Guide - Parameter Values'!$C$14,0)</f>
        <v>0</v>
      </c>
      <c r="R42" s="298">
        <f>IF(AND($F42&gt;=MIN($C$31),$F42&lt;=MAX($D$31)),SUMPRODUCT('BCA Guide - Parameter Values'!$C$6:$C$11,'Road Safety CRTMeasure'!$H$43:$H$48)+'Road Safety CRTMeasure'!$H$42*'BCA Guide - Parameter Values'!$C$14,0)</f>
        <v>0</v>
      </c>
      <c r="S42" s="298">
        <f>IF(AND($F42&gt;=MIN($C$32),$F42&lt;=MAX($D$32)),SUMPRODUCT('BCA Guide - Parameter Values'!$C$6:$C$11,'Road Safety CRTMeasure'!$H$55:$H$60)+'Road Safety CRTMeasure'!$H$54*'BCA Guide - Parameter Values'!$C$14,0)</f>
        <v>0</v>
      </c>
      <c r="T42" s="298">
        <f>IF(AND($F42&gt;=MIN($C$33),$F42&lt;=MAX($D$33)),SUMPRODUCT('BCA Guide - Parameter Values'!$C$6:$C$11,'Road Safety CRTMeasure'!$H$67:$H$72)+'Road Safety CRTMeasure'!$H$66*'BCA Guide - Parameter Values'!$C$14,0)</f>
        <v>0</v>
      </c>
      <c r="U42" s="298">
        <f>IF(AND($F42&gt;=MIN($C$34),$F42&lt;=MAX($D$34)),SUMPRODUCT('BCA Guide - Parameter Values'!$C$6:$C$11,'Road Safety CRTMeasure'!$H$79:$H$84)+'Road Safety CRTMeasure'!$H$78*'BCA Guide - Parameter Values'!$C$14,0)</f>
        <v>0</v>
      </c>
      <c r="V42" s="848">
        <f>IF(AND(F42&gt;='Major Assumption Key'!$B$4,F42&lt;='Major Assumption Key'!$B$6),SUM(O42:U42),0)</f>
        <v>0</v>
      </c>
      <c r="W42" s="37">
        <f t="shared" si="5"/>
        <v>0</v>
      </c>
      <c r="X42" s="38">
        <f>W42/(1+'Major Assumption Key'!$B$8)^($F42-'Major Assumption Key'!$B$7)</f>
        <v>0</v>
      </c>
      <c r="Y42" s="290"/>
      <c r="Z42" s="784">
        <f t="shared" si="6"/>
        <v>0</v>
      </c>
      <c r="AA42" s="848">
        <f t="shared" si="7"/>
        <v>0</v>
      </c>
      <c r="AB42" s="37">
        <f t="shared" si="8"/>
        <v>0</v>
      </c>
      <c r="AC42" s="38">
        <f t="shared" si="9"/>
        <v>0</v>
      </c>
    </row>
    <row r="43" spans="1:29" ht="19.95" customHeight="1">
      <c r="F43" s="772">
        <f>'Major Assumption Key'!A55</f>
        <v>2056</v>
      </c>
      <c r="G43" s="40">
        <f>IF(AND($F43&gt;=MIN($C$28),$F43&lt;=MAX($D$28)),SUMPRODUCT('BCA Guide - Parameter Values'!$C$6:$C$11,'Road Safety CRTMeasure'!$G$7:$G$12)+'Road Safety CRTMeasure'!$G$6*'BCA Guide - Parameter Values'!$C$14,0)</f>
        <v>0</v>
      </c>
      <c r="H43" s="40">
        <f>IF(AND($F43&gt;=MIN($C$29),$F43&lt;=MAX($D$29)),SUMPRODUCT('BCA Guide - Parameter Values'!$C$6:$C$11,'Road Safety CRTMeasure'!$G$19:$G$24)+'Road Safety CRTMeasure'!$G$18*'BCA Guide - Parameter Values'!$C$14,0)</f>
        <v>0</v>
      </c>
      <c r="I43" s="40">
        <f>IF(AND($F43&gt;=MIN($C$30),$F43&lt;=MAX($D$30)),SUMPRODUCT('BCA Guide - Parameter Values'!$C$6:$C$11,'Road Safety CRTMeasure'!$G$31:$G$36)+'Road Safety CRTMeasure'!$G$30*'BCA Guide - Parameter Values'!$C$14,0)</f>
        <v>0</v>
      </c>
      <c r="J43" s="40">
        <f>IF(AND($F43&gt;=MIN($C$31),$F43&lt;=MAX($D$31)),SUMPRODUCT('BCA Guide - Parameter Values'!$C$6:$C$11,'Road Safety CRTMeasure'!$G$43:$G$48)+'Road Safety CRTMeasure'!$G$42*'BCA Guide - Parameter Values'!$C$14,0)</f>
        <v>0</v>
      </c>
      <c r="K43" s="40">
        <f>IF(AND($F43&gt;=MIN($C$32),$F43&lt;=MAX($D$32)),SUMPRODUCT('BCA Guide - Parameter Values'!$C$6:$C$11,'Road Safety CRTMeasure'!$G$55:$G$60)+'Road Safety CRTMeasure'!$G$54*'BCA Guide - Parameter Values'!$C$14,0)</f>
        <v>0</v>
      </c>
      <c r="L43" s="40">
        <f>IF(AND($F43&gt;=MIN($C$33),$F43&lt;=MAX($D$33)),SUMPRODUCT('BCA Guide - Parameter Values'!$C$6:$C$11,'Road Safety CRTMeasure'!$G$67:$G$72)+'Road Safety CRTMeasure'!$G$66*'BCA Guide - Parameter Values'!$C$14,0)</f>
        <v>0</v>
      </c>
      <c r="M43" s="40">
        <f>IF(AND($F43&gt;=MIN($C$34),$F43&lt;=MAX($D$34)),SUMPRODUCT('BCA Guide - Parameter Values'!$C$6:$C$11,'Road Safety CRTMeasure'!$G$79:$G$84)+'Road Safety CRTMeasure'!$G$78*'BCA Guide - Parameter Values'!$C$14,0)</f>
        <v>0</v>
      </c>
      <c r="N43" s="784">
        <f>IF(AND(F43&gt;='Major Assumption Key'!$B$4,F43&lt;='Major Assumption Key'!$B$6),SUM(G43:M43),0)</f>
        <v>0</v>
      </c>
      <c r="O43" s="40">
        <f>IF(AND($F43&gt;=$C$28,$F43&lt;=$D$28),SUMPRODUCT('BCA Guide - Parameter Values'!$C$6:$C$11,'Road Safety CRTMeasure'!$H$7:$H$12)+'Road Safety CRTMeasure'!$H$6*'BCA Guide - Parameter Values'!$C$14,0)</f>
        <v>0</v>
      </c>
      <c r="P43" s="298">
        <f>IF(AND($F43&gt;=MIN($C$29),$F43&lt;=MAX($D$29)),SUMPRODUCT('BCA Guide - Parameter Values'!$C$6:$C$11,'Road Safety CRTMeasure'!$H$19:$H$24)+'Road Safety CRTMeasure'!$H$18*'BCA Guide - Parameter Values'!$C$14,0)</f>
        <v>0</v>
      </c>
      <c r="Q43" s="298">
        <f>IF(AND($F43&gt;=MIN($C$30),$F43&lt;=MAX($D$30)),SUMPRODUCT('BCA Guide - Parameter Values'!$C$6:$C$11,'Road Safety CRTMeasure'!$H$31:$H$36)+'Road Safety CRTMeasure'!$H$30*'BCA Guide - Parameter Values'!$C$14,0)</f>
        <v>0</v>
      </c>
      <c r="R43" s="298">
        <f>IF(AND($F43&gt;=MIN($C$31),$F43&lt;=MAX($D$31)),SUMPRODUCT('BCA Guide - Parameter Values'!$C$6:$C$11,'Road Safety CRTMeasure'!$H$43:$H$48)+'Road Safety CRTMeasure'!$H$42*'BCA Guide - Parameter Values'!$C$14,0)</f>
        <v>0</v>
      </c>
      <c r="S43" s="298">
        <f>IF(AND($F43&gt;=MIN($C$32),$F43&lt;=MAX($D$32)),SUMPRODUCT('BCA Guide - Parameter Values'!$C$6:$C$11,'Road Safety CRTMeasure'!$H$55:$H$60)+'Road Safety CRTMeasure'!$H$54*'BCA Guide - Parameter Values'!$C$14,0)</f>
        <v>0</v>
      </c>
      <c r="T43" s="298">
        <f>IF(AND($F43&gt;=MIN($C$33),$F43&lt;=MAX($D$33)),SUMPRODUCT('BCA Guide - Parameter Values'!$C$6:$C$11,'Road Safety CRTMeasure'!$H$67:$H$72)+'Road Safety CRTMeasure'!$H$66*'BCA Guide - Parameter Values'!$C$14,0)</f>
        <v>0</v>
      </c>
      <c r="U43" s="298">
        <f>IF(AND($F43&gt;=MIN($C$34),$F43&lt;=MAX($D$34)),SUMPRODUCT('BCA Guide - Parameter Values'!$C$6:$C$11,'Road Safety CRTMeasure'!$H$79:$H$84)+'Road Safety CRTMeasure'!$H$78*'BCA Guide - Parameter Values'!$C$14,0)</f>
        <v>0</v>
      </c>
      <c r="V43" s="848">
        <f>IF(AND(F43&gt;='Major Assumption Key'!$B$4,F43&lt;='Major Assumption Key'!$B$6),SUM(O43:U43),0)</f>
        <v>0</v>
      </c>
      <c r="W43" s="37">
        <f t="shared" si="5"/>
        <v>0</v>
      </c>
      <c r="X43" s="38">
        <f>W43/(1+'Major Assumption Key'!$B$8)^($F43-'Major Assumption Key'!$B$7)</f>
        <v>0</v>
      </c>
      <c r="Y43" s="290"/>
      <c r="Z43" s="784">
        <f t="shared" si="6"/>
        <v>0</v>
      </c>
      <c r="AA43" s="848">
        <f t="shared" si="7"/>
        <v>0</v>
      </c>
      <c r="AB43" s="37">
        <f t="shared" si="8"/>
        <v>0</v>
      </c>
      <c r="AC43" s="38">
        <f t="shared" si="9"/>
        <v>0</v>
      </c>
    </row>
    <row r="44" spans="1:29" ht="19.95" customHeight="1">
      <c r="F44" s="772">
        <f>'Major Assumption Key'!A56</f>
        <v>2057</v>
      </c>
      <c r="G44" s="40">
        <f>IF(AND($F44&gt;=MIN($C$28),$F44&lt;=MAX($D$28)),SUMPRODUCT('BCA Guide - Parameter Values'!$C$6:$C$11,'Road Safety CRTMeasure'!$G$7:$G$12)+'Road Safety CRTMeasure'!$G$6*'BCA Guide - Parameter Values'!$C$14,0)</f>
        <v>0</v>
      </c>
      <c r="H44" s="40">
        <f>IF(AND($F44&gt;=MIN($C$29),$F44&lt;=MAX($D$29)),SUMPRODUCT('BCA Guide - Parameter Values'!$C$6:$C$11,'Road Safety CRTMeasure'!$G$19:$G$24)+'Road Safety CRTMeasure'!$G$18*'BCA Guide - Parameter Values'!$C$14,0)</f>
        <v>0</v>
      </c>
      <c r="I44" s="40">
        <f>IF(AND($F44&gt;=MIN($C$30),$F44&lt;=MAX($D$30)),SUMPRODUCT('BCA Guide - Parameter Values'!$C$6:$C$11,'Road Safety CRTMeasure'!$G$31:$G$36)+'Road Safety CRTMeasure'!$G$30*'BCA Guide - Parameter Values'!$C$14,0)</f>
        <v>0</v>
      </c>
      <c r="J44" s="40">
        <f>IF(AND($F44&gt;=MIN($C$31),$F44&lt;=MAX($D$31)),SUMPRODUCT('BCA Guide - Parameter Values'!$C$6:$C$11,'Road Safety CRTMeasure'!$G$43:$G$48)+'Road Safety CRTMeasure'!$G$42*'BCA Guide - Parameter Values'!$C$14,0)</f>
        <v>0</v>
      </c>
      <c r="K44" s="40">
        <f>IF(AND($F44&gt;=MIN($C$32),$F44&lt;=MAX($D$32)),SUMPRODUCT('BCA Guide - Parameter Values'!$C$6:$C$11,'Road Safety CRTMeasure'!$G$55:$G$60)+'Road Safety CRTMeasure'!$G$54*'BCA Guide - Parameter Values'!$C$14,0)</f>
        <v>0</v>
      </c>
      <c r="L44" s="40">
        <f>IF(AND($F44&gt;=MIN($C$33),$F44&lt;=MAX($D$33)),SUMPRODUCT('BCA Guide - Parameter Values'!$C$6:$C$11,'Road Safety CRTMeasure'!$G$67:$G$72)+'Road Safety CRTMeasure'!$G$66*'BCA Guide - Parameter Values'!$C$14,0)</f>
        <v>0</v>
      </c>
      <c r="M44" s="40">
        <f>IF(AND($F44&gt;=MIN($C$34),$F44&lt;=MAX($D$34)),SUMPRODUCT('BCA Guide - Parameter Values'!$C$6:$C$11,'Road Safety CRTMeasure'!$G$79:$G$84)+'Road Safety CRTMeasure'!$G$78*'BCA Guide - Parameter Values'!$C$14,0)</f>
        <v>0</v>
      </c>
      <c r="N44" s="784">
        <f>IF(AND(F44&gt;='Major Assumption Key'!$B$4,F44&lt;='Major Assumption Key'!$B$6),SUM(G44:M44),0)</f>
        <v>0</v>
      </c>
      <c r="O44" s="40">
        <f>IF(AND($F44&gt;=$C$28,$F44&lt;=$D$28),SUMPRODUCT('BCA Guide - Parameter Values'!$C$6:$C$11,'Road Safety CRTMeasure'!$H$7:$H$12)+'Road Safety CRTMeasure'!$H$6*'BCA Guide - Parameter Values'!$C$14,0)</f>
        <v>0</v>
      </c>
      <c r="P44" s="298">
        <f>IF(AND($F44&gt;=MIN($C$29),$F44&lt;=MAX($D$29)),SUMPRODUCT('BCA Guide - Parameter Values'!$C$6:$C$11,'Road Safety CRTMeasure'!$H$19:$H$24)+'Road Safety CRTMeasure'!$H$18*'BCA Guide - Parameter Values'!$C$14,0)</f>
        <v>0</v>
      </c>
      <c r="Q44" s="298">
        <f>IF(AND($F44&gt;=MIN($C$30),$F44&lt;=MAX($D$30)),SUMPRODUCT('BCA Guide - Parameter Values'!$C$6:$C$11,'Road Safety CRTMeasure'!$H$31:$H$36)+'Road Safety CRTMeasure'!$H$30*'BCA Guide - Parameter Values'!$C$14,0)</f>
        <v>0</v>
      </c>
      <c r="R44" s="298">
        <f>IF(AND($F44&gt;=MIN($C$31),$F44&lt;=MAX($D$31)),SUMPRODUCT('BCA Guide - Parameter Values'!$C$6:$C$11,'Road Safety CRTMeasure'!$H$43:$H$48)+'Road Safety CRTMeasure'!$H$42*'BCA Guide - Parameter Values'!$C$14,0)</f>
        <v>0</v>
      </c>
      <c r="S44" s="298">
        <f>IF(AND($F44&gt;=MIN($C$32),$F44&lt;=MAX($D$32)),SUMPRODUCT('BCA Guide - Parameter Values'!$C$6:$C$11,'Road Safety CRTMeasure'!$H$55:$H$60)+'Road Safety CRTMeasure'!$H$54*'BCA Guide - Parameter Values'!$C$14,0)</f>
        <v>0</v>
      </c>
      <c r="T44" s="298">
        <f>IF(AND($F44&gt;=MIN($C$33),$F44&lt;=MAX($D$33)),SUMPRODUCT('BCA Guide - Parameter Values'!$C$6:$C$11,'Road Safety CRTMeasure'!$H$67:$H$72)+'Road Safety CRTMeasure'!$H$66*'BCA Guide - Parameter Values'!$C$14,0)</f>
        <v>0</v>
      </c>
      <c r="U44" s="298">
        <f>IF(AND($F44&gt;=MIN($C$34),$F44&lt;=MAX($D$34)),SUMPRODUCT('BCA Guide - Parameter Values'!$C$6:$C$11,'Road Safety CRTMeasure'!$H$79:$H$84)+'Road Safety CRTMeasure'!$H$78*'BCA Guide - Parameter Values'!$C$14,0)</f>
        <v>0</v>
      </c>
      <c r="V44" s="848">
        <f>IF(AND(F44&gt;='Major Assumption Key'!$B$4,F44&lt;='Major Assumption Key'!$B$6),SUM(O44:U44),0)</f>
        <v>0</v>
      </c>
      <c r="W44" s="37">
        <f t="shared" si="5"/>
        <v>0</v>
      </c>
      <c r="X44" s="38">
        <f>W44/(1+'Major Assumption Key'!$B$8)^($F44-'Major Assumption Key'!$B$7)</f>
        <v>0</v>
      </c>
      <c r="Y44" s="290"/>
      <c r="Z44" s="784">
        <f t="shared" si="6"/>
        <v>0</v>
      </c>
      <c r="AA44" s="848">
        <f t="shared" si="7"/>
        <v>0</v>
      </c>
      <c r="AB44" s="37">
        <f t="shared" si="8"/>
        <v>0</v>
      </c>
      <c r="AC44" s="38">
        <f t="shared" si="9"/>
        <v>0</v>
      </c>
    </row>
    <row r="45" spans="1:29" ht="19.95" customHeight="1">
      <c r="F45" s="772">
        <f>'Major Assumption Key'!A57</f>
        <v>2058</v>
      </c>
      <c r="G45" s="40">
        <f>IF(AND($F45&gt;=MIN($C$28),$F45&lt;=MAX($D$28)),SUMPRODUCT('BCA Guide - Parameter Values'!$C$6:$C$11,'Road Safety CRTMeasure'!$G$7:$G$12)+'Road Safety CRTMeasure'!$G$6*'BCA Guide - Parameter Values'!$C$14,0)</f>
        <v>0</v>
      </c>
      <c r="H45" s="40">
        <f>IF(AND($F45&gt;=MIN($C$29),$F45&lt;=MAX($D$29)),SUMPRODUCT('BCA Guide - Parameter Values'!$C$6:$C$11,'Road Safety CRTMeasure'!$G$19:$G$24)+'Road Safety CRTMeasure'!$G$18*'BCA Guide - Parameter Values'!$C$14,0)</f>
        <v>0</v>
      </c>
      <c r="I45" s="40">
        <f>IF(AND($F45&gt;=MIN($C$30),$F45&lt;=MAX($D$30)),SUMPRODUCT('BCA Guide - Parameter Values'!$C$6:$C$11,'Road Safety CRTMeasure'!$G$31:$G$36)+'Road Safety CRTMeasure'!$G$30*'BCA Guide - Parameter Values'!$C$14,0)</f>
        <v>0</v>
      </c>
      <c r="J45" s="40">
        <f>IF(AND($F45&gt;=MIN($C$31),$F45&lt;=MAX($D$31)),SUMPRODUCT('BCA Guide - Parameter Values'!$C$6:$C$11,'Road Safety CRTMeasure'!$G$43:$G$48)+'Road Safety CRTMeasure'!$G$42*'BCA Guide - Parameter Values'!$C$14,0)</f>
        <v>0</v>
      </c>
      <c r="K45" s="40">
        <f>IF(AND($F45&gt;=MIN($C$32),$F45&lt;=MAX($D$32)),SUMPRODUCT('BCA Guide - Parameter Values'!$C$6:$C$11,'Road Safety CRTMeasure'!$G$55:$G$60)+'Road Safety CRTMeasure'!$G$54*'BCA Guide - Parameter Values'!$C$14,0)</f>
        <v>0</v>
      </c>
      <c r="L45" s="40">
        <f>IF(AND($F45&gt;=MIN($C$33),$F45&lt;=MAX($D$33)),SUMPRODUCT('BCA Guide - Parameter Values'!$C$6:$C$11,'Road Safety CRTMeasure'!$G$67:$G$72)+'Road Safety CRTMeasure'!$G$66*'BCA Guide - Parameter Values'!$C$14,0)</f>
        <v>0</v>
      </c>
      <c r="M45" s="40">
        <f>IF(AND($F45&gt;=MIN($C$34),$F45&lt;=MAX($D$34)),SUMPRODUCT('BCA Guide - Parameter Values'!$C$6:$C$11,'Road Safety CRTMeasure'!$G$79:$G$84)+'Road Safety CRTMeasure'!$G$78*'BCA Guide - Parameter Values'!$C$14,0)</f>
        <v>0</v>
      </c>
      <c r="N45" s="784">
        <f>IF(AND(F45&gt;='Major Assumption Key'!$B$4,F45&lt;='Major Assumption Key'!$B$6),SUM(G45:M45),0)</f>
        <v>0</v>
      </c>
      <c r="O45" s="40">
        <f>IF(AND($F45&gt;=$C$28,$F45&lt;=$D$28),SUMPRODUCT('BCA Guide - Parameter Values'!$C$6:$C$11,'Road Safety CRTMeasure'!$H$7:$H$12)+'Road Safety CRTMeasure'!$H$6*'BCA Guide - Parameter Values'!$C$14,0)</f>
        <v>0</v>
      </c>
      <c r="P45" s="298">
        <f>IF(AND($F45&gt;=MIN($C$29),$F45&lt;=MAX($D$29)),SUMPRODUCT('BCA Guide - Parameter Values'!$C$6:$C$11,'Road Safety CRTMeasure'!$H$19:$H$24)+'Road Safety CRTMeasure'!$H$18*'BCA Guide - Parameter Values'!$C$14,0)</f>
        <v>0</v>
      </c>
      <c r="Q45" s="298">
        <f>IF(AND($F45&gt;=MIN($C$30),$F45&lt;=MAX($D$30)),SUMPRODUCT('BCA Guide - Parameter Values'!$C$6:$C$11,'Road Safety CRTMeasure'!$H$31:$H$36)+'Road Safety CRTMeasure'!$H$30*'BCA Guide - Parameter Values'!$C$14,0)</f>
        <v>0</v>
      </c>
      <c r="R45" s="298">
        <f>IF(AND($F45&gt;=MIN($C$31),$F45&lt;=MAX($D$31)),SUMPRODUCT('BCA Guide - Parameter Values'!$C$6:$C$11,'Road Safety CRTMeasure'!$H$43:$H$48)+'Road Safety CRTMeasure'!$H$42*'BCA Guide - Parameter Values'!$C$14,0)</f>
        <v>0</v>
      </c>
      <c r="S45" s="298">
        <f>IF(AND($F45&gt;=MIN($C$32),$F45&lt;=MAX($D$32)),SUMPRODUCT('BCA Guide - Parameter Values'!$C$6:$C$11,'Road Safety CRTMeasure'!$H$55:$H$60)+'Road Safety CRTMeasure'!$H$54*'BCA Guide - Parameter Values'!$C$14,0)</f>
        <v>0</v>
      </c>
      <c r="T45" s="298">
        <f>IF(AND($F45&gt;=MIN($C$33),$F45&lt;=MAX($D$33)),SUMPRODUCT('BCA Guide - Parameter Values'!$C$6:$C$11,'Road Safety CRTMeasure'!$H$67:$H$72)+'Road Safety CRTMeasure'!$H$66*'BCA Guide - Parameter Values'!$C$14,0)</f>
        <v>0</v>
      </c>
      <c r="U45" s="298">
        <f>IF(AND($F45&gt;=MIN($C$34),$F45&lt;=MAX($D$34)),SUMPRODUCT('BCA Guide - Parameter Values'!$C$6:$C$11,'Road Safety CRTMeasure'!$H$79:$H$84)+'Road Safety CRTMeasure'!$H$78*'BCA Guide - Parameter Values'!$C$14,0)</f>
        <v>0</v>
      </c>
      <c r="V45" s="848">
        <f>IF(AND(F45&gt;='Major Assumption Key'!$B$4,F45&lt;='Major Assumption Key'!$B$6),SUM(O45:U45),0)</f>
        <v>0</v>
      </c>
      <c r="W45" s="37">
        <f t="shared" si="5"/>
        <v>0</v>
      </c>
      <c r="X45" s="38">
        <f>W45/(1+'Major Assumption Key'!$B$8)^($F45-'Major Assumption Key'!$B$7)</f>
        <v>0</v>
      </c>
      <c r="Y45" s="290"/>
      <c r="Z45" s="784">
        <f t="shared" si="6"/>
        <v>0</v>
      </c>
      <c r="AA45" s="848">
        <f t="shared" si="7"/>
        <v>0</v>
      </c>
      <c r="AB45" s="37">
        <f t="shared" si="8"/>
        <v>0</v>
      </c>
      <c r="AC45" s="38">
        <f t="shared" si="9"/>
        <v>0</v>
      </c>
    </row>
    <row r="46" spans="1:29" ht="19.95" customHeight="1">
      <c r="F46" s="772">
        <f>'Major Assumption Key'!A58</f>
        <v>2059</v>
      </c>
      <c r="G46" s="40">
        <f>IF(AND($F46&gt;=MIN($C$28),$F46&lt;=MAX($D$28)),SUMPRODUCT('BCA Guide - Parameter Values'!$C$6:$C$11,'Road Safety CRTMeasure'!$G$7:$G$12)+'Road Safety CRTMeasure'!$G$6*'BCA Guide - Parameter Values'!$C$14,0)</f>
        <v>0</v>
      </c>
      <c r="H46" s="40">
        <f>IF(AND($F46&gt;=MIN($C$29),$F46&lt;=MAX($D$29)),SUMPRODUCT('BCA Guide - Parameter Values'!$C$6:$C$11,'Road Safety CRTMeasure'!$G$19:$G$24)+'Road Safety CRTMeasure'!$G$18*'BCA Guide - Parameter Values'!$C$14,0)</f>
        <v>0</v>
      </c>
      <c r="I46" s="40">
        <f>IF(AND($F46&gt;=MIN($C$30),$F46&lt;=MAX($D$30)),SUMPRODUCT('BCA Guide - Parameter Values'!$C$6:$C$11,'Road Safety CRTMeasure'!$G$31:$G$36)+'Road Safety CRTMeasure'!$G$30*'BCA Guide - Parameter Values'!$C$14,0)</f>
        <v>0</v>
      </c>
      <c r="J46" s="40">
        <f>IF(AND($F46&gt;=MIN($C$31),$F46&lt;=MAX($D$31)),SUMPRODUCT('BCA Guide - Parameter Values'!$C$6:$C$11,'Road Safety CRTMeasure'!$G$43:$G$48)+'Road Safety CRTMeasure'!$G$42*'BCA Guide - Parameter Values'!$C$14,0)</f>
        <v>0</v>
      </c>
      <c r="K46" s="40">
        <f>IF(AND($F46&gt;=MIN($C$32),$F46&lt;=MAX($D$32)),SUMPRODUCT('BCA Guide - Parameter Values'!$C$6:$C$11,'Road Safety CRTMeasure'!$G$55:$G$60)+'Road Safety CRTMeasure'!$G$54*'BCA Guide - Parameter Values'!$C$14,0)</f>
        <v>0</v>
      </c>
      <c r="L46" s="40">
        <f>IF(AND($F46&gt;=MIN($C$33),$F46&lt;=MAX($D$33)),SUMPRODUCT('BCA Guide - Parameter Values'!$C$6:$C$11,'Road Safety CRTMeasure'!$G$67:$G$72)+'Road Safety CRTMeasure'!$G$66*'BCA Guide - Parameter Values'!$C$14,0)</f>
        <v>0</v>
      </c>
      <c r="M46" s="40">
        <f>IF(AND($F46&gt;=MIN($C$34),$F46&lt;=MAX($D$34)),SUMPRODUCT('BCA Guide - Parameter Values'!$C$6:$C$11,'Road Safety CRTMeasure'!$G$79:$G$84)+'Road Safety CRTMeasure'!$G$78*'BCA Guide - Parameter Values'!$C$14,0)</f>
        <v>0</v>
      </c>
      <c r="N46" s="784">
        <f>IF(AND(F46&gt;='Major Assumption Key'!$B$4,F46&lt;='Major Assumption Key'!$B$6),SUM(G46:M46),0)</f>
        <v>0</v>
      </c>
      <c r="O46" s="40">
        <f>IF(AND($F46&gt;=$C$28,$F46&lt;=$D$28),SUMPRODUCT('BCA Guide - Parameter Values'!$C$6:$C$11,'Road Safety CRTMeasure'!$H$7:$H$12)+'Road Safety CRTMeasure'!$H$6*'BCA Guide - Parameter Values'!$C$14,0)</f>
        <v>0</v>
      </c>
      <c r="P46" s="298">
        <f>IF(AND($F46&gt;=MIN($C$29),$F46&lt;=MAX($D$29)),SUMPRODUCT('BCA Guide - Parameter Values'!$C$6:$C$11,'Road Safety CRTMeasure'!$H$19:$H$24)+'Road Safety CRTMeasure'!$H$18*'BCA Guide - Parameter Values'!$C$14,0)</f>
        <v>0</v>
      </c>
      <c r="Q46" s="298">
        <f>IF(AND($F46&gt;=MIN($C$30),$F46&lt;=MAX($D$30)),SUMPRODUCT('BCA Guide - Parameter Values'!$C$6:$C$11,'Road Safety CRTMeasure'!$H$31:$H$36)+'Road Safety CRTMeasure'!$H$30*'BCA Guide - Parameter Values'!$C$14,0)</f>
        <v>0</v>
      </c>
      <c r="R46" s="298">
        <f>IF(AND($F46&gt;=MIN($C$31),$F46&lt;=MAX($D$31)),SUMPRODUCT('BCA Guide - Parameter Values'!$C$6:$C$11,'Road Safety CRTMeasure'!$H$43:$H$48)+'Road Safety CRTMeasure'!$H$42*'BCA Guide - Parameter Values'!$C$14,0)</f>
        <v>0</v>
      </c>
      <c r="S46" s="298">
        <f>IF(AND($F46&gt;=MIN($C$32),$F46&lt;=MAX($D$32)),SUMPRODUCT('BCA Guide - Parameter Values'!$C$6:$C$11,'Road Safety CRTMeasure'!$H$55:$H$60)+'Road Safety CRTMeasure'!$H$54*'BCA Guide - Parameter Values'!$C$14,0)</f>
        <v>0</v>
      </c>
      <c r="T46" s="298">
        <f>IF(AND($F46&gt;=MIN($C$33),$F46&lt;=MAX($D$33)),SUMPRODUCT('BCA Guide - Parameter Values'!$C$6:$C$11,'Road Safety CRTMeasure'!$H$67:$H$72)+'Road Safety CRTMeasure'!$H$66*'BCA Guide - Parameter Values'!$C$14,0)</f>
        <v>0</v>
      </c>
      <c r="U46" s="298">
        <f>IF(AND($F46&gt;=MIN($C$34),$F46&lt;=MAX($D$34)),SUMPRODUCT('BCA Guide - Parameter Values'!$C$6:$C$11,'Road Safety CRTMeasure'!$H$79:$H$84)+'Road Safety CRTMeasure'!$H$78*'BCA Guide - Parameter Values'!$C$14,0)</f>
        <v>0</v>
      </c>
      <c r="V46" s="848">
        <f>IF(AND(F46&gt;='Major Assumption Key'!$B$4,F46&lt;='Major Assumption Key'!$B$6),SUM(O46:U46),0)</f>
        <v>0</v>
      </c>
      <c r="W46" s="37">
        <f t="shared" si="5"/>
        <v>0</v>
      </c>
      <c r="X46" s="38">
        <f>W46/(1+'Major Assumption Key'!$B$8)^($F46-'Major Assumption Key'!$B$7)</f>
        <v>0</v>
      </c>
      <c r="Y46" s="290"/>
      <c r="Z46" s="784">
        <f t="shared" si="6"/>
        <v>0</v>
      </c>
      <c r="AA46" s="848">
        <f t="shared" si="7"/>
        <v>0</v>
      </c>
      <c r="AB46" s="37">
        <f t="shared" si="8"/>
        <v>0</v>
      </c>
      <c r="AC46" s="38">
        <f t="shared" si="9"/>
        <v>0</v>
      </c>
    </row>
    <row r="47" spans="1:29" ht="19.95" customHeight="1">
      <c r="F47" s="772">
        <f>'Major Assumption Key'!A59</f>
        <v>2060</v>
      </c>
      <c r="G47" s="40">
        <f>IF(AND($F47&gt;=MIN($C$28),$F47&lt;=MAX($D$28)),SUMPRODUCT('BCA Guide - Parameter Values'!$C$6:$C$11,'Road Safety CRTMeasure'!$G$7:$G$12)+'Road Safety CRTMeasure'!$G$6*'BCA Guide - Parameter Values'!$C$14,0)</f>
        <v>0</v>
      </c>
      <c r="H47" s="40">
        <f>IF(AND($F47&gt;=MIN($C$29),$F47&lt;=MAX($D$29)),SUMPRODUCT('BCA Guide - Parameter Values'!$C$6:$C$11,'Road Safety CRTMeasure'!$G$19:$G$24)+'Road Safety CRTMeasure'!$G$18*'BCA Guide - Parameter Values'!$C$14,0)</f>
        <v>0</v>
      </c>
      <c r="I47" s="40">
        <f>IF(AND($F47&gt;=MIN($C$30),$F47&lt;=MAX($D$30)),SUMPRODUCT('BCA Guide - Parameter Values'!$C$6:$C$11,'Road Safety CRTMeasure'!$G$31:$G$36)+'Road Safety CRTMeasure'!$G$30*'BCA Guide - Parameter Values'!$C$14,0)</f>
        <v>0</v>
      </c>
      <c r="J47" s="40">
        <f>IF(AND($F47&gt;=MIN($C$31),$F47&lt;=MAX($D$31)),SUMPRODUCT('BCA Guide - Parameter Values'!$C$6:$C$11,'Road Safety CRTMeasure'!$G$43:$G$48)+'Road Safety CRTMeasure'!$G$42*'BCA Guide - Parameter Values'!$C$14,0)</f>
        <v>0</v>
      </c>
      <c r="K47" s="40">
        <f>IF(AND($F47&gt;=MIN($C$32),$F47&lt;=MAX($D$32)),SUMPRODUCT('BCA Guide - Parameter Values'!$C$6:$C$11,'Road Safety CRTMeasure'!$G$55:$G$60)+'Road Safety CRTMeasure'!$G$54*'BCA Guide - Parameter Values'!$C$14,0)</f>
        <v>0</v>
      </c>
      <c r="L47" s="40">
        <f>IF(AND($F47&gt;=MIN($C$33),$F47&lt;=MAX($D$33)),SUMPRODUCT('BCA Guide - Parameter Values'!$C$6:$C$11,'Road Safety CRTMeasure'!$G$67:$G$72)+'Road Safety CRTMeasure'!$G$66*'BCA Guide - Parameter Values'!$C$14,0)</f>
        <v>0</v>
      </c>
      <c r="M47" s="40">
        <f>IF(AND($F47&gt;=MIN($C$34),$F47&lt;=MAX($D$34)),SUMPRODUCT('BCA Guide - Parameter Values'!$C$6:$C$11,'Road Safety CRTMeasure'!$G$79:$G$84)+'Road Safety CRTMeasure'!$G$78*'BCA Guide - Parameter Values'!$C$14,0)</f>
        <v>0</v>
      </c>
      <c r="N47" s="784">
        <f>IF(AND(F47&gt;='Major Assumption Key'!$B$4,F47&lt;='Major Assumption Key'!$B$6),SUM(G47:M47),0)</f>
        <v>0</v>
      </c>
      <c r="O47" s="40">
        <f>IF(AND($F47&gt;=$C$28,$F47&lt;=$D$28),SUMPRODUCT('BCA Guide - Parameter Values'!$C$6:$C$11,'Road Safety CRTMeasure'!$H$7:$H$12)+'Road Safety CRTMeasure'!$H$6*'BCA Guide - Parameter Values'!$C$14,0)</f>
        <v>0</v>
      </c>
      <c r="P47" s="298">
        <f>IF(AND($F47&gt;=MIN($C$29),$F47&lt;=MAX($D$29)),SUMPRODUCT('BCA Guide - Parameter Values'!$C$6:$C$11,'Road Safety CRTMeasure'!$H$19:$H$24)+'Road Safety CRTMeasure'!$H$18*'BCA Guide - Parameter Values'!$C$14,0)</f>
        <v>0</v>
      </c>
      <c r="Q47" s="298">
        <f>IF(AND($F47&gt;=MIN($C$30),$F47&lt;=MAX($D$30)),SUMPRODUCT('BCA Guide - Parameter Values'!$C$6:$C$11,'Road Safety CRTMeasure'!$H$31:$H$36)+'Road Safety CRTMeasure'!$H$30*'BCA Guide - Parameter Values'!$C$14,0)</f>
        <v>0</v>
      </c>
      <c r="R47" s="298">
        <f>IF(AND($F47&gt;=MIN($C$31),$F47&lt;=MAX($D$31)),SUMPRODUCT('BCA Guide - Parameter Values'!$C$6:$C$11,'Road Safety CRTMeasure'!$H$43:$H$48)+'Road Safety CRTMeasure'!$H$42*'BCA Guide - Parameter Values'!$C$14,0)</f>
        <v>0</v>
      </c>
      <c r="S47" s="298">
        <f>IF(AND($F47&gt;=MIN($C$32),$F47&lt;=MAX($D$32)),SUMPRODUCT('BCA Guide - Parameter Values'!$C$6:$C$11,'Road Safety CRTMeasure'!$H$55:$H$60)+'Road Safety CRTMeasure'!$H$54*'BCA Guide - Parameter Values'!$C$14,0)</f>
        <v>0</v>
      </c>
      <c r="T47" s="298">
        <f>IF(AND($F47&gt;=MIN($C$33),$F47&lt;=MAX($D$33)),SUMPRODUCT('BCA Guide - Parameter Values'!$C$6:$C$11,'Road Safety CRTMeasure'!$H$67:$H$72)+'Road Safety CRTMeasure'!$H$66*'BCA Guide - Parameter Values'!$C$14,0)</f>
        <v>0</v>
      </c>
      <c r="U47" s="298">
        <f>IF(AND($F47&gt;=MIN($C$34),$F47&lt;=MAX($D$34)),SUMPRODUCT('BCA Guide - Parameter Values'!$C$6:$C$11,'Road Safety CRTMeasure'!$H$79:$H$84)+'Road Safety CRTMeasure'!$H$78*'BCA Guide - Parameter Values'!$C$14,0)</f>
        <v>0</v>
      </c>
      <c r="V47" s="848">
        <f>IF(AND(F47&gt;='Major Assumption Key'!$B$4,F47&lt;='Major Assumption Key'!$B$6),SUM(O47:U47),0)</f>
        <v>0</v>
      </c>
      <c r="W47" s="37">
        <f t="shared" si="5"/>
        <v>0</v>
      </c>
      <c r="X47" s="38">
        <f>W47/(1+'Major Assumption Key'!$B$8)^($F47-'Major Assumption Key'!$B$7)</f>
        <v>0</v>
      </c>
      <c r="Y47" s="290"/>
      <c r="Z47" s="784">
        <f t="shared" si="6"/>
        <v>0</v>
      </c>
      <c r="AA47" s="848">
        <f t="shared" si="7"/>
        <v>0</v>
      </c>
      <c r="AB47" s="37">
        <f t="shared" si="8"/>
        <v>0</v>
      </c>
      <c r="AC47" s="38">
        <f t="shared" si="9"/>
        <v>0</v>
      </c>
    </row>
    <row r="48" spans="1:29" ht="19.95" customHeight="1" thickBot="1">
      <c r="A48" s="360"/>
      <c r="F48" s="115" t="s">
        <v>504</v>
      </c>
      <c r="G48" s="116"/>
      <c r="H48" s="116"/>
      <c r="I48" s="116"/>
      <c r="J48" s="116"/>
      <c r="K48" s="116"/>
      <c r="L48" s="116"/>
      <c r="M48" s="116"/>
      <c r="N48" s="376">
        <f>SUM(N7:N47)</f>
        <v>0</v>
      </c>
      <c r="O48" s="116"/>
      <c r="P48" s="116"/>
      <c r="Q48" s="116"/>
      <c r="R48" s="116"/>
      <c r="S48" s="116"/>
      <c r="T48" s="116"/>
      <c r="U48" s="116"/>
      <c r="V48" s="376">
        <f>SUM(V7:V47)</f>
        <v>0</v>
      </c>
      <c r="W48" s="20">
        <f>SUM(W7:W47)</f>
        <v>0</v>
      </c>
      <c r="X48" s="20">
        <f>SUM(X7:X47)</f>
        <v>0</v>
      </c>
      <c r="Y48" s="290"/>
      <c r="Z48" s="118">
        <f>ROUND(N48,-3)</f>
        <v>0</v>
      </c>
      <c r="AA48" s="119">
        <f t="shared" si="2"/>
        <v>0</v>
      </c>
      <c r="AB48" s="19">
        <f t="shared" si="3"/>
        <v>0</v>
      </c>
      <c r="AC48" s="20">
        <f t="shared" si="4"/>
        <v>0</v>
      </c>
    </row>
    <row r="49" spans="1:22" ht="19.95" customHeight="1">
      <c r="A49" s="360"/>
      <c r="N49" s="50"/>
      <c r="V49" s="50"/>
    </row>
    <row r="50" spans="1:22" ht="19.95" customHeight="1">
      <c r="A50" s="360"/>
    </row>
    <row r="51" spans="1:22" ht="19.95" customHeight="1">
      <c r="A51" s="360"/>
    </row>
    <row r="52" spans="1:22" ht="19.95" customHeight="1">
      <c r="A52" s="360"/>
    </row>
    <row r="53" spans="1:22" ht="19.95" customHeight="1">
      <c r="A53" s="1"/>
    </row>
    <row r="54" spans="1:22" ht="19.95" customHeight="1">
      <c r="A54" s="1"/>
    </row>
    <row r="55" spans="1:22" ht="19.95" customHeight="1"/>
    <row r="82" spans="4:4">
      <c r="D82" s="2">
        <v>0</v>
      </c>
    </row>
  </sheetData>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0" type="noConversion"/>
  <pageMargins left="0.25" right="0.25" top="0.75" bottom="0.75" header="0.3" footer="0.3"/>
  <pageSetup paperSize="17" scale="2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GM87"/>
  <sheetViews>
    <sheetView workbookViewId="0"/>
  </sheetViews>
  <sheetFormatPr defaultColWidth="8.77734375" defaultRowHeight="14.4"/>
  <cols>
    <col min="1" max="1" width="41.21875" style="5" bestFit="1" customWidth="1"/>
    <col min="2" max="6" width="5" style="5" bestFit="1" customWidth="1"/>
    <col min="7" max="7" width="18" style="5" bestFit="1" customWidth="1"/>
    <col min="8" max="8" width="24.44140625" style="5" bestFit="1" customWidth="1"/>
    <col min="9" max="10" width="10.44140625" style="5" bestFit="1" customWidth="1"/>
    <col min="11" max="11" width="23.21875" style="5" bestFit="1" customWidth="1"/>
    <col min="12" max="12" width="22.5546875" style="5" bestFit="1" customWidth="1"/>
    <col min="13" max="13" width="23.21875" style="5" bestFit="1" customWidth="1"/>
    <col min="14" max="14" width="22.5546875" style="5" bestFit="1" customWidth="1"/>
    <col min="15" max="15" width="23.21875" style="5" bestFit="1" customWidth="1"/>
    <col min="16" max="16" width="20.77734375" style="5" bestFit="1" customWidth="1"/>
    <col min="17" max="17" width="21.5546875" style="5" bestFit="1" customWidth="1"/>
    <col min="18" max="18" width="22.5546875" style="5" bestFit="1" customWidth="1"/>
    <col min="19" max="19" width="23.21875" style="5" bestFit="1" customWidth="1"/>
    <col min="20" max="20" width="22.5546875" style="5" bestFit="1" customWidth="1"/>
    <col min="21" max="21" width="23.21875" style="5" bestFit="1" customWidth="1"/>
    <col min="22" max="22" width="22.5546875" style="5" bestFit="1" customWidth="1"/>
    <col min="23" max="23" width="23.21875" style="5" bestFit="1" customWidth="1"/>
    <col min="24" max="24" width="26.21875" style="5" bestFit="1" customWidth="1"/>
    <col min="25" max="25" width="26.77734375" style="5" bestFit="1" customWidth="1"/>
    <col min="26" max="28" width="7.21875" style="5" bestFit="1" customWidth="1"/>
    <col min="29" max="29" width="4" style="5" bestFit="1" customWidth="1"/>
    <col min="30" max="30" width="2" style="5" bestFit="1" customWidth="1"/>
    <col min="31" max="34" width="7.21875" style="5" bestFit="1" customWidth="1"/>
    <col min="35" max="35" width="4" style="5" bestFit="1" customWidth="1"/>
    <col min="36" max="39" width="7.21875" style="5" bestFit="1" customWidth="1"/>
    <col min="40" max="40" width="11.77734375" style="5" bestFit="1" customWidth="1"/>
    <col min="41" max="41" width="4" style="5" bestFit="1" customWidth="1"/>
    <col min="42" max="45" width="7.21875" style="5" bestFit="1" customWidth="1"/>
    <col min="46" max="46" width="4" style="5" bestFit="1" customWidth="1"/>
    <col min="47" max="49" width="7.21875" style="5" bestFit="1" customWidth="1"/>
    <col min="50" max="50" width="4" style="5" bestFit="1" customWidth="1"/>
    <col min="51" max="54" width="7.21875" style="5" bestFit="1" customWidth="1"/>
    <col min="55" max="55" width="4" style="5" bestFit="1" customWidth="1"/>
    <col min="56" max="59" width="7.21875" style="5" bestFit="1" customWidth="1"/>
    <col min="60" max="60" width="4" style="5" bestFit="1" customWidth="1"/>
    <col min="61" max="64" width="7.21875" style="5" bestFit="1" customWidth="1"/>
    <col min="65" max="65" width="4" style="5" bestFit="1" customWidth="1"/>
    <col min="66" max="70" width="7.21875" style="5" bestFit="1" customWidth="1"/>
    <col min="71" max="71" width="4" style="5" bestFit="1" customWidth="1"/>
    <col min="72" max="73" width="2" style="5" bestFit="1" customWidth="1"/>
    <col min="74" max="75" width="7.21875" style="5" bestFit="1" customWidth="1"/>
    <col min="76" max="76" width="4" style="5" bestFit="1" customWidth="1"/>
    <col min="77" max="79" width="7.21875" style="5" bestFit="1" customWidth="1"/>
    <col min="80" max="80" width="4" style="5" bestFit="1" customWidth="1"/>
    <col min="81" max="83" width="7.21875" style="5" bestFit="1" customWidth="1"/>
    <col min="84" max="84" width="4" style="5" bestFit="1" customWidth="1"/>
    <col min="85" max="88" width="7.21875" style="5" bestFit="1" customWidth="1"/>
    <col min="89" max="89" width="4" style="5" bestFit="1" customWidth="1"/>
    <col min="90" max="93" width="7.21875" style="5" bestFit="1" customWidth="1"/>
    <col min="94" max="94" width="4" style="5" bestFit="1" customWidth="1"/>
    <col min="95" max="99" width="7.21875" style="5" bestFit="1" customWidth="1"/>
    <col min="100" max="100" width="4" style="5" bestFit="1" customWidth="1"/>
    <col min="101" max="102" width="2" style="5" bestFit="1" customWidth="1"/>
    <col min="103" max="105" width="7.21875" style="5" bestFit="1" customWidth="1"/>
    <col min="106" max="106" width="4" style="5" bestFit="1" customWidth="1"/>
    <col min="107" max="107" width="2" style="5" bestFit="1" customWidth="1"/>
    <col min="108" max="111" width="7.21875" style="5" bestFit="1" customWidth="1"/>
    <col min="112" max="112" width="4" style="5" bestFit="1" customWidth="1"/>
    <col min="113" max="115" width="7.21875" style="5" bestFit="1" customWidth="1"/>
    <col min="116" max="116" width="4" style="5" bestFit="1" customWidth="1"/>
    <col min="117" max="120" width="7.21875" style="5" bestFit="1" customWidth="1"/>
    <col min="121" max="121" width="4" style="5" bestFit="1" customWidth="1"/>
    <col min="122" max="126" width="7.21875" style="5" bestFit="1" customWidth="1"/>
    <col min="127" max="127" width="4" style="5" bestFit="1" customWidth="1"/>
    <col min="128" max="129" width="2" style="5" bestFit="1" customWidth="1"/>
    <col min="130" max="132" width="7.21875" style="5" bestFit="1" customWidth="1"/>
    <col min="133" max="133" width="4" style="5" bestFit="1" customWidth="1"/>
    <col min="134" max="137" width="7.21875" style="5" bestFit="1" customWidth="1"/>
    <col min="138" max="138" width="4" style="5" bestFit="1" customWidth="1"/>
    <col min="139" max="140" width="7.21875" style="5" bestFit="1" customWidth="1"/>
    <col min="141" max="141" width="4" style="5" bestFit="1" customWidth="1"/>
    <col min="142" max="145" width="7.21875" style="5" bestFit="1" customWidth="1"/>
    <col min="146" max="146" width="4" style="5" bestFit="1" customWidth="1"/>
    <col min="147" max="151" width="7.21875" style="5" bestFit="1" customWidth="1"/>
    <col min="152" max="152" width="4" style="5" bestFit="1" customWidth="1"/>
    <col min="153" max="155" width="7.21875" style="5" bestFit="1" customWidth="1"/>
    <col min="156" max="156" width="4" style="5" bestFit="1" customWidth="1"/>
    <col min="157" max="161" width="7.21875" style="5" bestFit="1" customWidth="1"/>
    <col min="162" max="162" width="4" style="5" bestFit="1" customWidth="1"/>
    <col min="163" max="164" width="7.21875" style="5" bestFit="1" customWidth="1"/>
    <col min="165" max="165" width="4" style="5" bestFit="1" customWidth="1"/>
    <col min="166" max="170" width="7.21875" style="5" bestFit="1" customWidth="1"/>
    <col min="171" max="171" width="4" style="5" bestFit="1" customWidth="1"/>
    <col min="172" max="176" width="7.21875" style="5" bestFit="1" customWidth="1"/>
    <col min="177" max="177" width="4" style="5" bestFit="1" customWidth="1"/>
    <col min="178" max="182" width="7.21875" style="5" bestFit="1" customWidth="1"/>
    <col min="183" max="183" width="4" style="5" bestFit="1" customWidth="1"/>
    <col min="184" max="188" width="7.21875" style="5" bestFit="1" customWidth="1"/>
    <col min="189" max="189" width="5" style="5" bestFit="1" customWidth="1"/>
    <col min="190" max="193" width="7.21875" style="5" bestFit="1" customWidth="1"/>
    <col min="194" max="194" width="8.21875" style="5" bestFit="1" customWidth="1"/>
    <col min="195" max="195" width="11.77734375" style="5" bestFit="1" customWidth="1"/>
    <col min="196" max="16384" width="8.77734375" style="5"/>
  </cols>
  <sheetData>
    <row r="1" spans="1:195" ht="24.75" customHeight="1">
      <c r="A1" s="272" t="s">
        <v>413</v>
      </c>
      <c r="B1" s="1949" t="s">
        <v>825</v>
      </c>
      <c r="C1" s="1949"/>
      <c r="D1" s="1949"/>
      <c r="E1" s="1949"/>
      <c r="F1" s="1949"/>
      <c r="G1" s="1949"/>
      <c r="H1" s="33" t="s">
        <v>187</v>
      </c>
      <c r="I1" s="45" t="str">
        <f>HYPERLINK("#'"&amp;INDEX('Master Key'!$B:$B,MATCH("Master Key",'Master Key'!$B:$B,0),1)&amp;"'!A1","Go To Sheet")</f>
        <v>Go To Sheet</v>
      </c>
    </row>
    <row r="2" spans="1:195">
      <c r="A2" s="399"/>
      <c r="B2" s="399"/>
      <c r="C2" s="400"/>
      <c r="D2" s="400"/>
      <c r="E2" s="400"/>
      <c r="F2" s="33"/>
      <c r="G2" s="45"/>
    </row>
    <row r="3" spans="1:195">
      <c r="A3" s="399"/>
      <c r="B3" s="399"/>
      <c r="C3" s="400"/>
      <c r="D3" s="400"/>
      <c r="E3" s="400"/>
      <c r="F3" s="33"/>
      <c r="G3" s="45"/>
    </row>
    <row r="4" spans="1:195">
      <c r="A4" s="6" t="str">
        <f>'Roadway Safety'!A28</f>
        <v>Countermeasure #1</v>
      </c>
    </row>
    <row r="5" spans="1:195">
      <c r="A5" s="623" t="s">
        <v>826</v>
      </c>
      <c r="B5" s="624">
        <v>2018</v>
      </c>
      <c r="C5" s="624">
        <v>2019</v>
      </c>
      <c r="D5" s="624">
        <v>2020</v>
      </c>
      <c r="E5" s="624">
        <v>2021</v>
      </c>
      <c r="F5" s="624">
        <v>2022</v>
      </c>
      <c r="G5" s="624" t="s">
        <v>827</v>
      </c>
      <c r="H5" s="624" t="s">
        <v>828</v>
      </c>
    </row>
    <row r="6" spans="1:195">
      <c r="A6" s="853" t="s">
        <v>829</v>
      </c>
      <c r="B6" s="151">
        <v>0</v>
      </c>
      <c r="C6" s="151">
        <v>0</v>
      </c>
      <c r="D6" s="151">
        <v>0</v>
      </c>
      <c r="E6" s="151">
        <v>0</v>
      </c>
      <c r="F6" s="151">
        <v>0</v>
      </c>
      <c r="G6" s="12">
        <f>AVERAGE(B6:F6)</f>
        <v>0</v>
      </c>
      <c r="H6" s="12">
        <f>G6*(1-'Roadway Safety'!$B$19)</f>
        <v>0</v>
      </c>
    </row>
    <row r="7" spans="1:195">
      <c r="A7" s="8" t="s">
        <v>830</v>
      </c>
      <c r="B7" s="151">
        <v>0</v>
      </c>
      <c r="C7" s="151">
        <v>0</v>
      </c>
      <c r="D7" s="151">
        <v>0</v>
      </c>
      <c r="E7" s="151">
        <v>0</v>
      </c>
      <c r="F7" s="151">
        <v>0</v>
      </c>
      <c r="G7" s="12">
        <f t="shared" ref="G7:G12" si="0">AVERAGE(B7:F7)</f>
        <v>0</v>
      </c>
      <c r="H7" s="12">
        <f>G7*(1-'Roadway Safety'!$B$19)</f>
        <v>0</v>
      </c>
    </row>
    <row r="8" spans="1:195">
      <c r="A8" s="8" t="s">
        <v>831</v>
      </c>
      <c r="B8" s="151">
        <v>0</v>
      </c>
      <c r="C8" s="151">
        <v>0</v>
      </c>
      <c r="D8" s="151">
        <v>0</v>
      </c>
      <c r="E8" s="151">
        <v>0</v>
      </c>
      <c r="F8" s="151">
        <v>0</v>
      </c>
      <c r="G8" s="12">
        <f t="shared" si="0"/>
        <v>0</v>
      </c>
      <c r="H8" s="12">
        <f>G8*(1-'Roadway Safety'!$B$19)</f>
        <v>0</v>
      </c>
    </row>
    <row r="9" spans="1:195">
      <c r="A9" s="8" t="s">
        <v>832</v>
      </c>
      <c r="B9" s="151">
        <v>0</v>
      </c>
      <c r="C9" s="151">
        <v>0</v>
      </c>
      <c r="D9" s="151">
        <v>0</v>
      </c>
      <c r="E9" s="151">
        <v>0</v>
      </c>
      <c r="F9" s="151">
        <v>0</v>
      </c>
      <c r="G9" s="12">
        <f t="shared" si="0"/>
        <v>0</v>
      </c>
      <c r="H9" s="12">
        <f>G9*(1-'Roadway Safety'!$B$19)</f>
        <v>0</v>
      </c>
    </row>
    <row r="10" spans="1:195">
      <c r="A10" s="8" t="s">
        <v>833</v>
      </c>
      <c r="B10" s="151">
        <v>0</v>
      </c>
      <c r="C10" s="151">
        <v>0</v>
      </c>
      <c r="D10" s="151">
        <v>0</v>
      </c>
      <c r="E10" s="151">
        <v>0</v>
      </c>
      <c r="F10" s="151">
        <v>0</v>
      </c>
      <c r="G10" s="12">
        <f t="shared" si="0"/>
        <v>0</v>
      </c>
      <c r="H10" s="12">
        <f>G10*(1-'Roadway Safety'!$B$19)</f>
        <v>0</v>
      </c>
    </row>
    <row r="11" spans="1:195">
      <c r="A11" s="8" t="s">
        <v>834</v>
      </c>
      <c r="B11" s="151">
        <v>0</v>
      </c>
      <c r="C11" s="151">
        <v>0</v>
      </c>
      <c r="D11" s="151">
        <v>0</v>
      </c>
      <c r="E11" s="151">
        <v>0</v>
      </c>
      <c r="F11" s="151">
        <v>0</v>
      </c>
      <c r="G11" s="12">
        <f t="shared" si="0"/>
        <v>0</v>
      </c>
      <c r="H11" s="12">
        <f>G11*(1-'Roadway Safety'!$B$19)</f>
        <v>0</v>
      </c>
    </row>
    <row r="12" spans="1:195">
      <c r="A12" s="8" t="s">
        <v>835</v>
      </c>
      <c r="B12" s="151">
        <v>0</v>
      </c>
      <c r="C12" s="151">
        <v>0</v>
      </c>
      <c r="D12" s="151">
        <v>0</v>
      </c>
      <c r="E12" s="151">
        <v>0</v>
      </c>
      <c r="F12" s="151">
        <v>0</v>
      </c>
      <c r="G12" s="12">
        <f t="shared" si="0"/>
        <v>0</v>
      </c>
      <c r="H12" s="12">
        <f>G12*(1-'Roadway Safety'!$B$19)</f>
        <v>0</v>
      </c>
      <c r="I12" s="7"/>
    </row>
    <row r="13" spans="1:195">
      <c r="A13" s="10"/>
      <c r="B13" s="10"/>
      <c r="C13" s="10"/>
    </row>
    <row r="14" spans="1:195">
      <c r="A14" s="10"/>
      <c r="B14" s="10"/>
      <c r="C14" s="10"/>
    </row>
    <row r="15" spans="1:195">
      <c r="J15"/>
      <c r="K15"/>
      <c r="L15"/>
      <c r="M15"/>
      <c r="N15"/>
      <c r="O15"/>
      <c r="P15"/>
      <c r="Q15"/>
      <c r="R15"/>
      <c r="S15"/>
      <c r="T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row>
    <row r="16" spans="1:195">
      <c r="A16" s="6" t="str">
        <f>'Roadway Safety'!A29</f>
        <v>Countermeasure #2</v>
      </c>
      <c r="J16"/>
      <c r="K16"/>
      <c r="L16"/>
      <c r="M16"/>
      <c r="N16"/>
      <c r="O16"/>
      <c r="P16"/>
      <c r="Q16"/>
      <c r="R16"/>
      <c r="S16"/>
      <c r="T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row>
    <row r="17" spans="1:195">
      <c r="A17" s="623" t="s">
        <v>826</v>
      </c>
      <c r="B17" s="624">
        <v>2018</v>
      </c>
      <c r="C17" s="624">
        <v>2019</v>
      </c>
      <c r="D17" s="624">
        <v>2020</v>
      </c>
      <c r="E17" s="624">
        <v>2021</v>
      </c>
      <c r="F17" s="624">
        <v>2022</v>
      </c>
      <c r="G17" s="624" t="s">
        <v>827</v>
      </c>
      <c r="H17" s="624" t="s">
        <v>828</v>
      </c>
      <c r="J17"/>
      <c r="K17"/>
      <c r="L17"/>
      <c r="M17"/>
      <c r="N17"/>
      <c r="O17"/>
      <c r="P17"/>
      <c r="Q17"/>
      <c r="R17"/>
      <c r="S17"/>
      <c r="T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row>
    <row r="18" spans="1:195">
      <c r="A18" s="853" t="s">
        <v>829</v>
      </c>
      <c r="B18" s="151">
        <v>0</v>
      </c>
      <c r="C18" s="151">
        <v>0</v>
      </c>
      <c r="D18" s="151">
        <v>0</v>
      </c>
      <c r="E18" s="151">
        <v>0</v>
      </c>
      <c r="F18" s="151">
        <v>0</v>
      </c>
      <c r="G18" s="12">
        <f>AVERAGE(B18:F18)</f>
        <v>0</v>
      </c>
      <c r="H18" s="12">
        <f>G18*(1-'Roadway Safety'!$B$20)</f>
        <v>0</v>
      </c>
      <c r="J18"/>
      <c r="K18"/>
      <c r="L18"/>
      <c r="M18"/>
      <c r="N18"/>
      <c r="O18"/>
      <c r="P18"/>
      <c r="Q18"/>
      <c r="R18"/>
      <c r="S18"/>
      <c r="T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row>
    <row r="19" spans="1:195">
      <c r="A19" s="8" t="s">
        <v>830</v>
      </c>
      <c r="B19" s="151">
        <v>0</v>
      </c>
      <c r="C19" s="151">
        <v>0</v>
      </c>
      <c r="D19" s="151">
        <v>0</v>
      </c>
      <c r="E19" s="151">
        <v>0</v>
      </c>
      <c r="F19" s="151">
        <v>0</v>
      </c>
      <c r="G19" s="12">
        <f t="shared" ref="G19:G24" si="1">AVERAGE(B19:F19)</f>
        <v>0</v>
      </c>
      <c r="H19" s="12">
        <f>G19*(1-'Roadway Safety'!$B$20)</f>
        <v>0</v>
      </c>
      <c r="J19"/>
      <c r="K19"/>
      <c r="L19"/>
      <c r="M19"/>
      <c r="N19"/>
      <c r="O19"/>
      <c r="P19"/>
      <c r="Q19"/>
      <c r="R19"/>
      <c r="S19"/>
      <c r="T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row>
    <row r="20" spans="1:195">
      <c r="A20" s="8" t="s">
        <v>831</v>
      </c>
      <c r="B20" s="151">
        <v>0</v>
      </c>
      <c r="C20" s="151">
        <v>0</v>
      </c>
      <c r="D20" s="151">
        <v>0</v>
      </c>
      <c r="E20" s="151">
        <v>0</v>
      </c>
      <c r="F20" s="151">
        <v>0</v>
      </c>
      <c r="G20" s="12">
        <f t="shared" si="1"/>
        <v>0</v>
      </c>
      <c r="H20" s="12">
        <f>G20*(1-'Roadway Safety'!$B$20)</f>
        <v>0</v>
      </c>
      <c r="J20"/>
      <c r="K20"/>
      <c r="L20"/>
      <c r="M20"/>
      <c r="N20"/>
      <c r="O20"/>
      <c r="P20"/>
      <c r="Q20"/>
      <c r="R20"/>
      <c r="S20"/>
      <c r="T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row>
    <row r="21" spans="1:195">
      <c r="A21" s="8" t="s">
        <v>832</v>
      </c>
      <c r="B21" s="151">
        <v>0</v>
      </c>
      <c r="C21" s="151">
        <v>0</v>
      </c>
      <c r="D21" s="151">
        <v>0</v>
      </c>
      <c r="E21" s="151">
        <v>0</v>
      </c>
      <c r="F21" s="151">
        <v>0</v>
      </c>
      <c r="G21" s="12">
        <f t="shared" si="1"/>
        <v>0</v>
      </c>
      <c r="H21" s="12">
        <f>G21*(1-'Roadway Safety'!$B$20)</f>
        <v>0</v>
      </c>
      <c r="J21"/>
      <c r="K21"/>
      <c r="L21"/>
      <c r="M21"/>
      <c r="N21"/>
      <c r="O21"/>
      <c r="P21"/>
      <c r="Q21"/>
      <c r="R21"/>
      <c r="S21"/>
      <c r="T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row>
    <row r="22" spans="1:195">
      <c r="A22" s="8" t="s">
        <v>833</v>
      </c>
      <c r="B22" s="151">
        <v>0</v>
      </c>
      <c r="C22" s="151">
        <v>0</v>
      </c>
      <c r="D22" s="151">
        <v>0</v>
      </c>
      <c r="E22" s="151">
        <v>0</v>
      </c>
      <c r="F22" s="151">
        <v>0</v>
      </c>
      <c r="G22" s="12">
        <f t="shared" si="1"/>
        <v>0</v>
      </c>
      <c r="H22" s="12">
        <f>G22*(1-'Roadway Safety'!$B$20)</f>
        <v>0</v>
      </c>
      <c r="J22"/>
      <c r="K22"/>
      <c r="L22"/>
      <c r="M22"/>
      <c r="N22"/>
      <c r="O22"/>
      <c r="P22"/>
      <c r="Q22"/>
      <c r="R22"/>
      <c r="S22"/>
      <c r="T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row>
    <row r="23" spans="1:195">
      <c r="A23" s="8" t="s">
        <v>834</v>
      </c>
      <c r="B23" s="151">
        <v>0</v>
      </c>
      <c r="C23" s="151">
        <v>0</v>
      </c>
      <c r="D23" s="151">
        <v>0</v>
      </c>
      <c r="E23" s="151">
        <v>0</v>
      </c>
      <c r="F23" s="151">
        <v>0</v>
      </c>
      <c r="G23" s="12">
        <f t="shared" si="1"/>
        <v>0</v>
      </c>
      <c r="H23" s="12">
        <f>G23*(1-'Roadway Safety'!$B$20)</f>
        <v>0</v>
      </c>
      <c r="J23"/>
      <c r="K23"/>
      <c r="L23"/>
      <c r="M23"/>
      <c r="N23"/>
      <c r="O23"/>
      <c r="P23"/>
      <c r="Q23"/>
      <c r="R23"/>
      <c r="S23"/>
      <c r="T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row>
    <row r="24" spans="1:195">
      <c r="A24" s="8" t="s">
        <v>835</v>
      </c>
      <c r="B24" s="151">
        <v>0</v>
      </c>
      <c r="C24" s="151">
        <v>0</v>
      </c>
      <c r="D24" s="151">
        <v>0</v>
      </c>
      <c r="E24" s="151">
        <v>0</v>
      </c>
      <c r="F24" s="151">
        <v>0</v>
      </c>
      <c r="G24" s="12">
        <f t="shared" si="1"/>
        <v>0</v>
      </c>
      <c r="H24" s="12">
        <f>G24*(1-'Roadway Safety'!$B$20)</f>
        <v>0</v>
      </c>
      <c r="J24"/>
      <c r="K24"/>
      <c r="L24"/>
      <c r="M24"/>
      <c r="N24"/>
      <c r="O24"/>
      <c r="P24"/>
      <c r="Q24"/>
      <c r="R24"/>
      <c r="S24"/>
      <c r="T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row>
    <row r="25" spans="1:195">
      <c r="J25"/>
      <c r="K25"/>
      <c r="L25"/>
      <c r="M25"/>
      <c r="N25"/>
      <c r="O25"/>
      <c r="P25"/>
      <c r="Q25"/>
      <c r="R25"/>
      <c r="S25"/>
      <c r="T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row>
    <row r="26" spans="1:195">
      <c r="J26"/>
      <c r="K26"/>
      <c r="L26"/>
      <c r="M26"/>
      <c r="N26"/>
      <c r="O26"/>
      <c r="P26"/>
      <c r="Q26"/>
      <c r="R26"/>
      <c r="S26"/>
      <c r="T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row>
    <row r="27" spans="1:195">
      <c r="J27"/>
      <c r="K27"/>
      <c r="L27"/>
      <c r="M27"/>
      <c r="N27"/>
      <c r="O27"/>
      <c r="P27"/>
      <c r="Q27"/>
      <c r="R27"/>
      <c r="S27"/>
      <c r="T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row>
    <row r="28" spans="1:195">
      <c r="A28" s="6" t="str">
        <f>'Roadway Safety'!A30</f>
        <v>Countermeasure #3</v>
      </c>
      <c r="J28"/>
      <c r="K28"/>
      <c r="L28"/>
      <c r="M28"/>
      <c r="N28"/>
      <c r="O28"/>
      <c r="P28"/>
      <c r="Q28"/>
      <c r="R28"/>
      <c r="S28"/>
      <c r="T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row>
    <row r="29" spans="1:195">
      <c r="A29" s="623" t="s">
        <v>826</v>
      </c>
      <c r="B29" s="624">
        <v>2018</v>
      </c>
      <c r="C29" s="624">
        <v>2019</v>
      </c>
      <c r="D29" s="624">
        <v>2020</v>
      </c>
      <c r="E29" s="624">
        <v>2021</v>
      </c>
      <c r="F29" s="624">
        <v>2022</v>
      </c>
      <c r="G29" s="624" t="s">
        <v>827</v>
      </c>
      <c r="H29" s="624" t="s">
        <v>828</v>
      </c>
    </row>
    <row r="30" spans="1:195">
      <c r="A30" s="853" t="s">
        <v>829</v>
      </c>
      <c r="B30" s="151">
        <v>0</v>
      </c>
      <c r="C30" s="151">
        <v>0</v>
      </c>
      <c r="D30" s="151">
        <v>0</v>
      </c>
      <c r="E30" s="151">
        <v>0</v>
      </c>
      <c r="F30" s="151">
        <v>0</v>
      </c>
      <c r="G30" s="12">
        <f>AVERAGE(B30:F30)</f>
        <v>0</v>
      </c>
      <c r="H30" s="12">
        <f>G30*(1-'Roadway Safety'!$B$21)</f>
        <v>0</v>
      </c>
    </row>
    <row r="31" spans="1:195">
      <c r="A31" s="8" t="s">
        <v>830</v>
      </c>
      <c r="B31" s="151">
        <v>0</v>
      </c>
      <c r="C31" s="151">
        <v>0</v>
      </c>
      <c r="D31" s="151">
        <v>0</v>
      </c>
      <c r="E31" s="151">
        <v>0</v>
      </c>
      <c r="F31" s="151">
        <v>0</v>
      </c>
      <c r="G31" s="12">
        <f t="shared" ref="G31:G36" si="2">AVERAGE(B31:F31)</f>
        <v>0</v>
      </c>
      <c r="H31" s="12">
        <f>G31*(1-'Roadway Safety'!$B$21)</f>
        <v>0</v>
      </c>
    </row>
    <row r="32" spans="1:195">
      <c r="A32" s="8" t="s">
        <v>831</v>
      </c>
      <c r="B32" s="151">
        <v>0</v>
      </c>
      <c r="C32" s="151">
        <v>0</v>
      </c>
      <c r="D32" s="151">
        <v>0</v>
      </c>
      <c r="E32" s="151">
        <v>0</v>
      </c>
      <c r="F32" s="151">
        <v>0</v>
      </c>
      <c r="G32" s="12">
        <f t="shared" si="2"/>
        <v>0</v>
      </c>
      <c r="H32" s="12">
        <f>G32*(1-'Roadway Safety'!$B$21)</f>
        <v>0</v>
      </c>
    </row>
    <row r="33" spans="1:8">
      <c r="A33" s="8" t="s">
        <v>832</v>
      </c>
      <c r="B33" s="151">
        <v>0</v>
      </c>
      <c r="C33" s="151">
        <v>0</v>
      </c>
      <c r="D33" s="151">
        <v>0</v>
      </c>
      <c r="E33" s="151">
        <v>0</v>
      </c>
      <c r="F33" s="151">
        <v>0</v>
      </c>
      <c r="G33" s="12">
        <f t="shared" si="2"/>
        <v>0</v>
      </c>
      <c r="H33" s="12">
        <f>G33*(1-'Roadway Safety'!$B$21)</f>
        <v>0</v>
      </c>
    </row>
    <row r="34" spans="1:8">
      <c r="A34" s="8" t="s">
        <v>833</v>
      </c>
      <c r="B34" s="151">
        <v>0</v>
      </c>
      <c r="C34" s="151">
        <v>0</v>
      </c>
      <c r="D34" s="151">
        <v>0</v>
      </c>
      <c r="E34" s="151">
        <v>0</v>
      </c>
      <c r="F34" s="151">
        <v>0</v>
      </c>
      <c r="G34" s="12">
        <f t="shared" si="2"/>
        <v>0</v>
      </c>
      <c r="H34" s="12">
        <f>G34*(1-'Roadway Safety'!$B$21)</f>
        <v>0</v>
      </c>
    </row>
    <row r="35" spans="1:8">
      <c r="A35" s="8" t="s">
        <v>834</v>
      </c>
      <c r="B35" s="151">
        <v>0</v>
      </c>
      <c r="C35" s="151">
        <v>0</v>
      </c>
      <c r="D35" s="151">
        <v>0</v>
      </c>
      <c r="E35" s="151">
        <v>0</v>
      </c>
      <c r="F35" s="151">
        <v>0</v>
      </c>
      <c r="G35" s="12">
        <f t="shared" si="2"/>
        <v>0</v>
      </c>
      <c r="H35" s="12">
        <f>G35*(1-'Roadway Safety'!$B$21)</f>
        <v>0</v>
      </c>
    </row>
    <row r="36" spans="1:8">
      <c r="A36" s="8" t="s">
        <v>835</v>
      </c>
      <c r="B36" s="151">
        <v>0</v>
      </c>
      <c r="C36" s="151">
        <v>0</v>
      </c>
      <c r="D36" s="151">
        <v>0</v>
      </c>
      <c r="E36" s="151">
        <v>0</v>
      </c>
      <c r="F36" s="151">
        <v>0</v>
      </c>
      <c r="G36" s="12">
        <f t="shared" si="2"/>
        <v>0</v>
      </c>
      <c r="H36" s="12">
        <f>G36*(1-'Roadway Safety'!$B$21)</f>
        <v>0</v>
      </c>
    </row>
    <row r="40" spans="1:8">
      <c r="A40" s="6" t="str">
        <f>'Roadway Safety'!A31</f>
        <v>Countermeasure #4</v>
      </c>
    </row>
    <row r="41" spans="1:8">
      <c r="A41" s="623" t="s">
        <v>826</v>
      </c>
      <c r="B41" s="624">
        <v>2018</v>
      </c>
      <c r="C41" s="624">
        <v>2019</v>
      </c>
      <c r="D41" s="624">
        <v>2020</v>
      </c>
      <c r="E41" s="624">
        <v>2021</v>
      </c>
      <c r="F41" s="624">
        <v>2022</v>
      </c>
      <c r="G41" s="624" t="s">
        <v>827</v>
      </c>
      <c r="H41" s="624" t="s">
        <v>828</v>
      </c>
    </row>
    <row r="42" spans="1:8">
      <c r="A42" s="853" t="s">
        <v>829</v>
      </c>
      <c r="B42" s="151">
        <v>0</v>
      </c>
      <c r="C42" s="151">
        <v>0</v>
      </c>
      <c r="D42" s="151">
        <v>0</v>
      </c>
      <c r="E42" s="151">
        <v>0</v>
      </c>
      <c r="F42" s="151">
        <v>0</v>
      </c>
      <c r="G42" s="12">
        <f>AVERAGE(B42:F42)</f>
        <v>0</v>
      </c>
      <c r="H42" s="12">
        <f>G42*(1-'Roadway Safety'!$B$22)</f>
        <v>0</v>
      </c>
    </row>
    <row r="43" spans="1:8">
      <c r="A43" s="8" t="s">
        <v>830</v>
      </c>
      <c r="B43" s="151">
        <v>0</v>
      </c>
      <c r="C43" s="151">
        <v>0</v>
      </c>
      <c r="D43" s="151">
        <v>0</v>
      </c>
      <c r="E43" s="151">
        <v>0</v>
      </c>
      <c r="F43" s="151">
        <v>0</v>
      </c>
      <c r="G43" s="12">
        <f t="shared" ref="G43:G48" si="3">AVERAGE(B43:F43)</f>
        <v>0</v>
      </c>
      <c r="H43" s="12">
        <f>G43*(1-'Roadway Safety'!$B$22)</f>
        <v>0</v>
      </c>
    </row>
    <row r="44" spans="1:8">
      <c r="A44" s="8" t="s">
        <v>831</v>
      </c>
      <c r="B44" s="151">
        <v>0</v>
      </c>
      <c r="C44" s="151">
        <v>0</v>
      </c>
      <c r="D44" s="151">
        <v>0</v>
      </c>
      <c r="E44" s="151">
        <v>0</v>
      </c>
      <c r="F44" s="151">
        <v>0</v>
      </c>
      <c r="G44" s="12">
        <f t="shared" si="3"/>
        <v>0</v>
      </c>
      <c r="H44" s="12">
        <f>G44*(1-'Roadway Safety'!$B$22)</f>
        <v>0</v>
      </c>
    </row>
    <row r="45" spans="1:8">
      <c r="A45" s="8" t="s">
        <v>832</v>
      </c>
      <c r="B45" s="151">
        <v>0</v>
      </c>
      <c r="C45" s="151">
        <v>0</v>
      </c>
      <c r="D45" s="151">
        <v>0</v>
      </c>
      <c r="E45" s="151">
        <v>0</v>
      </c>
      <c r="F45" s="151">
        <v>0</v>
      </c>
      <c r="G45" s="12">
        <f t="shared" si="3"/>
        <v>0</v>
      </c>
      <c r="H45" s="12">
        <f>G45*(1-'Roadway Safety'!$B$22)</f>
        <v>0</v>
      </c>
    </row>
    <row r="46" spans="1:8">
      <c r="A46" s="8" t="s">
        <v>833</v>
      </c>
      <c r="B46" s="151">
        <v>0</v>
      </c>
      <c r="C46" s="151">
        <v>0</v>
      </c>
      <c r="D46" s="151">
        <v>0</v>
      </c>
      <c r="E46" s="151">
        <v>0</v>
      </c>
      <c r="F46" s="151">
        <v>0</v>
      </c>
      <c r="G46" s="12">
        <f t="shared" si="3"/>
        <v>0</v>
      </c>
      <c r="H46" s="12">
        <f>G46*(1-'Roadway Safety'!$B$22)</f>
        <v>0</v>
      </c>
    </row>
    <row r="47" spans="1:8">
      <c r="A47" s="8" t="s">
        <v>834</v>
      </c>
      <c r="B47" s="151">
        <v>0</v>
      </c>
      <c r="C47" s="151">
        <v>0</v>
      </c>
      <c r="D47" s="151">
        <v>0</v>
      </c>
      <c r="E47" s="151">
        <v>0</v>
      </c>
      <c r="F47" s="151">
        <v>0</v>
      </c>
      <c r="G47" s="12">
        <f t="shared" si="3"/>
        <v>0</v>
      </c>
      <c r="H47" s="12">
        <f>G47*(1-'Roadway Safety'!$B$22)</f>
        <v>0</v>
      </c>
    </row>
    <row r="48" spans="1:8">
      <c r="A48" s="8" t="s">
        <v>835</v>
      </c>
      <c r="B48" s="151">
        <v>0</v>
      </c>
      <c r="C48" s="151">
        <v>0</v>
      </c>
      <c r="D48" s="151">
        <v>0</v>
      </c>
      <c r="E48" s="151">
        <v>0</v>
      </c>
      <c r="F48" s="151">
        <v>0</v>
      </c>
      <c r="G48" s="12">
        <f t="shared" si="3"/>
        <v>0</v>
      </c>
      <c r="H48" s="12">
        <f>G48*(1-'Roadway Safety'!$B$22)</f>
        <v>0</v>
      </c>
    </row>
    <row r="52" spans="1:8">
      <c r="A52" s="6" t="str">
        <f>'Roadway Safety'!A32</f>
        <v>Countermeasure #5</v>
      </c>
    </row>
    <row r="53" spans="1:8">
      <c r="A53" s="623" t="s">
        <v>826</v>
      </c>
      <c r="B53" s="624">
        <v>2018</v>
      </c>
      <c r="C53" s="624">
        <v>2019</v>
      </c>
      <c r="D53" s="624">
        <v>2020</v>
      </c>
      <c r="E53" s="624">
        <v>2021</v>
      </c>
      <c r="F53" s="624">
        <v>2022</v>
      </c>
      <c r="G53" s="624" t="s">
        <v>827</v>
      </c>
      <c r="H53" s="624" t="s">
        <v>828</v>
      </c>
    </row>
    <row r="54" spans="1:8">
      <c r="A54" s="853" t="s">
        <v>829</v>
      </c>
      <c r="B54" s="151">
        <v>0</v>
      </c>
      <c r="C54" s="151">
        <v>0</v>
      </c>
      <c r="D54" s="151">
        <v>0</v>
      </c>
      <c r="E54" s="151">
        <v>0</v>
      </c>
      <c r="F54" s="151">
        <v>0</v>
      </c>
      <c r="G54" s="12">
        <f>AVERAGE(B54:F54)</f>
        <v>0</v>
      </c>
      <c r="H54" s="12">
        <f>G54*(1-'Roadway Safety'!$B$23)</f>
        <v>0</v>
      </c>
    </row>
    <row r="55" spans="1:8">
      <c r="A55" s="8" t="s">
        <v>830</v>
      </c>
      <c r="B55" s="151">
        <v>0</v>
      </c>
      <c r="C55" s="151">
        <v>0</v>
      </c>
      <c r="D55" s="151">
        <v>0</v>
      </c>
      <c r="E55" s="151">
        <v>0</v>
      </c>
      <c r="F55" s="151">
        <v>0</v>
      </c>
      <c r="G55" s="12">
        <f t="shared" ref="G55:G60" si="4">AVERAGE(B55:F55)</f>
        <v>0</v>
      </c>
      <c r="H55" s="12">
        <f>G55*(1-'Roadway Safety'!$B$23)</f>
        <v>0</v>
      </c>
    </row>
    <row r="56" spans="1:8">
      <c r="A56" s="8" t="s">
        <v>831</v>
      </c>
      <c r="B56" s="151">
        <v>0</v>
      </c>
      <c r="C56" s="151">
        <v>0</v>
      </c>
      <c r="D56" s="151">
        <v>0</v>
      </c>
      <c r="E56" s="151">
        <v>0</v>
      </c>
      <c r="F56" s="151">
        <v>0</v>
      </c>
      <c r="G56" s="12">
        <f t="shared" si="4"/>
        <v>0</v>
      </c>
      <c r="H56" s="12">
        <f>G56*(1-'Roadway Safety'!$B$23)</f>
        <v>0</v>
      </c>
    </row>
    <row r="57" spans="1:8">
      <c r="A57" s="8" t="s">
        <v>832</v>
      </c>
      <c r="B57" s="151">
        <v>0</v>
      </c>
      <c r="C57" s="151">
        <v>0</v>
      </c>
      <c r="D57" s="151">
        <v>0</v>
      </c>
      <c r="E57" s="151">
        <v>0</v>
      </c>
      <c r="F57" s="151">
        <v>0</v>
      </c>
      <c r="G57" s="12">
        <f t="shared" si="4"/>
        <v>0</v>
      </c>
      <c r="H57" s="12">
        <f>G57*(1-'Roadway Safety'!$B$23)</f>
        <v>0</v>
      </c>
    </row>
    <row r="58" spans="1:8">
      <c r="A58" s="8" t="s">
        <v>833</v>
      </c>
      <c r="B58" s="151">
        <v>0</v>
      </c>
      <c r="C58" s="151">
        <v>0</v>
      </c>
      <c r="D58" s="151">
        <v>0</v>
      </c>
      <c r="E58" s="151">
        <v>0</v>
      </c>
      <c r="F58" s="151">
        <v>0</v>
      </c>
      <c r="G58" s="12">
        <f t="shared" si="4"/>
        <v>0</v>
      </c>
      <c r="H58" s="12">
        <f>G58*(1-'Roadway Safety'!$B$23)</f>
        <v>0</v>
      </c>
    </row>
    <row r="59" spans="1:8">
      <c r="A59" s="8" t="s">
        <v>834</v>
      </c>
      <c r="B59" s="151">
        <v>0</v>
      </c>
      <c r="C59" s="151">
        <v>0</v>
      </c>
      <c r="D59" s="151">
        <v>0</v>
      </c>
      <c r="E59" s="151">
        <v>0</v>
      </c>
      <c r="F59" s="151">
        <v>0</v>
      </c>
      <c r="G59" s="12">
        <f t="shared" si="4"/>
        <v>0</v>
      </c>
      <c r="H59" s="12">
        <f>G59*(1-'Roadway Safety'!$B$23)</f>
        <v>0</v>
      </c>
    </row>
    <row r="60" spans="1:8">
      <c r="A60" s="8" t="s">
        <v>835</v>
      </c>
      <c r="B60" s="151">
        <v>0</v>
      </c>
      <c r="C60" s="151">
        <v>0</v>
      </c>
      <c r="D60" s="151">
        <v>0</v>
      </c>
      <c r="E60" s="151">
        <v>0</v>
      </c>
      <c r="F60" s="151">
        <v>0</v>
      </c>
      <c r="G60" s="12">
        <f t="shared" si="4"/>
        <v>0</v>
      </c>
      <c r="H60" s="12">
        <f>G60*(1-'Roadway Safety'!$B$23)</f>
        <v>0</v>
      </c>
    </row>
    <row r="64" spans="1:8">
      <c r="A64" s="6" t="str">
        <f>'Roadway Safety'!A33</f>
        <v>Countermeasure #6</v>
      </c>
    </row>
    <row r="65" spans="1:8">
      <c r="A65" s="623" t="s">
        <v>826</v>
      </c>
      <c r="B65" s="624">
        <v>2018</v>
      </c>
      <c r="C65" s="624">
        <v>2019</v>
      </c>
      <c r="D65" s="624">
        <v>2020</v>
      </c>
      <c r="E65" s="624">
        <v>2021</v>
      </c>
      <c r="F65" s="624">
        <v>2022</v>
      </c>
      <c r="G65" s="624" t="s">
        <v>827</v>
      </c>
      <c r="H65" s="624" t="s">
        <v>828</v>
      </c>
    </row>
    <row r="66" spans="1:8">
      <c r="A66" s="853" t="s">
        <v>829</v>
      </c>
      <c r="B66" s="151">
        <v>0</v>
      </c>
      <c r="C66" s="151">
        <v>0</v>
      </c>
      <c r="D66" s="151">
        <v>0</v>
      </c>
      <c r="E66" s="151">
        <v>0</v>
      </c>
      <c r="F66" s="151">
        <v>0</v>
      </c>
      <c r="G66" s="12">
        <f>AVERAGE(B66:F66)</f>
        <v>0</v>
      </c>
      <c r="H66" s="12">
        <f>G66*(1-'Roadway Safety'!$B$24)</f>
        <v>0</v>
      </c>
    </row>
    <row r="67" spans="1:8">
      <c r="A67" s="8" t="s">
        <v>830</v>
      </c>
      <c r="B67" s="151">
        <v>0</v>
      </c>
      <c r="C67" s="151">
        <v>0</v>
      </c>
      <c r="D67" s="151">
        <v>0</v>
      </c>
      <c r="E67" s="151">
        <v>0</v>
      </c>
      <c r="F67" s="151">
        <v>0</v>
      </c>
      <c r="G67" s="12">
        <f t="shared" ref="G67:G72" si="5">AVERAGE(B67:F67)</f>
        <v>0</v>
      </c>
      <c r="H67" s="12">
        <f>G67*(1-'Roadway Safety'!$B$24)</f>
        <v>0</v>
      </c>
    </row>
    <row r="68" spans="1:8">
      <c r="A68" s="8" t="s">
        <v>831</v>
      </c>
      <c r="B68" s="151">
        <v>0</v>
      </c>
      <c r="C68" s="151">
        <v>0</v>
      </c>
      <c r="D68" s="151">
        <v>0</v>
      </c>
      <c r="E68" s="151">
        <v>0</v>
      </c>
      <c r="F68" s="151">
        <v>0</v>
      </c>
      <c r="G68" s="12">
        <f t="shared" si="5"/>
        <v>0</v>
      </c>
      <c r="H68" s="12">
        <f>G68*(1-'Roadway Safety'!$B$24)</f>
        <v>0</v>
      </c>
    </row>
    <row r="69" spans="1:8">
      <c r="A69" s="8" t="s">
        <v>832</v>
      </c>
      <c r="B69" s="151">
        <v>0</v>
      </c>
      <c r="C69" s="151">
        <v>0</v>
      </c>
      <c r="D69" s="151">
        <v>0</v>
      </c>
      <c r="E69" s="151">
        <v>0</v>
      </c>
      <c r="F69" s="151">
        <v>0</v>
      </c>
      <c r="G69" s="12">
        <f t="shared" si="5"/>
        <v>0</v>
      </c>
      <c r="H69" s="12">
        <f>G69*(1-'Roadway Safety'!$B$24)</f>
        <v>0</v>
      </c>
    </row>
    <row r="70" spans="1:8">
      <c r="A70" s="8" t="s">
        <v>833</v>
      </c>
      <c r="B70" s="151">
        <v>0</v>
      </c>
      <c r="C70" s="151">
        <v>0</v>
      </c>
      <c r="D70" s="151">
        <v>0</v>
      </c>
      <c r="E70" s="151">
        <v>0</v>
      </c>
      <c r="F70" s="151">
        <v>0</v>
      </c>
      <c r="G70" s="12">
        <f t="shared" si="5"/>
        <v>0</v>
      </c>
      <c r="H70" s="12">
        <f>G70*(1-'Roadway Safety'!$B$24)</f>
        <v>0</v>
      </c>
    </row>
    <row r="71" spans="1:8">
      <c r="A71" s="8" t="s">
        <v>834</v>
      </c>
      <c r="B71" s="151">
        <v>0</v>
      </c>
      <c r="C71" s="151">
        <v>0</v>
      </c>
      <c r="D71" s="151">
        <v>0</v>
      </c>
      <c r="E71" s="151">
        <v>0</v>
      </c>
      <c r="F71" s="151">
        <v>0</v>
      </c>
      <c r="G71" s="12">
        <f t="shared" si="5"/>
        <v>0</v>
      </c>
      <c r="H71" s="12">
        <f>G71*(1-'Roadway Safety'!$B$24)</f>
        <v>0</v>
      </c>
    </row>
    <row r="72" spans="1:8">
      <c r="A72" s="8" t="s">
        <v>835</v>
      </c>
      <c r="B72" s="151">
        <v>0</v>
      </c>
      <c r="C72" s="151">
        <v>0</v>
      </c>
      <c r="D72" s="151">
        <v>0</v>
      </c>
      <c r="E72" s="151">
        <v>0</v>
      </c>
      <c r="F72" s="151">
        <v>0</v>
      </c>
      <c r="G72" s="12">
        <f t="shared" si="5"/>
        <v>0</v>
      </c>
      <c r="H72" s="12">
        <f>G72*(1-'Roadway Safety'!$B$24)</f>
        <v>0</v>
      </c>
    </row>
    <row r="76" spans="1:8">
      <c r="A76" s="6" t="str">
        <f>'Roadway Safety'!A34</f>
        <v>Countermeasure #7</v>
      </c>
    </row>
    <row r="77" spans="1:8">
      <c r="A77" s="623" t="s">
        <v>826</v>
      </c>
      <c r="B77" s="624">
        <v>2018</v>
      </c>
      <c r="C77" s="624">
        <v>2019</v>
      </c>
      <c r="D77" s="624">
        <v>2020</v>
      </c>
      <c r="E77" s="624">
        <v>2021</v>
      </c>
      <c r="F77" s="624">
        <v>2022</v>
      </c>
      <c r="G77" s="624" t="s">
        <v>827</v>
      </c>
      <c r="H77" s="624" t="s">
        <v>828</v>
      </c>
    </row>
    <row r="78" spans="1:8">
      <c r="A78" s="853" t="s">
        <v>829</v>
      </c>
      <c r="B78" s="151">
        <v>0</v>
      </c>
      <c r="C78" s="151">
        <v>0</v>
      </c>
      <c r="D78" s="151">
        <v>0</v>
      </c>
      <c r="E78" s="151">
        <v>0</v>
      </c>
      <c r="F78" s="151">
        <v>0</v>
      </c>
      <c r="G78" s="12">
        <f>AVERAGE(B78:F78)</f>
        <v>0</v>
      </c>
      <c r="H78" s="12">
        <f>G78*(1-'Roadway Safety'!$B$25)</f>
        <v>0</v>
      </c>
    </row>
    <row r="79" spans="1:8">
      <c r="A79" s="8" t="s">
        <v>830</v>
      </c>
      <c r="B79" s="151">
        <v>0</v>
      </c>
      <c r="C79" s="151">
        <v>0</v>
      </c>
      <c r="D79" s="151">
        <v>0</v>
      </c>
      <c r="E79" s="151">
        <v>0</v>
      </c>
      <c r="F79" s="151">
        <v>0</v>
      </c>
      <c r="G79" s="12">
        <f t="shared" ref="G79:G84" si="6">AVERAGE(B79:F79)</f>
        <v>0</v>
      </c>
      <c r="H79" s="12">
        <f>G79*(1-'Roadway Safety'!$B$25)</f>
        <v>0</v>
      </c>
    </row>
    <row r="80" spans="1:8">
      <c r="A80" s="8" t="s">
        <v>831</v>
      </c>
      <c r="B80" s="151">
        <v>0</v>
      </c>
      <c r="C80" s="151">
        <v>0</v>
      </c>
      <c r="D80" s="151">
        <v>0</v>
      </c>
      <c r="E80" s="151">
        <v>0</v>
      </c>
      <c r="F80" s="151">
        <v>0</v>
      </c>
      <c r="G80" s="12">
        <f t="shared" si="6"/>
        <v>0</v>
      </c>
      <c r="H80" s="12">
        <f>G80*(1-'Roadway Safety'!$B$25)</f>
        <v>0</v>
      </c>
    </row>
    <row r="81" spans="1:8">
      <c r="A81" s="8" t="s">
        <v>832</v>
      </c>
      <c r="B81" s="151">
        <v>0</v>
      </c>
      <c r="C81" s="151">
        <v>0</v>
      </c>
      <c r="D81" s="151">
        <v>0</v>
      </c>
      <c r="E81" s="151">
        <v>0</v>
      </c>
      <c r="F81" s="151">
        <v>0</v>
      </c>
      <c r="G81" s="12">
        <f t="shared" si="6"/>
        <v>0</v>
      </c>
      <c r="H81" s="12">
        <f>G81*(1-'Roadway Safety'!$B$25)</f>
        <v>0</v>
      </c>
    </row>
    <row r="82" spans="1:8">
      <c r="A82" s="8" t="s">
        <v>833</v>
      </c>
      <c r="B82" s="151">
        <v>0</v>
      </c>
      <c r="C82" s="151">
        <v>0</v>
      </c>
      <c r="D82" s="151">
        <v>0</v>
      </c>
      <c r="E82" s="151">
        <v>0</v>
      </c>
      <c r="F82" s="151">
        <v>0</v>
      </c>
      <c r="G82" s="12">
        <f t="shared" si="6"/>
        <v>0</v>
      </c>
      <c r="H82" s="12">
        <f>G82*(1-'Roadway Safety'!$B$25)</f>
        <v>0</v>
      </c>
    </row>
    <row r="83" spans="1:8">
      <c r="A83" s="8" t="s">
        <v>834</v>
      </c>
      <c r="B83" s="151">
        <v>0</v>
      </c>
      <c r="C83" s="151">
        <v>0</v>
      </c>
      <c r="D83" s="151">
        <v>0</v>
      </c>
      <c r="E83" s="151">
        <v>0</v>
      </c>
      <c r="F83" s="151">
        <v>0</v>
      </c>
      <c r="G83" s="12">
        <f t="shared" si="6"/>
        <v>0</v>
      </c>
      <c r="H83" s="12">
        <f>G83*(1-'Roadway Safety'!$B$25)</f>
        <v>0</v>
      </c>
    </row>
    <row r="84" spans="1:8">
      <c r="A84" s="8" t="s">
        <v>835</v>
      </c>
      <c r="B84" s="151">
        <v>0</v>
      </c>
      <c r="C84" s="151">
        <v>0</v>
      </c>
      <c r="D84" s="151">
        <v>0</v>
      </c>
      <c r="E84" s="151">
        <v>0</v>
      </c>
      <c r="F84" s="151">
        <v>0</v>
      </c>
      <c r="G84" s="12">
        <f t="shared" si="6"/>
        <v>0</v>
      </c>
      <c r="H84" s="12">
        <f>G84*(1-'Roadway Safety'!$B$25)</f>
        <v>0</v>
      </c>
    </row>
    <row r="87" spans="1:8" ht="85.5" customHeight="1">
      <c r="A87" s="1948" t="s">
        <v>836</v>
      </c>
      <c r="B87" s="1948"/>
      <c r="C87" s="1948"/>
      <c r="D87" s="1948"/>
      <c r="E87" s="1948"/>
      <c r="F87" s="1948"/>
      <c r="G87" s="1948"/>
      <c r="H87" s="1948"/>
    </row>
  </sheetData>
  <mergeCells count="2">
    <mergeCell ref="A87:H87"/>
    <mergeCell ref="B1:G1"/>
  </mergeCells>
  <phoneticPr fontId="20" type="noConversion"/>
  <pageMargins left="0.25" right="0.25" top="0.75" bottom="0.75" header="0.3" footer="0.3"/>
  <pageSetup scale="6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H73"/>
  <sheetViews>
    <sheetView workbookViewId="0"/>
  </sheetViews>
  <sheetFormatPr defaultRowHeight="13.2"/>
  <cols>
    <col min="1" max="12" width="16.77734375" customWidth="1"/>
    <col min="13" max="17" width="9" bestFit="1" customWidth="1"/>
    <col min="19" max="23" width="9" bestFit="1" customWidth="1"/>
  </cols>
  <sheetData>
    <row r="1" spans="1:8" ht="25.2" customHeight="1">
      <c r="A1" s="271" t="s">
        <v>185</v>
      </c>
      <c r="B1" s="42" t="s">
        <v>837</v>
      </c>
      <c r="C1" s="204"/>
      <c r="D1" s="270"/>
      <c r="E1" s="270"/>
      <c r="F1" s="33" t="s">
        <v>187</v>
      </c>
      <c r="G1" s="45" t="str">
        <f>HYPERLINK("#'"&amp;INDEX('Master Key'!$B:$B,MATCH("Master Key",'Master Key'!$B:$B,0),1)&amp;"'!A1","Go To Sheet")</f>
        <v>Go To Sheet</v>
      </c>
      <c r="H1" s="45"/>
    </row>
    <row r="2" spans="1:8" ht="15.6">
      <c r="A2" s="207" t="s">
        <v>838</v>
      </c>
      <c r="B2" s="208"/>
      <c r="C2" s="208"/>
      <c r="D2" s="207"/>
    </row>
    <row r="73" spans="4:4">
      <c r="D73">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topLeftCell="M32" workbookViewId="0">
      <selection sqref="A1:XFD1048576"/>
    </sheetView>
  </sheetViews>
  <sheetFormatPr defaultColWidth="8.77734375" defaultRowHeight="14.4"/>
  <cols>
    <col min="1" max="1" width="47.21875" style="1195" bestFit="1" customWidth="1"/>
    <col min="2" max="3" width="28.21875" style="1195" customWidth="1"/>
    <col min="4" max="4" width="36.5546875" style="1195" customWidth="1"/>
    <col min="5" max="5" width="7.5546875" style="1195" customWidth="1"/>
    <col min="6" max="6" width="31" style="1195" customWidth="1"/>
    <col min="7" max="7" width="33.77734375" style="1195" bestFit="1" customWidth="1"/>
    <col min="8" max="10" width="33.77734375" style="1195" customWidth="1"/>
    <col min="11" max="11" width="19.77734375" style="1195" customWidth="1"/>
    <col min="12" max="15" width="35.5546875" style="1195" customWidth="1"/>
    <col min="16" max="16" width="19.77734375" style="1195" customWidth="1"/>
    <col min="17" max="17" width="20" style="1195" bestFit="1" customWidth="1"/>
    <col min="18" max="18" width="18.21875" style="1195" bestFit="1" customWidth="1"/>
    <col min="19" max="19" width="15.21875" style="1259" bestFit="1" customWidth="1"/>
    <col min="20" max="24" width="15.5546875" style="1259" customWidth="1"/>
    <col min="25" max="25" width="9.21875" style="1259" bestFit="1" customWidth="1"/>
    <col min="26" max="26" width="16.77734375" style="1276" customWidth="1"/>
    <col min="27" max="27" width="34.44140625" style="1259" bestFit="1" customWidth="1"/>
    <col min="28" max="28" width="18.77734375" style="1259" customWidth="1"/>
    <col min="29" max="29" width="40.21875" style="1259" customWidth="1"/>
    <col min="30" max="30" width="30.21875" style="1259" customWidth="1"/>
    <col min="31" max="16384" width="8.77734375" style="1259"/>
  </cols>
  <sheetData>
    <row r="1" spans="1:27" ht="25.2" customHeight="1">
      <c r="A1" s="1009" t="s">
        <v>185</v>
      </c>
      <c r="B1" s="1143" t="s">
        <v>839</v>
      </c>
      <c r="C1" s="1275"/>
      <c r="D1" s="1172"/>
      <c r="E1" s="1172"/>
      <c r="F1" s="1011"/>
      <c r="G1" s="1029"/>
      <c r="H1" s="1029"/>
      <c r="I1" s="1029"/>
      <c r="J1" s="1012"/>
    </row>
    <row r="2" spans="1:27" ht="15" thickBot="1">
      <c r="A2" s="1174"/>
      <c r="B2" s="1174"/>
      <c r="C2" s="1174"/>
      <c r="D2" s="1173"/>
      <c r="E2" s="1173"/>
    </row>
    <row r="3" spans="1:27" ht="60" customHeight="1">
      <c r="A3" s="1277" t="s">
        <v>482</v>
      </c>
      <c r="B3" s="1875" t="s">
        <v>840</v>
      </c>
      <c r="C3" s="1875"/>
      <c r="D3" s="1875"/>
      <c r="E3" s="1174"/>
      <c r="F3" s="1278" t="s">
        <v>801</v>
      </c>
      <c r="G3" s="1279"/>
      <c r="H3" s="1279"/>
      <c r="I3" s="1279"/>
      <c r="J3" s="1279"/>
      <c r="K3" s="1279"/>
      <c r="L3" s="1279"/>
      <c r="M3" s="1279"/>
      <c r="N3" s="1279"/>
      <c r="O3" s="1279"/>
      <c r="P3" s="1279"/>
      <c r="Q3" s="1279"/>
      <c r="R3" s="1280"/>
      <c r="S3" s="1281"/>
      <c r="T3" s="1950" t="s">
        <v>420</v>
      </c>
      <c r="U3" s="1950"/>
      <c r="V3" s="1950"/>
      <c r="W3" s="1950"/>
      <c r="AA3" s="1282"/>
    </row>
    <row r="4" spans="1:27" ht="18">
      <c r="C4" s="1173"/>
      <c r="D4" s="1173"/>
      <c r="E4" s="1174"/>
      <c r="F4" s="1189" t="s">
        <v>508</v>
      </c>
      <c r="G4" s="1953" t="s">
        <v>66</v>
      </c>
      <c r="H4" s="1954"/>
      <c r="I4" s="1954"/>
      <c r="J4" s="1955"/>
      <c r="K4" s="1156" t="s">
        <v>66</v>
      </c>
      <c r="L4" s="1953" t="s">
        <v>131</v>
      </c>
      <c r="M4" s="1954"/>
      <c r="N4" s="1954"/>
      <c r="O4" s="1955"/>
      <c r="P4" s="1157" t="s">
        <v>131</v>
      </c>
      <c r="Q4" s="1868" t="s">
        <v>488</v>
      </c>
      <c r="R4" s="1869"/>
      <c r="S4" s="1281"/>
      <c r="T4" s="1285" t="s">
        <v>66</v>
      </c>
      <c r="U4" s="1286" t="s">
        <v>131</v>
      </c>
      <c r="V4" s="1868" t="s">
        <v>488</v>
      </c>
      <c r="W4" s="1869"/>
    </row>
    <row r="5" spans="1:27" ht="60" customHeight="1" thickBot="1">
      <c r="A5" s="1676" t="s">
        <v>489</v>
      </c>
      <c r="B5" s="1876" t="s">
        <v>841</v>
      </c>
      <c r="C5" s="1876"/>
      <c r="D5" s="1876"/>
      <c r="E5" s="1173"/>
      <c r="F5" s="1528" t="s">
        <v>518</v>
      </c>
      <c r="G5" s="1529" t="s">
        <v>842</v>
      </c>
      <c r="H5" s="1529" t="s">
        <v>843</v>
      </c>
      <c r="I5" s="1529" t="s">
        <v>844</v>
      </c>
      <c r="J5" s="1529" t="s">
        <v>845</v>
      </c>
      <c r="K5" s="1494" t="s">
        <v>15</v>
      </c>
      <c r="L5" s="1529" t="s">
        <v>842</v>
      </c>
      <c r="M5" s="1529" t="s">
        <v>843</v>
      </c>
      <c r="N5" s="1529" t="s">
        <v>844</v>
      </c>
      <c r="O5" s="1529" t="s">
        <v>845</v>
      </c>
      <c r="P5" s="1495" t="s">
        <v>15</v>
      </c>
      <c r="Q5" s="1870"/>
      <c r="R5" s="1871"/>
      <c r="S5" s="1281"/>
      <c r="T5" s="1494" t="s">
        <v>15</v>
      </c>
      <c r="U5" s="1495" t="s">
        <v>15</v>
      </c>
      <c r="V5" s="1870"/>
      <c r="W5" s="1871"/>
    </row>
    <row r="6" spans="1:27" ht="28.8">
      <c r="C6" s="1173"/>
      <c r="D6" s="1173"/>
      <c r="E6" s="1173"/>
      <c r="F6" s="1528"/>
      <c r="G6" s="1529" t="s">
        <v>811</v>
      </c>
      <c r="H6" s="1529" t="s">
        <v>811</v>
      </c>
      <c r="I6" s="1529" t="s">
        <v>811</v>
      </c>
      <c r="J6" s="1529" t="s">
        <v>811</v>
      </c>
      <c r="K6" s="1494" t="s">
        <v>812</v>
      </c>
      <c r="L6" s="1529" t="s">
        <v>811</v>
      </c>
      <c r="M6" s="1529" t="s">
        <v>811</v>
      </c>
      <c r="N6" s="1529" t="s">
        <v>811</v>
      </c>
      <c r="O6" s="1529" t="s">
        <v>811</v>
      </c>
      <c r="P6" s="1495" t="s">
        <v>812</v>
      </c>
      <c r="Q6" s="1500" t="s">
        <v>419</v>
      </c>
      <c r="R6" s="1501" t="str">
        <f>"Discounted @ "&amp;TEXT('Major Assumption Key'!$B$8,"0.0%")</f>
        <v>Discounted @ 3.1%</v>
      </c>
      <c r="S6" s="1281"/>
      <c r="T6" s="1494" t="s">
        <v>812</v>
      </c>
      <c r="U6" s="1495" t="s">
        <v>812</v>
      </c>
      <c r="V6" s="1500" t="s">
        <v>419</v>
      </c>
      <c r="W6" s="1501" t="str">
        <f>"Discounted @ "&amp;TEXT('Major Assumption Key'!$B$8,"0.0%")</f>
        <v>Discounted @ 3.1%</v>
      </c>
    </row>
    <row r="7" spans="1:27" ht="19.95" customHeight="1">
      <c r="A7" s="1173"/>
      <c r="B7" s="1173"/>
      <c r="C7" s="1173"/>
      <c r="D7" s="1173"/>
      <c r="E7" s="1173"/>
      <c r="F7" s="1181">
        <f>'Major Assumption Key'!A19</f>
        <v>2020</v>
      </c>
      <c r="G7" s="1290">
        <f>IF(AND($F7&gt;=MIN($C$26),$F7&lt;=MAX($D$26)),SUMPRODUCT('Ped Safety CRTMeasure'!$G$7:$G$12,'BCA Guide - Parameter Values'!$C$6:$C$11)+'Ped Safety CRTMeasure'!$G$6*'BCA Guide - Parameter Values'!$C$14,0)</f>
        <v>0</v>
      </c>
      <c r="H7" s="1290">
        <f>IF(AND($F7&gt;=MIN($C$27),$F7&lt;=MAX($D$27)),SUMPRODUCT('Ped Safety CRTMeasure'!$G$19:$G$24,'BCA Guide - Parameter Values'!$C$6:$C$11)+'Ped Safety CRTMeasure'!$G$18*'BCA Guide - Parameter Values'!$C$14,0)</f>
        <v>0</v>
      </c>
      <c r="I7" s="1290">
        <f>IF(AND($F7&gt;=MIN($C$28),$F7&lt;=MAX($D$28)),SUMPRODUCT('Ped Safety CRTMeasure'!$G$31:$G$36,'BCA Guide - Parameter Values'!$C$6:$C$11)+'Ped Safety CRTMeasure'!$G$30*'BCA Guide - Parameter Values'!$C$14,0)</f>
        <v>0</v>
      </c>
      <c r="J7" s="1290">
        <f>IF(AND($F7&gt;=MIN($C$29),$F7&lt;=MAX($D$29)),SUMPRODUCT('Ped Safety CRTMeasure'!$G$43:$G$48,'BCA Guide - Parameter Values'!$C$6:$C$11)+'Ped Safety CRTMeasure'!$G$42*'BCA Guide - Parameter Values'!$C$14,0)</f>
        <v>0</v>
      </c>
      <c r="K7" s="1165">
        <f>IF(AND(F7&gt;='Major Assumption Key'!$B$4,F7&lt;='Major Assumption Key'!$B$6),SUM(G7:J7),0)</f>
        <v>0</v>
      </c>
      <c r="L7" s="1290">
        <f>IF(AND($F7&gt;=MIN($C$26),$F7&lt;=MAX($D$26)),SUMPRODUCT('Ped Safety CRTMeasure'!$H$7:$H$12,'BCA Guide - Parameter Values'!$C$6:$C$11)+'Ped Safety CRTMeasure'!$H$6*'BCA Guide - Parameter Values'!$C$14,0)</f>
        <v>0</v>
      </c>
      <c r="M7" s="1291">
        <f>IF(AND($F7&gt;=MIN($C$27),$F7&lt;=MAX($D$27)),SUMPRODUCT('Ped Safety CRTMeasure'!$H$19:$H$24,'BCA Guide - Parameter Values'!$C$6:$C$11)+'Ped Safety CRTMeasure'!$H$18*'BCA Guide - Parameter Values'!$C$14,0)</f>
        <v>0</v>
      </c>
      <c r="N7" s="1291">
        <f>IF(AND($F7&gt;=MIN($C$28),$F7&lt;=MAX($D$28)),SUMPRODUCT('Ped Safety CRTMeasure'!$H$31:$H$36,'BCA Guide - Parameter Values'!$C$6:$C$11)+'Ped Safety CRTMeasure'!$H$30*'BCA Guide - Parameter Values'!$C$14,0)</f>
        <v>0</v>
      </c>
      <c r="O7" s="1291">
        <f>IF(AND($F7&gt;=MIN($C$29),$F7&lt;=MAX($D$29)),SUMPRODUCT('Ped Safety CRTMeasure'!$H$43:$H$48,'BCA Guide - Parameter Values'!$C$6:$C$11)+'Ped Safety CRTMeasure'!$H$42*'BCA Guide - Parameter Values'!$C$14,0)</f>
        <v>0</v>
      </c>
      <c r="P7" s="1199">
        <f>IF(AND(F7&gt;='Major Assumption Key'!$B$4,F7&lt;='Major Assumption Key'!$B$6),SUM(L7:O7),0)</f>
        <v>0</v>
      </c>
      <c r="Q7" s="1292">
        <f t="shared" ref="Q7" si="0">(P7-K7)*-1</f>
        <v>0</v>
      </c>
      <c r="R7" s="1169">
        <f>Q7/(1+'Major Assumption Key'!$B$8)^($F7-'Major Assumption Key'!$B$7)</f>
        <v>0</v>
      </c>
      <c r="S7" s="1281"/>
      <c r="T7" s="1165">
        <f t="shared" ref="T7" si="1">ROUND(K7,-3)</f>
        <v>0</v>
      </c>
      <c r="U7" s="1199">
        <f t="shared" ref="U7" si="2">ROUND(P7,-3)</f>
        <v>0</v>
      </c>
      <c r="V7" s="1292">
        <f t="shared" ref="V7" si="3">ROUND(Q7,-3)</f>
        <v>0</v>
      </c>
      <c r="W7" s="1169">
        <f t="shared" ref="W7" si="4">ROUND(R7,-3)</f>
        <v>0</v>
      </c>
    </row>
    <row r="8" spans="1:27" ht="19.95" customHeight="1">
      <c r="E8" s="1173"/>
      <c r="F8" s="1181">
        <f>'Major Assumption Key'!A20</f>
        <v>2021</v>
      </c>
      <c r="G8" s="1290">
        <f>IF(AND($F8&gt;=MIN($C$26),$F8&lt;=MAX($D$26)),SUMPRODUCT('Ped Safety CRTMeasure'!$G$7:$G$12,'BCA Guide - Parameter Values'!$C$6:$C$11)+'Ped Safety CRTMeasure'!$G$6*'BCA Guide - Parameter Values'!$C$14,0)</f>
        <v>0</v>
      </c>
      <c r="H8" s="1290">
        <f>IF(AND($F8&gt;=MIN($C$27),$F8&lt;=MAX($D$27)),SUMPRODUCT('Ped Safety CRTMeasure'!$G$19:$G$24,'BCA Guide - Parameter Values'!$C$6:$C$11)+'Ped Safety CRTMeasure'!$G$18*'BCA Guide - Parameter Values'!$C$14,0)</f>
        <v>0</v>
      </c>
      <c r="I8" s="1290">
        <f>IF(AND($F8&gt;=MIN($C$28),$F8&lt;=MAX($D$28)),SUMPRODUCT('Ped Safety CRTMeasure'!$G$31:$G$36,'BCA Guide - Parameter Values'!$C$6:$C$11)+'Ped Safety CRTMeasure'!$G$30*'BCA Guide - Parameter Values'!$C$14,0)</f>
        <v>0</v>
      </c>
      <c r="J8" s="1290">
        <f>IF(AND($F8&gt;=MIN($C$29),$F8&lt;=MAX($D$29)),SUMPRODUCT('Ped Safety CRTMeasure'!$G$43:$G$48,'BCA Guide - Parameter Values'!$C$6:$C$11)+'Ped Safety CRTMeasure'!$G$42*'BCA Guide - Parameter Values'!$C$14,0)</f>
        <v>0</v>
      </c>
      <c r="K8" s="1165">
        <f>IF(AND(F8&gt;='Major Assumption Key'!$B$4,F8&lt;='Major Assumption Key'!$B$6),SUM(G8:J8),0)</f>
        <v>0</v>
      </c>
      <c r="L8" s="1290">
        <f>IF(AND($F8&gt;=MIN($C$26),$F8&lt;=MAX($D$26)),SUMPRODUCT('Ped Safety CRTMeasure'!$H$7:$H$12,'BCA Guide - Parameter Values'!$C$6:$C$11)+'Ped Safety CRTMeasure'!$H$6*'BCA Guide - Parameter Values'!$C$14,0)</f>
        <v>0</v>
      </c>
      <c r="M8" s="1291">
        <f>IF(AND($F8&gt;=MIN($C$27),$F8&lt;=MAX($D$27)),SUMPRODUCT('Ped Safety CRTMeasure'!$H$19:$H$24,'BCA Guide - Parameter Values'!$C$6:$C$11)+'Ped Safety CRTMeasure'!$H$18*'BCA Guide - Parameter Values'!$C$14,0)</f>
        <v>0</v>
      </c>
      <c r="N8" s="1291">
        <f>IF(AND($F8&gt;=MIN($C$28),$F8&lt;=MAX($D$28)),SUMPRODUCT('Ped Safety CRTMeasure'!$H$31:$H$36,'BCA Guide - Parameter Values'!$C$6:$C$11)+'Ped Safety CRTMeasure'!$H$30*'BCA Guide - Parameter Values'!$C$14,0)</f>
        <v>0</v>
      </c>
      <c r="O8" s="1291">
        <f>IF(AND($F8&gt;=MIN($C$29),$F8&lt;=MAX($D$29)),SUMPRODUCT('Ped Safety CRTMeasure'!$H$43:$H$48,'BCA Guide - Parameter Values'!$C$6:$C$11)+'Ped Safety CRTMeasure'!$H$42*'BCA Guide - Parameter Values'!$C$14,0)</f>
        <v>0</v>
      </c>
      <c r="P8" s="1199">
        <f>IF(AND(F8&gt;='Major Assumption Key'!$B$4,F8&lt;='Major Assumption Key'!$B$6),SUM(L8:O8),0)</f>
        <v>0</v>
      </c>
      <c r="Q8" s="1292">
        <f t="shared" ref="Q8:Q45" si="5">(P8-K8)*-1</f>
        <v>0</v>
      </c>
      <c r="R8" s="1169">
        <f>Q8/(1+'Major Assumption Key'!$B$8)^($F8-'Major Assumption Key'!$B$7)</f>
        <v>0</v>
      </c>
      <c r="S8" s="1281"/>
      <c r="T8" s="1165">
        <f t="shared" ref="T8:T45" si="6">ROUND(K8,-3)</f>
        <v>0</v>
      </c>
      <c r="U8" s="1199">
        <f t="shared" ref="U8:U45" si="7">ROUND(P8,-3)</f>
        <v>0</v>
      </c>
      <c r="V8" s="1292">
        <f t="shared" ref="V8:V45" si="8">ROUND(Q8,-3)</f>
        <v>0</v>
      </c>
      <c r="W8" s="1169">
        <f t="shared" ref="W8:W45" si="9">ROUND(R8,-3)</f>
        <v>0</v>
      </c>
    </row>
    <row r="9" spans="1:27" ht="19.95" customHeight="1">
      <c r="A9" s="1859" t="s">
        <v>432</v>
      </c>
      <c r="B9" s="1860"/>
      <c r="C9" s="1860"/>
      <c r="D9" s="1861"/>
      <c r="E9" s="1173"/>
      <c r="F9" s="1181">
        <f>'Major Assumption Key'!A21</f>
        <v>2022</v>
      </c>
      <c r="G9" s="1290">
        <f>IF(AND($F9&gt;=MIN($C$26),$F9&lt;=MAX($D$26)),SUMPRODUCT('Ped Safety CRTMeasure'!$G$7:$G$12,'BCA Guide - Parameter Values'!$C$6:$C$11)+'Ped Safety CRTMeasure'!$G$6*'BCA Guide - Parameter Values'!$C$14,0)</f>
        <v>0</v>
      </c>
      <c r="H9" s="1290">
        <f>IF(AND($F9&gt;=MIN($C$27),$F9&lt;=MAX($D$27)),SUMPRODUCT('Ped Safety CRTMeasure'!$G$19:$G$24,'BCA Guide - Parameter Values'!$C$6:$C$11)+'Ped Safety CRTMeasure'!$G$18*'BCA Guide - Parameter Values'!$C$14,0)</f>
        <v>0</v>
      </c>
      <c r="I9" s="1290">
        <f>IF(AND($F9&gt;=MIN($C$28),$F9&lt;=MAX($D$28)),SUMPRODUCT('Ped Safety CRTMeasure'!$G$31:$G$36,'BCA Guide - Parameter Values'!$C$6:$C$11)+'Ped Safety CRTMeasure'!$G$30*'BCA Guide - Parameter Values'!$C$14,0)</f>
        <v>0</v>
      </c>
      <c r="J9" s="1290">
        <f>IF(AND($F9&gt;=MIN($C$29),$F9&lt;=MAX($D$29)),SUMPRODUCT('Ped Safety CRTMeasure'!$G$43:$G$48,'BCA Guide - Parameter Values'!$C$6:$C$11)+'Ped Safety CRTMeasure'!$G$42*'BCA Guide - Parameter Values'!$C$14,0)</f>
        <v>0</v>
      </c>
      <c r="K9" s="1165">
        <f>IF(AND(F9&gt;='Major Assumption Key'!$B$4,F9&lt;='Major Assumption Key'!$B$6),SUM(G9:J9),0)</f>
        <v>0</v>
      </c>
      <c r="L9" s="1290">
        <f>IF(AND($F9&gt;=MIN($C$26),$F9&lt;=MAX($D$26)),SUMPRODUCT('Ped Safety CRTMeasure'!$H$7:$H$12,'BCA Guide - Parameter Values'!$C$6:$C$11)+'Ped Safety CRTMeasure'!$H$6*'BCA Guide - Parameter Values'!$C$14,0)</f>
        <v>0</v>
      </c>
      <c r="M9" s="1291">
        <f>IF(AND($F9&gt;=MIN($C$27),$F9&lt;=MAX($D$27)),SUMPRODUCT('Ped Safety CRTMeasure'!$H$19:$H$24,'BCA Guide - Parameter Values'!$C$6:$C$11)+'Ped Safety CRTMeasure'!$H$18*'BCA Guide - Parameter Values'!$C$14,0)</f>
        <v>0</v>
      </c>
      <c r="N9" s="1291">
        <f>IF(AND($F9&gt;=MIN($C$28),$F9&lt;=MAX($D$28)),SUMPRODUCT('Ped Safety CRTMeasure'!$H$31:$H$36,'BCA Guide - Parameter Values'!$C$6:$C$11)+'Ped Safety CRTMeasure'!$H$30*'BCA Guide - Parameter Values'!$C$14,0)</f>
        <v>0</v>
      </c>
      <c r="O9" s="1291">
        <f>IF(AND($F9&gt;=MIN($C$29),$F9&lt;=MAX($D$29)),SUMPRODUCT('Ped Safety CRTMeasure'!$H$43:$H$48,'BCA Guide - Parameter Values'!$C$6:$C$11)+'Ped Safety CRTMeasure'!$H$42*'BCA Guide - Parameter Values'!$C$14,0)</f>
        <v>0</v>
      </c>
      <c r="P9" s="1199">
        <f>IF(AND(F9&gt;='Major Assumption Key'!$B$4,F9&lt;='Major Assumption Key'!$B$6),SUM(L9:O9),0)</f>
        <v>0</v>
      </c>
      <c r="Q9" s="1292">
        <f t="shared" si="5"/>
        <v>0</v>
      </c>
      <c r="R9" s="1169">
        <f>Q9/(1+'Major Assumption Key'!$B$8)^($F9-'Major Assumption Key'!$B$7)</f>
        <v>0</v>
      </c>
      <c r="S9" s="1281"/>
      <c r="T9" s="1165">
        <f t="shared" si="6"/>
        <v>0</v>
      </c>
      <c r="U9" s="1199">
        <f t="shared" si="7"/>
        <v>0</v>
      </c>
      <c r="V9" s="1292">
        <f t="shared" si="8"/>
        <v>0</v>
      </c>
      <c r="W9" s="1169">
        <f t="shared" si="9"/>
        <v>0</v>
      </c>
    </row>
    <row r="10" spans="1:27" ht="19.95" customHeight="1">
      <c r="A10" s="1862" t="s">
        <v>418</v>
      </c>
      <c r="B10" s="1862"/>
      <c r="C10" s="1340" t="s">
        <v>419</v>
      </c>
      <c r="D10" s="1340" t="str">
        <f>_xlfn.CONCAT("Discounted @",TEXT('Major Assumption Key'!B8,"0.0%"))</f>
        <v>Discounted @3.1%</v>
      </c>
      <c r="E10" s="1173"/>
      <c r="F10" s="1181">
        <f>'Major Assumption Key'!A22</f>
        <v>2023</v>
      </c>
      <c r="G10" s="1290">
        <f>IF(AND($F10&gt;=MIN($C$26),$F10&lt;=MAX($D$26)),SUMPRODUCT('Ped Safety CRTMeasure'!$G$7:$G$12,'BCA Guide - Parameter Values'!$C$6:$C$11)+'Ped Safety CRTMeasure'!$G$6*'BCA Guide - Parameter Values'!$C$14,0)</f>
        <v>0</v>
      </c>
      <c r="H10" s="1290">
        <f>IF(AND($F10&gt;=MIN($C$27),$F10&lt;=MAX($D$27)),SUMPRODUCT('Ped Safety CRTMeasure'!$G$19:$G$24,'BCA Guide - Parameter Values'!$C$6:$C$11)+'Ped Safety CRTMeasure'!$G$18*'BCA Guide - Parameter Values'!$C$14,0)</f>
        <v>0</v>
      </c>
      <c r="I10" s="1290">
        <f>IF(AND($F10&gt;=MIN($C$28),$F10&lt;=MAX($D$28)),SUMPRODUCT('Ped Safety CRTMeasure'!$G$31:$G$36,'BCA Guide - Parameter Values'!$C$6:$C$11)+'Ped Safety CRTMeasure'!$G$30*'BCA Guide - Parameter Values'!$C$14,0)</f>
        <v>0</v>
      </c>
      <c r="J10" s="1290">
        <f>IF(AND($F10&gt;=MIN($C$29),$F10&lt;=MAX($D$29)),SUMPRODUCT('Ped Safety CRTMeasure'!$G$43:$G$48,'BCA Guide - Parameter Values'!$C$6:$C$11)+'Ped Safety CRTMeasure'!$G$42*'BCA Guide - Parameter Values'!$C$14,0)</f>
        <v>0</v>
      </c>
      <c r="K10" s="1165">
        <f>IF(AND(F10&gt;='Major Assumption Key'!$B$4,F10&lt;='Major Assumption Key'!$B$6),SUM(G10:J10),0)</f>
        <v>0</v>
      </c>
      <c r="L10" s="1290">
        <f>IF(AND($F10&gt;=MIN($C$26),$F10&lt;=MAX($D$26)),SUMPRODUCT('Ped Safety CRTMeasure'!$H$7:$H$12,'BCA Guide - Parameter Values'!$C$6:$C$11)+'Ped Safety CRTMeasure'!$H$6*'BCA Guide - Parameter Values'!$C$14,0)</f>
        <v>0</v>
      </c>
      <c r="M10" s="1291">
        <f>IF(AND($F10&gt;=MIN($C$27),$F10&lt;=MAX($D$27)),SUMPRODUCT('Ped Safety CRTMeasure'!$H$19:$H$24,'BCA Guide - Parameter Values'!$C$6:$C$11)+'Ped Safety CRTMeasure'!$H$18*'BCA Guide - Parameter Values'!$C$14,0)</f>
        <v>0</v>
      </c>
      <c r="N10" s="1291">
        <f>IF(AND($F10&gt;=MIN($C$28),$F10&lt;=MAX($D$28)),SUMPRODUCT('Ped Safety CRTMeasure'!$H$31:$H$36,'BCA Guide - Parameter Values'!$C$6:$C$11)+'Ped Safety CRTMeasure'!$H$30*'BCA Guide - Parameter Values'!$C$14,0)</f>
        <v>0</v>
      </c>
      <c r="O10" s="1291">
        <f>IF(AND($F10&gt;=MIN($C$29),$F10&lt;=MAX($D$29)),SUMPRODUCT('Ped Safety CRTMeasure'!$H$43:$H$48,'BCA Guide - Parameter Values'!$C$6:$C$11)+'Ped Safety CRTMeasure'!$H$42*'BCA Guide - Parameter Values'!$C$14,0)</f>
        <v>0</v>
      </c>
      <c r="P10" s="1199">
        <f>IF(AND(F10&gt;='Major Assumption Key'!$B$4,F10&lt;='Major Assumption Key'!$B$6),SUM(L10:O10),0)</f>
        <v>0</v>
      </c>
      <c r="Q10" s="1292">
        <f t="shared" si="5"/>
        <v>0</v>
      </c>
      <c r="R10" s="1169">
        <f>Q10/(1+'Major Assumption Key'!$B$8)^($F10-'Major Assumption Key'!$B$7)</f>
        <v>0</v>
      </c>
      <c r="S10" s="1281"/>
      <c r="T10" s="1165">
        <f t="shared" si="6"/>
        <v>0</v>
      </c>
      <c r="U10" s="1199">
        <f t="shared" si="7"/>
        <v>0</v>
      </c>
      <c r="V10" s="1292">
        <f t="shared" si="8"/>
        <v>0</v>
      </c>
      <c r="W10" s="1169">
        <f t="shared" si="9"/>
        <v>0</v>
      </c>
    </row>
    <row r="11" spans="1:27" ht="19.95" customHeight="1">
      <c r="A11" s="1863" t="s">
        <v>11</v>
      </c>
      <c r="B11" s="1863"/>
      <c r="C11" s="1503">
        <f>'BCA Summary'!$H$7</f>
        <v>1.0111569298276737</v>
      </c>
      <c r="D11" s="1503">
        <f>'BCA Summary'!$I$7</f>
        <v>0.6276932096418345</v>
      </c>
      <c r="E11" s="1173"/>
      <c r="F11" s="1181">
        <f>'Major Assumption Key'!A23</f>
        <v>2024</v>
      </c>
      <c r="G11" s="1290">
        <f>IF(AND($F11&gt;=MIN($C$26),$F11&lt;=MAX($D$26)),SUMPRODUCT('Ped Safety CRTMeasure'!$G$7:$G$12,'BCA Guide - Parameter Values'!$C$6:$C$11)+'Ped Safety CRTMeasure'!$G$6*'BCA Guide - Parameter Values'!$C$14,0)</f>
        <v>0</v>
      </c>
      <c r="H11" s="1290">
        <f>IF(AND($F11&gt;=MIN($C$27),$F11&lt;=MAX($D$27)),SUMPRODUCT('Ped Safety CRTMeasure'!$G$19:$G$24,'BCA Guide - Parameter Values'!$C$6:$C$11)+'Ped Safety CRTMeasure'!$G$18*'BCA Guide - Parameter Values'!$C$14,0)</f>
        <v>0</v>
      </c>
      <c r="I11" s="1290">
        <f>IF(AND($F11&gt;=MIN($C$28),$F11&lt;=MAX($D$28)),SUMPRODUCT('Ped Safety CRTMeasure'!$G$31:$G$36,'BCA Guide - Parameter Values'!$C$6:$C$11)+'Ped Safety CRTMeasure'!$G$30*'BCA Guide - Parameter Values'!$C$14,0)</f>
        <v>0</v>
      </c>
      <c r="J11" s="1290">
        <f>IF(AND($F11&gt;=MIN($C$29),$F11&lt;=MAX($D$29)),SUMPRODUCT('Ped Safety CRTMeasure'!$G$43:$G$48,'BCA Guide - Parameter Values'!$C$6:$C$11)+'Ped Safety CRTMeasure'!$G$42*'BCA Guide - Parameter Values'!$C$14,0)</f>
        <v>0</v>
      </c>
      <c r="K11" s="1165">
        <f>IF(AND(F11&gt;='Major Assumption Key'!$B$4,F11&lt;='Major Assumption Key'!$B$6),SUM(G11:J11),0)</f>
        <v>0</v>
      </c>
      <c r="L11" s="1290">
        <f>IF(AND($F11&gt;=MIN($C$26),$F11&lt;=MAX($D$26)),SUMPRODUCT('Ped Safety CRTMeasure'!$H$7:$H$12,'BCA Guide - Parameter Values'!$C$6:$C$11)+'Ped Safety CRTMeasure'!$H$6*'BCA Guide - Parameter Values'!$C$14,0)</f>
        <v>0</v>
      </c>
      <c r="M11" s="1291">
        <f>IF(AND($F11&gt;=MIN($C$27),$F11&lt;=MAX($D$27)),SUMPRODUCT('Ped Safety CRTMeasure'!$H$19:$H$24,'BCA Guide - Parameter Values'!$C$6:$C$11)+'Ped Safety CRTMeasure'!$H$18*'BCA Guide - Parameter Values'!$C$14,0)</f>
        <v>0</v>
      </c>
      <c r="N11" s="1291">
        <f>IF(AND($F11&gt;=MIN($C$28),$F11&lt;=MAX($D$28)),SUMPRODUCT('Ped Safety CRTMeasure'!$H$31:$H$36,'BCA Guide - Parameter Values'!$C$6:$C$11)+'Ped Safety CRTMeasure'!$H$30*'BCA Guide - Parameter Values'!$C$14,0)</f>
        <v>0</v>
      </c>
      <c r="O11" s="1291">
        <f>IF(AND($F11&gt;=MIN($C$29),$F11&lt;=MAX($D$29)),SUMPRODUCT('Ped Safety CRTMeasure'!$H$43:$H$48,'BCA Guide - Parameter Values'!$C$6:$C$11)+'Ped Safety CRTMeasure'!$H$42*'BCA Guide - Parameter Values'!$C$14,0)</f>
        <v>0</v>
      </c>
      <c r="P11" s="1199">
        <f>IF(AND(F11&gt;='Major Assumption Key'!$B$4,F11&lt;='Major Assumption Key'!$B$6),SUM(L11:O11),0)</f>
        <v>0</v>
      </c>
      <c r="Q11" s="1292">
        <f t="shared" si="5"/>
        <v>0</v>
      </c>
      <c r="R11" s="1169">
        <f>Q11/(1+'Major Assumption Key'!$B$8)^($F11-'Major Assumption Key'!$B$7)</f>
        <v>0</v>
      </c>
      <c r="S11" s="1281"/>
      <c r="T11" s="1165">
        <f t="shared" si="6"/>
        <v>0</v>
      </c>
      <c r="U11" s="1199">
        <f t="shared" si="7"/>
        <v>0</v>
      </c>
      <c r="V11" s="1292">
        <f t="shared" si="8"/>
        <v>0</v>
      </c>
      <c r="W11" s="1169">
        <f t="shared" si="9"/>
        <v>0</v>
      </c>
    </row>
    <row r="12" spans="1:27" ht="19.95" customHeight="1">
      <c r="A12" s="1863" t="s">
        <v>12</v>
      </c>
      <c r="B12" s="1863"/>
      <c r="C12" s="1340">
        <f>'BCA Summary'!$H$8</f>
        <v>236636.98382712901</v>
      </c>
      <c r="D12" s="1340">
        <f>'BCA Summary'!$I$8</f>
        <v>-6930297.4454113934</v>
      </c>
      <c r="E12" s="1173"/>
      <c r="F12" s="1181">
        <f>'Major Assumption Key'!A24</f>
        <v>2025</v>
      </c>
      <c r="G12" s="1290">
        <f>IF(AND($F12&gt;=MIN($C$26),$F12&lt;=MAX($D$26)),SUMPRODUCT('Ped Safety CRTMeasure'!$G$7:$G$12,'BCA Guide - Parameter Values'!$C$6:$C$11)+'Ped Safety CRTMeasure'!$G$6*'BCA Guide - Parameter Values'!$C$14,0)</f>
        <v>0</v>
      </c>
      <c r="H12" s="1290">
        <f>IF(AND($F12&gt;=MIN($C$27),$F12&lt;=MAX($D$27)),SUMPRODUCT('Ped Safety CRTMeasure'!$G$19:$G$24,'BCA Guide - Parameter Values'!$C$6:$C$11)+'Ped Safety CRTMeasure'!$G$18*'BCA Guide - Parameter Values'!$C$14,0)</f>
        <v>0</v>
      </c>
      <c r="I12" s="1290">
        <f>IF(AND($F12&gt;=MIN($C$28),$F12&lt;=MAX($D$28)),SUMPRODUCT('Ped Safety CRTMeasure'!$G$31:$G$36,'BCA Guide - Parameter Values'!$C$6:$C$11)+'Ped Safety CRTMeasure'!$G$30*'BCA Guide - Parameter Values'!$C$14,0)</f>
        <v>0</v>
      </c>
      <c r="J12" s="1290">
        <f>IF(AND($F12&gt;=MIN($C$29),$F12&lt;=MAX($D$29)),SUMPRODUCT('Ped Safety CRTMeasure'!$G$43:$G$48,'BCA Guide - Parameter Values'!$C$6:$C$11)+'Ped Safety CRTMeasure'!$G$42*'BCA Guide - Parameter Values'!$C$14,0)</f>
        <v>0</v>
      </c>
      <c r="K12" s="1165">
        <f>IF(AND(F12&gt;='Major Assumption Key'!$B$4,F12&lt;='Major Assumption Key'!$B$6),SUM(G12:J12),0)</f>
        <v>0</v>
      </c>
      <c r="L12" s="1290">
        <f>IF(AND($F12&gt;=MIN($C$26),$F12&lt;=MAX($D$26)),SUMPRODUCT('Ped Safety CRTMeasure'!$H$7:$H$12,'BCA Guide - Parameter Values'!$C$6:$C$11)+'Ped Safety CRTMeasure'!$H$6*'BCA Guide - Parameter Values'!$C$14,0)</f>
        <v>0</v>
      </c>
      <c r="M12" s="1291">
        <f>IF(AND($F12&gt;=MIN($C$27),$F12&lt;=MAX($D$27)),SUMPRODUCT('Ped Safety CRTMeasure'!$H$19:$H$24,'BCA Guide - Parameter Values'!$C$6:$C$11)+'Ped Safety CRTMeasure'!$H$18*'BCA Guide - Parameter Values'!$C$14,0)</f>
        <v>0</v>
      </c>
      <c r="N12" s="1291">
        <f>IF(AND($F12&gt;=MIN($C$28),$F12&lt;=MAX($D$28)),SUMPRODUCT('Ped Safety CRTMeasure'!$H$31:$H$36,'BCA Guide - Parameter Values'!$C$6:$C$11)+'Ped Safety CRTMeasure'!$H$30*'BCA Guide - Parameter Values'!$C$14,0)</f>
        <v>0</v>
      </c>
      <c r="O12" s="1291">
        <f>IF(AND($F12&gt;=MIN($C$29),$F12&lt;=MAX($D$29)),SUMPRODUCT('Ped Safety CRTMeasure'!$H$43:$H$48,'BCA Guide - Parameter Values'!$C$6:$C$11)+'Ped Safety CRTMeasure'!$H$42*'BCA Guide - Parameter Values'!$C$14,0)</f>
        <v>0</v>
      </c>
      <c r="P12" s="1199">
        <f>IF(AND(F12&gt;='Major Assumption Key'!$B$4,F12&lt;='Major Assumption Key'!$B$6),SUM(L12:O12),0)</f>
        <v>0</v>
      </c>
      <c r="Q12" s="1292">
        <f t="shared" si="5"/>
        <v>0</v>
      </c>
      <c r="R12" s="1169">
        <f>Q12/(1+'Major Assumption Key'!$B$8)^($F12-'Major Assumption Key'!$B$7)</f>
        <v>0</v>
      </c>
      <c r="S12" s="1281"/>
      <c r="T12" s="1165">
        <f t="shared" si="6"/>
        <v>0</v>
      </c>
      <c r="U12" s="1199">
        <f t="shared" si="7"/>
        <v>0</v>
      </c>
      <c r="V12" s="1292">
        <f t="shared" si="8"/>
        <v>0</v>
      </c>
      <c r="W12" s="1169">
        <f t="shared" si="9"/>
        <v>0</v>
      </c>
    </row>
    <row r="13" spans="1:27" ht="19.95" customHeight="1">
      <c r="C13" s="1173"/>
      <c r="D13" s="1173"/>
      <c r="E13" s="1173"/>
      <c r="F13" s="1181">
        <f>'Major Assumption Key'!A25</f>
        <v>2026</v>
      </c>
      <c r="G13" s="1290">
        <f>IF(AND($F13&gt;=MIN($C$26),$F13&lt;=MAX($D$26)),SUMPRODUCT('Ped Safety CRTMeasure'!$G$7:$G$12,'BCA Guide - Parameter Values'!$C$6:$C$11)+'Ped Safety CRTMeasure'!$G$6*'BCA Guide - Parameter Values'!$C$14,0)</f>
        <v>0</v>
      </c>
      <c r="H13" s="1290">
        <f>IF(AND($F13&gt;=MIN($C$27),$F13&lt;=MAX($D$27)),SUMPRODUCT('Ped Safety CRTMeasure'!$G$19:$G$24,'BCA Guide - Parameter Values'!$C$6:$C$11)+'Ped Safety CRTMeasure'!$G$18*'BCA Guide - Parameter Values'!$C$14,0)</f>
        <v>0</v>
      </c>
      <c r="I13" s="1290">
        <f>IF(AND($F13&gt;=MIN($C$28),$F13&lt;=MAX($D$28)),SUMPRODUCT('Ped Safety CRTMeasure'!$G$31:$G$36,'BCA Guide - Parameter Values'!$C$6:$C$11)+'Ped Safety CRTMeasure'!$G$30*'BCA Guide - Parameter Values'!$C$14,0)</f>
        <v>0</v>
      </c>
      <c r="J13" s="1290">
        <f>IF(AND($F13&gt;=MIN($C$29),$F13&lt;=MAX($D$29)),SUMPRODUCT('Ped Safety CRTMeasure'!$G$43:$G$48,'BCA Guide - Parameter Values'!$C$6:$C$11)+'Ped Safety CRTMeasure'!$G$42*'BCA Guide - Parameter Values'!$C$14,0)</f>
        <v>0</v>
      </c>
      <c r="K13" s="1165">
        <f>IF(AND(F13&gt;='Major Assumption Key'!$B$4,F13&lt;='Major Assumption Key'!$B$6),SUM(G13:J13),0)</f>
        <v>0</v>
      </c>
      <c r="L13" s="1290">
        <f>IF(AND($F13&gt;=MIN($C$26),$F13&lt;=MAX($D$26)),SUMPRODUCT('Ped Safety CRTMeasure'!$H$7:$H$12,'BCA Guide - Parameter Values'!$C$6:$C$11)+'Ped Safety CRTMeasure'!$H$6*'BCA Guide - Parameter Values'!$C$14,0)</f>
        <v>0</v>
      </c>
      <c r="M13" s="1291">
        <f>IF(AND($F13&gt;=MIN($C$27),$F13&lt;=MAX($D$27)),SUMPRODUCT('Ped Safety CRTMeasure'!$H$19:$H$24,'BCA Guide - Parameter Values'!$C$6:$C$11)+'Ped Safety CRTMeasure'!$H$18*'BCA Guide - Parameter Values'!$C$14,0)</f>
        <v>0</v>
      </c>
      <c r="N13" s="1291">
        <f>IF(AND($F13&gt;=MIN($C$28),$F13&lt;=MAX($D$28)),SUMPRODUCT('Ped Safety CRTMeasure'!$H$31:$H$36,'BCA Guide - Parameter Values'!$C$6:$C$11)+'Ped Safety CRTMeasure'!$H$30*'BCA Guide - Parameter Values'!$C$14,0)</f>
        <v>0</v>
      </c>
      <c r="O13" s="1291">
        <f>IF(AND($F13&gt;=MIN($C$29),$F13&lt;=MAX($D$29)),SUMPRODUCT('Ped Safety CRTMeasure'!$H$43:$H$48,'BCA Guide - Parameter Values'!$C$6:$C$11)+'Ped Safety CRTMeasure'!$H$42*'BCA Guide - Parameter Values'!$C$14,0)</f>
        <v>0</v>
      </c>
      <c r="P13" s="1199">
        <f>IF(AND(F13&gt;='Major Assumption Key'!$B$4,F13&lt;='Major Assumption Key'!$B$6),SUM(L13:O13),0)</f>
        <v>0</v>
      </c>
      <c r="Q13" s="1292">
        <f t="shared" si="5"/>
        <v>0</v>
      </c>
      <c r="R13" s="1169">
        <f>Q13/(1+'Major Assumption Key'!$B$8)^($F13-'Major Assumption Key'!$B$7)</f>
        <v>0</v>
      </c>
      <c r="S13" s="1281"/>
      <c r="T13" s="1165">
        <f t="shared" si="6"/>
        <v>0</v>
      </c>
      <c r="U13" s="1199">
        <f t="shared" si="7"/>
        <v>0</v>
      </c>
      <c r="V13" s="1292">
        <f t="shared" si="8"/>
        <v>0</v>
      </c>
      <c r="W13" s="1169">
        <f t="shared" si="9"/>
        <v>0</v>
      </c>
    </row>
    <row r="14" spans="1:27" ht="19.95" customHeight="1" thickBot="1">
      <c r="E14" s="1173"/>
      <c r="F14" s="1181">
        <f>'Major Assumption Key'!A26</f>
        <v>2027</v>
      </c>
      <c r="G14" s="1290">
        <f>IF(AND($F14&gt;=MIN($C$26),$F14&lt;=MAX($D$26)),SUMPRODUCT('Ped Safety CRTMeasure'!$G$7:$G$12,'BCA Guide - Parameter Values'!$C$6:$C$11)+'Ped Safety CRTMeasure'!$G$6*'BCA Guide - Parameter Values'!$C$14,0)</f>
        <v>0</v>
      </c>
      <c r="H14" s="1290">
        <f>IF(AND($F14&gt;=MIN($C$27),$F14&lt;=MAX($D$27)),SUMPRODUCT('Ped Safety CRTMeasure'!$G$19:$G$24,'BCA Guide - Parameter Values'!$C$6:$C$11)+'Ped Safety CRTMeasure'!$G$18*'BCA Guide - Parameter Values'!$C$14,0)</f>
        <v>0</v>
      </c>
      <c r="I14" s="1290">
        <f>IF(AND($F14&gt;=MIN($C$28),$F14&lt;=MAX($D$28)),SUMPRODUCT('Ped Safety CRTMeasure'!$G$31:$G$36,'BCA Guide - Parameter Values'!$C$6:$C$11)+'Ped Safety CRTMeasure'!$G$30*'BCA Guide - Parameter Values'!$C$14,0)</f>
        <v>0</v>
      </c>
      <c r="J14" s="1290">
        <f>IF(AND($F14&gt;=MIN($C$29),$F14&lt;=MAX($D$29)),SUMPRODUCT('Ped Safety CRTMeasure'!$G$43:$G$48,'BCA Guide - Parameter Values'!$C$6:$C$11)+'Ped Safety CRTMeasure'!$G$42*'BCA Guide - Parameter Values'!$C$14,0)</f>
        <v>0</v>
      </c>
      <c r="K14" s="1165">
        <f>IF(AND(F14&gt;='Major Assumption Key'!$B$4,F14&lt;='Major Assumption Key'!$B$6),SUM(G14:J14),0)</f>
        <v>0</v>
      </c>
      <c r="L14" s="1290">
        <f>IF(AND($F14&gt;=MIN($C$26),$F14&lt;=MAX($D$26)),SUMPRODUCT('Ped Safety CRTMeasure'!$H$7:$H$12,'BCA Guide - Parameter Values'!$C$6:$C$11)+'Ped Safety CRTMeasure'!$H$6*'BCA Guide - Parameter Values'!$C$14,0)</f>
        <v>0</v>
      </c>
      <c r="M14" s="1291">
        <f>IF(AND($F14&gt;=MIN($C$27),$F14&lt;=MAX($D$27)),SUMPRODUCT('Ped Safety CRTMeasure'!$H$19:$H$24,'BCA Guide - Parameter Values'!$C$6:$C$11)+'Ped Safety CRTMeasure'!$H$18*'BCA Guide - Parameter Values'!$C$14,0)</f>
        <v>0</v>
      </c>
      <c r="N14" s="1291">
        <f>IF(AND($F14&gt;=MIN($C$28),$F14&lt;=MAX($D$28)),SUMPRODUCT('Ped Safety CRTMeasure'!$H$31:$H$36,'BCA Guide - Parameter Values'!$C$6:$C$11)+'Ped Safety CRTMeasure'!$H$30*'BCA Guide - Parameter Values'!$C$14,0)</f>
        <v>0</v>
      </c>
      <c r="O14" s="1291">
        <f>IF(AND($F14&gt;=MIN($C$29),$F14&lt;=MAX($D$29)),SUMPRODUCT('Ped Safety CRTMeasure'!$H$43:$H$48,'BCA Guide - Parameter Values'!$C$6:$C$11)+'Ped Safety CRTMeasure'!$H$42*'BCA Guide - Parameter Values'!$C$14,0)</f>
        <v>0</v>
      </c>
      <c r="P14" s="1199">
        <f>IF(AND(F14&gt;='Major Assumption Key'!$B$4,F14&lt;='Major Assumption Key'!$B$6),SUM(L14:O14),0)</f>
        <v>0</v>
      </c>
      <c r="Q14" s="1292">
        <f t="shared" si="5"/>
        <v>0</v>
      </c>
      <c r="R14" s="1169">
        <f>Q14/(1+'Major Assumption Key'!$B$8)^($F14-'Major Assumption Key'!$B$7)</f>
        <v>0</v>
      </c>
      <c r="S14" s="1281"/>
      <c r="T14" s="1165">
        <f t="shared" si="6"/>
        <v>0</v>
      </c>
      <c r="U14" s="1199">
        <f t="shared" si="7"/>
        <v>0</v>
      </c>
      <c r="V14" s="1292">
        <f t="shared" si="8"/>
        <v>0</v>
      </c>
      <c r="W14" s="1169">
        <f t="shared" si="9"/>
        <v>0</v>
      </c>
    </row>
    <row r="15" spans="1:27" ht="19.95" customHeight="1" thickBot="1">
      <c r="A15" s="1687" t="s">
        <v>181</v>
      </c>
      <c r="B15" s="1688" t="s">
        <v>434</v>
      </c>
      <c r="C15" s="1951" t="s">
        <v>498</v>
      </c>
      <c r="D15" s="1952"/>
      <c r="E15" s="1173"/>
      <c r="F15" s="1181">
        <f>'Major Assumption Key'!A27</f>
        <v>2028</v>
      </c>
      <c r="G15" s="1290">
        <f>IF(AND($F15&gt;=MIN($C$26),$F15&lt;=MAX($D$26)),SUMPRODUCT('Ped Safety CRTMeasure'!$G$7:$G$12,'BCA Guide - Parameter Values'!$C$6:$C$11)+'Ped Safety CRTMeasure'!$G$6*'BCA Guide - Parameter Values'!$C$14,0)</f>
        <v>400020</v>
      </c>
      <c r="H15" s="1290">
        <f>IF(AND($F15&gt;=MIN($C$27),$F15&lt;=MAX($D$27)),SUMPRODUCT('Ped Safety CRTMeasure'!$G$19:$G$24,'BCA Guide - Parameter Values'!$C$6:$C$11)+'Ped Safety CRTMeasure'!$G$18*'BCA Guide - Parameter Values'!$C$14,0)</f>
        <v>0</v>
      </c>
      <c r="I15" s="1290">
        <f>IF(AND($F15&gt;=MIN($C$28),$F15&lt;=MAX($D$28)),SUMPRODUCT('Ped Safety CRTMeasure'!$G$31:$G$36,'BCA Guide - Parameter Values'!$C$6:$C$11)+'Ped Safety CRTMeasure'!$G$30*'BCA Guide - Parameter Values'!$C$14,0)</f>
        <v>0</v>
      </c>
      <c r="J15" s="1290">
        <f>IF(AND($F15&gt;=MIN($C$29),$F15&lt;=MAX($D$29)),SUMPRODUCT('Ped Safety CRTMeasure'!$G$43:$G$48,'BCA Guide - Parameter Values'!$C$6:$C$11)+'Ped Safety CRTMeasure'!$G$42*'BCA Guide - Parameter Values'!$C$14,0)</f>
        <v>0</v>
      </c>
      <c r="K15" s="1165">
        <f>IF(AND(F15&gt;='Major Assumption Key'!$B$4,F15&lt;='Major Assumption Key'!$B$6),SUM(G15:J15),0)</f>
        <v>400020</v>
      </c>
      <c r="L15" s="1290">
        <f>IF(AND($F15&gt;=MIN($C$26),$F15&lt;=MAX($D$26)),SUMPRODUCT('Ped Safety CRTMeasure'!$H$7:$H$12,'BCA Guide - Parameter Values'!$C$6:$C$11)+'Ped Safety CRTMeasure'!$H$6*'BCA Guide - Parameter Values'!$C$14,0)</f>
        <v>344017.2</v>
      </c>
      <c r="M15" s="1291">
        <f>IF(AND($F15&gt;=MIN($C$27),$F15&lt;=MAX($D$27)),SUMPRODUCT('Ped Safety CRTMeasure'!$H$19:$H$24,'BCA Guide - Parameter Values'!$C$6:$C$11)+'Ped Safety CRTMeasure'!$H$18*'BCA Guide - Parameter Values'!$C$14,0)</f>
        <v>0</v>
      </c>
      <c r="N15" s="1291">
        <f>IF(AND($F15&gt;=MIN($C$28),$F15&lt;=MAX($D$28)),SUMPRODUCT('Ped Safety CRTMeasure'!$H$31:$H$36,'BCA Guide - Parameter Values'!$C$6:$C$11)+'Ped Safety CRTMeasure'!$H$30*'BCA Guide - Parameter Values'!$C$14,0)</f>
        <v>0</v>
      </c>
      <c r="O15" s="1291">
        <f>IF(AND($F15&gt;=MIN($C$29),$F15&lt;=MAX($D$29)),SUMPRODUCT('Ped Safety CRTMeasure'!$H$43:$H$48,'BCA Guide - Parameter Values'!$C$6:$C$11)+'Ped Safety CRTMeasure'!$H$42*'BCA Guide - Parameter Values'!$C$14,0)</f>
        <v>0</v>
      </c>
      <c r="P15" s="1199">
        <f>IF(AND(F15&gt;='Major Assumption Key'!$B$4,F15&lt;='Major Assumption Key'!$B$6),SUM(L15:O15),0)</f>
        <v>344017.2</v>
      </c>
      <c r="Q15" s="1292">
        <f t="shared" si="5"/>
        <v>56002.799999999988</v>
      </c>
      <c r="R15" s="1169">
        <f>Q15/(1+'Major Assumption Key'!$B$8)^($F15-'Major Assumption Key'!$B$7)</f>
        <v>46629.176915768789</v>
      </c>
      <c r="S15" s="1281"/>
      <c r="T15" s="1165">
        <f t="shared" si="6"/>
        <v>400000</v>
      </c>
      <c r="U15" s="1199">
        <f t="shared" si="7"/>
        <v>344000</v>
      </c>
      <c r="V15" s="1292">
        <f t="shared" si="8"/>
        <v>56000</v>
      </c>
      <c r="W15" s="1169">
        <f t="shared" si="9"/>
        <v>47000</v>
      </c>
    </row>
    <row r="16" spans="1:27" ht="19.95" customHeight="1">
      <c r="A16" s="1689" t="str">
        <f>'Major Assumption Key'!A3</f>
        <v>Project Open Year:</v>
      </c>
      <c r="B16" s="1690">
        <f>'Major Assumption Key'!$B$3</f>
        <v>2028</v>
      </c>
      <c r="C16" s="1691" t="s">
        <v>436</v>
      </c>
      <c r="D16" s="1692"/>
      <c r="E16" s="1173"/>
      <c r="F16" s="1181">
        <f>'Major Assumption Key'!A28</f>
        <v>2029</v>
      </c>
      <c r="G16" s="1290">
        <f>IF(AND($F16&gt;=MIN($C$26),$F16&lt;=MAX($D$26)),SUMPRODUCT('Ped Safety CRTMeasure'!$G$7:$G$12,'BCA Guide - Parameter Values'!$C$6:$C$11)+'Ped Safety CRTMeasure'!$G$6*'BCA Guide - Parameter Values'!$C$14,0)</f>
        <v>400020</v>
      </c>
      <c r="H16" s="1290">
        <f>IF(AND($F16&gt;=MIN($C$27),$F16&lt;=MAX($D$27)),SUMPRODUCT('Ped Safety CRTMeasure'!$G$19:$G$24,'BCA Guide - Parameter Values'!$C$6:$C$11)+'Ped Safety CRTMeasure'!$G$18*'BCA Guide - Parameter Values'!$C$14,0)</f>
        <v>0</v>
      </c>
      <c r="I16" s="1290">
        <f>IF(AND($F16&gt;=MIN($C$28),$F16&lt;=MAX($D$28)),SUMPRODUCT('Ped Safety CRTMeasure'!$G$31:$G$36,'BCA Guide - Parameter Values'!$C$6:$C$11)+'Ped Safety CRTMeasure'!$G$30*'BCA Guide - Parameter Values'!$C$14,0)</f>
        <v>0</v>
      </c>
      <c r="J16" s="1290">
        <f>IF(AND($F16&gt;=MIN($C$29),$F16&lt;=MAX($D$29)),SUMPRODUCT('Ped Safety CRTMeasure'!$G$43:$G$48,'BCA Guide - Parameter Values'!$C$6:$C$11)+'Ped Safety CRTMeasure'!$G$42*'BCA Guide - Parameter Values'!$C$14,0)</f>
        <v>0</v>
      </c>
      <c r="K16" s="1165">
        <f>IF(AND(F16&gt;='Major Assumption Key'!$B$4,F16&lt;='Major Assumption Key'!$B$6),SUM(G16:J16),0)</f>
        <v>400020</v>
      </c>
      <c r="L16" s="1290">
        <f>IF(AND($F16&gt;=MIN($C$26),$F16&lt;=MAX($D$26)),SUMPRODUCT('Ped Safety CRTMeasure'!$H$7:$H$12,'BCA Guide - Parameter Values'!$C$6:$C$11)+'Ped Safety CRTMeasure'!$H$6*'BCA Guide - Parameter Values'!$C$14,0)</f>
        <v>344017.2</v>
      </c>
      <c r="M16" s="1291">
        <f>IF(AND($F16&gt;=MIN($C$27),$F16&lt;=MAX($D$27)),SUMPRODUCT('Ped Safety CRTMeasure'!$H$19:$H$24,'BCA Guide - Parameter Values'!$C$6:$C$11)+'Ped Safety CRTMeasure'!$H$18*'BCA Guide - Parameter Values'!$C$14,0)</f>
        <v>0</v>
      </c>
      <c r="N16" s="1291">
        <f>IF(AND($F16&gt;=MIN($C$28),$F16&lt;=MAX($D$28)),SUMPRODUCT('Ped Safety CRTMeasure'!$H$31:$H$36,'BCA Guide - Parameter Values'!$C$6:$C$11)+'Ped Safety CRTMeasure'!$H$30*'BCA Guide - Parameter Values'!$C$14,0)</f>
        <v>0</v>
      </c>
      <c r="O16" s="1291">
        <f>IF(AND($F16&gt;=MIN($C$29),$F16&lt;=MAX($D$29)),SUMPRODUCT('Ped Safety CRTMeasure'!$H$43:$H$48,'BCA Guide - Parameter Values'!$C$6:$C$11)+'Ped Safety CRTMeasure'!$H$42*'BCA Guide - Parameter Values'!$C$14,0)</f>
        <v>0</v>
      </c>
      <c r="P16" s="1199">
        <f>IF(AND(F16&gt;='Major Assumption Key'!$B$4,F16&lt;='Major Assumption Key'!$B$6),SUM(L16:O16),0)</f>
        <v>344017.2</v>
      </c>
      <c r="Q16" s="1292">
        <f t="shared" si="5"/>
        <v>56002.799999999988</v>
      </c>
      <c r="R16" s="1169">
        <f>Q16/(1+'Major Assumption Key'!$B$8)^($F16-'Major Assumption Key'!$B$7)</f>
        <v>45227.135708796115</v>
      </c>
      <c r="S16" s="1281"/>
      <c r="T16" s="1165">
        <f t="shared" si="6"/>
        <v>400000</v>
      </c>
      <c r="U16" s="1199">
        <f t="shared" si="7"/>
        <v>344000</v>
      </c>
      <c r="V16" s="1292">
        <f t="shared" si="8"/>
        <v>56000</v>
      </c>
      <c r="W16" s="1169">
        <f t="shared" si="9"/>
        <v>45000</v>
      </c>
    </row>
    <row r="17" spans="1:27" ht="19.95" customHeight="1">
      <c r="A17" s="1506" t="str">
        <f>'Major Assumption Key'!A4</f>
        <v>Planning Horizon Begin Year:</v>
      </c>
      <c r="B17" s="1135">
        <f>'Major Assumption Key'!$B$4</f>
        <v>2022</v>
      </c>
      <c r="C17" s="1173" t="s">
        <v>436</v>
      </c>
      <c r="D17" s="1289"/>
      <c r="E17" s="1173"/>
      <c r="F17" s="1181">
        <f>'Major Assumption Key'!A29</f>
        <v>2030</v>
      </c>
      <c r="G17" s="1290">
        <f>IF(AND($F17&gt;=MIN($C$26),$F17&lt;=MAX($D$26)),SUMPRODUCT('Ped Safety CRTMeasure'!$G$7:$G$12,'BCA Guide - Parameter Values'!$C$6:$C$11)+'Ped Safety CRTMeasure'!$G$6*'BCA Guide - Parameter Values'!$C$14,0)</f>
        <v>400020</v>
      </c>
      <c r="H17" s="1290">
        <f>IF(AND($F17&gt;=MIN($C$27),$F17&lt;=MAX($D$27)),SUMPRODUCT('Ped Safety CRTMeasure'!$G$19:$G$24,'BCA Guide - Parameter Values'!$C$6:$C$11)+'Ped Safety CRTMeasure'!$G$18*'BCA Guide - Parameter Values'!$C$14,0)</f>
        <v>0</v>
      </c>
      <c r="I17" s="1290">
        <f>IF(AND($F17&gt;=MIN($C$28),$F17&lt;=MAX($D$28)),SUMPRODUCT('Ped Safety CRTMeasure'!$G$31:$G$36,'BCA Guide - Parameter Values'!$C$6:$C$11)+'Ped Safety CRTMeasure'!$G$30*'BCA Guide - Parameter Values'!$C$14,0)</f>
        <v>0</v>
      </c>
      <c r="J17" s="1290">
        <f>IF(AND($F17&gt;=MIN($C$29),$F17&lt;=MAX($D$29)),SUMPRODUCT('Ped Safety CRTMeasure'!$G$43:$G$48,'BCA Guide - Parameter Values'!$C$6:$C$11)+'Ped Safety CRTMeasure'!$G$42*'BCA Guide - Parameter Values'!$C$14,0)</f>
        <v>0</v>
      </c>
      <c r="K17" s="1165">
        <f>IF(AND(F17&gt;='Major Assumption Key'!$B$4,F17&lt;='Major Assumption Key'!$B$6),SUM(G17:J17),0)</f>
        <v>400020</v>
      </c>
      <c r="L17" s="1290">
        <f>IF(AND($F17&gt;=MIN($C$26),$F17&lt;=MAX($D$26)),SUMPRODUCT('Ped Safety CRTMeasure'!$H$7:$H$12,'BCA Guide - Parameter Values'!$C$6:$C$11)+'Ped Safety CRTMeasure'!$H$6*'BCA Guide - Parameter Values'!$C$14,0)</f>
        <v>344017.2</v>
      </c>
      <c r="M17" s="1291">
        <f>IF(AND($F17&gt;=MIN($C$27),$F17&lt;=MAX($D$27)),SUMPRODUCT('Ped Safety CRTMeasure'!$H$19:$H$24,'BCA Guide - Parameter Values'!$C$6:$C$11)+'Ped Safety CRTMeasure'!$H$18*'BCA Guide - Parameter Values'!$C$14,0)</f>
        <v>0</v>
      </c>
      <c r="N17" s="1291">
        <f>IF(AND($F17&gt;=MIN($C$28),$F17&lt;=MAX($D$28)),SUMPRODUCT('Ped Safety CRTMeasure'!$H$31:$H$36,'BCA Guide - Parameter Values'!$C$6:$C$11)+'Ped Safety CRTMeasure'!$H$30*'BCA Guide - Parameter Values'!$C$14,0)</f>
        <v>0</v>
      </c>
      <c r="O17" s="1291">
        <f>IF(AND($F17&gt;=MIN($C$29),$F17&lt;=MAX($D$29)),SUMPRODUCT('Ped Safety CRTMeasure'!$H$43:$H$48,'BCA Guide - Parameter Values'!$C$6:$C$11)+'Ped Safety CRTMeasure'!$H$42*'BCA Guide - Parameter Values'!$C$14,0)</f>
        <v>0</v>
      </c>
      <c r="P17" s="1199">
        <f>IF(AND(F17&gt;='Major Assumption Key'!$B$4,F17&lt;='Major Assumption Key'!$B$6),SUM(L17:O17),0)</f>
        <v>344017.2</v>
      </c>
      <c r="Q17" s="1292">
        <f t="shared" si="5"/>
        <v>56002.799999999988</v>
      </c>
      <c r="R17" s="1169">
        <f>Q17/(1+'Major Assumption Key'!$B$8)^($F17-'Major Assumption Key'!$B$7)</f>
        <v>43867.250929967136</v>
      </c>
      <c r="S17" s="1281"/>
      <c r="T17" s="1165">
        <f t="shared" si="6"/>
        <v>400000</v>
      </c>
      <c r="U17" s="1199">
        <f t="shared" si="7"/>
        <v>344000</v>
      </c>
      <c r="V17" s="1292">
        <f t="shared" si="8"/>
        <v>56000</v>
      </c>
      <c r="W17" s="1169">
        <f t="shared" si="9"/>
        <v>44000</v>
      </c>
    </row>
    <row r="18" spans="1:27" ht="19.95" customHeight="1">
      <c r="A18" s="1506" t="str">
        <f>'Major Assumption Key'!A6</f>
        <v>Planning Horizon End Year:</v>
      </c>
      <c r="B18" s="1135">
        <f>'Major Assumption Key'!$B$6</f>
        <v>2047</v>
      </c>
      <c r="C18" s="1173" t="s">
        <v>436</v>
      </c>
      <c r="D18" s="1289"/>
      <c r="E18" s="1173"/>
      <c r="F18" s="1181">
        <f>'Major Assumption Key'!A30</f>
        <v>2031</v>
      </c>
      <c r="G18" s="1290">
        <f>IF(AND($F18&gt;=MIN($C$26),$F18&lt;=MAX($D$26)),SUMPRODUCT('Ped Safety CRTMeasure'!$G$7:$G$12,'BCA Guide - Parameter Values'!$C$6:$C$11)+'Ped Safety CRTMeasure'!$G$6*'BCA Guide - Parameter Values'!$C$14,0)</f>
        <v>400020</v>
      </c>
      <c r="H18" s="1290">
        <f>IF(AND($F18&gt;=MIN($C$27),$F18&lt;=MAX($D$27)),SUMPRODUCT('Ped Safety CRTMeasure'!$G$19:$G$24,'BCA Guide - Parameter Values'!$C$6:$C$11)+'Ped Safety CRTMeasure'!$G$18*'BCA Guide - Parameter Values'!$C$14,0)</f>
        <v>0</v>
      </c>
      <c r="I18" s="1290">
        <f>IF(AND($F18&gt;=MIN($C$28),$F18&lt;=MAX($D$28)),SUMPRODUCT('Ped Safety CRTMeasure'!$G$31:$G$36,'BCA Guide - Parameter Values'!$C$6:$C$11)+'Ped Safety CRTMeasure'!$G$30*'BCA Guide - Parameter Values'!$C$14,0)</f>
        <v>0</v>
      </c>
      <c r="J18" s="1290">
        <f>IF(AND($F18&gt;=MIN($C$29),$F18&lt;=MAX($D$29)),SUMPRODUCT('Ped Safety CRTMeasure'!$G$43:$G$48,'BCA Guide - Parameter Values'!$C$6:$C$11)+'Ped Safety CRTMeasure'!$G$42*'BCA Guide - Parameter Values'!$C$14,0)</f>
        <v>0</v>
      </c>
      <c r="K18" s="1165">
        <f>IF(AND(F18&gt;='Major Assumption Key'!$B$4,F18&lt;='Major Assumption Key'!$B$6),SUM(G18:J18),0)</f>
        <v>400020</v>
      </c>
      <c r="L18" s="1290">
        <f>IF(AND($F18&gt;=MIN($C$26),$F18&lt;=MAX($D$26)),SUMPRODUCT('Ped Safety CRTMeasure'!$H$7:$H$12,'BCA Guide - Parameter Values'!$C$6:$C$11)+'Ped Safety CRTMeasure'!$H$6*'BCA Guide - Parameter Values'!$C$14,0)</f>
        <v>344017.2</v>
      </c>
      <c r="M18" s="1291">
        <f>IF(AND($F18&gt;=MIN($C$27),$F18&lt;=MAX($D$27)),SUMPRODUCT('Ped Safety CRTMeasure'!$H$19:$H$24,'BCA Guide - Parameter Values'!$C$6:$C$11)+'Ped Safety CRTMeasure'!$H$18*'BCA Guide - Parameter Values'!$C$14,0)</f>
        <v>0</v>
      </c>
      <c r="N18" s="1291">
        <f>IF(AND($F18&gt;=MIN($C$28),$F18&lt;=MAX($D$28)),SUMPRODUCT('Ped Safety CRTMeasure'!$H$31:$H$36,'BCA Guide - Parameter Values'!$C$6:$C$11)+'Ped Safety CRTMeasure'!$H$30*'BCA Guide - Parameter Values'!$C$14,0)</f>
        <v>0</v>
      </c>
      <c r="O18" s="1291">
        <f>IF(AND($F18&gt;=MIN($C$29),$F18&lt;=MAX($D$29)),SUMPRODUCT('Ped Safety CRTMeasure'!$H$43:$H$48,'BCA Guide - Parameter Values'!$C$6:$C$11)+'Ped Safety CRTMeasure'!$H$42*'BCA Guide - Parameter Values'!$C$14,0)</f>
        <v>0</v>
      </c>
      <c r="P18" s="1199">
        <f>IF(AND(F18&gt;='Major Assumption Key'!$B$4,F18&lt;='Major Assumption Key'!$B$6),SUM(L18:O18),0)</f>
        <v>344017.2</v>
      </c>
      <c r="Q18" s="1292">
        <f t="shared" si="5"/>
        <v>56002.799999999988</v>
      </c>
      <c r="R18" s="1169">
        <f>Q18/(1+'Major Assumption Key'!$B$8)^($F18-'Major Assumption Key'!$B$7)</f>
        <v>42548.255024216429</v>
      </c>
      <c r="S18" s="1281"/>
      <c r="T18" s="1165">
        <f t="shared" si="6"/>
        <v>400000</v>
      </c>
      <c r="U18" s="1199">
        <f t="shared" si="7"/>
        <v>344000</v>
      </c>
      <c r="V18" s="1292">
        <f t="shared" si="8"/>
        <v>56000</v>
      </c>
      <c r="W18" s="1169">
        <f t="shared" si="9"/>
        <v>43000</v>
      </c>
    </row>
    <row r="19" spans="1:27" ht="19.95" customHeight="1">
      <c r="A19" s="1287" t="s">
        <v>7902</v>
      </c>
      <c r="B19" s="1288">
        <v>0.14000000000000001</v>
      </c>
      <c r="C19" s="1195" t="s">
        <v>7905</v>
      </c>
      <c r="D19" s="1289"/>
      <c r="E19" s="1173"/>
      <c r="F19" s="1181">
        <f>'Major Assumption Key'!A31</f>
        <v>2032</v>
      </c>
      <c r="G19" s="1290">
        <f>IF(AND($F19&gt;=MIN($C$26),$F19&lt;=MAX($D$26)),SUMPRODUCT('Ped Safety CRTMeasure'!$G$7:$G$12,'BCA Guide - Parameter Values'!$C$6:$C$11)+'Ped Safety CRTMeasure'!$G$6*'BCA Guide - Parameter Values'!$C$14,0)</f>
        <v>400020</v>
      </c>
      <c r="H19" s="1290">
        <f>IF(AND($F19&gt;=MIN($C$27),$F19&lt;=MAX($D$27)),SUMPRODUCT('Ped Safety CRTMeasure'!$G$19:$G$24,'BCA Guide - Parameter Values'!$C$6:$C$11)+'Ped Safety CRTMeasure'!$G$18*'BCA Guide - Parameter Values'!$C$14,0)</f>
        <v>0</v>
      </c>
      <c r="I19" s="1290">
        <f>IF(AND($F19&gt;=MIN($C$28),$F19&lt;=MAX($D$28)),SUMPRODUCT('Ped Safety CRTMeasure'!$G$31:$G$36,'BCA Guide - Parameter Values'!$C$6:$C$11)+'Ped Safety CRTMeasure'!$G$30*'BCA Guide - Parameter Values'!$C$14,0)</f>
        <v>0</v>
      </c>
      <c r="J19" s="1290">
        <f>IF(AND($F19&gt;=MIN($C$29),$F19&lt;=MAX($D$29)),SUMPRODUCT('Ped Safety CRTMeasure'!$G$43:$G$48,'BCA Guide - Parameter Values'!$C$6:$C$11)+'Ped Safety CRTMeasure'!$G$42*'BCA Guide - Parameter Values'!$C$14,0)</f>
        <v>0</v>
      </c>
      <c r="K19" s="1165">
        <f>IF(AND(F19&gt;='Major Assumption Key'!$B$4,F19&lt;='Major Assumption Key'!$B$6),SUM(G19:J19),0)</f>
        <v>400020</v>
      </c>
      <c r="L19" s="1290">
        <f>IF(AND($F19&gt;=MIN($C$26),$F19&lt;=MAX($D$26)),SUMPRODUCT('Ped Safety CRTMeasure'!$H$7:$H$12,'BCA Guide - Parameter Values'!$C$6:$C$11)+'Ped Safety CRTMeasure'!$H$6*'BCA Guide - Parameter Values'!$C$14,0)</f>
        <v>344017.2</v>
      </c>
      <c r="M19" s="1291">
        <f>IF(AND($F19&gt;=MIN($C$27),$F19&lt;=MAX($D$27)),SUMPRODUCT('Ped Safety CRTMeasure'!$H$19:$H$24,'BCA Guide - Parameter Values'!$C$6:$C$11)+'Ped Safety CRTMeasure'!$H$18*'BCA Guide - Parameter Values'!$C$14,0)</f>
        <v>0</v>
      </c>
      <c r="N19" s="1291">
        <f>IF(AND($F19&gt;=MIN($C$28),$F19&lt;=MAX($D$28)),SUMPRODUCT('Ped Safety CRTMeasure'!$H$31:$H$36,'BCA Guide - Parameter Values'!$C$6:$C$11)+'Ped Safety CRTMeasure'!$H$30*'BCA Guide - Parameter Values'!$C$14,0)</f>
        <v>0</v>
      </c>
      <c r="O19" s="1291">
        <f>IF(AND($F19&gt;=MIN($C$29),$F19&lt;=MAX($D$29)),SUMPRODUCT('Ped Safety CRTMeasure'!$H$43:$H$48,'BCA Guide - Parameter Values'!$C$6:$C$11)+'Ped Safety CRTMeasure'!$H$42*'BCA Guide - Parameter Values'!$C$14,0)</f>
        <v>0</v>
      </c>
      <c r="P19" s="1199">
        <f>IF(AND(F19&gt;='Major Assumption Key'!$B$4,F19&lt;='Major Assumption Key'!$B$6),SUM(L19:O19),0)</f>
        <v>344017.2</v>
      </c>
      <c r="Q19" s="1292">
        <f t="shared" si="5"/>
        <v>56002.799999999988</v>
      </c>
      <c r="R19" s="1169">
        <f>Q19/(1+'Major Assumption Key'!$B$8)^($F19-'Major Assumption Key'!$B$7)</f>
        <v>41268.918549191498</v>
      </c>
      <c r="S19" s="1281"/>
      <c r="T19" s="1165">
        <f t="shared" si="6"/>
        <v>400000</v>
      </c>
      <c r="U19" s="1199">
        <f t="shared" si="7"/>
        <v>344000</v>
      </c>
      <c r="V19" s="1292">
        <f t="shared" si="8"/>
        <v>56000</v>
      </c>
      <c r="W19" s="1169">
        <f t="shared" si="9"/>
        <v>41000</v>
      </c>
    </row>
    <row r="20" spans="1:27" ht="19.95" customHeight="1">
      <c r="A20" s="1287" t="s">
        <v>815</v>
      </c>
      <c r="B20" s="1288">
        <v>0</v>
      </c>
      <c r="C20" s="1195" t="s">
        <v>814</v>
      </c>
      <c r="D20" s="1289"/>
      <c r="E20" s="1173"/>
      <c r="F20" s="1181">
        <f>'Major Assumption Key'!A32</f>
        <v>2033</v>
      </c>
      <c r="G20" s="1290">
        <f>IF(AND($F20&gt;=MIN($C$26),$F20&lt;=MAX($D$26)),SUMPRODUCT('Ped Safety CRTMeasure'!$G$7:$G$12,'BCA Guide - Parameter Values'!$C$6:$C$11)+'Ped Safety CRTMeasure'!$G$6*'BCA Guide - Parameter Values'!$C$14,0)</f>
        <v>400020</v>
      </c>
      <c r="H20" s="1290">
        <f>IF(AND($F20&gt;=MIN($C$27),$F20&lt;=MAX($D$27)),SUMPRODUCT('Ped Safety CRTMeasure'!$G$19:$G$24,'BCA Guide - Parameter Values'!$C$6:$C$11)+'Ped Safety CRTMeasure'!$G$18*'BCA Guide - Parameter Values'!$C$14,0)</f>
        <v>0</v>
      </c>
      <c r="I20" s="1290">
        <f>IF(AND($F20&gt;=MIN($C$28),$F20&lt;=MAX($D$28)),SUMPRODUCT('Ped Safety CRTMeasure'!$G$31:$G$36,'BCA Guide - Parameter Values'!$C$6:$C$11)+'Ped Safety CRTMeasure'!$G$30*'BCA Guide - Parameter Values'!$C$14,0)</f>
        <v>0</v>
      </c>
      <c r="J20" s="1290">
        <f>IF(AND($F20&gt;=MIN($C$29),$F20&lt;=MAX($D$29)),SUMPRODUCT('Ped Safety CRTMeasure'!$G$43:$G$48,'BCA Guide - Parameter Values'!$C$6:$C$11)+'Ped Safety CRTMeasure'!$G$42*'BCA Guide - Parameter Values'!$C$14,0)</f>
        <v>0</v>
      </c>
      <c r="K20" s="1165">
        <f>IF(AND(F20&gt;='Major Assumption Key'!$B$4,F20&lt;='Major Assumption Key'!$B$6),SUM(G20:J20),0)</f>
        <v>400020</v>
      </c>
      <c r="L20" s="1290">
        <f>IF(AND($F20&gt;=MIN($C$26),$F20&lt;=MAX($D$26)),SUMPRODUCT('Ped Safety CRTMeasure'!$H$7:$H$12,'BCA Guide - Parameter Values'!$C$6:$C$11)+'Ped Safety CRTMeasure'!$H$6*'BCA Guide - Parameter Values'!$C$14,0)</f>
        <v>344017.2</v>
      </c>
      <c r="M20" s="1291">
        <f>IF(AND($F20&gt;=MIN($C$27),$F20&lt;=MAX($D$27)),SUMPRODUCT('Ped Safety CRTMeasure'!$H$19:$H$24,'BCA Guide - Parameter Values'!$C$6:$C$11)+'Ped Safety CRTMeasure'!$H$18*'BCA Guide - Parameter Values'!$C$14,0)</f>
        <v>0</v>
      </c>
      <c r="N20" s="1291">
        <f>IF(AND($F20&gt;=MIN($C$28),$F20&lt;=MAX($D$28)),SUMPRODUCT('Ped Safety CRTMeasure'!$H$31:$H$36,'BCA Guide - Parameter Values'!$C$6:$C$11)+'Ped Safety CRTMeasure'!$H$30*'BCA Guide - Parameter Values'!$C$14,0)</f>
        <v>0</v>
      </c>
      <c r="O20" s="1291">
        <f>IF(AND($F20&gt;=MIN($C$29),$F20&lt;=MAX($D$29)),SUMPRODUCT('Ped Safety CRTMeasure'!$H$43:$H$48,'BCA Guide - Parameter Values'!$C$6:$C$11)+'Ped Safety CRTMeasure'!$H$42*'BCA Guide - Parameter Values'!$C$14,0)</f>
        <v>0</v>
      </c>
      <c r="P20" s="1199">
        <f>IF(AND(F20&gt;='Major Assumption Key'!$B$4,F20&lt;='Major Assumption Key'!$B$6),SUM(L20:O20),0)</f>
        <v>344017.2</v>
      </c>
      <c r="Q20" s="1292">
        <f t="shared" si="5"/>
        <v>56002.799999999988</v>
      </c>
      <c r="R20" s="1169">
        <f>Q20/(1+'Major Assumption Key'!$B$8)^($F20-'Major Assumption Key'!$B$7)</f>
        <v>40028.049029283706</v>
      </c>
      <c r="S20" s="1281"/>
      <c r="T20" s="1165">
        <f t="shared" si="6"/>
        <v>400000</v>
      </c>
      <c r="U20" s="1199">
        <f t="shared" si="7"/>
        <v>344000</v>
      </c>
      <c r="V20" s="1292">
        <f t="shared" si="8"/>
        <v>56000</v>
      </c>
      <c r="W20" s="1169">
        <f t="shared" si="9"/>
        <v>40000</v>
      </c>
    </row>
    <row r="21" spans="1:27" ht="19.95" customHeight="1">
      <c r="A21" s="1287" t="s">
        <v>816</v>
      </c>
      <c r="B21" s="1288">
        <v>0</v>
      </c>
      <c r="C21" s="1195" t="s">
        <v>814</v>
      </c>
      <c r="D21" s="1289"/>
      <c r="E21" s="1173"/>
      <c r="F21" s="1181">
        <f>'Major Assumption Key'!A33</f>
        <v>2034</v>
      </c>
      <c r="G21" s="1290">
        <f>IF(AND($F21&gt;=MIN($C$26),$F21&lt;=MAX($D$26)),SUMPRODUCT('Ped Safety CRTMeasure'!$G$7:$G$12,'BCA Guide - Parameter Values'!$C$6:$C$11)+'Ped Safety CRTMeasure'!$G$6*'BCA Guide - Parameter Values'!$C$14,0)</f>
        <v>400020</v>
      </c>
      <c r="H21" s="1290">
        <f>IF(AND($F21&gt;=MIN($C$27),$F21&lt;=MAX($D$27)),SUMPRODUCT('Ped Safety CRTMeasure'!$G$19:$G$24,'BCA Guide - Parameter Values'!$C$6:$C$11)+'Ped Safety CRTMeasure'!$G$18*'BCA Guide - Parameter Values'!$C$14,0)</f>
        <v>0</v>
      </c>
      <c r="I21" s="1290">
        <f>IF(AND($F21&gt;=MIN($C$28),$F21&lt;=MAX($D$28)),SUMPRODUCT('Ped Safety CRTMeasure'!$G$31:$G$36,'BCA Guide - Parameter Values'!$C$6:$C$11)+'Ped Safety CRTMeasure'!$G$30*'BCA Guide - Parameter Values'!$C$14,0)</f>
        <v>0</v>
      </c>
      <c r="J21" s="1290">
        <f>IF(AND($F21&gt;=MIN($C$29),$F21&lt;=MAX($D$29)),SUMPRODUCT('Ped Safety CRTMeasure'!$G$43:$G$48,'BCA Guide - Parameter Values'!$C$6:$C$11)+'Ped Safety CRTMeasure'!$G$42*'BCA Guide - Parameter Values'!$C$14,0)</f>
        <v>0</v>
      </c>
      <c r="K21" s="1165">
        <f>IF(AND(F21&gt;='Major Assumption Key'!$B$4,F21&lt;='Major Assumption Key'!$B$6),SUM(G21:J21),0)</f>
        <v>400020</v>
      </c>
      <c r="L21" s="1290">
        <f>IF(AND($F21&gt;=MIN($C$26),$F21&lt;=MAX($D$26)),SUMPRODUCT('Ped Safety CRTMeasure'!$H$7:$H$12,'BCA Guide - Parameter Values'!$C$6:$C$11)+'Ped Safety CRTMeasure'!$H$6*'BCA Guide - Parameter Values'!$C$14,0)</f>
        <v>344017.2</v>
      </c>
      <c r="M21" s="1291">
        <f>IF(AND($F21&gt;=MIN($C$27),$F21&lt;=MAX($D$27)),SUMPRODUCT('Ped Safety CRTMeasure'!$H$19:$H$24,'BCA Guide - Parameter Values'!$C$6:$C$11)+'Ped Safety CRTMeasure'!$H$18*'BCA Guide - Parameter Values'!$C$14,0)</f>
        <v>0</v>
      </c>
      <c r="N21" s="1291">
        <f>IF(AND($F21&gt;=MIN($C$28),$F21&lt;=MAX($D$28)),SUMPRODUCT('Ped Safety CRTMeasure'!$H$31:$H$36,'BCA Guide - Parameter Values'!$C$6:$C$11)+'Ped Safety CRTMeasure'!$H$30*'BCA Guide - Parameter Values'!$C$14,0)</f>
        <v>0</v>
      </c>
      <c r="O21" s="1291">
        <f>IF(AND($F21&gt;=MIN($C$29),$F21&lt;=MAX($D$29)),SUMPRODUCT('Ped Safety CRTMeasure'!$H$43:$H$48,'BCA Guide - Parameter Values'!$C$6:$C$11)+'Ped Safety CRTMeasure'!$H$42*'BCA Guide - Parameter Values'!$C$14,0)</f>
        <v>0</v>
      </c>
      <c r="P21" s="1199">
        <f>IF(AND(F21&gt;='Major Assumption Key'!$B$4,F21&lt;='Major Assumption Key'!$B$6),SUM(L21:O21),0)</f>
        <v>344017.2</v>
      </c>
      <c r="Q21" s="1292">
        <f t="shared" si="5"/>
        <v>56002.799999999988</v>
      </c>
      <c r="R21" s="1169">
        <f>Q21/(1+'Major Assumption Key'!$B$8)^($F21-'Major Assumption Key'!$B$7)</f>
        <v>38824.489844116099</v>
      </c>
      <c r="S21" s="1281"/>
      <c r="T21" s="1165">
        <f t="shared" si="6"/>
        <v>400000</v>
      </c>
      <c r="U21" s="1199">
        <f t="shared" si="7"/>
        <v>344000</v>
      </c>
      <c r="V21" s="1292">
        <f t="shared" si="8"/>
        <v>56000</v>
      </c>
      <c r="W21" s="1169">
        <f t="shared" si="9"/>
        <v>39000</v>
      </c>
    </row>
    <row r="22" spans="1:27" ht="19.95" customHeight="1" thickBot="1">
      <c r="A22" s="1677" t="s">
        <v>817</v>
      </c>
      <c r="B22" s="1693">
        <v>0</v>
      </c>
      <c r="C22" s="1516" t="s">
        <v>814</v>
      </c>
      <c r="D22" s="1312"/>
      <c r="E22" s="1173"/>
      <c r="F22" s="1181">
        <f>'Major Assumption Key'!A34</f>
        <v>2035</v>
      </c>
      <c r="G22" s="1290">
        <f>IF(AND($F22&gt;=MIN($C$26),$F22&lt;=MAX($D$26)),SUMPRODUCT('Ped Safety CRTMeasure'!$G$7:$G$12,'BCA Guide - Parameter Values'!$C$6:$C$11)+'Ped Safety CRTMeasure'!$G$6*'BCA Guide - Parameter Values'!$C$14,0)</f>
        <v>400020</v>
      </c>
      <c r="H22" s="1290">
        <f>IF(AND($F22&gt;=MIN($C$27),$F22&lt;=MAX($D$27)),SUMPRODUCT('Ped Safety CRTMeasure'!$G$19:$G$24,'BCA Guide - Parameter Values'!$C$6:$C$11)+'Ped Safety CRTMeasure'!$G$18*'BCA Guide - Parameter Values'!$C$14,0)</f>
        <v>0</v>
      </c>
      <c r="I22" s="1290">
        <f>IF(AND($F22&gt;=MIN($C$28),$F22&lt;=MAX($D$28)),SUMPRODUCT('Ped Safety CRTMeasure'!$G$31:$G$36,'BCA Guide - Parameter Values'!$C$6:$C$11)+'Ped Safety CRTMeasure'!$G$30*'BCA Guide - Parameter Values'!$C$14,0)</f>
        <v>0</v>
      </c>
      <c r="J22" s="1290">
        <f>IF(AND($F22&gt;=MIN($C$29),$F22&lt;=MAX($D$29)),SUMPRODUCT('Ped Safety CRTMeasure'!$G$43:$G$48,'BCA Guide - Parameter Values'!$C$6:$C$11)+'Ped Safety CRTMeasure'!$G$42*'BCA Guide - Parameter Values'!$C$14,0)</f>
        <v>0</v>
      </c>
      <c r="K22" s="1165">
        <f>IF(AND(F22&gt;='Major Assumption Key'!$B$4,F22&lt;='Major Assumption Key'!$B$6),SUM(G22:J22),0)</f>
        <v>400020</v>
      </c>
      <c r="L22" s="1290">
        <f>IF(AND($F22&gt;=MIN($C$26),$F22&lt;=MAX($D$26)),SUMPRODUCT('Ped Safety CRTMeasure'!$H$7:$H$12,'BCA Guide - Parameter Values'!$C$6:$C$11)+'Ped Safety CRTMeasure'!$H$6*'BCA Guide - Parameter Values'!$C$14,0)</f>
        <v>344017.2</v>
      </c>
      <c r="M22" s="1291">
        <f>IF(AND($F22&gt;=MIN($C$27),$F22&lt;=MAX($D$27)),SUMPRODUCT('Ped Safety CRTMeasure'!$H$19:$H$24,'BCA Guide - Parameter Values'!$C$6:$C$11)+'Ped Safety CRTMeasure'!$H$18*'BCA Guide - Parameter Values'!$C$14,0)</f>
        <v>0</v>
      </c>
      <c r="N22" s="1291">
        <f>IF(AND($F22&gt;=MIN($C$28),$F22&lt;=MAX($D$28)),SUMPRODUCT('Ped Safety CRTMeasure'!$H$31:$H$36,'BCA Guide - Parameter Values'!$C$6:$C$11)+'Ped Safety CRTMeasure'!$H$30*'BCA Guide - Parameter Values'!$C$14,0)</f>
        <v>0</v>
      </c>
      <c r="O22" s="1291">
        <f>IF(AND($F22&gt;=MIN($C$29),$F22&lt;=MAX($D$29)),SUMPRODUCT('Ped Safety CRTMeasure'!$H$43:$H$48,'BCA Guide - Parameter Values'!$C$6:$C$11)+'Ped Safety CRTMeasure'!$H$42*'BCA Guide - Parameter Values'!$C$14,0)</f>
        <v>0</v>
      </c>
      <c r="P22" s="1199">
        <f>IF(AND(F22&gt;='Major Assumption Key'!$B$4,F22&lt;='Major Assumption Key'!$B$6),SUM(L22:O22),0)</f>
        <v>344017.2</v>
      </c>
      <c r="Q22" s="1292">
        <f t="shared" si="5"/>
        <v>56002.799999999988</v>
      </c>
      <c r="R22" s="1169">
        <f>Q22/(1+'Major Assumption Key'!$B$8)^($F22-'Major Assumption Key'!$B$7)</f>
        <v>37657.11915045209</v>
      </c>
      <c r="S22" s="1281"/>
      <c r="T22" s="1165">
        <f t="shared" si="6"/>
        <v>400000</v>
      </c>
      <c r="U22" s="1199">
        <f t="shared" si="7"/>
        <v>344000</v>
      </c>
      <c r="V22" s="1292">
        <f t="shared" si="8"/>
        <v>56000</v>
      </c>
      <c r="W22" s="1169">
        <f t="shared" si="9"/>
        <v>38000</v>
      </c>
    </row>
    <row r="23" spans="1:27" ht="19.95" customHeight="1">
      <c r="E23" s="1173"/>
      <c r="F23" s="1181">
        <f>'Major Assumption Key'!A35</f>
        <v>2036</v>
      </c>
      <c r="G23" s="1290">
        <f>IF(AND($F23&gt;=MIN($C$26),$F23&lt;=MAX($D$26)),SUMPRODUCT('Ped Safety CRTMeasure'!$G$7:$G$12,'BCA Guide - Parameter Values'!$C$6:$C$11)+'Ped Safety CRTMeasure'!$G$6*'BCA Guide - Parameter Values'!$C$14,0)</f>
        <v>400020</v>
      </c>
      <c r="H23" s="1290">
        <f>IF(AND($F23&gt;=MIN($C$27),$F23&lt;=MAX($D$27)),SUMPRODUCT('Ped Safety CRTMeasure'!$G$19:$G$24,'BCA Guide - Parameter Values'!$C$6:$C$11)+'Ped Safety CRTMeasure'!$G$18*'BCA Guide - Parameter Values'!$C$14,0)</f>
        <v>0</v>
      </c>
      <c r="I23" s="1290">
        <f>IF(AND($F23&gt;=MIN($C$28),$F23&lt;=MAX($D$28)),SUMPRODUCT('Ped Safety CRTMeasure'!$G$31:$G$36,'BCA Guide - Parameter Values'!$C$6:$C$11)+'Ped Safety CRTMeasure'!$G$30*'BCA Guide - Parameter Values'!$C$14,0)</f>
        <v>0</v>
      </c>
      <c r="J23" s="1290">
        <f>IF(AND($F23&gt;=MIN($C$29),$F23&lt;=MAX($D$29)),SUMPRODUCT('Ped Safety CRTMeasure'!$G$43:$G$48,'BCA Guide - Parameter Values'!$C$6:$C$11)+'Ped Safety CRTMeasure'!$G$42*'BCA Guide - Parameter Values'!$C$14,0)</f>
        <v>0</v>
      </c>
      <c r="K23" s="1165">
        <f>IF(AND(F23&gt;='Major Assumption Key'!$B$4,F23&lt;='Major Assumption Key'!$B$6),SUM(G23:J23),0)</f>
        <v>400020</v>
      </c>
      <c r="L23" s="1290">
        <f>IF(AND($F23&gt;=MIN($C$26),$F23&lt;=MAX($D$26)),SUMPRODUCT('Ped Safety CRTMeasure'!$H$7:$H$12,'BCA Guide - Parameter Values'!$C$6:$C$11)+'Ped Safety CRTMeasure'!$H$6*'BCA Guide - Parameter Values'!$C$14,0)</f>
        <v>344017.2</v>
      </c>
      <c r="M23" s="1291">
        <f>IF(AND($F23&gt;=MIN($C$27),$F23&lt;=MAX($D$27)),SUMPRODUCT('Ped Safety CRTMeasure'!$H$19:$H$24,'BCA Guide - Parameter Values'!$C$6:$C$11)+'Ped Safety CRTMeasure'!$H$18*'BCA Guide - Parameter Values'!$C$14,0)</f>
        <v>0</v>
      </c>
      <c r="N23" s="1291">
        <f>IF(AND($F23&gt;=MIN($C$28),$F23&lt;=MAX($D$28)),SUMPRODUCT('Ped Safety CRTMeasure'!$H$31:$H$36,'BCA Guide - Parameter Values'!$C$6:$C$11)+'Ped Safety CRTMeasure'!$H$30*'BCA Guide - Parameter Values'!$C$14,0)</f>
        <v>0</v>
      </c>
      <c r="O23" s="1291">
        <f>IF(AND($F23&gt;=MIN($C$29),$F23&lt;=MAX($D$29)),SUMPRODUCT('Ped Safety CRTMeasure'!$H$43:$H$48,'BCA Guide - Parameter Values'!$C$6:$C$11)+'Ped Safety CRTMeasure'!$H$42*'BCA Guide - Parameter Values'!$C$14,0)</f>
        <v>0</v>
      </c>
      <c r="P23" s="1199">
        <f>IF(AND(F23&gt;='Major Assumption Key'!$B$4,F23&lt;='Major Assumption Key'!$B$6),SUM(L23:O23),0)</f>
        <v>344017.2</v>
      </c>
      <c r="Q23" s="1292">
        <f t="shared" si="5"/>
        <v>56002.799999999988</v>
      </c>
      <c r="R23" s="1169">
        <f>Q23/(1+'Major Assumption Key'!$B$8)^($F23-'Major Assumption Key'!$B$7)</f>
        <v>36524.848836519974</v>
      </c>
      <c r="S23" s="1281"/>
      <c r="T23" s="1165">
        <f t="shared" si="6"/>
        <v>400000</v>
      </c>
      <c r="U23" s="1199">
        <f t="shared" si="7"/>
        <v>344000</v>
      </c>
      <c r="V23" s="1292">
        <f t="shared" si="8"/>
        <v>56000</v>
      </c>
      <c r="W23" s="1169">
        <f t="shared" si="9"/>
        <v>37000</v>
      </c>
    </row>
    <row r="24" spans="1:27" ht="19.95" customHeight="1" thickBot="1">
      <c r="E24" s="1173"/>
      <c r="F24" s="1181">
        <f>'Major Assumption Key'!A36</f>
        <v>2037</v>
      </c>
      <c r="G24" s="1290">
        <f>IF(AND($F24&gt;=MIN($C$26),$F24&lt;=MAX($D$26)),SUMPRODUCT('Ped Safety CRTMeasure'!$G$7:$G$12,'BCA Guide - Parameter Values'!$C$6:$C$11)+'Ped Safety CRTMeasure'!$G$6*'BCA Guide - Parameter Values'!$C$14,0)</f>
        <v>400020</v>
      </c>
      <c r="H24" s="1290">
        <f>IF(AND($F24&gt;=MIN($C$27),$F24&lt;=MAX($D$27)),SUMPRODUCT('Ped Safety CRTMeasure'!$G$19:$G$24,'BCA Guide - Parameter Values'!$C$6:$C$11)+'Ped Safety CRTMeasure'!$G$18*'BCA Guide - Parameter Values'!$C$14,0)</f>
        <v>0</v>
      </c>
      <c r="I24" s="1290">
        <f>IF(AND($F24&gt;=MIN($C$28),$F24&lt;=MAX($D$28)),SUMPRODUCT('Ped Safety CRTMeasure'!$G$31:$G$36,'BCA Guide - Parameter Values'!$C$6:$C$11)+'Ped Safety CRTMeasure'!$G$30*'BCA Guide - Parameter Values'!$C$14,0)</f>
        <v>0</v>
      </c>
      <c r="J24" s="1290">
        <f>IF(AND($F24&gt;=MIN($C$29),$F24&lt;=MAX($D$29)),SUMPRODUCT('Ped Safety CRTMeasure'!$G$43:$G$48,'BCA Guide - Parameter Values'!$C$6:$C$11)+'Ped Safety CRTMeasure'!$G$42*'BCA Guide - Parameter Values'!$C$14,0)</f>
        <v>0</v>
      </c>
      <c r="K24" s="1165">
        <f>IF(AND(F24&gt;='Major Assumption Key'!$B$4,F24&lt;='Major Assumption Key'!$B$6),SUM(G24:J24),0)</f>
        <v>400020</v>
      </c>
      <c r="L24" s="1290">
        <f>IF(AND($F24&gt;=MIN($C$26),$F24&lt;=MAX($D$26)),SUMPRODUCT('Ped Safety CRTMeasure'!$H$7:$H$12,'BCA Guide - Parameter Values'!$C$6:$C$11)+'Ped Safety CRTMeasure'!$H$6*'BCA Guide - Parameter Values'!$C$14,0)</f>
        <v>344017.2</v>
      </c>
      <c r="M24" s="1291">
        <f>IF(AND($F24&gt;=MIN($C$27),$F24&lt;=MAX($D$27)),SUMPRODUCT('Ped Safety CRTMeasure'!$H$19:$H$24,'BCA Guide - Parameter Values'!$C$6:$C$11)+'Ped Safety CRTMeasure'!$H$18*'BCA Guide - Parameter Values'!$C$14,0)</f>
        <v>0</v>
      </c>
      <c r="N24" s="1291">
        <f>IF(AND($F24&gt;=MIN($C$28),$F24&lt;=MAX($D$28)),SUMPRODUCT('Ped Safety CRTMeasure'!$H$31:$H$36,'BCA Guide - Parameter Values'!$C$6:$C$11)+'Ped Safety CRTMeasure'!$H$30*'BCA Guide - Parameter Values'!$C$14,0)</f>
        <v>0</v>
      </c>
      <c r="O24" s="1291">
        <f>IF(AND($F24&gt;=MIN($C$29),$F24&lt;=MAX($D$29)),SUMPRODUCT('Ped Safety CRTMeasure'!$H$43:$H$48,'BCA Guide - Parameter Values'!$C$6:$C$11)+'Ped Safety CRTMeasure'!$H$42*'BCA Guide - Parameter Values'!$C$14,0)</f>
        <v>0</v>
      </c>
      <c r="P24" s="1199">
        <f>IF(AND(F24&gt;='Major Assumption Key'!$B$4,F24&lt;='Major Assumption Key'!$B$6),SUM(L24:O24),0)</f>
        <v>344017.2</v>
      </c>
      <c r="Q24" s="1292">
        <f t="shared" si="5"/>
        <v>56002.799999999988</v>
      </c>
      <c r="R24" s="1169">
        <f>Q24/(1+'Major Assumption Key'!$B$8)^($F24-'Major Assumption Key'!$B$7)</f>
        <v>35426.623507778837</v>
      </c>
      <c r="S24" s="1281"/>
      <c r="T24" s="1165">
        <f t="shared" si="6"/>
        <v>400000</v>
      </c>
      <c r="U24" s="1199">
        <f t="shared" si="7"/>
        <v>344000</v>
      </c>
      <c r="V24" s="1292">
        <f t="shared" si="8"/>
        <v>56000</v>
      </c>
      <c r="W24" s="1169">
        <f t="shared" si="9"/>
        <v>35000</v>
      </c>
    </row>
    <row r="25" spans="1:27" ht="19.95" customHeight="1">
      <c r="A25" s="1293" t="s">
        <v>821</v>
      </c>
      <c r="B25" s="1294" t="s">
        <v>822</v>
      </c>
      <c r="C25" s="1294" t="s">
        <v>823</v>
      </c>
      <c r="D25" s="1295" t="s">
        <v>824</v>
      </c>
      <c r="E25" s="1173"/>
      <c r="F25" s="1181">
        <f>'Major Assumption Key'!A37</f>
        <v>2038</v>
      </c>
      <c r="G25" s="1290">
        <f>IF(AND($F25&gt;=MIN($C$26),$F25&lt;=MAX($D$26)),SUMPRODUCT('Ped Safety CRTMeasure'!$G$7:$G$12,'BCA Guide - Parameter Values'!$C$6:$C$11)+'Ped Safety CRTMeasure'!$G$6*'BCA Guide - Parameter Values'!$C$14,0)</f>
        <v>400020</v>
      </c>
      <c r="H25" s="1290">
        <f>IF(AND($F25&gt;=MIN($C$27),$F25&lt;=MAX($D$27)),SUMPRODUCT('Ped Safety CRTMeasure'!$G$19:$G$24,'BCA Guide - Parameter Values'!$C$6:$C$11)+'Ped Safety CRTMeasure'!$G$18*'BCA Guide - Parameter Values'!$C$14,0)</f>
        <v>0</v>
      </c>
      <c r="I25" s="1290">
        <f>IF(AND($F25&gt;=MIN($C$28),$F25&lt;=MAX($D$28)),SUMPRODUCT('Ped Safety CRTMeasure'!$G$31:$G$36,'BCA Guide - Parameter Values'!$C$6:$C$11)+'Ped Safety CRTMeasure'!$G$30*'BCA Guide - Parameter Values'!$C$14,0)</f>
        <v>0</v>
      </c>
      <c r="J25" s="1290">
        <f>IF(AND($F25&gt;=MIN($C$29),$F25&lt;=MAX($D$29)),SUMPRODUCT('Ped Safety CRTMeasure'!$G$43:$G$48,'BCA Guide - Parameter Values'!$C$6:$C$11)+'Ped Safety CRTMeasure'!$G$42*'BCA Guide - Parameter Values'!$C$14,0)</f>
        <v>0</v>
      </c>
      <c r="K25" s="1165">
        <f>IF(AND(F25&gt;='Major Assumption Key'!$B$4,F25&lt;='Major Assumption Key'!$B$6),SUM(G25:J25),0)</f>
        <v>400020</v>
      </c>
      <c r="L25" s="1290">
        <f>IF(AND($F25&gt;=MIN($C$26),$F25&lt;=MAX($D$26)),SUMPRODUCT('Ped Safety CRTMeasure'!$H$7:$H$12,'BCA Guide - Parameter Values'!$C$6:$C$11)+'Ped Safety CRTMeasure'!$H$6*'BCA Guide - Parameter Values'!$C$14,0)</f>
        <v>344017.2</v>
      </c>
      <c r="M25" s="1291">
        <f>IF(AND($F25&gt;=MIN($C$27),$F25&lt;=MAX($D$27)),SUMPRODUCT('Ped Safety CRTMeasure'!$H$19:$H$24,'BCA Guide - Parameter Values'!$C$6:$C$11)+'Ped Safety CRTMeasure'!$H$18*'BCA Guide - Parameter Values'!$C$14,0)</f>
        <v>0</v>
      </c>
      <c r="N25" s="1291">
        <f>IF(AND($F25&gt;=MIN($C$28),$F25&lt;=MAX($D$28)),SUMPRODUCT('Ped Safety CRTMeasure'!$H$31:$H$36,'BCA Guide - Parameter Values'!$C$6:$C$11)+'Ped Safety CRTMeasure'!$H$30*'BCA Guide - Parameter Values'!$C$14,0)</f>
        <v>0</v>
      </c>
      <c r="O25" s="1291">
        <f>IF(AND($F25&gt;=MIN($C$29),$F25&lt;=MAX($D$29)),SUMPRODUCT('Ped Safety CRTMeasure'!$H$43:$H$48,'BCA Guide - Parameter Values'!$C$6:$C$11)+'Ped Safety CRTMeasure'!$H$42*'BCA Guide - Parameter Values'!$C$14,0)</f>
        <v>0</v>
      </c>
      <c r="P25" s="1199">
        <f>IF(AND(F25&gt;='Major Assumption Key'!$B$4,F25&lt;='Major Assumption Key'!$B$6),SUM(L25:O25),0)</f>
        <v>344017.2</v>
      </c>
      <c r="Q25" s="1292">
        <f t="shared" si="5"/>
        <v>56002.799999999988</v>
      </c>
      <c r="R25" s="1169">
        <f>Q25/(1+'Major Assumption Key'!$B$8)^($F25-'Major Assumption Key'!$B$7)</f>
        <v>34361.419503180245</v>
      </c>
      <c r="S25" s="1281"/>
      <c r="T25" s="1165">
        <f t="shared" si="6"/>
        <v>400000</v>
      </c>
      <c r="U25" s="1199">
        <f t="shared" si="7"/>
        <v>344000</v>
      </c>
      <c r="V25" s="1292">
        <f t="shared" si="8"/>
        <v>56000</v>
      </c>
      <c r="W25" s="1169">
        <f t="shared" si="9"/>
        <v>34000</v>
      </c>
    </row>
    <row r="26" spans="1:27" ht="19.95" customHeight="1">
      <c r="A26" s="1301" t="str">
        <f>RIGHT(A19,LEN(A19)-27)</f>
        <v>Countermeasure #1 - MEDIAN TREATMENT FOR PED/BIKE SAFETY</v>
      </c>
      <c r="B26" s="1302">
        <v>20</v>
      </c>
      <c r="C26" s="1303">
        <f>'Major Assumption Key'!$B$3</f>
        <v>2028</v>
      </c>
      <c r="D26" s="1304">
        <f>C26+B26-1</f>
        <v>2047</v>
      </c>
      <c r="E26" s="1173"/>
      <c r="F26" s="1181">
        <f>'Major Assumption Key'!A38</f>
        <v>2039</v>
      </c>
      <c r="G26" s="1290">
        <f>IF(AND($F26&gt;=MIN($C$26),$F26&lt;=MAX($D$26)),SUMPRODUCT('Ped Safety CRTMeasure'!$G$7:$G$12,'BCA Guide - Parameter Values'!$C$6:$C$11)+'Ped Safety CRTMeasure'!$G$6*'BCA Guide - Parameter Values'!$C$14,0)</f>
        <v>400020</v>
      </c>
      <c r="H26" s="1290">
        <f>IF(AND($F26&gt;=MIN($C$27),$F26&lt;=MAX($D$27)),SUMPRODUCT('Ped Safety CRTMeasure'!$G$19:$G$24,'BCA Guide - Parameter Values'!$C$6:$C$11)+'Ped Safety CRTMeasure'!$G$18*'BCA Guide - Parameter Values'!$C$14,0)</f>
        <v>0</v>
      </c>
      <c r="I26" s="1290">
        <f>IF(AND($F26&gt;=MIN($C$28),$F26&lt;=MAX($D$28)),SUMPRODUCT('Ped Safety CRTMeasure'!$G$31:$G$36,'BCA Guide - Parameter Values'!$C$6:$C$11)+'Ped Safety CRTMeasure'!$G$30*'BCA Guide - Parameter Values'!$C$14,0)</f>
        <v>0</v>
      </c>
      <c r="J26" s="1290">
        <f>IF(AND($F26&gt;=MIN($C$29),$F26&lt;=MAX($D$29)),SUMPRODUCT('Ped Safety CRTMeasure'!$G$43:$G$48,'BCA Guide - Parameter Values'!$C$6:$C$11)+'Ped Safety CRTMeasure'!$G$42*'BCA Guide - Parameter Values'!$C$14,0)</f>
        <v>0</v>
      </c>
      <c r="K26" s="1165">
        <f>IF(AND(F26&gt;='Major Assumption Key'!$B$4,F26&lt;='Major Assumption Key'!$B$6),SUM(G26:J26),0)</f>
        <v>400020</v>
      </c>
      <c r="L26" s="1290">
        <f>IF(AND($F26&gt;=MIN($C$26),$F26&lt;=MAX($D$26)),SUMPRODUCT('Ped Safety CRTMeasure'!$H$7:$H$12,'BCA Guide - Parameter Values'!$C$6:$C$11)+'Ped Safety CRTMeasure'!$H$6*'BCA Guide - Parameter Values'!$C$14,0)</f>
        <v>344017.2</v>
      </c>
      <c r="M26" s="1291">
        <f>IF(AND($F26&gt;=MIN($C$27),$F26&lt;=MAX($D$27)),SUMPRODUCT('Ped Safety CRTMeasure'!$H$19:$H$24,'BCA Guide - Parameter Values'!$C$6:$C$11)+'Ped Safety CRTMeasure'!$H$18*'BCA Guide - Parameter Values'!$C$14,0)</f>
        <v>0</v>
      </c>
      <c r="N26" s="1291">
        <f>IF(AND($F26&gt;=MIN($C$28),$F26&lt;=MAX($D$28)),SUMPRODUCT('Ped Safety CRTMeasure'!$H$31:$H$36,'BCA Guide - Parameter Values'!$C$6:$C$11)+'Ped Safety CRTMeasure'!$H$30*'BCA Guide - Parameter Values'!$C$14,0)</f>
        <v>0</v>
      </c>
      <c r="O26" s="1291">
        <f>IF(AND($F26&gt;=MIN($C$29),$F26&lt;=MAX($D$29)),SUMPRODUCT('Ped Safety CRTMeasure'!$H$43:$H$48,'BCA Guide - Parameter Values'!$C$6:$C$11)+'Ped Safety CRTMeasure'!$H$42*'BCA Guide - Parameter Values'!$C$14,0)</f>
        <v>0</v>
      </c>
      <c r="P26" s="1199">
        <f>IF(AND(F26&gt;='Major Assumption Key'!$B$4,F26&lt;='Major Assumption Key'!$B$6),SUM(L26:O26),0)</f>
        <v>344017.2</v>
      </c>
      <c r="Q26" s="1292">
        <f t="shared" si="5"/>
        <v>56002.799999999988</v>
      </c>
      <c r="R26" s="1169">
        <f>Q26/(1+'Major Assumption Key'!$B$8)^($F26-'Major Assumption Key'!$B$7)</f>
        <v>33328.243941008965</v>
      </c>
      <c r="S26" s="1281"/>
      <c r="T26" s="1165">
        <f t="shared" si="6"/>
        <v>400000</v>
      </c>
      <c r="U26" s="1199">
        <f t="shared" si="7"/>
        <v>344000</v>
      </c>
      <c r="V26" s="1292">
        <f t="shared" si="8"/>
        <v>56000</v>
      </c>
      <c r="W26" s="1169">
        <f t="shared" si="9"/>
        <v>33000</v>
      </c>
    </row>
    <row r="27" spans="1:27" ht="19.95" customHeight="1">
      <c r="A27" s="1301" t="str">
        <f t="shared" ref="A27:A29" si="10">RIGHT(A20,LEN(A20)-27)</f>
        <v>Countermeasure #2</v>
      </c>
      <c r="B27" s="1302">
        <v>0</v>
      </c>
      <c r="C27" s="1303">
        <f>'Major Assumption Key'!$B$3</f>
        <v>2028</v>
      </c>
      <c r="D27" s="1304">
        <f t="shared" ref="D27:D28" si="11">C27+B27-1</f>
        <v>2027</v>
      </c>
      <c r="E27" s="1173"/>
      <c r="F27" s="1181">
        <f>'Major Assumption Key'!A39</f>
        <v>2040</v>
      </c>
      <c r="G27" s="1290">
        <f>IF(AND($F27&gt;=MIN($C$26),$F27&lt;=MAX($D$26)),SUMPRODUCT('Ped Safety CRTMeasure'!$G$7:$G$12,'BCA Guide - Parameter Values'!$C$6:$C$11)+'Ped Safety CRTMeasure'!$G$6*'BCA Guide - Parameter Values'!$C$14,0)</f>
        <v>400020</v>
      </c>
      <c r="H27" s="1290">
        <f>IF(AND($F27&gt;=MIN($C$27),$F27&lt;=MAX($D$27)),SUMPRODUCT('Ped Safety CRTMeasure'!$G$19:$G$24,'BCA Guide - Parameter Values'!$C$6:$C$11)+'Ped Safety CRTMeasure'!$G$18*'BCA Guide - Parameter Values'!$C$14,0)</f>
        <v>0</v>
      </c>
      <c r="I27" s="1290">
        <f>IF(AND($F27&gt;=MIN($C$28),$F27&lt;=MAX($D$28)),SUMPRODUCT('Ped Safety CRTMeasure'!$G$31:$G$36,'BCA Guide - Parameter Values'!$C$6:$C$11)+'Ped Safety CRTMeasure'!$G$30*'BCA Guide - Parameter Values'!$C$14,0)</f>
        <v>0</v>
      </c>
      <c r="J27" s="1290">
        <f>IF(AND($F27&gt;=MIN($C$29),$F27&lt;=MAX($D$29)),SUMPRODUCT('Ped Safety CRTMeasure'!$G$43:$G$48,'BCA Guide - Parameter Values'!$C$6:$C$11)+'Ped Safety CRTMeasure'!$G$42*'BCA Guide - Parameter Values'!$C$14,0)</f>
        <v>0</v>
      </c>
      <c r="K27" s="1165">
        <f>IF(AND(F27&gt;='Major Assumption Key'!$B$4,F27&lt;='Major Assumption Key'!$B$6),SUM(G27:J27),0)</f>
        <v>400020</v>
      </c>
      <c r="L27" s="1290">
        <f>IF(AND($F27&gt;=MIN($C$26),$F27&lt;=MAX($D$26)),SUMPRODUCT('Ped Safety CRTMeasure'!$H$7:$H$12,'BCA Guide - Parameter Values'!$C$6:$C$11)+'Ped Safety CRTMeasure'!$H$6*'BCA Guide - Parameter Values'!$C$14,0)</f>
        <v>344017.2</v>
      </c>
      <c r="M27" s="1291">
        <f>IF(AND($F27&gt;=MIN($C$27),$F27&lt;=MAX($D$27)),SUMPRODUCT('Ped Safety CRTMeasure'!$H$19:$H$24,'BCA Guide - Parameter Values'!$C$6:$C$11)+'Ped Safety CRTMeasure'!$H$18*'BCA Guide - Parameter Values'!$C$14,0)</f>
        <v>0</v>
      </c>
      <c r="N27" s="1291">
        <f>IF(AND($F27&gt;=MIN($C$28),$F27&lt;=MAX($D$28)),SUMPRODUCT('Ped Safety CRTMeasure'!$H$31:$H$36,'BCA Guide - Parameter Values'!$C$6:$C$11)+'Ped Safety CRTMeasure'!$H$30*'BCA Guide - Parameter Values'!$C$14,0)</f>
        <v>0</v>
      </c>
      <c r="O27" s="1291">
        <f>IF(AND($F27&gt;=MIN($C$29),$F27&lt;=MAX($D$29)),SUMPRODUCT('Ped Safety CRTMeasure'!$H$43:$H$48,'BCA Guide - Parameter Values'!$C$6:$C$11)+'Ped Safety CRTMeasure'!$H$42*'BCA Guide - Parameter Values'!$C$14,0)</f>
        <v>0</v>
      </c>
      <c r="P27" s="1199">
        <f>IF(AND(F27&gt;='Major Assumption Key'!$B$4,F27&lt;='Major Assumption Key'!$B$6),SUM(L27:O27),0)</f>
        <v>344017.2</v>
      </c>
      <c r="Q27" s="1292">
        <f t="shared" si="5"/>
        <v>56002.799999999988</v>
      </c>
      <c r="R27" s="1169">
        <f>Q27/(1+'Major Assumption Key'!$B$8)^($F27-'Major Assumption Key'!$B$7)</f>
        <v>32326.133793413162</v>
      </c>
      <c r="S27" s="1281"/>
      <c r="T27" s="1165">
        <f t="shared" si="6"/>
        <v>400000</v>
      </c>
      <c r="U27" s="1199">
        <f t="shared" si="7"/>
        <v>344000</v>
      </c>
      <c r="V27" s="1292">
        <f t="shared" si="8"/>
        <v>56000</v>
      </c>
      <c r="W27" s="1169">
        <f t="shared" si="9"/>
        <v>32000</v>
      </c>
    </row>
    <row r="28" spans="1:27" ht="19.95" customHeight="1">
      <c r="A28" s="1301" t="str">
        <f t="shared" si="10"/>
        <v>Countermeasure #3</v>
      </c>
      <c r="B28" s="1302">
        <v>0</v>
      </c>
      <c r="C28" s="1303">
        <f>'Major Assumption Key'!$B$3</f>
        <v>2028</v>
      </c>
      <c r="D28" s="1304">
        <f t="shared" si="11"/>
        <v>2027</v>
      </c>
      <c r="E28" s="1173"/>
      <c r="F28" s="1181">
        <f>'Major Assumption Key'!A40</f>
        <v>2041</v>
      </c>
      <c r="G28" s="1290">
        <f>IF(AND($F28&gt;=MIN($C$26),$F28&lt;=MAX($D$26)),SUMPRODUCT('Ped Safety CRTMeasure'!$G$7:$G$12,'BCA Guide - Parameter Values'!$C$6:$C$11)+'Ped Safety CRTMeasure'!$G$6*'BCA Guide - Parameter Values'!$C$14,0)</f>
        <v>400020</v>
      </c>
      <c r="H28" s="1290">
        <f>IF(AND($F28&gt;=MIN($C$27),$F28&lt;=MAX($D$27)),SUMPRODUCT('Ped Safety CRTMeasure'!$G$19:$G$24,'BCA Guide - Parameter Values'!$C$6:$C$11)+'Ped Safety CRTMeasure'!$G$18*'BCA Guide - Parameter Values'!$C$14,0)</f>
        <v>0</v>
      </c>
      <c r="I28" s="1290">
        <f>IF(AND($F28&gt;=MIN($C$28),$F28&lt;=MAX($D$28)),SUMPRODUCT('Ped Safety CRTMeasure'!$G$31:$G$36,'BCA Guide - Parameter Values'!$C$6:$C$11)+'Ped Safety CRTMeasure'!$G$30*'BCA Guide - Parameter Values'!$C$14,0)</f>
        <v>0</v>
      </c>
      <c r="J28" s="1290">
        <f>IF(AND($F28&gt;=MIN($C$29),$F28&lt;=MAX($D$29)),SUMPRODUCT('Ped Safety CRTMeasure'!$G$43:$G$48,'BCA Guide - Parameter Values'!$C$6:$C$11)+'Ped Safety CRTMeasure'!$G$42*'BCA Guide - Parameter Values'!$C$14,0)</f>
        <v>0</v>
      </c>
      <c r="K28" s="1165">
        <f>IF(AND(F28&gt;='Major Assumption Key'!$B$4,F28&lt;='Major Assumption Key'!$B$6),SUM(G28:J28),0)</f>
        <v>400020</v>
      </c>
      <c r="L28" s="1290">
        <f>IF(AND($F28&gt;=MIN($C$26),$F28&lt;=MAX($D$26)),SUMPRODUCT('Ped Safety CRTMeasure'!$H$7:$H$12,'BCA Guide - Parameter Values'!$C$6:$C$11)+'Ped Safety CRTMeasure'!$H$6*'BCA Guide - Parameter Values'!$C$14,0)</f>
        <v>344017.2</v>
      </c>
      <c r="M28" s="1291">
        <f>IF(AND($F28&gt;=MIN($C$27),$F28&lt;=MAX($D$27)),SUMPRODUCT('Ped Safety CRTMeasure'!$H$19:$H$24,'BCA Guide - Parameter Values'!$C$6:$C$11)+'Ped Safety CRTMeasure'!$H$18*'BCA Guide - Parameter Values'!$C$14,0)</f>
        <v>0</v>
      </c>
      <c r="N28" s="1291">
        <f>IF(AND($F28&gt;=MIN($C$28),$F28&lt;=MAX($D$28)),SUMPRODUCT('Ped Safety CRTMeasure'!$H$31:$H$36,'BCA Guide - Parameter Values'!$C$6:$C$11)+'Ped Safety CRTMeasure'!$H$30*'BCA Guide - Parameter Values'!$C$14,0)</f>
        <v>0</v>
      </c>
      <c r="O28" s="1291">
        <f>IF(AND($F28&gt;=MIN($C$29),$F28&lt;=MAX($D$29)),SUMPRODUCT('Ped Safety CRTMeasure'!$H$43:$H$48,'BCA Guide - Parameter Values'!$C$6:$C$11)+'Ped Safety CRTMeasure'!$H$42*'BCA Guide - Parameter Values'!$C$14,0)</f>
        <v>0</v>
      </c>
      <c r="P28" s="1199">
        <f>IF(AND(F28&gt;='Major Assumption Key'!$B$4,F28&lt;='Major Assumption Key'!$B$6),SUM(L28:O28),0)</f>
        <v>344017.2</v>
      </c>
      <c r="Q28" s="1292">
        <f t="shared" si="5"/>
        <v>56002.799999999988</v>
      </c>
      <c r="R28" s="1169">
        <f>Q28/(1+'Major Assumption Key'!$B$8)^($F28-'Major Assumption Key'!$B$7)</f>
        <v>31354.154988761558</v>
      </c>
      <c r="S28" s="1281"/>
      <c r="T28" s="1165">
        <f t="shared" si="6"/>
        <v>400000</v>
      </c>
      <c r="U28" s="1199">
        <f t="shared" si="7"/>
        <v>344000</v>
      </c>
      <c r="V28" s="1292">
        <f t="shared" si="8"/>
        <v>56000</v>
      </c>
      <c r="W28" s="1169">
        <f t="shared" si="9"/>
        <v>31000</v>
      </c>
    </row>
    <row r="29" spans="1:27" ht="19.95" customHeight="1" thickBot="1">
      <c r="A29" s="1334" t="str">
        <f t="shared" si="10"/>
        <v>Countermeasure #4</v>
      </c>
      <c r="B29" s="1694">
        <v>0</v>
      </c>
      <c r="C29" s="1679">
        <f>'Major Assumption Key'!$B$3</f>
        <v>2028</v>
      </c>
      <c r="D29" s="1680">
        <f>C29+B29-1</f>
        <v>2027</v>
      </c>
      <c r="E29" s="1173"/>
      <c r="F29" s="1181">
        <f>'Major Assumption Key'!A41</f>
        <v>2042</v>
      </c>
      <c r="G29" s="1290">
        <f>IF(AND($F29&gt;=MIN($C$26),$F29&lt;=MAX($D$26)),SUMPRODUCT('Ped Safety CRTMeasure'!$G$7:$G$12,'BCA Guide - Parameter Values'!$C$6:$C$11)+'Ped Safety CRTMeasure'!$G$6*'BCA Guide - Parameter Values'!$C$14,0)</f>
        <v>400020</v>
      </c>
      <c r="H29" s="1290">
        <f>IF(AND($F29&gt;=MIN($C$27),$F29&lt;=MAX($D$27)),SUMPRODUCT('Ped Safety CRTMeasure'!$G$19:$G$24,'BCA Guide - Parameter Values'!$C$6:$C$11)+'Ped Safety CRTMeasure'!$G$18*'BCA Guide - Parameter Values'!$C$14,0)</f>
        <v>0</v>
      </c>
      <c r="I29" s="1290">
        <f>IF(AND($F29&gt;=MIN($C$28),$F29&lt;=MAX($D$28)),SUMPRODUCT('Ped Safety CRTMeasure'!$G$31:$G$36,'BCA Guide - Parameter Values'!$C$6:$C$11)+'Ped Safety CRTMeasure'!$G$30*'BCA Guide - Parameter Values'!$C$14,0)</f>
        <v>0</v>
      </c>
      <c r="J29" s="1290">
        <f>IF(AND($F29&gt;=MIN($C$29),$F29&lt;=MAX($D$29)),SUMPRODUCT('Ped Safety CRTMeasure'!$G$43:$G$48,'BCA Guide - Parameter Values'!$C$6:$C$11)+'Ped Safety CRTMeasure'!$G$42*'BCA Guide - Parameter Values'!$C$14,0)</f>
        <v>0</v>
      </c>
      <c r="K29" s="1165">
        <f>IF(AND(F29&gt;='Major Assumption Key'!$B$4,F29&lt;='Major Assumption Key'!$B$6),SUM(G29:J29),0)</f>
        <v>400020</v>
      </c>
      <c r="L29" s="1290">
        <f>IF(AND($F29&gt;=MIN($C$26),$F29&lt;=MAX($D$26)),SUMPRODUCT('Ped Safety CRTMeasure'!$H$7:$H$12,'BCA Guide - Parameter Values'!$C$6:$C$11)+'Ped Safety CRTMeasure'!$H$6*'BCA Guide - Parameter Values'!$C$14,0)</f>
        <v>344017.2</v>
      </c>
      <c r="M29" s="1291">
        <f>IF(AND($F29&gt;=MIN($C$27),$F29&lt;=MAX($D$27)),SUMPRODUCT('Ped Safety CRTMeasure'!$H$19:$H$24,'BCA Guide - Parameter Values'!$C$6:$C$11)+'Ped Safety CRTMeasure'!$H$18*'BCA Guide - Parameter Values'!$C$14,0)</f>
        <v>0</v>
      </c>
      <c r="N29" s="1291">
        <f>IF(AND($F29&gt;=MIN($C$28),$F29&lt;=MAX($D$28)),SUMPRODUCT('Ped Safety CRTMeasure'!$H$31:$H$36,'BCA Guide - Parameter Values'!$C$6:$C$11)+'Ped Safety CRTMeasure'!$H$30*'BCA Guide - Parameter Values'!$C$14,0)</f>
        <v>0</v>
      </c>
      <c r="O29" s="1291">
        <f>IF(AND($F29&gt;=MIN($C$29),$F29&lt;=MAX($D$29)),SUMPRODUCT('Ped Safety CRTMeasure'!$H$43:$H$48,'BCA Guide - Parameter Values'!$C$6:$C$11)+'Ped Safety CRTMeasure'!$H$42*'BCA Guide - Parameter Values'!$C$14,0)</f>
        <v>0</v>
      </c>
      <c r="P29" s="1199">
        <f>IF(AND(F29&gt;='Major Assumption Key'!$B$4,F29&lt;='Major Assumption Key'!$B$6),SUM(L29:O29),0)</f>
        <v>344017.2</v>
      </c>
      <c r="Q29" s="1292">
        <f t="shared" si="5"/>
        <v>56002.799999999988</v>
      </c>
      <c r="R29" s="1169">
        <f>Q29/(1+'Major Assumption Key'!$B$8)^($F29-'Major Assumption Key'!$B$7)</f>
        <v>30411.401540990842</v>
      </c>
      <c r="S29" s="1281"/>
      <c r="T29" s="1165">
        <f t="shared" si="6"/>
        <v>400000</v>
      </c>
      <c r="U29" s="1199">
        <f t="shared" si="7"/>
        <v>344000</v>
      </c>
      <c r="V29" s="1292">
        <f t="shared" si="8"/>
        <v>56000</v>
      </c>
      <c r="W29" s="1169">
        <f t="shared" si="9"/>
        <v>30000</v>
      </c>
    </row>
    <row r="30" spans="1:27" ht="19.95" customHeight="1">
      <c r="E30" s="1173"/>
      <c r="F30" s="1181">
        <f>'Major Assumption Key'!A42</f>
        <v>2043</v>
      </c>
      <c r="G30" s="1290">
        <f>IF(AND($F30&gt;=MIN($C$26),$F30&lt;=MAX($D$26)),SUMPRODUCT('Ped Safety CRTMeasure'!$G$7:$G$12,'BCA Guide - Parameter Values'!$C$6:$C$11)+'Ped Safety CRTMeasure'!$G$6*'BCA Guide - Parameter Values'!$C$14,0)</f>
        <v>400020</v>
      </c>
      <c r="H30" s="1290">
        <f>IF(AND($F30&gt;=MIN($C$27),$F30&lt;=MAX($D$27)),SUMPRODUCT('Ped Safety CRTMeasure'!$G$19:$G$24,'BCA Guide - Parameter Values'!$C$6:$C$11)+'Ped Safety CRTMeasure'!$G$18*'BCA Guide - Parameter Values'!$C$14,0)</f>
        <v>0</v>
      </c>
      <c r="I30" s="1290">
        <f>IF(AND($F30&gt;=MIN($C$28),$F30&lt;=MAX($D$28)),SUMPRODUCT('Ped Safety CRTMeasure'!$G$31:$G$36,'BCA Guide - Parameter Values'!$C$6:$C$11)+'Ped Safety CRTMeasure'!$G$30*'BCA Guide - Parameter Values'!$C$14,0)</f>
        <v>0</v>
      </c>
      <c r="J30" s="1290">
        <f>IF(AND($F30&gt;=MIN($C$29),$F30&lt;=MAX($D$29)),SUMPRODUCT('Ped Safety CRTMeasure'!$G$43:$G$48,'BCA Guide - Parameter Values'!$C$6:$C$11)+'Ped Safety CRTMeasure'!$G$42*'BCA Guide - Parameter Values'!$C$14,0)</f>
        <v>0</v>
      </c>
      <c r="K30" s="1165">
        <f>IF(AND(F30&gt;='Major Assumption Key'!$B$4,F30&lt;='Major Assumption Key'!$B$6),SUM(G30:J30),0)</f>
        <v>400020</v>
      </c>
      <c r="L30" s="1290">
        <f>IF(AND($F30&gt;=MIN($C$26),$F30&lt;=MAX($D$26)),SUMPRODUCT('Ped Safety CRTMeasure'!$H$7:$H$12,'BCA Guide - Parameter Values'!$C$6:$C$11)+'Ped Safety CRTMeasure'!$H$6*'BCA Guide - Parameter Values'!$C$14,0)</f>
        <v>344017.2</v>
      </c>
      <c r="M30" s="1291">
        <f>IF(AND($F30&gt;=MIN($C$27),$F30&lt;=MAX($D$27)),SUMPRODUCT('Ped Safety CRTMeasure'!$H$19:$H$24,'BCA Guide - Parameter Values'!$C$6:$C$11)+'Ped Safety CRTMeasure'!$H$18*'BCA Guide - Parameter Values'!$C$14,0)</f>
        <v>0</v>
      </c>
      <c r="N30" s="1291">
        <f>IF(AND($F30&gt;=MIN($C$28),$F30&lt;=MAX($D$28)),SUMPRODUCT('Ped Safety CRTMeasure'!$H$31:$H$36,'BCA Guide - Parameter Values'!$C$6:$C$11)+'Ped Safety CRTMeasure'!$H$30*'BCA Guide - Parameter Values'!$C$14,0)</f>
        <v>0</v>
      </c>
      <c r="O30" s="1291">
        <f>IF(AND($F30&gt;=MIN($C$29),$F30&lt;=MAX($D$29)),SUMPRODUCT('Ped Safety CRTMeasure'!$H$43:$H$48,'BCA Guide - Parameter Values'!$C$6:$C$11)+'Ped Safety CRTMeasure'!$H$42*'BCA Guide - Parameter Values'!$C$14,0)</f>
        <v>0</v>
      </c>
      <c r="P30" s="1199">
        <f>IF(AND(F30&gt;='Major Assumption Key'!$B$4,F30&lt;='Major Assumption Key'!$B$6),SUM(L30:O30),0)</f>
        <v>344017.2</v>
      </c>
      <c r="Q30" s="1292">
        <f t="shared" si="5"/>
        <v>56002.799999999988</v>
      </c>
      <c r="R30" s="1169">
        <f>Q30/(1+'Major Assumption Key'!$B$8)^($F30-'Major Assumption Key'!$B$7)</f>
        <v>29496.994705131761</v>
      </c>
      <c r="S30" s="1281"/>
      <c r="T30" s="1165">
        <f t="shared" si="6"/>
        <v>400000</v>
      </c>
      <c r="U30" s="1199">
        <f t="shared" si="7"/>
        <v>344000</v>
      </c>
      <c r="V30" s="1292">
        <f t="shared" si="8"/>
        <v>56000</v>
      </c>
      <c r="W30" s="1169">
        <f t="shared" si="9"/>
        <v>29000</v>
      </c>
      <c r="AA30" s="1282"/>
    </row>
    <row r="31" spans="1:27" ht="19.95" customHeight="1">
      <c r="E31" s="1173"/>
      <c r="F31" s="1181">
        <f>'Major Assumption Key'!A43</f>
        <v>2044</v>
      </c>
      <c r="G31" s="1290">
        <f>IF(AND($F31&gt;=MIN($C$26),$F31&lt;=MAX($D$26)),SUMPRODUCT('Ped Safety CRTMeasure'!$G$7:$G$12,'BCA Guide - Parameter Values'!$C$6:$C$11)+'Ped Safety CRTMeasure'!$G$6*'BCA Guide - Parameter Values'!$C$14,0)</f>
        <v>400020</v>
      </c>
      <c r="H31" s="1290">
        <f>IF(AND($F31&gt;=MIN($C$27),$F31&lt;=MAX($D$27)),SUMPRODUCT('Ped Safety CRTMeasure'!$G$19:$G$24,'BCA Guide - Parameter Values'!$C$6:$C$11)+'Ped Safety CRTMeasure'!$G$18*'BCA Guide - Parameter Values'!$C$14,0)</f>
        <v>0</v>
      </c>
      <c r="I31" s="1290">
        <f>IF(AND($F31&gt;=MIN($C$28),$F31&lt;=MAX($D$28)),SUMPRODUCT('Ped Safety CRTMeasure'!$G$31:$G$36,'BCA Guide - Parameter Values'!$C$6:$C$11)+'Ped Safety CRTMeasure'!$G$30*'BCA Guide - Parameter Values'!$C$14,0)</f>
        <v>0</v>
      </c>
      <c r="J31" s="1290">
        <f>IF(AND($F31&gt;=MIN($C$29),$F31&lt;=MAX($D$29)),SUMPRODUCT('Ped Safety CRTMeasure'!$G$43:$G$48,'BCA Guide - Parameter Values'!$C$6:$C$11)+'Ped Safety CRTMeasure'!$G$42*'BCA Guide - Parameter Values'!$C$14,0)</f>
        <v>0</v>
      </c>
      <c r="K31" s="1165">
        <f>IF(AND(F31&gt;='Major Assumption Key'!$B$4,F31&lt;='Major Assumption Key'!$B$6),SUM(G31:J31),0)</f>
        <v>400020</v>
      </c>
      <c r="L31" s="1290">
        <f>IF(AND($F31&gt;=MIN($C$26),$F31&lt;=MAX($D$26)),SUMPRODUCT('Ped Safety CRTMeasure'!$H$7:$H$12,'BCA Guide - Parameter Values'!$C$6:$C$11)+'Ped Safety CRTMeasure'!$H$6*'BCA Guide - Parameter Values'!$C$14,0)</f>
        <v>344017.2</v>
      </c>
      <c r="M31" s="1291">
        <f>IF(AND($F31&gt;=MIN($C$27),$F31&lt;=MAX($D$27)),SUMPRODUCT('Ped Safety CRTMeasure'!$H$19:$H$24,'BCA Guide - Parameter Values'!$C$6:$C$11)+'Ped Safety CRTMeasure'!$H$18*'BCA Guide - Parameter Values'!$C$14,0)</f>
        <v>0</v>
      </c>
      <c r="N31" s="1291">
        <f>IF(AND($F31&gt;=MIN($C$28),$F31&lt;=MAX($D$28)),SUMPRODUCT('Ped Safety CRTMeasure'!$H$31:$H$36,'BCA Guide - Parameter Values'!$C$6:$C$11)+'Ped Safety CRTMeasure'!$H$30*'BCA Guide - Parameter Values'!$C$14,0)</f>
        <v>0</v>
      </c>
      <c r="O31" s="1291">
        <f>IF(AND($F31&gt;=MIN($C$29),$F31&lt;=MAX($D$29)),SUMPRODUCT('Ped Safety CRTMeasure'!$H$43:$H$48,'BCA Guide - Parameter Values'!$C$6:$C$11)+'Ped Safety CRTMeasure'!$H$42*'BCA Guide - Parameter Values'!$C$14,0)</f>
        <v>0</v>
      </c>
      <c r="P31" s="1199">
        <f>IF(AND(F31&gt;='Major Assumption Key'!$B$4,F31&lt;='Major Assumption Key'!$B$6),SUM(L31:O31),0)</f>
        <v>344017.2</v>
      </c>
      <c r="Q31" s="1292">
        <f t="shared" si="5"/>
        <v>56002.799999999988</v>
      </c>
      <c r="R31" s="1169">
        <f>Q31/(1+'Major Assumption Key'!$B$8)^($F31-'Major Assumption Key'!$B$7)</f>
        <v>28610.082158226731</v>
      </c>
      <c r="S31" s="1281"/>
      <c r="T31" s="1165">
        <f t="shared" si="6"/>
        <v>400000</v>
      </c>
      <c r="U31" s="1199">
        <f t="shared" si="7"/>
        <v>344000</v>
      </c>
      <c r="V31" s="1292">
        <f t="shared" si="8"/>
        <v>56000</v>
      </c>
      <c r="W31" s="1169">
        <f t="shared" si="9"/>
        <v>29000</v>
      </c>
    </row>
    <row r="32" spans="1:27" ht="19.95" customHeight="1">
      <c r="F32" s="1181">
        <f>'Major Assumption Key'!A44</f>
        <v>2045</v>
      </c>
      <c r="G32" s="1290">
        <f>IF(AND($F32&gt;=MIN($C$26),$F32&lt;=MAX($D$26)),SUMPRODUCT('Ped Safety CRTMeasure'!$G$7:$G$12,'BCA Guide - Parameter Values'!$C$6:$C$11)+'Ped Safety CRTMeasure'!$G$6*'BCA Guide - Parameter Values'!$C$14,0)</f>
        <v>400020</v>
      </c>
      <c r="H32" s="1290">
        <f>IF(AND($F32&gt;=MIN($C$27),$F32&lt;=MAX($D$27)),SUMPRODUCT('Ped Safety CRTMeasure'!$G$19:$G$24,'BCA Guide - Parameter Values'!$C$6:$C$11)+'Ped Safety CRTMeasure'!$G$18*'BCA Guide - Parameter Values'!$C$14,0)</f>
        <v>0</v>
      </c>
      <c r="I32" s="1290">
        <f>IF(AND($F32&gt;=MIN($C$28),$F32&lt;=MAX($D$28)),SUMPRODUCT('Ped Safety CRTMeasure'!$G$31:$G$36,'BCA Guide - Parameter Values'!$C$6:$C$11)+'Ped Safety CRTMeasure'!$G$30*'BCA Guide - Parameter Values'!$C$14,0)</f>
        <v>0</v>
      </c>
      <c r="J32" s="1290">
        <f>IF(AND($F32&gt;=MIN($C$29),$F32&lt;=MAX($D$29)),SUMPRODUCT('Ped Safety CRTMeasure'!$G$43:$G$48,'BCA Guide - Parameter Values'!$C$6:$C$11)+'Ped Safety CRTMeasure'!$G$42*'BCA Guide - Parameter Values'!$C$14,0)</f>
        <v>0</v>
      </c>
      <c r="K32" s="1165">
        <f>IF(AND(F32&gt;='Major Assumption Key'!$B$4,F32&lt;='Major Assumption Key'!$B$6),SUM(G32:J32),0)</f>
        <v>400020</v>
      </c>
      <c r="L32" s="1290">
        <f>IF(AND($F32&gt;=MIN($C$26),$F32&lt;=MAX($D$26)),SUMPRODUCT('Ped Safety CRTMeasure'!$H$7:$H$12,'BCA Guide - Parameter Values'!$C$6:$C$11)+'Ped Safety CRTMeasure'!$H$6*'BCA Guide - Parameter Values'!$C$14,0)</f>
        <v>344017.2</v>
      </c>
      <c r="M32" s="1291">
        <f>IF(AND($F32&gt;=MIN($C$27),$F32&lt;=MAX($D$27)),SUMPRODUCT('Ped Safety CRTMeasure'!$H$19:$H$24,'BCA Guide - Parameter Values'!$C$6:$C$11)+'Ped Safety CRTMeasure'!$H$18*'BCA Guide - Parameter Values'!$C$14,0)</f>
        <v>0</v>
      </c>
      <c r="N32" s="1291">
        <f>IF(AND($F32&gt;=MIN($C$28),$F32&lt;=MAX($D$28)),SUMPRODUCT('Ped Safety CRTMeasure'!$H$31:$H$36,'BCA Guide - Parameter Values'!$C$6:$C$11)+'Ped Safety CRTMeasure'!$H$30*'BCA Guide - Parameter Values'!$C$14,0)</f>
        <v>0</v>
      </c>
      <c r="O32" s="1291">
        <f>IF(AND($F32&gt;=MIN($C$29),$F32&lt;=MAX($D$29)),SUMPRODUCT('Ped Safety CRTMeasure'!$H$43:$H$48,'BCA Guide - Parameter Values'!$C$6:$C$11)+'Ped Safety CRTMeasure'!$H$42*'BCA Guide - Parameter Values'!$C$14,0)</f>
        <v>0</v>
      </c>
      <c r="P32" s="1199">
        <f>IF(AND(F32&gt;='Major Assumption Key'!$B$4,F32&lt;='Major Assumption Key'!$B$6),SUM(L32:O32),0)</f>
        <v>344017.2</v>
      </c>
      <c r="Q32" s="1292">
        <f t="shared" si="5"/>
        <v>56002.799999999988</v>
      </c>
      <c r="R32" s="1169">
        <f>Q32/(1+'Major Assumption Key'!$B$8)^($F32-'Major Assumption Key'!$B$7)</f>
        <v>27749.837204875588</v>
      </c>
      <c r="S32" s="1281"/>
      <c r="T32" s="1165">
        <f t="shared" si="6"/>
        <v>400000</v>
      </c>
      <c r="U32" s="1199">
        <f t="shared" si="7"/>
        <v>344000</v>
      </c>
      <c r="V32" s="1292">
        <f t="shared" si="8"/>
        <v>56000</v>
      </c>
      <c r="W32" s="1169">
        <f t="shared" si="9"/>
        <v>28000</v>
      </c>
    </row>
    <row r="33" spans="1:23" ht="19.95" customHeight="1">
      <c r="F33" s="1181">
        <f>'Major Assumption Key'!A45</f>
        <v>2046</v>
      </c>
      <c r="G33" s="1290">
        <f>IF(AND($F33&gt;=MIN($C$26),$F33&lt;=MAX($D$26)),SUMPRODUCT('Ped Safety CRTMeasure'!$G$7:$G$12,'BCA Guide - Parameter Values'!$C$6:$C$11)+'Ped Safety CRTMeasure'!$G$6*'BCA Guide - Parameter Values'!$C$14,0)</f>
        <v>400020</v>
      </c>
      <c r="H33" s="1290">
        <f>IF(AND($F33&gt;=MIN($C$27),$F33&lt;=MAX($D$27)),SUMPRODUCT('Ped Safety CRTMeasure'!$G$19:$G$24,'BCA Guide - Parameter Values'!$C$6:$C$11)+'Ped Safety CRTMeasure'!$G$18*'BCA Guide - Parameter Values'!$C$14,0)</f>
        <v>0</v>
      </c>
      <c r="I33" s="1290">
        <f>IF(AND($F33&gt;=MIN($C$28),$F33&lt;=MAX($D$28)),SUMPRODUCT('Ped Safety CRTMeasure'!$G$31:$G$36,'BCA Guide - Parameter Values'!$C$6:$C$11)+'Ped Safety CRTMeasure'!$G$30*'BCA Guide - Parameter Values'!$C$14,0)</f>
        <v>0</v>
      </c>
      <c r="J33" s="1290">
        <f>IF(AND($F33&gt;=MIN($C$29),$F33&lt;=MAX($D$29)),SUMPRODUCT('Ped Safety CRTMeasure'!$G$43:$G$48,'BCA Guide - Parameter Values'!$C$6:$C$11)+'Ped Safety CRTMeasure'!$G$42*'BCA Guide - Parameter Values'!$C$14,0)</f>
        <v>0</v>
      </c>
      <c r="K33" s="1165">
        <f>IF(AND(F33&gt;='Major Assumption Key'!$B$4,F33&lt;='Major Assumption Key'!$B$6),SUM(G33:J33),0)</f>
        <v>400020</v>
      </c>
      <c r="L33" s="1290">
        <f>IF(AND($F33&gt;=MIN($C$26),$F33&lt;=MAX($D$26)),SUMPRODUCT('Ped Safety CRTMeasure'!$H$7:$H$12,'BCA Guide - Parameter Values'!$C$6:$C$11)+'Ped Safety CRTMeasure'!$H$6*'BCA Guide - Parameter Values'!$C$14,0)</f>
        <v>344017.2</v>
      </c>
      <c r="M33" s="1291">
        <f>IF(AND($F33&gt;=MIN($C$27),$F33&lt;=MAX($D$27)),SUMPRODUCT('Ped Safety CRTMeasure'!$H$19:$H$24,'BCA Guide - Parameter Values'!$C$6:$C$11)+'Ped Safety CRTMeasure'!$H$18*'BCA Guide - Parameter Values'!$C$14,0)</f>
        <v>0</v>
      </c>
      <c r="N33" s="1291">
        <f>IF(AND($F33&gt;=MIN($C$28),$F33&lt;=MAX($D$28)),SUMPRODUCT('Ped Safety CRTMeasure'!$H$31:$H$36,'BCA Guide - Parameter Values'!$C$6:$C$11)+'Ped Safety CRTMeasure'!$H$30*'BCA Guide - Parameter Values'!$C$14,0)</f>
        <v>0</v>
      </c>
      <c r="O33" s="1291">
        <f>IF(AND($F33&gt;=MIN($C$29),$F33&lt;=MAX($D$29)),SUMPRODUCT('Ped Safety CRTMeasure'!$H$43:$H$48,'BCA Guide - Parameter Values'!$C$6:$C$11)+'Ped Safety CRTMeasure'!$H$42*'BCA Guide - Parameter Values'!$C$14,0)</f>
        <v>0</v>
      </c>
      <c r="P33" s="1199">
        <f>IF(AND(F33&gt;='Major Assumption Key'!$B$4,F33&lt;='Major Assumption Key'!$B$6),SUM(L33:O33),0)</f>
        <v>344017.2</v>
      </c>
      <c r="Q33" s="1292">
        <f t="shared" si="5"/>
        <v>56002.799999999988</v>
      </c>
      <c r="R33" s="1169">
        <f>Q33/(1+'Major Assumption Key'!$B$8)^($F33-'Major Assumption Key'!$B$7)</f>
        <v>26915.458006668858</v>
      </c>
      <c r="S33" s="1281"/>
      <c r="T33" s="1165">
        <f t="shared" si="6"/>
        <v>400000</v>
      </c>
      <c r="U33" s="1199">
        <f t="shared" si="7"/>
        <v>344000</v>
      </c>
      <c r="V33" s="1292">
        <f t="shared" si="8"/>
        <v>56000</v>
      </c>
      <c r="W33" s="1169">
        <f t="shared" si="9"/>
        <v>27000</v>
      </c>
    </row>
    <row r="34" spans="1:23" ht="19.95" customHeight="1">
      <c r="A34" s="1259"/>
      <c r="B34" s="1259"/>
      <c r="C34" s="1259"/>
      <c r="D34" s="1259"/>
      <c r="F34" s="1181">
        <f>'Major Assumption Key'!A46</f>
        <v>2047</v>
      </c>
      <c r="G34" s="1290">
        <f>IF(AND($F34&gt;=MIN($C$26),$F34&lt;=MAX($D$26)),SUMPRODUCT('Ped Safety CRTMeasure'!$G$7:$G$12,'BCA Guide - Parameter Values'!$C$6:$C$11)+'Ped Safety CRTMeasure'!$G$6*'BCA Guide - Parameter Values'!$C$14,0)</f>
        <v>400020</v>
      </c>
      <c r="H34" s="1290">
        <f>IF(AND($F34&gt;=MIN($C$27),$F34&lt;=MAX($D$27)),SUMPRODUCT('Ped Safety CRTMeasure'!$G$19:$G$24,'BCA Guide - Parameter Values'!$C$6:$C$11)+'Ped Safety CRTMeasure'!$G$18*'BCA Guide - Parameter Values'!$C$14,0)</f>
        <v>0</v>
      </c>
      <c r="I34" s="1290">
        <f>IF(AND($F34&gt;=MIN($C$28),$F34&lt;=MAX($D$28)),SUMPRODUCT('Ped Safety CRTMeasure'!$G$31:$G$36,'BCA Guide - Parameter Values'!$C$6:$C$11)+'Ped Safety CRTMeasure'!$G$30*'BCA Guide - Parameter Values'!$C$14,0)</f>
        <v>0</v>
      </c>
      <c r="J34" s="1290">
        <f>IF(AND($F34&gt;=MIN($C$29),$F34&lt;=MAX($D$29)),SUMPRODUCT('Ped Safety CRTMeasure'!$G$43:$G$48,'BCA Guide - Parameter Values'!$C$6:$C$11)+'Ped Safety CRTMeasure'!$G$42*'BCA Guide - Parameter Values'!$C$14,0)</f>
        <v>0</v>
      </c>
      <c r="K34" s="1165">
        <f>IF(AND(F34&gt;='Major Assumption Key'!$B$4,F34&lt;='Major Assumption Key'!$B$6),SUM(G34:J34),0)</f>
        <v>400020</v>
      </c>
      <c r="L34" s="1290">
        <f>IF(AND($F34&gt;=MIN($C$26),$F34&lt;=MAX($D$26)),SUMPRODUCT('Ped Safety CRTMeasure'!$H$7:$H$12,'BCA Guide - Parameter Values'!$C$6:$C$11)+'Ped Safety CRTMeasure'!$H$6*'BCA Guide - Parameter Values'!$C$14,0)</f>
        <v>344017.2</v>
      </c>
      <c r="M34" s="1291">
        <f>IF(AND($F34&gt;=MIN($C$27),$F34&lt;=MAX($D$27)),SUMPRODUCT('Ped Safety CRTMeasure'!$H$19:$H$24,'BCA Guide - Parameter Values'!$C$6:$C$11)+'Ped Safety CRTMeasure'!$H$18*'BCA Guide - Parameter Values'!$C$14,0)</f>
        <v>0</v>
      </c>
      <c r="N34" s="1291">
        <f>IF(AND($F34&gt;=MIN($C$28),$F34&lt;=MAX($D$28)),SUMPRODUCT('Ped Safety CRTMeasure'!$H$31:$H$36,'BCA Guide - Parameter Values'!$C$6:$C$11)+'Ped Safety CRTMeasure'!$H$30*'BCA Guide - Parameter Values'!$C$14,0)</f>
        <v>0</v>
      </c>
      <c r="O34" s="1291">
        <f>IF(AND($F34&gt;=MIN($C$29),$F34&lt;=MAX($D$29)),SUMPRODUCT('Ped Safety CRTMeasure'!$H$43:$H$48,'BCA Guide - Parameter Values'!$C$6:$C$11)+'Ped Safety CRTMeasure'!$H$42*'BCA Guide - Parameter Values'!$C$14,0)</f>
        <v>0</v>
      </c>
      <c r="P34" s="1199">
        <f>IF(AND(F34&gt;='Major Assumption Key'!$B$4,F34&lt;='Major Assumption Key'!$B$6),SUM(L34:O34),0)</f>
        <v>344017.2</v>
      </c>
      <c r="Q34" s="1292">
        <f t="shared" si="5"/>
        <v>56002.799999999988</v>
      </c>
      <c r="R34" s="1169">
        <f>Q34/(1+'Major Assumption Key'!$B$8)^($F34-'Major Assumption Key'!$B$7)</f>
        <v>26106.166834790358</v>
      </c>
      <c r="S34" s="1281"/>
      <c r="T34" s="1165">
        <f t="shared" si="6"/>
        <v>400000</v>
      </c>
      <c r="U34" s="1199">
        <f t="shared" si="7"/>
        <v>344000</v>
      </c>
      <c r="V34" s="1292">
        <f t="shared" si="8"/>
        <v>56000</v>
      </c>
      <c r="W34" s="1169">
        <f t="shared" si="9"/>
        <v>26000</v>
      </c>
    </row>
    <row r="35" spans="1:23" ht="19.95" customHeight="1">
      <c r="F35" s="1181">
        <f>'Major Assumption Key'!A47</f>
        <v>2048</v>
      </c>
      <c r="G35" s="1290">
        <f>IF(AND($F35&gt;=MIN($C$26),$F35&lt;=MAX($D$26)),SUMPRODUCT('Ped Safety CRTMeasure'!$G$7:$G$12,'BCA Guide - Parameter Values'!$C$6:$C$11)+'Ped Safety CRTMeasure'!$G$6*'BCA Guide - Parameter Values'!$C$14,0)</f>
        <v>0</v>
      </c>
      <c r="H35" s="1290">
        <f>IF(AND($F35&gt;=MIN($C$27),$F35&lt;=MAX($D$27)),SUMPRODUCT('Ped Safety CRTMeasure'!$G$19:$G$24,'BCA Guide - Parameter Values'!$C$6:$C$11)+'Ped Safety CRTMeasure'!$G$18*'BCA Guide - Parameter Values'!$C$14,0)</f>
        <v>0</v>
      </c>
      <c r="I35" s="1290">
        <f>IF(AND($F35&gt;=MIN($C$28),$F35&lt;=MAX($D$28)),SUMPRODUCT('Ped Safety CRTMeasure'!$G$31:$G$36,'BCA Guide - Parameter Values'!$C$6:$C$11)+'Ped Safety CRTMeasure'!$G$30*'BCA Guide - Parameter Values'!$C$14,0)</f>
        <v>0</v>
      </c>
      <c r="J35" s="1290">
        <f>IF(AND($F35&gt;=MIN($C$29),$F35&lt;=MAX($D$29)),SUMPRODUCT('Ped Safety CRTMeasure'!$G$43:$G$48,'BCA Guide - Parameter Values'!$C$6:$C$11)+'Ped Safety CRTMeasure'!$G$42*'BCA Guide - Parameter Values'!$C$14,0)</f>
        <v>0</v>
      </c>
      <c r="K35" s="1165">
        <f>IF(AND(F35&gt;='Major Assumption Key'!$B$4,F35&lt;='Major Assumption Key'!$B$6),SUM(G35:J35),0)</f>
        <v>0</v>
      </c>
      <c r="L35" s="1290">
        <f>IF(AND($F35&gt;=MIN($C$26),$F35&lt;=MAX($D$26)),SUMPRODUCT('Ped Safety CRTMeasure'!$H$7:$H$12,'BCA Guide - Parameter Values'!$C$6:$C$11)+'Ped Safety CRTMeasure'!$H$6*'BCA Guide - Parameter Values'!$C$14,0)</f>
        <v>0</v>
      </c>
      <c r="M35" s="1291">
        <f>IF(AND($F35&gt;=MIN($C$27),$F35&lt;=MAX($D$27)),SUMPRODUCT('Ped Safety CRTMeasure'!$H$19:$H$24,'BCA Guide - Parameter Values'!$C$6:$C$11)+'Ped Safety CRTMeasure'!$H$18*'BCA Guide - Parameter Values'!$C$14,0)</f>
        <v>0</v>
      </c>
      <c r="N35" s="1291">
        <f>IF(AND($F35&gt;=MIN($C$28),$F35&lt;=MAX($D$28)),SUMPRODUCT('Ped Safety CRTMeasure'!$H$31:$H$36,'BCA Guide - Parameter Values'!$C$6:$C$11)+'Ped Safety CRTMeasure'!$H$30*'BCA Guide - Parameter Values'!$C$14,0)</f>
        <v>0</v>
      </c>
      <c r="O35" s="1291">
        <f>IF(AND($F35&gt;=MIN($C$29),$F35&lt;=MAX($D$29)),SUMPRODUCT('Ped Safety CRTMeasure'!$H$43:$H$48,'BCA Guide - Parameter Values'!$C$6:$C$11)+'Ped Safety CRTMeasure'!$H$42*'BCA Guide - Parameter Values'!$C$14,0)</f>
        <v>0</v>
      </c>
      <c r="P35" s="1199">
        <f>IF(AND(F35&gt;='Major Assumption Key'!$B$4,F35&lt;='Major Assumption Key'!$B$6),SUM(L35:O35),0)</f>
        <v>0</v>
      </c>
      <c r="Q35" s="1292">
        <f t="shared" si="5"/>
        <v>0</v>
      </c>
      <c r="R35" s="1169">
        <f>Q35/(1+'Major Assumption Key'!$B$8)^($F35-'Major Assumption Key'!$B$7)</f>
        <v>0</v>
      </c>
      <c r="S35" s="1281"/>
      <c r="T35" s="1165">
        <f t="shared" si="6"/>
        <v>0</v>
      </c>
      <c r="U35" s="1199">
        <f t="shared" si="7"/>
        <v>0</v>
      </c>
      <c r="V35" s="1292">
        <f t="shared" si="8"/>
        <v>0</v>
      </c>
      <c r="W35" s="1169">
        <f t="shared" si="9"/>
        <v>0</v>
      </c>
    </row>
    <row r="36" spans="1:23" ht="19.95" customHeight="1">
      <c r="F36" s="1181">
        <f>'Major Assumption Key'!A48</f>
        <v>2049</v>
      </c>
      <c r="G36" s="1290">
        <f>IF(AND($F36&gt;=MIN($C$26),$F36&lt;=MAX($D$26)),SUMPRODUCT('Ped Safety CRTMeasure'!$G$7:$G$12,'BCA Guide - Parameter Values'!$C$6:$C$11)+'Ped Safety CRTMeasure'!$G$6*'BCA Guide - Parameter Values'!$C$14,0)</f>
        <v>0</v>
      </c>
      <c r="H36" s="1290">
        <f>IF(AND($F36&gt;=MIN($C$27),$F36&lt;=MAX($D$27)),SUMPRODUCT('Ped Safety CRTMeasure'!$G$19:$G$24,'BCA Guide - Parameter Values'!$C$6:$C$11)+'Ped Safety CRTMeasure'!$G$18*'BCA Guide - Parameter Values'!$C$14,0)</f>
        <v>0</v>
      </c>
      <c r="I36" s="1290">
        <f>IF(AND($F36&gt;=MIN($C$28),$F36&lt;=MAX($D$28)),SUMPRODUCT('Ped Safety CRTMeasure'!$G$31:$G$36,'BCA Guide - Parameter Values'!$C$6:$C$11)+'Ped Safety CRTMeasure'!$G$30*'BCA Guide - Parameter Values'!$C$14,0)</f>
        <v>0</v>
      </c>
      <c r="J36" s="1290">
        <f>IF(AND($F36&gt;=MIN($C$29),$F36&lt;=MAX($D$29)),SUMPRODUCT('Ped Safety CRTMeasure'!$G$43:$G$48,'BCA Guide - Parameter Values'!$C$6:$C$11)+'Ped Safety CRTMeasure'!$G$42*'BCA Guide - Parameter Values'!$C$14,0)</f>
        <v>0</v>
      </c>
      <c r="K36" s="1165">
        <f>IF(AND(F36&gt;='Major Assumption Key'!$B$4,F36&lt;='Major Assumption Key'!$B$6),SUM(G36:J36),0)</f>
        <v>0</v>
      </c>
      <c r="L36" s="1290">
        <f>IF(AND($F36&gt;=MIN($C$26),$F36&lt;=MAX($D$26)),SUMPRODUCT('Ped Safety CRTMeasure'!$H$7:$H$12,'BCA Guide - Parameter Values'!$C$6:$C$11)+'Ped Safety CRTMeasure'!$H$6*'BCA Guide - Parameter Values'!$C$14,0)</f>
        <v>0</v>
      </c>
      <c r="M36" s="1291">
        <f>IF(AND($F36&gt;=MIN($C$27),$F36&lt;=MAX($D$27)),SUMPRODUCT('Ped Safety CRTMeasure'!$H$19:$H$24,'BCA Guide - Parameter Values'!$C$6:$C$11)+'Ped Safety CRTMeasure'!$H$18*'BCA Guide - Parameter Values'!$C$14,0)</f>
        <v>0</v>
      </c>
      <c r="N36" s="1291">
        <f>IF(AND($F36&gt;=MIN($C$28),$F36&lt;=MAX($D$28)),SUMPRODUCT('Ped Safety CRTMeasure'!$H$31:$H$36,'BCA Guide - Parameter Values'!$C$6:$C$11)+'Ped Safety CRTMeasure'!$H$30*'BCA Guide - Parameter Values'!$C$14,0)</f>
        <v>0</v>
      </c>
      <c r="O36" s="1291">
        <f>IF(AND($F36&gt;=MIN($C$29),$F36&lt;=MAX($D$29)),SUMPRODUCT('Ped Safety CRTMeasure'!$H$43:$H$48,'BCA Guide - Parameter Values'!$C$6:$C$11)+'Ped Safety CRTMeasure'!$H$42*'BCA Guide - Parameter Values'!$C$14,0)</f>
        <v>0</v>
      </c>
      <c r="P36" s="1199">
        <f>IF(AND(F36&gt;='Major Assumption Key'!$B$4,F36&lt;='Major Assumption Key'!$B$6),SUM(L36:O36),0)</f>
        <v>0</v>
      </c>
      <c r="Q36" s="1292">
        <f t="shared" si="5"/>
        <v>0</v>
      </c>
      <c r="R36" s="1169">
        <f>Q36/(1+'Major Assumption Key'!$B$8)^($F36-'Major Assumption Key'!$B$7)</f>
        <v>0</v>
      </c>
      <c r="S36" s="1281"/>
      <c r="T36" s="1165">
        <f t="shared" si="6"/>
        <v>0</v>
      </c>
      <c r="U36" s="1199">
        <f t="shared" si="7"/>
        <v>0</v>
      </c>
      <c r="V36" s="1292">
        <f t="shared" si="8"/>
        <v>0</v>
      </c>
      <c r="W36" s="1169">
        <f t="shared" si="9"/>
        <v>0</v>
      </c>
    </row>
    <row r="37" spans="1:23" ht="19.95" customHeight="1">
      <c r="F37" s="1181">
        <f>'Major Assumption Key'!A49</f>
        <v>2050</v>
      </c>
      <c r="G37" s="1290">
        <f>IF(AND($F37&gt;=MIN($C$26),$F37&lt;=MAX($D$26)),SUMPRODUCT('Ped Safety CRTMeasure'!$G$7:$G$12,'BCA Guide - Parameter Values'!$C$6:$C$11)+'Ped Safety CRTMeasure'!$G$6*'BCA Guide - Parameter Values'!$C$14,0)</f>
        <v>0</v>
      </c>
      <c r="H37" s="1290">
        <f>IF(AND($F37&gt;=MIN($C$27),$F37&lt;=MAX($D$27)),SUMPRODUCT('Ped Safety CRTMeasure'!$G$19:$G$24,'BCA Guide - Parameter Values'!$C$6:$C$11)+'Ped Safety CRTMeasure'!$G$18*'BCA Guide - Parameter Values'!$C$14,0)</f>
        <v>0</v>
      </c>
      <c r="I37" s="1290">
        <f>IF(AND($F37&gt;=MIN($C$28),$F37&lt;=MAX($D$28)),SUMPRODUCT('Ped Safety CRTMeasure'!$G$31:$G$36,'BCA Guide - Parameter Values'!$C$6:$C$11)+'Ped Safety CRTMeasure'!$G$30*'BCA Guide - Parameter Values'!$C$14,0)</f>
        <v>0</v>
      </c>
      <c r="J37" s="1290">
        <f>IF(AND($F37&gt;=MIN($C$29),$F37&lt;=MAX($D$29)),SUMPRODUCT('Ped Safety CRTMeasure'!$G$43:$G$48,'BCA Guide - Parameter Values'!$C$6:$C$11)+'Ped Safety CRTMeasure'!$G$42*'BCA Guide - Parameter Values'!$C$14,0)</f>
        <v>0</v>
      </c>
      <c r="K37" s="1165">
        <f>IF(AND(F37&gt;='Major Assumption Key'!$B$4,F37&lt;='Major Assumption Key'!$B$6),SUM(G37:J37),0)</f>
        <v>0</v>
      </c>
      <c r="L37" s="1290">
        <f>IF(AND($F37&gt;=MIN($C$26),$F37&lt;=MAX($D$26)),SUMPRODUCT('Ped Safety CRTMeasure'!$H$7:$H$12,'BCA Guide - Parameter Values'!$C$6:$C$11)+'Ped Safety CRTMeasure'!$H$6*'BCA Guide - Parameter Values'!$C$14,0)</f>
        <v>0</v>
      </c>
      <c r="M37" s="1291">
        <f>IF(AND($F37&gt;=MIN($C$27),$F37&lt;=MAX($D$27)),SUMPRODUCT('Ped Safety CRTMeasure'!$H$19:$H$24,'BCA Guide - Parameter Values'!$C$6:$C$11)+'Ped Safety CRTMeasure'!$H$18*'BCA Guide - Parameter Values'!$C$14,0)</f>
        <v>0</v>
      </c>
      <c r="N37" s="1291">
        <f>IF(AND($F37&gt;=MIN($C$28),$F37&lt;=MAX($D$28)),SUMPRODUCT('Ped Safety CRTMeasure'!$H$31:$H$36,'BCA Guide - Parameter Values'!$C$6:$C$11)+'Ped Safety CRTMeasure'!$H$30*'BCA Guide - Parameter Values'!$C$14,0)</f>
        <v>0</v>
      </c>
      <c r="O37" s="1291">
        <f>IF(AND($F37&gt;=MIN($C$29),$F37&lt;=MAX($D$29)),SUMPRODUCT('Ped Safety CRTMeasure'!$H$43:$H$48,'BCA Guide - Parameter Values'!$C$6:$C$11)+'Ped Safety CRTMeasure'!$H$42*'BCA Guide - Parameter Values'!$C$14,0)</f>
        <v>0</v>
      </c>
      <c r="P37" s="1199">
        <f>IF(AND(F37&gt;='Major Assumption Key'!$B$4,F37&lt;='Major Assumption Key'!$B$6),SUM(L37:O37),0)</f>
        <v>0</v>
      </c>
      <c r="Q37" s="1292">
        <f t="shared" si="5"/>
        <v>0</v>
      </c>
      <c r="R37" s="1169">
        <f>Q37/(1+'Major Assumption Key'!$B$8)^($F37-'Major Assumption Key'!$B$7)</f>
        <v>0</v>
      </c>
      <c r="S37" s="1281"/>
      <c r="T37" s="1165">
        <f t="shared" si="6"/>
        <v>0</v>
      </c>
      <c r="U37" s="1199">
        <f t="shared" si="7"/>
        <v>0</v>
      </c>
      <c r="V37" s="1292">
        <f t="shared" si="8"/>
        <v>0</v>
      </c>
      <c r="W37" s="1169">
        <f t="shared" si="9"/>
        <v>0</v>
      </c>
    </row>
    <row r="38" spans="1:23" ht="19.95" customHeight="1">
      <c r="F38" s="1181">
        <f>'Major Assumption Key'!A50</f>
        <v>2051</v>
      </c>
      <c r="G38" s="1290">
        <f>IF(AND($F38&gt;=MIN($C$26),$F38&lt;=MAX($D$26)),SUMPRODUCT('Ped Safety CRTMeasure'!$G$7:$G$12,'BCA Guide - Parameter Values'!$C$6:$C$11)+'Ped Safety CRTMeasure'!$G$6*'BCA Guide - Parameter Values'!$C$14,0)</f>
        <v>0</v>
      </c>
      <c r="H38" s="1290">
        <f>IF(AND($F38&gt;=MIN($C$27),$F38&lt;=MAX($D$27)),SUMPRODUCT('Ped Safety CRTMeasure'!$G$19:$G$24,'BCA Guide - Parameter Values'!$C$6:$C$11)+'Ped Safety CRTMeasure'!$G$18*'BCA Guide - Parameter Values'!$C$14,0)</f>
        <v>0</v>
      </c>
      <c r="I38" s="1290">
        <f>IF(AND($F38&gt;=MIN($C$28),$F38&lt;=MAX($D$28)),SUMPRODUCT('Ped Safety CRTMeasure'!$G$31:$G$36,'BCA Guide - Parameter Values'!$C$6:$C$11)+'Ped Safety CRTMeasure'!$G$30*'BCA Guide - Parameter Values'!$C$14,0)</f>
        <v>0</v>
      </c>
      <c r="J38" s="1290">
        <f>IF(AND($F38&gt;=MIN($C$29),$F38&lt;=MAX($D$29)),SUMPRODUCT('Ped Safety CRTMeasure'!$G$43:$G$48,'BCA Guide - Parameter Values'!$C$6:$C$11)+'Ped Safety CRTMeasure'!$G$42*'BCA Guide - Parameter Values'!$C$14,0)</f>
        <v>0</v>
      </c>
      <c r="K38" s="1165">
        <f>IF(AND(F38&gt;='Major Assumption Key'!$B$4,F38&lt;='Major Assumption Key'!$B$6),SUM(G38:J38),0)</f>
        <v>0</v>
      </c>
      <c r="L38" s="1290">
        <f>IF(AND($F38&gt;=MIN($C$26),$F38&lt;=MAX($D$26)),SUMPRODUCT('Ped Safety CRTMeasure'!$H$7:$H$12,'BCA Guide - Parameter Values'!$C$6:$C$11)+'Ped Safety CRTMeasure'!$H$6*'BCA Guide - Parameter Values'!$C$14,0)</f>
        <v>0</v>
      </c>
      <c r="M38" s="1291">
        <f>IF(AND($F38&gt;=MIN($C$27),$F38&lt;=MAX($D$27)),SUMPRODUCT('Ped Safety CRTMeasure'!$H$19:$H$24,'BCA Guide - Parameter Values'!$C$6:$C$11)+'Ped Safety CRTMeasure'!$H$18*'BCA Guide - Parameter Values'!$C$14,0)</f>
        <v>0</v>
      </c>
      <c r="N38" s="1291">
        <f>IF(AND($F38&gt;=MIN($C$28),$F38&lt;=MAX($D$28)),SUMPRODUCT('Ped Safety CRTMeasure'!$H$31:$H$36,'BCA Guide - Parameter Values'!$C$6:$C$11)+'Ped Safety CRTMeasure'!$H$30*'BCA Guide - Parameter Values'!$C$14,0)</f>
        <v>0</v>
      </c>
      <c r="O38" s="1291">
        <f>IF(AND($F38&gt;=MIN($C$29),$F38&lt;=MAX($D$29)),SUMPRODUCT('Ped Safety CRTMeasure'!$H$43:$H$48,'BCA Guide - Parameter Values'!$C$6:$C$11)+'Ped Safety CRTMeasure'!$H$42*'BCA Guide - Parameter Values'!$C$14,0)</f>
        <v>0</v>
      </c>
      <c r="P38" s="1199">
        <f>IF(AND(F38&gt;='Major Assumption Key'!$B$4,F38&lt;='Major Assumption Key'!$B$6),SUM(L38:O38),0)</f>
        <v>0</v>
      </c>
      <c r="Q38" s="1292">
        <f t="shared" si="5"/>
        <v>0</v>
      </c>
      <c r="R38" s="1169">
        <f>Q38/(1+'Major Assumption Key'!$B$8)^($F38-'Major Assumption Key'!$B$7)</f>
        <v>0</v>
      </c>
      <c r="S38" s="1281"/>
      <c r="T38" s="1165">
        <f t="shared" si="6"/>
        <v>0</v>
      </c>
      <c r="U38" s="1199">
        <f t="shared" si="7"/>
        <v>0</v>
      </c>
      <c r="V38" s="1292">
        <f t="shared" si="8"/>
        <v>0</v>
      </c>
      <c r="W38" s="1169">
        <f t="shared" si="9"/>
        <v>0</v>
      </c>
    </row>
    <row r="39" spans="1:23" ht="19.95" customHeight="1">
      <c r="F39" s="1181">
        <f>'Major Assumption Key'!A51</f>
        <v>2052</v>
      </c>
      <c r="G39" s="1290">
        <f>IF(AND($F39&gt;=MIN($C$26),$F39&lt;=MAX($D$26)),SUMPRODUCT('Ped Safety CRTMeasure'!$G$7:$G$12,'BCA Guide - Parameter Values'!$C$6:$C$11)+'Ped Safety CRTMeasure'!$G$6*'BCA Guide - Parameter Values'!$C$14,0)</f>
        <v>0</v>
      </c>
      <c r="H39" s="1290">
        <f>IF(AND($F39&gt;=MIN($C$27),$F39&lt;=MAX($D$27)),SUMPRODUCT('Ped Safety CRTMeasure'!$G$19:$G$24,'BCA Guide - Parameter Values'!$C$6:$C$11)+'Ped Safety CRTMeasure'!$G$18*'BCA Guide - Parameter Values'!$C$14,0)</f>
        <v>0</v>
      </c>
      <c r="I39" s="1290">
        <f>IF(AND($F39&gt;=MIN($C$28),$F39&lt;=MAX($D$28)),SUMPRODUCT('Ped Safety CRTMeasure'!$G$31:$G$36,'BCA Guide - Parameter Values'!$C$6:$C$11)+'Ped Safety CRTMeasure'!$G$30*'BCA Guide - Parameter Values'!$C$14,0)</f>
        <v>0</v>
      </c>
      <c r="J39" s="1290">
        <f>IF(AND($F39&gt;=MIN($C$29),$F39&lt;=MAX($D$29)),SUMPRODUCT('Ped Safety CRTMeasure'!$G$43:$G$48,'BCA Guide - Parameter Values'!$C$6:$C$11)+'Ped Safety CRTMeasure'!$G$42*'BCA Guide - Parameter Values'!$C$14,0)</f>
        <v>0</v>
      </c>
      <c r="K39" s="1165">
        <f>IF(AND(F39&gt;='Major Assumption Key'!$B$4,F39&lt;='Major Assumption Key'!$B$6),SUM(G39:J39),0)</f>
        <v>0</v>
      </c>
      <c r="L39" s="1290">
        <f>IF(AND($F39&gt;=MIN($C$26),$F39&lt;=MAX($D$26)),SUMPRODUCT('Ped Safety CRTMeasure'!$H$7:$H$12,'BCA Guide - Parameter Values'!$C$6:$C$11)+'Ped Safety CRTMeasure'!$H$6*'BCA Guide - Parameter Values'!$C$14,0)</f>
        <v>0</v>
      </c>
      <c r="M39" s="1291">
        <f>IF(AND($F39&gt;=MIN($C$27),$F39&lt;=MAX($D$27)),SUMPRODUCT('Ped Safety CRTMeasure'!$H$19:$H$24,'BCA Guide - Parameter Values'!$C$6:$C$11)+'Ped Safety CRTMeasure'!$H$18*'BCA Guide - Parameter Values'!$C$14,0)</f>
        <v>0</v>
      </c>
      <c r="N39" s="1291">
        <f>IF(AND($F39&gt;=MIN($C$28),$F39&lt;=MAX($D$28)),SUMPRODUCT('Ped Safety CRTMeasure'!$H$31:$H$36,'BCA Guide - Parameter Values'!$C$6:$C$11)+'Ped Safety CRTMeasure'!$H$30*'BCA Guide - Parameter Values'!$C$14,0)</f>
        <v>0</v>
      </c>
      <c r="O39" s="1291">
        <f>IF(AND($F39&gt;=MIN($C$29),$F39&lt;=MAX($D$29)),SUMPRODUCT('Ped Safety CRTMeasure'!$H$43:$H$48,'BCA Guide - Parameter Values'!$C$6:$C$11)+'Ped Safety CRTMeasure'!$H$42*'BCA Guide - Parameter Values'!$C$14,0)</f>
        <v>0</v>
      </c>
      <c r="P39" s="1199">
        <f>IF(AND(F39&gt;='Major Assumption Key'!$B$4,F39&lt;='Major Assumption Key'!$B$6),SUM(L39:O39),0)</f>
        <v>0</v>
      </c>
      <c r="Q39" s="1292">
        <f t="shared" si="5"/>
        <v>0</v>
      </c>
      <c r="R39" s="1169">
        <f>Q39/(1+'Major Assumption Key'!$B$8)^($F39-'Major Assumption Key'!$B$7)</f>
        <v>0</v>
      </c>
      <c r="S39" s="1281"/>
      <c r="T39" s="1165">
        <f t="shared" si="6"/>
        <v>0</v>
      </c>
      <c r="U39" s="1199">
        <f t="shared" si="7"/>
        <v>0</v>
      </c>
      <c r="V39" s="1292">
        <f t="shared" si="8"/>
        <v>0</v>
      </c>
      <c r="W39" s="1169">
        <f t="shared" si="9"/>
        <v>0</v>
      </c>
    </row>
    <row r="40" spans="1:23" ht="19.95" customHeight="1">
      <c r="F40" s="1181">
        <f>'Major Assumption Key'!A52</f>
        <v>2053</v>
      </c>
      <c r="G40" s="1290">
        <f>IF(AND($F40&gt;=MIN($C$26),$F40&lt;=MAX($D$26)),SUMPRODUCT('Ped Safety CRTMeasure'!$G$7:$G$12,'BCA Guide - Parameter Values'!$C$6:$C$11)+'Ped Safety CRTMeasure'!$G$6*'BCA Guide - Parameter Values'!$C$14,0)</f>
        <v>0</v>
      </c>
      <c r="H40" s="1290">
        <f>IF(AND($F40&gt;=MIN($C$27),$F40&lt;=MAX($D$27)),SUMPRODUCT('Ped Safety CRTMeasure'!$G$19:$G$24,'BCA Guide - Parameter Values'!$C$6:$C$11)+'Ped Safety CRTMeasure'!$G$18*'BCA Guide - Parameter Values'!$C$14,0)</f>
        <v>0</v>
      </c>
      <c r="I40" s="1290">
        <f>IF(AND($F40&gt;=MIN($C$28),$F40&lt;=MAX($D$28)),SUMPRODUCT('Ped Safety CRTMeasure'!$G$31:$G$36,'BCA Guide - Parameter Values'!$C$6:$C$11)+'Ped Safety CRTMeasure'!$G$30*'BCA Guide - Parameter Values'!$C$14,0)</f>
        <v>0</v>
      </c>
      <c r="J40" s="1290">
        <f>IF(AND($F40&gt;=MIN($C$29),$F40&lt;=MAX($D$29)),SUMPRODUCT('Ped Safety CRTMeasure'!$G$43:$G$48,'BCA Guide - Parameter Values'!$C$6:$C$11)+'Ped Safety CRTMeasure'!$G$42*'BCA Guide - Parameter Values'!$C$14,0)</f>
        <v>0</v>
      </c>
      <c r="K40" s="1165">
        <f>IF(AND(F40&gt;='Major Assumption Key'!$B$4,F40&lt;='Major Assumption Key'!$B$6),SUM(G40:J40),0)</f>
        <v>0</v>
      </c>
      <c r="L40" s="1290">
        <f>IF(AND($F40&gt;=MIN($C$26),$F40&lt;=MAX($D$26)),SUMPRODUCT('Ped Safety CRTMeasure'!$H$7:$H$12,'BCA Guide - Parameter Values'!$C$6:$C$11)+'Ped Safety CRTMeasure'!$H$6*'BCA Guide - Parameter Values'!$C$14,0)</f>
        <v>0</v>
      </c>
      <c r="M40" s="1291">
        <f>IF(AND($F40&gt;=MIN($C$27),$F40&lt;=MAX($D$27)),SUMPRODUCT('Ped Safety CRTMeasure'!$H$19:$H$24,'BCA Guide - Parameter Values'!$C$6:$C$11)+'Ped Safety CRTMeasure'!$H$18*'BCA Guide - Parameter Values'!$C$14,0)</f>
        <v>0</v>
      </c>
      <c r="N40" s="1291">
        <f>IF(AND($F40&gt;=MIN($C$28),$F40&lt;=MAX($D$28)),SUMPRODUCT('Ped Safety CRTMeasure'!$H$31:$H$36,'BCA Guide - Parameter Values'!$C$6:$C$11)+'Ped Safety CRTMeasure'!$H$30*'BCA Guide - Parameter Values'!$C$14,0)</f>
        <v>0</v>
      </c>
      <c r="O40" s="1291">
        <f>IF(AND($F40&gt;=MIN($C$29),$F40&lt;=MAX($D$29)),SUMPRODUCT('Ped Safety CRTMeasure'!$H$43:$H$48,'BCA Guide - Parameter Values'!$C$6:$C$11)+'Ped Safety CRTMeasure'!$H$42*'BCA Guide - Parameter Values'!$C$14,0)</f>
        <v>0</v>
      </c>
      <c r="P40" s="1199">
        <f>IF(AND(F40&gt;='Major Assumption Key'!$B$4,F40&lt;='Major Assumption Key'!$B$6),SUM(L40:O40),0)</f>
        <v>0</v>
      </c>
      <c r="Q40" s="1292">
        <f t="shared" si="5"/>
        <v>0</v>
      </c>
      <c r="R40" s="1169">
        <f>Q40/(1+'Major Assumption Key'!$B$8)^($F40-'Major Assumption Key'!$B$7)</f>
        <v>0</v>
      </c>
      <c r="S40" s="1281"/>
      <c r="T40" s="1165">
        <f t="shared" si="6"/>
        <v>0</v>
      </c>
      <c r="U40" s="1199">
        <f t="shared" si="7"/>
        <v>0</v>
      </c>
      <c r="V40" s="1292">
        <f t="shared" si="8"/>
        <v>0</v>
      </c>
      <c r="W40" s="1169">
        <f t="shared" si="9"/>
        <v>0</v>
      </c>
    </row>
    <row r="41" spans="1:23" ht="19.95" customHeight="1">
      <c r="F41" s="1181">
        <f>'Major Assumption Key'!A53</f>
        <v>2054</v>
      </c>
      <c r="G41" s="1290">
        <f>IF(AND($F41&gt;=MIN($C$26),$F41&lt;=MAX($D$26)),SUMPRODUCT('Ped Safety CRTMeasure'!$G$7:$G$12,'BCA Guide - Parameter Values'!$C$6:$C$11)+'Ped Safety CRTMeasure'!$G$6*'BCA Guide - Parameter Values'!$C$14,0)</f>
        <v>0</v>
      </c>
      <c r="H41" s="1290">
        <f>IF(AND($F41&gt;=MIN($C$27),$F41&lt;=MAX($D$27)),SUMPRODUCT('Ped Safety CRTMeasure'!$G$19:$G$24,'BCA Guide - Parameter Values'!$C$6:$C$11)+'Ped Safety CRTMeasure'!$G$18*'BCA Guide - Parameter Values'!$C$14,0)</f>
        <v>0</v>
      </c>
      <c r="I41" s="1290">
        <f>IF(AND($F41&gt;=MIN($C$28),$F41&lt;=MAX($D$28)),SUMPRODUCT('Ped Safety CRTMeasure'!$G$31:$G$36,'BCA Guide - Parameter Values'!$C$6:$C$11)+'Ped Safety CRTMeasure'!$G$30*'BCA Guide - Parameter Values'!$C$14,0)</f>
        <v>0</v>
      </c>
      <c r="J41" s="1290">
        <f>IF(AND($F41&gt;=MIN($C$29),$F41&lt;=MAX($D$29)),SUMPRODUCT('Ped Safety CRTMeasure'!$G$43:$G$48,'BCA Guide - Parameter Values'!$C$6:$C$11)+'Ped Safety CRTMeasure'!$G$42*'BCA Guide - Parameter Values'!$C$14,0)</f>
        <v>0</v>
      </c>
      <c r="K41" s="1165">
        <f>IF(AND(F41&gt;='Major Assumption Key'!$B$4,F41&lt;='Major Assumption Key'!$B$6),SUM(G41:J41),0)</f>
        <v>0</v>
      </c>
      <c r="L41" s="1290">
        <f>IF(AND($F41&gt;=MIN($C$26),$F41&lt;=MAX($D$26)),SUMPRODUCT('Ped Safety CRTMeasure'!$H$7:$H$12,'BCA Guide - Parameter Values'!$C$6:$C$11)+'Ped Safety CRTMeasure'!$H$6*'BCA Guide - Parameter Values'!$C$14,0)</f>
        <v>0</v>
      </c>
      <c r="M41" s="1291">
        <f>IF(AND($F41&gt;=MIN($C$27),$F41&lt;=MAX($D$27)),SUMPRODUCT('Ped Safety CRTMeasure'!$H$19:$H$24,'BCA Guide - Parameter Values'!$C$6:$C$11)+'Ped Safety CRTMeasure'!$H$18*'BCA Guide - Parameter Values'!$C$14,0)</f>
        <v>0</v>
      </c>
      <c r="N41" s="1291">
        <f>IF(AND($F41&gt;=MIN($C$28),$F41&lt;=MAX($D$28)),SUMPRODUCT('Ped Safety CRTMeasure'!$H$31:$H$36,'BCA Guide - Parameter Values'!$C$6:$C$11)+'Ped Safety CRTMeasure'!$H$30*'BCA Guide - Parameter Values'!$C$14,0)</f>
        <v>0</v>
      </c>
      <c r="O41" s="1291">
        <f>IF(AND($F41&gt;=MIN($C$29),$F41&lt;=MAX($D$29)),SUMPRODUCT('Ped Safety CRTMeasure'!$H$43:$H$48,'BCA Guide - Parameter Values'!$C$6:$C$11)+'Ped Safety CRTMeasure'!$H$42*'BCA Guide - Parameter Values'!$C$14,0)</f>
        <v>0</v>
      </c>
      <c r="P41" s="1199">
        <f>IF(AND(F41&gt;='Major Assumption Key'!$B$4,F41&lt;='Major Assumption Key'!$B$6),SUM(L41:O41),0)</f>
        <v>0</v>
      </c>
      <c r="Q41" s="1292">
        <f t="shared" si="5"/>
        <v>0</v>
      </c>
      <c r="R41" s="1169">
        <f>Q41/(1+'Major Assumption Key'!$B$8)^($F41-'Major Assumption Key'!$B$7)</f>
        <v>0</v>
      </c>
      <c r="S41" s="1281"/>
      <c r="T41" s="1165">
        <f t="shared" si="6"/>
        <v>0</v>
      </c>
      <c r="U41" s="1199">
        <f t="shared" si="7"/>
        <v>0</v>
      </c>
      <c r="V41" s="1292">
        <f t="shared" si="8"/>
        <v>0</v>
      </c>
      <c r="W41" s="1169">
        <f t="shared" si="9"/>
        <v>0</v>
      </c>
    </row>
    <row r="42" spans="1:23" ht="19.95" customHeight="1">
      <c r="F42" s="1181">
        <f>'Major Assumption Key'!A54</f>
        <v>2055</v>
      </c>
      <c r="G42" s="1290">
        <f>IF(AND($F42&gt;=MIN($C$26),$F42&lt;=MAX($D$26)),SUMPRODUCT('Ped Safety CRTMeasure'!$G$7:$G$12,'BCA Guide - Parameter Values'!$C$6:$C$11)+'Ped Safety CRTMeasure'!$G$6*'BCA Guide - Parameter Values'!$C$14,0)</f>
        <v>0</v>
      </c>
      <c r="H42" s="1290">
        <f>IF(AND($F42&gt;=MIN($C$27),$F42&lt;=MAX($D$27)),SUMPRODUCT('Ped Safety CRTMeasure'!$G$19:$G$24,'BCA Guide - Parameter Values'!$C$6:$C$11)+'Ped Safety CRTMeasure'!$G$18*'BCA Guide - Parameter Values'!$C$14,0)</f>
        <v>0</v>
      </c>
      <c r="I42" s="1290">
        <f>IF(AND($F42&gt;=MIN($C$28),$F42&lt;=MAX($D$28)),SUMPRODUCT('Ped Safety CRTMeasure'!$G$31:$G$36,'BCA Guide - Parameter Values'!$C$6:$C$11)+'Ped Safety CRTMeasure'!$G$30*'BCA Guide - Parameter Values'!$C$14,0)</f>
        <v>0</v>
      </c>
      <c r="J42" s="1290">
        <f>IF(AND($F42&gt;=MIN($C$29),$F42&lt;=MAX($D$29)),SUMPRODUCT('Ped Safety CRTMeasure'!$G$43:$G$48,'BCA Guide - Parameter Values'!$C$6:$C$11)+'Ped Safety CRTMeasure'!$G$42*'BCA Guide - Parameter Values'!$C$14,0)</f>
        <v>0</v>
      </c>
      <c r="K42" s="1165">
        <f>IF(AND(F42&gt;='Major Assumption Key'!$B$4,F42&lt;='Major Assumption Key'!$B$6),SUM(G42:J42),0)</f>
        <v>0</v>
      </c>
      <c r="L42" s="1290">
        <f>IF(AND($F42&gt;=MIN($C$26),$F42&lt;=MAX($D$26)),SUMPRODUCT('Ped Safety CRTMeasure'!$H$7:$H$12,'BCA Guide - Parameter Values'!$C$6:$C$11)+'Ped Safety CRTMeasure'!$H$6*'BCA Guide - Parameter Values'!$C$14,0)</f>
        <v>0</v>
      </c>
      <c r="M42" s="1291">
        <f>IF(AND($F42&gt;=MIN($C$27),$F42&lt;=MAX($D$27)),SUMPRODUCT('Ped Safety CRTMeasure'!$H$19:$H$24,'BCA Guide - Parameter Values'!$C$6:$C$11)+'Ped Safety CRTMeasure'!$H$18*'BCA Guide - Parameter Values'!$C$14,0)</f>
        <v>0</v>
      </c>
      <c r="N42" s="1291">
        <f>IF(AND($F42&gt;=MIN($C$28),$F42&lt;=MAX($D$28)),SUMPRODUCT('Ped Safety CRTMeasure'!$H$31:$H$36,'BCA Guide - Parameter Values'!$C$6:$C$11)+'Ped Safety CRTMeasure'!$H$30*'BCA Guide - Parameter Values'!$C$14,0)</f>
        <v>0</v>
      </c>
      <c r="O42" s="1291">
        <f>IF(AND($F42&gt;=MIN($C$29),$F42&lt;=MAX($D$29)),SUMPRODUCT('Ped Safety CRTMeasure'!$H$43:$H$48,'BCA Guide - Parameter Values'!$C$6:$C$11)+'Ped Safety CRTMeasure'!$H$42*'BCA Guide - Parameter Values'!$C$14,0)</f>
        <v>0</v>
      </c>
      <c r="P42" s="1199">
        <f>IF(AND(F42&gt;='Major Assumption Key'!$B$4,F42&lt;='Major Assumption Key'!$B$6),SUM(L42:O42),0)</f>
        <v>0</v>
      </c>
      <c r="Q42" s="1292">
        <f t="shared" si="5"/>
        <v>0</v>
      </c>
      <c r="R42" s="1169">
        <f>Q42/(1+'Major Assumption Key'!$B$8)^($F42-'Major Assumption Key'!$B$7)</f>
        <v>0</v>
      </c>
      <c r="S42" s="1281"/>
      <c r="T42" s="1165">
        <f t="shared" si="6"/>
        <v>0</v>
      </c>
      <c r="U42" s="1199">
        <f t="shared" si="7"/>
        <v>0</v>
      </c>
      <c r="V42" s="1292">
        <f t="shared" si="8"/>
        <v>0</v>
      </c>
      <c r="W42" s="1169">
        <f t="shared" si="9"/>
        <v>0</v>
      </c>
    </row>
    <row r="43" spans="1:23" ht="19.95" customHeight="1">
      <c r="F43" s="1181">
        <f>'Major Assumption Key'!A55</f>
        <v>2056</v>
      </c>
      <c r="G43" s="1290">
        <f>IF(AND($F43&gt;=MIN($C$26),$F43&lt;=MAX($D$26)),SUMPRODUCT('Ped Safety CRTMeasure'!$G$7:$G$12,'BCA Guide - Parameter Values'!$C$6:$C$11)+'Ped Safety CRTMeasure'!$G$6*'BCA Guide - Parameter Values'!$C$14,0)</f>
        <v>0</v>
      </c>
      <c r="H43" s="1290">
        <f>IF(AND($F43&gt;=MIN($C$27),$F43&lt;=MAX($D$27)),SUMPRODUCT('Ped Safety CRTMeasure'!$G$19:$G$24,'BCA Guide - Parameter Values'!$C$6:$C$11)+'Ped Safety CRTMeasure'!$G$18*'BCA Guide - Parameter Values'!$C$14,0)</f>
        <v>0</v>
      </c>
      <c r="I43" s="1290">
        <f>IF(AND($F43&gt;=MIN($C$28),$F43&lt;=MAX($D$28)),SUMPRODUCT('Ped Safety CRTMeasure'!$G$31:$G$36,'BCA Guide - Parameter Values'!$C$6:$C$11)+'Ped Safety CRTMeasure'!$G$30*'BCA Guide - Parameter Values'!$C$14,0)</f>
        <v>0</v>
      </c>
      <c r="J43" s="1290">
        <f>IF(AND($F43&gt;=MIN($C$29),$F43&lt;=MAX($D$29)),SUMPRODUCT('Ped Safety CRTMeasure'!$G$43:$G$48,'BCA Guide - Parameter Values'!$C$6:$C$11)+'Ped Safety CRTMeasure'!$G$42*'BCA Guide - Parameter Values'!$C$14,0)</f>
        <v>0</v>
      </c>
      <c r="K43" s="1165">
        <f>IF(AND(F43&gt;='Major Assumption Key'!$B$4,F43&lt;='Major Assumption Key'!$B$6),SUM(G43:J43),0)</f>
        <v>0</v>
      </c>
      <c r="L43" s="1290">
        <f>IF(AND($F43&gt;=MIN($C$26),$F43&lt;=MAX($D$26)),SUMPRODUCT('Ped Safety CRTMeasure'!$H$7:$H$12,'BCA Guide - Parameter Values'!$C$6:$C$11)+'Ped Safety CRTMeasure'!$H$6*'BCA Guide - Parameter Values'!$C$14,0)</f>
        <v>0</v>
      </c>
      <c r="M43" s="1291">
        <f>IF(AND($F43&gt;=MIN($C$27),$F43&lt;=MAX($D$27)),SUMPRODUCT('Ped Safety CRTMeasure'!$H$19:$H$24,'BCA Guide - Parameter Values'!$C$6:$C$11)+'Ped Safety CRTMeasure'!$H$18*'BCA Guide - Parameter Values'!$C$14,0)</f>
        <v>0</v>
      </c>
      <c r="N43" s="1291">
        <f>IF(AND($F43&gt;=MIN($C$28),$F43&lt;=MAX($D$28)),SUMPRODUCT('Ped Safety CRTMeasure'!$H$31:$H$36,'BCA Guide - Parameter Values'!$C$6:$C$11)+'Ped Safety CRTMeasure'!$H$30*'BCA Guide - Parameter Values'!$C$14,0)</f>
        <v>0</v>
      </c>
      <c r="O43" s="1291">
        <f>IF(AND($F43&gt;=MIN($C$29),$F43&lt;=MAX($D$29)),SUMPRODUCT('Ped Safety CRTMeasure'!$H$43:$H$48,'BCA Guide - Parameter Values'!$C$6:$C$11)+'Ped Safety CRTMeasure'!$H$42*'BCA Guide - Parameter Values'!$C$14,0)</f>
        <v>0</v>
      </c>
      <c r="P43" s="1199">
        <f>IF(AND(F43&gt;='Major Assumption Key'!$B$4,F43&lt;='Major Assumption Key'!$B$6),SUM(L43:O43),0)</f>
        <v>0</v>
      </c>
      <c r="Q43" s="1292">
        <f t="shared" si="5"/>
        <v>0</v>
      </c>
      <c r="R43" s="1169">
        <f>Q43/(1+'Major Assumption Key'!$B$8)^($F43-'Major Assumption Key'!$B$7)</f>
        <v>0</v>
      </c>
      <c r="S43" s="1281"/>
      <c r="T43" s="1165">
        <f t="shared" si="6"/>
        <v>0</v>
      </c>
      <c r="U43" s="1199">
        <f t="shared" si="7"/>
        <v>0</v>
      </c>
      <c r="V43" s="1292">
        <f t="shared" si="8"/>
        <v>0</v>
      </c>
      <c r="W43" s="1169">
        <f t="shared" si="9"/>
        <v>0</v>
      </c>
    </row>
    <row r="44" spans="1:23" ht="19.95" customHeight="1">
      <c r="F44" s="1181">
        <f>'Major Assumption Key'!A56</f>
        <v>2057</v>
      </c>
      <c r="G44" s="1290">
        <f>IF(AND($F44&gt;=MIN($C$26),$F44&lt;=MAX($D$26)),SUMPRODUCT('Ped Safety CRTMeasure'!$G$7:$G$12,'BCA Guide - Parameter Values'!$C$6:$C$11)+'Ped Safety CRTMeasure'!$G$6*'BCA Guide - Parameter Values'!$C$14,0)</f>
        <v>0</v>
      </c>
      <c r="H44" s="1290">
        <f>IF(AND($F44&gt;=MIN($C$27),$F44&lt;=MAX($D$27)),SUMPRODUCT('Ped Safety CRTMeasure'!$G$19:$G$24,'BCA Guide - Parameter Values'!$C$6:$C$11)+'Ped Safety CRTMeasure'!$G$18*'BCA Guide - Parameter Values'!$C$14,0)</f>
        <v>0</v>
      </c>
      <c r="I44" s="1290">
        <f>IF(AND($F44&gt;=MIN($C$28),$F44&lt;=MAX($D$28)),SUMPRODUCT('Ped Safety CRTMeasure'!$G$31:$G$36,'BCA Guide - Parameter Values'!$C$6:$C$11)+'Ped Safety CRTMeasure'!$G$30*'BCA Guide - Parameter Values'!$C$14,0)</f>
        <v>0</v>
      </c>
      <c r="J44" s="1290">
        <f>IF(AND($F44&gt;=MIN($C$29),$F44&lt;=MAX($D$29)),SUMPRODUCT('Ped Safety CRTMeasure'!$G$43:$G$48,'BCA Guide - Parameter Values'!$C$6:$C$11)+'Ped Safety CRTMeasure'!$G$42*'BCA Guide - Parameter Values'!$C$14,0)</f>
        <v>0</v>
      </c>
      <c r="K44" s="1165">
        <f>IF(AND(F44&gt;='Major Assumption Key'!$B$4,F44&lt;='Major Assumption Key'!$B$6),SUM(G44:J44),0)</f>
        <v>0</v>
      </c>
      <c r="L44" s="1290">
        <f>IF(AND($F44&gt;=MIN($C$26),$F44&lt;=MAX($D$26)),SUMPRODUCT('Ped Safety CRTMeasure'!$H$7:$H$12,'BCA Guide - Parameter Values'!$C$6:$C$11)+'Ped Safety CRTMeasure'!$H$6*'BCA Guide - Parameter Values'!$C$14,0)</f>
        <v>0</v>
      </c>
      <c r="M44" s="1291">
        <f>IF(AND($F44&gt;=MIN($C$27),$F44&lt;=MAX($D$27)),SUMPRODUCT('Ped Safety CRTMeasure'!$H$19:$H$24,'BCA Guide - Parameter Values'!$C$6:$C$11)+'Ped Safety CRTMeasure'!$H$18*'BCA Guide - Parameter Values'!$C$14,0)</f>
        <v>0</v>
      </c>
      <c r="N44" s="1291">
        <f>IF(AND($F44&gt;=MIN($C$28),$F44&lt;=MAX($D$28)),SUMPRODUCT('Ped Safety CRTMeasure'!$H$31:$H$36,'BCA Guide - Parameter Values'!$C$6:$C$11)+'Ped Safety CRTMeasure'!$H$30*'BCA Guide - Parameter Values'!$C$14,0)</f>
        <v>0</v>
      </c>
      <c r="O44" s="1291">
        <f>IF(AND($F44&gt;=MIN($C$29),$F44&lt;=MAX($D$29)),SUMPRODUCT('Ped Safety CRTMeasure'!$H$43:$H$48,'BCA Guide - Parameter Values'!$C$6:$C$11)+'Ped Safety CRTMeasure'!$H$42*'BCA Guide - Parameter Values'!$C$14,0)</f>
        <v>0</v>
      </c>
      <c r="P44" s="1199">
        <f>IF(AND(F44&gt;='Major Assumption Key'!$B$4,F44&lt;='Major Assumption Key'!$B$6),SUM(L44:O44),0)</f>
        <v>0</v>
      </c>
      <c r="Q44" s="1292">
        <f t="shared" si="5"/>
        <v>0</v>
      </c>
      <c r="R44" s="1169">
        <f>Q44/(1+'Major Assumption Key'!$B$8)^($F44-'Major Assumption Key'!$B$7)</f>
        <v>0</v>
      </c>
      <c r="S44" s="1281"/>
      <c r="T44" s="1165">
        <f t="shared" si="6"/>
        <v>0</v>
      </c>
      <c r="U44" s="1199">
        <f t="shared" si="7"/>
        <v>0</v>
      </c>
      <c r="V44" s="1292">
        <f t="shared" si="8"/>
        <v>0</v>
      </c>
      <c r="W44" s="1169">
        <f t="shared" si="9"/>
        <v>0</v>
      </c>
    </row>
    <row r="45" spans="1:23" ht="19.95" customHeight="1">
      <c r="F45" s="1181">
        <f>'Major Assumption Key'!A57</f>
        <v>2058</v>
      </c>
      <c r="G45" s="1290">
        <f>IF(AND($F45&gt;=MIN($C$26),$F45&lt;=MAX($D$26)),SUMPRODUCT('Ped Safety CRTMeasure'!$G$7:$G$12,'BCA Guide - Parameter Values'!$C$6:$C$11)+'Ped Safety CRTMeasure'!$G$6*'BCA Guide - Parameter Values'!$C$14,0)</f>
        <v>0</v>
      </c>
      <c r="H45" s="1290">
        <f>IF(AND($F45&gt;=MIN($C$27),$F45&lt;=MAX($D$27)),SUMPRODUCT('Ped Safety CRTMeasure'!$G$19:$G$24,'BCA Guide - Parameter Values'!$C$6:$C$11)+'Ped Safety CRTMeasure'!$G$18*'BCA Guide - Parameter Values'!$C$14,0)</f>
        <v>0</v>
      </c>
      <c r="I45" s="1290">
        <f>IF(AND($F45&gt;=MIN($C$28),$F45&lt;=MAX($D$28)),SUMPRODUCT('Ped Safety CRTMeasure'!$G$31:$G$36,'BCA Guide - Parameter Values'!$C$6:$C$11)+'Ped Safety CRTMeasure'!$G$30*'BCA Guide - Parameter Values'!$C$14,0)</f>
        <v>0</v>
      </c>
      <c r="J45" s="1290">
        <f>IF(AND($F45&gt;=MIN($C$29),$F45&lt;=MAX($D$29)),SUMPRODUCT('Ped Safety CRTMeasure'!$G$43:$G$48,'BCA Guide - Parameter Values'!$C$6:$C$11)+'Ped Safety CRTMeasure'!$G$42*'BCA Guide - Parameter Values'!$C$14,0)</f>
        <v>0</v>
      </c>
      <c r="K45" s="1165">
        <f>IF(AND(F45&gt;='Major Assumption Key'!$B$4,F45&lt;='Major Assumption Key'!$B$6),SUM(G45:J45),0)</f>
        <v>0</v>
      </c>
      <c r="L45" s="1290">
        <f>IF(AND($F45&gt;=MIN($C$26),$F45&lt;=MAX($D$26)),SUMPRODUCT('Ped Safety CRTMeasure'!$H$7:$H$12,'BCA Guide - Parameter Values'!$C$6:$C$11)+'Ped Safety CRTMeasure'!$H$6*'BCA Guide - Parameter Values'!$C$14,0)</f>
        <v>0</v>
      </c>
      <c r="M45" s="1291">
        <f>IF(AND($F45&gt;=MIN($C$27),$F45&lt;=MAX($D$27)),SUMPRODUCT('Ped Safety CRTMeasure'!$H$19:$H$24,'BCA Guide - Parameter Values'!$C$6:$C$11)+'Ped Safety CRTMeasure'!$H$18*'BCA Guide - Parameter Values'!$C$14,0)</f>
        <v>0</v>
      </c>
      <c r="N45" s="1291">
        <f>IF(AND($F45&gt;=MIN($C$28),$F45&lt;=MAX($D$28)),SUMPRODUCT('Ped Safety CRTMeasure'!$H$31:$H$36,'BCA Guide - Parameter Values'!$C$6:$C$11)+'Ped Safety CRTMeasure'!$H$30*'BCA Guide - Parameter Values'!$C$14,0)</f>
        <v>0</v>
      </c>
      <c r="O45" s="1291">
        <f>IF(AND($F45&gt;=MIN($C$29),$F45&lt;=MAX($D$29)),SUMPRODUCT('Ped Safety CRTMeasure'!$H$43:$H$48,'BCA Guide - Parameter Values'!$C$6:$C$11)+'Ped Safety CRTMeasure'!$H$42*'BCA Guide - Parameter Values'!$C$14,0)</f>
        <v>0</v>
      </c>
      <c r="P45" s="1199">
        <f>IF(AND(F45&gt;='Major Assumption Key'!$B$4,F45&lt;='Major Assumption Key'!$B$6),SUM(L45:O45),0)</f>
        <v>0</v>
      </c>
      <c r="Q45" s="1292">
        <f t="shared" si="5"/>
        <v>0</v>
      </c>
      <c r="R45" s="1169">
        <f>Q45/(1+'Major Assumption Key'!$B$8)^($F45-'Major Assumption Key'!$B$7)</f>
        <v>0</v>
      </c>
      <c r="S45" s="1281"/>
      <c r="T45" s="1165">
        <f t="shared" si="6"/>
        <v>0</v>
      </c>
      <c r="U45" s="1199">
        <f t="shared" si="7"/>
        <v>0</v>
      </c>
      <c r="V45" s="1292">
        <f t="shared" si="8"/>
        <v>0</v>
      </c>
      <c r="W45" s="1169">
        <f t="shared" si="9"/>
        <v>0</v>
      </c>
    </row>
    <row r="46" spans="1:23" ht="19.95" customHeight="1">
      <c r="F46" s="1181">
        <f>'Major Assumption Key'!A58</f>
        <v>2059</v>
      </c>
      <c r="G46" s="1290">
        <f>IF(AND($F46&gt;=MIN($C$26),$F46&lt;=MAX($D$26)),SUMPRODUCT('Ped Safety CRTMeasure'!$G$7:$G$12,'BCA Guide - Parameter Values'!$C$6:$C$11)+'Ped Safety CRTMeasure'!$G$6*'BCA Guide - Parameter Values'!$C$14,0)</f>
        <v>0</v>
      </c>
      <c r="H46" s="1290">
        <f>IF(AND($F46&gt;=MIN($C$27),$F46&lt;=MAX($D$27)),SUMPRODUCT('Ped Safety CRTMeasure'!$G$19:$G$24,'BCA Guide - Parameter Values'!$C$6:$C$11)+'Ped Safety CRTMeasure'!$G$18*'BCA Guide - Parameter Values'!$C$14,0)</f>
        <v>0</v>
      </c>
      <c r="I46" s="1290">
        <f>IF(AND($F46&gt;=MIN($C$28),$F46&lt;=MAX($D$28)),SUMPRODUCT('Ped Safety CRTMeasure'!$G$31:$G$36,'BCA Guide - Parameter Values'!$C$6:$C$11)+'Ped Safety CRTMeasure'!$G$30*'BCA Guide - Parameter Values'!$C$14,0)</f>
        <v>0</v>
      </c>
      <c r="J46" s="1290">
        <f>IF(AND($F46&gt;=MIN($C$29),$F46&lt;=MAX($D$29)),SUMPRODUCT('Ped Safety CRTMeasure'!$G$43:$G$48,'BCA Guide - Parameter Values'!$C$6:$C$11)+'Ped Safety CRTMeasure'!$G$42*'BCA Guide - Parameter Values'!$C$14,0)</f>
        <v>0</v>
      </c>
      <c r="K46" s="1165">
        <f>IF(AND(F46&gt;='Major Assumption Key'!$B$4,F46&lt;='Major Assumption Key'!$B$6),SUM(G46:J46),0)</f>
        <v>0</v>
      </c>
      <c r="L46" s="1290">
        <f>IF(AND($F46&gt;=MIN($C$26),$F46&lt;=MAX($D$26)),SUMPRODUCT('Ped Safety CRTMeasure'!$H$7:$H$12,'BCA Guide - Parameter Values'!$C$6:$C$11)+'Ped Safety CRTMeasure'!$H$6*'BCA Guide - Parameter Values'!$C$14,0)</f>
        <v>0</v>
      </c>
      <c r="M46" s="1291">
        <f>IF(AND($F46&gt;=MIN($C$27),$F46&lt;=MAX($D$27)),SUMPRODUCT('Ped Safety CRTMeasure'!$H$19:$H$24,'BCA Guide - Parameter Values'!$C$6:$C$11)+'Ped Safety CRTMeasure'!$H$18*'BCA Guide - Parameter Values'!$C$14,0)</f>
        <v>0</v>
      </c>
      <c r="N46" s="1291">
        <f>IF(AND($F46&gt;=MIN($C$28),$F46&lt;=MAX($D$28)),SUMPRODUCT('Ped Safety CRTMeasure'!$H$31:$H$36,'BCA Guide - Parameter Values'!$C$6:$C$11)+'Ped Safety CRTMeasure'!$H$30*'BCA Guide - Parameter Values'!$C$14,0)</f>
        <v>0</v>
      </c>
      <c r="O46" s="1291">
        <f>IF(AND($F46&gt;=MIN($C$29),$F46&lt;=MAX($D$29)),SUMPRODUCT('Ped Safety CRTMeasure'!$H$43:$H$48,'BCA Guide - Parameter Values'!$C$6:$C$11)+'Ped Safety CRTMeasure'!$H$42*'BCA Guide - Parameter Values'!$C$14,0)</f>
        <v>0</v>
      </c>
      <c r="P46" s="1199">
        <f>IF(AND(F46&gt;='Major Assumption Key'!$B$4,F46&lt;='Major Assumption Key'!$B$6),SUM(L46:O46),0)</f>
        <v>0</v>
      </c>
      <c r="Q46" s="1292">
        <f t="shared" ref="Q46:Q47" si="12">(P46-K46)*-1</f>
        <v>0</v>
      </c>
      <c r="R46" s="1169">
        <f>Q46/(1+'Major Assumption Key'!$B$8)^($F46-'Major Assumption Key'!$B$7)</f>
        <v>0</v>
      </c>
      <c r="S46" s="1281"/>
      <c r="T46" s="1165">
        <f t="shared" ref="T46:T47" si="13">ROUND(K46,-3)</f>
        <v>0</v>
      </c>
      <c r="U46" s="1199">
        <f t="shared" ref="U46:U47" si="14">ROUND(P46,-3)</f>
        <v>0</v>
      </c>
      <c r="V46" s="1292">
        <f t="shared" ref="V46:V47" si="15">ROUND(Q46,-3)</f>
        <v>0</v>
      </c>
      <c r="W46" s="1169">
        <f t="shared" ref="W46:W47" si="16">ROUND(R46,-3)</f>
        <v>0</v>
      </c>
    </row>
    <row r="47" spans="1:23" ht="19.95" customHeight="1">
      <c r="F47" s="1181">
        <f>'Major Assumption Key'!A59</f>
        <v>2060</v>
      </c>
      <c r="G47" s="1290">
        <f>IF(AND($F47&gt;=MIN($C$26),$F47&lt;=MAX($D$26)),SUMPRODUCT('Ped Safety CRTMeasure'!$G$7:$G$12,'BCA Guide - Parameter Values'!$C$6:$C$11)+'Ped Safety CRTMeasure'!$G$6*'BCA Guide - Parameter Values'!$C$14,0)</f>
        <v>0</v>
      </c>
      <c r="H47" s="1290">
        <f>IF(AND($F47&gt;=MIN($C$27),$F47&lt;=MAX($D$27)),SUMPRODUCT('Ped Safety CRTMeasure'!$G$19:$G$24,'BCA Guide - Parameter Values'!$C$6:$C$11)+'Ped Safety CRTMeasure'!$G$18*'BCA Guide - Parameter Values'!$C$14,0)</f>
        <v>0</v>
      </c>
      <c r="I47" s="1290">
        <f>IF(AND($F47&gt;=MIN($C$28),$F47&lt;=MAX($D$28)),SUMPRODUCT('Ped Safety CRTMeasure'!$G$31:$G$36,'BCA Guide - Parameter Values'!$C$6:$C$11)+'Ped Safety CRTMeasure'!$G$30*'BCA Guide - Parameter Values'!$C$14,0)</f>
        <v>0</v>
      </c>
      <c r="J47" s="1290">
        <f>IF(AND($F47&gt;=MIN($C$29),$F47&lt;=MAX($D$29)),SUMPRODUCT('Ped Safety CRTMeasure'!$G$43:$G$48,'BCA Guide - Parameter Values'!$C$6:$C$11)+'Ped Safety CRTMeasure'!$G$42*'BCA Guide - Parameter Values'!$C$14,0)</f>
        <v>0</v>
      </c>
      <c r="K47" s="1165">
        <f>IF(AND(F47&gt;='Major Assumption Key'!$B$4,F47&lt;='Major Assumption Key'!$B$6),SUM(G47:J47),0)</f>
        <v>0</v>
      </c>
      <c r="L47" s="1290">
        <f>IF(AND($F47&gt;=MIN($C$26),$F47&lt;=MAX($D$26)),SUMPRODUCT('Ped Safety CRTMeasure'!$H$7:$H$12,'BCA Guide - Parameter Values'!$C$6:$C$11)+'Ped Safety CRTMeasure'!$H$6*'BCA Guide - Parameter Values'!$C$14,0)</f>
        <v>0</v>
      </c>
      <c r="M47" s="1291">
        <f>IF(AND($F47&gt;=MIN($C$27),$F47&lt;=MAX($D$27)),SUMPRODUCT('Ped Safety CRTMeasure'!$H$19:$H$24,'BCA Guide - Parameter Values'!$C$6:$C$11)+'Ped Safety CRTMeasure'!$H$18*'BCA Guide - Parameter Values'!$C$14,0)</f>
        <v>0</v>
      </c>
      <c r="N47" s="1291">
        <f>IF(AND($F47&gt;=MIN($C$28),$F47&lt;=MAX($D$28)),SUMPRODUCT('Ped Safety CRTMeasure'!$H$31:$H$36,'BCA Guide - Parameter Values'!$C$6:$C$11)+'Ped Safety CRTMeasure'!$H$30*'BCA Guide - Parameter Values'!$C$14,0)</f>
        <v>0</v>
      </c>
      <c r="O47" s="1291">
        <f>IF(AND($F47&gt;=MIN($C$29),$F47&lt;=MAX($D$29)),SUMPRODUCT('Ped Safety CRTMeasure'!$H$43:$H$48,'BCA Guide - Parameter Values'!$C$6:$C$11)+'Ped Safety CRTMeasure'!$H$42*'BCA Guide - Parameter Values'!$C$14,0)</f>
        <v>0</v>
      </c>
      <c r="P47" s="1199">
        <f>IF(AND(F47&gt;='Major Assumption Key'!$B$4,F47&lt;='Major Assumption Key'!$B$6),SUM(L47:O47),0)</f>
        <v>0</v>
      </c>
      <c r="Q47" s="1292">
        <f t="shared" si="12"/>
        <v>0</v>
      </c>
      <c r="R47" s="1169">
        <f>Q47/(1+'Major Assumption Key'!$B$8)^($F47-'Major Assumption Key'!$B$7)</f>
        <v>0</v>
      </c>
      <c r="S47" s="1281"/>
      <c r="T47" s="1165">
        <f t="shared" si="13"/>
        <v>0</v>
      </c>
      <c r="U47" s="1199">
        <f t="shared" si="14"/>
        <v>0</v>
      </c>
      <c r="V47" s="1292">
        <f t="shared" si="15"/>
        <v>0</v>
      </c>
      <c r="W47" s="1169">
        <f t="shared" si="16"/>
        <v>0</v>
      </c>
    </row>
    <row r="48" spans="1:23" ht="19.95" customHeight="1" thickBot="1">
      <c r="F48" s="1536" t="s">
        <v>504</v>
      </c>
      <c r="G48" s="1537"/>
      <c r="H48" s="1537"/>
      <c r="I48" s="1537"/>
      <c r="J48" s="1537"/>
      <c r="K48" s="1550">
        <f>SUM(K7:K47)</f>
        <v>8000400</v>
      </c>
      <c r="L48" s="1537"/>
      <c r="M48" s="1537"/>
      <c r="N48" s="1537"/>
      <c r="O48" s="1537"/>
      <c r="P48" s="1550">
        <f>SUM(P7:P47)</f>
        <v>6880344.0000000019</v>
      </c>
      <c r="Q48" s="1525">
        <f>SUM(Q7:Q47)</f>
        <v>1120056.0000000002</v>
      </c>
      <c r="R48" s="1526">
        <f>SUM(R7:R47)</f>
        <v>708661.7601731387</v>
      </c>
      <c r="S48" s="1281"/>
      <c r="T48" s="1520">
        <f>ROUND(K48,-3)</f>
        <v>8000000</v>
      </c>
      <c r="U48" s="1524">
        <f>ROUND(P48,-3)</f>
        <v>6880000</v>
      </c>
      <c r="V48" s="1525">
        <f>ROUND(Q48,-3)</f>
        <v>1120000</v>
      </c>
      <c r="W48" s="1526">
        <f>ROUND(R48,-3)</f>
        <v>709000</v>
      </c>
    </row>
    <row r="49" spans="11:16" ht="19.95" customHeight="1">
      <c r="K49" s="1685"/>
      <c r="P49" s="1685"/>
    </row>
    <row r="50" spans="11:16" ht="19.95" customHeight="1"/>
    <row r="51" spans="11:16" ht="19.95" customHeight="1"/>
    <row r="52" spans="11:16" ht="19.95" customHeight="1"/>
    <row r="53" spans="11:16" ht="19.95" customHeight="1"/>
    <row r="54" spans="11:16" ht="19.95" customHeight="1"/>
    <row r="55" spans="11:16" ht="19.95" customHeight="1"/>
    <row r="82" spans="4:4">
      <c r="D82" s="1195">
        <v>0</v>
      </c>
    </row>
  </sheetData>
  <sheetProtection algorithmName="SHA-512" hashValue="eLqYMciSLqXhbC4E01uCUzWZAZA9ynjNz4YDRtQEXQH5xm11ySKVDRSGhAA0+pid2hDZlEg6iNydGXDhVkh5qQ==" saltValue="J93+DrfnWvNAHWjzjmO3IA=="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20" type="noConversion"/>
  <pageMargins left="0.25" right="0.25" top="0.75" bottom="0.75" header="0.3" footer="0.3"/>
  <pageSetup paperSize="17" scale="32"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196"/>
  <sheetViews>
    <sheetView topLeftCell="A12" workbookViewId="0">
      <selection sqref="A1:XFD1048576"/>
    </sheetView>
  </sheetViews>
  <sheetFormatPr defaultColWidth="8.77734375" defaultRowHeight="14.4"/>
  <cols>
    <col min="1" max="1" width="41.21875" style="1259" bestFit="1" customWidth="1"/>
    <col min="2" max="6" width="5" style="1259" bestFit="1" customWidth="1"/>
    <col min="7" max="7" width="18" style="1259" bestFit="1" customWidth="1"/>
    <col min="8" max="8" width="14.77734375" style="1259" bestFit="1" customWidth="1"/>
    <col min="9" max="9" width="10.44140625" style="1259" bestFit="1" customWidth="1"/>
    <col min="10" max="10" width="25.44140625" style="1259" bestFit="1" customWidth="1"/>
    <col min="11" max="11" width="15.77734375" style="1259" bestFit="1" customWidth="1"/>
    <col min="12" max="13" width="4.77734375" style="1259" bestFit="1" customWidth="1"/>
    <col min="14" max="14" width="11.21875" style="1259" bestFit="1" customWidth="1"/>
    <col min="15" max="15" width="28.77734375" style="1259" bestFit="1" customWidth="1"/>
    <col min="16" max="16" width="26.77734375" style="1259" bestFit="1" customWidth="1"/>
    <col min="17" max="17" width="17" style="1259" bestFit="1" customWidth="1"/>
    <col min="18" max="19" width="5" style="1259" bestFit="1" customWidth="1"/>
    <col min="20" max="20" width="11.77734375" style="1259" bestFit="1" customWidth="1"/>
    <col min="21" max="24" width="28.77734375" style="1259" bestFit="1" customWidth="1"/>
    <col min="25" max="25" width="26.21875" style="1259" bestFit="1" customWidth="1"/>
    <col min="26" max="26" width="26.77734375" style="1259" bestFit="1" customWidth="1"/>
    <col min="27" max="27" width="31.44140625" style="1259" bestFit="1" customWidth="1"/>
    <col min="28" max="28" width="34.21875" style="1259" bestFit="1" customWidth="1"/>
    <col min="29" max="29" width="22.77734375" style="1259" bestFit="1" customWidth="1"/>
    <col min="30" max="16384" width="8.77734375" style="1259"/>
  </cols>
  <sheetData>
    <row r="1" spans="1:29">
      <c r="A1" s="1025" t="s">
        <v>413</v>
      </c>
      <c r="B1" s="1026" t="s">
        <v>846</v>
      </c>
      <c r="C1" s="1026"/>
      <c r="D1" s="1026"/>
      <c r="E1" s="1026"/>
      <c r="F1" s="1026"/>
      <c r="G1" s="1026"/>
      <c r="H1" s="1011"/>
      <c r="I1" s="1029"/>
      <c r="P1" s="1013"/>
      <c r="Q1" s="1013"/>
    </row>
    <row r="2" spans="1:29">
      <c r="A2" s="1267"/>
      <c r="B2" s="1267"/>
      <c r="C2" s="1268"/>
      <c r="D2" s="1268"/>
      <c r="E2" s="1268"/>
      <c r="F2" s="1011"/>
      <c r="G2" s="1012"/>
      <c r="O2" s="1013"/>
      <c r="P2" s="1013"/>
      <c r="Q2" s="1013"/>
      <c r="R2" s="1013"/>
      <c r="S2" s="1013"/>
      <c r="T2" s="1013"/>
      <c r="U2" s="1013"/>
      <c r="V2" s="1013"/>
      <c r="W2" s="1013"/>
      <c r="X2" s="1013"/>
      <c r="Y2" s="1013"/>
      <c r="Z2" s="1013"/>
      <c r="AA2" s="1013"/>
      <c r="AB2" s="1013"/>
      <c r="AC2" s="1013"/>
    </row>
    <row r="3" spans="1:29" ht="17.399999999999999">
      <c r="A3" s="1300"/>
      <c r="B3" s="1300"/>
      <c r="C3" s="1300"/>
      <c r="D3" s="1300"/>
      <c r="E3" s="1300"/>
      <c r="F3" s="1300"/>
      <c r="G3" s="1300"/>
      <c r="H3" s="1300"/>
      <c r="J3" s="1269" t="s">
        <v>7720</v>
      </c>
      <c r="K3" s="1013" t="s">
        <v>8201</v>
      </c>
      <c r="O3" s="1013"/>
      <c r="P3" s="1013"/>
      <c r="Q3" s="1013"/>
      <c r="R3" s="1013"/>
      <c r="S3" s="1013"/>
      <c r="T3" s="1013"/>
      <c r="U3" s="1013"/>
      <c r="V3" s="1013"/>
      <c r="W3" s="1013"/>
      <c r="X3" s="1013"/>
      <c r="Y3" s="1013"/>
      <c r="Z3" s="1013"/>
      <c r="AA3" s="1013"/>
      <c r="AB3" s="1013"/>
      <c r="AC3" s="1013"/>
    </row>
    <row r="4" spans="1:29">
      <c r="A4" s="1270" t="str">
        <f>'Pedestrian Safety'!A26</f>
        <v>Countermeasure #1 - MEDIAN TREATMENT FOR PED/BIKE SAFETY</v>
      </c>
      <c r="O4" s="1013"/>
      <c r="P4" s="1013"/>
      <c r="Q4" s="1013"/>
      <c r="R4" s="1013"/>
      <c r="S4" s="1013"/>
      <c r="T4" s="1013"/>
      <c r="U4" s="1013"/>
      <c r="V4" s="1013"/>
      <c r="W4" s="1013"/>
      <c r="X4" s="1013"/>
      <c r="Y4" s="1013"/>
      <c r="Z4" s="1013"/>
      <c r="AA4" s="1013"/>
      <c r="AB4" s="1013"/>
      <c r="AC4" s="1013"/>
    </row>
    <row r="5" spans="1:29">
      <c r="A5" s="1673" t="s">
        <v>826</v>
      </c>
      <c r="B5" s="1674">
        <v>2019</v>
      </c>
      <c r="C5" s="1674">
        <v>2020</v>
      </c>
      <c r="D5" s="1674">
        <v>2021</v>
      </c>
      <c r="E5" s="1674">
        <v>2022</v>
      </c>
      <c r="F5" s="1674">
        <v>2023</v>
      </c>
      <c r="G5" s="1674" t="s">
        <v>827</v>
      </c>
      <c r="H5" s="1674" t="s">
        <v>828</v>
      </c>
      <c r="J5" s="1013"/>
      <c r="K5" s="1269" t="s">
        <v>7893</v>
      </c>
      <c r="L5" s="1013"/>
      <c r="M5" s="1013"/>
      <c r="N5" s="1013"/>
      <c r="O5" s="1013"/>
      <c r="P5" s="1013"/>
      <c r="Q5" s="1013"/>
      <c r="R5" s="1013"/>
      <c r="S5" s="1013"/>
      <c r="T5" s="1013"/>
      <c r="U5" s="1013"/>
      <c r="V5" s="1013"/>
      <c r="W5" s="1013"/>
      <c r="X5" s="1013"/>
      <c r="Y5" s="1013"/>
      <c r="Z5" s="1013"/>
      <c r="AA5" s="1013"/>
      <c r="AB5" s="1013"/>
      <c r="AC5" s="1013"/>
    </row>
    <row r="6" spans="1:29">
      <c r="A6" s="1274" t="s">
        <v>829</v>
      </c>
      <c r="B6" s="1272">
        <v>0</v>
      </c>
      <c r="C6" s="1272">
        <v>0</v>
      </c>
      <c r="D6" s="1272">
        <v>0</v>
      </c>
      <c r="E6" s="1272">
        <v>0</v>
      </c>
      <c r="F6" s="1272">
        <v>0</v>
      </c>
      <c r="G6" s="1273">
        <f t="shared" ref="G6:G12" si="0">AVERAGE(B6:F6)</f>
        <v>0</v>
      </c>
      <c r="H6" s="1273">
        <f>G6*(1-'Pedestrian Safety'!$B$19)</f>
        <v>0</v>
      </c>
      <c r="J6" s="1269" t="s">
        <v>7900</v>
      </c>
      <c r="K6" s="1013">
        <v>2019</v>
      </c>
      <c r="L6" s="1013">
        <v>2020</v>
      </c>
      <c r="M6" s="1013">
        <v>2023</v>
      </c>
      <c r="N6" s="1013" t="s">
        <v>7894</v>
      </c>
      <c r="O6" s="1013"/>
      <c r="P6" s="1013"/>
      <c r="Q6" s="1013"/>
      <c r="R6" s="1013"/>
      <c r="S6" s="1013"/>
      <c r="T6" s="1013"/>
      <c r="U6" s="1013"/>
      <c r="V6" s="1013"/>
      <c r="W6" s="1013"/>
      <c r="X6" s="1013"/>
      <c r="Y6" s="1013"/>
      <c r="Z6" s="1013"/>
    </row>
    <row r="7" spans="1:29">
      <c r="A7" s="1271" t="s">
        <v>830</v>
      </c>
      <c r="B7" s="1272">
        <f>K7</f>
        <v>1</v>
      </c>
      <c r="C7" s="1272">
        <f t="shared" ref="C7" si="1">L7</f>
        <v>1</v>
      </c>
      <c r="D7" s="1272">
        <v>0</v>
      </c>
      <c r="E7" s="1272">
        <v>0</v>
      </c>
      <c r="F7" s="1272">
        <f>M7</f>
        <v>1</v>
      </c>
      <c r="G7" s="1273">
        <f t="shared" si="0"/>
        <v>0.6</v>
      </c>
      <c r="H7" s="1273">
        <f>G7*(1-'Pedestrian Safety'!$B$19)</f>
        <v>0.51600000000000001</v>
      </c>
      <c r="J7" s="1344" t="s">
        <v>7895</v>
      </c>
      <c r="K7" s="1013">
        <v>1</v>
      </c>
      <c r="L7" s="1013">
        <v>1</v>
      </c>
      <c r="M7" s="1013">
        <v>1</v>
      </c>
      <c r="N7" s="1013">
        <v>3</v>
      </c>
      <c r="O7" s="1013"/>
      <c r="P7" s="1013"/>
      <c r="Q7" s="1013"/>
      <c r="R7" s="1013"/>
      <c r="S7" s="1013"/>
      <c r="T7" s="1013"/>
      <c r="U7" s="1013"/>
      <c r="V7" s="1013"/>
    </row>
    <row r="8" spans="1:29">
      <c r="A8" s="1271" t="s">
        <v>831</v>
      </c>
      <c r="B8" s="1272">
        <f t="shared" ref="B8:B12" si="2">K8</f>
        <v>0</v>
      </c>
      <c r="C8" s="1272">
        <f t="shared" ref="C8:C12" si="3">L8</f>
        <v>1</v>
      </c>
      <c r="D8" s="1272">
        <f t="shared" ref="D8:D12" si="4">M8</f>
        <v>0</v>
      </c>
      <c r="E8" s="1272">
        <v>0</v>
      </c>
      <c r="F8" s="1272">
        <f t="shared" ref="F8:F12" si="5">M8</f>
        <v>0</v>
      </c>
      <c r="G8" s="1273">
        <f t="shared" si="0"/>
        <v>0.2</v>
      </c>
      <c r="H8" s="1273">
        <f>G8*(1-'Pedestrian Safety'!$B$19)</f>
        <v>0.17200000000000001</v>
      </c>
      <c r="J8" s="1344" t="s">
        <v>7896</v>
      </c>
      <c r="K8" s="1013">
        <v>0</v>
      </c>
      <c r="L8" s="1013">
        <v>1</v>
      </c>
      <c r="M8" s="1013">
        <v>0</v>
      </c>
      <c r="N8" s="1013">
        <v>1</v>
      </c>
      <c r="O8" s="1013"/>
      <c r="P8" s="1013"/>
      <c r="Q8" s="1013"/>
      <c r="R8" s="1013"/>
      <c r="S8" s="1013"/>
      <c r="T8" s="1013"/>
      <c r="U8" s="1013"/>
      <c r="V8" s="1013"/>
    </row>
    <row r="9" spans="1:29">
      <c r="A9" s="1271" t="s">
        <v>832</v>
      </c>
      <c r="B9" s="1272">
        <f t="shared" si="2"/>
        <v>1</v>
      </c>
      <c r="C9" s="1272">
        <f t="shared" si="3"/>
        <v>0</v>
      </c>
      <c r="D9" s="1272">
        <v>0</v>
      </c>
      <c r="E9" s="1272">
        <v>0</v>
      </c>
      <c r="F9" s="1272">
        <f t="shared" si="5"/>
        <v>1</v>
      </c>
      <c r="G9" s="1273">
        <f t="shared" si="0"/>
        <v>0.4</v>
      </c>
      <c r="H9" s="1273">
        <f>G9*(1-'Pedestrian Safety'!$B$19)</f>
        <v>0.34400000000000003</v>
      </c>
      <c r="J9" s="1344" t="s">
        <v>7897</v>
      </c>
      <c r="K9" s="1013">
        <v>1</v>
      </c>
      <c r="L9" s="1013">
        <v>0</v>
      </c>
      <c r="M9" s="1013">
        <v>1</v>
      </c>
      <c r="N9" s="1013">
        <v>2</v>
      </c>
      <c r="O9" s="1013"/>
      <c r="P9" s="1013"/>
      <c r="Q9" s="1013"/>
      <c r="R9" s="1013"/>
      <c r="S9" s="1013"/>
      <c r="T9" s="1013"/>
      <c r="U9" s="1013"/>
      <c r="V9" s="1013"/>
    </row>
    <row r="10" spans="1:29">
      <c r="A10" s="1271" t="s">
        <v>833</v>
      </c>
      <c r="B10" s="1272">
        <f t="shared" si="2"/>
        <v>0</v>
      </c>
      <c r="C10" s="1272">
        <f t="shared" si="3"/>
        <v>1</v>
      </c>
      <c r="D10" s="1272">
        <f t="shared" si="4"/>
        <v>0</v>
      </c>
      <c r="E10" s="1272">
        <v>0</v>
      </c>
      <c r="F10" s="1272">
        <f t="shared" si="5"/>
        <v>0</v>
      </c>
      <c r="G10" s="1273">
        <f t="shared" si="0"/>
        <v>0.2</v>
      </c>
      <c r="H10" s="1273">
        <f>G10*(1-'Pedestrian Safety'!$B$19)</f>
        <v>0.17200000000000001</v>
      </c>
      <c r="J10" s="1344" t="s">
        <v>7898</v>
      </c>
      <c r="K10" s="1013">
        <v>0</v>
      </c>
      <c r="L10" s="1013">
        <v>1</v>
      </c>
      <c r="M10" s="1013">
        <v>0</v>
      </c>
      <c r="N10" s="1013">
        <v>1</v>
      </c>
      <c r="O10" s="1013"/>
      <c r="P10" s="1013"/>
      <c r="Q10" s="1013"/>
      <c r="R10" s="1013"/>
      <c r="S10" s="1013"/>
      <c r="T10" s="1013"/>
    </row>
    <row r="11" spans="1:29">
      <c r="A11" s="1271" t="s">
        <v>834</v>
      </c>
      <c r="B11" s="1272">
        <f t="shared" si="2"/>
        <v>0</v>
      </c>
      <c r="C11" s="1272">
        <f t="shared" si="3"/>
        <v>0</v>
      </c>
      <c r="D11" s="1272">
        <f t="shared" si="4"/>
        <v>0</v>
      </c>
      <c r="E11" s="1272">
        <v>0</v>
      </c>
      <c r="F11" s="1272">
        <f t="shared" si="5"/>
        <v>0</v>
      </c>
      <c r="G11" s="1273">
        <f t="shared" si="0"/>
        <v>0</v>
      </c>
      <c r="H11" s="1273">
        <f>G11*(1-'Pedestrian Safety'!$B$19)</f>
        <v>0</v>
      </c>
      <c r="I11" s="1013"/>
      <c r="J11" s="1344" t="s">
        <v>7899</v>
      </c>
      <c r="K11" s="1013">
        <v>0</v>
      </c>
      <c r="L11" s="1013">
        <v>0</v>
      </c>
      <c r="M11" s="1013">
        <v>0</v>
      </c>
      <c r="N11" s="1013">
        <v>0</v>
      </c>
      <c r="O11" s="1013"/>
      <c r="P11" s="1013"/>
      <c r="Q11" s="1013"/>
      <c r="R11" s="1013"/>
      <c r="S11" s="1013"/>
      <c r="T11" s="1013"/>
      <c r="U11" s="1013"/>
      <c r="V11" s="1013"/>
      <c r="W11" s="1013"/>
      <c r="X11" s="1013"/>
      <c r="Y11" s="1013"/>
      <c r="Z11" s="1013"/>
      <c r="AA11" s="1013"/>
      <c r="AB11" s="1013"/>
      <c r="AC11" s="1013"/>
    </row>
    <row r="12" spans="1:29">
      <c r="A12" s="1271" t="s">
        <v>835</v>
      </c>
      <c r="B12" s="1272">
        <f t="shared" si="2"/>
        <v>0</v>
      </c>
      <c r="C12" s="1272">
        <f t="shared" si="3"/>
        <v>1</v>
      </c>
      <c r="D12" s="1272">
        <f t="shared" si="4"/>
        <v>0</v>
      </c>
      <c r="E12" s="1272">
        <v>0</v>
      </c>
      <c r="F12" s="1272">
        <f t="shared" si="5"/>
        <v>0</v>
      </c>
      <c r="G12" s="1273">
        <f t="shared" si="0"/>
        <v>0.2</v>
      </c>
      <c r="H12" s="1273">
        <f>G12*(1-'Pedestrian Safety'!$B$19)</f>
        <v>0.17200000000000001</v>
      </c>
      <c r="I12" s="1013"/>
      <c r="J12" s="1344" t="s">
        <v>7901</v>
      </c>
      <c r="K12" s="1013">
        <v>0</v>
      </c>
      <c r="L12" s="1013">
        <v>1</v>
      </c>
      <c r="M12" s="1013">
        <v>0</v>
      </c>
      <c r="N12" s="1013">
        <v>1</v>
      </c>
      <c r="O12" s="1013"/>
      <c r="P12" s="1013"/>
      <c r="Q12" s="1013"/>
      <c r="R12" s="1013"/>
      <c r="S12" s="1013"/>
      <c r="T12" s="1013"/>
      <c r="U12" s="1013"/>
      <c r="V12" s="1013"/>
      <c r="W12" s="1013"/>
      <c r="X12" s="1013"/>
      <c r="Y12" s="1013"/>
      <c r="Z12" s="1013"/>
      <c r="AA12" s="1013"/>
      <c r="AB12" s="1013"/>
      <c r="AC12" s="1013"/>
    </row>
    <row r="13" spans="1:29">
      <c r="H13" s="1675"/>
      <c r="I13" s="1013"/>
      <c r="J13" s="1013"/>
      <c r="K13" s="1013"/>
      <c r="L13" s="1013"/>
      <c r="M13" s="1013"/>
      <c r="N13" s="1013"/>
      <c r="O13" s="1013"/>
      <c r="P13" s="1013"/>
      <c r="Q13" s="1013"/>
      <c r="R13" s="1013"/>
      <c r="S13" s="1013"/>
      <c r="T13" s="1013"/>
      <c r="U13" s="1013"/>
      <c r="V13" s="1013"/>
      <c r="W13" s="1013"/>
      <c r="X13" s="1013"/>
      <c r="Y13" s="1013"/>
      <c r="Z13" s="1013"/>
      <c r="AA13" s="1013"/>
      <c r="AB13" s="1013"/>
      <c r="AC13" s="1013"/>
    </row>
    <row r="14" spans="1:29">
      <c r="H14" s="1675"/>
      <c r="I14" s="1013"/>
      <c r="O14" s="1013"/>
      <c r="P14" s="1013"/>
      <c r="Q14" s="1013"/>
      <c r="R14" s="1013"/>
      <c r="S14" s="1013"/>
      <c r="T14" s="1013"/>
      <c r="U14" s="1013"/>
      <c r="V14" s="1013"/>
      <c r="W14" s="1013"/>
      <c r="X14" s="1013"/>
      <c r="Y14" s="1013"/>
      <c r="Z14" s="1013"/>
      <c r="AA14" s="1013"/>
      <c r="AB14" s="1013"/>
      <c r="AC14" s="1013"/>
    </row>
    <row r="15" spans="1:29">
      <c r="I15" s="1013"/>
      <c r="O15" s="1013"/>
      <c r="P15" s="1013"/>
      <c r="Q15" s="1013"/>
      <c r="R15" s="1013"/>
      <c r="S15" s="1013"/>
      <c r="T15" s="1013"/>
      <c r="U15" s="1013"/>
      <c r="V15" s="1013"/>
      <c r="W15" s="1013"/>
      <c r="X15" s="1013"/>
      <c r="Y15" s="1013"/>
      <c r="Z15" s="1013"/>
      <c r="AA15" s="1013"/>
      <c r="AB15" s="1013"/>
      <c r="AC15" s="1013"/>
    </row>
    <row r="16" spans="1:29">
      <c r="A16" s="1270" t="str">
        <f>'Pedestrian Safety'!A27</f>
        <v>Countermeasure #2</v>
      </c>
    </row>
    <row r="17" spans="1:14">
      <c r="A17" s="1673" t="s">
        <v>826</v>
      </c>
      <c r="B17" s="1674">
        <v>2019</v>
      </c>
      <c r="C17" s="1674">
        <v>2020</v>
      </c>
      <c r="D17" s="1674">
        <v>2021</v>
      </c>
      <c r="E17" s="1674">
        <v>2022</v>
      </c>
      <c r="F17" s="1674">
        <v>2023</v>
      </c>
      <c r="G17" s="1674" t="s">
        <v>827</v>
      </c>
      <c r="H17" s="1674" t="s">
        <v>828</v>
      </c>
    </row>
    <row r="18" spans="1:14">
      <c r="A18" s="1274" t="s">
        <v>829</v>
      </c>
      <c r="B18" s="1272">
        <v>0</v>
      </c>
      <c r="C18" s="1272">
        <v>0</v>
      </c>
      <c r="D18" s="1272">
        <v>0</v>
      </c>
      <c r="E18" s="1272">
        <v>0</v>
      </c>
      <c r="F18" s="1272">
        <v>0</v>
      </c>
      <c r="G18" s="1273">
        <f t="shared" ref="G18:G24" si="6">AVERAGE(B18:F18)</f>
        <v>0</v>
      </c>
      <c r="H18" s="1273">
        <f>G18*(1-'Pedestrian Safety'!$B$20)</f>
        <v>0</v>
      </c>
    </row>
    <row r="19" spans="1:14">
      <c r="A19" s="1271" t="s">
        <v>830</v>
      </c>
      <c r="B19" s="1272">
        <v>0</v>
      </c>
      <c r="C19" s="1272">
        <v>0</v>
      </c>
      <c r="D19" s="1272">
        <v>0</v>
      </c>
      <c r="E19" s="1272">
        <v>0</v>
      </c>
      <c r="F19" s="1272">
        <v>0</v>
      </c>
      <c r="G19" s="1273">
        <f t="shared" si="6"/>
        <v>0</v>
      </c>
      <c r="H19" s="1273">
        <f>G19*(1-'Pedestrian Safety'!$B$20)</f>
        <v>0</v>
      </c>
    </row>
    <row r="20" spans="1:14">
      <c r="A20" s="1271" t="s">
        <v>831</v>
      </c>
      <c r="B20" s="1272">
        <v>0</v>
      </c>
      <c r="C20" s="1272">
        <v>0</v>
      </c>
      <c r="D20" s="1272">
        <v>0</v>
      </c>
      <c r="E20" s="1272">
        <v>0</v>
      </c>
      <c r="F20" s="1272">
        <v>0</v>
      </c>
      <c r="G20" s="1273">
        <f t="shared" si="6"/>
        <v>0</v>
      </c>
      <c r="H20" s="1273">
        <f>G20*(1-'Pedestrian Safety'!$B$20)</f>
        <v>0</v>
      </c>
    </row>
    <row r="21" spans="1:14">
      <c r="A21" s="1271" t="s">
        <v>832</v>
      </c>
      <c r="B21" s="1272">
        <v>0</v>
      </c>
      <c r="C21" s="1272">
        <v>0</v>
      </c>
      <c r="D21" s="1272">
        <v>0</v>
      </c>
      <c r="E21" s="1272">
        <v>0</v>
      </c>
      <c r="F21" s="1272">
        <v>0</v>
      </c>
      <c r="G21" s="1273">
        <f t="shared" si="6"/>
        <v>0</v>
      </c>
      <c r="H21" s="1273">
        <f>G21*(1-'Pedestrian Safety'!$B$20)</f>
        <v>0</v>
      </c>
      <c r="J21" s="1013"/>
      <c r="K21" s="1013"/>
      <c r="L21" s="1013"/>
      <c r="M21" s="1013"/>
      <c r="N21" s="1013"/>
    </row>
    <row r="22" spans="1:14">
      <c r="A22" s="1271" t="s">
        <v>833</v>
      </c>
      <c r="B22" s="1272">
        <v>0</v>
      </c>
      <c r="C22" s="1272">
        <v>0</v>
      </c>
      <c r="D22" s="1272">
        <v>0</v>
      </c>
      <c r="E22" s="1272">
        <v>0</v>
      </c>
      <c r="F22" s="1272">
        <v>0</v>
      </c>
      <c r="G22" s="1273">
        <f t="shared" si="6"/>
        <v>0</v>
      </c>
      <c r="H22" s="1273">
        <f>G22*(1-'Pedestrian Safety'!$B$20)</f>
        <v>0</v>
      </c>
    </row>
    <row r="23" spans="1:14">
      <c r="A23" s="1271" t="s">
        <v>834</v>
      </c>
      <c r="B23" s="1272">
        <v>0</v>
      </c>
      <c r="C23" s="1272">
        <v>0</v>
      </c>
      <c r="D23" s="1272">
        <v>0</v>
      </c>
      <c r="E23" s="1272">
        <v>0</v>
      </c>
      <c r="F23" s="1272">
        <v>0</v>
      </c>
      <c r="G23" s="1273">
        <f t="shared" si="6"/>
        <v>0</v>
      </c>
      <c r="H23" s="1273">
        <f>G23*(1-'Pedestrian Safety'!$B$20)</f>
        <v>0</v>
      </c>
    </row>
    <row r="24" spans="1:14">
      <c r="A24" s="1271" t="s">
        <v>835</v>
      </c>
      <c r="B24" s="1272">
        <v>0</v>
      </c>
      <c r="C24" s="1272">
        <v>0</v>
      </c>
      <c r="D24" s="1272">
        <v>0</v>
      </c>
      <c r="E24" s="1272">
        <v>0</v>
      </c>
      <c r="F24" s="1272">
        <v>0</v>
      </c>
      <c r="G24" s="1273">
        <f t="shared" si="6"/>
        <v>0</v>
      </c>
      <c r="H24" s="1273">
        <f>G24*(1-'Pedestrian Safety'!$B$20)</f>
        <v>0</v>
      </c>
    </row>
    <row r="28" spans="1:14">
      <c r="A28" s="1270" t="str">
        <f>'Pedestrian Safety'!A28</f>
        <v>Countermeasure #3</v>
      </c>
    </row>
    <row r="29" spans="1:14">
      <c r="A29" s="1673" t="s">
        <v>826</v>
      </c>
      <c r="B29" s="1674">
        <v>2019</v>
      </c>
      <c r="C29" s="1674">
        <v>2020</v>
      </c>
      <c r="D29" s="1674">
        <v>2021</v>
      </c>
      <c r="E29" s="1674">
        <v>2022</v>
      </c>
      <c r="F29" s="1674">
        <v>2023</v>
      </c>
      <c r="G29" s="1674" t="s">
        <v>827</v>
      </c>
      <c r="H29" s="1674" t="s">
        <v>828</v>
      </c>
    </row>
    <row r="30" spans="1:14">
      <c r="A30" s="1274" t="s">
        <v>829</v>
      </c>
      <c r="B30" s="1272">
        <v>0</v>
      </c>
      <c r="C30" s="1272">
        <v>0</v>
      </c>
      <c r="D30" s="1272">
        <v>0</v>
      </c>
      <c r="E30" s="1272">
        <v>0</v>
      </c>
      <c r="F30" s="1272">
        <v>0</v>
      </c>
      <c r="G30" s="1273">
        <f t="shared" ref="G30:G36" si="7">AVERAGE(B30:F30)</f>
        <v>0</v>
      </c>
      <c r="H30" s="1273">
        <f>G30*(1-'Pedestrian Safety'!$B$21)</f>
        <v>0</v>
      </c>
    </row>
    <row r="31" spans="1:14">
      <c r="A31" s="1271" t="s">
        <v>830</v>
      </c>
      <c r="B31" s="1272">
        <v>0</v>
      </c>
      <c r="C31" s="1272">
        <v>0</v>
      </c>
      <c r="D31" s="1272">
        <v>0</v>
      </c>
      <c r="E31" s="1272">
        <v>0</v>
      </c>
      <c r="F31" s="1272">
        <v>0</v>
      </c>
      <c r="G31" s="1273">
        <f t="shared" si="7"/>
        <v>0</v>
      </c>
      <c r="H31" s="1273">
        <f>G31*(1-'Pedestrian Safety'!$B$21)</f>
        <v>0</v>
      </c>
    </row>
    <row r="32" spans="1:14">
      <c r="A32" s="1271" t="s">
        <v>831</v>
      </c>
      <c r="B32" s="1272">
        <v>0</v>
      </c>
      <c r="C32" s="1272">
        <v>0</v>
      </c>
      <c r="D32" s="1272">
        <v>0</v>
      </c>
      <c r="E32" s="1272">
        <v>0</v>
      </c>
      <c r="F32" s="1272">
        <v>0</v>
      </c>
      <c r="G32" s="1273">
        <f t="shared" si="7"/>
        <v>0</v>
      </c>
      <c r="H32" s="1273">
        <f>G32*(1-'Pedestrian Safety'!$B$21)</f>
        <v>0</v>
      </c>
    </row>
    <row r="33" spans="1:8">
      <c r="A33" s="1271" t="s">
        <v>832</v>
      </c>
      <c r="B33" s="1272">
        <v>0</v>
      </c>
      <c r="C33" s="1272">
        <v>0</v>
      </c>
      <c r="D33" s="1272">
        <v>0</v>
      </c>
      <c r="E33" s="1272">
        <v>0</v>
      </c>
      <c r="F33" s="1272">
        <v>0</v>
      </c>
      <c r="G33" s="1273">
        <f t="shared" si="7"/>
        <v>0</v>
      </c>
      <c r="H33" s="1273">
        <f>G33*(1-'Pedestrian Safety'!$B$21)</f>
        <v>0</v>
      </c>
    </row>
    <row r="34" spans="1:8">
      <c r="A34" s="1271" t="s">
        <v>833</v>
      </c>
      <c r="B34" s="1272">
        <v>0</v>
      </c>
      <c r="C34" s="1272">
        <v>0</v>
      </c>
      <c r="D34" s="1272">
        <v>0</v>
      </c>
      <c r="E34" s="1272">
        <v>0</v>
      </c>
      <c r="F34" s="1272">
        <v>0</v>
      </c>
      <c r="G34" s="1273">
        <f t="shared" si="7"/>
        <v>0</v>
      </c>
      <c r="H34" s="1273">
        <f>G34*(1-'Pedestrian Safety'!$B$21)</f>
        <v>0</v>
      </c>
    </row>
    <row r="35" spans="1:8">
      <c r="A35" s="1271" t="s">
        <v>834</v>
      </c>
      <c r="B35" s="1272">
        <v>0</v>
      </c>
      <c r="C35" s="1272">
        <v>0</v>
      </c>
      <c r="D35" s="1272">
        <v>0</v>
      </c>
      <c r="E35" s="1272">
        <v>0</v>
      </c>
      <c r="F35" s="1272">
        <v>0</v>
      </c>
      <c r="G35" s="1273">
        <f t="shared" si="7"/>
        <v>0</v>
      </c>
      <c r="H35" s="1273">
        <f>G35*(1-'Pedestrian Safety'!$B$21)</f>
        <v>0</v>
      </c>
    </row>
    <row r="36" spans="1:8">
      <c r="A36" s="1271" t="s">
        <v>835</v>
      </c>
      <c r="B36" s="1272">
        <v>0</v>
      </c>
      <c r="C36" s="1272">
        <v>0</v>
      </c>
      <c r="D36" s="1272">
        <v>0</v>
      </c>
      <c r="E36" s="1272">
        <v>0</v>
      </c>
      <c r="F36" s="1272">
        <v>0</v>
      </c>
      <c r="G36" s="1273">
        <f t="shared" si="7"/>
        <v>0</v>
      </c>
      <c r="H36" s="1273">
        <f>G36*(1-'Pedestrian Safety'!$B$21)</f>
        <v>0</v>
      </c>
    </row>
    <row r="40" spans="1:8">
      <c r="A40" s="1270" t="str">
        <f>'Pedestrian Safety'!A29</f>
        <v>Countermeasure #4</v>
      </c>
    </row>
    <row r="41" spans="1:8">
      <c r="A41" s="1673" t="s">
        <v>826</v>
      </c>
      <c r="B41" s="1674">
        <v>2018</v>
      </c>
      <c r="C41" s="1674">
        <v>2019</v>
      </c>
      <c r="D41" s="1674">
        <v>2020</v>
      </c>
      <c r="E41" s="1674">
        <v>2021</v>
      </c>
      <c r="F41" s="1674">
        <v>2022</v>
      </c>
      <c r="G41" s="1674" t="s">
        <v>827</v>
      </c>
      <c r="H41" s="1674" t="s">
        <v>828</v>
      </c>
    </row>
    <row r="42" spans="1:8">
      <c r="A42" s="1274" t="s">
        <v>829</v>
      </c>
      <c r="B42" s="1272">
        <v>0</v>
      </c>
      <c r="C42" s="1272">
        <v>0</v>
      </c>
      <c r="D42" s="1272">
        <v>0</v>
      </c>
      <c r="E42" s="1272">
        <v>0</v>
      </c>
      <c r="F42" s="1272">
        <v>0</v>
      </c>
      <c r="G42" s="1273">
        <f t="shared" ref="G42:G48" si="8">AVERAGE(B42:F42)</f>
        <v>0</v>
      </c>
      <c r="H42" s="1273">
        <f>G42*(1-'Pedestrian Safety'!$B$22)</f>
        <v>0</v>
      </c>
    </row>
    <row r="43" spans="1:8">
      <c r="A43" s="1271" t="s">
        <v>830</v>
      </c>
      <c r="B43" s="1272">
        <v>0</v>
      </c>
      <c r="C43" s="1272">
        <v>0</v>
      </c>
      <c r="D43" s="1272">
        <v>0</v>
      </c>
      <c r="E43" s="1272">
        <v>0</v>
      </c>
      <c r="F43" s="1272">
        <v>0</v>
      </c>
      <c r="G43" s="1273">
        <f t="shared" si="8"/>
        <v>0</v>
      </c>
      <c r="H43" s="1273">
        <f>G43*(1-'Pedestrian Safety'!$B$22)</f>
        <v>0</v>
      </c>
    </row>
    <row r="44" spans="1:8">
      <c r="A44" s="1271" t="s">
        <v>831</v>
      </c>
      <c r="B44" s="1272">
        <v>0</v>
      </c>
      <c r="C44" s="1272">
        <v>0</v>
      </c>
      <c r="D44" s="1272">
        <v>0</v>
      </c>
      <c r="E44" s="1272">
        <v>0</v>
      </c>
      <c r="F44" s="1272">
        <v>0</v>
      </c>
      <c r="G44" s="1273">
        <f t="shared" si="8"/>
        <v>0</v>
      </c>
      <c r="H44" s="1273">
        <f>G44*(1-'Pedestrian Safety'!$B$22)</f>
        <v>0</v>
      </c>
    </row>
    <row r="45" spans="1:8">
      <c r="A45" s="1271" t="s">
        <v>832</v>
      </c>
      <c r="B45" s="1272">
        <v>0</v>
      </c>
      <c r="C45" s="1272">
        <v>0</v>
      </c>
      <c r="D45" s="1272">
        <v>0</v>
      </c>
      <c r="E45" s="1272">
        <v>0</v>
      </c>
      <c r="F45" s="1272">
        <v>0</v>
      </c>
      <c r="G45" s="1273">
        <f t="shared" si="8"/>
        <v>0</v>
      </c>
      <c r="H45" s="1273">
        <f>G45*(1-'Pedestrian Safety'!$B$22)</f>
        <v>0</v>
      </c>
    </row>
    <row r="46" spans="1:8">
      <c r="A46" s="1271" t="s">
        <v>833</v>
      </c>
      <c r="B46" s="1272">
        <v>0</v>
      </c>
      <c r="C46" s="1272">
        <v>0</v>
      </c>
      <c r="D46" s="1272">
        <v>0</v>
      </c>
      <c r="E46" s="1272">
        <v>0</v>
      </c>
      <c r="F46" s="1272">
        <v>0</v>
      </c>
      <c r="G46" s="1273">
        <f t="shared" si="8"/>
        <v>0</v>
      </c>
      <c r="H46" s="1273">
        <f>G46*(1-'Pedestrian Safety'!$B$22)</f>
        <v>0</v>
      </c>
    </row>
    <row r="47" spans="1:8">
      <c r="A47" s="1271" t="s">
        <v>834</v>
      </c>
      <c r="B47" s="1272">
        <v>0</v>
      </c>
      <c r="C47" s="1272">
        <v>0</v>
      </c>
      <c r="D47" s="1272">
        <v>0</v>
      </c>
      <c r="E47" s="1272">
        <v>0</v>
      </c>
      <c r="F47" s="1272">
        <v>0</v>
      </c>
      <c r="G47" s="1273">
        <f t="shared" si="8"/>
        <v>0</v>
      </c>
      <c r="H47" s="1273">
        <f>G47*(1-'Pedestrian Safety'!$B$22)</f>
        <v>0</v>
      </c>
    </row>
    <row r="48" spans="1:8">
      <c r="A48" s="1271" t="s">
        <v>835</v>
      </c>
      <c r="B48" s="1272">
        <v>0</v>
      </c>
      <c r="C48" s="1272">
        <v>0</v>
      </c>
      <c r="D48" s="1272">
        <v>0</v>
      </c>
      <c r="E48" s="1272">
        <v>0</v>
      </c>
      <c r="F48" s="1272">
        <v>0</v>
      </c>
      <c r="G48" s="1273">
        <f t="shared" si="8"/>
        <v>0</v>
      </c>
      <c r="H48" s="1273">
        <f>G48*(1-'Pedestrian Safety'!$B$22)</f>
        <v>0</v>
      </c>
    </row>
    <row r="50" spans="1:8" ht="82.5" customHeight="1">
      <c r="A50" s="1956"/>
      <c r="B50" s="1956"/>
      <c r="C50" s="1956"/>
      <c r="D50" s="1956"/>
      <c r="E50" s="1956"/>
      <c r="F50" s="1956"/>
      <c r="G50" s="1956"/>
      <c r="H50" s="1956"/>
    </row>
    <row r="74" spans="4:4">
      <c r="D74" s="1259">
        <v>0</v>
      </c>
    </row>
    <row r="81" s="1259" customFormat="1"/>
    <row r="82" s="1259" customFormat="1"/>
    <row r="83" s="1259" customFormat="1"/>
    <row r="84" s="1259" customFormat="1"/>
    <row r="85" s="1259" customFormat="1"/>
    <row r="86" s="1259" customFormat="1"/>
    <row r="87" s="1259" customFormat="1"/>
    <row r="88" s="1259" customFormat="1"/>
    <row r="89" s="1259" customFormat="1"/>
    <row r="90" s="1259" customFormat="1"/>
    <row r="91" s="1259" customFormat="1"/>
    <row r="92" s="1259" customFormat="1"/>
    <row r="93" s="1259" customFormat="1"/>
    <row r="94" s="1259" customFormat="1"/>
    <row r="95" s="1259" customFormat="1"/>
    <row r="96" s="1259" customFormat="1"/>
    <row r="97" s="1259" customFormat="1"/>
    <row r="98" s="1259" customFormat="1"/>
    <row r="99" s="1259" customFormat="1"/>
    <row r="100" s="1259" customFormat="1"/>
    <row r="101" s="1259" customFormat="1"/>
    <row r="102" s="1259" customFormat="1"/>
    <row r="103" s="1259" customFormat="1"/>
    <row r="104" s="1259" customFormat="1"/>
    <row r="105" s="1259" customFormat="1"/>
    <row r="106" s="1259" customFormat="1"/>
    <row r="107" s="1259" customFormat="1"/>
    <row r="108" s="1259" customFormat="1"/>
    <row r="109" s="1259" customFormat="1"/>
    <row r="110" s="1259" customFormat="1"/>
    <row r="111" s="1259" customFormat="1"/>
    <row r="112" s="1259" customFormat="1"/>
    <row r="113" s="1259" customFormat="1"/>
    <row r="114" s="1259" customFormat="1"/>
    <row r="115" s="1259" customFormat="1"/>
    <row r="116" s="1259" customFormat="1"/>
    <row r="117" s="1259" customFormat="1"/>
    <row r="118" s="1259" customFormat="1"/>
    <row r="119" s="1259" customFormat="1"/>
    <row r="120" s="1259" customFormat="1"/>
    <row r="121" s="1259" customFormat="1"/>
    <row r="122" s="1259" customFormat="1"/>
    <row r="123" s="1259" customFormat="1"/>
    <row r="124" s="1259" customFormat="1"/>
    <row r="125" s="1259" customFormat="1"/>
    <row r="126" s="1259" customFormat="1"/>
    <row r="127" s="1259" customFormat="1"/>
    <row r="128" s="1259" customFormat="1"/>
    <row r="129" s="1259" customFormat="1"/>
    <row r="130" s="1259" customFormat="1"/>
    <row r="131" s="1259" customFormat="1"/>
    <row r="132" s="1259" customFormat="1"/>
    <row r="133" s="1259" customFormat="1"/>
    <row r="134" s="1259" customFormat="1"/>
    <row r="135" s="1259" customFormat="1"/>
    <row r="136" s="1259" customFormat="1"/>
    <row r="137" s="1259" customFormat="1"/>
    <row r="138" s="1259" customFormat="1"/>
    <row r="139" s="1259" customFormat="1"/>
    <row r="140" s="1259" customFormat="1"/>
    <row r="141" s="1259" customFormat="1"/>
    <row r="142" s="1259" customFormat="1"/>
    <row r="143" s="1259" customFormat="1"/>
    <row r="144" s="1259" customFormat="1"/>
    <row r="145" s="1259" customFormat="1"/>
    <row r="146" s="1259" customFormat="1"/>
    <row r="147" s="1259" customFormat="1"/>
    <row r="148" s="1259" customFormat="1"/>
    <row r="149" s="1259" customFormat="1"/>
    <row r="150" s="1259" customFormat="1"/>
    <row r="151" s="1259" customFormat="1"/>
    <row r="152" s="1259" customFormat="1"/>
    <row r="153" s="1259" customFormat="1"/>
    <row r="154" s="1259" customFormat="1"/>
    <row r="155" s="1259" customFormat="1"/>
    <row r="156" s="1259" customFormat="1"/>
    <row r="157" s="1259" customFormat="1"/>
    <row r="158" s="1259" customFormat="1"/>
    <row r="159" s="1259" customFormat="1"/>
    <row r="160" s="1259" customFormat="1"/>
    <row r="161" s="1259" customFormat="1"/>
    <row r="162" s="1259" customFormat="1"/>
    <row r="163" s="1259" customFormat="1"/>
    <row r="164" s="1259" customFormat="1"/>
    <row r="165" s="1259" customFormat="1"/>
    <row r="166" s="1259" customFormat="1"/>
    <row r="167" s="1259" customFormat="1"/>
    <row r="168" s="1259" customFormat="1"/>
    <row r="169" s="1259" customFormat="1"/>
    <row r="170" s="1259" customFormat="1"/>
    <row r="171" s="1259" customFormat="1"/>
    <row r="172" s="1259" customFormat="1"/>
    <row r="173" s="1259" customFormat="1"/>
    <row r="174" s="1259" customFormat="1"/>
    <row r="175" s="1259" customFormat="1"/>
    <row r="176" s="1259" customFormat="1"/>
    <row r="177" s="1259" customFormat="1"/>
    <row r="178" s="1259" customFormat="1"/>
    <row r="179" s="1259" customFormat="1"/>
    <row r="180" s="1259" customFormat="1"/>
    <row r="181" s="1259" customFormat="1"/>
    <row r="182" s="1259" customFormat="1"/>
    <row r="183" s="1259" customFormat="1"/>
    <row r="184" s="1259" customFormat="1"/>
    <row r="185" s="1259" customFormat="1"/>
    <row r="186" s="1259" customFormat="1"/>
    <row r="187" s="1259" customFormat="1"/>
    <row r="188" s="1259" customFormat="1"/>
    <row r="189" s="1259" customFormat="1"/>
    <row r="190" s="1259" customFormat="1"/>
    <row r="191" s="1259" customFormat="1"/>
    <row r="192" s="1259" customFormat="1"/>
    <row r="193" s="1259" customFormat="1"/>
    <row r="194" s="1259" customFormat="1"/>
    <row r="195" s="1259" customFormat="1"/>
    <row r="196" s="1259" customFormat="1"/>
  </sheetData>
  <sheetProtection algorithmName="SHA-512" hashValue="jx4sJ7rPZaaxWWgWdfUrBzTdMaTK8d9GfDGLuguKD9q0Pno8rxaLwkyuqPGotQY9+6Fr20htl7Dp4BKFWmXu7g==" saltValue="QoM8gvWZ/b7zDs1i1WjqtQ==" spinCount="100000" sheet="1" objects="1" scenarios="1"/>
  <mergeCells count="1">
    <mergeCell ref="A50:H50"/>
  </mergeCells>
  <pageMargins left="0.25" right="0.25" top="0.75" bottom="0.75" header="0.3" footer="0.3"/>
  <pageSetup scale="19"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GL196"/>
  <sheetViews>
    <sheetView workbookViewId="0">
      <selection sqref="A1:XFD1048576"/>
    </sheetView>
  </sheetViews>
  <sheetFormatPr defaultColWidth="8.77734375" defaultRowHeight="13.2"/>
  <cols>
    <col min="1" max="1" width="28.21875" style="1013" bestFit="1" customWidth="1"/>
    <col min="2" max="2" width="13.5546875" style="1013" customWidth="1"/>
    <col min="3" max="3" width="14" style="1013" customWidth="1"/>
    <col min="4" max="4" width="14.77734375" style="1013" customWidth="1"/>
    <col min="5" max="5" width="13.77734375" style="1013" customWidth="1"/>
    <col min="6" max="6" width="20.77734375" style="1013" customWidth="1"/>
    <col min="7" max="10" width="9" style="1013" bestFit="1" customWidth="1"/>
    <col min="11" max="11" width="9.21875" style="1013" customWidth="1"/>
    <col min="12" max="17" width="9" style="1013" bestFit="1" customWidth="1"/>
    <col min="18" max="18" width="8.77734375" style="1013"/>
    <col min="19" max="19" width="9" style="1013" bestFit="1" customWidth="1"/>
    <col min="20" max="20" width="52.77734375" style="1013" bestFit="1" customWidth="1"/>
    <col min="21" max="23" width="9" style="1013" bestFit="1" customWidth="1"/>
    <col min="24" max="16384" width="8.77734375" style="1013"/>
  </cols>
  <sheetData>
    <row r="1" spans="1:194" ht="25.2" customHeight="1">
      <c r="A1" s="1009" t="s">
        <v>185</v>
      </c>
      <c r="B1" s="1143" t="s">
        <v>847</v>
      </c>
      <c r="C1" s="1263"/>
      <c r="D1" s="1264"/>
      <c r="E1" s="1264"/>
      <c r="F1" s="1011"/>
      <c r="G1" s="1029"/>
      <c r="H1" s="1029"/>
    </row>
    <row r="2" spans="1:194" ht="15.6">
      <c r="A2" s="1265" t="s">
        <v>848</v>
      </c>
      <c r="B2" s="1266"/>
      <c r="C2" s="1266"/>
      <c r="D2" s="1265"/>
    </row>
    <row r="4" spans="1:194" ht="26.4">
      <c r="A4" s="1019" t="s">
        <v>7553</v>
      </c>
      <c r="B4" s="1019" t="s">
        <v>716</v>
      </c>
      <c r="C4" s="1019" t="s">
        <v>7554</v>
      </c>
      <c r="D4" s="1019" t="s">
        <v>7555</v>
      </c>
      <c r="E4" s="1022" t="s">
        <v>7556</v>
      </c>
      <c r="F4" s="1019" t="s">
        <v>7557</v>
      </c>
      <c r="G4" s="1019" t="s">
        <v>7558</v>
      </c>
      <c r="H4" s="1019" t="s">
        <v>7559</v>
      </c>
      <c r="I4" s="1019" t="s">
        <v>7560</v>
      </c>
      <c r="J4" s="1019" t="s">
        <v>7561</v>
      </c>
      <c r="K4" s="1019" t="s">
        <v>7562</v>
      </c>
      <c r="L4" s="1019" t="s">
        <v>7563</v>
      </c>
      <c r="M4" s="1019" t="s">
        <v>7564</v>
      </c>
      <c r="N4" s="1019" t="s">
        <v>7565</v>
      </c>
      <c r="O4" s="1019" t="s">
        <v>7566</v>
      </c>
      <c r="P4" s="1019" t="s">
        <v>7567</v>
      </c>
      <c r="Q4" s="1019" t="s">
        <v>7568</v>
      </c>
      <c r="R4" s="1019" t="s">
        <v>7569</v>
      </c>
      <c r="S4" s="1019" t="s">
        <v>7570</v>
      </c>
      <c r="T4" s="1020" t="s">
        <v>7571</v>
      </c>
      <c r="U4" s="1020" t="s">
        <v>7572</v>
      </c>
      <c r="V4" s="1020" t="s">
        <v>7573</v>
      </c>
      <c r="W4" s="1020" t="s">
        <v>7574</v>
      </c>
      <c r="X4" s="1019" t="s">
        <v>7575</v>
      </c>
      <c r="Y4" s="1019" t="s">
        <v>7576</v>
      </c>
      <c r="Z4" s="1019" t="s">
        <v>7577</v>
      </c>
      <c r="AA4" s="1019" t="s">
        <v>7578</v>
      </c>
      <c r="AB4" s="1013" t="s">
        <v>7579</v>
      </c>
      <c r="AC4" s="1013" t="s">
        <v>7580</v>
      </c>
      <c r="AD4" s="1013" t="s">
        <v>7581</v>
      </c>
      <c r="AE4" s="1013" t="s">
        <v>7582</v>
      </c>
      <c r="AF4" s="1013" t="s">
        <v>7583</v>
      </c>
      <c r="AG4" s="1013" t="s">
        <v>7584</v>
      </c>
      <c r="AH4" s="1013" t="s">
        <v>7585</v>
      </c>
      <c r="AI4" s="1013" t="s">
        <v>7586</v>
      </c>
      <c r="AJ4" s="1013" t="s">
        <v>7587</v>
      </c>
      <c r="AK4" s="1013" t="s">
        <v>7588</v>
      </c>
      <c r="AL4" s="1013" t="s">
        <v>7589</v>
      </c>
      <c r="AM4" s="1013" t="s">
        <v>7590</v>
      </c>
      <c r="AN4" s="1013" t="s">
        <v>7591</v>
      </c>
      <c r="AO4" s="1013" t="s">
        <v>7592</v>
      </c>
      <c r="AP4" s="1013" t="s">
        <v>7593</v>
      </c>
      <c r="AQ4" s="1013" t="s">
        <v>7594</v>
      </c>
      <c r="AR4" s="1013" t="s">
        <v>7595</v>
      </c>
      <c r="AS4" s="1013" t="s">
        <v>7596</v>
      </c>
      <c r="AT4" s="1013" t="s">
        <v>7597</v>
      </c>
      <c r="AU4" s="1013" t="s">
        <v>7598</v>
      </c>
      <c r="AV4" s="1013" t="s">
        <v>7599</v>
      </c>
      <c r="AW4" s="1013" t="s">
        <v>7600</v>
      </c>
      <c r="AX4" s="1013" t="s">
        <v>7601</v>
      </c>
      <c r="AY4" s="1013" t="s">
        <v>7602</v>
      </c>
      <c r="AZ4" s="1013" t="s">
        <v>7603</v>
      </c>
      <c r="BA4" s="1013" t="s">
        <v>7604</v>
      </c>
      <c r="BB4" s="1013" t="s">
        <v>7605</v>
      </c>
      <c r="BC4" s="1013" t="s">
        <v>7606</v>
      </c>
      <c r="BD4" s="1013" t="s">
        <v>7607</v>
      </c>
      <c r="BE4" s="1013" t="s">
        <v>7608</v>
      </c>
      <c r="BF4" s="1013" t="s">
        <v>7609</v>
      </c>
      <c r="BG4" s="1013" t="s">
        <v>7610</v>
      </c>
      <c r="BH4" s="1013" t="s">
        <v>7611</v>
      </c>
      <c r="BI4" s="1013" t="s">
        <v>7612</v>
      </c>
      <c r="BJ4" s="1013" t="s">
        <v>7613</v>
      </c>
      <c r="BK4" s="1013" t="s">
        <v>7614</v>
      </c>
      <c r="BL4" s="1013" t="s">
        <v>7615</v>
      </c>
      <c r="BM4" s="1013" t="s">
        <v>7616</v>
      </c>
      <c r="BN4" s="1013" t="s">
        <v>7617</v>
      </c>
      <c r="BO4" s="1013" t="s">
        <v>7618</v>
      </c>
      <c r="BP4" s="1013" t="s">
        <v>7619</v>
      </c>
      <c r="BQ4" s="1013" t="s">
        <v>7620</v>
      </c>
      <c r="BR4" s="1013" t="s">
        <v>7621</v>
      </c>
      <c r="BS4" s="1013" t="s">
        <v>7622</v>
      </c>
      <c r="BT4" s="1013" t="s">
        <v>7623</v>
      </c>
      <c r="BU4" s="1013" t="s">
        <v>7624</v>
      </c>
      <c r="BV4" s="1013" t="s">
        <v>7625</v>
      </c>
      <c r="BW4" s="1013" t="s">
        <v>7626</v>
      </c>
      <c r="BX4" s="1013" t="s">
        <v>7627</v>
      </c>
      <c r="BY4" s="1013" t="s">
        <v>7628</v>
      </c>
      <c r="BZ4" s="1013" t="s">
        <v>7629</v>
      </c>
      <c r="CA4" s="1013" t="s">
        <v>7630</v>
      </c>
      <c r="CB4" s="1013" t="s">
        <v>7631</v>
      </c>
      <c r="CC4" s="1013" t="s">
        <v>7632</v>
      </c>
      <c r="CD4" s="1013" t="s">
        <v>7633</v>
      </c>
      <c r="CE4" s="1013" t="s">
        <v>7634</v>
      </c>
      <c r="CF4" s="1013" t="s">
        <v>7635</v>
      </c>
      <c r="CG4" s="1013" t="s">
        <v>7636</v>
      </c>
      <c r="CH4" s="1013" t="s">
        <v>7637</v>
      </c>
      <c r="CI4" s="1013" t="s">
        <v>7638</v>
      </c>
      <c r="CJ4" s="1013" t="s">
        <v>7639</v>
      </c>
      <c r="CK4" s="1013" t="s">
        <v>7640</v>
      </c>
      <c r="CL4" s="1013" t="s">
        <v>7641</v>
      </c>
      <c r="CM4" s="1013" t="s">
        <v>7642</v>
      </c>
      <c r="CN4" s="1013" t="s">
        <v>7643</v>
      </c>
      <c r="CO4" s="1013" t="s">
        <v>7644</v>
      </c>
      <c r="CP4" s="1013" t="s">
        <v>7645</v>
      </c>
      <c r="CQ4" s="1013" t="s">
        <v>7646</v>
      </c>
      <c r="CR4" s="1013" t="s">
        <v>7647</v>
      </c>
      <c r="CS4" s="1013" t="s">
        <v>7648</v>
      </c>
      <c r="CT4" s="1013" t="s">
        <v>7649</v>
      </c>
      <c r="CU4" s="1013" t="s">
        <v>7650</v>
      </c>
      <c r="CV4" s="1013" t="s">
        <v>7651</v>
      </c>
      <c r="CW4" s="1013" t="s">
        <v>7652</v>
      </c>
      <c r="CX4" s="1013" t="s">
        <v>7653</v>
      </c>
      <c r="CY4" s="1013" t="s">
        <v>7654</v>
      </c>
      <c r="CZ4" s="1013" t="s">
        <v>7655</v>
      </c>
      <c r="DA4" s="1013" t="s">
        <v>7656</v>
      </c>
      <c r="DB4" s="1013" t="s">
        <v>7657</v>
      </c>
      <c r="DC4" s="1013" t="s">
        <v>7658</v>
      </c>
      <c r="DD4" s="1013" t="s">
        <v>7659</v>
      </c>
      <c r="DE4" s="1013" t="s">
        <v>7660</v>
      </c>
      <c r="DF4" s="1013" t="s">
        <v>7661</v>
      </c>
      <c r="DG4" s="1013" t="s">
        <v>7662</v>
      </c>
      <c r="DH4" s="1013" t="s">
        <v>7663</v>
      </c>
      <c r="DI4" s="1013" t="s">
        <v>7664</v>
      </c>
      <c r="DJ4" s="1013" t="s">
        <v>7665</v>
      </c>
      <c r="DK4" s="1013" t="s">
        <v>7666</v>
      </c>
      <c r="DL4" s="1013" t="s">
        <v>7667</v>
      </c>
      <c r="DM4" s="1013" t="s">
        <v>7668</v>
      </c>
      <c r="DN4" s="1013" t="s">
        <v>7669</v>
      </c>
      <c r="DO4" s="1013" t="s">
        <v>7670</v>
      </c>
      <c r="DP4" s="1013" t="s">
        <v>7671</v>
      </c>
      <c r="DQ4" s="1013" t="s">
        <v>7672</v>
      </c>
      <c r="DR4" s="1013" t="s">
        <v>7673</v>
      </c>
      <c r="DS4" s="1013" t="s">
        <v>7674</v>
      </c>
      <c r="DT4" s="1013" t="s">
        <v>7675</v>
      </c>
      <c r="DU4" s="1013" t="s">
        <v>7676</v>
      </c>
      <c r="DV4" s="1013" t="s">
        <v>7677</v>
      </c>
      <c r="DW4" s="1013" t="s">
        <v>7678</v>
      </c>
      <c r="DX4" s="1013" t="s">
        <v>7679</v>
      </c>
      <c r="DY4" s="1013" t="s">
        <v>7680</v>
      </c>
      <c r="DZ4" s="1013" t="s">
        <v>7681</v>
      </c>
      <c r="EA4" s="1013" t="s">
        <v>7682</v>
      </c>
      <c r="EB4" s="1013" t="s">
        <v>7683</v>
      </c>
      <c r="EC4" s="1013" t="s">
        <v>7684</v>
      </c>
      <c r="ED4" s="1013" t="s">
        <v>7685</v>
      </c>
      <c r="EE4" s="1013" t="s">
        <v>7686</v>
      </c>
      <c r="EF4" s="1013" t="s">
        <v>7687</v>
      </c>
      <c r="EG4" s="1013" t="s">
        <v>7688</v>
      </c>
      <c r="EH4" s="1013" t="s">
        <v>7689</v>
      </c>
      <c r="EI4" s="1013" t="s">
        <v>7690</v>
      </c>
      <c r="EJ4" s="1013" t="s">
        <v>7691</v>
      </c>
      <c r="EK4" s="1013" t="s">
        <v>7692</v>
      </c>
      <c r="EL4" s="1013" t="s">
        <v>7693</v>
      </c>
      <c r="EM4" s="1013" t="s">
        <v>7694</v>
      </c>
      <c r="EN4" s="1013" t="s">
        <v>7695</v>
      </c>
      <c r="EO4" s="1013" t="s">
        <v>7696</v>
      </c>
      <c r="EP4" s="1013" t="s">
        <v>7697</v>
      </c>
      <c r="EQ4" s="1013" t="s">
        <v>7698</v>
      </c>
      <c r="ER4" s="1013" t="s">
        <v>7699</v>
      </c>
      <c r="ES4" s="1013" t="s">
        <v>7700</v>
      </c>
      <c r="ET4" s="1013" t="s">
        <v>7701</v>
      </c>
      <c r="EU4" s="1013" t="s">
        <v>7702</v>
      </c>
      <c r="EV4" s="1013" t="s">
        <v>7703</v>
      </c>
      <c r="EW4" s="1013" t="s">
        <v>7704</v>
      </c>
      <c r="EX4" s="1013" t="s">
        <v>7705</v>
      </c>
      <c r="EY4" s="1013" t="s">
        <v>7706</v>
      </c>
      <c r="EZ4" s="1013" t="s">
        <v>7707</v>
      </c>
      <c r="FA4" s="1013" t="s">
        <v>7708</v>
      </c>
      <c r="FB4" s="1013" t="s">
        <v>7709</v>
      </c>
      <c r="FC4" s="1013" t="s">
        <v>7710</v>
      </c>
      <c r="FD4" s="1013" t="s">
        <v>7711</v>
      </c>
      <c r="FE4" s="1013" t="s">
        <v>7712</v>
      </c>
      <c r="FF4" s="1013" t="s">
        <v>7713</v>
      </c>
      <c r="FG4" s="1013" t="s">
        <v>7714</v>
      </c>
      <c r="FH4" s="1013" t="s">
        <v>832</v>
      </c>
      <c r="FI4" s="1013" t="s">
        <v>831</v>
      </c>
      <c r="FJ4" s="1013" t="s">
        <v>830</v>
      </c>
      <c r="FK4" s="1013" t="s">
        <v>835</v>
      </c>
      <c r="FL4" s="1013" t="s">
        <v>7715</v>
      </c>
      <c r="FM4" s="1013" t="s">
        <v>834</v>
      </c>
      <c r="FN4" s="1013" t="s">
        <v>7716</v>
      </c>
      <c r="FO4" s="1013" t="s">
        <v>7717</v>
      </c>
      <c r="FP4" s="1013" t="s">
        <v>7718</v>
      </c>
      <c r="FQ4" s="1013" t="s">
        <v>7719</v>
      </c>
      <c r="FR4" s="1013" t="s">
        <v>7954</v>
      </c>
      <c r="FS4" s="1013" t="s">
        <v>7955</v>
      </c>
      <c r="FT4" s="1013" t="s">
        <v>7956</v>
      </c>
      <c r="FU4" s="1013" t="s">
        <v>7957</v>
      </c>
      <c r="FV4" s="1013" t="s">
        <v>7958</v>
      </c>
      <c r="FW4" s="1013" t="s">
        <v>7959</v>
      </c>
      <c r="FX4" s="1013" t="s">
        <v>7960</v>
      </c>
      <c r="FY4" s="1013" t="s">
        <v>7961</v>
      </c>
      <c r="FZ4" s="1013" t="s">
        <v>7962</v>
      </c>
      <c r="GA4" s="1013" t="s">
        <v>7963</v>
      </c>
      <c r="GB4" s="1013" t="s">
        <v>7964</v>
      </c>
      <c r="GC4" s="1013" t="s">
        <v>7721</v>
      </c>
      <c r="GD4" s="1013" t="s">
        <v>7720</v>
      </c>
      <c r="GE4" s="1013" t="s">
        <v>7965</v>
      </c>
      <c r="GF4" s="1013" t="s">
        <v>7966</v>
      </c>
      <c r="GG4" s="1013" t="s">
        <v>7967</v>
      </c>
      <c r="GH4" s="1013" t="s">
        <v>7968</v>
      </c>
      <c r="GI4" s="1013" t="s">
        <v>7969</v>
      </c>
      <c r="GJ4" s="1013" t="s">
        <v>7970</v>
      </c>
      <c r="GK4" s="1013" t="s">
        <v>7971</v>
      </c>
      <c r="GL4" s="1013" t="s">
        <v>7972</v>
      </c>
    </row>
    <row r="5" spans="1:194">
      <c r="A5" s="1019">
        <v>154</v>
      </c>
      <c r="B5" s="1019" t="s">
        <v>7722</v>
      </c>
      <c r="C5" s="1019">
        <v>19876548</v>
      </c>
      <c r="D5" s="1019" t="s">
        <v>7723</v>
      </c>
      <c r="E5" s="1022" t="s">
        <v>7723</v>
      </c>
      <c r="F5" s="1019" t="s">
        <v>7723</v>
      </c>
      <c r="G5" s="1019" t="s">
        <v>7723</v>
      </c>
      <c r="H5" s="1019" t="s">
        <v>7723</v>
      </c>
      <c r="I5" s="1019" t="s">
        <v>7723</v>
      </c>
      <c r="J5" s="1019" t="s">
        <v>7723</v>
      </c>
      <c r="K5" s="1019">
        <v>45244</v>
      </c>
      <c r="L5" s="1019">
        <v>0.72569444444444442</v>
      </c>
      <c r="M5" s="1019" t="s">
        <v>7996</v>
      </c>
      <c r="N5" s="1019" t="s">
        <v>7724</v>
      </c>
      <c r="O5" s="1019">
        <v>101</v>
      </c>
      <c r="P5" s="1019">
        <v>208</v>
      </c>
      <c r="Q5" s="1019" t="s">
        <v>7723</v>
      </c>
      <c r="R5" s="1019" t="s">
        <v>7727</v>
      </c>
      <c r="S5" s="1019" t="s">
        <v>7724</v>
      </c>
      <c r="T5" s="1020" t="s">
        <v>7724</v>
      </c>
      <c r="U5" s="1020">
        <v>19</v>
      </c>
      <c r="V5" s="1020" t="s">
        <v>7724</v>
      </c>
      <c r="W5" s="1020" t="s">
        <v>7724</v>
      </c>
      <c r="X5" s="1019">
        <v>1</v>
      </c>
      <c r="Y5" s="1019">
        <v>4399</v>
      </c>
      <c r="Z5" s="1019" t="s">
        <v>7724</v>
      </c>
      <c r="AA5" s="1019" t="s">
        <v>7728</v>
      </c>
      <c r="AB5" s="1013" t="s">
        <v>7724</v>
      </c>
      <c r="AC5" s="1013" t="s">
        <v>7723</v>
      </c>
      <c r="AD5" s="1013" t="s">
        <v>7723</v>
      </c>
      <c r="AE5" s="1013">
        <v>35</v>
      </c>
      <c r="AF5" s="1013" t="s">
        <v>7723</v>
      </c>
      <c r="AG5" s="1013" t="s">
        <v>7723</v>
      </c>
      <c r="AH5" s="1013" t="s">
        <v>7766</v>
      </c>
      <c r="AI5" s="1013" t="s">
        <v>7727</v>
      </c>
      <c r="AJ5" s="1013">
        <v>19</v>
      </c>
      <c r="AK5" s="1013" t="s">
        <v>7724</v>
      </c>
      <c r="AL5" s="1013" t="s">
        <v>7724</v>
      </c>
      <c r="AM5" s="1013">
        <v>1</v>
      </c>
      <c r="AN5" s="1013">
        <v>1199</v>
      </c>
      <c r="AO5" s="1013" t="s">
        <v>7724</v>
      </c>
      <c r="AP5" s="1013" t="s">
        <v>7725</v>
      </c>
      <c r="AQ5" s="1013" t="s">
        <v>7726</v>
      </c>
      <c r="AR5" s="1013" t="s">
        <v>7724</v>
      </c>
      <c r="AS5" s="1013" t="s">
        <v>7724</v>
      </c>
      <c r="AT5" s="1013" t="s">
        <v>7724</v>
      </c>
      <c r="AU5" s="1013" t="s">
        <v>7724</v>
      </c>
      <c r="AV5" s="1013" t="s">
        <v>7766</v>
      </c>
      <c r="AW5" s="1013" t="s">
        <v>7724</v>
      </c>
      <c r="AX5" s="1013">
        <v>12</v>
      </c>
      <c r="AY5" s="1013">
        <v>1</v>
      </c>
      <c r="AZ5" s="1013">
        <v>4</v>
      </c>
      <c r="BA5" s="1013">
        <v>4</v>
      </c>
      <c r="BB5" s="1013">
        <v>1</v>
      </c>
      <c r="BC5" s="1013">
        <v>1</v>
      </c>
      <c r="BD5" s="1013">
        <v>20</v>
      </c>
      <c r="BE5" s="1023">
        <v>0.72847222222222219</v>
      </c>
      <c r="BF5" s="1013" t="s">
        <v>7736</v>
      </c>
      <c r="BG5" s="1023">
        <v>0.72986111111111107</v>
      </c>
      <c r="BH5" s="1024">
        <v>45244</v>
      </c>
      <c r="BI5" s="1013" t="s">
        <v>7727</v>
      </c>
      <c r="BJ5" s="1013" t="s">
        <v>7730</v>
      </c>
      <c r="BK5" s="1013">
        <v>2469</v>
      </c>
      <c r="BL5" s="1013" t="s">
        <v>7724</v>
      </c>
      <c r="BM5" s="1013" t="s">
        <v>7724</v>
      </c>
      <c r="BN5" s="1013">
        <v>113</v>
      </c>
      <c r="BO5" s="1013">
        <v>8</v>
      </c>
      <c r="BP5" s="1013">
        <v>1</v>
      </c>
      <c r="BQ5" s="1013">
        <v>2</v>
      </c>
      <c r="BR5" s="1013">
        <v>1</v>
      </c>
      <c r="BS5" s="1013">
        <v>64</v>
      </c>
      <c r="BT5" s="1013">
        <v>54</v>
      </c>
      <c r="BU5" s="1013">
        <v>1</v>
      </c>
      <c r="BV5" s="1013">
        <v>5</v>
      </c>
      <c r="BW5" s="1013">
        <v>1</v>
      </c>
      <c r="BX5" s="1013">
        <v>21</v>
      </c>
      <c r="BY5" s="1013">
        <v>21</v>
      </c>
      <c r="BZ5" s="1013">
        <v>101</v>
      </c>
      <c r="CA5" s="1013">
        <v>208</v>
      </c>
      <c r="CB5" s="1013">
        <v>29.733094999999999</v>
      </c>
      <c r="CC5" s="1013">
        <v>-95.381282999999996</v>
      </c>
      <c r="CD5" s="1013" t="s">
        <v>7724</v>
      </c>
      <c r="CE5" s="1013" t="s">
        <v>7724</v>
      </c>
      <c r="CF5" s="1013" t="s">
        <v>7724</v>
      </c>
      <c r="CG5" s="1013" t="s">
        <v>7724</v>
      </c>
      <c r="CH5" s="1013" t="s">
        <v>7732</v>
      </c>
      <c r="CI5" s="1013">
        <v>4399</v>
      </c>
      <c r="CJ5" s="1013" t="s">
        <v>7724</v>
      </c>
      <c r="CK5" s="1013" t="s">
        <v>7724</v>
      </c>
      <c r="CL5" s="1013" t="s">
        <v>7724</v>
      </c>
      <c r="CM5" s="1013" t="s">
        <v>7724</v>
      </c>
      <c r="CN5" s="1013" t="s">
        <v>7724</v>
      </c>
      <c r="CO5" s="1013" t="s">
        <v>7724</v>
      </c>
      <c r="CP5" s="1013" t="s">
        <v>7724</v>
      </c>
      <c r="CQ5" s="1013" t="s">
        <v>7724</v>
      </c>
      <c r="CR5" s="1013" t="s">
        <v>7731</v>
      </c>
      <c r="CS5" s="1013" t="s">
        <v>7724</v>
      </c>
      <c r="CT5" s="1013" t="s">
        <v>7724</v>
      </c>
      <c r="CU5" s="1013" t="s">
        <v>7724</v>
      </c>
      <c r="CV5" s="1013" t="s">
        <v>7724</v>
      </c>
      <c r="CW5" s="1013" t="s">
        <v>7727</v>
      </c>
      <c r="CX5" s="1013" t="s">
        <v>7723</v>
      </c>
      <c r="CY5" s="1013" t="s">
        <v>7723</v>
      </c>
      <c r="CZ5" s="1013">
        <v>2</v>
      </c>
      <c r="DA5" s="1013">
        <v>9</v>
      </c>
      <c r="DB5" s="1013" t="s">
        <v>7727</v>
      </c>
      <c r="DC5" s="1013" t="s">
        <v>7737</v>
      </c>
      <c r="DD5" s="1013" t="s">
        <v>7724</v>
      </c>
      <c r="DE5" s="1013" t="s">
        <v>7724</v>
      </c>
      <c r="DF5" s="1013" t="s">
        <v>7724</v>
      </c>
      <c r="DG5" s="1013" t="s">
        <v>7724</v>
      </c>
      <c r="DH5" s="1013" t="s">
        <v>7724</v>
      </c>
      <c r="DI5" s="1013" t="s">
        <v>7724</v>
      </c>
      <c r="DJ5" s="1013" t="s">
        <v>7724</v>
      </c>
      <c r="DK5" s="1013" t="s">
        <v>7724</v>
      </c>
      <c r="DL5" s="1013" t="s">
        <v>7724</v>
      </c>
      <c r="DM5" s="1013" t="s">
        <v>7724</v>
      </c>
      <c r="DN5" s="1013" t="s">
        <v>7724</v>
      </c>
      <c r="DO5" s="1013" t="s">
        <v>7724</v>
      </c>
      <c r="DP5" s="1013" t="s">
        <v>7724</v>
      </c>
      <c r="DQ5" s="1013" t="s">
        <v>7724</v>
      </c>
      <c r="DR5" s="1013" t="s">
        <v>7724</v>
      </c>
      <c r="DS5" s="1013" t="s">
        <v>7724</v>
      </c>
      <c r="DT5" s="1013" t="s">
        <v>7724</v>
      </c>
      <c r="DU5" s="1013" t="s">
        <v>7724</v>
      </c>
      <c r="DV5" s="1013" t="s">
        <v>7724</v>
      </c>
      <c r="DW5" s="1013" t="s">
        <v>7724</v>
      </c>
      <c r="DX5" s="1013" t="s">
        <v>7724</v>
      </c>
      <c r="DY5" s="1013" t="s">
        <v>7724</v>
      </c>
      <c r="DZ5" s="1013" t="s">
        <v>7724</v>
      </c>
      <c r="EA5" s="1013" t="s">
        <v>7724</v>
      </c>
      <c r="EB5" s="1013" t="s">
        <v>7724</v>
      </c>
      <c r="EC5" s="1013" t="s">
        <v>7724</v>
      </c>
      <c r="ED5" s="1013" t="s">
        <v>7724</v>
      </c>
      <c r="EE5" s="1013" t="s">
        <v>7724</v>
      </c>
      <c r="EF5" s="1013" t="s">
        <v>7724</v>
      </c>
      <c r="EG5" s="1013" t="s">
        <v>7724</v>
      </c>
      <c r="EH5" s="1013" t="s">
        <v>7724</v>
      </c>
      <c r="EI5" s="1013" t="s">
        <v>7724</v>
      </c>
      <c r="EJ5" s="1013" t="s">
        <v>7724</v>
      </c>
      <c r="EK5" s="1013" t="s">
        <v>7724</v>
      </c>
      <c r="EL5" s="1013" t="s">
        <v>7724</v>
      </c>
      <c r="EM5" s="1013" t="s">
        <v>7724</v>
      </c>
      <c r="EN5" s="1013" t="s">
        <v>7724</v>
      </c>
      <c r="EO5" s="1013" t="s">
        <v>7724</v>
      </c>
      <c r="EP5" s="1013" t="s">
        <v>7724</v>
      </c>
      <c r="EQ5" s="1013" t="s">
        <v>7724</v>
      </c>
      <c r="ER5" s="1013" t="s">
        <v>7724</v>
      </c>
      <c r="ES5" s="1013" t="s">
        <v>7724</v>
      </c>
      <c r="ET5" s="1013" t="s">
        <v>7724</v>
      </c>
      <c r="EU5" s="1013" t="s">
        <v>7724</v>
      </c>
      <c r="EV5" s="1013" t="s">
        <v>7724</v>
      </c>
      <c r="EW5" s="1013" t="s">
        <v>7724</v>
      </c>
      <c r="EX5" s="1013" t="s">
        <v>7724</v>
      </c>
      <c r="EY5" s="1013" t="s">
        <v>7724</v>
      </c>
      <c r="EZ5" s="1013" t="s">
        <v>7724</v>
      </c>
      <c r="FA5" s="1013" t="s">
        <v>7724</v>
      </c>
      <c r="FB5" s="1013" t="s">
        <v>7724</v>
      </c>
      <c r="FC5" s="1013" t="s">
        <v>7724</v>
      </c>
      <c r="FD5" s="1013" t="s">
        <v>7724</v>
      </c>
      <c r="FE5" s="1013" t="s">
        <v>7724</v>
      </c>
      <c r="FF5" s="1013" t="s">
        <v>7724</v>
      </c>
      <c r="FG5" s="1013">
        <v>0</v>
      </c>
      <c r="FH5" s="1013">
        <v>1</v>
      </c>
      <c r="FI5" s="1013">
        <v>0</v>
      </c>
      <c r="FJ5" s="1013">
        <v>1</v>
      </c>
      <c r="FK5" s="1013">
        <v>0</v>
      </c>
      <c r="FL5" s="1013">
        <v>1</v>
      </c>
      <c r="FM5" s="1013">
        <v>0</v>
      </c>
      <c r="FN5" s="1013">
        <v>15</v>
      </c>
      <c r="FO5" s="1013">
        <v>29</v>
      </c>
      <c r="FP5" s="1013">
        <v>6</v>
      </c>
      <c r="FQ5" s="1013" t="s">
        <v>7724</v>
      </c>
      <c r="FR5" s="1013" t="s">
        <v>7724</v>
      </c>
      <c r="FS5" s="1013" t="s">
        <v>7724</v>
      </c>
      <c r="FT5" s="1013" t="s">
        <v>7723</v>
      </c>
      <c r="FU5" s="1013" t="s">
        <v>7790</v>
      </c>
      <c r="FV5" s="1013">
        <v>35</v>
      </c>
      <c r="FW5" s="1023">
        <v>0.76388888888888884</v>
      </c>
      <c r="FX5" s="1023">
        <v>0.76388888888888884</v>
      </c>
      <c r="FY5" s="1024">
        <v>45244</v>
      </c>
      <c r="FZ5" s="1024">
        <v>45244</v>
      </c>
      <c r="GA5" s="1024">
        <v>45244</v>
      </c>
      <c r="GB5" s="1024">
        <v>45244</v>
      </c>
      <c r="GC5" s="1013">
        <v>2023</v>
      </c>
      <c r="GD5" s="1013" t="s">
        <v>1407</v>
      </c>
      <c r="GE5" s="1013">
        <v>2</v>
      </c>
      <c r="GF5" s="1013" t="s">
        <v>1404</v>
      </c>
      <c r="GG5" s="1013" t="s">
        <v>1407</v>
      </c>
      <c r="GH5" s="1013" t="s">
        <v>7997</v>
      </c>
      <c r="GI5" s="1013" t="s">
        <v>7974</v>
      </c>
      <c r="GJ5" s="1013" t="s">
        <v>7974</v>
      </c>
      <c r="GK5" s="1013" t="s">
        <v>7974</v>
      </c>
      <c r="GL5" s="1013" t="s">
        <v>7974</v>
      </c>
    </row>
    <row r="6" spans="1:194">
      <c r="A6" s="1019">
        <v>61</v>
      </c>
      <c r="B6" s="1019" t="s">
        <v>7722</v>
      </c>
      <c r="C6" s="1019">
        <v>17862015</v>
      </c>
      <c r="D6" s="1019" t="s">
        <v>7723</v>
      </c>
      <c r="E6" s="1022" t="s">
        <v>7723</v>
      </c>
      <c r="F6" s="1019" t="s">
        <v>7723</v>
      </c>
      <c r="G6" s="1019" t="s">
        <v>7723</v>
      </c>
      <c r="H6" s="1019" t="s">
        <v>7723</v>
      </c>
      <c r="I6" s="1019" t="s">
        <v>7727</v>
      </c>
      <c r="J6" s="1019" t="s">
        <v>7723</v>
      </c>
      <c r="K6" s="1019">
        <v>44081</v>
      </c>
      <c r="L6" s="1019">
        <v>0.96527777777777779</v>
      </c>
      <c r="M6" s="1019" t="s">
        <v>7742</v>
      </c>
      <c r="N6" s="1019" t="s">
        <v>7734</v>
      </c>
      <c r="O6" s="1019">
        <v>101</v>
      </c>
      <c r="P6" s="1019">
        <v>208</v>
      </c>
      <c r="Q6" s="1019" t="s">
        <v>7723</v>
      </c>
      <c r="R6" s="1019" t="s">
        <v>7727</v>
      </c>
      <c r="S6" s="1019" t="s">
        <v>7724</v>
      </c>
      <c r="T6" s="1020" t="s">
        <v>7724</v>
      </c>
      <c r="U6" s="1020">
        <v>19</v>
      </c>
      <c r="V6" s="1020" t="s">
        <v>7724</v>
      </c>
      <c r="W6" s="1020" t="s">
        <v>7724</v>
      </c>
      <c r="X6" s="1019">
        <v>1</v>
      </c>
      <c r="Y6" s="1019">
        <v>4400</v>
      </c>
      <c r="Z6" s="1019" t="s">
        <v>7724</v>
      </c>
      <c r="AA6" s="1019" t="s">
        <v>7728</v>
      </c>
      <c r="AB6" s="1013" t="s">
        <v>7724</v>
      </c>
      <c r="AC6" s="1013" t="s">
        <v>7723</v>
      </c>
      <c r="AD6" s="1013" t="s">
        <v>7723</v>
      </c>
      <c r="AE6" s="1013">
        <v>35</v>
      </c>
      <c r="AF6" s="1013" t="s">
        <v>7723</v>
      </c>
      <c r="AG6" s="1013" t="s">
        <v>7723</v>
      </c>
      <c r="AH6" s="1013" t="s">
        <v>7739</v>
      </c>
      <c r="AI6" s="1013" t="s">
        <v>7727</v>
      </c>
      <c r="AJ6" s="1013">
        <v>19</v>
      </c>
      <c r="AK6" s="1013" t="s">
        <v>7724</v>
      </c>
      <c r="AL6" s="1013" t="s">
        <v>7724</v>
      </c>
      <c r="AM6" s="1013">
        <v>1</v>
      </c>
      <c r="AN6" s="1013">
        <v>1100</v>
      </c>
      <c r="AO6" s="1013" t="s">
        <v>7724</v>
      </c>
      <c r="AP6" s="1013" t="s">
        <v>7725</v>
      </c>
      <c r="AQ6" s="1013" t="s">
        <v>7724</v>
      </c>
      <c r="AR6" s="1013" t="s">
        <v>7724</v>
      </c>
      <c r="AS6" s="1013" t="s">
        <v>7724</v>
      </c>
      <c r="AT6" s="1013" t="s">
        <v>7724</v>
      </c>
      <c r="AU6" s="1013" t="s">
        <v>7724</v>
      </c>
      <c r="AV6" s="1013" t="s">
        <v>7724</v>
      </c>
      <c r="AW6" s="1013" t="s">
        <v>7724</v>
      </c>
      <c r="AX6" s="1013">
        <v>11</v>
      </c>
      <c r="AY6" s="1013">
        <v>4</v>
      </c>
      <c r="AZ6" s="1013">
        <v>2</v>
      </c>
      <c r="BA6" s="1013">
        <v>4</v>
      </c>
      <c r="BB6" s="1013">
        <v>1</v>
      </c>
      <c r="BC6" s="1013">
        <v>1</v>
      </c>
      <c r="BD6" s="1013">
        <v>15</v>
      </c>
      <c r="BE6" s="1023">
        <v>0.97222222222222221</v>
      </c>
      <c r="BF6" s="1013" t="s">
        <v>7736</v>
      </c>
      <c r="BG6" s="1023">
        <v>0.97638888888888886</v>
      </c>
      <c r="BH6" s="1024">
        <v>44098</v>
      </c>
      <c r="BI6" s="1013" t="s">
        <v>7727</v>
      </c>
      <c r="BJ6" s="1013" t="s">
        <v>7730</v>
      </c>
      <c r="BK6" s="1013">
        <v>2469</v>
      </c>
      <c r="BL6" s="1013" t="s">
        <v>7724</v>
      </c>
      <c r="BM6" s="1013" t="s">
        <v>7724</v>
      </c>
      <c r="BN6" s="1013">
        <v>113</v>
      </c>
      <c r="BO6" s="1013">
        <v>8</v>
      </c>
      <c r="BP6" s="1013">
        <v>1</v>
      </c>
      <c r="BQ6" s="1013">
        <v>2</v>
      </c>
      <c r="BR6" s="1013">
        <v>1</v>
      </c>
      <c r="BS6" s="1013">
        <v>64</v>
      </c>
      <c r="BT6" s="1013">
        <v>54</v>
      </c>
      <c r="BU6" s="1013">
        <v>1</v>
      </c>
      <c r="BV6" s="1013">
        <v>5</v>
      </c>
      <c r="BW6" s="1013">
        <v>1</v>
      </c>
      <c r="BX6" s="1013">
        <v>21</v>
      </c>
      <c r="BY6" s="1013">
        <v>21</v>
      </c>
      <c r="BZ6" s="1013">
        <v>101</v>
      </c>
      <c r="CA6" s="1013">
        <v>208</v>
      </c>
      <c r="CB6" s="1013">
        <v>29.733094999999999</v>
      </c>
      <c r="CC6" s="1013">
        <v>-95.381282999999996</v>
      </c>
      <c r="CD6" s="1013" t="s">
        <v>7724</v>
      </c>
      <c r="CE6" s="1013" t="s">
        <v>7724</v>
      </c>
      <c r="CF6" s="1013" t="s">
        <v>7724</v>
      </c>
      <c r="CG6" s="1013" t="s">
        <v>7724</v>
      </c>
      <c r="CH6" s="1013" t="s">
        <v>7732</v>
      </c>
      <c r="CI6" s="1013">
        <v>4399</v>
      </c>
      <c r="CJ6" s="1013" t="s">
        <v>7724</v>
      </c>
      <c r="CK6" s="1013" t="s">
        <v>7724</v>
      </c>
      <c r="CL6" s="1013" t="s">
        <v>7724</v>
      </c>
      <c r="CM6" s="1013" t="s">
        <v>7724</v>
      </c>
      <c r="CN6" s="1013" t="s">
        <v>7724</v>
      </c>
      <c r="CO6" s="1013" t="s">
        <v>7724</v>
      </c>
      <c r="CP6" s="1013" t="s">
        <v>7724</v>
      </c>
      <c r="CQ6" s="1013" t="s">
        <v>7724</v>
      </c>
      <c r="CR6" s="1013" t="s">
        <v>967</v>
      </c>
      <c r="CS6" s="1013" t="s">
        <v>7724</v>
      </c>
      <c r="CT6" s="1013" t="s">
        <v>7724</v>
      </c>
      <c r="CU6" s="1013" t="s">
        <v>7724</v>
      </c>
      <c r="CV6" s="1013" t="s">
        <v>7724</v>
      </c>
      <c r="CW6" s="1013" t="s">
        <v>7727</v>
      </c>
      <c r="CX6" s="1013" t="s">
        <v>7723</v>
      </c>
      <c r="CY6" s="1013" t="s">
        <v>7723</v>
      </c>
      <c r="CZ6" s="1013">
        <v>1</v>
      </c>
      <c r="DA6" s="1013">
        <v>9</v>
      </c>
      <c r="DB6" s="1013" t="s">
        <v>7727</v>
      </c>
      <c r="DC6" s="1013" t="s">
        <v>7743</v>
      </c>
      <c r="DD6" s="1013" t="s">
        <v>7724</v>
      </c>
      <c r="DE6" s="1013" t="s">
        <v>7724</v>
      </c>
      <c r="DF6" s="1013" t="s">
        <v>7724</v>
      </c>
      <c r="DG6" s="1013" t="s">
        <v>7724</v>
      </c>
      <c r="DH6" s="1013" t="s">
        <v>7724</v>
      </c>
      <c r="DI6" s="1013" t="s">
        <v>7724</v>
      </c>
      <c r="DJ6" s="1013" t="s">
        <v>7724</v>
      </c>
      <c r="DK6" s="1013" t="s">
        <v>7724</v>
      </c>
      <c r="DL6" s="1013" t="s">
        <v>7724</v>
      </c>
      <c r="DM6" s="1013" t="s">
        <v>7724</v>
      </c>
      <c r="DN6" s="1013" t="s">
        <v>7724</v>
      </c>
      <c r="DO6" s="1013" t="s">
        <v>7724</v>
      </c>
      <c r="DP6" s="1013" t="s">
        <v>7724</v>
      </c>
      <c r="DQ6" s="1013" t="s">
        <v>7724</v>
      </c>
      <c r="DR6" s="1013" t="s">
        <v>7724</v>
      </c>
      <c r="DS6" s="1013" t="s">
        <v>7724</v>
      </c>
      <c r="DT6" s="1013" t="s">
        <v>7724</v>
      </c>
      <c r="DU6" s="1013" t="s">
        <v>7724</v>
      </c>
      <c r="DV6" s="1013" t="s">
        <v>7724</v>
      </c>
      <c r="DW6" s="1013" t="s">
        <v>7724</v>
      </c>
      <c r="DX6" s="1013" t="s">
        <v>7724</v>
      </c>
      <c r="DY6" s="1013" t="s">
        <v>7724</v>
      </c>
      <c r="DZ6" s="1013" t="s">
        <v>7724</v>
      </c>
      <c r="EA6" s="1013" t="s">
        <v>7724</v>
      </c>
      <c r="EB6" s="1013" t="s">
        <v>7724</v>
      </c>
      <c r="EC6" s="1013" t="s">
        <v>7724</v>
      </c>
      <c r="ED6" s="1013" t="s">
        <v>7724</v>
      </c>
      <c r="EE6" s="1013" t="s">
        <v>7724</v>
      </c>
      <c r="EF6" s="1013" t="s">
        <v>7724</v>
      </c>
      <c r="EG6" s="1013" t="s">
        <v>7724</v>
      </c>
      <c r="EH6" s="1013" t="s">
        <v>7724</v>
      </c>
      <c r="EI6" s="1013" t="s">
        <v>7724</v>
      </c>
      <c r="EJ6" s="1013" t="s">
        <v>7724</v>
      </c>
      <c r="EK6" s="1013" t="s">
        <v>7724</v>
      </c>
      <c r="EL6" s="1013" t="s">
        <v>7724</v>
      </c>
      <c r="EM6" s="1013" t="s">
        <v>7724</v>
      </c>
      <c r="EN6" s="1013" t="s">
        <v>7724</v>
      </c>
      <c r="EO6" s="1013" t="s">
        <v>7724</v>
      </c>
      <c r="EP6" s="1013" t="s">
        <v>7724</v>
      </c>
      <c r="EQ6" s="1013" t="s">
        <v>7724</v>
      </c>
      <c r="ER6" s="1013" t="s">
        <v>7724</v>
      </c>
      <c r="ES6" s="1013" t="s">
        <v>7724</v>
      </c>
      <c r="ET6" s="1013" t="s">
        <v>7724</v>
      </c>
      <c r="EU6" s="1013" t="s">
        <v>7724</v>
      </c>
      <c r="EV6" s="1013" t="s">
        <v>7724</v>
      </c>
      <c r="EW6" s="1013" t="s">
        <v>7724</v>
      </c>
      <c r="EX6" s="1013" t="s">
        <v>7724</v>
      </c>
      <c r="EY6" s="1013" t="s">
        <v>7724</v>
      </c>
      <c r="EZ6" s="1013" t="s">
        <v>7724</v>
      </c>
      <c r="FA6" s="1013" t="s">
        <v>7724</v>
      </c>
      <c r="FB6" s="1013" t="s">
        <v>7724</v>
      </c>
      <c r="FC6" s="1013" t="s">
        <v>7724</v>
      </c>
      <c r="FD6" s="1013" t="s">
        <v>7724</v>
      </c>
      <c r="FE6" s="1013" t="s">
        <v>7724</v>
      </c>
      <c r="FF6" s="1013" t="s">
        <v>7724</v>
      </c>
      <c r="FG6" s="1013">
        <v>1</v>
      </c>
      <c r="FH6" s="1013">
        <v>0</v>
      </c>
      <c r="FI6" s="1013">
        <v>0</v>
      </c>
      <c r="FJ6" s="1013">
        <v>0</v>
      </c>
      <c r="FK6" s="1013">
        <v>1</v>
      </c>
      <c r="FL6" s="1013">
        <v>1</v>
      </c>
      <c r="FM6" s="1013">
        <v>0</v>
      </c>
      <c r="FN6" s="1013">
        <v>15</v>
      </c>
      <c r="FO6" s="1013">
        <v>29</v>
      </c>
      <c r="FP6" s="1013">
        <v>6</v>
      </c>
      <c r="FQ6" s="1013" t="s">
        <v>7724</v>
      </c>
      <c r="FR6" s="1013" t="s">
        <v>7724</v>
      </c>
      <c r="FS6" s="1013" t="s">
        <v>7724</v>
      </c>
      <c r="FT6" s="1013" t="s">
        <v>7724</v>
      </c>
      <c r="FU6" s="1013" t="s">
        <v>7724</v>
      </c>
      <c r="FV6" s="1013" t="s">
        <v>7724</v>
      </c>
      <c r="FW6" s="1013" t="s">
        <v>7724</v>
      </c>
      <c r="FX6" s="1013" t="s">
        <v>7724</v>
      </c>
      <c r="FY6" s="1013" t="s">
        <v>7724</v>
      </c>
      <c r="FZ6" s="1013" t="s">
        <v>7724</v>
      </c>
      <c r="GA6" s="1013" t="s">
        <v>7724</v>
      </c>
      <c r="GB6" s="1013" t="s">
        <v>7724</v>
      </c>
      <c r="GC6" s="1013">
        <v>2020</v>
      </c>
      <c r="GD6" s="1013" t="s">
        <v>1407</v>
      </c>
      <c r="GE6" s="1013">
        <v>2</v>
      </c>
      <c r="GF6" s="1013" t="s">
        <v>1404</v>
      </c>
      <c r="GG6" s="1013" t="s">
        <v>1407</v>
      </c>
      <c r="GH6" s="1013" t="s">
        <v>7974</v>
      </c>
      <c r="GI6" s="1013" t="s">
        <v>7974</v>
      </c>
      <c r="GJ6" s="1013" t="s">
        <v>7974</v>
      </c>
      <c r="GK6" s="1013" t="s">
        <v>8007</v>
      </c>
      <c r="GL6" s="1013" t="s">
        <v>7974</v>
      </c>
    </row>
    <row r="7" spans="1:194">
      <c r="A7" s="1013">
        <v>48</v>
      </c>
      <c r="B7" s="1013" t="s">
        <v>7722</v>
      </c>
      <c r="C7" s="1013">
        <v>17641326</v>
      </c>
      <c r="D7" s="1013" t="s">
        <v>7723</v>
      </c>
      <c r="E7" s="1013" t="s">
        <v>7723</v>
      </c>
      <c r="F7" s="1013" t="s">
        <v>7723</v>
      </c>
      <c r="G7" s="1013" t="s">
        <v>7723</v>
      </c>
      <c r="H7" s="1013" t="s">
        <v>7723</v>
      </c>
      <c r="I7" s="1013" t="s">
        <v>7723</v>
      </c>
      <c r="J7" s="1013" t="s">
        <v>7723</v>
      </c>
      <c r="K7" s="1024">
        <v>43918</v>
      </c>
      <c r="L7" s="1023">
        <v>0.83333333333333337</v>
      </c>
      <c r="M7" s="1013" t="s">
        <v>7741</v>
      </c>
      <c r="N7" s="1013" t="s">
        <v>7734</v>
      </c>
      <c r="O7" s="1013">
        <v>101</v>
      </c>
      <c r="P7" s="1013">
        <v>208</v>
      </c>
      <c r="Q7" s="1013" t="s">
        <v>7723</v>
      </c>
      <c r="R7" s="1013" t="s">
        <v>7723</v>
      </c>
      <c r="S7" s="1013" t="s">
        <v>7724</v>
      </c>
      <c r="T7" s="1014" t="s">
        <v>7724</v>
      </c>
      <c r="U7" s="1014">
        <v>19</v>
      </c>
      <c r="V7" s="1014" t="s">
        <v>7724</v>
      </c>
      <c r="W7" s="1014" t="s">
        <v>7724</v>
      </c>
      <c r="X7" s="1013">
        <v>1</v>
      </c>
      <c r="Y7" s="1013">
        <v>1200</v>
      </c>
      <c r="Z7" s="1013" t="s">
        <v>7724</v>
      </c>
      <c r="AA7" s="1013" t="s">
        <v>7725</v>
      </c>
      <c r="AB7" s="1013" t="s">
        <v>7735</v>
      </c>
      <c r="AC7" s="1013" t="s">
        <v>7723</v>
      </c>
      <c r="AD7" s="1013" t="s">
        <v>7723</v>
      </c>
      <c r="AE7" s="1013">
        <v>35</v>
      </c>
      <c r="AF7" s="1013" t="s">
        <v>7723</v>
      </c>
      <c r="AG7" s="1013" t="s">
        <v>7723</v>
      </c>
      <c r="AH7" s="1013" t="s">
        <v>7739</v>
      </c>
      <c r="AI7" s="1013" t="s">
        <v>7727</v>
      </c>
      <c r="AJ7" s="1013">
        <v>19</v>
      </c>
      <c r="AK7" s="1013" t="s">
        <v>7724</v>
      </c>
      <c r="AL7" s="1013" t="s">
        <v>7724</v>
      </c>
      <c r="AM7" s="1013">
        <v>1</v>
      </c>
      <c r="AN7" s="1013">
        <v>4400</v>
      </c>
      <c r="AO7" s="1013" t="s">
        <v>7724</v>
      </c>
      <c r="AP7" s="1013" t="s">
        <v>7728</v>
      </c>
      <c r="AQ7" s="1013" t="s">
        <v>7726</v>
      </c>
      <c r="AR7" s="1013" t="s">
        <v>7724</v>
      </c>
      <c r="AS7" s="1013" t="s">
        <v>7724</v>
      </c>
      <c r="AT7" s="1013" t="s">
        <v>7724</v>
      </c>
      <c r="AU7" s="1013" t="s">
        <v>7724</v>
      </c>
      <c r="AV7" s="1013" t="s">
        <v>7724</v>
      </c>
      <c r="AW7" s="1013" t="s">
        <v>7724</v>
      </c>
      <c r="AX7" s="1013">
        <v>12</v>
      </c>
      <c r="AY7" s="1013">
        <v>4</v>
      </c>
      <c r="AZ7" s="1013">
        <v>0</v>
      </c>
      <c r="BA7" s="1013">
        <v>1</v>
      </c>
      <c r="BB7" s="1013">
        <v>1</v>
      </c>
      <c r="BC7" s="1013">
        <v>1</v>
      </c>
      <c r="BD7" s="1013">
        <v>21</v>
      </c>
      <c r="BE7" s="1023">
        <v>0.89444444444444449</v>
      </c>
      <c r="BF7" s="1013" t="s">
        <v>7729</v>
      </c>
      <c r="BG7" s="1023">
        <v>0.89930555555555558</v>
      </c>
      <c r="BH7" s="1024">
        <v>43918</v>
      </c>
      <c r="BI7" s="1013" t="s">
        <v>7727</v>
      </c>
      <c r="BJ7" s="1013" t="s">
        <v>7730</v>
      </c>
      <c r="BK7" s="1013">
        <v>2469</v>
      </c>
      <c r="BL7" s="1013" t="s">
        <v>7724</v>
      </c>
      <c r="BM7" s="1013" t="s">
        <v>7724</v>
      </c>
      <c r="BN7" s="1013">
        <v>113</v>
      </c>
      <c r="BO7" s="1013">
        <v>8</v>
      </c>
      <c r="BP7" s="1013">
        <v>1</v>
      </c>
      <c r="BQ7" s="1013">
        <v>2</v>
      </c>
      <c r="BR7" s="1013">
        <v>1</v>
      </c>
      <c r="BS7" s="1013">
        <v>64</v>
      </c>
      <c r="BT7" s="1013">
        <v>54</v>
      </c>
      <c r="BU7" s="1013">
        <v>1</v>
      </c>
      <c r="BV7" s="1013">
        <v>5</v>
      </c>
      <c r="BW7" s="1013">
        <v>1</v>
      </c>
      <c r="BX7" s="1013">
        <v>21</v>
      </c>
      <c r="BY7" s="1013">
        <v>21</v>
      </c>
      <c r="BZ7" s="1013">
        <v>101</v>
      </c>
      <c r="CA7" s="1013">
        <v>208</v>
      </c>
      <c r="CB7" s="1013">
        <v>29.733094999999999</v>
      </c>
      <c r="CC7" s="1013">
        <v>-95.381282999999996</v>
      </c>
      <c r="CD7" s="1013" t="s">
        <v>7724</v>
      </c>
      <c r="CE7" s="1013" t="s">
        <v>7724</v>
      </c>
      <c r="CF7" s="1013" t="s">
        <v>7724</v>
      </c>
      <c r="CG7" s="1013" t="s">
        <v>7724</v>
      </c>
      <c r="CH7" s="1013" t="s">
        <v>7731</v>
      </c>
      <c r="CI7" s="1013">
        <v>1201</v>
      </c>
      <c r="CJ7" s="1013" t="s">
        <v>7724</v>
      </c>
      <c r="CK7" s="1013" t="s">
        <v>7724</v>
      </c>
      <c r="CL7" s="1013" t="s">
        <v>7724</v>
      </c>
      <c r="CM7" s="1013" t="s">
        <v>7724</v>
      </c>
      <c r="CN7" s="1013" t="s">
        <v>7724</v>
      </c>
      <c r="CO7" s="1013" t="s">
        <v>7724</v>
      </c>
      <c r="CP7" s="1013" t="s">
        <v>7724</v>
      </c>
      <c r="CQ7" s="1013" t="s">
        <v>7724</v>
      </c>
      <c r="CR7" s="1013" t="s">
        <v>7732</v>
      </c>
      <c r="CS7" s="1013" t="s">
        <v>7724</v>
      </c>
      <c r="CT7" s="1013" t="s">
        <v>7724</v>
      </c>
      <c r="CU7" s="1013" t="s">
        <v>7724</v>
      </c>
      <c r="CV7" s="1013" t="s">
        <v>7724</v>
      </c>
      <c r="CW7" s="1013" t="s">
        <v>7727</v>
      </c>
      <c r="CX7" s="1013" t="s">
        <v>7723</v>
      </c>
      <c r="CY7" s="1013" t="s">
        <v>7723</v>
      </c>
      <c r="CZ7" s="1013">
        <v>3</v>
      </c>
      <c r="DA7" s="1013">
        <v>9</v>
      </c>
      <c r="DB7" s="1013" t="s">
        <v>7727</v>
      </c>
      <c r="DC7" s="1013" t="s">
        <v>7733</v>
      </c>
      <c r="DD7" s="1013" t="s">
        <v>7724</v>
      </c>
      <c r="DE7" s="1013" t="s">
        <v>7724</v>
      </c>
      <c r="DF7" s="1013" t="s">
        <v>7724</v>
      </c>
      <c r="DG7" s="1013" t="s">
        <v>7724</v>
      </c>
      <c r="DH7" s="1013" t="s">
        <v>7724</v>
      </c>
      <c r="DI7" s="1013" t="s">
        <v>7724</v>
      </c>
      <c r="DJ7" s="1013" t="s">
        <v>7724</v>
      </c>
      <c r="DK7" s="1013" t="s">
        <v>7724</v>
      </c>
      <c r="DL7" s="1013" t="s">
        <v>7724</v>
      </c>
      <c r="DM7" s="1013" t="s">
        <v>7724</v>
      </c>
      <c r="DN7" s="1013" t="s">
        <v>7724</v>
      </c>
      <c r="DO7" s="1013" t="s">
        <v>7724</v>
      </c>
      <c r="DP7" s="1013" t="s">
        <v>7724</v>
      </c>
      <c r="DQ7" s="1013" t="s">
        <v>7724</v>
      </c>
      <c r="DR7" s="1013" t="s">
        <v>7724</v>
      </c>
      <c r="DS7" s="1013" t="s">
        <v>7724</v>
      </c>
      <c r="DT7" s="1013" t="s">
        <v>7724</v>
      </c>
      <c r="DU7" s="1013" t="s">
        <v>7724</v>
      </c>
      <c r="DV7" s="1013" t="s">
        <v>7724</v>
      </c>
      <c r="DW7" s="1013" t="s">
        <v>7724</v>
      </c>
      <c r="DX7" s="1013" t="s">
        <v>7724</v>
      </c>
      <c r="DY7" s="1013" t="s">
        <v>7724</v>
      </c>
      <c r="DZ7" s="1013" t="s">
        <v>7724</v>
      </c>
      <c r="EA7" s="1013" t="s">
        <v>7724</v>
      </c>
      <c r="EB7" s="1013" t="s">
        <v>7724</v>
      </c>
      <c r="EC7" s="1013" t="s">
        <v>7724</v>
      </c>
      <c r="ED7" s="1013" t="s">
        <v>7724</v>
      </c>
      <c r="EE7" s="1013" t="s">
        <v>7724</v>
      </c>
      <c r="EF7" s="1013" t="s">
        <v>7724</v>
      </c>
      <c r="EG7" s="1013" t="s">
        <v>7724</v>
      </c>
      <c r="EH7" s="1013" t="s">
        <v>7724</v>
      </c>
      <c r="EI7" s="1013" t="s">
        <v>7724</v>
      </c>
      <c r="EJ7" s="1013" t="s">
        <v>7724</v>
      </c>
      <c r="EK7" s="1013" t="s">
        <v>7724</v>
      </c>
      <c r="EL7" s="1013" t="s">
        <v>7724</v>
      </c>
      <c r="EM7" s="1013" t="s">
        <v>7724</v>
      </c>
      <c r="EN7" s="1013" t="s">
        <v>7724</v>
      </c>
      <c r="EO7" s="1013" t="s">
        <v>7724</v>
      </c>
      <c r="EP7" s="1013" t="s">
        <v>7724</v>
      </c>
      <c r="EQ7" s="1013" t="s">
        <v>7724</v>
      </c>
      <c r="ER7" s="1013" t="s">
        <v>7724</v>
      </c>
      <c r="ES7" s="1013" t="s">
        <v>7724</v>
      </c>
      <c r="ET7" s="1013" t="s">
        <v>7724</v>
      </c>
      <c r="EU7" s="1013" t="s">
        <v>7724</v>
      </c>
      <c r="EV7" s="1013" t="s">
        <v>7724</v>
      </c>
      <c r="EW7" s="1013" t="s">
        <v>7724</v>
      </c>
      <c r="EX7" s="1013" t="s">
        <v>7724</v>
      </c>
      <c r="EY7" s="1013" t="s">
        <v>7724</v>
      </c>
      <c r="EZ7" s="1013" t="s">
        <v>7724</v>
      </c>
      <c r="FA7" s="1013" t="s">
        <v>7724</v>
      </c>
      <c r="FB7" s="1013" t="s">
        <v>7724</v>
      </c>
      <c r="FC7" s="1013" t="s">
        <v>7724</v>
      </c>
      <c r="FD7" s="1013" t="s">
        <v>7724</v>
      </c>
      <c r="FE7" s="1013" t="s">
        <v>7724</v>
      </c>
      <c r="FF7" s="1013" t="s">
        <v>7724</v>
      </c>
      <c r="FG7" s="1013">
        <v>0</v>
      </c>
      <c r="FH7" s="1013">
        <v>0</v>
      </c>
      <c r="FI7" s="1013">
        <v>1</v>
      </c>
      <c r="FJ7" s="1013">
        <v>1</v>
      </c>
      <c r="FK7" s="1013">
        <v>0</v>
      </c>
      <c r="FL7" s="1013">
        <v>1</v>
      </c>
      <c r="FM7" s="1013">
        <v>0</v>
      </c>
      <c r="FN7" s="1013">
        <v>15</v>
      </c>
      <c r="FO7" s="1013">
        <v>29</v>
      </c>
      <c r="FP7" s="1013">
        <v>6</v>
      </c>
      <c r="FQ7" s="1013" t="s">
        <v>7724</v>
      </c>
      <c r="FR7" s="1013" t="s">
        <v>7724</v>
      </c>
      <c r="FS7" s="1013" t="s">
        <v>7724</v>
      </c>
      <c r="FT7" s="1013" t="s">
        <v>7724</v>
      </c>
      <c r="FU7" s="1013" t="s">
        <v>7724</v>
      </c>
      <c r="FV7" s="1013" t="s">
        <v>7724</v>
      </c>
      <c r="FW7" s="1013" t="s">
        <v>7724</v>
      </c>
      <c r="FX7" s="1013" t="s">
        <v>7724</v>
      </c>
      <c r="FY7" s="1013" t="s">
        <v>7724</v>
      </c>
      <c r="FZ7" s="1013" t="s">
        <v>7724</v>
      </c>
      <c r="GA7" s="1013" t="s">
        <v>7724</v>
      </c>
      <c r="GB7" s="1013" t="s">
        <v>7724</v>
      </c>
      <c r="GC7" s="1013">
        <v>2020</v>
      </c>
      <c r="GD7" s="1013" t="s">
        <v>1407</v>
      </c>
      <c r="GE7" s="1013">
        <v>2</v>
      </c>
      <c r="GF7" s="1013" t="s">
        <v>1404</v>
      </c>
      <c r="GG7" s="1013" t="s">
        <v>1407</v>
      </c>
      <c r="GH7" s="1013" t="s">
        <v>8023</v>
      </c>
      <c r="GI7" s="1013" t="s">
        <v>7974</v>
      </c>
      <c r="GJ7" s="1013" t="s">
        <v>7974</v>
      </c>
      <c r="GK7" s="1013" t="s">
        <v>7974</v>
      </c>
      <c r="GL7" s="1013" t="s">
        <v>7974</v>
      </c>
    </row>
    <row r="8" spans="1:194">
      <c r="A8" s="1013">
        <v>84</v>
      </c>
      <c r="B8" s="1013" t="s">
        <v>7722</v>
      </c>
      <c r="C8" s="1013">
        <v>16978652</v>
      </c>
      <c r="D8" s="1013" t="s">
        <v>7723</v>
      </c>
      <c r="E8" s="1013" t="s">
        <v>7723</v>
      </c>
      <c r="F8" s="1013" t="s">
        <v>7723</v>
      </c>
      <c r="G8" s="1013" t="s">
        <v>7723</v>
      </c>
      <c r="H8" s="1013" t="s">
        <v>7723</v>
      </c>
      <c r="I8" s="1013" t="s">
        <v>7723</v>
      </c>
      <c r="J8" s="1013" t="s">
        <v>7723</v>
      </c>
      <c r="K8" s="1024">
        <v>43552</v>
      </c>
      <c r="L8" s="1023">
        <v>0.47847222222222224</v>
      </c>
      <c r="M8" s="1013" t="s">
        <v>7738</v>
      </c>
      <c r="N8" s="1013" t="s">
        <v>7724</v>
      </c>
      <c r="O8" s="1013">
        <v>101</v>
      </c>
      <c r="P8" s="1013">
        <v>208</v>
      </c>
      <c r="Q8" s="1013" t="s">
        <v>7723</v>
      </c>
      <c r="R8" s="1013" t="s">
        <v>7723</v>
      </c>
      <c r="S8" s="1013" t="s">
        <v>7724</v>
      </c>
      <c r="T8" s="1014" t="s">
        <v>7724</v>
      </c>
      <c r="U8" s="1014">
        <v>19</v>
      </c>
      <c r="V8" s="1014" t="s">
        <v>7724</v>
      </c>
      <c r="W8" s="1014" t="s">
        <v>7724</v>
      </c>
      <c r="X8" s="1013">
        <v>1</v>
      </c>
      <c r="Y8" s="1013" t="s">
        <v>7724</v>
      </c>
      <c r="Z8" s="1013" t="s">
        <v>7724</v>
      </c>
      <c r="AA8" s="1013" t="s">
        <v>7725</v>
      </c>
      <c r="AB8" s="1013" t="s">
        <v>7724</v>
      </c>
      <c r="AC8" s="1013" t="s">
        <v>7723</v>
      </c>
      <c r="AD8" s="1013" t="s">
        <v>7723</v>
      </c>
      <c r="AE8" s="1013">
        <v>30</v>
      </c>
      <c r="AF8" s="1013" t="s">
        <v>7723</v>
      </c>
      <c r="AG8" s="1013" t="s">
        <v>7723</v>
      </c>
      <c r="AH8" s="1013" t="s">
        <v>7739</v>
      </c>
      <c r="AI8" s="1013" t="s">
        <v>7727</v>
      </c>
      <c r="AJ8" s="1013">
        <v>19</v>
      </c>
      <c r="AK8" s="1013" t="s">
        <v>7724</v>
      </c>
      <c r="AL8" s="1013" t="s">
        <v>7724</v>
      </c>
      <c r="AM8" s="1013">
        <v>1</v>
      </c>
      <c r="AN8" s="1013" t="s">
        <v>7724</v>
      </c>
      <c r="AO8" s="1013" t="s">
        <v>7724</v>
      </c>
      <c r="AP8" s="1013" t="s">
        <v>7728</v>
      </c>
      <c r="AQ8" s="1013" t="s">
        <v>7724</v>
      </c>
      <c r="AR8" s="1013" t="s">
        <v>7724</v>
      </c>
      <c r="AS8" s="1013" t="s">
        <v>7724</v>
      </c>
      <c r="AT8" s="1013" t="s">
        <v>7724</v>
      </c>
      <c r="AU8" s="1013" t="s">
        <v>7724</v>
      </c>
      <c r="AV8" s="1013" t="s">
        <v>7724</v>
      </c>
      <c r="AW8" s="1013" t="s">
        <v>7724</v>
      </c>
      <c r="AX8" s="1013">
        <v>11</v>
      </c>
      <c r="AY8" s="1013">
        <v>1</v>
      </c>
      <c r="AZ8" s="1013">
        <v>0</v>
      </c>
      <c r="BA8" s="1013">
        <v>1</v>
      </c>
      <c r="BB8" s="1013">
        <v>1</v>
      </c>
      <c r="BC8" s="1013">
        <v>1</v>
      </c>
      <c r="BD8" s="1013">
        <v>5</v>
      </c>
      <c r="BE8" s="1023">
        <v>0.4826388888888889</v>
      </c>
      <c r="BF8" s="1013" t="s">
        <v>7729</v>
      </c>
      <c r="BG8" s="1023">
        <v>0.48472222222222222</v>
      </c>
      <c r="BH8" s="1024">
        <v>43552</v>
      </c>
      <c r="BI8" s="1013" t="s">
        <v>7727</v>
      </c>
      <c r="BJ8" s="1013" t="s">
        <v>7730</v>
      </c>
      <c r="BK8" s="1013">
        <v>2469</v>
      </c>
      <c r="BL8" s="1013" t="s">
        <v>7724</v>
      </c>
      <c r="BM8" s="1013" t="s">
        <v>7724</v>
      </c>
      <c r="BN8" s="1013">
        <v>113</v>
      </c>
      <c r="BO8" s="1013">
        <v>8</v>
      </c>
      <c r="BP8" s="1013">
        <v>1</v>
      </c>
      <c r="BQ8" s="1013">
        <v>2</v>
      </c>
      <c r="BR8" s="1013">
        <v>3</v>
      </c>
      <c r="BS8" s="1013">
        <v>64</v>
      </c>
      <c r="BT8" s="1013">
        <v>54</v>
      </c>
      <c r="BU8" s="1013">
        <v>1</v>
      </c>
      <c r="BV8" s="1013">
        <v>5</v>
      </c>
      <c r="BW8" s="1013">
        <v>1</v>
      </c>
      <c r="BX8" s="1013">
        <v>21</v>
      </c>
      <c r="BY8" s="1013">
        <v>21</v>
      </c>
      <c r="BZ8" s="1013">
        <v>101</v>
      </c>
      <c r="CA8" s="1013">
        <v>208</v>
      </c>
      <c r="CB8" s="1013">
        <v>29.733094999999999</v>
      </c>
      <c r="CC8" s="1013">
        <v>-95.381282999999996</v>
      </c>
      <c r="CD8" s="1013" t="s">
        <v>7724</v>
      </c>
      <c r="CE8" s="1013" t="s">
        <v>7724</v>
      </c>
      <c r="CF8" s="1013" t="s">
        <v>7724</v>
      </c>
      <c r="CG8" s="1013" t="s">
        <v>7724</v>
      </c>
      <c r="CH8" s="1013" t="s">
        <v>7731</v>
      </c>
      <c r="CI8" s="1013">
        <v>1201</v>
      </c>
      <c r="CJ8" s="1013" t="s">
        <v>7724</v>
      </c>
      <c r="CK8" s="1013" t="s">
        <v>7724</v>
      </c>
      <c r="CL8" s="1013" t="s">
        <v>7724</v>
      </c>
      <c r="CM8" s="1013" t="s">
        <v>7724</v>
      </c>
      <c r="CN8" s="1013" t="s">
        <v>7724</v>
      </c>
      <c r="CO8" s="1013" t="s">
        <v>7724</v>
      </c>
      <c r="CP8" s="1013" t="s">
        <v>7724</v>
      </c>
      <c r="CQ8" s="1013" t="s">
        <v>7724</v>
      </c>
      <c r="CR8" s="1013" t="s">
        <v>7732</v>
      </c>
      <c r="CS8" s="1013" t="s">
        <v>7724</v>
      </c>
      <c r="CT8" s="1013" t="s">
        <v>7724</v>
      </c>
      <c r="CU8" s="1013" t="s">
        <v>7724</v>
      </c>
      <c r="CV8" s="1013" t="s">
        <v>7724</v>
      </c>
      <c r="CW8" s="1013" t="s">
        <v>7727</v>
      </c>
      <c r="CX8" s="1013" t="s">
        <v>7723</v>
      </c>
      <c r="CY8" s="1013" t="s">
        <v>7723</v>
      </c>
      <c r="CZ8" s="1013">
        <v>2</v>
      </c>
      <c r="DA8" s="1013">
        <v>9</v>
      </c>
      <c r="DB8" s="1013" t="s">
        <v>7727</v>
      </c>
      <c r="DC8" s="1013" t="s">
        <v>7740</v>
      </c>
      <c r="DD8" s="1013" t="s">
        <v>7724</v>
      </c>
      <c r="DE8" s="1013" t="s">
        <v>7724</v>
      </c>
      <c r="DF8" s="1013" t="s">
        <v>7724</v>
      </c>
      <c r="DG8" s="1013" t="s">
        <v>7724</v>
      </c>
      <c r="DH8" s="1013" t="s">
        <v>7724</v>
      </c>
      <c r="DI8" s="1013" t="s">
        <v>7724</v>
      </c>
      <c r="DJ8" s="1013" t="s">
        <v>7724</v>
      </c>
      <c r="DK8" s="1013" t="s">
        <v>7724</v>
      </c>
      <c r="DL8" s="1013" t="s">
        <v>7724</v>
      </c>
      <c r="DM8" s="1013" t="s">
        <v>7724</v>
      </c>
      <c r="DN8" s="1013" t="s">
        <v>7724</v>
      </c>
      <c r="DO8" s="1013" t="s">
        <v>7724</v>
      </c>
      <c r="DP8" s="1013" t="s">
        <v>7724</v>
      </c>
      <c r="DQ8" s="1013" t="s">
        <v>7724</v>
      </c>
      <c r="DR8" s="1013" t="s">
        <v>7724</v>
      </c>
      <c r="DS8" s="1013" t="s">
        <v>7724</v>
      </c>
      <c r="DT8" s="1013" t="s">
        <v>7724</v>
      </c>
      <c r="DU8" s="1013" t="s">
        <v>7724</v>
      </c>
      <c r="DV8" s="1013" t="s">
        <v>7724</v>
      </c>
      <c r="DW8" s="1013" t="s">
        <v>7724</v>
      </c>
      <c r="DX8" s="1013" t="s">
        <v>7724</v>
      </c>
      <c r="DY8" s="1013" t="s">
        <v>7724</v>
      </c>
      <c r="DZ8" s="1013" t="s">
        <v>7724</v>
      </c>
      <c r="EA8" s="1013" t="s">
        <v>7724</v>
      </c>
      <c r="EB8" s="1013" t="s">
        <v>7724</v>
      </c>
      <c r="EC8" s="1013" t="s">
        <v>7724</v>
      </c>
      <c r="ED8" s="1013" t="s">
        <v>7724</v>
      </c>
      <c r="EE8" s="1013" t="s">
        <v>7724</v>
      </c>
      <c r="EF8" s="1013" t="s">
        <v>7724</v>
      </c>
      <c r="EG8" s="1013" t="s">
        <v>7724</v>
      </c>
      <c r="EH8" s="1013" t="s">
        <v>7724</v>
      </c>
      <c r="EI8" s="1013" t="s">
        <v>7724</v>
      </c>
      <c r="EJ8" s="1013" t="s">
        <v>7724</v>
      </c>
      <c r="EK8" s="1013" t="s">
        <v>7724</v>
      </c>
      <c r="EL8" s="1013" t="s">
        <v>7724</v>
      </c>
      <c r="EM8" s="1013" t="s">
        <v>7724</v>
      </c>
      <c r="EN8" s="1013" t="s">
        <v>7724</v>
      </c>
      <c r="EO8" s="1013" t="s">
        <v>7724</v>
      </c>
      <c r="EP8" s="1013" t="s">
        <v>7724</v>
      </c>
      <c r="EQ8" s="1013" t="s">
        <v>7724</v>
      </c>
      <c r="ER8" s="1013" t="s">
        <v>7724</v>
      </c>
      <c r="ES8" s="1013" t="s">
        <v>7724</v>
      </c>
      <c r="ET8" s="1013" t="s">
        <v>7724</v>
      </c>
      <c r="EU8" s="1013" t="s">
        <v>7724</v>
      </c>
      <c r="EV8" s="1013" t="s">
        <v>7724</v>
      </c>
      <c r="EW8" s="1013" t="s">
        <v>7724</v>
      </c>
      <c r="EX8" s="1013" t="s">
        <v>7724</v>
      </c>
      <c r="EY8" s="1013" t="s">
        <v>7724</v>
      </c>
      <c r="EZ8" s="1013" t="s">
        <v>7724</v>
      </c>
      <c r="FA8" s="1013" t="s">
        <v>7724</v>
      </c>
      <c r="FB8" s="1013" t="s">
        <v>7724</v>
      </c>
      <c r="FC8" s="1013" t="s">
        <v>7724</v>
      </c>
      <c r="FD8" s="1013" t="s">
        <v>7724</v>
      </c>
      <c r="FE8" s="1013" t="s">
        <v>7724</v>
      </c>
      <c r="FF8" s="1013" t="s">
        <v>7724</v>
      </c>
      <c r="FG8" s="1013">
        <v>0</v>
      </c>
      <c r="FH8" s="1013">
        <v>1</v>
      </c>
      <c r="FI8" s="1013">
        <v>0</v>
      </c>
      <c r="FJ8" s="1013">
        <v>1</v>
      </c>
      <c r="FK8" s="1013">
        <v>0</v>
      </c>
      <c r="FL8" s="1013">
        <v>1</v>
      </c>
      <c r="FM8" s="1013">
        <v>0</v>
      </c>
      <c r="FN8" s="1013">
        <v>15</v>
      </c>
      <c r="FO8" s="1013">
        <v>29</v>
      </c>
      <c r="FP8" s="1013">
        <v>6</v>
      </c>
      <c r="FQ8" s="1013" t="s">
        <v>7724</v>
      </c>
      <c r="FR8" s="1013" t="s">
        <v>7724</v>
      </c>
      <c r="FS8" s="1013" t="s">
        <v>7724</v>
      </c>
      <c r="FT8" s="1013" t="s">
        <v>7724</v>
      </c>
      <c r="FU8" s="1013" t="s">
        <v>7724</v>
      </c>
      <c r="FV8" s="1013" t="s">
        <v>7724</v>
      </c>
      <c r="FW8" s="1013" t="s">
        <v>7724</v>
      </c>
      <c r="FX8" s="1013" t="s">
        <v>7724</v>
      </c>
      <c r="FY8" s="1013" t="s">
        <v>7724</v>
      </c>
      <c r="FZ8" s="1013" t="s">
        <v>7724</v>
      </c>
      <c r="GA8" s="1013" t="s">
        <v>7724</v>
      </c>
      <c r="GB8" s="1013" t="s">
        <v>7724</v>
      </c>
      <c r="GC8" s="1013">
        <v>2019</v>
      </c>
      <c r="GD8" s="1013" t="s">
        <v>1407</v>
      </c>
      <c r="GE8" s="1013">
        <v>2</v>
      </c>
      <c r="GF8" s="1013" t="s">
        <v>1404</v>
      </c>
      <c r="GG8" s="1013" t="s">
        <v>1407</v>
      </c>
      <c r="GH8" s="1013" t="s">
        <v>7974</v>
      </c>
      <c r="GI8" s="1013" t="s">
        <v>7974</v>
      </c>
      <c r="GJ8" s="1013" t="s">
        <v>7974</v>
      </c>
      <c r="GK8" s="1013" t="s">
        <v>8048</v>
      </c>
      <c r="GL8" s="1013" t="s">
        <v>7974</v>
      </c>
    </row>
    <row r="17" s="1013" customFormat="1"/>
    <row r="18" s="1013" customFormat="1"/>
    <row r="19" s="1013" customFormat="1"/>
    <row r="20" s="1013" customFormat="1"/>
    <row r="21" s="1013" customFormat="1"/>
    <row r="22" s="1013" customFormat="1"/>
    <row r="23" s="1013" customFormat="1"/>
    <row r="24" s="1013" customFormat="1"/>
    <row r="25" s="1013" customFormat="1"/>
    <row r="26" s="1013" customFormat="1"/>
    <row r="27" s="1013" customFormat="1"/>
    <row r="28" s="1013" customFormat="1"/>
    <row r="29" s="1013" customFormat="1"/>
    <row r="30" s="1013" customFormat="1"/>
    <row r="31" s="1013" customFormat="1"/>
    <row r="32" s="1013" customFormat="1"/>
    <row r="33" s="1013" customFormat="1"/>
    <row r="34" s="1013" customFormat="1"/>
    <row r="35" s="1013" customFormat="1"/>
    <row r="36" s="1013" customFormat="1"/>
    <row r="37" s="1013" customFormat="1"/>
    <row r="38" s="1013" customFormat="1"/>
    <row r="39" s="1013" customFormat="1"/>
    <row r="40" s="1013" customFormat="1"/>
    <row r="41" s="1013" customFormat="1"/>
    <row r="42" s="1013" customFormat="1"/>
    <row r="43" s="1013" customFormat="1"/>
    <row r="44" s="1013" customFormat="1"/>
    <row r="45" s="1013" customFormat="1"/>
    <row r="46" s="1013" customFormat="1"/>
    <row r="47" s="1013" customFormat="1"/>
    <row r="48" s="1013" customFormat="1"/>
    <row r="49" s="1013" customFormat="1"/>
    <row r="50" s="1013" customFormat="1"/>
    <row r="51" s="1013" customFormat="1"/>
    <row r="52" s="1013" customFormat="1"/>
    <row r="53" s="1013" customFormat="1"/>
    <row r="54" s="1013" customFormat="1"/>
    <row r="55" s="1013" customFormat="1"/>
    <row r="56" s="1013" customFormat="1"/>
    <row r="57" s="1013" customFormat="1"/>
    <row r="58" s="1013" customFormat="1"/>
    <row r="59" s="1013" customFormat="1"/>
    <row r="60" s="1013" customFormat="1"/>
    <row r="61" s="1013" customFormat="1"/>
    <row r="62" s="1013" customFormat="1"/>
    <row r="63" s="1013" customFormat="1"/>
    <row r="64" s="1013" customFormat="1"/>
    <row r="73" spans="4:4">
      <c r="D73" s="1013">
        <v>0</v>
      </c>
    </row>
    <row r="81" s="1013" customFormat="1"/>
    <row r="82" s="1013" customFormat="1"/>
    <row r="83" s="1013" customFormat="1"/>
    <row r="84" s="1013" customFormat="1"/>
    <row r="85" s="1013" customFormat="1"/>
    <row r="86" s="1013" customFormat="1"/>
    <row r="87" s="1013" customFormat="1"/>
    <row r="88" s="1013" customFormat="1"/>
    <row r="89" s="1013" customFormat="1"/>
    <row r="90" s="1013" customFormat="1"/>
    <row r="91" s="1013" customFormat="1"/>
    <row r="92" s="1013" customFormat="1"/>
    <row r="93" s="1013" customFormat="1"/>
    <row r="94" s="1013" customFormat="1"/>
    <row r="95" s="1013" customFormat="1"/>
    <row r="96" s="1013" customFormat="1"/>
    <row r="97" s="1013" customFormat="1"/>
    <row r="98" s="1013" customFormat="1"/>
    <row r="99" s="1013" customFormat="1"/>
    <row r="100" s="1013" customFormat="1"/>
    <row r="101" s="1013" customFormat="1"/>
    <row r="102" s="1013" customFormat="1"/>
    <row r="103" s="1013" customFormat="1"/>
    <row r="104" s="1013" customFormat="1"/>
    <row r="105" s="1013" customFormat="1"/>
    <row r="106" s="1013" customFormat="1"/>
    <row r="107" s="1013" customFormat="1"/>
    <row r="108" s="1013" customFormat="1"/>
    <row r="109" s="1013" customFormat="1"/>
    <row r="110" s="1013" customFormat="1"/>
    <row r="111" s="1013" customFormat="1"/>
    <row r="112" s="1013" customFormat="1"/>
    <row r="113" s="1013" customFormat="1"/>
    <row r="114" s="1013" customFormat="1"/>
    <row r="115" s="1013" customFormat="1"/>
    <row r="116" s="1013" customFormat="1"/>
    <row r="117" s="1013" customFormat="1"/>
    <row r="118" s="1013" customFormat="1"/>
    <row r="119" s="1013" customFormat="1"/>
    <row r="120" s="1013" customFormat="1"/>
    <row r="121" s="1013" customFormat="1"/>
    <row r="122" s="1013" customFormat="1"/>
    <row r="123" s="1013" customFormat="1"/>
    <row r="124" s="1013" customFormat="1"/>
    <row r="125" s="1013" customFormat="1"/>
    <row r="126" s="1013" customFormat="1"/>
    <row r="127" s="1013" customFormat="1"/>
    <row r="128" s="1013" customFormat="1"/>
    <row r="129" s="1013" customFormat="1"/>
    <row r="130" s="1013" customFormat="1"/>
    <row r="131" s="1013" customFormat="1"/>
    <row r="132" s="1013" customFormat="1"/>
    <row r="133" s="1013" customFormat="1"/>
    <row r="134" s="1013" customFormat="1"/>
    <row r="135" s="1013" customFormat="1"/>
    <row r="136" s="1013" customFormat="1"/>
    <row r="137" s="1013" customFormat="1"/>
    <row r="138" s="1013" customFormat="1"/>
    <row r="139" s="1013" customFormat="1"/>
    <row r="140" s="1013" customFormat="1"/>
    <row r="141" s="1013" customFormat="1"/>
    <row r="142" s="1013" customFormat="1"/>
    <row r="143" s="1013" customFormat="1"/>
    <row r="144" s="1013" customFormat="1"/>
    <row r="145" s="1013" customFormat="1"/>
    <row r="146" s="1013" customFormat="1"/>
    <row r="147" s="1013" customFormat="1"/>
    <row r="148" s="1013" customFormat="1"/>
    <row r="149" s="1013" customFormat="1"/>
    <row r="150" s="1013" customFormat="1"/>
    <row r="151" s="1013" customFormat="1"/>
    <row r="152" s="1013" customFormat="1"/>
    <row r="153" s="1013" customFormat="1"/>
    <row r="154" s="1013" customFormat="1"/>
    <row r="155" s="1013" customFormat="1"/>
    <row r="156" s="1013" customFormat="1"/>
    <row r="157" s="1013" customFormat="1"/>
    <row r="158" s="1013" customFormat="1"/>
    <row r="159" s="1013" customFormat="1"/>
    <row r="160" s="1013" customFormat="1"/>
    <row r="161" s="1013" customFormat="1"/>
    <row r="162" s="1013" customFormat="1"/>
    <row r="163" s="1013" customFormat="1"/>
    <row r="164" s="1013" customFormat="1"/>
    <row r="165" s="1013" customFormat="1"/>
    <row r="166" s="1013" customFormat="1"/>
    <row r="167" s="1013" customFormat="1"/>
    <row r="168" s="1013" customFormat="1"/>
    <row r="169" s="1013" customFormat="1"/>
    <row r="170" s="1013" customFormat="1"/>
    <row r="171" s="1013" customFormat="1"/>
    <row r="172" s="1013" customFormat="1"/>
    <row r="173" s="1013" customFormat="1"/>
    <row r="174" s="1013" customFormat="1"/>
    <row r="175" s="1013" customFormat="1"/>
    <row r="176" s="1013" customFormat="1"/>
    <row r="177" s="1013" customFormat="1"/>
    <row r="178" s="1013" customFormat="1"/>
    <row r="179" s="1013" customFormat="1"/>
    <row r="180" s="1013" customFormat="1"/>
    <row r="181" s="1013" customFormat="1"/>
    <row r="182" s="1013" customFormat="1"/>
    <row r="183" s="1013" customFormat="1"/>
    <row r="184" s="1013" customFormat="1"/>
    <row r="185" s="1013" customFormat="1"/>
    <row r="186" s="1013" customFormat="1"/>
    <row r="187" s="1013" customFormat="1"/>
    <row r="188" s="1013" customFormat="1"/>
    <row r="189" s="1013" customFormat="1"/>
    <row r="190" s="1013" customFormat="1"/>
    <row r="191" s="1013" customFormat="1"/>
    <row r="192" s="1013" customFormat="1"/>
    <row r="193" s="1013" customFormat="1"/>
    <row r="194" s="1013" customFormat="1"/>
    <row r="195" s="1013" customFormat="1"/>
    <row r="196" s="1013" customFormat="1"/>
  </sheetData>
  <sheetProtection algorithmName="SHA-512" hashValue="hVY8+e2LKMSfoklkjjEG1nQlADF9bur2dch+Kay8ozjkp28aLQRLlvNEUpF+87eiv3pAfslC/v2EDCwmtsdW+g==" saltValue="ziTYqqjcnpkoTOoQoh0h2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topLeftCell="M28" workbookViewId="0">
      <selection sqref="A1:XFD1048576"/>
    </sheetView>
  </sheetViews>
  <sheetFormatPr defaultColWidth="8.77734375" defaultRowHeight="14.4"/>
  <cols>
    <col min="1" max="1" width="83.77734375" style="1195" bestFit="1" customWidth="1"/>
    <col min="2" max="3" width="28.21875" style="1195" customWidth="1"/>
    <col min="4" max="4" width="36.5546875" style="1195" customWidth="1"/>
    <col min="5" max="5" width="7.5546875" style="1195" customWidth="1"/>
    <col min="6" max="6" width="31" style="1195" customWidth="1"/>
    <col min="7" max="7" width="33.77734375" style="1195" bestFit="1" customWidth="1"/>
    <col min="8" max="11" width="33.77734375" style="1195" customWidth="1"/>
    <col min="12" max="12" width="19.77734375" style="1195" customWidth="1"/>
    <col min="13" max="17" width="31.44140625" style="1195" customWidth="1"/>
    <col min="18" max="18" width="19.77734375" style="1195" customWidth="1"/>
    <col min="19" max="19" width="20" style="1195" bestFit="1" customWidth="1"/>
    <col min="20" max="20" width="18.21875" style="1195" bestFit="1" customWidth="1"/>
    <col min="21" max="21" width="10" style="1259" customWidth="1"/>
    <col min="22" max="23" width="14.21875" style="1259" bestFit="1" customWidth="1"/>
    <col min="24" max="24" width="12.5546875" style="1259" bestFit="1" customWidth="1"/>
    <col min="25" max="25" width="13.21875" style="1259" bestFit="1" customWidth="1"/>
    <col min="26" max="26" width="4.5546875" style="1259" customWidth="1"/>
    <col min="27" max="27" width="9.21875" style="1259" bestFit="1" customWidth="1"/>
    <col min="28" max="28" width="16.77734375" style="1276" customWidth="1"/>
    <col min="29" max="29" width="34.44140625" style="1259" bestFit="1" customWidth="1"/>
    <col min="30" max="30" width="18.77734375" style="1259" customWidth="1"/>
    <col min="31" max="31" width="40.21875" style="1259" customWidth="1"/>
    <col min="32" max="32" width="30.21875" style="1259" customWidth="1"/>
    <col min="33" max="16384" width="8.77734375" style="1259"/>
  </cols>
  <sheetData>
    <row r="1" spans="1:29" ht="25.2" customHeight="1">
      <c r="A1" s="1009" t="s">
        <v>185</v>
      </c>
      <c r="B1" s="1143" t="s">
        <v>849</v>
      </c>
      <c r="C1" s="1275"/>
      <c r="D1" s="1172"/>
      <c r="E1" s="1172"/>
      <c r="F1" s="1011"/>
      <c r="G1" s="1029"/>
      <c r="H1" s="1029"/>
      <c r="I1" s="1029"/>
      <c r="J1" s="1012"/>
      <c r="K1" s="1012"/>
    </row>
    <row r="2" spans="1:29" ht="15" thickBot="1">
      <c r="A2" s="1174"/>
      <c r="B2" s="1174"/>
      <c r="C2" s="1174"/>
      <c r="D2" s="1173"/>
      <c r="E2" s="1173"/>
    </row>
    <row r="3" spans="1:29" ht="60" customHeight="1">
      <c r="A3" s="1277" t="s">
        <v>482</v>
      </c>
      <c r="B3" s="1875" t="s">
        <v>850</v>
      </c>
      <c r="C3" s="1875"/>
      <c r="D3" s="1875"/>
      <c r="E3" s="1174"/>
      <c r="F3" s="1278" t="s">
        <v>801</v>
      </c>
      <c r="G3" s="1279"/>
      <c r="H3" s="1279"/>
      <c r="I3" s="1279"/>
      <c r="J3" s="1279"/>
      <c r="K3" s="1279"/>
      <c r="L3" s="1279"/>
      <c r="M3" s="1279"/>
      <c r="N3" s="1279"/>
      <c r="O3" s="1279"/>
      <c r="P3" s="1279"/>
      <c r="Q3" s="1279"/>
      <c r="R3" s="1279"/>
      <c r="S3" s="1279"/>
      <c r="T3" s="1280"/>
      <c r="U3" s="1281"/>
      <c r="AC3" s="1282"/>
    </row>
    <row r="4" spans="1:29">
      <c r="C4" s="1173"/>
      <c r="D4" s="1173"/>
      <c r="E4" s="1174"/>
      <c r="F4" s="1283" t="s">
        <v>508</v>
      </c>
      <c r="G4" s="1284" t="s">
        <v>66</v>
      </c>
      <c r="H4" s="1284" t="s">
        <v>66</v>
      </c>
      <c r="I4" s="1284" t="s">
        <v>66</v>
      </c>
      <c r="J4" s="1284" t="s">
        <v>66</v>
      </c>
      <c r="K4" s="1284" t="s">
        <v>66</v>
      </c>
      <c r="L4" s="1285" t="s">
        <v>66</v>
      </c>
      <c r="M4" s="1284" t="s">
        <v>131</v>
      </c>
      <c r="N4" s="1284" t="s">
        <v>131</v>
      </c>
      <c r="O4" s="1284" t="s">
        <v>131</v>
      </c>
      <c r="P4" s="1284" t="s">
        <v>131</v>
      </c>
      <c r="Q4" s="1284" t="s">
        <v>131</v>
      </c>
      <c r="R4" s="1286" t="s">
        <v>131</v>
      </c>
      <c r="S4" s="1868" t="s">
        <v>488</v>
      </c>
      <c r="T4" s="1869"/>
      <c r="U4" s="1281"/>
      <c r="V4" s="1285" t="s">
        <v>66</v>
      </c>
      <c r="W4" s="1286" t="s">
        <v>131</v>
      </c>
      <c r="X4" s="1868" t="s">
        <v>488</v>
      </c>
      <c r="Y4" s="1869"/>
    </row>
    <row r="5" spans="1:29" ht="60" customHeight="1" thickBot="1">
      <c r="A5" s="1676" t="s">
        <v>489</v>
      </c>
      <c r="B5" s="1876" t="s">
        <v>851</v>
      </c>
      <c r="C5" s="1876"/>
      <c r="D5" s="1876"/>
      <c r="E5" s="1173"/>
      <c r="F5" s="1528" t="s">
        <v>518</v>
      </c>
      <c r="G5" s="1529" t="s">
        <v>852</v>
      </c>
      <c r="H5" s="1529" t="s">
        <v>853</v>
      </c>
      <c r="I5" s="1529" t="s">
        <v>854</v>
      </c>
      <c r="J5" s="1529" t="s">
        <v>855</v>
      </c>
      <c r="K5" s="1529" t="s">
        <v>856</v>
      </c>
      <c r="L5" s="1494" t="s">
        <v>15</v>
      </c>
      <c r="M5" s="1529" t="s">
        <v>852</v>
      </c>
      <c r="N5" s="1529" t="s">
        <v>853</v>
      </c>
      <c r="O5" s="1529" t="s">
        <v>854</v>
      </c>
      <c r="P5" s="1529" t="s">
        <v>855</v>
      </c>
      <c r="Q5" s="1529" t="s">
        <v>856</v>
      </c>
      <c r="R5" s="1495" t="s">
        <v>15</v>
      </c>
      <c r="S5" s="1870"/>
      <c r="T5" s="1871"/>
      <c r="U5" s="1281"/>
      <c r="V5" s="1494" t="s">
        <v>15</v>
      </c>
      <c r="W5" s="1495" t="s">
        <v>15</v>
      </c>
      <c r="X5" s="1870"/>
      <c r="Y5" s="1871"/>
    </row>
    <row r="6" spans="1:29" ht="28.8">
      <c r="C6" s="1173"/>
      <c r="D6" s="1173"/>
      <c r="E6" s="1173"/>
      <c r="F6" s="1528"/>
      <c r="G6" s="1529" t="s">
        <v>857</v>
      </c>
      <c r="H6" s="1529" t="s">
        <v>858</v>
      </c>
      <c r="I6" s="1529" t="s">
        <v>859</v>
      </c>
      <c r="J6" s="1529" t="s">
        <v>860</v>
      </c>
      <c r="K6" s="1529" t="s">
        <v>861</v>
      </c>
      <c r="L6" s="1494" t="s">
        <v>812</v>
      </c>
      <c r="M6" s="1529" t="s">
        <v>857</v>
      </c>
      <c r="N6" s="1529" t="s">
        <v>858</v>
      </c>
      <c r="O6" s="1529" t="s">
        <v>859</v>
      </c>
      <c r="P6" s="1529" t="s">
        <v>860</v>
      </c>
      <c r="Q6" s="1529" t="s">
        <v>861</v>
      </c>
      <c r="R6" s="1495" t="s">
        <v>812</v>
      </c>
      <c r="S6" s="1500" t="s">
        <v>419</v>
      </c>
      <c r="T6" s="1501" t="str">
        <f>"Discounted @ "&amp;TEXT('Major Assumption Key'!$B$8,"0.0%")</f>
        <v>Discounted @ 3.1%</v>
      </c>
      <c r="U6" s="1281"/>
      <c r="V6" s="1494" t="s">
        <v>812</v>
      </c>
      <c r="W6" s="1495" t="s">
        <v>812</v>
      </c>
      <c r="X6" s="1500" t="s">
        <v>419</v>
      </c>
      <c r="Y6" s="1501" t="str">
        <f>"Discounted @ "&amp;TEXT('Major Assumption Key'!$B$8,"0.0%")</f>
        <v>Discounted @ 3.1%</v>
      </c>
    </row>
    <row r="7" spans="1:29" ht="19.95" customHeight="1">
      <c r="A7" s="1173"/>
      <c r="B7" s="1173"/>
      <c r="C7" s="1173"/>
      <c r="D7" s="1173"/>
      <c r="E7" s="1173"/>
      <c r="F7" s="1181">
        <f>'Major Assumption Key'!A19</f>
        <v>2020</v>
      </c>
      <c r="G7" s="1290">
        <f>IF(AND($F7&gt;=MIN($C$28),$F7&lt;=MAX($D$28)),SUMPRODUCT('BCA Guide - Parameter Values'!$C$6:$C$11,'Bike Safety CRTMeasure'!$G$7:$G$12)+'BCA Guide - Parameter Values'!$C$14*'Bike Safety CRTMeasure'!$G$6,0)</f>
        <v>0</v>
      </c>
      <c r="H7" s="1290">
        <f>IF(AND($F7&gt;=MIN($C$29),$F7&lt;=MAX($D$29)),SUMPRODUCT('BCA Guide - Parameter Values'!$C$6:$C$11,'Bike Safety CRTMeasure'!$G$19:$G$24)+'BCA Guide - Parameter Values'!$C$14*'Bike Safety CRTMeasure'!$G$18,0)</f>
        <v>0</v>
      </c>
      <c r="I7" s="1290">
        <f>IF(AND($F7&gt;=MIN($C$30),$F7&lt;=MAX($D$30)),SUMPRODUCT('BCA Guide - Parameter Values'!$C$6:$C$11,'Bike Safety CRTMeasure'!$G$31:$G$36)+'BCA Guide - Parameter Values'!$C$14*'Bike Safety CRTMeasure'!$G$30,0)</f>
        <v>0</v>
      </c>
      <c r="J7" s="1290">
        <f>IF(AND($F7&gt;=MIN($C$31),$F7&lt;=MAX($D$31)),SUMPRODUCT('BCA Guide - Parameter Values'!$C$6:$C$11,'Bike Safety CRTMeasure'!$G$43:$G$48)+'BCA Guide - Parameter Values'!$C$14*'Bike Safety CRTMeasure'!$G$42,0)</f>
        <v>0</v>
      </c>
      <c r="K7" s="1290">
        <f>IF(AND($F7&gt;=MIN($C$32),$F7&lt;=MAX($D$32)),SUMPRODUCT('BCA Guide - Parameter Values'!$C$6:$C$11,'Bike Safety CRTMeasure'!$G$68:$G$73)+'BCA Guide - Parameter Values'!$C$14*'Bike Safety CRTMeasure'!$G$67,0)</f>
        <v>0</v>
      </c>
      <c r="L7" s="1165">
        <f>IF(AND(F7&gt;='Major Assumption Key'!$B$4,F7&lt;='Major Assumption Key'!$B$6),SUM(G7:K7),0)</f>
        <v>0</v>
      </c>
      <c r="M7" s="1290">
        <f>IF(AND($F7&gt;=MIN($C$28),$F7&lt;=MAX($D$28)),SUMPRODUCT('BCA Guide - Parameter Values'!$C$6:$C$11,'Bike Safety CRTMeasure'!$H$7:$H$12)+'BCA Guide - Parameter Values'!$C$14*'Bike Safety CRTMeasure'!$H$6,0)</f>
        <v>0</v>
      </c>
      <c r="N7" s="1291">
        <f>IF(AND($F7&gt;=MIN($C$29),$F7&lt;=MAX($D$29)),SUMPRODUCT('BCA Guide - Parameter Values'!$C$6:$C$11,'Bike Safety CRTMeasure'!$H$19:$H$24)+'BCA Guide - Parameter Values'!$C$14*'Bike Safety CRTMeasure'!$H$18,0)</f>
        <v>0</v>
      </c>
      <c r="O7" s="1291">
        <f>IF(AND($F7&gt;=MIN($C$30),$F7&lt;=MAX($D$30)),SUMPRODUCT('BCA Guide - Parameter Values'!$C$6:$C$11,'Bike Safety CRTMeasure'!$H$31:$H$36)+'BCA Guide - Parameter Values'!$C$14*'Bike Safety CRTMeasure'!$H$30,0)</f>
        <v>0</v>
      </c>
      <c r="P7" s="1291">
        <f>IF(AND($F7&gt;=MIN($C$31),$F7&lt;=MAX($D$31)),SUMPRODUCT('BCA Guide - Parameter Values'!$C$6:$C$11,'Bike Safety CRTMeasure'!$H$43:$H$48)+'BCA Guide - Parameter Values'!$C$14*'Bike Safety CRTMeasure'!$H$42,0)</f>
        <v>0</v>
      </c>
      <c r="Q7" s="1291">
        <f>IF(AND($F7&gt;=MIN($C$32),$F7&lt;=MAX($D$32)),SUMPRODUCT('BCA Guide - Parameter Values'!$C$6:$C$11,'Bike Safety CRTMeasure'!$H$68:$H$73)+'BCA Guide - Parameter Values'!$C$14*'Bike Safety CRTMeasure'!$H$67,0)</f>
        <v>0</v>
      </c>
      <c r="R7" s="1199">
        <f>IF(AND(F7&gt;='Major Assumption Key'!$B$4,F7&lt;='Major Assumption Key'!$B$6),SUM(M7:Q7),0)</f>
        <v>0</v>
      </c>
      <c r="S7" s="1292">
        <f t="shared" ref="S7" si="0">(R7-L7)*-1</f>
        <v>0</v>
      </c>
      <c r="T7" s="1169">
        <f>S7/(1+'Major Assumption Key'!$B$8)^($F7-'Major Assumption Key'!$B$7)</f>
        <v>0</v>
      </c>
      <c r="U7" s="1281"/>
      <c r="V7" s="1165">
        <f t="shared" ref="V7:V48" si="1">ROUND(L7,-3)</f>
        <v>0</v>
      </c>
      <c r="W7" s="1199">
        <f t="shared" ref="W7:W48" si="2">ROUND(R7,-3)</f>
        <v>0</v>
      </c>
      <c r="X7" s="1292">
        <f t="shared" ref="X7:X48" si="3">ROUND(S7,-3)</f>
        <v>0</v>
      </c>
      <c r="Y7" s="1169">
        <f t="shared" ref="Y7:Y48" si="4">ROUND(T7,-3)</f>
        <v>0</v>
      </c>
    </row>
    <row r="8" spans="1:29" ht="19.95" customHeight="1">
      <c r="E8" s="1173"/>
      <c r="F8" s="1181">
        <f>'Major Assumption Key'!A20</f>
        <v>2021</v>
      </c>
      <c r="G8" s="1290">
        <f>IF(AND($F8&gt;=MIN($C$28),$F8&lt;=MAX($D$28)),SUMPRODUCT('BCA Guide - Parameter Values'!$C$6:$C$11,'Bike Safety CRTMeasure'!$G$7:$G$12)+'BCA Guide - Parameter Values'!$C$14*'Bike Safety CRTMeasure'!$G$6,0)</f>
        <v>0</v>
      </c>
      <c r="H8" s="1290">
        <f>IF(AND($F8&gt;=MIN($C$29),$F8&lt;=MAX($D$29)),SUMPRODUCT('BCA Guide - Parameter Values'!$C$6:$C$11,'Bike Safety CRTMeasure'!$G$19:$G$24)+'BCA Guide - Parameter Values'!$C$14*'Bike Safety CRTMeasure'!$G$18,0)</f>
        <v>0</v>
      </c>
      <c r="I8" s="1290">
        <f>IF(AND($F8&gt;=MIN($C$30),$F8&lt;=MAX($D$30)),SUMPRODUCT('BCA Guide - Parameter Values'!$C$6:$C$11,'Bike Safety CRTMeasure'!$G$31:$G$36)+'BCA Guide - Parameter Values'!$C$14*'Bike Safety CRTMeasure'!$G$30,0)</f>
        <v>0</v>
      </c>
      <c r="J8" s="1290">
        <f>IF(AND($F8&gt;=MIN($C$31),$F8&lt;=MAX($D$31)),SUMPRODUCT('BCA Guide - Parameter Values'!$C$6:$C$11,'Bike Safety CRTMeasure'!$G$43:$G$48)+'BCA Guide - Parameter Values'!$C$14*'Bike Safety CRTMeasure'!$G$42,0)</f>
        <v>0</v>
      </c>
      <c r="K8" s="1290">
        <f>IF(AND($F8&gt;=MIN($C$32),$F8&lt;=MAX($D$32)),SUMPRODUCT('BCA Guide - Parameter Values'!$C$6:$C$11,'Bike Safety CRTMeasure'!$G$68:$G$73)+'BCA Guide - Parameter Values'!$C$14*'Bike Safety CRTMeasure'!$G$67,0)</f>
        <v>0</v>
      </c>
      <c r="L8" s="1165">
        <f>IF(AND(F8&gt;='Major Assumption Key'!$B$4,F8&lt;='Major Assumption Key'!$B$6),SUM(G8:K8),0)</f>
        <v>0</v>
      </c>
      <c r="M8" s="1290">
        <f>IF(AND($F8&gt;=MIN($C$28),$F8&lt;=MAX($D$28)),SUMPRODUCT('BCA Guide - Parameter Values'!$C$6:$C$11,'Bike Safety CRTMeasure'!$H$7:$H$12)+'BCA Guide - Parameter Values'!$C$14*'Bike Safety CRTMeasure'!$H$6,0)</f>
        <v>0</v>
      </c>
      <c r="N8" s="1291">
        <f>IF(AND($F8&gt;=MIN($C$29),$F8&lt;=MAX($D$29)),SUMPRODUCT('BCA Guide - Parameter Values'!$C$6:$C$11,'Bike Safety CRTMeasure'!$H$19:$H$24)+'BCA Guide - Parameter Values'!$C$14*'Bike Safety CRTMeasure'!$H$18,0)</f>
        <v>0</v>
      </c>
      <c r="O8" s="1291">
        <f>IF(AND($F8&gt;=MIN($C$30),$F8&lt;=MAX($D$30)),SUMPRODUCT('BCA Guide - Parameter Values'!$C$6:$C$11,'Bike Safety CRTMeasure'!$H$31:$H$36)+'BCA Guide - Parameter Values'!$C$14*'Bike Safety CRTMeasure'!$H$30,0)</f>
        <v>0</v>
      </c>
      <c r="P8" s="1291">
        <f>IF(AND($F8&gt;=MIN($C$31),$F8&lt;=MAX($D$31)),SUMPRODUCT('BCA Guide - Parameter Values'!$C$6:$C$11,'Bike Safety CRTMeasure'!$H$43:$H$48)+'BCA Guide - Parameter Values'!$C$14*'Bike Safety CRTMeasure'!$H$42,0)</f>
        <v>0</v>
      </c>
      <c r="Q8" s="1291">
        <f>IF(AND($F8&gt;=MIN($C$32),$F8&lt;=MAX($D$32)),SUMPRODUCT('BCA Guide - Parameter Values'!$C$6:$C$11,'Bike Safety CRTMeasure'!$H$68:$H$73)+'BCA Guide - Parameter Values'!$C$14*'Bike Safety CRTMeasure'!$H$67,0)</f>
        <v>0</v>
      </c>
      <c r="R8" s="1199">
        <f>IF(AND(F8&gt;='Major Assumption Key'!$B$4,F8&lt;='Major Assumption Key'!$B$6),SUM(M8:Q8),0)</f>
        <v>0</v>
      </c>
      <c r="S8" s="1292">
        <f t="shared" ref="S8:S47" si="5">(R8-L8)*-1</f>
        <v>0</v>
      </c>
      <c r="T8" s="1169">
        <f>S8/(1+'Major Assumption Key'!$B$8)^($F8-'Major Assumption Key'!$B$7)</f>
        <v>0</v>
      </c>
      <c r="U8" s="1281"/>
      <c r="V8" s="1165">
        <f t="shared" ref="V8:V47" si="6">ROUND(L8,-3)</f>
        <v>0</v>
      </c>
      <c r="W8" s="1199">
        <f t="shared" ref="W8:W47" si="7">ROUND(R8,-3)</f>
        <v>0</v>
      </c>
      <c r="X8" s="1292">
        <f t="shared" ref="X8:X47" si="8">ROUND(S8,-3)</f>
        <v>0</v>
      </c>
      <c r="Y8" s="1169">
        <f t="shared" ref="Y8:Y47" si="9">ROUND(T8,-3)</f>
        <v>0</v>
      </c>
    </row>
    <row r="9" spans="1:29" ht="19.95" customHeight="1">
      <c r="A9" s="1859" t="s">
        <v>432</v>
      </c>
      <c r="B9" s="1860"/>
      <c r="C9" s="1860"/>
      <c r="D9" s="1861"/>
      <c r="E9" s="1173"/>
      <c r="F9" s="1181">
        <f>'Major Assumption Key'!A21</f>
        <v>2022</v>
      </c>
      <c r="G9" s="1290">
        <f>IF(AND($F9&gt;=MIN($C$28),$F9&lt;=MAX($D$28)),SUMPRODUCT('BCA Guide - Parameter Values'!$C$6:$C$11,'Bike Safety CRTMeasure'!$G$7:$G$12)+'BCA Guide - Parameter Values'!$C$14*'Bike Safety CRTMeasure'!$G$6,0)</f>
        <v>0</v>
      </c>
      <c r="H9" s="1290">
        <f>IF(AND($F9&gt;=MIN($C$29),$F9&lt;=MAX($D$29)),SUMPRODUCT('BCA Guide - Parameter Values'!$C$6:$C$11,'Bike Safety CRTMeasure'!$G$19:$G$24)+'BCA Guide - Parameter Values'!$C$14*'Bike Safety CRTMeasure'!$G$18,0)</f>
        <v>0</v>
      </c>
      <c r="I9" s="1290">
        <f>IF(AND($F9&gt;=MIN($C$30),$F9&lt;=MAX($D$30)),SUMPRODUCT('BCA Guide - Parameter Values'!$C$6:$C$11,'Bike Safety CRTMeasure'!$G$31:$G$36)+'BCA Guide - Parameter Values'!$C$14*'Bike Safety CRTMeasure'!$G$30,0)</f>
        <v>0</v>
      </c>
      <c r="J9" s="1290">
        <f>IF(AND($F9&gt;=MIN($C$31),$F9&lt;=MAX($D$31)),SUMPRODUCT('BCA Guide - Parameter Values'!$C$6:$C$11,'Bike Safety CRTMeasure'!$G$43:$G$48)+'BCA Guide - Parameter Values'!$C$14*'Bike Safety CRTMeasure'!$G$42,0)</f>
        <v>0</v>
      </c>
      <c r="K9" s="1290">
        <f>IF(AND($F9&gt;=MIN($C$32),$F9&lt;=MAX($D$32)),SUMPRODUCT('BCA Guide - Parameter Values'!$C$6:$C$11,'Bike Safety CRTMeasure'!$G$68:$G$73)+'BCA Guide - Parameter Values'!$C$14*'Bike Safety CRTMeasure'!$G$67,0)</f>
        <v>0</v>
      </c>
      <c r="L9" s="1165">
        <f>IF(AND(F9&gt;='Major Assumption Key'!$B$4,F9&lt;='Major Assumption Key'!$B$6),SUM(G9:K9),0)</f>
        <v>0</v>
      </c>
      <c r="M9" s="1290">
        <f>IF(AND($F9&gt;=MIN($C$28),$F9&lt;=MAX($D$28)),SUMPRODUCT('BCA Guide - Parameter Values'!$C$6:$C$11,'Bike Safety CRTMeasure'!$H$7:$H$12)+'BCA Guide - Parameter Values'!$C$14*'Bike Safety CRTMeasure'!$H$6,0)</f>
        <v>0</v>
      </c>
      <c r="N9" s="1291">
        <f>IF(AND($F9&gt;=MIN($C$29),$F9&lt;=MAX($D$29)),SUMPRODUCT('BCA Guide - Parameter Values'!$C$6:$C$11,'Bike Safety CRTMeasure'!$H$19:$H$24)+'BCA Guide - Parameter Values'!$C$14*'Bike Safety CRTMeasure'!$H$18,0)</f>
        <v>0</v>
      </c>
      <c r="O9" s="1291">
        <f>IF(AND($F9&gt;=MIN($C$30),$F9&lt;=MAX($D$30)),SUMPRODUCT('BCA Guide - Parameter Values'!$C$6:$C$11,'Bike Safety CRTMeasure'!$H$31:$H$36)+'BCA Guide - Parameter Values'!$C$14*'Bike Safety CRTMeasure'!$H$30,0)</f>
        <v>0</v>
      </c>
      <c r="P9" s="1291">
        <f>IF(AND($F9&gt;=MIN($C$31),$F9&lt;=MAX($D$31)),SUMPRODUCT('BCA Guide - Parameter Values'!$C$6:$C$11,'Bike Safety CRTMeasure'!$H$43:$H$48)+'BCA Guide - Parameter Values'!$C$14*'Bike Safety CRTMeasure'!$H$42,0)</f>
        <v>0</v>
      </c>
      <c r="Q9" s="1291">
        <f>IF(AND($F9&gt;=MIN($C$32),$F9&lt;=MAX($D$32)),SUMPRODUCT('BCA Guide - Parameter Values'!$C$6:$C$11,'Bike Safety CRTMeasure'!$H$68:$H$73)+'BCA Guide - Parameter Values'!$C$14*'Bike Safety CRTMeasure'!$H$67,0)</f>
        <v>0</v>
      </c>
      <c r="R9" s="1199">
        <f>IF(AND(F9&gt;='Major Assumption Key'!$B$4,F9&lt;='Major Assumption Key'!$B$6),SUM(M9:Q9),0)</f>
        <v>0</v>
      </c>
      <c r="S9" s="1292">
        <f t="shared" si="5"/>
        <v>0</v>
      </c>
      <c r="T9" s="1169">
        <f>S9/(1+'Major Assumption Key'!$B$8)^($F9-'Major Assumption Key'!$B$7)</f>
        <v>0</v>
      </c>
      <c r="U9" s="1281"/>
      <c r="V9" s="1165">
        <f t="shared" si="6"/>
        <v>0</v>
      </c>
      <c r="W9" s="1199">
        <f t="shared" si="7"/>
        <v>0</v>
      </c>
      <c r="X9" s="1292">
        <f t="shared" si="8"/>
        <v>0</v>
      </c>
      <c r="Y9" s="1169">
        <f t="shared" si="9"/>
        <v>0</v>
      </c>
    </row>
    <row r="10" spans="1:29" ht="19.95" customHeight="1">
      <c r="A10" s="1862" t="s">
        <v>418</v>
      </c>
      <c r="B10" s="1862"/>
      <c r="C10" s="1340" t="s">
        <v>419</v>
      </c>
      <c r="D10" s="1340" t="str">
        <f>_xlfn.CONCAT("Discounted @",TEXT('Major Assumption Key'!B8,"0.0%"))</f>
        <v>Discounted @3.1%</v>
      </c>
      <c r="E10" s="1173"/>
      <c r="F10" s="1181">
        <f>'Major Assumption Key'!A22</f>
        <v>2023</v>
      </c>
      <c r="G10" s="1290">
        <f>IF(AND($F10&gt;=MIN($C$28),$F10&lt;=MAX($D$28)),SUMPRODUCT('BCA Guide - Parameter Values'!$C$6:$C$11,'Bike Safety CRTMeasure'!$G$7:$G$12)+'BCA Guide - Parameter Values'!$C$14*'Bike Safety CRTMeasure'!$G$6,0)</f>
        <v>0</v>
      </c>
      <c r="H10" s="1290">
        <f>IF(AND($F10&gt;=MIN($C$29),$F10&lt;=MAX($D$29)),SUMPRODUCT('BCA Guide - Parameter Values'!$C$6:$C$11,'Bike Safety CRTMeasure'!$G$19:$G$24)+'BCA Guide - Parameter Values'!$C$14*'Bike Safety CRTMeasure'!$G$18,0)</f>
        <v>0</v>
      </c>
      <c r="I10" s="1290">
        <f>IF(AND($F10&gt;=MIN($C$30),$F10&lt;=MAX($D$30)),SUMPRODUCT('BCA Guide - Parameter Values'!$C$6:$C$11,'Bike Safety CRTMeasure'!$G$31:$G$36)+'BCA Guide - Parameter Values'!$C$14*'Bike Safety CRTMeasure'!$G$30,0)</f>
        <v>0</v>
      </c>
      <c r="J10" s="1290">
        <f>IF(AND($F10&gt;=MIN($C$31),$F10&lt;=MAX($D$31)),SUMPRODUCT('BCA Guide - Parameter Values'!$C$6:$C$11,'Bike Safety CRTMeasure'!$G$43:$G$48)+'BCA Guide - Parameter Values'!$C$14*'Bike Safety CRTMeasure'!$G$42,0)</f>
        <v>0</v>
      </c>
      <c r="K10" s="1290">
        <f>IF(AND($F10&gt;=MIN($C$32),$F10&lt;=MAX($D$32)),SUMPRODUCT('BCA Guide - Parameter Values'!$C$6:$C$11,'Bike Safety CRTMeasure'!$G$68:$G$73)+'BCA Guide - Parameter Values'!$C$14*'Bike Safety CRTMeasure'!$G$67,0)</f>
        <v>0</v>
      </c>
      <c r="L10" s="1165">
        <f>IF(AND(F10&gt;='Major Assumption Key'!$B$4,F10&lt;='Major Assumption Key'!$B$6),SUM(G10:K10),0)</f>
        <v>0</v>
      </c>
      <c r="M10" s="1290">
        <f>IF(AND($F10&gt;=MIN($C$28),$F10&lt;=MAX($D$28)),SUMPRODUCT('BCA Guide - Parameter Values'!$C$6:$C$11,'Bike Safety CRTMeasure'!$H$7:$H$12)+'BCA Guide - Parameter Values'!$C$14*'Bike Safety CRTMeasure'!$H$6,0)</f>
        <v>0</v>
      </c>
      <c r="N10" s="1291">
        <f>IF(AND($F10&gt;=MIN($C$29),$F10&lt;=MAX($D$29)),SUMPRODUCT('BCA Guide - Parameter Values'!$C$6:$C$11,'Bike Safety CRTMeasure'!$H$19:$H$24)+'BCA Guide - Parameter Values'!$C$14*'Bike Safety CRTMeasure'!$H$18,0)</f>
        <v>0</v>
      </c>
      <c r="O10" s="1291">
        <f>IF(AND($F10&gt;=MIN($C$30),$F10&lt;=MAX($D$30)),SUMPRODUCT('BCA Guide - Parameter Values'!$C$6:$C$11,'Bike Safety CRTMeasure'!$H$31:$H$36)+'BCA Guide - Parameter Values'!$C$14*'Bike Safety CRTMeasure'!$H$30,0)</f>
        <v>0</v>
      </c>
      <c r="P10" s="1291">
        <f>IF(AND($F10&gt;=MIN($C$31),$F10&lt;=MAX($D$31)),SUMPRODUCT('BCA Guide - Parameter Values'!$C$6:$C$11,'Bike Safety CRTMeasure'!$H$43:$H$48)+'BCA Guide - Parameter Values'!$C$14*'Bike Safety CRTMeasure'!$H$42,0)</f>
        <v>0</v>
      </c>
      <c r="Q10" s="1291">
        <f>IF(AND($F10&gt;=MIN($C$32),$F10&lt;=MAX($D$32)),SUMPRODUCT('BCA Guide - Parameter Values'!$C$6:$C$11,'Bike Safety CRTMeasure'!$H$68:$H$73)+'BCA Guide - Parameter Values'!$C$14*'Bike Safety CRTMeasure'!$H$67,0)</f>
        <v>0</v>
      </c>
      <c r="R10" s="1199">
        <f>IF(AND(F10&gt;='Major Assumption Key'!$B$4,F10&lt;='Major Assumption Key'!$B$6),SUM(M10:Q10),0)</f>
        <v>0</v>
      </c>
      <c r="S10" s="1292">
        <f t="shared" si="5"/>
        <v>0</v>
      </c>
      <c r="T10" s="1169">
        <f>S10/(1+'Major Assumption Key'!$B$8)^($F10-'Major Assumption Key'!$B$7)</f>
        <v>0</v>
      </c>
      <c r="U10" s="1281"/>
      <c r="V10" s="1165">
        <f t="shared" si="6"/>
        <v>0</v>
      </c>
      <c r="W10" s="1199">
        <f t="shared" si="7"/>
        <v>0</v>
      </c>
      <c r="X10" s="1292">
        <f t="shared" si="8"/>
        <v>0</v>
      </c>
      <c r="Y10" s="1169">
        <f t="shared" si="9"/>
        <v>0</v>
      </c>
    </row>
    <row r="11" spans="1:29" ht="19.95" customHeight="1">
      <c r="A11" s="1863" t="s">
        <v>11</v>
      </c>
      <c r="B11" s="1863"/>
      <c r="C11" s="1503">
        <f>'BCA Summary'!$H$7</f>
        <v>1.0111569298276737</v>
      </c>
      <c r="D11" s="1503">
        <f>'BCA Summary'!$I$7</f>
        <v>0.6276932096418345</v>
      </c>
      <c r="E11" s="1173"/>
      <c r="F11" s="1181">
        <f>'Major Assumption Key'!A23</f>
        <v>2024</v>
      </c>
      <c r="G11" s="1290">
        <f>IF(AND($F11&gt;=MIN($C$28),$F11&lt;=MAX($D$28)),SUMPRODUCT('BCA Guide - Parameter Values'!$C$6:$C$11,'Bike Safety CRTMeasure'!$G$7:$G$12)+'BCA Guide - Parameter Values'!$C$14*'Bike Safety CRTMeasure'!$G$6,0)</f>
        <v>0</v>
      </c>
      <c r="H11" s="1290">
        <f>IF(AND($F11&gt;=MIN($C$29),$F11&lt;=MAX($D$29)),SUMPRODUCT('BCA Guide - Parameter Values'!$C$6:$C$11,'Bike Safety CRTMeasure'!$G$19:$G$24)+'BCA Guide - Parameter Values'!$C$14*'Bike Safety CRTMeasure'!$G$18,0)</f>
        <v>0</v>
      </c>
      <c r="I11" s="1290">
        <f>IF(AND($F11&gt;=MIN($C$30),$F11&lt;=MAX($D$30)),SUMPRODUCT('BCA Guide - Parameter Values'!$C$6:$C$11,'Bike Safety CRTMeasure'!$G$31:$G$36)+'BCA Guide - Parameter Values'!$C$14*'Bike Safety CRTMeasure'!$G$30,0)</f>
        <v>0</v>
      </c>
      <c r="J11" s="1290">
        <f>IF(AND($F11&gt;=MIN($C$31),$F11&lt;=MAX($D$31)),SUMPRODUCT('BCA Guide - Parameter Values'!$C$6:$C$11,'Bike Safety CRTMeasure'!$G$43:$G$48)+'BCA Guide - Parameter Values'!$C$14*'Bike Safety CRTMeasure'!$G$42,0)</f>
        <v>0</v>
      </c>
      <c r="K11" s="1290">
        <f>IF(AND($F11&gt;=MIN($C$32),$F11&lt;=MAX($D$32)),SUMPRODUCT('BCA Guide - Parameter Values'!$C$6:$C$11,'Bike Safety CRTMeasure'!$G$68:$G$73)+'BCA Guide - Parameter Values'!$C$14*'Bike Safety CRTMeasure'!$G$67,0)</f>
        <v>0</v>
      </c>
      <c r="L11" s="1165">
        <f>IF(AND(F11&gt;='Major Assumption Key'!$B$4,F11&lt;='Major Assumption Key'!$B$6),SUM(G11:K11),0)</f>
        <v>0</v>
      </c>
      <c r="M11" s="1290">
        <f>IF(AND($F11&gt;=MIN($C$28),$F11&lt;=MAX($D$28)),SUMPRODUCT('BCA Guide - Parameter Values'!$C$6:$C$11,'Bike Safety CRTMeasure'!$H$7:$H$12)+'BCA Guide - Parameter Values'!$C$14*'Bike Safety CRTMeasure'!$H$6,0)</f>
        <v>0</v>
      </c>
      <c r="N11" s="1291">
        <f>IF(AND($F11&gt;=MIN($C$29),$F11&lt;=MAX($D$29)),SUMPRODUCT('BCA Guide - Parameter Values'!$C$6:$C$11,'Bike Safety CRTMeasure'!$H$19:$H$24)+'BCA Guide - Parameter Values'!$C$14*'Bike Safety CRTMeasure'!$H$18,0)</f>
        <v>0</v>
      </c>
      <c r="O11" s="1291">
        <f>IF(AND($F11&gt;=MIN($C$30),$F11&lt;=MAX($D$30)),SUMPRODUCT('BCA Guide - Parameter Values'!$C$6:$C$11,'Bike Safety CRTMeasure'!$H$31:$H$36)+'BCA Guide - Parameter Values'!$C$14*'Bike Safety CRTMeasure'!$H$30,0)</f>
        <v>0</v>
      </c>
      <c r="P11" s="1291">
        <f>IF(AND($F11&gt;=MIN($C$31),$F11&lt;=MAX($D$31)),SUMPRODUCT('BCA Guide - Parameter Values'!$C$6:$C$11,'Bike Safety CRTMeasure'!$H$43:$H$48)+'BCA Guide - Parameter Values'!$C$14*'Bike Safety CRTMeasure'!$H$42,0)</f>
        <v>0</v>
      </c>
      <c r="Q11" s="1291">
        <f>IF(AND($F11&gt;=MIN($C$32),$F11&lt;=MAX($D$32)),SUMPRODUCT('BCA Guide - Parameter Values'!$C$6:$C$11,'Bike Safety CRTMeasure'!$H$68:$H$73)+'BCA Guide - Parameter Values'!$C$14*'Bike Safety CRTMeasure'!$H$67,0)</f>
        <v>0</v>
      </c>
      <c r="R11" s="1199">
        <f>IF(AND(F11&gt;='Major Assumption Key'!$B$4,F11&lt;='Major Assumption Key'!$B$6),SUM(M11:Q11),0)</f>
        <v>0</v>
      </c>
      <c r="S11" s="1292">
        <f t="shared" si="5"/>
        <v>0</v>
      </c>
      <c r="T11" s="1169">
        <f>S11/(1+'Major Assumption Key'!$B$8)^($F11-'Major Assumption Key'!$B$7)</f>
        <v>0</v>
      </c>
      <c r="U11" s="1281"/>
      <c r="V11" s="1165">
        <f t="shared" si="6"/>
        <v>0</v>
      </c>
      <c r="W11" s="1199">
        <f t="shared" si="7"/>
        <v>0</v>
      </c>
      <c r="X11" s="1292">
        <f t="shared" si="8"/>
        <v>0</v>
      </c>
      <c r="Y11" s="1169">
        <f t="shared" si="9"/>
        <v>0</v>
      </c>
    </row>
    <row r="12" spans="1:29" ht="19.95" customHeight="1">
      <c r="A12" s="1863" t="s">
        <v>12</v>
      </c>
      <c r="B12" s="1863"/>
      <c r="C12" s="1340">
        <f>'BCA Summary'!$H$8</f>
        <v>236636.98382712901</v>
      </c>
      <c r="D12" s="1340">
        <f>'BCA Summary'!$I$8</f>
        <v>-6930297.4454113934</v>
      </c>
      <c r="E12" s="1173"/>
      <c r="F12" s="1181">
        <f>'Major Assumption Key'!A24</f>
        <v>2025</v>
      </c>
      <c r="G12" s="1290">
        <f>IF(AND($F12&gt;=MIN($C$28),$F12&lt;=MAX($D$28)),SUMPRODUCT('BCA Guide - Parameter Values'!$C$6:$C$11,'Bike Safety CRTMeasure'!$G$7:$G$12)+'BCA Guide - Parameter Values'!$C$14*'Bike Safety CRTMeasure'!$G$6,0)</f>
        <v>0</v>
      </c>
      <c r="H12" s="1290">
        <f>IF(AND($F12&gt;=MIN($C$29),$F12&lt;=MAX($D$29)),SUMPRODUCT('BCA Guide - Parameter Values'!$C$6:$C$11,'Bike Safety CRTMeasure'!$G$19:$G$24)+'BCA Guide - Parameter Values'!$C$14*'Bike Safety CRTMeasure'!$G$18,0)</f>
        <v>0</v>
      </c>
      <c r="I12" s="1290">
        <f>IF(AND($F12&gt;=MIN($C$30),$F12&lt;=MAX($D$30)),SUMPRODUCT('BCA Guide - Parameter Values'!$C$6:$C$11,'Bike Safety CRTMeasure'!$G$31:$G$36)+'BCA Guide - Parameter Values'!$C$14*'Bike Safety CRTMeasure'!$G$30,0)</f>
        <v>0</v>
      </c>
      <c r="J12" s="1290">
        <f>IF(AND($F12&gt;=MIN($C$31),$F12&lt;=MAX($D$31)),SUMPRODUCT('BCA Guide - Parameter Values'!$C$6:$C$11,'Bike Safety CRTMeasure'!$G$43:$G$48)+'BCA Guide - Parameter Values'!$C$14*'Bike Safety CRTMeasure'!$G$42,0)</f>
        <v>0</v>
      </c>
      <c r="K12" s="1290">
        <f>IF(AND($F12&gt;=MIN($C$32),$F12&lt;=MAX($D$32)),SUMPRODUCT('BCA Guide - Parameter Values'!$C$6:$C$11,'Bike Safety CRTMeasure'!$G$68:$G$73)+'BCA Guide - Parameter Values'!$C$14*'Bike Safety CRTMeasure'!$G$67,0)</f>
        <v>0</v>
      </c>
      <c r="L12" s="1165">
        <f>IF(AND(F12&gt;='Major Assumption Key'!$B$4,F12&lt;='Major Assumption Key'!$B$6),SUM(G12:K12),0)</f>
        <v>0</v>
      </c>
      <c r="M12" s="1290">
        <f>IF(AND($F12&gt;=MIN($C$28),$F12&lt;=MAX($D$28)),SUMPRODUCT('BCA Guide - Parameter Values'!$C$6:$C$11,'Bike Safety CRTMeasure'!$H$7:$H$12)+'BCA Guide - Parameter Values'!$C$14*'Bike Safety CRTMeasure'!$H$6,0)</f>
        <v>0</v>
      </c>
      <c r="N12" s="1291">
        <f>IF(AND($F12&gt;=MIN($C$29),$F12&lt;=MAX($D$29)),SUMPRODUCT('BCA Guide - Parameter Values'!$C$6:$C$11,'Bike Safety CRTMeasure'!$H$19:$H$24)+'BCA Guide - Parameter Values'!$C$14*'Bike Safety CRTMeasure'!$H$18,0)</f>
        <v>0</v>
      </c>
      <c r="O12" s="1291">
        <f>IF(AND($F12&gt;=MIN($C$30),$F12&lt;=MAX($D$30)),SUMPRODUCT('BCA Guide - Parameter Values'!$C$6:$C$11,'Bike Safety CRTMeasure'!$H$31:$H$36)+'BCA Guide - Parameter Values'!$C$14*'Bike Safety CRTMeasure'!$H$30,0)</f>
        <v>0</v>
      </c>
      <c r="P12" s="1291">
        <f>IF(AND($F12&gt;=MIN($C$31),$F12&lt;=MAX($D$31)),SUMPRODUCT('BCA Guide - Parameter Values'!$C$6:$C$11,'Bike Safety CRTMeasure'!$H$43:$H$48)+'BCA Guide - Parameter Values'!$C$14*'Bike Safety CRTMeasure'!$H$42,0)</f>
        <v>0</v>
      </c>
      <c r="Q12" s="1291">
        <f>IF(AND($F12&gt;=MIN($C$32),$F12&lt;=MAX($D$32)),SUMPRODUCT('BCA Guide - Parameter Values'!$C$6:$C$11,'Bike Safety CRTMeasure'!$H$68:$H$73)+'BCA Guide - Parameter Values'!$C$14*'Bike Safety CRTMeasure'!$H$67,0)</f>
        <v>0</v>
      </c>
      <c r="R12" s="1199">
        <f>IF(AND(F12&gt;='Major Assumption Key'!$B$4,F12&lt;='Major Assumption Key'!$B$6),SUM(M12:Q12),0)</f>
        <v>0</v>
      </c>
      <c r="S12" s="1292">
        <f t="shared" si="5"/>
        <v>0</v>
      </c>
      <c r="T12" s="1169">
        <f>S12/(1+'Major Assumption Key'!$B$8)^($F12-'Major Assumption Key'!$B$7)</f>
        <v>0</v>
      </c>
      <c r="U12" s="1281"/>
      <c r="V12" s="1165">
        <f t="shared" si="6"/>
        <v>0</v>
      </c>
      <c r="W12" s="1199">
        <f t="shared" si="7"/>
        <v>0</v>
      </c>
      <c r="X12" s="1292">
        <f t="shared" si="8"/>
        <v>0</v>
      </c>
      <c r="Y12" s="1169">
        <f t="shared" si="9"/>
        <v>0</v>
      </c>
    </row>
    <row r="13" spans="1:29" ht="19.95" customHeight="1">
      <c r="C13" s="1173"/>
      <c r="D13" s="1173"/>
      <c r="E13" s="1173"/>
      <c r="F13" s="1181">
        <f>'Major Assumption Key'!A25</f>
        <v>2026</v>
      </c>
      <c r="G13" s="1290">
        <f>IF(AND($F13&gt;=MIN($C$28),$F13&lt;=MAX($D$28)),SUMPRODUCT('BCA Guide - Parameter Values'!$C$6:$C$11,'Bike Safety CRTMeasure'!$G$7:$G$12)+'BCA Guide - Parameter Values'!$C$14*'Bike Safety CRTMeasure'!$G$6,0)</f>
        <v>0</v>
      </c>
      <c r="H13" s="1290">
        <f>IF(AND($F13&gt;=MIN($C$29),$F13&lt;=MAX($D$29)),SUMPRODUCT('BCA Guide - Parameter Values'!$C$6:$C$11,'Bike Safety CRTMeasure'!$G$19:$G$24)+'BCA Guide - Parameter Values'!$C$14*'Bike Safety CRTMeasure'!$G$18,0)</f>
        <v>0</v>
      </c>
      <c r="I13" s="1290">
        <f>IF(AND($F13&gt;=MIN($C$30),$F13&lt;=MAX($D$30)),SUMPRODUCT('BCA Guide - Parameter Values'!$C$6:$C$11,'Bike Safety CRTMeasure'!$G$31:$G$36)+'BCA Guide - Parameter Values'!$C$14*'Bike Safety CRTMeasure'!$G$30,0)</f>
        <v>0</v>
      </c>
      <c r="J13" s="1290">
        <f>IF(AND($F13&gt;=MIN($C$31),$F13&lt;=MAX($D$31)),SUMPRODUCT('BCA Guide - Parameter Values'!$C$6:$C$11,'Bike Safety CRTMeasure'!$G$43:$G$48)+'BCA Guide - Parameter Values'!$C$14*'Bike Safety CRTMeasure'!$G$42,0)</f>
        <v>0</v>
      </c>
      <c r="K13" s="1290">
        <f>IF(AND($F13&gt;=MIN($C$32),$F13&lt;=MAX($D$32)),SUMPRODUCT('BCA Guide - Parameter Values'!$C$6:$C$11,'Bike Safety CRTMeasure'!$G$68:$G$73)+'BCA Guide - Parameter Values'!$C$14*'Bike Safety CRTMeasure'!$G$67,0)</f>
        <v>0</v>
      </c>
      <c r="L13" s="1165">
        <f>IF(AND(F13&gt;='Major Assumption Key'!$B$4,F13&lt;='Major Assumption Key'!$B$6),SUM(G13:K13),0)</f>
        <v>0</v>
      </c>
      <c r="M13" s="1290">
        <f>IF(AND($F13&gt;=MIN($C$28),$F13&lt;=MAX($D$28)),SUMPRODUCT('BCA Guide - Parameter Values'!$C$6:$C$11,'Bike Safety CRTMeasure'!$H$7:$H$12)+'BCA Guide - Parameter Values'!$C$14*'Bike Safety CRTMeasure'!$H$6,0)</f>
        <v>0</v>
      </c>
      <c r="N13" s="1291">
        <f>IF(AND($F13&gt;=MIN($C$29),$F13&lt;=MAX($D$29)),SUMPRODUCT('BCA Guide - Parameter Values'!$C$6:$C$11,'Bike Safety CRTMeasure'!$H$19:$H$24)+'BCA Guide - Parameter Values'!$C$14*'Bike Safety CRTMeasure'!$H$18,0)</f>
        <v>0</v>
      </c>
      <c r="O13" s="1291">
        <f>IF(AND($F13&gt;=MIN($C$30),$F13&lt;=MAX($D$30)),SUMPRODUCT('BCA Guide - Parameter Values'!$C$6:$C$11,'Bike Safety CRTMeasure'!$H$31:$H$36)+'BCA Guide - Parameter Values'!$C$14*'Bike Safety CRTMeasure'!$H$30,0)</f>
        <v>0</v>
      </c>
      <c r="P13" s="1291">
        <f>IF(AND($F13&gt;=MIN($C$31),$F13&lt;=MAX($D$31)),SUMPRODUCT('BCA Guide - Parameter Values'!$C$6:$C$11,'Bike Safety CRTMeasure'!$H$43:$H$48)+'BCA Guide - Parameter Values'!$C$14*'Bike Safety CRTMeasure'!$H$42,0)</f>
        <v>0</v>
      </c>
      <c r="Q13" s="1291">
        <f>IF(AND($F13&gt;=MIN($C$32),$F13&lt;=MAX($D$32)),SUMPRODUCT('BCA Guide - Parameter Values'!$C$6:$C$11,'Bike Safety CRTMeasure'!$H$68:$H$73)+'BCA Guide - Parameter Values'!$C$14*'Bike Safety CRTMeasure'!$H$67,0)</f>
        <v>0</v>
      </c>
      <c r="R13" s="1199">
        <f>IF(AND(F13&gt;='Major Assumption Key'!$B$4,F13&lt;='Major Assumption Key'!$B$6),SUM(M13:Q13),0)</f>
        <v>0</v>
      </c>
      <c r="S13" s="1292">
        <f t="shared" si="5"/>
        <v>0</v>
      </c>
      <c r="T13" s="1169">
        <f>S13/(1+'Major Assumption Key'!$B$8)^($F13-'Major Assumption Key'!$B$7)</f>
        <v>0</v>
      </c>
      <c r="U13" s="1281"/>
      <c r="V13" s="1165">
        <f t="shared" si="6"/>
        <v>0</v>
      </c>
      <c r="W13" s="1199">
        <f t="shared" si="7"/>
        <v>0</v>
      </c>
      <c r="X13" s="1292">
        <f t="shared" si="8"/>
        <v>0</v>
      </c>
      <c r="Y13" s="1169">
        <f t="shared" si="9"/>
        <v>0</v>
      </c>
    </row>
    <row r="14" spans="1:29" ht="19.95" customHeight="1" thickBot="1">
      <c r="E14" s="1173"/>
      <c r="F14" s="1181">
        <f>'Major Assumption Key'!A26</f>
        <v>2027</v>
      </c>
      <c r="G14" s="1290">
        <f>IF(AND($F14&gt;=MIN($C$28),$F14&lt;=MAX($D$28)),SUMPRODUCT('BCA Guide - Parameter Values'!$C$6:$C$11,'Bike Safety CRTMeasure'!$G$7:$G$12)+'BCA Guide - Parameter Values'!$C$14*'Bike Safety CRTMeasure'!$G$6,0)</f>
        <v>0</v>
      </c>
      <c r="H14" s="1290">
        <f>IF(AND($F14&gt;=MIN($C$29),$F14&lt;=MAX($D$29)),SUMPRODUCT('BCA Guide - Parameter Values'!$C$6:$C$11,'Bike Safety CRTMeasure'!$G$19:$G$24)+'BCA Guide - Parameter Values'!$C$14*'Bike Safety CRTMeasure'!$G$18,0)</f>
        <v>0</v>
      </c>
      <c r="I14" s="1290">
        <f>IF(AND($F14&gt;=MIN($C$30),$F14&lt;=MAX($D$30)),SUMPRODUCT('BCA Guide - Parameter Values'!$C$6:$C$11,'Bike Safety CRTMeasure'!$G$31:$G$36)+'BCA Guide - Parameter Values'!$C$14*'Bike Safety CRTMeasure'!$G$30,0)</f>
        <v>0</v>
      </c>
      <c r="J14" s="1290">
        <f>IF(AND($F14&gt;=MIN($C$31),$F14&lt;=MAX($D$31)),SUMPRODUCT('BCA Guide - Parameter Values'!$C$6:$C$11,'Bike Safety CRTMeasure'!$G$43:$G$48)+'BCA Guide - Parameter Values'!$C$14*'Bike Safety CRTMeasure'!$G$42,0)</f>
        <v>0</v>
      </c>
      <c r="K14" s="1290">
        <f>IF(AND($F14&gt;=MIN($C$32),$F14&lt;=MAX($D$32)),SUMPRODUCT('BCA Guide - Parameter Values'!$C$6:$C$11,'Bike Safety CRTMeasure'!$G$68:$G$73)+'BCA Guide - Parameter Values'!$C$14*'Bike Safety CRTMeasure'!$G$67,0)</f>
        <v>0</v>
      </c>
      <c r="L14" s="1165">
        <f>IF(AND(F14&gt;='Major Assumption Key'!$B$4,F14&lt;='Major Assumption Key'!$B$6),SUM(G14:K14),0)</f>
        <v>0</v>
      </c>
      <c r="M14" s="1290">
        <f>IF(AND($F14&gt;=MIN($C$28),$F14&lt;=MAX($D$28)),SUMPRODUCT('BCA Guide - Parameter Values'!$C$6:$C$11,'Bike Safety CRTMeasure'!$H$7:$H$12)+'BCA Guide - Parameter Values'!$C$14*'Bike Safety CRTMeasure'!$H$6,0)</f>
        <v>0</v>
      </c>
      <c r="N14" s="1291">
        <f>IF(AND($F14&gt;=MIN($C$29),$F14&lt;=MAX($D$29)),SUMPRODUCT('BCA Guide - Parameter Values'!$C$6:$C$11,'Bike Safety CRTMeasure'!$H$19:$H$24)+'BCA Guide - Parameter Values'!$C$14*'Bike Safety CRTMeasure'!$H$18,0)</f>
        <v>0</v>
      </c>
      <c r="O14" s="1291">
        <f>IF(AND($F14&gt;=MIN($C$30),$F14&lt;=MAX($D$30)),SUMPRODUCT('BCA Guide - Parameter Values'!$C$6:$C$11,'Bike Safety CRTMeasure'!$H$31:$H$36)+'BCA Guide - Parameter Values'!$C$14*'Bike Safety CRTMeasure'!$H$30,0)</f>
        <v>0</v>
      </c>
      <c r="P14" s="1291">
        <f>IF(AND($F14&gt;=MIN($C$31),$F14&lt;=MAX($D$31)),SUMPRODUCT('BCA Guide - Parameter Values'!$C$6:$C$11,'Bike Safety CRTMeasure'!$H$43:$H$48)+'BCA Guide - Parameter Values'!$C$14*'Bike Safety CRTMeasure'!$H$42,0)</f>
        <v>0</v>
      </c>
      <c r="Q14" s="1291">
        <f>IF(AND($F14&gt;=MIN($C$32),$F14&lt;=MAX($D$32)),SUMPRODUCT('BCA Guide - Parameter Values'!$C$6:$C$11,'Bike Safety CRTMeasure'!$H$68:$H$73)+'BCA Guide - Parameter Values'!$C$14*'Bike Safety CRTMeasure'!$H$67,0)</f>
        <v>0</v>
      </c>
      <c r="R14" s="1199">
        <f>IF(AND(F14&gt;='Major Assumption Key'!$B$4,F14&lt;='Major Assumption Key'!$B$6),SUM(M14:Q14),0)</f>
        <v>0</v>
      </c>
      <c r="S14" s="1292">
        <f t="shared" si="5"/>
        <v>0</v>
      </c>
      <c r="T14" s="1169">
        <f>S14/(1+'Major Assumption Key'!$B$8)^($F14-'Major Assumption Key'!$B$7)</f>
        <v>0</v>
      </c>
      <c r="U14" s="1281"/>
      <c r="V14" s="1165">
        <f t="shared" si="6"/>
        <v>0</v>
      </c>
      <c r="W14" s="1199">
        <f t="shared" si="7"/>
        <v>0</v>
      </c>
      <c r="X14" s="1292">
        <f t="shared" si="8"/>
        <v>0</v>
      </c>
      <c r="Y14" s="1169">
        <f t="shared" si="9"/>
        <v>0</v>
      </c>
    </row>
    <row r="15" spans="1:29" ht="19.95" customHeight="1">
      <c r="A15" s="1293" t="s">
        <v>181</v>
      </c>
      <c r="B15" s="1294" t="s">
        <v>434</v>
      </c>
      <c r="C15" s="1877" t="s">
        <v>498</v>
      </c>
      <c r="D15" s="1878"/>
      <c r="E15" s="1173"/>
      <c r="F15" s="1181">
        <f>'Major Assumption Key'!A27</f>
        <v>2028</v>
      </c>
      <c r="G15" s="1290">
        <f>IF(AND($F15&gt;=MIN($C$28),$F15&lt;=MAX($D$28)),SUMPRODUCT('BCA Guide - Parameter Values'!$C$6:$C$11,'Bike Safety CRTMeasure'!$G$7:$G$12)+'BCA Guide - Parameter Values'!$C$14*'Bike Safety CRTMeasure'!$G$6,0)</f>
        <v>377600</v>
      </c>
      <c r="H15" s="1290">
        <f>IF(AND($F15&gt;=MIN($C$29),$F15&lt;=MAX($D$29)),SUMPRODUCT('BCA Guide - Parameter Values'!$C$6:$C$11,'Bike Safety CRTMeasure'!$G$19:$G$24)+'BCA Guide - Parameter Values'!$C$14*'Bike Safety CRTMeasure'!$G$18,0)</f>
        <v>0</v>
      </c>
      <c r="I15" s="1290">
        <f>IF(AND($F15&gt;=MIN($C$30),$F15&lt;=MAX($D$30)),SUMPRODUCT('BCA Guide - Parameter Values'!$C$6:$C$11,'Bike Safety CRTMeasure'!$G$31:$G$36)+'BCA Guide - Parameter Values'!$C$14*'Bike Safety CRTMeasure'!$G$30,0)</f>
        <v>0</v>
      </c>
      <c r="J15" s="1290">
        <f>IF(AND($F15&gt;=MIN($C$31),$F15&lt;=MAX($D$31)),SUMPRODUCT('BCA Guide - Parameter Values'!$C$6:$C$11,'Bike Safety CRTMeasure'!$G$43:$G$48)+'BCA Guide - Parameter Values'!$C$14*'Bike Safety CRTMeasure'!$G$42,0)</f>
        <v>0</v>
      </c>
      <c r="K15" s="1290">
        <f>IF(AND($F15&gt;=MIN($C$32),$F15&lt;=MAX($D$32)),SUMPRODUCT('BCA Guide - Parameter Values'!$C$6:$C$11,'Bike Safety CRTMeasure'!$G$68:$G$73)+'BCA Guide - Parameter Values'!$C$14*'Bike Safety CRTMeasure'!$G$67,0)</f>
        <v>0</v>
      </c>
      <c r="L15" s="1165">
        <f>IF(AND(F15&gt;='Major Assumption Key'!$B$4,F15&lt;='Major Assumption Key'!$B$6),SUM(G15:K15),0)</f>
        <v>377600</v>
      </c>
      <c r="M15" s="1290">
        <f>IF(AND($F15&gt;=MIN($C$28),$F15&lt;=MAX($D$28)),SUMPRODUCT('BCA Guide - Parameter Values'!$C$6:$C$11,'Bike Safety CRTMeasure'!$H$7:$H$12)+'BCA Guide - Parameter Values'!$C$14*'Bike Safety CRTMeasure'!$H$6,0)</f>
        <v>207680.00000000003</v>
      </c>
      <c r="N15" s="1291">
        <f>IF(AND($F15&gt;=MIN($C$29),$F15&lt;=MAX($D$29)),SUMPRODUCT('BCA Guide - Parameter Values'!$C$6:$C$11,'Bike Safety CRTMeasure'!$H$19:$H$24)+'BCA Guide - Parameter Values'!$C$14*'Bike Safety CRTMeasure'!$H$18,0)</f>
        <v>0</v>
      </c>
      <c r="O15" s="1291">
        <f>IF(AND($F15&gt;=MIN($C$30),$F15&lt;=MAX($D$30)),SUMPRODUCT('BCA Guide - Parameter Values'!$C$6:$C$11,'Bike Safety CRTMeasure'!$H$31:$H$36)+'BCA Guide - Parameter Values'!$C$14*'Bike Safety CRTMeasure'!$H$30,0)</f>
        <v>0</v>
      </c>
      <c r="P15" s="1291">
        <f>IF(AND($F15&gt;=MIN($C$31),$F15&lt;=MAX($D$31)),SUMPRODUCT('BCA Guide - Parameter Values'!$C$6:$C$11,'Bike Safety CRTMeasure'!$H$43:$H$48)+'BCA Guide - Parameter Values'!$C$14*'Bike Safety CRTMeasure'!$H$42,0)</f>
        <v>0</v>
      </c>
      <c r="Q15" s="1291">
        <f>IF(AND($F15&gt;=MIN($C$32),$F15&lt;=MAX($D$32)),SUMPRODUCT('BCA Guide - Parameter Values'!$C$6:$C$11,'Bike Safety CRTMeasure'!$H$68:$H$73)+'BCA Guide - Parameter Values'!$C$14*'Bike Safety CRTMeasure'!$H$67,0)</f>
        <v>0</v>
      </c>
      <c r="R15" s="1199">
        <f>IF(AND(F15&gt;='Major Assumption Key'!$B$4,F15&lt;='Major Assumption Key'!$B$6),SUM(M15:Q15),0)</f>
        <v>207680.00000000003</v>
      </c>
      <c r="S15" s="1292">
        <f t="shared" si="5"/>
        <v>169919.99999999997</v>
      </c>
      <c r="T15" s="1169">
        <f>S15/(1+'Major Assumption Key'!$B$8)^($F15-'Major Assumption Key'!$B$7)</f>
        <v>141479.17142584716</v>
      </c>
      <c r="U15" s="1281"/>
      <c r="V15" s="1165">
        <f t="shared" si="6"/>
        <v>378000</v>
      </c>
      <c r="W15" s="1199">
        <f t="shared" si="7"/>
        <v>208000</v>
      </c>
      <c r="X15" s="1292">
        <f t="shared" si="8"/>
        <v>170000</v>
      </c>
      <c r="Y15" s="1169">
        <f t="shared" si="9"/>
        <v>141000</v>
      </c>
    </row>
    <row r="16" spans="1:29" ht="19.95" customHeight="1">
      <c r="A16" s="1506" t="str">
        <f>'Major Assumption Key'!A3</f>
        <v>Project Open Year:</v>
      </c>
      <c r="B16" s="1135">
        <f>'Major Assumption Key'!$B$3</f>
        <v>2028</v>
      </c>
      <c r="C16" s="1173" t="s">
        <v>436</v>
      </c>
      <c r="D16" s="1507"/>
      <c r="E16" s="1173"/>
      <c r="F16" s="1181">
        <f>'Major Assumption Key'!A28</f>
        <v>2029</v>
      </c>
      <c r="G16" s="1290">
        <f>IF(AND($F16&gt;=MIN($C$28),$F16&lt;=MAX($D$28)),SUMPRODUCT('BCA Guide - Parameter Values'!$C$6:$C$11,'Bike Safety CRTMeasure'!$G$7:$G$12)+'BCA Guide - Parameter Values'!$C$14*'Bike Safety CRTMeasure'!$G$6,0)</f>
        <v>377600</v>
      </c>
      <c r="H16" s="1290">
        <f>IF(AND($F16&gt;=MIN($C$29),$F16&lt;=MAX($D$29)),SUMPRODUCT('BCA Guide - Parameter Values'!$C$6:$C$11,'Bike Safety CRTMeasure'!$G$19:$G$24)+'BCA Guide - Parameter Values'!$C$14*'Bike Safety CRTMeasure'!$G$18,0)</f>
        <v>0</v>
      </c>
      <c r="I16" s="1290">
        <f>IF(AND($F16&gt;=MIN($C$30),$F16&lt;=MAX($D$30)),SUMPRODUCT('BCA Guide - Parameter Values'!$C$6:$C$11,'Bike Safety CRTMeasure'!$G$31:$G$36)+'BCA Guide - Parameter Values'!$C$14*'Bike Safety CRTMeasure'!$G$30,0)</f>
        <v>0</v>
      </c>
      <c r="J16" s="1290">
        <f>IF(AND($F16&gt;=MIN($C$31),$F16&lt;=MAX($D$31)),SUMPRODUCT('BCA Guide - Parameter Values'!$C$6:$C$11,'Bike Safety CRTMeasure'!$G$43:$G$48)+'BCA Guide - Parameter Values'!$C$14*'Bike Safety CRTMeasure'!$G$42,0)</f>
        <v>0</v>
      </c>
      <c r="K16" s="1290">
        <f>IF(AND($F16&gt;=MIN($C$32),$F16&lt;=MAX($D$32)),SUMPRODUCT('BCA Guide - Parameter Values'!$C$6:$C$11,'Bike Safety CRTMeasure'!$G$68:$G$73)+'BCA Guide - Parameter Values'!$C$14*'Bike Safety CRTMeasure'!$G$67,0)</f>
        <v>0</v>
      </c>
      <c r="L16" s="1165">
        <f>IF(AND(F16&gt;='Major Assumption Key'!$B$4,F16&lt;='Major Assumption Key'!$B$6),SUM(G16:K16),0)</f>
        <v>377600</v>
      </c>
      <c r="M16" s="1290">
        <f>IF(AND($F16&gt;=MIN($C$28),$F16&lt;=MAX($D$28)),SUMPRODUCT('BCA Guide - Parameter Values'!$C$6:$C$11,'Bike Safety CRTMeasure'!$H$7:$H$12)+'BCA Guide - Parameter Values'!$C$14*'Bike Safety CRTMeasure'!$H$6,0)</f>
        <v>207680.00000000003</v>
      </c>
      <c r="N16" s="1291">
        <f>IF(AND($F16&gt;=MIN($C$29),$F16&lt;=MAX($D$29)),SUMPRODUCT('BCA Guide - Parameter Values'!$C$6:$C$11,'Bike Safety CRTMeasure'!$H$19:$H$24)+'BCA Guide - Parameter Values'!$C$14*'Bike Safety CRTMeasure'!$H$18,0)</f>
        <v>0</v>
      </c>
      <c r="O16" s="1291">
        <f>IF(AND($F16&gt;=MIN($C$30),$F16&lt;=MAX($D$30)),SUMPRODUCT('BCA Guide - Parameter Values'!$C$6:$C$11,'Bike Safety CRTMeasure'!$H$31:$H$36)+'BCA Guide - Parameter Values'!$C$14*'Bike Safety CRTMeasure'!$H$30,0)</f>
        <v>0</v>
      </c>
      <c r="P16" s="1291">
        <f>IF(AND($F16&gt;=MIN($C$31),$F16&lt;=MAX($D$31)),SUMPRODUCT('BCA Guide - Parameter Values'!$C$6:$C$11,'Bike Safety CRTMeasure'!$H$43:$H$48)+'BCA Guide - Parameter Values'!$C$14*'Bike Safety CRTMeasure'!$H$42,0)</f>
        <v>0</v>
      </c>
      <c r="Q16" s="1291">
        <f>IF(AND($F16&gt;=MIN($C$32),$F16&lt;=MAX($D$32)),SUMPRODUCT('BCA Guide - Parameter Values'!$C$6:$C$11,'Bike Safety CRTMeasure'!$H$68:$H$73)+'BCA Guide - Parameter Values'!$C$14*'Bike Safety CRTMeasure'!$H$67,0)</f>
        <v>0</v>
      </c>
      <c r="R16" s="1199">
        <f>IF(AND(F16&gt;='Major Assumption Key'!$B$4,F16&lt;='Major Assumption Key'!$B$6),SUM(M16:Q16),0)</f>
        <v>207680.00000000003</v>
      </c>
      <c r="S16" s="1292">
        <f t="shared" si="5"/>
        <v>169919.99999999997</v>
      </c>
      <c r="T16" s="1169">
        <f>S16/(1+'Major Assumption Key'!$B$8)^($F16-'Major Assumption Key'!$B$7)</f>
        <v>137225.19051973536</v>
      </c>
      <c r="U16" s="1281"/>
      <c r="V16" s="1165">
        <f t="shared" si="6"/>
        <v>378000</v>
      </c>
      <c r="W16" s="1199">
        <f t="shared" si="7"/>
        <v>208000</v>
      </c>
      <c r="X16" s="1292">
        <f t="shared" si="8"/>
        <v>170000</v>
      </c>
      <c r="Y16" s="1169">
        <f t="shared" si="9"/>
        <v>137000</v>
      </c>
    </row>
    <row r="17" spans="1:29" ht="19.95" customHeight="1">
      <c r="A17" s="1506" t="str">
        <f>'Major Assumption Key'!A4</f>
        <v>Planning Horizon Begin Year:</v>
      </c>
      <c r="B17" s="1135">
        <f>'Major Assumption Key'!$B$4</f>
        <v>2022</v>
      </c>
      <c r="C17" s="1173" t="s">
        <v>436</v>
      </c>
      <c r="D17" s="1289"/>
      <c r="E17" s="1173"/>
      <c r="F17" s="1181">
        <f>'Major Assumption Key'!A29</f>
        <v>2030</v>
      </c>
      <c r="G17" s="1290">
        <f>IF(AND($F17&gt;=MIN($C$28),$F17&lt;=MAX($D$28)),SUMPRODUCT('BCA Guide - Parameter Values'!$C$6:$C$11,'Bike Safety CRTMeasure'!$G$7:$G$12)+'BCA Guide - Parameter Values'!$C$14*'Bike Safety CRTMeasure'!$G$6,0)</f>
        <v>377600</v>
      </c>
      <c r="H17" s="1290">
        <f>IF(AND($F17&gt;=MIN($C$29),$F17&lt;=MAX($D$29)),SUMPRODUCT('BCA Guide - Parameter Values'!$C$6:$C$11,'Bike Safety CRTMeasure'!$G$19:$G$24)+'BCA Guide - Parameter Values'!$C$14*'Bike Safety CRTMeasure'!$G$18,0)</f>
        <v>0</v>
      </c>
      <c r="I17" s="1290">
        <f>IF(AND($F17&gt;=MIN($C$30),$F17&lt;=MAX($D$30)),SUMPRODUCT('BCA Guide - Parameter Values'!$C$6:$C$11,'Bike Safety CRTMeasure'!$G$31:$G$36)+'BCA Guide - Parameter Values'!$C$14*'Bike Safety CRTMeasure'!$G$30,0)</f>
        <v>0</v>
      </c>
      <c r="J17" s="1290">
        <f>IF(AND($F17&gt;=MIN($C$31),$F17&lt;=MAX($D$31)),SUMPRODUCT('BCA Guide - Parameter Values'!$C$6:$C$11,'Bike Safety CRTMeasure'!$G$43:$G$48)+'BCA Guide - Parameter Values'!$C$14*'Bike Safety CRTMeasure'!$G$42,0)</f>
        <v>0</v>
      </c>
      <c r="K17" s="1290">
        <f>IF(AND($F17&gt;=MIN($C$32),$F17&lt;=MAX($D$32)),SUMPRODUCT('BCA Guide - Parameter Values'!$C$6:$C$11,'Bike Safety CRTMeasure'!$G$68:$G$73)+'BCA Guide - Parameter Values'!$C$14*'Bike Safety CRTMeasure'!$G$67,0)</f>
        <v>0</v>
      </c>
      <c r="L17" s="1165">
        <f>IF(AND(F17&gt;='Major Assumption Key'!$B$4,F17&lt;='Major Assumption Key'!$B$6),SUM(G17:K17),0)</f>
        <v>377600</v>
      </c>
      <c r="M17" s="1290">
        <f>IF(AND($F17&gt;=MIN($C$28),$F17&lt;=MAX($D$28)),SUMPRODUCT('BCA Guide - Parameter Values'!$C$6:$C$11,'Bike Safety CRTMeasure'!$H$7:$H$12)+'BCA Guide - Parameter Values'!$C$14*'Bike Safety CRTMeasure'!$H$6,0)</f>
        <v>207680.00000000003</v>
      </c>
      <c r="N17" s="1291">
        <f>IF(AND($F17&gt;=MIN($C$29),$F17&lt;=MAX($D$29)),SUMPRODUCT('BCA Guide - Parameter Values'!$C$6:$C$11,'Bike Safety CRTMeasure'!$H$19:$H$24)+'BCA Guide - Parameter Values'!$C$14*'Bike Safety CRTMeasure'!$H$18,0)</f>
        <v>0</v>
      </c>
      <c r="O17" s="1291">
        <f>IF(AND($F17&gt;=MIN($C$30),$F17&lt;=MAX($D$30)),SUMPRODUCT('BCA Guide - Parameter Values'!$C$6:$C$11,'Bike Safety CRTMeasure'!$H$31:$H$36)+'BCA Guide - Parameter Values'!$C$14*'Bike Safety CRTMeasure'!$H$30,0)</f>
        <v>0</v>
      </c>
      <c r="P17" s="1291">
        <f>IF(AND($F17&gt;=MIN($C$31),$F17&lt;=MAX($D$31)),SUMPRODUCT('BCA Guide - Parameter Values'!$C$6:$C$11,'Bike Safety CRTMeasure'!$H$43:$H$48)+'BCA Guide - Parameter Values'!$C$14*'Bike Safety CRTMeasure'!$H$42,0)</f>
        <v>0</v>
      </c>
      <c r="Q17" s="1291">
        <f>IF(AND($F17&gt;=MIN($C$32),$F17&lt;=MAX($D$32)),SUMPRODUCT('BCA Guide - Parameter Values'!$C$6:$C$11,'Bike Safety CRTMeasure'!$H$68:$H$73)+'BCA Guide - Parameter Values'!$C$14*'Bike Safety CRTMeasure'!$H$67,0)</f>
        <v>0</v>
      </c>
      <c r="R17" s="1199">
        <f>IF(AND(F17&gt;='Major Assumption Key'!$B$4,F17&lt;='Major Assumption Key'!$B$6),SUM(M17:Q17),0)</f>
        <v>207680.00000000003</v>
      </c>
      <c r="S17" s="1292">
        <f t="shared" si="5"/>
        <v>169919.99999999997</v>
      </c>
      <c r="T17" s="1169">
        <f>S17/(1+'Major Assumption Key'!$B$8)^($F17-'Major Assumption Key'!$B$7)</f>
        <v>133099.11786589271</v>
      </c>
      <c r="U17" s="1281"/>
      <c r="V17" s="1165">
        <f t="shared" si="6"/>
        <v>378000</v>
      </c>
      <c r="W17" s="1199">
        <f t="shared" si="7"/>
        <v>208000</v>
      </c>
      <c r="X17" s="1292">
        <f t="shared" si="8"/>
        <v>170000</v>
      </c>
      <c r="Y17" s="1169">
        <f t="shared" si="9"/>
        <v>133000</v>
      </c>
    </row>
    <row r="18" spans="1:29" ht="19.95" customHeight="1">
      <c r="A18" s="1506" t="str">
        <f>'Major Assumption Key'!A6</f>
        <v>Planning Horizon End Year:</v>
      </c>
      <c r="B18" s="1135">
        <f>'Major Assumption Key'!$B$6</f>
        <v>2047</v>
      </c>
      <c r="C18" s="1173" t="s">
        <v>436</v>
      </c>
      <c r="D18" s="1289"/>
      <c r="E18" s="1173"/>
      <c r="F18" s="1181">
        <f>'Major Assumption Key'!A30</f>
        <v>2031</v>
      </c>
      <c r="G18" s="1290">
        <f>IF(AND($F18&gt;=MIN($C$28),$F18&lt;=MAX($D$28)),SUMPRODUCT('BCA Guide - Parameter Values'!$C$6:$C$11,'Bike Safety CRTMeasure'!$G$7:$G$12)+'BCA Guide - Parameter Values'!$C$14*'Bike Safety CRTMeasure'!$G$6,0)</f>
        <v>377600</v>
      </c>
      <c r="H18" s="1290">
        <f>IF(AND($F18&gt;=MIN($C$29),$F18&lt;=MAX($D$29)),SUMPRODUCT('BCA Guide - Parameter Values'!$C$6:$C$11,'Bike Safety CRTMeasure'!$G$19:$G$24)+'BCA Guide - Parameter Values'!$C$14*'Bike Safety CRTMeasure'!$G$18,0)</f>
        <v>0</v>
      </c>
      <c r="I18" s="1290">
        <f>IF(AND($F18&gt;=MIN($C$30),$F18&lt;=MAX($D$30)),SUMPRODUCT('BCA Guide - Parameter Values'!$C$6:$C$11,'Bike Safety CRTMeasure'!$G$31:$G$36)+'BCA Guide - Parameter Values'!$C$14*'Bike Safety CRTMeasure'!$G$30,0)</f>
        <v>0</v>
      </c>
      <c r="J18" s="1290">
        <f>IF(AND($F18&gt;=MIN($C$31),$F18&lt;=MAX($D$31)),SUMPRODUCT('BCA Guide - Parameter Values'!$C$6:$C$11,'Bike Safety CRTMeasure'!$G$43:$G$48)+'BCA Guide - Parameter Values'!$C$14*'Bike Safety CRTMeasure'!$G$42,0)</f>
        <v>0</v>
      </c>
      <c r="K18" s="1290">
        <f>IF(AND($F18&gt;=MIN($C$32),$F18&lt;=MAX($D$32)),SUMPRODUCT('BCA Guide - Parameter Values'!$C$6:$C$11,'Bike Safety CRTMeasure'!$G$68:$G$73)+'BCA Guide - Parameter Values'!$C$14*'Bike Safety CRTMeasure'!$G$67,0)</f>
        <v>0</v>
      </c>
      <c r="L18" s="1165">
        <f>IF(AND(F18&gt;='Major Assumption Key'!$B$4,F18&lt;='Major Assumption Key'!$B$6),SUM(G18:K18),0)</f>
        <v>377600</v>
      </c>
      <c r="M18" s="1290">
        <f>IF(AND($F18&gt;=MIN($C$28),$F18&lt;=MAX($D$28)),SUMPRODUCT('BCA Guide - Parameter Values'!$C$6:$C$11,'Bike Safety CRTMeasure'!$H$7:$H$12)+'BCA Guide - Parameter Values'!$C$14*'Bike Safety CRTMeasure'!$H$6,0)</f>
        <v>207680.00000000003</v>
      </c>
      <c r="N18" s="1291">
        <f>IF(AND($F18&gt;=MIN($C$29),$F18&lt;=MAX($D$29)),SUMPRODUCT('BCA Guide - Parameter Values'!$C$6:$C$11,'Bike Safety CRTMeasure'!$H$19:$H$24)+'BCA Guide - Parameter Values'!$C$14*'Bike Safety CRTMeasure'!$H$18,0)</f>
        <v>0</v>
      </c>
      <c r="O18" s="1291">
        <f>IF(AND($F18&gt;=MIN($C$30),$F18&lt;=MAX($D$30)),SUMPRODUCT('BCA Guide - Parameter Values'!$C$6:$C$11,'Bike Safety CRTMeasure'!$H$31:$H$36)+'BCA Guide - Parameter Values'!$C$14*'Bike Safety CRTMeasure'!$H$30,0)</f>
        <v>0</v>
      </c>
      <c r="P18" s="1291">
        <f>IF(AND($F18&gt;=MIN($C$31),$F18&lt;=MAX($D$31)),SUMPRODUCT('BCA Guide - Parameter Values'!$C$6:$C$11,'Bike Safety CRTMeasure'!$H$43:$H$48)+'BCA Guide - Parameter Values'!$C$14*'Bike Safety CRTMeasure'!$H$42,0)</f>
        <v>0</v>
      </c>
      <c r="Q18" s="1291">
        <f>IF(AND($F18&gt;=MIN($C$32),$F18&lt;=MAX($D$32)),SUMPRODUCT('BCA Guide - Parameter Values'!$C$6:$C$11,'Bike Safety CRTMeasure'!$H$68:$H$73)+'BCA Guide - Parameter Values'!$C$14*'Bike Safety CRTMeasure'!$H$67,0)</f>
        <v>0</v>
      </c>
      <c r="R18" s="1199">
        <f>IF(AND(F18&gt;='Major Assumption Key'!$B$4,F18&lt;='Major Assumption Key'!$B$6),SUM(M18:Q18),0)</f>
        <v>207680.00000000003</v>
      </c>
      <c r="S18" s="1292">
        <f t="shared" si="5"/>
        <v>169919.99999999997</v>
      </c>
      <c r="T18" s="1169">
        <f>S18/(1+'Major Assumption Key'!$B$8)^($F18-'Major Assumption Key'!$B$7)</f>
        <v>129097.10753238868</v>
      </c>
      <c r="U18" s="1281"/>
      <c r="V18" s="1165">
        <f t="shared" si="6"/>
        <v>378000</v>
      </c>
      <c r="W18" s="1199">
        <f t="shared" si="7"/>
        <v>208000</v>
      </c>
      <c r="X18" s="1292">
        <f t="shared" si="8"/>
        <v>170000</v>
      </c>
      <c r="Y18" s="1169">
        <f t="shared" si="9"/>
        <v>129000</v>
      </c>
    </row>
    <row r="19" spans="1:29" ht="19.95" customHeight="1">
      <c r="A19" s="1287" t="s">
        <v>7903</v>
      </c>
      <c r="B19" s="1288">
        <v>0.45</v>
      </c>
      <c r="C19" s="1195" t="s">
        <v>7904</v>
      </c>
      <c r="D19" s="1289"/>
      <c r="E19" s="1173"/>
      <c r="F19" s="1181">
        <f>'Major Assumption Key'!A31</f>
        <v>2032</v>
      </c>
      <c r="G19" s="1290">
        <f>IF(AND($F19&gt;=MIN($C$28),$F19&lt;=MAX($D$28)),SUMPRODUCT('BCA Guide - Parameter Values'!$C$6:$C$11,'Bike Safety CRTMeasure'!$G$7:$G$12)+'BCA Guide - Parameter Values'!$C$14*'Bike Safety CRTMeasure'!$G$6,0)</f>
        <v>377600</v>
      </c>
      <c r="H19" s="1290">
        <f>IF(AND($F19&gt;=MIN($C$29),$F19&lt;=MAX($D$29)),SUMPRODUCT('BCA Guide - Parameter Values'!$C$6:$C$11,'Bike Safety CRTMeasure'!$G$19:$G$24)+'BCA Guide - Parameter Values'!$C$14*'Bike Safety CRTMeasure'!$G$18,0)</f>
        <v>0</v>
      </c>
      <c r="I19" s="1290">
        <f>IF(AND($F19&gt;=MIN($C$30),$F19&lt;=MAX($D$30)),SUMPRODUCT('BCA Guide - Parameter Values'!$C$6:$C$11,'Bike Safety CRTMeasure'!$G$31:$G$36)+'BCA Guide - Parameter Values'!$C$14*'Bike Safety CRTMeasure'!$G$30,0)</f>
        <v>0</v>
      </c>
      <c r="J19" s="1290">
        <f>IF(AND($F19&gt;=MIN($C$31),$F19&lt;=MAX($D$31)),SUMPRODUCT('BCA Guide - Parameter Values'!$C$6:$C$11,'Bike Safety CRTMeasure'!$G$43:$G$48)+'BCA Guide - Parameter Values'!$C$14*'Bike Safety CRTMeasure'!$G$42,0)</f>
        <v>0</v>
      </c>
      <c r="K19" s="1290">
        <f>IF(AND($F19&gt;=MIN($C$32),$F19&lt;=MAX($D$32)),SUMPRODUCT('BCA Guide - Parameter Values'!$C$6:$C$11,'Bike Safety CRTMeasure'!$G$68:$G$73)+'BCA Guide - Parameter Values'!$C$14*'Bike Safety CRTMeasure'!$G$67,0)</f>
        <v>0</v>
      </c>
      <c r="L19" s="1165">
        <f>IF(AND(F19&gt;='Major Assumption Key'!$B$4,F19&lt;='Major Assumption Key'!$B$6),SUM(G19:K19),0)</f>
        <v>377600</v>
      </c>
      <c r="M19" s="1290">
        <f>IF(AND($F19&gt;=MIN($C$28),$F19&lt;=MAX($D$28)),SUMPRODUCT('BCA Guide - Parameter Values'!$C$6:$C$11,'Bike Safety CRTMeasure'!$H$7:$H$12)+'BCA Guide - Parameter Values'!$C$14*'Bike Safety CRTMeasure'!$H$6,0)</f>
        <v>207680.00000000003</v>
      </c>
      <c r="N19" s="1291">
        <f>IF(AND($F19&gt;=MIN($C$29),$F19&lt;=MAX($D$29)),SUMPRODUCT('BCA Guide - Parameter Values'!$C$6:$C$11,'Bike Safety CRTMeasure'!$H$19:$H$24)+'BCA Guide - Parameter Values'!$C$14*'Bike Safety CRTMeasure'!$H$18,0)</f>
        <v>0</v>
      </c>
      <c r="O19" s="1291">
        <f>IF(AND($F19&gt;=MIN($C$30),$F19&lt;=MAX($D$30)),SUMPRODUCT('BCA Guide - Parameter Values'!$C$6:$C$11,'Bike Safety CRTMeasure'!$H$31:$H$36)+'BCA Guide - Parameter Values'!$C$14*'Bike Safety CRTMeasure'!$H$30,0)</f>
        <v>0</v>
      </c>
      <c r="P19" s="1291">
        <f>IF(AND($F19&gt;=MIN($C$31),$F19&lt;=MAX($D$31)),SUMPRODUCT('BCA Guide - Parameter Values'!$C$6:$C$11,'Bike Safety CRTMeasure'!$H$43:$H$48)+'BCA Guide - Parameter Values'!$C$14*'Bike Safety CRTMeasure'!$H$42,0)</f>
        <v>0</v>
      </c>
      <c r="Q19" s="1291">
        <f>IF(AND($F19&gt;=MIN($C$32),$F19&lt;=MAX($D$32)),SUMPRODUCT('BCA Guide - Parameter Values'!$C$6:$C$11,'Bike Safety CRTMeasure'!$H$68:$H$73)+'BCA Guide - Parameter Values'!$C$14*'Bike Safety CRTMeasure'!$H$67,0)</f>
        <v>0</v>
      </c>
      <c r="R19" s="1199">
        <f>IF(AND(F19&gt;='Major Assumption Key'!$B$4,F19&lt;='Major Assumption Key'!$B$6),SUM(M19:Q19),0)</f>
        <v>207680.00000000003</v>
      </c>
      <c r="S19" s="1292">
        <f t="shared" si="5"/>
        <v>169919.99999999997</v>
      </c>
      <c r="T19" s="1169">
        <f>S19/(1+'Major Assumption Key'!$B$8)^($F19-'Major Assumption Key'!$B$7)</f>
        <v>125215.42922637117</v>
      </c>
      <c r="U19" s="1281"/>
      <c r="V19" s="1165">
        <f t="shared" si="6"/>
        <v>378000</v>
      </c>
      <c r="W19" s="1199">
        <f t="shared" si="7"/>
        <v>208000</v>
      </c>
      <c r="X19" s="1292">
        <f t="shared" si="8"/>
        <v>170000</v>
      </c>
      <c r="Y19" s="1169">
        <f t="shared" si="9"/>
        <v>125000</v>
      </c>
    </row>
    <row r="20" spans="1:29" ht="19.95" customHeight="1">
      <c r="A20" s="1287" t="s">
        <v>815</v>
      </c>
      <c r="B20" s="1288">
        <v>0</v>
      </c>
      <c r="C20" s="1195" t="s">
        <v>814</v>
      </c>
      <c r="D20" s="1289"/>
      <c r="E20" s="1173"/>
      <c r="F20" s="1181">
        <f>'Major Assumption Key'!A32</f>
        <v>2033</v>
      </c>
      <c r="G20" s="1290">
        <f>IF(AND($F20&gt;=MIN($C$28),$F20&lt;=MAX($D$28)),SUMPRODUCT('BCA Guide - Parameter Values'!$C$6:$C$11,'Bike Safety CRTMeasure'!$G$7:$G$12)+'BCA Guide - Parameter Values'!$C$14*'Bike Safety CRTMeasure'!$G$6,0)</f>
        <v>377600</v>
      </c>
      <c r="H20" s="1290">
        <f>IF(AND($F20&gt;=MIN($C$29),$F20&lt;=MAX($D$29)),SUMPRODUCT('BCA Guide - Parameter Values'!$C$6:$C$11,'Bike Safety CRTMeasure'!$G$19:$G$24)+'BCA Guide - Parameter Values'!$C$14*'Bike Safety CRTMeasure'!$G$18,0)</f>
        <v>0</v>
      </c>
      <c r="I20" s="1290">
        <f>IF(AND($F20&gt;=MIN($C$30),$F20&lt;=MAX($D$30)),SUMPRODUCT('BCA Guide - Parameter Values'!$C$6:$C$11,'Bike Safety CRTMeasure'!$G$31:$G$36)+'BCA Guide - Parameter Values'!$C$14*'Bike Safety CRTMeasure'!$G$30,0)</f>
        <v>0</v>
      </c>
      <c r="J20" s="1290">
        <f>IF(AND($F20&gt;=MIN($C$31),$F20&lt;=MAX($D$31)),SUMPRODUCT('BCA Guide - Parameter Values'!$C$6:$C$11,'Bike Safety CRTMeasure'!$G$43:$G$48)+'BCA Guide - Parameter Values'!$C$14*'Bike Safety CRTMeasure'!$G$42,0)</f>
        <v>0</v>
      </c>
      <c r="K20" s="1290">
        <f>IF(AND($F20&gt;=MIN($C$32),$F20&lt;=MAX($D$32)),SUMPRODUCT('BCA Guide - Parameter Values'!$C$6:$C$11,'Bike Safety CRTMeasure'!$G$68:$G$73)+'BCA Guide - Parameter Values'!$C$14*'Bike Safety CRTMeasure'!$G$67,0)</f>
        <v>0</v>
      </c>
      <c r="L20" s="1165">
        <f>IF(AND(F20&gt;='Major Assumption Key'!$B$4,F20&lt;='Major Assumption Key'!$B$6),SUM(G20:K20),0)</f>
        <v>377600</v>
      </c>
      <c r="M20" s="1290">
        <f>IF(AND($F20&gt;=MIN($C$28),$F20&lt;=MAX($D$28)),SUMPRODUCT('BCA Guide - Parameter Values'!$C$6:$C$11,'Bike Safety CRTMeasure'!$H$7:$H$12)+'BCA Guide - Parameter Values'!$C$14*'Bike Safety CRTMeasure'!$H$6,0)</f>
        <v>207680.00000000003</v>
      </c>
      <c r="N20" s="1291">
        <f>IF(AND($F20&gt;=MIN($C$29),$F20&lt;=MAX($D$29)),SUMPRODUCT('BCA Guide - Parameter Values'!$C$6:$C$11,'Bike Safety CRTMeasure'!$H$19:$H$24)+'BCA Guide - Parameter Values'!$C$14*'Bike Safety CRTMeasure'!$H$18,0)</f>
        <v>0</v>
      </c>
      <c r="O20" s="1291">
        <f>IF(AND($F20&gt;=MIN($C$30),$F20&lt;=MAX($D$30)),SUMPRODUCT('BCA Guide - Parameter Values'!$C$6:$C$11,'Bike Safety CRTMeasure'!$H$31:$H$36)+'BCA Guide - Parameter Values'!$C$14*'Bike Safety CRTMeasure'!$H$30,0)</f>
        <v>0</v>
      </c>
      <c r="P20" s="1291">
        <f>IF(AND($F20&gt;=MIN($C$31),$F20&lt;=MAX($D$31)),SUMPRODUCT('BCA Guide - Parameter Values'!$C$6:$C$11,'Bike Safety CRTMeasure'!$H$43:$H$48)+'BCA Guide - Parameter Values'!$C$14*'Bike Safety CRTMeasure'!$H$42,0)</f>
        <v>0</v>
      </c>
      <c r="Q20" s="1291">
        <f>IF(AND($F20&gt;=MIN($C$32),$F20&lt;=MAX($D$32)),SUMPRODUCT('BCA Guide - Parameter Values'!$C$6:$C$11,'Bike Safety CRTMeasure'!$H$68:$H$73)+'BCA Guide - Parameter Values'!$C$14*'Bike Safety CRTMeasure'!$H$67,0)</f>
        <v>0</v>
      </c>
      <c r="R20" s="1199">
        <f>IF(AND(F20&gt;='Major Assumption Key'!$B$4,F20&lt;='Major Assumption Key'!$B$6),SUM(M20:Q20),0)</f>
        <v>207680.00000000003</v>
      </c>
      <c r="S20" s="1292">
        <f t="shared" si="5"/>
        <v>169919.99999999997</v>
      </c>
      <c r="T20" s="1169">
        <f>S20/(1+'Major Assumption Key'!$B$8)^($F20-'Major Assumption Key'!$B$7)</f>
        <v>121450.46481704284</v>
      </c>
      <c r="U20" s="1281"/>
      <c r="V20" s="1165">
        <f t="shared" si="6"/>
        <v>378000</v>
      </c>
      <c r="W20" s="1199">
        <f t="shared" si="7"/>
        <v>208000</v>
      </c>
      <c r="X20" s="1292">
        <f t="shared" si="8"/>
        <v>170000</v>
      </c>
      <c r="Y20" s="1169">
        <f t="shared" si="9"/>
        <v>121000</v>
      </c>
    </row>
    <row r="21" spans="1:29" ht="19.95" customHeight="1">
      <c r="A21" s="1287" t="s">
        <v>816</v>
      </c>
      <c r="B21" s="1288">
        <v>0</v>
      </c>
      <c r="C21" s="1195" t="s">
        <v>814</v>
      </c>
      <c r="D21" s="1289"/>
      <c r="E21" s="1173"/>
      <c r="F21" s="1181">
        <f>'Major Assumption Key'!A33</f>
        <v>2034</v>
      </c>
      <c r="G21" s="1290">
        <f>IF(AND($F21&gt;=MIN($C$28),$F21&lt;=MAX($D$28)),SUMPRODUCT('BCA Guide - Parameter Values'!$C$6:$C$11,'Bike Safety CRTMeasure'!$G$7:$G$12)+'BCA Guide - Parameter Values'!$C$14*'Bike Safety CRTMeasure'!$G$6,0)</f>
        <v>377600</v>
      </c>
      <c r="H21" s="1290">
        <f>IF(AND($F21&gt;=MIN($C$29),$F21&lt;=MAX($D$29)),SUMPRODUCT('BCA Guide - Parameter Values'!$C$6:$C$11,'Bike Safety CRTMeasure'!$G$19:$G$24)+'BCA Guide - Parameter Values'!$C$14*'Bike Safety CRTMeasure'!$G$18,0)</f>
        <v>0</v>
      </c>
      <c r="I21" s="1290">
        <f>IF(AND($F21&gt;=MIN($C$30),$F21&lt;=MAX($D$30)),SUMPRODUCT('BCA Guide - Parameter Values'!$C$6:$C$11,'Bike Safety CRTMeasure'!$G$31:$G$36)+'BCA Guide - Parameter Values'!$C$14*'Bike Safety CRTMeasure'!$G$30,0)</f>
        <v>0</v>
      </c>
      <c r="J21" s="1290">
        <f>IF(AND($F21&gt;=MIN($C$31),$F21&lt;=MAX($D$31)),SUMPRODUCT('BCA Guide - Parameter Values'!$C$6:$C$11,'Bike Safety CRTMeasure'!$G$43:$G$48)+'BCA Guide - Parameter Values'!$C$14*'Bike Safety CRTMeasure'!$G$42,0)</f>
        <v>0</v>
      </c>
      <c r="K21" s="1290">
        <f>IF(AND($F21&gt;=MIN($C$32),$F21&lt;=MAX($D$32)),SUMPRODUCT('BCA Guide - Parameter Values'!$C$6:$C$11,'Bike Safety CRTMeasure'!$G$68:$G$73)+'BCA Guide - Parameter Values'!$C$14*'Bike Safety CRTMeasure'!$G$67,0)</f>
        <v>0</v>
      </c>
      <c r="L21" s="1165">
        <f>IF(AND(F21&gt;='Major Assumption Key'!$B$4,F21&lt;='Major Assumption Key'!$B$6),SUM(G21:K21),0)</f>
        <v>377600</v>
      </c>
      <c r="M21" s="1290">
        <f>IF(AND($F21&gt;=MIN($C$28),$F21&lt;=MAX($D$28)),SUMPRODUCT('BCA Guide - Parameter Values'!$C$6:$C$11,'Bike Safety CRTMeasure'!$H$7:$H$12)+'BCA Guide - Parameter Values'!$C$14*'Bike Safety CRTMeasure'!$H$6,0)</f>
        <v>207680.00000000003</v>
      </c>
      <c r="N21" s="1291">
        <f>IF(AND($F21&gt;=MIN($C$29),$F21&lt;=MAX($D$29)),SUMPRODUCT('BCA Guide - Parameter Values'!$C$6:$C$11,'Bike Safety CRTMeasure'!$H$19:$H$24)+'BCA Guide - Parameter Values'!$C$14*'Bike Safety CRTMeasure'!$H$18,0)</f>
        <v>0</v>
      </c>
      <c r="O21" s="1291">
        <f>IF(AND($F21&gt;=MIN($C$30),$F21&lt;=MAX($D$30)),SUMPRODUCT('BCA Guide - Parameter Values'!$C$6:$C$11,'Bike Safety CRTMeasure'!$H$31:$H$36)+'BCA Guide - Parameter Values'!$C$14*'Bike Safety CRTMeasure'!$H$30,0)</f>
        <v>0</v>
      </c>
      <c r="P21" s="1291">
        <f>IF(AND($F21&gt;=MIN($C$31),$F21&lt;=MAX($D$31)),SUMPRODUCT('BCA Guide - Parameter Values'!$C$6:$C$11,'Bike Safety CRTMeasure'!$H$43:$H$48)+'BCA Guide - Parameter Values'!$C$14*'Bike Safety CRTMeasure'!$H$42,0)</f>
        <v>0</v>
      </c>
      <c r="Q21" s="1291">
        <f>IF(AND($F21&gt;=MIN($C$32),$F21&lt;=MAX($D$32)),SUMPRODUCT('BCA Guide - Parameter Values'!$C$6:$C$11,'Bike Safety CRTMeasure'!$H$68:$H$73)+'BCA Guide - Parameter Values'!$C$14*'Bike Safety CRTMeasure'!$H$67,0)</f>
        <v>0</v>
      </c>
      <c r="R21" s="1199">
        <f>IF(AND(F21&gt;='Major Assumption Key'!$B$4,F21&lt;='Major Assumption Key'!$B$6),SUM(M21:Q21),0)</f>
        <v>207680.00000000003</v>
      </c>
      <c r="S21" s="1292">
        <f t="shared" si="5"/>
        <v>169919.99999999997</v>
      </c>
      <c r="T21" s="1169">
        <f>S21/(1+'Major Assumption Key'!$B$8)^($F21-'Major Assumption Key'!$B$7)</f>
        <v>117798.70496318414</v>
      </c>
      <c r="U21" s="1281"/>
      <c r="V21" s="1165">
        <f t="shared" si="6"/>
        <v>378000</v>
      </c>
      <c r="W21" s="1199">
        <f t="shared" si="7"/>
        <v>208000</v>
      </c>
      <c r="X21" s="1292">
        <f t="shared" si="8"/>
        <v>170000</v>
      </c>
      <c r="Y21" s="1169">
        <f t="shared" si="9"/>
        <v>118000</v>
      </c>
    </row>
    <row r="22" spans="1:29" ht="19.95" customHeight="1">
      <c r="A22" s="1287" t="s">
        <v>817</v>
      </c>
      <c r="B22" s="1288">
        <v>0</v>
      </c>
      <c r="C22" s="1195" t="s">
        <v>814</v>
      </c>
      <c r="D22" s="1289"/>
      <c r="E22" s="1173"/>
      <c r="F22" s="1181">
        <f>'Major Assumption Key'!A34</f>
        <v>2035</v>
      </c>
      <c r="G22" s="1290">
        <f>IF(AND($F22&gt;=MIN($C$28),$F22&lt;=MAX($D$28)),SUMPRODUCT('BCA Guide - Parameter Values'!$C$6:$C$11,'Bike Safety CRTMeasure'!$G$7:$G$12)+'BCA Guide - Parameter Values'!$C$14*'Bike Safety CRTMeasure'!$G$6,0)</f>
        <v>377600</v>
      </c>
      <c r="H22" s="1290">
        <f>IF(AND($F22&gt;=MIN($C$29),$F22&lt;=MAX($D$29)),SUMPRODUCT('BCA Guide - Parameter Values'!$C$6:$C$11,'Bike Safety CRTMeasure'!$G$19:$G$24)+'BCA Guide - Parameter Values'!$C$14*'Bike Safety CRTMeasure'!$G$18,0)</f>
        <v>0</v>
      </c>
      <c r="I22" s="1290">
        <f>IF(AND($F22&gt;=MIN($C$30),$F22&lt;=MAX($D$30)),SUMPRODUCT('BCA Guide - Parameter Values'!$C$6:$C$11,'Bike Safety CRTMeasure'!$G$31:$G$36)+'BCA Guide - Parameter Values'!$C$14*'Bike Safety CRTMeasure'!$G$30,0)</f>
        <v>0</v>
      </c>
      <c r="J22" s="1290">
        <f>IF(AND($F22&gt;=MIN($C$31),$F22&lt;=MAX($D$31)),SUMPRODUCT('BCA Guide - Parameter Values'!$C$6:$C$11,'Bike Safety CRTMeasure'!$G$43:$G$48)+'BCA Guide - Parameter Values'!$C$14*'Bike Safety CRTMeasure'!$G$42,0)</f>
        <v>0</v>
      </c>
      <c r="K22" s="1290">
        <f>IF(AND($F22&gt;=MIN($C$32),$F22&lt;=MAX($D$32)),SUMPRODUCT('BCA Guide - Parameter Values'!$C$6:$C$11,'Bike Safety CRTMeasure'!$G$68:$G$73)+'BCA Guide - Parameter Values'!$C$14*'Bike Safety CRTMeasure'!$G$67,0)</f>
        <v>0</v>
      </c>
      <c r="L22" s="1165">
        <f>IF(AND(F22&gt;='Major Assumption Key'!$B$4,F22&lt;='Major Assumption Key'!$B$6),SUM(G22:K22),0)</f>
        <v>377600</v>
      </c>
      <c r="M22" s="1290">
        <f>IF(AND($F22&gt;=MIN($C$28),$F22&lt;=MAX($D$28)),SUMPRODUCT('BCA Guide - Parameter Values'!$C$6:$C$11,'Bike Safety CRTMeasure'!$H$7:$H$12)+'BCA Guide - Parameter Values'!$C$14*'Bike Safety CRTMeasure'!$H$6,0)</f>
        <v>207680.00000000003</v>
      </c>
      <c r="N22" s="1291">
        <f>IF(AND($F22&gt;=MIN($C$29),$F22&lt;=MAX($D$29)),SUMPRODUCT('BCA Guide - Parameter Values'!$C$6:$C$11,'Bike Safety CRTMeasure'!$H$19:$H$24)+'BCA Guide - Parameter Values'!$C$14*'Bike Safety CRTMeasure'!$H$18,0)</f>
        <v>0</v>
      </c>
      <c r="O22" s="1291">
        <f>IF(AND($F22&gt;=MIN($C$30),$F22&lt;=MAX($D$30)),SUMPRODUCT('BCA Guide - Parameter Values'!$C$6:$C$11,'Bike Safety CRTMeasure'!$H$31:$H$36)+'BCA Guide - Parameter Values'!$C$14*'Bike Safety CRTMeasure'!$H$30,0)</f>
        <v>0</v>
      </c>
      <c r="P22" s="1291">
        <f>IF(AND($F22&gt;=MIN($C$31),$F22&lt;=MAX($D$31)),SUMPRODUCT('BCA Guide - Parameter Values'!$C$6:$C$11,'Bike Safety CRTMeasure'!$H$43:$H$48)+'BCA Guide - Parameter Values'!$C$14*'Bike Safety CRTMeasure'!$H$42,0)</f>
        <v>0</v>
      </c>
      <c r="Q22" s="1291">
        <f>IF(AND($F22&gt;=MIN($C$32),$F22&lt;=MAX($D$32)),SUMPRODUCT('BCA Guide - Parameter Values'!$C$6:$C$11,'Bike Safety CRTMeasure'!$H$68:$H$73)+'BCA Guide - Parameter Values'!$C$14*'Bike Safety CRTMeasure'!$H$67,0)</f>
        <v>0</v>
      </c>
      <c r="R22" s="1199">
        <f>IF(AND(F22&gt;='Major Assumption Key'!$B$4,F22&lt;='Major Assumption Key'!$B$6),SUM(M22:Q22),0)</f>
        <v>207680.00000000003</v>
      </c>
      <c r="S22" s="1292">
        <f t="shared" si="5"/>
        <v>169919.99999999997</v>
      </c>
      <c r="T22" s="1169">
        <f>S22/(1+'Major Assumption Key'!$B$8)^($F22-'Major Assumption Key'!$B$7)</f>
        <v>114256.74584207966</v>
      </c>
      <c r="U22" s="1281"/>
      <c r="V22" s="1165">
        <f t="shared" si="6"/>
        <v>378000</v>
      </c>
      <c r="W22" s="1199">
        <f t="shared" si="7"/>
        <v>208000</v>
      </c>
      <c r="X22" s="1292">
        <f t="shared" si="8"/>
        <v>170000</v>
      </c>
      <c r="Y22" s="1169">
        <f t="shared" si="9"/>
        <v>114000</v>
      </c>
    </row>
    <row r="23" spans="1:29" ht="19.95" customHeight="1">
      <c r="A23" s="1287" t="s">
        <v>818</v>
      </c>
      <c r="B23" s="1959" t="str">
        <f>VLOOKUP(A24,A35:B47,2,0)</f>
        <v>CRF</v>
      </c>
      <c r="D23" s="1289"/>
      <c r="E23" s="1173"/>
      <c r="F23" s="1181">
        <f>'Major Assumption Key'!A35</f>
        <v>2036</v>
      </c>
      <c r="G23" s="1290">
        <f>IF(AND($F23&gt;=MIN($C$28),$F23&lt;=MAX($D$28)),SUMPRODUCT('BCA Guide - Parameter Values'!$C$6:$C$11,'Bike Safety CRTMeasure'!$G$7:$G$12)+'BCA Guide - Parameter Values'!$C$14*'Bike Safety CRTMeasure'!$G$6,0)</f>
        <v>377600</v>
      </c>
      <c r="H23" s="1290">
        <f>IF(AND($F23&gt;=MIN($C$29),$F23&lt;=MAX($D$29)),SUMPRODUCT('BCA Guide - Parameter Values'!$C$6:$C$11,'Bike Safety CRTMeasure'!$G$19:$G$24)+'BCA Guide - Parameter Values'!$C$14*'Bike Safety CRTMeasure'!$G$18,0)</f>
        <v>0</v>
      </c>
      <c r="I23" s="1290">
        <f>IF(AND($F23&gt;=MIN($C$30),$F23&lt;=MAX($D$30)),SUMPRODUCT('BCA Guide - Parameter Values'!$C$6:$C$11,'Bike Safety CRTMeasure'!$G$31:$G$36)+'BCA Guide - Parameter Values'!$C$14*'Bike Safety CRTMeasure'!$G$30,0)</f>
        <v>0</v>
      </c>
      <c r="J23" s="1290">
        <f>IF(AND($F23&gt;=MIN($C$31),$F23&lt;=MAX($D$31)),SUMPRODUCT('BCA Guide - Parameter Values'!$C$6:$C$11,'Bike Safety CRTMeasure'!$G$43:$G$48)+'BCA Guide - Parameter Values'!$C$14*'Bike Safety CRTMeasure'!$G$42,0)</f>
        <v>0</v>
      </c>
      <c r="K23" s="1290">
        <f>IF(AND($F23&gt;=MIN($C$32),$F23&lt;=MAX($D$32)),SUMPRODUCT('BCA Guide - Parameter Values'!$C$6:$C$11,'Bike Safety CRTMeasure'!$G$68:$G$73)+'BCA Guide - Parameter Values'!$C$14*'Bike Safety CRTMeasure'!$G$67,0)</f>
        <v>0</v>
      </c>
      <c r="L23" s="1165">
        <f>IF(AND(F23&gt;='Major Assumption Key'!$B$4,F23&lt;='Major Assumption Key'!$B$6),SUM(G23:K23),0)</f>
        <v>377600</v>
      </c>
      <c r="M23" s="1290">
        <f>IF(AND($F23&gt;=MIN($C$28),$F23&lt;=MAX($D$28)),SUMPRODUCT('BCA Guide - Parameter Values'!$C$6:$C$11,'Bike Safety CRTMeasure'!$H$7:$H$12)+'BCA Guide - Parameter Values'!$C$14*'Bike Safety CRTMeasure'!$H$6,0)</f>
        <v>207680.00000000003</v>
      </c>
      <c r="N23" s="1291">
        <f>IF(AND($F23&gt;=MIN($C$29),$F23&lt;=MAX($D$29)),SUMPRODUCT('BCA Guide - Parameter Values'!$C$6:$C$11,'Bike Safety CRTMeasure'!$H$19:$H$24)+'BCA Guide - Parameter Values'!$C$14*'Bike Safety CRTMeasure'!$H$18,0)</f>
        <v>0</v>
      </c>
      <c r="O23" s="1291">
        <f>IF(AND($F23&gt;=MIN($C$30),$F23&lt;=MAX($D$30)),SUMPRODUCT('BCA Guide - Parameter Values'!$C$6:$C$11,'Bike Safety CRTMeasure'!$H$31:$H$36)+'BCA Guide - Parameter Values'!$C$14*'Bike Safety CRTMeasure'!$H$30,0)</f>
        <v>0</v>
      </c>
      <c r="P23" s="1291">
        <f>IF(AND($F23&gt;=MIN($C$31),$F23&lt;=MAX($D$31)),SUMPRODUCT('BCA Guide - Parameter Values'!$C$6:$C$11,'Bike Safety CRTMeasure'!$H$43:$H$48)+'BCA Guide - Parameter Values'!$C$14*'Bike Safety CRTMeasure'!$H$42,0)</f>
        <v>0</v>
      </c>
      <c r="Q23" s="1291">
        <f>IF(AND($F23&gt;=MIN($C$32),$F23&lt;=MAX($D$32)),SUMPRODUCT('BCA Guide - Parameter Values'!$C$6:$C$11,'Bike Safety CRTMeasure'!$H$68:$H$73)+'BCA Guide - Parameter Values'!$C$14*'Bike Safety CRTMeasure'!$H$67,0)</f>
        <v>0</v>
      </c>
      <c r="R23" s="1199">
        <f>IF(AND(F23&gt;='Major Assumption Key'!$B$4,F23&lt;='Major Assumption Key'!$B$6),SUM(M23:Q23),0)</f>
        <v>207680.00000000003</v>
      </c>
      <c r="S23" s="1292">
        <f t="shared" si="5"/>
        <v>169919.99999999997</v>
      </c>
      <c r="T23" s="1169">
        <f>S23/(1+'Major Assumption Key'!$B$8)^($F23-'Major Assumption Key'!$B$7)</f>
        <v>110821.28597679891</v>
      </c>
      <c r="U23" s="1281"/>
      <c r="V23" s="1165">
        <f t="shared" si="6"/>
        <v>378000</v>
      </c>
      <c r="W23" s="1199">
        <f t="shared" si="7"/>
        <v>208000</v>
      </c>
      <c r="X23" s="1292">
        <f t="shared" si="8"/>
        <v>170000</v>
      </c>
      <c r="Y23" s="1169">
        <f t="shared" si="9"/>
        <v>111000</v>
      </c>
    </row>
    <row r="24" spans="1:29" ht="19.95" customHeight="1" thickBot="1">
      <c r="A24" s="1677" t="s">
        <v>862</v>
      </c>
      <c r="B24" s="1960"/>
      <c r="C24" s="1678"/>
      <c r="D24" s="1312"/>
      <c r="E24" s="1173"/>
      <c r="F24" s="1181">
        <f>'Major Assumption Key'!A36</f>
        <v>2037</v>
      </c>
      <c r="G24" s="1290">
        <f>IF(AND($F24&gt;=MIN($C$28),$F24&lt;=MAX($D$28)),SUMPRODUCT('BCA Guide - Parameter Values'!$C$6:$C$11,'Bike Safety CRTMeasure'!$G$7:$G$12)+'BCA Guide - Parameter Values'!$C$14*'Bike Safety CRTMeasure'!$G$6,0)</f>
        <v>377600</v>
      </c>
      <c r="H24" s="1290">
        <f>IF(AND($F24&gt;=MIN($C$29),$F24&lt;=MAX($D$29)),SUMPRODUCT('BCA Guide - Parameter Values'!$C$6:$C$11,'Bike Safety CRTMeasure'!$G$19:$G$24)+'BCA Guide - Parameter Values'!$C$14*'Bike Safety CRTMeasure'!$G$18,0)</f>
        <v>0</v>
      </c>
      <c r="I24" s="1290">
        <f>IF(AND($F24&gt;=MIN($C$30),$F24&lt;=MAX($D$30)),SUMPRODUCT('BCA Guide - Parameter Values'!$C$6:$C$11,'Bike Safety CRTMeasure'!$G$31:$G$36)+'BCA Guide - Parameter Values'!$C$14*'Bike Safety CRTMeasure'!$G$30,0)</f>
        <v>0</v>
      </c>
      <c r="J24" s="1290">
        <f>IF(AND($F24&gt;=MIN($C$31),$F24&lt;=MAX($D$31)),SUMPRODUCT('BCA Guide - Parameter Values'!$C$6:$C$11,'Bike Safety CRTMeasure'!$G$43:$G$48)+'BCA Guide - Parameter Values'!$C$14*'Bike Safety CRTMeasure'!$G$42,0)</f>
        <v>0</v>
      </c>
      <c r="K24" s="1290">
        <f>IF(AND($F24&gt;=MIN($C$32),$F24&lt;=MAX($D$32)),SUMPRODUCT('BCA Guide - Parameter Values'!$C$6:$C$11,'Bike Safety CRTMeasure'!$G$68:$G$73)+'BCA Guide - Parameter Values'!$C$14*'Bike Safety CRTMeasure'!$G$67,0)</f>
        <v>0</v>
      </c>
      <c r="L24" s="1165">
        <f>IF(AND(F24&gt;='Major Assumption Key'!$B$4,F24&lt;='Major Assumption Key'!$B$6),SUM(G24:K24),0)</f>
        <v>377600</v>
      </c>
      <c r="M24" s="1290">
        <f>IF(AND($F24&gt;=MIN($C$28),$F24&lt;=MAX($D$28)),SUMPRODUCT('BCA Guide - Parameter Values'!$C$6:$C$11,'Bike Safety CRTMeasure'!$H$7:$H$12)+'BCA Guide - Parameter Values'!$C$14*'Bike Safety CRTMeasure'!$H$6,0)</f>
        <v>207680.00000000003</v>
      </c>
      <c r="N24" s="1291">
        <f>IF(AND($F24&gt;=MIN($C$29),$F24&lt;=MAX($D$29)),SUMPRODUCT('BCA Guide - Parameter Values'!$C$6:$C$11,'Bike Safety CRTMeasure'!$H$19:$H$24)+'BCA Guide - Parameter Values'!$C$14*'Bike Safety CRTMeasure'!$H$18,0)</f>
        <v>0</v>
      </c>
      <c r="O24" s="1291">
        <f>IF(AND($F24&gt;=MIN($C$30),$F24&lt;=MAX($D$30)),SUMPRODUCT('BCA Guide - Parameter Values'!$C$6:$C$11,'Bike Safety CRTMeasure'!$H$31:$H$36)+'BCA Guide - Parameter Values'!$C$14*'Bike Safety CRTMeasure'!$H$30,0)</f>
        <v>0</v>
      </c>
      <c r="P24" s="1291">
        <f>IF(AND($F24&gt;=MIN($C$31),$F24&lt;=MAX($D$31)),SUMPRODUCT('BCA Guide - Parameter Values'!$C$6:$C$11,'Bike Safety CRTMeasure'!$H$43:$H$48)+'BCA Guide - Parameter Values'!$C$14*'Bike Safety CRTMeasure'!$H$42,0)</f>
        <v>0</v>
      </c>
      <c r="Q24" s="1291">
        <f>IF(AND($F24&gt;=MIN($C$32),$F24&lt;=MAX($D$32)),SUMPRODUCT('BCA Guide - Parameter Values'!$C$6:$C$11,'Bike Safety CRTMeasure'!$H$68:$H$73)+'BCA Guide - Parameter Values'!$C$14*'Bike Safety CRTMeasure'!$H$67,0)</f>
        <v>0</v>
      </c>
      <c r="R24" s="1199">
        <f>IF(AND(F24&gt;='Major Assumption Key'!$B$4,F24&lt;='Major Assumption Key'!$B$6),SUM(M24:Q24),0)</f>
        <v>207680.00000000003</v>
      </c>
      <c r="S24" s="1292">
        <f t="shared" si="5"/>
        <v>169919.99999999997</v>
      </c>
      <c r="T24" s="1169">
        <f>S24/(1+'Major Assumption Key'!$B$8)^($F24-'Major Assumption Key'!$B$7)</f>
        <v>107489.12315887383</v>
      </c>
      <c r="U24" s="1281"/>
      <c r="V24" s="1165">
        <f t="shared" si="6"/>
        <v>378000</v>
      </c>
      <c r="W24" s="1199">
        <f t="shared" si="7"/>
        <v>208000</v>
      </c>
      <c r="X24" s="1292">
        <f t="shared" si="8"/>
        <v>170000</v>
      </c>
      <c r="Y24" s="1169">
        <f t="shared" si="9"/>
        <v>107000</v>
      </c>
    </row>
    <row r="25" spans="1:29" ht="19.95" customHeight="1">
      <c r="C25" s="1173"/>
      <c r="D25" s="1173"/>
      <c r="E25" s="1173"/>
      <c r="F25" s="1181">
        <f>'Major Assumption Key'!A37</f>
        <v>2038</v>
      </c>
      <c r="G25" s="1290">
        <f>IF(AND($F25&gt;=MIN($C$28),$F25&lt;=MAX($D$28)),SUMPRODUCT('BCA Guide - Parameter Values'!$C$6:$C$11,'Bike Safety CRTMeasure'!$G$7:$G$12)+'BCA Guide - Parameter Values'!$C$14*'Bike Safety CRTMeasure'!$G$6,0)</f>
        <v>377600</v>
      </c>
      <c r="H25" s="1290">
        <f>IF(AND($F25&gt;=MIN($C$29),$F25&lt;=MAX($D$29)),SUMPRODUCT('BCA Guide - Parameter Values'!$C$6:$C$11,'Bike Safety CRTMeasure'!$G$19:$G$24)+'BCA Guide - Parameter Values'!$C$14*'Bike Safety CRTMeasure'!$G$18,0)</f>
        <v>0</v>
      </c>
      <c r="I25" s="1290">
        <f>IF(AND($F25&gt;=MIN($C$30),$F25&lt;=MAX($D$30)),SUMPRODUCT('BCA Guide - Parameter Values'!$C$6:$C$11,'Bike Safety CRTMeasure'!$G$31:$G$36)+'BCA Guide - Parameter Values'!$C$14*'Bike Safety CRTMeasure'!$G$30,0)</f>
        <v>0</v>
      </c>
      <c r="J25" s="1290">
        <f>IF(AND($F25&gt;=MIN($C$31),$F25&lt;=MAX($D$31)),SUMPRODUCT('BCA Guide - Parameter Values'!$C$6:$C$11,'Bike Safety CRTMeasure'!$G$43:$G$48)+'BCA Guide - Parameter Values'!$C$14*'Bike Safety CRTMeasure'!$G$42,0)</f>
        <v>0</v>
      </c>
      <c r="K25" s="1290">
        <f>IF(AND($F25&gt;=MIN($C$32),$F25&lt;=MAX($D$32)),SUMPRODUCT('BCA Guide - Parameter Values'!$C$6:$C$11,'Bike Safety CRTMeasure'!$G$68:$G$73)+'BCA Guide - Parameter Values'!$C$14*'Bike Safety CRTMeasure'!$G$67,0)</f>
        <v>0</v>
      </c>
      <c r="L25" s="1165">
        <f>IF(AND(F25&gt;='Major Assumption Key'!$B$4,F25&lt;='Major Assumption Key'!$B$6),SUM(G25:K25),0)</f>
        <v>377600</v>
      </c>
      <c r="M25" s="1290">
        <f>IF(AND($F25&gt;=MIN($C$28),$F25&lt;=MAX($D$28)),SUMPRODUCT('BCA Guide - Parameter Values'!$C$6:$C$11,'Bike Safety CRTMeasure'!$H$7:$H$12)+'BCA Guide - Parameter Values'!$C$14*'Bike Safety CRTMeasure'!$H$6,0)</f>
        <v>207680.00000000003</v>
      </c>
      <c r="N25" s="1291">
        <f>IF(AND($F25&gt;=MIN($C$29),$F25&lt;=MAX($D$29)),SUMPRODUCT('BCA Guide - Parameter Values'!$C$6:$C$11,'Bike Safety CRTMeasure'!$H$19:$H$24)+'BCA Guide - Parameter Values'!$C$14*'Bike Safety CRTMeasure'!$H$18,0)</f>
        <v>0</v>
      </c>
      <c r="O25" s="1291">
        <f>IF(AND($F25&gt;=MIN($C$30),$F25&lt;=MAX($D$30)),SUMPRODUCT('BCA Guide - Parameter Values'!$C$6:$C$11,'Bike Safety CRTMeasure'!$H$31:$H$36)+'BCA Guide - Parameter Values'!$C$14*'Bike Safety CRTMeasure'!$H$30,0)</f>
        <v>0</v>
      </c>
      <c r="P25" s="1291">
        <f>IF(AND($F25&gt;=MIN($C$31),$F25&lt;=MAX($D$31)),SUMPRODUCT('BCA Guide - Parameter Values'!$C$6:$C$11,'Bike Safety CRTMeasure'!$H$43:$H$48)+'BCA Guide - Parameter Values'!$C$14*'Bike Safety CRTMeasure'!$H$42,0)</f>
        <v>0</v>
      </c>
      <c r="Q25" s="1291">
        <f>IF(AND($F25&gt;=MIN($C$32),$F25&lt;=MAX($D$32)),SUMPRODUCT('BCA Guide - Parameter Values'!$C$6:$C$11,'Bike Safety CRTMeasure'!$H$68:$H$73)+'BCA Guide - Parameter Values'!$C$14*'Bike Safety CRTMeasure'!$H$67,0)</f>
        <v>0</v>
      </c>
      <c r="R25" s="1199">
        <f>IF(AND(F25&gt;='Major Assumption Key'!$B$4,F25&lt;='Major Assumption Key'!$B$6),SUM(M25:Q25),0)</f>
        <v>207680.00000000003</v>
      </c>
      <c r="S25" s="1292">
        <f t="shared" si="5"/>
        <v>169919.99999999997</v>
      </c>
      <c r="T25" s="1169">
        <f>S25/(1+'Major Assumption Key'!$B$8)^($F25-'Major Assumption Key'!$B$7)</f>
        <v>104257.15146350517</v>
      </c>
      <c r="U25" s="1281"/>
      <c r="V25" s="1165">
        <f t="shared" si="6"/>
        <v>378000</v>
      </c>
      <c r="W25" s="1199">
        <f t="shared" si="7"/>
        <v>208000</v>
      </c>
      <c r="X25" s="1292">
        <f t="shared" si="8"/>
        <v>170000</v>
      </c>
      <c r="Y25" s="1169">
        <f t="shared" si="9"/>
        <v>104000</v>
      </c>
    </row>
    <row r="26" spans="1:29" ht="19.95" customHeight="1" thickBot="1">
      <c r="C26" s="1173"/>
      <c r="D26" s="1173"/>
      <c r="E26" s="1173"/>
      <c r="F26" s="1181">
        <f>'Major Assumption Key'!A38</f>
        <v>2039</v>
      </c>
      <c r="G26" s="1290">
        <f>IF(AND($F26&gt;=MIN($C$28),$F26&lt;=MAX($D$28)),SUMPRODUCT('BCA Guide - Parameter Values'!$C$6:$C$11,'Bike Safety CRTMeasure'!$G$7:$G$12)+'BCA Guide - Parameter Values'!$C$14*'Bike Safety CRTMeasure'!$G$6,0)</f>
        <v>377600</v>
      </c>
      <c r="H26" s="1290">
        <f>IF(AND($F26&gt;=MIN($C$29),$F26&lt;=MAX($D$29)),SUMPRODUCT('BCA Guide - Parameter Values'!$C$6:$C$11,'Bike Safety CRTMeasure'!$G$19:$G$24)+'BCA Guide - Parameter Values'!$C$14*'Bike Safety CRTMeasure'!$G$18,0)</f>
        <v>0</v>
      </c>
      <c r="I26" s="1290">
        <f>IF(AND($F26&gt;=MIN($C$30),$F26&lt;=MAX($D$30)),SUMPRODUCT('BCA Guide - Parameter Values'!$C$6:$C$11,'Bike Safety CRTMeasure'!$G$31:$G$36)+'BCA Guide - Parameter Values'!$C$14*'Bike Safety CRTMeasure'!$G$30,0)</f>
        <v>0</v>
      </c>
      <c r="J26" s="1290">
        <f>IF(AND($F26&gt;=MIN($C$31),$F26&lt;=MAX($D$31)),SUMPRODUCT('BCA Guide - Parameter Values'!$C$6:$C$11,'Bike Safety CRTMeasure'!$G$43:$G$48)+'BCA Guide - Parameter Values'!$C$14*'Bike Safety CRTMeasure'!$G$42,0)</f>
        <v>0</v>
      </c>
      <c r="K26" s="1290">
        <f>IF(AND($F26&gt;=MIN($C$32),$F26&lt;=MAX($D$32)),SUMPRODUCT('BCA Guide - Parameter Values'!$C$6:$C$11,'Bike Safety CRTMeasure'!$G$68:$G$73)+'BCA Guide - Parameter Values'!$C$14*'Bike Safety CRTMeasure'!$G$67,0)</f>
        <v>0</v>
      </c>
      <c r="L26" s="1165">
        <f>IF(AND(F26&gt;='Major Assumption Key'!$B$4,F26&lt;='Major Assumption Key'!$B$6),SUM(G26:K26),0)</f>
        <v>377600</v>
      </c>
      <c r="M26" s="1290">
        <f>IF(AND($F26&gt;=MIN($C$28),$F26&lt;=MAX($D$28)),SUMPRODUCT('BCA Guide - Parameter Values'!$C$6:$C$11,'Bike Safety CRTMeasure'!$H$7:$H$12)+'BCA Guide - Parameter Values'!$C$14*'Bike Safety CRTMeasure'!$H$6,0)</f>
        <v>207680.00000000003</v>
      </c>
      <c r="N26" s="1291">
        <f>IF(AND($F26&gt;=MIN($C$29),$F26&lt;=MAX($D$29)),SUMPRODUCT('BCA Guide - Parameter Values'!$C$6:$C$11,'Bike Safety CRTMeasure'!$H$19:$H$24)+'BCA Guide - Parameter Values'!$C$14*'Bike Safety CRTMeasure'!$H$18,0)</f>
        <v>0</v>
      </c>
      <c r="O26" s="1291">
        <f>IF(AND($F26&gt;=MIN($C$30),$F26&lt;=MAX($D$30)),SUMPRODUCT('BCA Guide - Parameter Values'!$C$6:$C$11,'Bike Safety CRTMeasure'!$H$31:$H$36)+'BCA Guide - Parameter Values'!$C$14*'Bike Safety CRTMeasure'!$H$30,0)</f>
        <v>0</v>
      </c>
      <c r="P26" s="1291">
        <f>IF(AND($F26&gt;=MIN($C$31),$F26&lt;=MAX($D$31)),SUMPRODUCT('BCA Guide - Parameter Values'!$C$6:$C$11,'Bike Safety CRTMeasure'!$H$43:$H$48)+'BCA Guide - Parameter Values'!$C$14*'Bike Safety CRTMeasure'!$H$42,0)</f>
        <v>0</v>
      </c>
      <c r="Q26" s="1291">
        <f>IF(AND($F26&gt;=MIN($C$32),$F26&lt;=MAX($D$32)),SUMPRODUCT('BCA Guide - Parameter Values'!$C$6:$C$11,'Bike Safety CRTMeasure'!$H$68:$H$73)+'BCA Guide - Parameter Values'!$C$14*'Bike Safety CRTMeasure'!$H$67,0)</f>
        <v>0</v>
      </c>
      <c r="R26" s="1199">
        <f>IF(AND(F26&gt;='Major Assumption Key'!$B$4,F26&lt;='Major Assumption Key'!$B$6),SUM(M26:Q26),0)</f>
        <v>207680.00000000003</v>
      </c>
      <c r="S26" s="1292">
        <f t="shared" si="5"/>
        <v>169919.99999999997</v>
      </c>
      <c r="T26" s="1169">
        <f>S26/(1+'Major Assumption Key'!$B$8)^($F26-'Major Assumption Key'!$B$7)</f>
        <v>101122.35835451521</v>
      </c>
      <c r="U26" s="1281"/>
      <c r="V26" s="1165">
        <f t="shared" si="6"/>
        <v>378000</v>
      </c>
      <c r="W26" s="1199">
        <f t="shared" si="7"/>
        <v>208000</v>
      </c>
      <c r="X26" s="1292">
        <f t="shared" si="8"/>
        <v>170000</v>
      </c>
      <c r="Y26" s="1169">
        <f t="shared" si="9"/>
        <v>101000</v>
      </c>
    </row>
    <row r="27" spans="1:29" ht="19.95" customHeight="1">
      <c r="A27" s="1293" t="s">
        <v>821</v>
      </c>
      <c r="B27" s="1294" t="s">
        <v>822</v>
      </c>
      <c r="C27" s="1294" t="s">
        <v>823</v>
      </c>
      <c r="D27" s="1295" t="s">
        <v>824</v>
      </c>
      <c r="E27" s="1173"/>
      <c r="F27" s="1181">
        <f>'Major Assumption Key'!A39</f>
        <v>2040</v>
      </c>
      <c r="G27" s="1290">
        <f>IF(AND($F27&gt;=MIN($C$28),$F27&lt;=MAX($D$28)),SUMPRODUCT('BCA Guide - Parameter Values'!$C$6:$C$11,'Bike Safety CRTMeasure'!$G$7:$G$12)+'BCA Guide - Parameter Values'!$C$14*'Bike Safety CRTMeasure'!$G$6,0)</f>
        <v>377600</v>
      </c>
      <c r="H27" s="1290">
        <f>IF(AND($F27&gt;=MIN($C$29),$F27&lt;=MAX($D$29)),SUMPRODUCT('BCA Guide - Parameter Values'!$C$6:$C$11,'Bike Safety CRTMeasure'!$G$19:$G$24)+'BCA Guide - Parameter Values'!$C$14*'Bike Safety CRTMeasure'!$G$18,0)</f>
        <v>0</v>
      </c>
      <c r="I27" s="1290">
        <f>IF(AND($F27&gt;=MIN($C$30),$F27&lt;=MAX($D$30)),SUMPRODUCT('BCA Guide - Parameter Values'!$C$6:$C$11,'Bike Safety CRTMeasure'!$G$31:$G$36)+'BCA Guide - Parameter Values'!$C$14*'Bike Safety CRTMeasure'!$G$30,0)</f>
        <v>0</v>
      </c>
      <c r="J27" s="1290">
        <f>IF(AND($F27&gt;=MIN($C$31),$F27&lt;=MAX($D$31)),SUMPRODUCT('BCA Guide - Parameter Values'!$C$6:$C$11,'Bike Safety CRTMeasure'!$G$43:$G$48)+'BCA Guide - Parameter Values'!$C$14*'Bike Safety CRTMeasure'!$G$42,0)</f>
        <v>0</v>
      </c>
      <c r="K27" s="1290">
        <f>IF(AND($F27&gt;=MIN($C$32),$F27&lt;=MAX($D$32)),SUMPRODUCT('BCA Guide - Parameter Values'!$C$6:$C$11,'Bike Safety CRTMeasure'!$G$68:$G$73)+'BCA Guide - Parameter Values'!$C$14*'Bike Safety CRTMeasure'!$G$67,0)</f>
        <v>0</v>
      </c>
      <c r="L27" s="1165">
        <f>IF(AND(F27&gt;='Major Assumption Key'!$B$4,F27&lt;='Major Assumption Key'!$B$6),SUM(G27:K27),0)</f>
        <v>377600</v>
      </c>
      <c r="M27" s="1290">
        <f>IF(AND($F27&gt;=MIN($C$28),$F27&lt;=MAX($D$28)),SUMPRODUCT('BCA Guide - Parameter Values'!$C$6:$C$11,'Bike Safety CRTMeasure'!$H$7:$H$12)+'BCA Guide - Parameter Values'!$C$14*'Bike Safety CRTMeasure'!$H$6,0)</f>
        <v>207680.00000000003</v>
      </c>
      <c r="N27" s="1291">
        <f>IF(AND($F27&gt;=MIN($C$29),$F27&lt;=MAX($D$29)),SUMPRODUCT('BCA Guide - Parameter Values'!$C$6:$C$11,'Bike Safety CRTMeasure'!$H$19:$H$24)+'BCA Guide - Parameter Values'!$C$14*'Bike Safety CRTMeasure'!$H$18,0)</f>
        <v>0</v>
      </c>
      <c r="O27" s="1291">
        <f>IF(AND($F27&gt;=MIN($C$30),$F27&lt;=MAX($D$30)),SUMPRODUCT('BCA Guide - Parameter Values'!$C$6:$C$11,'Bike Safety CRTMeasure'!$H$31:$H$36)+'BCA Guide - Parameter Values'!$C$14*'Bike Safety CRTMeasure'!$H$30,0)</f>
        <v>0</v>
      </c>
      <c r="P27" s="1291">
        <f>IF(AND($F27&gt;=MIN($C$31),$F27&lt;=MAX($D$31)),SUMPRODUCT('BCA Guide - Parameter Values'!$C$6:$C$11,'Bike Safety CRTMeasure'!$H$43:$H$48)+'BCA Guide - Parameter Values'!$C$14*'Bike Safety CRTMeasure'!$H$42,0)</f>
        <v>0</v>
      </c>
      <c r="Q27" s="1291">
        <f>IF(AND($F27&gt;=MIN($C$32),$F27&lt;=MAX($D$32)),SUMPRODUCT('BCA Guide - Parameter Values'!$C$6:$C$11,'Bike Safety CRTMeasure'!$H$68:$H$73)+'BCA Guide - Parameter Values'!$C$14*'Bike Safety CRTMeasure'!$H$67,0)</f>
        <v>0</v>
      </c>
      <c r="R27" s="1199">
        <f>IF(AND(F27&gt;='Major Assumption Key'!$B$4,F27&lt;='Major Assumption Key'!$B$6),SUM(M27:Q27),0)</f>
        <v>207680.00000000003</v>
      </c>
      <c r="S27" s="1292">
        <f t="shared" si="5"/>
        <v>169919.99999999997</v>
      </c>
      <c r="T27" s="1169">
        <f>S27/(1+'Major Assumption Key'!$B$8)^($F27-'Major Assumption Key'!$B$7)</f>
        <v>98081.821876348418</v>
      </c>
      <c r="U27" s="1281"/>
      <c r="V27" s="1165">
        <f t="shared" si="6"/>
        <v>378000</v>
      </c>
      <c r="W27" s="1199">
        <f t="shared" si="7"/>
        <v>208000</v>
      </c>
      <c r="X27" s="1292">
        <f t="shared" si="8"/>
        <v>170000</v>
      </c>
      <c r="Y27" s="1169">
        <f t="shared" si="9"/>
        <v>98000</v>
      </c>
    </row>
    <row r="28" spans="1:29" ht="19.95" customHeight="1">
      <c r="A28" s="1301" t="str">
        <f>RIGHT(A19,LEN(A19)-27)</f>
        <v>Countermeasure #1 - Installation of a cycle track with a median 2 meters away from a roadway</v>
      </c>
      <c r="B28" s="1302">
        <v>20</v>
      </c>
      <c r="C28" s="1303">
        <f>'Major Assumption Key'!$B$3</f>
        <v>2028</v>
      </c>
      <c r="D28" s="1304">
        <f>C28+B28-1</f>
        <v>2047</v>
      </c>
      <c r="E28" s="1173"/>
      <c r="F28" s="1181">
        <f>'Major Assumption Key'!A40</f>
        <v>2041</v>
      </c>
      <c r="G28" s="1290">
        <f>IF(AND($F28&gt;=MIN($C$28),$F28&lt;=MAX($D$28)),SUMPRODUCT('BCA Guide - Parameter Values'!$C$6:$C$11,'Bike Safety CRTMeasure'!$G$7:$G$12)+'BCA Guide - Parameter Values'!$C$14*'Bike Safety CRTMeasure'!$G$6,0)</f>
        <v>377600</v>
      </c>
      <c r="H28" s="1290">
        <f>IF(AND($F28&gt;=MIN($C$29),$F28&lt;=MAX($D$29)),SUMPRODUCT('BCA Guide - Parameter Values'!$C$6:$C$11,'Bike Safety CRTMeasure'!$G$19:$G$24)+'BCA Guide - Parameter Values'!$C$14*'Bike Safety CRTMeasure'!$G$18,0)</f>
        <v>0</v>
      </c>
      <c r="I28" s="1290">
        <f>IF(AND($F28&gt;=MIN($C$30),$F28&lt;=MAX($D$30)),SUMPRODUCT('BCA Guide - Parameter Values'!$C$6:$C$11,'Bike Safety CRTMeasure'!$G$31:$G$36)+'BCA Guide - Parameter Values'!$C$14*'Bike Safety CRTMeasure'!$G$30,0)</f>
        <v>0</v>
      </c>
      <c r="J28" s="1290">
        <f>IF(AND($F28&gt;=MIN($C$31),$F28&lt;=MAX($D$31)),SUMPRODUCT('BCA Guide - Parameter Values'!$C$6:$C$11,'Bike Safety CRTMeasure'!$G$43:$G$48)+'BCA Guide - Parameter Values'!$C$14*'Bike Safety CRTMeasure'!$G$42,0)</f>
        <v>0</v>
      </c>
      <c r="K28" s="1290">
        <f>IF(AND($F28&gt;=MIN($C$32),$F28&lt;=MAX($D$32)),SUMPRODUCT('BCA Guide - Parameter Values'!$C$6:$C$11,'Bike Safety CRTMeasure'!$G$68:$G$73)+'BCA Guide - Parameter Values'!$C$14*'Bike Safety CRTMeasure'!$G$67,0)</f>
        <v>0</v>
      </c>
      <c r="L28" s="1165">
        <f>IF(AND(F28&gt;='Major Assumption Key'!$B$4,F28&lt;='Major Assumption Key'!$B$6),SUM(G28:K28),0)</f>
        <v>377600</v>
      </c>
      <c r="M28" s="1290">
        <f>IF(AND($F28&gt;=MIN($C$28),$F28&lt;=MAX($D$28)),SUMPRODUCT('BCA Guide - Parameter Values'!$C$6:$C$11,'Bike Safety CRTMeasure'!$H$7:$H$12)+'BCA Guide - Parameter Values'!$C$14*'Bike Safety CRTMeasure'!$H$6,0)</f>
        <v>207680.00000000003</v>
      </c>
      <c r="N28" s="1291">
        <f>IF(AND($F28&gt;=MIN($C$29),$F28&lt;=MAX($D$29)),SUMPRODUCT('BCA Guide - Parameter Values'!$C$6:$C$11,'Bike Safety CRTMeasure'!$H$19:$H$24)+'BCA Guide - Parameter Values'!$C$14*'Bike Safety CRTMeasure'!$H$18,0)</f>
        <v>0</v>
      </c>
      <c r="O28" s="1291">
        <f>IF(AND($F28&gt;=MIN($C$30),$F28&lt;=MAX($D$30)),SUMPRODUCT('BCA Guide - Parameter Values'!$C$6:$C$11,'Bike Safety CRTMeasure'!$H$31:$H$36)+'BCA Guide - Parameter Values'!$C$14*'Bike Safety CRTMeasure'!$H$30,0)</f>
        <v>0</v>
      </c>
      <c r="P28" s="1291">
        <f>IF(AND($F28&gt;=MIN($C$31),$F28&lt;=MAX($D$31)),SUMPRODUCT('BCA Guide - Parameter Values'!$C$6:$C$11,'Bike Safety CRTMeasure'!$H$43:$H$48)+'BCA Guide - Parameter Values'!$C$14*'Bike Safety CRTMeasure'!$H$42,0)</f>
        <v>0</v>
      </c>
      <c r="Q28" s="1291">
        <f>IF(AND($F28&gt;=MIN($C$32),$F28&lt;=MAX($D$32)),SUMPRODUCT('BCA Guide - Parameter Values'!$C$6:$C$11,'Bike Safety CRTMeasure'!$H$68:$H$73)+'BCA Guide - Parameter Values'!$C$14*'Bike Safety CRTMeasure'!$H$67,0)</f>
        <v>0</v>
      </c>
      <c r="R28" s="1199">
        <f>IF(AND(F28&gt;='Major Assumption Key'!$B$4,F28&lt;='Major Assumption Key'!$B$6),SUM(M28:Q28),0)</f>
        <v>207680.00000000003</v>
      </c>
      <c r="S28" s="1292">
        <f t="shared" si="5"/>
        <v>169919.99999999997</v>
      </c>
      <c r="T28" s="1169">
        <f>S28/(1+'Major Assumption Key'!$B$8)^($F28-'Major Assumption Key'!$B$7)</f>
        <v>95132.707930502846</v>
      </c>
      <c r="U28" s="1281"/>
      <c r="V28" s="1165">
        <f t="shared" si="6"/>
        <v>378000</v>
      </c>
      <c r="W28" s="1199">
        <f t="shared" si="7"/>
        <v>208000</v>
      </c>
      <c r="X28" s="1292">
        <f t="shared" si="8"/>
        <v>170000</v>
      </c>
      <c r="Y28" s="1169">
        <f t="shared" si="9"/>
        <v>95000</v>
      </c>
    </row>
    <row r="29" spans="1:29" ht="19.95" customHeight="1">
      <c r="A29" s="1301" t="str">
        <f>RIGHT(A20,LEN(A20)-27)</f>
        <v>Countermeasure #2</v>
      </c>
      <c r="B29" s="1302">
        <v>0</v>
      </c>
      <c r="C29" s="1303">
        <f>'Major Assumption Key'!$B$3</f>
        <v>2028</v>
      </c>
      <c r="D29" s="1304">
        <f t="shared" ref="D29:D31" si="10">C29+B29-1</f>
        <v>2027</v>
      </c>
      <c r="E29" s="1173"/>
      <c r="F29" s="1181">
        <f>'Major Assumption Key'!A41</f>
        <v>2042</v>
      </c>
      <c r="G29" s="1290">
        <f>IF(AND($F29&gt;=MIN($C$28),$F29&lt;=MAX($D$28)),SUMPRODUCT('BCA Guide - Parameter Values'!$C$6:$C$11,'Bike Safety CRTMeasure'!$G$7:$G$12)+'BCA Guide - Parameter Values'!$C$14*'Bike Safety CRTMeasure'!$G$6,0)</f>
        <v>377600</v>
      </c>
      <c r="H29" s="1290">
        <f>IF(AND($F29&gt;=MIN($C$29),$F29&lt;=MAX($D$29)),SUMPRODUCT('BCA Guide - Parameter Values'!$C$6:$C$11,'Bike Safety CRTMeasure'!$G$19:$G$24)+'BCA Guide - Parameter Values'!$C$14*'Bike Safety CRTMeasure'!$G$18,0)</f>
        <v>0</v>
      </c>
      <c r="I29" s="1290">
        <f>IF(AND($F29&gt;=MIN($C$30),$F29&lt;=MAX($D$30)),SUMPRODUCT('BCA Guide - Parameter Values'!$C$6:$C$11,'Bike Safety CRTMeasure'!$G$31:$G$36)+'BCA Guide - Parameter Values'!$C$14*'Bike Safety CRTMeasure'!$G$30,0)</f>
        <v>0</v>
      </c>
      <c r="J29" s="1290">
        <f>IF(AND($F29&gt;=MIN($C$31),$F29&lt;=MAX($D$31)),SUMPRODUCT('BCA Guide - Parameter Values'!$C$6:$C$11,'Bike Safety CRTMeasure'!$G$43:$G$48)+'BCA Guide - Parameter Values'!$C$14*'Bike Safety CRTMeasure'!$G$42,0)</f>
        <v>0</v>
      </c>
      <c r="K29" s="1290">
        <f>IF(AND($F29&gt;=MIN($C$32),$F29&lt;=MAX($D$32)),SUMPRODUCT('BCA Guide - Parameter Values'!$C$6:$C$11,'Bike Safety CRTMeasure'!$G$68:$G$73)+'BCA Guide - Parameter Values'!$C$14*'Bike Safety CRTMeasure'!$G$67,0)</f>
        <v>0</v>
      </c>
      <c r="L29" s="1165">
        <f>IF(AND(F29&gt;='Major Assumption Key'!$B$4,F29&lt;='Major Assumption Key'!$B$6),SUM(G29:K29),0)</f>
        <v>377600</v>
      </c>
      <c r="M29" s="1290">
        <f>IF(AND($F29&gt;=MIN($C$28),$F29&lt;=MAX($D$28)),SUMPRODUCT('BCA Guide - Parameter Values'!$C$6:$C$11,'Bike Safety CRTMeasure'!$H$7:$H$12)+'BCA Guide - Parameter Values'!$C$14*'Bike Safety CRTMeasure'!$H$6,0)</f>
        <v>207680.00000000003</v>
      </c>
      <c r="N29" s="1291">
        <f>IF(AND($F29&gt;=MIN($C$29),$F29&lt;=MAX($D$29)),SUMPRODUCT('BCA Guide - Parameter Values'!$C$6:$C$11,'Bike Safety CRTMeasure'!$H$19:$H$24)+'BCA Guide - Parameter Values'!$C$14*'Bike Safety CRTMeasure'!$H$18,0)</f>
        <v>0</v>
      </c>
      <c r="O29" s="1291">
        <f>IF(AND($F29&gt;=MIN($C$30),$F29&lt;=MAX($D$30)),SUMPRODUCT('BCA Guide - Parameter Values'!$C$6:$C$11,'Bike Safety CRTMeasure'!$H$31:$H$36)+'BCA Guide - Parameter Values'!$C$14*'Bike Safety CRTMeasure'!$H$30,0)</f>
        <v>0</v>
      </c>
      <c r="P29" s="1291">
        <f>IF(AND($F29&gt;=MIN($C$31),$F29&lt;=MAX($D$31)),SUMPRODUCT('BCA Guide - Parameter Values'!$C$6:$C$11,'Bike Safety CRTMeasure'!$H$43:$H$48)+'BCA Guide - Parameter Values'!$C$14*'Bike Safety CRTMeasure'!$H$42,0)</f>
        <v>0</v>
      </c>
      <c r="Q29" s="1291">
        <f>IF(AND($F29&gt;=MIN($C$32),$F29&lt;=MAX($D$32)),SUMPRODUCT('BCA Guide - Parameter Values'!$C$6:$C$11,'Bike Safety CRTMeasure'!$H$68:$H$73)+'BCA Guide - Parameter Values'!$C$14*'Bike Safety CRTMeasure'!$H$67,0)</f>
        <v>0</v>
      </c>
      <c r="R29" s="1199">
        <f>IF(AND(F29&gt;='Major Assumption Key'!$B$4,F29&lt;='Major Assumption Key'!$B$6),SUM(M29:Q29),0)</f>
        <v>207680.00000000003</v>
      </c>
      <c r="S29" s="1292">
        <f t="shared" si="5"/>
        <v>169919.99999999997</v>
      </c>
      <c r="T29" s="1169">
        <f>S29/(1+'Major Assumption Key'!$B$8)^($F29-'Major Assumption Key'!$B$7)</f>
        <v>92272.267633853378</v>
      </c>
      <c r="U29" s="1281"/>
      <c r="V29" s="1165">
        <f t="shared" si="6"/>
        <v>378000</v>
      </c>
      <c r="W29" s="1199">
        <f t="shared" si="7"/>
        <v>208000</v>
      </c>
      <c r="X29" s="1292">
        <f t="shared" si="8"/>
        <v>170000</v>
      </c>
      <c r="Y29" s="1169">
        <f t="shared" si="9"/>
        <v>92000</v>
      </c>
    </row>
    <row r="30" spans="1:29" ht="19.95" customHeight="1">
      <c r="A30" s="1301" t="str">
        <f>RIGHT(A21,LEN(A21)-27)</f>
        <v>Countermeasure #3</v>
      </c>
      <c r="B30" s="1302">
        <v>0</v>
      </c>
      <c r="C30" s="1303">
        <f>'Major Assumption Key'!$B$3</f>
        <v>2028</v>
      </c>
      <c r="D30" s="1304">
        <f t="shared" si="10"/>
        <v>2027</v>
      </c>
      <c r="E30" s="1173"/>
      <c r="F30" s="1181">
        <f>'Major Assumption Key'!A42</f>
        <v>2043</v>
      </c>
      <c r="G30" s="1290">
        <f>IF(AND($F30&gt;=MIN($C$28),$F30&lt;=MAX($D$28)),SUMPRODUCT('BCA Guide - Parameter Values'!$C$6:$C$11,'Bike Safety CRTMeasure'!$G$7:$G$12)+'BCA Guide - Parameter Values'!$C$14*'Bike Safety CRTMeasure'!$G$6,0)</f>
        <v>377600</v>
      </c>
      <c r="H30" s="1290">
        <f>IF(AND($F30&gt;=MIN($C$29),$F30&lt;=MAX($D$29)),SUMPRODUCT('BCA Guide - Parameter Values'!$C$6:$C$11,'Bike Safety CRTMeasure'!$G$19:$G$24)+'BCA Guide - Parameter Values'!$C$14*'Bike Safety CRTMeasure'!$G$18,0)</f>
        <v>0</v>
      </c>
      <c r="I30" s="1290">
        <f>IF(AND($F30&gt;=MIN($C$30),$F30&lt;=MAX($D$30)),SUMPRODUCT('BCA Guide - Parameter Values'!$C$6:$C$11,'Bike Safety CRTMeasure'!$G$31:$G$36)+'BCA Guide - Parameter Values'!$C$14*'Bike Safety CRTMeasure'!$G$30,0)</f>
        <v>0</v>
      </c>
      <c r="J30" s="1290">
        <f>IF(AND($F30&gt;=MIN($C$31),$F30&lt;=MAX($D$31)),SUMPRODUCT('BCA Guide - Parameter Values'!$C$6:$C$11,'Bike Safety CRTMeasure'!$G$43:$G$48)+'BCA Guide - Parameter Values'!$C$14*'Bike Safety CRTMeasure'!$G$42,0)</f>
        <v>0</v>
      </c>
      <c r="K30" s="1290">
        <f>IF(AND($F30&gt;=MIN($C$32),$F30&lt;=MAX($D$32)),SUMPRODUCT('BCA Guide - Parameter Values'!$C$6:$C$11,'Bike Safety CRTMeasure'!$G$68:$G$73)+'BCA Guide - Parameter Values'!$C$14*'Bike Safety CRTMeasure'!$G$67,0)</f>
        <v>0</v>
      </c>
      <c r="L30" s="1165">
        <f>IF(AND(F30&gt;='Major Assumption Key'!$B$4,F30&lt;='Major Assumption Key'!$B$6),SUM(G30:K30),0)</f>
        <v>377600</v>
      </c>
      <c r="M30" s="1290">
        <f>IF(AND($F30&gt;=MIN($C$28),$F30&lt;=MAX($D$28)),SUMPRODUCT('BCA Guide - Parameter Values'!$C$6:$C$11,'Bike Safety CRTMeasure'!$H$7:$H$12)+'BCA Guide - Parameter Values'!$C$14*'Bike Safety CRTMeasure'!$H$6,0)</f>
        <v>207680.00000000003</v>
      </c>
      <c r="N30" s="1291">
        <f>IF(AND($F30&gt;=MIN($C$29),$F30&lt;=MAX($D$29)),SUMPRODUCT('BCA Guide - Parameter Values'!$C$6:$C$11,'Bike Safety CRTMeasure'!$H$19:$H$24)+'BCA Guide - Parameter Values'!$C$14*'Bike Safety CRTMeasure'!$H$18,0)</f>
        <v>0</v>
      </c>
      <c r="O30" s="1291">
        <f>IF(AND($F30&gt;=MIN($C$30),$F30&lt;=MAX($D$30)),SUMPRODUCT('BCA Guide - Parameter Values'!$C$6:$C$11,'Bike Safety CRTMeasure'!$H$31:$H$36)+'BCA Guide - Parameter Values'!$C$14*'Bike Safety CRTMeasure'!$H$30,0)</f>
        <v>0</v>
      </c>
      <c r="P30" s="1291">
        <f>IF(AND($F30&gt;=MIN($C$31),$F30&lt;=MAX($D$31)),SUMPRODUCT('BCA Guide - Parameter Values'!$C$6:$C$11,'Bike Safety CRTMeasure'!$H$43:$H$48)+'BCA Guide - Parameter Values'!$C$14*'Bike Safety CRTMeasure'!$H$42,0)</f>
        <v>0</v>
      </c>
      <c r="Q30" s="1291">
        <f>IF(AND($F30&gt;=MIN($C$32),$F30&lt;=MAX($D$32)),SUMPRODUCT('BCA Guide - Parameter Values'!$C$6:$C$11,'Bike Safety CRTMeasure'!$H$68:$H$73)+'BCA Guide - Parameter Values'!$C$14*'Bike Safety CRTMeasure'!$H$67,0)</f>
        <v>0</v>
      </c>
      <c r="R30" s="1199">
        <f>IF(AND(F30&gt;='Major Assumption Key'!$B$4,F30&lt;='Major Assumption Key'!$B$6),SUM(M30:Q30),0)</f>
        <v>207680.00000000003</v>
      </c>
      <c r="S30" s="1292">
        <f t="shared" si="5"/>
        <v>169919.99999999997</v>
      </c>
      <c r="T30" s="1169">
        <f>S30/(1+'Major Assumption Key'!$B$8)^($F30-'Major Assumption Key'!$B$7)</f>
        <v>89497.834756404831</v>
      </c>
      <c r="U30" s="1281"/>
      <c r="V30" s="1165">
        <f t="shared" si="6"/>
        <v>378000</v>
      </c>
      <c r="W30" s="1199">
        <f t="shared" si="7"/>
        <v>208000</v>
      </c>
      <c r="X30" s="1292">
        <f t="shared" si="8"/>
        <v>170000</v>
      </c>
      <c r="Y30" s="1169">
        <f t="shared" si="9"/>
        <v>89000</v>
      </c>
      <c r="AC30" s="1282"/>
    </row>
    <row r="31" spans="1:29" ht="19.95" customHeight="1">
      <c r="A31" s="1301" t="str">
        <f>RIGHT(A22,LEN(A22)-27)</f>
        <v>Countermeasure #4</v>
      </c>
      <c r="B31" s="1302">
        <v>0</v>
      </c>
      <c r="C31" s="1303">
        <f>'Major Assumption Key'!$B$3</f>
        <v>2028</v>
      </c>
      <c r="D31" s="1304">
        <f t="shared" si="10"/>
        <v>2027</v>
      </c>
      <c r="E31" s="1173"/>
      <c r="F31" s="1181">
        <f>'Major Assumption Key'!A43</f>
        <v>2044</v>
      </c>
      <c r="G31" s="1290">
        <f>IF(AND($F31&gt;=MIN($C$28),$F31&lt;=MAX($D$28)),SUMPRODUCT('BCA Guide - Parameter Values'!$C$6:$C$11,'Bike Safety CRTMeasure'!$G$7:$G$12)+'BCA Guide - Parameter Values'!$C$14*'Bike Safety CRTMeasure'!$G$6,0)</f>
        <v>377600</v>
      </c>
      <c r="H31" s="1290">
        <f>IF(AND($F31&gt;=MIN($C$29),$F31&lt;=MAX($D$29)),SUMPRODUCT('BCA Guide - Parameter Values'!$C$6:$C$11,'Bike Safety CRTMeasure'!$G$19:$G$24)+'BCA Guide - Parameter Values'!$C$14*'Bike Safety CRTMeasure'!$G$18,0)</f>
        <v>0</v>
      </c>
      <c r="I31" s="1290">
        <f>IF(AND($F31&gt;=MIN($C$30),$F31&lt;=MAX($D$30)),SUMPRODUCT('BCA Guide - Parameter Values'!$C$6:$C$11,'Bike Safety CRTMeasure'!$G$31:$G$36)+'BCA Guide - Parameter Values'!$C$14*'Bike Safety CRTMeasure'!$G$30,0)</f>
        <v>0</v>
      </c>
      <c r="J31" s="1290">
        <f>IF(AND($F31&gt;=MIN($C$31),$F31&lt;=MAX($D$31)),SUMPRODUCT('BCA Guide - Parameter Values'!$C$6:$C$11,'Bike Safety CRTMeasure'!$G$43:$G$48)+'BCA Guide - Parameter Values'!$C$14*'Bike Safety CRTMeasure'!$G$42,0)</f>
        <v>0</v>
      </c>
      <c r="K31" s="1290">
        <f>IF(AND($F31&gt;=MIN($C$32),$F31&lt;=MAX($D$32)),SUMPRODUCT('BCA Guide - Parameter Values'!$C$6:$C$11,'Bike Safety CRTMeasure'!$G$68:$G$73)+'BCA Guide - Parameter Values'!$C$14*'Bike Safety CRTMeasure'!$G$67,0)</f>
        <v>0</v>
      </c>
      <c r="L31" s="1165">
        <f>IF(AND(F31&gt;='Major Assumption Key'!$B$4,F31&lt;='Major Assumption Key'!$B$6),SUM(G31:K31),0)</f>
        <v>377600</v>
      </c>
      <c r="M31" s="1290">
        <f>IF(AND($F31&gt;=MIN($C$28),$F31&lt;=MAX($D$28)),SUMPRODUCT('BCA Guide - Parameter Values'!$C$6:$C$11,'Bike Safety CRTMeasure'!$H$7:$H$12)+'BCA Guide - Parameter Values'!$C$14*'Bike Safety CRTMeasure'!$H$6,0)</f>
        <v>207680.00000000003</v>
      </c>
      <c r="N31" s="1291">
        <f>IF(AND($F31&gt;=MIN($C$29),$F31&lt;=MAX($D$29)),SUMPRODUCT('BCA Guide - Parameter Values'!$C$6:$C$11,'Bike Safety CRTMeasure'!$H$19:$H$24)+'BCA Guide - Parameter Values'!$C$14*'Bike Safety CRTMeasure'!$H$18,0)</f>
        <v>0</v>
      </c>
      <c r="O31" s="1291">
        <f>IF(AND($F31&gt;=MIN($C$30),$F31&lt;=MAX($D$30)),SUMPRODUCT('BCA Guide - Parameter Values'!$C$6:$C$11,'Bike Safety CRTMeasure'!$H$31:$H$36)+'BCA Guide - Parameter Values'!$C$14*'Bike Safety CRTMeasure'!$H$30,0)</f>
        <v>0</v>
      </c>
      <c r="P31" s="1291">
        <f>IF(AND($F31&gt;=MIN($C$31),$F31&lt;=MAX($D$31)),SUMPRODUCT('BCA Guide - Parameter Values'!$C$6:$C$11,'Bike Safety CRTMeasure'!$H$43:$H$48)+'BCA Guide - Parameter Values'!$C$14*'Bike Safety CRTMeasure'!$H$42,0)</f>
        <v>0</v>
      </c>
      <c r="Q31" s="1291">
        <f>IF(AND($F31&gt;=MIN($C$32),$F31&lt;=MAX($D$32)),SUMPRODUCT('BCA Guide - Parameter Values'!$C$6:$C$11,'Bike Safety CRTMeasure'!$H$68:$H$73)+'BCA Guide - Parameter Values'!$C$14*'Bike Safety CRTMeasure'!$H$67,0)</f>
        <v>0</v>
      </c>
      <c r="R31" s="1199">
        <f>IF(AND(F31&gt;='Major Assumption Key'!$B$4,F31&lt;='Major Assumption Key'!$B$6),SUM(M31:Q31),0)</f>
        <v>207680.00000000003</v>
      </c>
      <c r="S31" s="1292">
        <f t="shared" si="5"/>
        <v>169919.99999999997</v>
      </c>
      <c r="T31" s="1169">
        <f>S31/(1+'Major Assumption Key'!$B$8)^($F31-'Major Assumption Key'!$B$7)</f>
        <v>86806.823236086173</v>
      </c>
      <c r="U31" s="1281"/>
      <c r="V31" s="1165">
        <f t="shared" si="6"/>
        <v>378000</v>
      </c>
      <c r="W31" s="1199">
        <f t="shared" si="7"/>
        <v>208000</v>
      </c>
      <c r="X31" s="1292">
        <f t="shared" si="8"/>
        <v>170000</v>
      </c>
      <c r="Y31" s="1169">
        <f t="shared" si="9"/>
        <v>87000</v>
      </c>
    </row>
    <row r="32" spans="1:29" ht="19.95" customHeight="1" thickBot="1">
      <c r="A32" s="1334" t="s">
        <v>863</v>
      </c>
      <c r="B32" s="1679">
        <v>20</v>
      </c>
      <c r="C32" s="1679">
        <f>'Major Assumption Key'!$B$3</f>
        <v>2028</v>
      </c>
      <c r="D32" s="1680">
        <f>C32+B32-1</f>
        <v>2047</v>
      </c>
      <c r="F32" s="1181">
        <f>'Major Assumption Key'!A44</f>
        <v>2045</v>
      </c>
      <c r="G32" s="1290">
        <f>IF(AND($F32&gt;=MIN($C$28),$F32&lt;=MAX($D$28)),SUMPRODUCT('BCA Guide - Parameter Values'!$C$6:$C$11,'Bike Safety CRTMeasure'!$G$7:$G$12)+'BCA Guide - Parameter Values'!$C$14*'Bike Safety CRTMeasure'!$G$6,0)</f>
        <v>377600</v>
      </c>
      <c r="H32" s="1290">
        <f>IF(AND($F32&gt;=MIN($C$29),$F32&lt;=MAX($D$29)),SUMPRODUCT('BCA Guide - Parameter Values'!$C$6:$C$11,'Bike Safety CRTMeasure'!$G$19:$G$24)+'BCA Guide - Parameter Values'!$C$14*'Bike Safety CRTMeasure'!$G$18,0)</f>
        <v>0</v>
      </c>
      <c r="I32" s="1290">
        <f>IF(AND($F32&gt;=MIN($C$30),$F32&lt;=MAX($D$30)),SUMPRODUCT('BCA Guide - Parameter Values'!$C$6:$C$11,'Bike Safety CRTMeasure'!$G$31:$G$36)+'BCA Guide - Parameter Values'!$C$14*'Bike Safety CRTMeasure'!$G$30,0)</f>
        <v>0</v>
      </c>
      <c r="J32" s="1290">
        <f>IF(AND($F32&gt;=MIN($C$31),$F32&lt;=MAX($D$31)),SUMPRODUCT('BCA Guide - Parameter Values'!$C$6:$C$11,'Bike Safety CRTMeasure'!$G$43:$G$48)+'BCA Guide - Parameter Values'!$C$14*'Bike Safety CRTMeasure'!$G$42,0)</f>
        <v>0</v>
      </c>
      <c r="K32" s="1290">
        <f>IF(AND($F32&gt;=MIN($C$32),$F32&lt;=MAX($D$32)),SUMPRODUCT('BCA Guide - Parameter Values'!$C$6:$C$11,'Bike Safety CRTMeasure'!$G$68:$G$73)+'BCA Guide - Parameter Values'!$C$14*'Bike Safety CRTMeasure'!$G$67,0)</f>
        <v>0</v>
      </c>
      <c r="L32" s="1165">
        <f>IF(AND(F32&gt;='Major Assumption Key'!$B$4,F32&lt;='Major Assumption Key'!$B$6),SUM(G32:K32),0)</f>
        <v>377600</v>
      </c>
      <c r="M32" s="1290">
        <f>IF(AND($F32&gt;=MIN($C$28),$F32&lt;=MAX($D$28)),SUMPRODUCT('BCA Guide - Parameter Values'!$C$6:$C$11,'Bike Safety CRTMeasure'!$H$7:$H$12)+'BCA Guide - Parameter Values'!$C$14*'Bike Safety CRTMeasure'!$H$6,0)</f>
        <v>207680.00000000003</v>
      </c>
      <c r="N32" s="1291">
        <f>IF(AND($F32&gt;=MIN($C$29),$F32&lt;=MAX($D$29)),SUMPRODUCT('BCA Guide - Parameter Values'!$C$6:$C$11,'Bike Safety CRTMeasure'!$H$19:$H$24)+'BCA Guide - Parameter Values'!$C$14*'Bike Safety CRTMeasure'!$H$18,0)</f>
        <v>0</v>
      </c>
      <c r="O32" s="1291">
        <f>IF(AND($F32&gt;=MIN($C$30),$F32&lt;=MAX($D$30)),SUMPRODUCT('BCA Guide - Parameter Values'!$C$6:$C$11,'Bike Safety CRTMeasure'!$H$31:$H$36)+'BCA Guide - Parameter Values'!$C$14*'Bike Safety CRTMeasure'!$H$30,0)</f>
        <v>0</v>
      </c>
      <c r="P32" s="1291">
        <f>IF(AND($F32&gt;=MIN($C$31),$F32&lt;=MAX($D$31)),SUMPRODUCT('BCA Guide - Parameter Values'!$C$6:$C$11,'Bike Safety CRTMeasure'!$H$43:$H$48)+'BCA Guide - Parameter Values'!$C$14*'Bike Safety CRTMeasure'!$H$42,0)</f>
        <v>0</v>
      </c>
      <c r="Q32" s="1291">
        <f>IF(AND($F32&gt;=MIN($C$32),$F32&lt;=MAX($D$32)),SUMPRODUCT('BCA Guide - Parameter Values'!$C$6:$C$11,'Bike Safety CRTMeasure'!$H$68:$H$73)+'BCA Guide - Parameter Values'!$C$14*'Bike Safety CRTMeasure'!$H$67,0)</f>
        <v>0</v>
      </c>
      <c r="R32" s="1199">
        <f>IF(AND(F32&gt;='Major Assumption Key'!$B$4,F32&lt;='Major Assumption Key'!$B$6),SUM(M32:Q32),0)</f>
        <v>207680.00000000003</v>
      </c>
      <c r="S32" s="1292">
        <f t="shared" si="5"/>
        <v>169919.99999999997</v>
      </c>
      <c r="T32" s="1169">
        <f>S32/(1+'Major Assumption Key'!$B$8)^($F32-'Major Assumption Key'!$B$7)</f>
        <v>84196.724768269807</v>
      </c>
      <c r="U32" s="1281"/>
      <c r="V32" s="1165">
        <f t="shared" si="6"/>
        <v>378000</v>
      </c>
      <c r="W32" s="1199">
        <f t="shared" si="7"/>
        <v>208000</v>
      </c>
      <c r="X32" s="1292">
        <f t="shared" si="8"/>
        <v>170000</v>
      </c>
      <c r="Y32" s="1169">
        <f t="shared" si="9"/>
        <v>84000</v>
      </c>
    </row>
    <row r="33" spans="1:25" ht="19.95" customHeight="1">
      <c r="B33" s="1303"/>
      <c r="C33" s="1303"/>
      <c r="D33" s="1303"/>
      <c r="F33" s="1181">
        <f>'Major Assumption Key'!A45</f>
        <v>2046</v>
      </c>
      <c r="G33" s="1290">
        <f>IF(AND($F33&gt;=MIN($C$28),$F33&lt;=MAX($D$28)),SUMPRODUCT('BCA Guide - Parameter Values'!$C$6:$C$11,'Bike Safety CRTMeasure'!$G$7:$G$12)+'BCA Guide - Parameter Values'!$C$14*'Bike Safety CRTMeasure'!$G$6,0)</f>
        <v>377600</v>
      </c>
      <c r="H33" s="1290">
        <f>IF(AND($F33&gt;=MIN($C$29),$F33&lt;=MAX($D$29)),SUMPRODUCT('BCA Guide - Parameter Values'!$C$6:$C$11,'Bike Safety CRTMeasure'!$G$19:$G$24)+'BCA Guide - Parameter Values'!$C$14*'Bike Safety CRTMeasure'!$G$18,0)</f>
        <v>0</v>
      </c>
      <c r="I33" s="1290">
        <f>IF(AND($F33&gt;=MIN($C$30),$F33&lt;=MAX($D$30)),SUMPRODUCT('BCA Guide - Parameter Values'!$C$6:$C$11,'Bike Safety CRTMeasure'!$G$31:$G$36)+'BCA Guide - Parameter Values'!$C$14*'Bike Safety CRTMeasure'!$G$30,0)</f>
        <v>0</v>
      </c>
      <c r="J33" s="1290">
        <f>IF(AND($F33&gt;=MIN($C$31),$F33&lt;=MAX($D$31)),SUMPRODUCT('BCA Guide - Parameter Values'!$C$6:$C$11,'Bike Safety CRTMeasure'!$G$43:$G$48)+'BCA Guide - Parameter Values'!$C$14*'Bike Safety CRTMeasure'!$G$42,0)</f>
        <v>0</v>
      </c>
      <c r="K33" s="1290">
        <f>IF(AND($F33&gt;=MIN($C$32),$F33&lt;=MAX($D$32)),SUMPRODUCT('BCA Guide - Parameter Values'!$C$6:$C$11,'Bike Safety CRTMeasure'!$G$68:$G$73)+'BCA Guide - Parameter Values'!$C$14*'Bike Safety CRTMeasure'!$G$67,0)</f>
        <v>0</v>
      </c>
      <c r="L33" s="1165">
        <f>IF(AND(F33&gt;='Major Assumption Key'!$B$4,F33&lt;='Major Assumption Key'!$B$6),SUM(G33:K33),0)</f>
        <v>377600</v>
      </c>
      <c r="M33" s="1290">
        <f>IF(AND($F33&gt;=MIN($C$28),$F33&lt;=MAX($D$28)),SUMPRODUCT('BCA Guide - Parameter Values'!$C$6:$C$11,'Bike Safety CRTMeasure'!$H$7:$H$12)+'BCA Guide - Parameter Values'!$C$14*'Bike Safety CRTMeasure'!$H$6,0)</f>
        <v>207680.00000000003</v>
      </c>
      <c r="N33" s="1291">
        <f>IF(AND($F33&gt;=MIN($C$29),$F33&lt;=MAX($D$29)),SUMPRODUCT('BCA Guide - Parameter Values'!$C$6:$C$11,'Bike Safety CRTMeasure'!$H$19:$H$24)+'BCA Guide - Parameter Values'!$C$14*'Bike Safety CRTMeasure'!$H$18,0)</f>
        <v>0</v>
      </c>
      <c r="O33" s="1291">
        <f>IF(AND($F33&gt;=MIN($C$30),$F33&lt;=MAX($D$30)),SUMPRODUCT('BCA Guide - Parameter Values'!$C$6:$C$11,'Bike Safety CRTMeasure'!$H$31:$H$36)+'BCA Guide - Parameter Values'!$C$14*'Bike Safety CRTMeasure'!$H$30,0)</f>
        <v>0</v>
      </c>
      <c r="P33" s="1291">
        <f>IF(AND($F33&gt;=MIN($C$31),$F33&lt;=MAX($D$31)),SUMPRODUCT('BCA Guide - Parameter Values'!$C$6:$C$11,'Bike Safety CRTMeasure'!$H$43:$H$48)+'BCA Guide - Parameter Values'!$C$14*'Bike Safety CRTMeasure'!$H$42,0)</f>
        <v>0</v>
      </c>
      <c r="Q33" s="1291">
        <f>IF(AND($F33&gt;=MIN($C$32),$F33&lt;=MAX($D$32)),SUMPRODUCT('BCA Guide - Parameter Values'!$C$6:$C$11,'Bike Safety CRTMeasure'!$H$68:$H$73)+'BCA Guide - Parameter Values'!$C$14*'Bike Safety CRTMeasure'!$H$67,0)</f>
        <v>0</v>
      </c>
      <c r="R33" s="1199">
        <f>IF(AND(F33&gt;='Major Assumption Key'!$B$4,F33&lt;='Major Assumption Key'!$B$6),SUM(M33:Q33),0)</f>
        <v>207680.00000000003</v>
      </c>
      <c r="S33" s="1292">
        <f t="shared" si="5"/>
        <v>169919.99999999997</v>
      </c>
      <c r="T33" s="1169">
        <f>S33/(1+'Major Assumption Key'!$B$8)^($F33-'Major Assumption Key'!$B$7)</f>
        <v>81665.106467768986</v>
      </c>
      <c r="U33" s="1281"/>
      <c r="V33" s="1165">
        <f t="shared" si="6"/>
        <v>378000</v>
      </c>
      <c r="W33" s="1199">
        <f t="shared" si="7"/>
        <v>208000</v>
      </c>
      <c r="X33" s="1292">
        <f t="shared" si="8"/>
        <v>170000</v>
      </c>
      <c r="Y33" s="1169">
        <f t="shared" si="9"/>
        <v>82000</v>
      </c>
    </row>
    <row r="34" spans="1:25" ht="19.95" customHeight="1">
      <c r="A34" s="1296" t="s">
        <v>864</v>
      </c>
      <c r="B34" s="1297"/>
      <c r="F34" s="1181">
        <f>'Major Assumption Key'!A46</f>
        <v>2047</v>
      </c>
      <c r="G34" s="1290">
        <f>IF(AND($F34&gt;=MIN($C$28),$F34&lt;=MAX($D$28)),SUMPRODUCT('BCA Guide - Parameter Values'!$C$6:$C$11,'Bike Safety CRTMeasure'!$G$7:$G$12)+'BCA Guide - Parameter Values'!$C$14*'Bike Safety CRTMeasure'!$G$6,0)</f>
        <v>377600</v>
      </c>
      <c r="H34" s="1290">
        <f>IF(AND($F34&gt;=MIN($C$29),$F34&lt;=MAX($D$29)),SUMPRODUCT('BCA Guide - Parameter Values'!$C$6:$C$11,'Bike Safety CRTMeasure'!$G$19:$G$24)+'BCA Guide - Parameter Values'!$C$14*'Bike Safety CRTMeasure'!$G$18,0)</f>
        <v>0</v>
      </c>
      <c r="I34" s="1290">
        <f>IF(AND($F34&gt;=MIN($C$30),$F34&lt;=MAX($D$30)),SUMPRODUCT('BCA Guide - Parameter Values'!$C$6:$C$11,'Bike Safety CRTMeasure'!$G$31:$G$36)+'BCA Guide - Parameter Values'!$C$14*'Bike Safety CRTMeasure'!$G$30,0)</f>
        <v>0</v>
      </c>
      <c r="J34" s="1290">
        <f>IF(AND($F34&gt;=MIN($C$31),$F34&lt;=MAX($D$31)),SUMPRODUCT('BCA Guide - Parameter Values'!$C$6:$C$11,'Bike Safety CRTMeasure'!$G$43:$G$48)+'BCA Guide - Parameter Values'!$C$14*'Bike Safety CRTMeasure'!$G$42,0)</f>
        <v>0</v>
      </c>
      <c r="K34" s="1290">
        <f>IF(AND($F34&gt;=MIN($C$32),$F34&lt;=MAX($D$32)),SUMPRODUCT('BCA Guide - Parameter Values'!$C$6:$C$11,'Bike Safety CRTMeasure'!$G$68:$G$73)+'BCA Guide - Parameter Values'!$C$14*'Bike Safety CRTMeasure'!$G$67,0)</f>
        <v>0</v>
      </c>
      <c r="L34" s="1165">
        <f>IF(AND(F34&gt;='Major Assumption Key'!$B$4,F34&lt;='Major Assumption Key'!$B$6),SUM(G34:K34),0)</f>
        <v>377600</v>
      </c>
      <c r="M34" s="1290">
        <f>IF(AND($F34&gt;=MIN($C$28),$F34&lt;=MAX($D$28)),SUMPRODUCT('BCA Guide - Parameter Values'!$C$6:$C$11,'Bike Safety CRTMeasure'!$H$7:$H$12)+'BCA Guide - Parameter Values'!$C$14*'Bike Safety CRTMeasure'!$H$6,0)</f>
        <v>207680.00000000003</v>
      </c>
      <c r="N34" s="1291">
        <f>IF(AND($F34&gt;=MIN($C$29),$F34&lt;=MAX($D$29)),SUMPRODUCT('BCA Guide - Parameter Values'!$C$6:$C$11,'Bike Safety CRTMeasure'!$H$19:$H$24)+'BCA Guide - Parameter Values'!$C$14*'Bike Safety CRTMeasure'!$H$18,0)</f>
        <v>0</v>
      </c>
      <c r="O34" s="1291">
        <f>IF(AND($F34&gt;=MIN($C$30),$F34&lt;=MAX($D$30)),SUMPRODUCT('BCA Guide - Parameter Values'!$C$6:$C$11,'Bike Safety CRTMeasure'!$H$31:$H$36)+'BCA Guide - Parameter Values'!$C$14*'Bike Safety CRTMeasure'!$H$30,0)</f>
        <v>0</v>
      </c>
      <c r="P34" s="1291">
        <f>IF(AND($F34&gt;=MIN($C$31),$F34&lt;=MAX($D$31)),SUMPRODUCT('BCA Guide - Parameter Values'!$C$6:$C$11,'Bike Safety CRTMeasure'!$H$43:$H$48)+'BCA Guide - Parameter Values'!$C$14*'Bike Safety CRTMeasure'!$H$42,0)</f>
        <v>0</v>
      </c>
      <c r="Q34" s="1291">
        <f>IF(AND($F34&gt;=MIN($C$32),$F34&lt;=MAX($D$32)),SUMPRODUCT('BCA Guide - Parameter Values'!$C$6:$C$11,'Bike Safety CRTMeasure'!$H$68:$H$73)+'BCA Guide - Parameter Values'!$C$14*'Bike Safety CRTMeasure'!$H$67,0)</f>
        <v>0</v>
      </c>
      <c r="R34" s="1199">
        <f>IF(AND(F34&gt;='Major Assumption Key'!$B$4,F34&lt;='Major Assumption Key'!$B$6),SUM(M34:Q34),0)</f>
        <v>207680.00000000003</v>
      </c>
      <c r="S34" s="1292">
        <f t="shared" si="5"/>
        <v>169919.99999999997</v>
      </c>
      <c r="T34" s="1169">
        <f>S34/(1+'Major Assumption Key'!$B$8)^($F34-'Major Assumption Key'!$B$7)</f>
        <v>79209.608601133834</v>
      </c>
      <c r="U34" s="1281"/>
      <c r="V34" s="1165">
        <f t="shared" si="6"/>
        <v>378000</v>
      </c>
      <c r="W34" s="1199">
        <f t="shared" si="7"/>
        <v>208000</v>
      </c>
      <c r="X34" s="1292">
        <f t="shared" si="8"/>
        <v>170000</v>
      </c>
      <c r="Y34" s="1169">
        <f t="shared" si="9"/>
        <v>79000</v>
      </c>
    </row>
    <row r="35" spans="1:25" ht="19.95" customHeight="1">
      <c r="A35" s="1681" t="s">
        <v>862</v>
      </c>
      <c r="B35" s="1682" t="s">
        <v>865</v>
      </c>
      <c r="C35" s="1683" t="s">
        <v>687</v>
      </c>
      <c r="F35" s="1181">
        <f>'Major Assumption Key'!A47</f>
        <v>2048</v>
      </c>
      <c r="G35" s="1290">
        <f>IF(AND($F35&gt;=MIN($C$28),$F35&lt;=MAX($D$28)),SUMPRODUCT('BCA Guide - Parameter Values'!$C$6:$C$11,'Bike Safety CRTMeasure'!$G$7:$G$12)+'BCA Guide - Parameter Values'!$C$14*'Bike Safety CRTMeasure'!$G$6,0)</f>
        <v>0</v>
      </c>
      <c r="H35" s="1290">
        <f>IF(AND($F35&gt;=MIN($C$29),$F35&lt;=MAX($D$29)),SUMPRODUCT('BCA Guide - Parameter Values'!$C$6:$C$11,'Bike Safety CRTMeasure'!$G$19:$G$24)+'BCA Guide - Parameter Values'!$C$14*'Bike Safety CRTMeasure'!$G$18,0)</f>
        <v>0</v>
      </c>
      <c r="I35" s="1290">
        <f>IF(AND($F35&gt;=MIN($C$30),$F35&lt;=MAX($D$30)),SUMPRODUCT('BCA Guide - Parameter Values'!$C$6:$C$11,'Bike Safety CRTMeasure'!$G$31:$G$36)+'BCA Guide - Parameter Values'!$C$14*'Bike Safety CRTMeasure'!$G$30,0)</f>
        <v>0</v>
      </c>
      <c r="J35" s="1290">
        <f>IF(AND($F35&gt;=MIN($C$31),$F35&lt;=MAX($D$31)),SUMPRODUCT('BCA Guide - Parameter Values'!$C$6:$C$11,'Bike Safety CRTMeasure'!$G$43:$G$48)+'BCA Guide - Parameter Values'!$C$14*'Bike Safety CRTMeasure'!$G$42,0)</f>
        <v>0</v>
      </c>
      <c r="K35" s="1290">
        <f>IF(AND($F35&gt;=MIN($C$32),$F35&lt;=MAX($D$32)),SUMPRODUCT('BCA Guide - Parameter Values'!$C$6:$C$11,'Bike Safety CRTMeasure'!$G$68:$G$73)+'BCA Guide - Parameter Values'!$C$14*'Bike Safety CRTMeasure'!$G$67,0)</f>
        <v>0</v>
      </c>
      <c r="L35" s="1165">
        <f>IF(AND(F35&gt;='Major Assumption Key'!$B$4,F35&lt;='Major Assumption Key'!$B$6),SUM(G35:K35),0)</f>
        <v>0</v>
      </c>
      <c r="M35" s="1290">
        <f>IF(AND($F35&gt;=MIN($C$28),$F35&lt;=MAX($D$28)),SUMPRODUCT('BCA Guide - Parameter Values'!$C$6:$C$11,'Bike Safety CRTMeasure'!$H$7:$H$12)+'BCA Guide - Parameter Values'!$C$14*'Bike Safety CRTMeasure'!$H$6,0)</f>
        <v>0</v>
      </c>
      <c r="N35" s="1291">
        <f>IF(AND($F35&gt;=MIN($C$29),$F35&lt;=MAX($D$29)),SUMPRODUCT('BCA Guide - Parameter Values'!$C$6:$C$11,'Bike Safety CRTMeasure'!$H$19:$H$24)+'BCA Guide - Parameter Values'!$C$14*'Bike Safety CRTMeasure'!$H$18,0)</f>
        <v>0</v>
      </c>
      <c r="O35" s="1291">
        <f>IF(AND($F35&gt;=MIN($C$30),$F35&lt;=MAX($D$30)),SUMPRODUCT('BCA Guide - Parameter Values'!$C$6:$C$11,'Bike Safety CRTMeasure'!$H$31:$H$36)+'BCA Guide - Parameter Values'!$C$14*'Bike Safety CRTMeasure'!$H$30,0)</f>
        <v>0</v>
      </c>
      <c r="P35" s="1291">
        <f>IF(AND($F35&gt;=MIN($C$31),$F35&lt;=MAX($D$31)),SUMPRODUCT('BCA Guide - Parameter Values'!$C$6:$C$11,'Bike Safety CRTMeasure'!$H$43:$H$48)+'BCA Guide - Parameter Values'!$C$14*'Bike Safety CRTMeasure'!$H$42,0)</f>
        <v>0</v>
      </c>
      <c r="Q35" s="1291">
        <f>IF(AND($F35&gt;=MIN($C$32),$F35&lt;=MAX($D$32)),SUMPRODUCT('BCA Guide - Parameter Values'!$C$6:$C$11,'Bike Safety CRTMeasure'!$H$68:$H$73)+'BCA Guide - Parameter Values'!$C$14*'Bike Safety CRTMeasure'!$H$67,0)</f>
        <v>0</v>
      </c>
      <c r="R35" s="1199">
        <f>IF(AND(F35&gt;='Major Assumption Key'!$B$4,F35&lt;='Major Assumption Key'!$B$6),SUM(M35:Q35),0)</f>
        <v>0</v>
      </c>
      <c r="S35" s="1292">
        <f t="shared" si="5"/>
        <v>0</v>
      </c>
      <c r="T35" s="1169">
        <f>S35/(1+'Major Assumption Key'!$B$8)^($F35-'Major Assumption Key'!$B$7)</f>
        <v>0</v>
      </c>
      <c r="U35" s="1281"/>
      <c r="V35" s="1165">
        <f t="shared" si="6"/>
        <v>0</v>
      </c>
      <c r="W35" s="1199">
        <f t="shared" si="7"/>
        <v>0</v>
      </c>
      <c r="X35" s="1292">
        <f t="shared" si="8"/>
        <v>0</v>
      </c>
      <c r="Y35" s="1169">
        <f t="shared" si="9"/>
        <v>0</v>
      </c>
    </row>
    <row r="36" spans="1:25" ht="19.95" customHeight="1">
      <c r="A36" s="1298" t="s">
        <v>866</v>
      </c>
      <c r="B36" s="1299">
        <v>0.49</v>
      </c>
      <c r="C36" s="1958" t="s">
        <v>867</v>
      </c>
      <c r="F36" s="1181">
        <f>'Major Assumption Key'!A48</f>
        <v>2049</v>
      </c>
      <c r="G36" s="1290">
        <f>IF(AND($F36&gt;=MIN($C$28),$F36&lt;=MAX($D$28)),SUMPRODUCT('BCA Guide - Parameter Values'!$C$6:$C$11,'Bike Safety CRTMeasure'!$G$7:$G$12)+'BCA Guide - Parameter Values'!$C$14*'Bike Safety CRTMeasure'!$G$6,0)</f>
        <v>0</v>
      </c>
      <c r="H36" s="1290">
        <f>IF(AND($F36&gt;=MIN($C$29),$F36&lt;=MAX($D$29)),SUMPRODUCT('BCA Guide - Parameter Values'!$C$6:$C$11,'Bike Safety CRTMeasure'!$G$19:$G$24)+'BCA Guide - Parameter Values'!$C$14*'Bike Safety CRTMeasure'!$G$18,0)</f>
        <v>0</v>
      </c>
      <c r="I36" s="1290">
        <f>IF(AND($F36&gt;=MIN($C$30),$F36&lt;=MAX($D$30)),SUMPRODUCT('BCA Guide - Parameter Values'!$C$6:$C$11,'Bike Safety CRTMeasure'!$G$31:$G$36)+'BCA Guide - Parameter Values'!$C$14*'Bike Safety CRTMeasure'!$G$30,0)</f>
        <v>0</v>
      </c>
      <c r="J36" s="1290">
        <f>IF(AND($F36&gt;=MIN($C$31),$F36&lt;=MAX($D$31)),SUMPRODUCT('BCA Guide - Parameter Values'!$C$6:$C$11,'Bike Safety CRTMeasure'!$G$43:$G$48)+'BCA Guide - Parameter Values'!$C$14*'Bike Safety CRTMeasure'!$G$42,0)</f>
        <v>0</v>
      </c>
      <c r="K36" s="1290">
        <f>IF(AND($F36&gt;=MIN($C$32),$F36&lt;=MAX($D$32)),SUMPRODUCT('BCA Guide - Parameter Values'!$C$6:$C$11,'Bike Safety CRTMeasure'!$G$68:$G$73)+'BCA Guide - Parameter Values'!$C$14*'Bike Safety CRTMeasure'!$G$67,0)</f>
        <v>0</v>
      </c>
      <c r="L36" s="1165">
        <f>IF(AND(F36&gt;='Major Assumption Key'!$B$4,F36&lt;='Major Assumption Key'!$B$6),SUM(G36:K36),0)</f>
        <v>0</v>
      </c>
      <c r="M36" s="1290">
        <f>IF(AND($F36&gt;=MIN($C$28),$F36&lt;=MAX($D$28)),SUMPRODUCT('BCA Guide - Parameter Values'!$C$6:$C$11,'Bike Safety CRTMeasure'!$H$7:$H$12)+'BCA Guide - Parameter Values'!$C$14*'Bike Safety CRTMeasure'!$H$6,0)</f>
        <v>0</v>
      </c>
      <c r="N36" s="1291">
        <f>IF(AND($F36&gt;=MIN($C$29),$F36&lt;=MAX($D$29)),SUMPRODUCT('BCA Guide - Parameter Values'!$C$6:$C$11,'Bike Safety CRTMeasure'!$H$19:$H$24)+'BCA Guide - Parameter Values'!$C$14*'Bike Safety CRTMeasure'!$H$18,0)</f>
        <v>0</v>
      </c>
      <c r="O36" s="1291">
        <f>IF(AND($F36&gt;=MIN($C$30),$F36&lt;=MAX($D$30)),SUMPRODUCT('BCA Guide - Parameter Values'!$C$6:$C$11,'Bike Safety CRTMeasure'!$H$31:$H$36)+'BCA Guide - Parameter Values'!$C$14*'Bike Safety CRTMeasure'!$H$30,0)</f>
        <v>0</v>
      </c>
      <c r="P36" s="1291">
        <f>IF(AND($F36&gt;=MIN($C$31),$F36&lt;=MAX($D$31)),SUMPRODUCT('BCA Guide - Parameter Values'!$C$6:$C$11,'Bike Safety CRTMeasure'!$H$43:$H$48)+'BCA Guide - Parameter Values'!$C$14*'Bike Safety CRTMeasure'!$H$42,0)</f>
        <v>0</v>
      </c>
      <c r="Q36" s="1291">
        <f>IF(AND($F36&gt;=MIN($C$32),$F36&lt;=MAX($D$32)),SUMPRODUCT('BCA Guide - Parameter Values'!$C$6:$C$11,'Bike Safety CRTMeasure'!$H$68:$H$73)+'BCA Guide - Parameter Values'!$C$14*'Bike Safety CRTMeasure'!$H$67,0)</f>
        <v>0</v>
      </c>
      <c r="R36" s="1199">
        <f>IF(AND(F36&gt;='Major Assumption Key'!$B$4,F36&lt;='Major Assumption Key'!$B$6),SUM(M36:Q36),0)</f>
        <v>0</v>
      </c>
      <c r="S36" s="1292">
        <f t="shared" si="5"/>
        <v>0</v>
      </c>
      <c r="T36" s="1169">
        <f>S36/(1+'Major Assumption Key'!$B$8)^($F36-'Major Assumption Key'!$B$7)</f>
        <v>0</v>
      </c>
      <c r="U36" s="1281"/>
      <c r="V36" s="1165">
        <f t="shared" si="6"/>
        <v>0</v>
      </c>
      <c r="W36" s="1199">
        <f t="shared" si="7"/>
        <v>0</v>
      </c>
      <c r="X36" s="1292">
        <f t="shared" si="8"/>
        <v>0</v>
      </c>
      <c r="Y36" s="1169">
        <f t="shared" si="9"/>
        <v>0</v>
      </c>
    </row>
    <row r="37" spans="1:25" ht="19.95" customHeight="1">
      <c r="A37" s="1298" t="s">
        <v>868</v>
      </c>
      <c r="B37" s="1299">
        <v>0.3</v>
      </c>
      <c r="C37" s="1958"/>
      <c r="F37" s="1181">
        <f>'Major Assumption Key'!A49</f>
        <v>2050</v>
      </c>
      <c r="G37" s="1290">
        <f>IF(AND($F37&gt;=MIN($C$28),$F37&lt;=MAX($D$28)),SUMPRODUCT('BCA Guide - Parameter Values'!$C$6:$C$11,'Bike Safety CRTMeasure'!$G$7:$G$12)+'BCA Guide - Parameter Values'!$C$14*'Bike Safety CRTMeasure'!$G$6,0)</f>
        <v>0</v>
      </c>
      <c r="H37" s="1290">
        <f>IF(AND($F37&gt;=MIN($C$29),$F37&lt;=MAX($D$29)),SUMPRODUCT('BCA Guide - Parameter Values'!$C$6:$C$11,'Bike Safety CRTMeasure'!$G$19:$G$24)+'BCA Guide - Parameter Values'!$C$14*'Bike Safety CRTMeasure'!$G$18,0)</f>
        <v>0</v>
      </c>
      <c r="I37" s="1290">
        <f>IF(AND($F37&gt;=MIN($C$30),$F37&lt;=MAX($D$30)),SUMPRODUCT('BCA Guide - Parameter Values'!$C$6:$C$11,'Bike Safety CRTMeasure'!$G$31:$G$36)+'BCA Guide - Parameter Values'!$C$14*'Bike Safety CRTMeasure'!$G$30,0)</f>
        <v>0</v>
      </c>
      <c r="J37" s="1290">
        <f>IF(AND($F37&gt;=MIN($C$31),$F37&lt;=MAX($D$31)),SUMPRODUCT('BCA Guide - Parameter Values'!$C$6:$C$11,'Bike Safety CRTMeasure'!$G$43:$G$48)+'BCA Guide - Parameter Values'!$C$14*'Bike Safety CRTMeasure'!$G$42,0)</f>
        <v>0</v>
      </c>
      <c r="K37" s="1290">
        <f>IF(AND($F37&gt;=MIN($C$32),$F37&lt;=MAX($D$32)),SUMPRODUCT('BCA Guide - Parameter Values'!$C$6:$C$11,'Bike Safety CRTMeasure'!$G$68:$G$73)+'BCA Guide - Parameter Values'!$C$14*'Bike Safety CRTMeasure'!$G$67,0)</f>
        <v>0</v>
      </c>
      <c r="L37" s="1165">
        <f>IF(AND(F37&gt;='Major Assumption Key'!$B$4,F37&lt;='Major Assumption Key'!$B$6),SUM(G37:K37),0)</f>
        <v>0</v>
      </c>
      <c r="M37" s="1290">
        <f>IF(AND($F37&gt;=MIN($C$28),$F37&lt;=MAX($D$28)),SUMPRODUCT('BCA Guide - Parameter Values'!$C$6:$C$11,'Bike Safety CRTMeasure'!$H$7:$H$12)+'BCA Guide - Parameter Values'!$C$14*'Bike Safety CRTMeasure'!$H$6,0)</f>
        <v>0</v>
      </c>
      <c r="N37" s="1291">
        <f>IF(AND($F37&gt;=MIN($C$29),$F37&lt;=MAX($D$29)),SUMPRODUCT('BCA Guide - Parameter Values'!$C$6:$C$11,'Bike Safety CRTMeasure'!$H$19:$H$24)+'BCA Guide - Parameter Values'!$C$14*'Bike Safety CRTMeasure'!$H$18,0)</f>
        <v>0</v>
      </c>
      <c r="O37" s="1291">
        <f>IF(AND($F37&gt;=MIN($C$30),$F37&lt;=MAX($D$30)),SUMPRODUCT('BCA Guide - Parameter Values'!$C$6:$C$11,'Bike Safety CRTMeasure'!$H$31:$H$36)+'BCA Guide - Parameter Values'!$C$14*'Bike Safety CRTMeasure'!$H$30,0)</f>
        <v>0</v>
      </c>
      <c r="P37" s="1291">
        <f>IF(AND($F37&gt;=MIN($C$31),$F37&lt;=MAX($D$31)),SUMPRODUCT('BCA Guide - Parameter Values'!$C$6:$C$11,'Bike Safety CRTMeasure'!$H$43:$H$48)+'BCA Guide - Parameter Values'!$C$14*'Bike Safety CRTMeasure'!$H$42,0)</f>
        <v>0</v>
      </c>
      <c r="Q37" s="1291">
        <f>IF(AND($F37&gt;=MIN($C$32),$F37&lt;=MAX($D$32)),SUMPRODUCT('BCA Guide - Parameter Values'!$C$6:$C$11,'Bike Safety CRTMeasure'!$H$68:$H$73)+'BCA Guide - Parameter Values'!$C$14*'Bike Safety CRTMeasure'!$H$67,0)</f>
        <v>0</v>
      </c>
      <c r="R37" s="1199">
        <f>IF(AND(F37&gt;='Major Assumption Key'!$B$4,F37&lt;='Major Assumption Key'!$B$6),SUM(M37:Q37),0)</f>
        <v>0</v>
      </c>
      <c r="S37" s="1292">
        <f t="shared" si="5"/>
        <v>0</v>
      </c>
      <c r="T37" s="1169">
        <f>S37/(1+'Major Assumption Key'!$B$8)^($F37-'Major Assumption Key'!$B$7)</f>
        <v>0</v>
      </c>
      <c r="U37" s="1281"/>
      <c r="V37" s="1165">
        <f t="shared" si="6"/>
        <v>0</v>
      </c>
      <c r="W37" s="1199">
        <f t="shared" si="7"/>
        <v>0</v>
      </c>
      <c r="X37" s="1292">
        <f t="shared" si="8"/>
        <v>0</v>
      </c>
      <c r="Y37" s="1169">
        <f t="shared" si="9"/>
        <v>0</v>
      </c>
    </row>
    <row r="38" spans="1:25" ht="19.95" customHeight="1">
      <c r="A38" s="1298" t="s">
        <v>869</v>
      </c>
      <c r="B38" s="1299">
        <v>0.45</v>
      </c>
      <c r="C38" s="1957" t="s">
        <v>870</v>
      </c>
      <c r="F38" s="1181">
        <f>'Major Assumption Key'!A50</f>
        <v>2051</v>
      </c>
      <c r="G38" s="1290">
        <f>IF(AND($F38&gt;=MIN($C$28),$F38&lt;=MAX($D$28)),SUMPRODUCT('BCA Guide - Parameter Values'!$C$6:$C$11,'Bike Safety CRTMeasure'!$G$7:$G$12)+'BCA Guide - Parameter Values'!$C$14*'Bike Safety CRTMeasure'!$G$6,0)</f>
        <v>0</v>
      </c>
      <c r="H38" s="1290">
        <f>IF(AND($F38&gt;=MIN($C$29),$F38&lt;=MAX($D$29)),SUMPRODUCT('BCA Guide - Parameter Values'!$C$6:$C$11,'Bike Safety CRTMeasure'!$G$19:$G$24)+'BCA Guide - Parameter Values'!$C$14*'Bike Safety CRTMeasure'!$G$18,0)</f>
        <v>0</v>
      </c>
      <c r="I38" s="1290">
        <f>IF(AND($F38&gt;=MIN($C$30),$F38&lt;=MAX($D$30)),SUMPRODUCT('BCA Guide - Parameter Values'!$C$6:$C$11,'Bike Safety CRTMeasure'!$G$31:$G$36)+'BCA Guide - Parameter Values'!$C$14*'Bike Safety CRTMeasure'!$G$30,0)</f>
        <v>0</v>
      </c>
      <c r="J38" s="1290">
        <f>IF(AND($F38&gt;=MIN($C$31),$F38&lt;=MAX($D$31)),SUMPRODUCT('BCA Guide - Parameter Values'!$C$6:$C$11,'Bike Safety CRTMeasure'!$G$43:$G$48)+'BCA Guide - Parameter Values'!$C$14*'Bike Safety CRTMeasure'!$G$42,0)</f>
        <v>0</v>
      </c>
      <c r="K38" s="1290">
        <f>IF(AND($F38&gt;=MIN($C$32),$F38&lt;=MAX($D$32)),SUMPRODUCT('BCA Guide - Parameter Values'!$C$6:$C$11,'Bike Safety CRTMeasure'!$G$68:$G$73)+'BCA Guide - Parameter Values'!$C$14*'Bike Safety CRTMeasure'!$G$67,0)</f>
        <v>0</v>
      </c>
      <c r="L38" s="1165">
        <f>IF(AND(F38&gt;='Major Assumption Key'!$B$4,F38&lt;='Major Assumption Key'!$B$6),SUM(G38:K38),0)</f>
        <v>0</v>
      </c>
      <c r="M38" s="1290">
        <f>IF(AND($F38&gt;=MIN($C$28),$F38&lt;=MAX($D$28)),SUMPRODUCT('BCA Guide - Parameter Values'!$C$6:$C$11,'Bike Safety CRTMeasure'!$H$7:$H$12)+'BCA Guide - Parameter Values'!$C$14*'Bike Safety CRTMeasure'!$H$6,0)</f>
        <v>0</v>
      </c>
      <c r="N38" s="1291">
        <f>IF(AND($F38&gt;=MIN($C$29),$F38&lt;=MAX($D$29)),SUMPRODUCT('BCA Guide - Parameter Values'!$C$6:$C$11,'Bike Safety CRTMeasure'!$H$19:$H$24)+'BCA Guide - Parameter Values'!$C$14*'Bike Safety CRTMeasure'!$H$18,0)</f>
        <v>0</v>
      </c>
      <c r="O38" s="1291">
        <f>IF(AND($F38&gt;=MIN($C$30),$F38&lt;=MAX($D$30)),SUMPRODUCT('BCA Guide - Parameter Values'!$C$6:$C$11,'Bike Safety CRTMeasure'!$H$31:$H$36)+'BCA Guide - Parameter Values'!$C$14*'Bike Safety CRTMeasure'!$H$30,0)</f>
        <v>0</v>
      </c>
      <c r="P38" s="1291">
        <f>IF(AND($F38&gt;=MIN($C$31),$F38&lt;=MAX($D$31)),SUMPRODUCT('BCA Guide - Parameter Values'!$C$6:$C$11,'Bike Safety CRTMeasure'!$H$43:$H$48)+'BCA Guide - Parameter Values'!$C$14*'Bike Safety CRTMeasure'!$H$42,0)</f>
        <v>0</v>
      </c>
      <c r="Q38" s="1291">
        <f>IF(AND($F38&gt;=MIN($C$32),$F38&lt;=MAX($D$32)),SUMPRODUCT('BCA Guide - Parameter Values'!$C$6:$C$11,'Bike Safety CRTMeasure'!$H$68:$H$73)+'BCA Guide - Parameter Values'!$C$14*'Bike Safety CRTMeasure'!$H$67,0)</f>
        <v>0</v>
      </c>
      <c r="R38" s="1199">
        <f>IF(AND(F38&gt;='Major Assumption Key'!$B$4,F38&lt;='Major Assumption Key'!$B$6),SUM(M38:Q38),0)</f>
        <v>0</v>
      </c>
      <c r="S38" s="1292">
        <f t="shared" si="5"/>
        <v>0</v>
      </c>
      <c r="T38" s="1169">
        <f>S38/(1+'Major Assumption Key'!$B$8)^($F38-'Major Assumption Key'!$B$7)</f>
        <v>0</v>
      </c>
      <c r="U38" s="1281"/>
      <c r="V38" s="1165">
        <f t="shared" si="6"/>
        <v>0</v>
      </c>
      <c r="W38" s="1199">
        <f t="shared" si="7"/>
        <v>0</v>
      </c>
      <c r="X38" s="1292">
        <f t="shared" si="8"/>
        <v>0</v>
      </c>
      <c r="Y38" s="1169">
        <f t="shared" si="9"/>
        <v>0</v>
      </c>
    </row>
    <row r="39" spans="1:25" ht="19.95" customHeight="1">
      <c r="A39" s="1298" t="s">
        <v>871</v>
      </c>
      <c r="B39" s="1299">
        <v>0.42</v>
      </c>
      <c r="C39" s="1957"/>
      <c r="F39" s="1181">
        <f>'Major Assumption Key'!A51</f>
        <v>2052</v>
      </c>
      <c r="G39" s="1290">
        <f>IF(AND($F39&gt;=MIN($C$28),$F39&lt;=MAX($D$28)),SUMPRODUCT('BCA Guide - Parameter Values'!$C$6:$C$11,'Bike Safety CRTMeasure'!$G$7:$G$12)+'BCA Guide - Parameter Values'!$C$14*'Bike Safety CRTMeasure'!$G$6,0)</f>
        <v>0</v>
      </c>
      <c r="H39" s="1290">
        <f>IF(AND($F39&gt;=MIN($C$29),$F39&lt;=MAX($D$29)),SUMPRODUCT('BCA Guide - Parameter Values'!$C$6:$C$11,'Bike Safety CRTMeasure'!$G$19:$G$24)+'BCA Guide - Parameter Values'!$C$14*'Bike Safety CRTMeasure'!$G$18,0)</f>
        <v>0</v>
      </c>
      <c r="I39" s="1290">
        <f>IF(AND($F39&gt;=MIN($C$30),$F39&lt;=MAX($D$30)),SUMPRODUCT('BCA Guide - Parameter Values'!$C$6:$C$11,'Bike Safety CRTMeasure'!$G$31:$G$36)+'BCA Guide - Parameter Values'!$C$14*'Bike Safety CRTMeasure'!$G$30,0)</f>
        <v>0</v>
      </c>
      <c r="J39" s="1290">
        <f>IF(AND($F39&gt;=MIN($C$31),$F39&lt;=MAX($D$31)),SUMPRODUCT('BCA Guide - Parameter Values'!$C$6:$C$11,'Bike Safety CRTMeasure'!$G$43:$G$48)+'BCA Guide - Parameter Values'!$C$14*'Bike Safety CRTMeasure'!$G$42,0)</f>
        <v>0</v>
      </c>
      <c r="K39" s="1290">
        <f>IF(AND($F39&gt;=MIN($C$32),$F39&lt;=MAX($D$32)),SUMPRODUCT('BCA Guide - Parameter Values'!$C$6:$C$11,'Bike Safety CRTMeasure'!$G$68:$G$73)+'BCA Guide - Parameter Values'!$C$14*'Bike Safety CRTMeasure'!$G$67,0)</f>
        <v>0</v>
      </c>
      <c r="L39" s="1165">
        <f>IF(AND(F39&gt;='Major Assumption Key'!$B$4,F39&lt;='Major Assumption Key'!$B$6),SUM(G39:K39),0)</f>
        <v>0</v>
      </c>
      <c r="M39" s="1290">
        <f>IF(AND($F39&gt;=MIN($C$28),$F39&lt;=MAX($D$28)),SUMPRODUCT('BCA Guide - Parameter Values'!$C$6:$C$11,'Bike Safety CRTMeasure'!$H$7:$H$12)+'BCA Guide - Parameter Values'!$C$14*'Bike Safety CRTMeasure'!$H$6,0)</f>
        <v>0</v>
      </c>
      <c r="N39" s="1291">
        <f>IF(AND($F39&gt;=MIN($C$29),$F39&lt;=MAX($D$29)),SUMPRODUCT('BCA Guide - Parameter Values'!$C$6:$C$11,'Bike Safety CRTMeasure'!$H$19:$H$24)+'BCA Guide - Parameter Values'!$C$14*'Bike Safety CRTMeasure'!$H$18,0)</f>
        <v>0</v>
      </c>
      <c r="O39" s="1291">
        <f>IF(AND($F39&gt;=MIN($C$30),$F39&lt;=MAX($D$30)),SUMPRODUCT('BCA Guide - Parameter Values'!$C$6:$C$11,'Bike Safety CRTMeasure'!$H$31:$H$36)+'BCA Guide - Parameter Values'!$C$14*'Bike Safety CRTMeasure'!$H$30,0)</f>
        <v>0</v>
      </c>
      <c r="P39" s="1291">
        <f>IF(AND($F39&gt;=MIN($C$31),$F39&lt;=MAX($D$31)),SUMPRODUCT('BCA Guide - Parameter Values'!$C$6:$C$11,'Bike Safety CRTMeasure'!$H$43:$H$48)+'BCA Guide - Parameter Values'!$C$14*'Bike Safety CRTMeasure'!$H$42,0)</f>
        <v>0</v>
      </c>
      <c r="Q39" s="1291">
        <f>IF(AND($F39&gt;=MIN($C$32),$F39&lt;=MAX($D$32)),SUMPRODUCT('BCA Guide - Parameter Values'!$C$6:$C$11,'Bike Safety CRTMeasure'!$H$68:$H$73)+'BCA Guide - Parameter Values'!$C$14*'Bike Safety CRTMeasure'!$H$67,0)</f>
        <v>0</v>
      </c>
      <c r="R39" s="1199">
        <f>IF(AND(F39&gt;='Major Assumption Key'!$B$4,F39&lt;='Major Assumption Key'!$B$6),SUM(M39:Q39),0)</f>
        <v>0</v>
      </c>
      <c r="S39" s="1292">
        <f t="shared" si="5"/>
        <v>0</v>
      </c>
      <c r="T39" s="1169">
        <f>S39/(1+'Major Assumption Key'!$B$8)^($F39-'Major Assumption Key'!$B$7)</f>
        <v>0</v>
      </c>
      <c r="U39" s="1281"/>
      <c r="V39" s="1165">
        <f t="shared" si="6"/>
        <v>0</v>
      </c>
      <c r="W39" s="1199">
        <f t="shared" si="7"/>
        <v>0</v>
      </c>
      <c r="X39" s="1292">
        <f t="shared" si="8"/>
        <v>0</v>
      </c>
      <c r="Y39" s="1169">
        <f t="shared" si="9"/>
        <v>0</v>
      </c>
    </row>
    <row r="40" spans="1:25" ht="19.95" customHeight="1">
      <c r="A40" s="1298" t="s">
        <v>872</v>
      </c>
      <c r="B40" s="1299">
        <v>0.57999999999999996</v>
      </c>
      <c r="C40" s="1957"/>
      <c r="F40" s="1181">
        <f>'Major Assumption Key'!A52</f>
        <v>2053</v>
      </c>
      <c r="G40" s="1290">
        <f>IF(AND($F40&gt;=MIN($C$28),$F40&lt;=MAX($D$28)),SUMPRODUCT('BCA Guide - Parameter Values'!$C$6:$C$11,'Bike Safety CRTMeasure'!$G$7:$G$12)+'BCA Guide - Parameter Values'!$C$14*'Bike Safety CRTMeasure'!$G$6,0)</f>
        <v>0</v>
      </c>
      <c r="H40" s="1290">
        <f>IF(AND($F40&gt;=MIN($C$29),$F40&lt;=MAX($D$29)),SUMPRODUCT('BCA Guide - Parameter Values'!$C$6:$C$11,'Bike Safety CRTMeasure'!$G$19:$G$24)+'BCA Guide - Parameter Values'!$C$14*'Bike Safety CRTMeasure'!$G$18,0)</f>
        <v>0</v>
      </c>
      <c r="I40" s="1290">
        <f>IF(AND($F40&gt;=MIN($C$30),$F40&lt;=MAX($D$30)),SUMPRODUCT('BCA Guide - Parameter Values'!$C$6:$C$11,'Bike Safety CRTMeasure'!$G$31:$G$36)+'BCA Guide - Parameter Values'!$C$14*'Bike Safety CRTMeasure'!$G$30,0)</f>
        <v>0</v>
      </c>
      <c r="J40" s="1290">
        <f>IF(AND($F40&gt;=MIN($C$31),$F40&lt;=MAX($D$31)),SUMPRODUCT('BCA Guide - Parameter Values'!$C$6:$C$11,'Bike Safety CRTMeasure'!$G$43:$G$48)+'BCA Guide - Parameter Values'!$C$14*'Bike Safety CRTMeasure'!$G$42,0)</f>
        <v>0</v>
      </c>
      <c r="K40" s="1290">
        <f>IF(AND($F40&gt;=MIN($C$32),$F40&lt;=MAX($D$32)),SUMPRODUCT('BCA Guide - Parameter Values'!$C$6:$C$11,'Bike Safety CRTMeasure'!$G$68:$G$73)+'BCA Guide - Parameter Values'!$C$14*'Bike Safety CRTMeasure'!$G$67,0)</f>
        <v>0</v>
      </c>
      <c r="L40" s="1165">
        <f>IF(AND(F40&gt;='Major Assumption Key'!$B$4,F40&lt;='Major Assumption Key'!$B$6),SUM(G40:K40),0)</f>
        <v>0</v>
      </c>
      <c r="M40" s="1290">
        <f>IF(AND($F40&gt;=MIN($C$28),$F40&lt;=MAX($D$28)),SUMPRODUCT('BCA Guide - Parameter Values'!$C$6:$C$11,'Bike Safety CRTMeasure'!$H$7:$H$12)+'BCA Guide - Parameter Values'!$C$14*'Bike Safety CRTMeasure'!$H$6,0)</f>
        <v>0</v>
      </c>
      <c r="N40" s="1291">
        <f>IF(AND($F40&gt;=MIN($C$29),$F40&lt;=MAX($D$29)),SUMPRODUCT('BCA Guide - Parameter Values'!$C$6:$C$11,'Bike Safety CRTMeasure'!$H$19:$H$24)+'BCA Guide - Parameter Values'!$C$14*'Bike Safety CRTMeasure'!$H$18,0)</f>
        <v>0</v>
      </c>
      <c r="O40" s="1291">
        <f>IF(AND($F40&gt;=MIN($C$30),$F40&lt;=MAX($D$30)),SUMPRODUCT('BCA Guide - Parameter Values'!$C$6:$C$11,'Bike Safety CRTMeasure'!$H$31:$H$36)+'BCA Guide - Parameter Values'!$C$14*'Bike Safety CRTMeasure'!$H$30,0)</f>
        <v>0</v>
      </c>
      <c r="P40" s="1291">
        <f>IF(AND($F40&gt;=MIN($C$31),$F40&lt;=MAX($D$31)),SUMPRODUCT('BCA Guide - Parameter Values'!$C$6:$C$11,'Bike Safety CRTMeasure'!$H$43:$H$48)+'BCA Guide - Parameter Values'!$C$14*'Bike Safety CRTMeasure'!$H$42,0)</f>
        <v>0</v>
      </c>
      <c r="Q40" s="1291">
        <f>IF(AND($F40&gt;=MIN($C$32),$F40&lt;=MAX($D$32)),SUMPRODUCT('BCA Guide - Parameter Values'!$C$6:$C$11,'Bike Safety CRTMeasure'!$H$68:$H$73)+'BCA Guide - Parameter Values'!$C$14*'Bike Safety CRTMeasure'!$H$67,0)</f>
        <v>0</v>
      </c>
      <c r="R40" s="1199">
        <f>IF(AND(F40&gt;='Major Assumption Key'!$B$4,F40&lt;='Major Assumption Key'!$B$6),SUM(M40:Q40),0)</f>
        <v>0</v>
      </c>
      <c r="S40" s="1292">
        <f t="shared" si="5"/>
        <v>0</v>
      </c>
      <c r="T40" s="1169">
        <f>S40/(1+'Major Assumption Key'!$B$8)^($F40-'Major Assumption Key'!$B$7)</f>
        <v>0</v>
      </c>
      <c r="U40" s="1281"/>
      <c r="V40" s="1165">
        <f t="shared" si="6"/>
        <v>0</v>
      </c>
      <c r="W40" s="1199">
        <f t="shared" si="7"/>
        <v>0</v>
      </c>
      <c r="X40" s="1292">
        <f t="shared" si="8"/>
        <v>0</v>
      </c>
      <c r="Y40" s="1169">
        <f t="shared" si="9"/>
        <v>0</v>
      </c>
    </row>
    <row r="41" spans="1:25" ht="19.95" customHeight="1">
      <c r="A41" s="1298" t="s">
        <v>873</v>
      </c>
      <c r="B41" s="1299">
        <v>0.63</v>
      </c>
      <c r="C41" s="1957"/>
      <c r="F41" s="1181">
        <f>'Major Assumption Key'!A53</f>
        <v>2054</v>
      </c>
      <c r="G41" s="1290">
        <f>IF(AND($F41&gt;=MIN($C$28),$F41&lt;=MAX($D$28)),SUMPRODUCT('BCA Guide - Parameter Values'!$C$6:$C$11,'Bike Safety CRTMeasure'!$G$7:$G$12)+'BCA Guide - Parameter Values'!$C$14*'Bike Safety CRTMeasure'!$G$6,0)</f>
        <v>0</v>
      </c>
      <c r="H41" s="1290">
        <f>IF(AND($F41&gt;=MIN($C$29),$F41&lt;=MAX($D$29)),SUMPRODUCT('BCA Guide - Parameter Values'!$C$6:$C$11,'Bike Safety CRTMeasure'!$G$19:$G$24)+'BCA Guide - Parameter Values'!$C$14*'Bike Safety CRTMeasure'!$G$18,0)</f>
        <v>0</v>
      </c>
      <c r="I41" s="1290">
        <f>IF(AND($F41&gt;=MIN($C$30),$F41&lt;=MAX($D$30)),SUMPRODUCT('BCA Guide - Parameter Values'!$C$6:$C$11,'Bike Safety CRTMeasure'!$G$31:$G$36)+'BCA Guide - Parameter Values'!$C$14*'Bike Safety CRTMeasure'!$G$30,0)</f>
        <v>0</v>
      </c>
      <c r="J41" s="1290">
        <f>IF(AND($F41&gt;=MIN($C$31),$F41&lt;=MAX($D$31)),SUMPRODUCT('BCA Guide - Parameter Values'!$C$6:$C$11,'Bike Safety CRTMeasure'!$G$43:$G$48)+'BCA Guide - Parameter Values'!$C$14*'Bike Safety CRTMeasure'!$G$42,0)</f>
        <v>0</v>
      </c>
      <c r="K41" s="1290">
        <f>IF(AND($F41&gt;=MIN($C$32),$F41&lt;=MAX($D$32)),SUMPRODUCT('BCA Guide - Parameter Values'!$C$6:$C$11,'Bike Safety CRTMeasure'!$G$68:$G$73)+'BCA Guide - Parameter Values'!$C$14*'Bike Safety CRTMeasure'!$G$67,0)</f>
        <v>0</v>
      </c>
      <c r="L41" s="1165">
        <f>IF(AND(F41&gt;='Major Assumption Key'!$B$4,F41&lt;='Major Assumption Key'!$B$6),SUM(G41:K41),0)</f>
        <v>0</v>
      </c>
      <c r="M41" s="1290">
        <f>IF(AND($F41&gt;=MIN($C$28),$F41&lt;=MAX($D$28)),SUMPRODUCT('BCA Guide - Parameter Values'!$C$6:$C$11,'Bike Safety CRTMeasure'!$H$7:$H$12)+'BCA Guide - Parameter Values'!$C$14*'Bike Safety CRTMeasure'!$H$6,0)</f>
        <v>0</v>
      </c>
      <c r="N41" s="1291">
        <f>IF(AND($F41&gt;=MIN($C$29),$F41&lt;=MAX($D$29)),SUMPRODUCT('BCA Guide - Parameter Values'!$C$6:$C$11,'Bike Safety CRTMeasure'!$H$19:$H$24)+'BCA Guide - Parameter Values'!$C$14*'Bike Safety CRTMeasure'!$H$18,0)</f>
        <v>0</v>
      </c>
      <c r="O41" s="1291">
        <f>IF(AND($F41&gt;=MIN($C$30),$F41&lt;=MAX($D$30)),SUMPRODUCT('BCA Guide - Parameter Values'!$C$6:$C$11,'Bike Safety CRTMeasure'!$H$31:$H$36)+'BCA Guide - Parameter Values'!$C$14*'Bike Safety CRTMeasure'!$H$30,0)</f>
        <v>0</v>
      </c>
      <c r="P41" s="1291">
        <f>IF(AND($F41&gt;=MIN($C$31),$F41&lt;=MAX($D$31)),SUMPRODUCT('BCA Guide - Parameter Values'!$C$6:$C$11,'Bike Safety CRTMeasure'!$H$43:$H$48)+'BCA Guide - Parameter Values'!$C$14*'Bike Safety CRTMeasure'!$H$42,0)</f>
        <v>0</v>
      </c>
      <c r="Q41" s="1291">
        <f>IF(AND($F41&gt;=MIN($C$32),$F41&lt;=MAX($D$32)),SUMPRODUCT('BCA Guide - Parameter Values'!$C$6:$C$11,'Bike Safety CRTMeasure'!$H$68:$H$73)+'BCA Guide - Parameter Values'!$C$14*'Bike Safety CRTMeasure'!$H$67,0)</f>
        <v>0</v>
      </c>
      <c r="R41" s="1199">
        <f>IF(AND(F41&gt;='Major Assumption Key'!$B$4,F41&lt;='Major Assumption Key'!$B$6),SUM(M41:Q41),0)</f>
        <v>0</v>
      </c>
      <c r="S41" s="1292">
        <f t="shared" si="5"/>
        <v>0</v>
      </c>
      <c r="T41" s="1169">
        <f>S41/(1+'Major Assumption Key'!$B$8)^($F41-'Major Assumption Key'!$B$7)</f>
        <v>0</v>
      </c>
      <c r="U41" s="1281"/>
      <c r="V41" s="1165">
        <f t="shared" si="6"/>
        <v>0</v>
      </c>
      <c r="W41" s="1199">
        <f t="shared" si="7"/>
        <v>0</v>
      </c>
      <c r="X41" s="1292">
        <f t="shared" si="8"/>
        <v>0</v>
      </c>
      <c r="Y41" s="1169">
        <f t="shared" si="9"/>
        <v>0</v>
      </c>
    </row>
    <row r="42" spans="1:25" ht="19.95" customHeight="1">
      <c r="A42" s="1298" t="s">
        <v>874</v>
      </c>
      <c r="B42" s="1299">
        <v>0.47</v>
      </c>
      <c r="C42" s="1957"/>
      <c r="F42" s="1181">
        <f>'Major Assumption Key'!A54</f>
        <v>2055</v>
      </c>
      <c r="G42" s="1290">
        <f>IF(AND($F42&gt;=MIN($C$28),$F42&lt;=MAX($D$28)),SUMPRODUCT('BCA Guide - Parameter Values'!$C$6:$C$11,'Bike Safety CRTMeasure'!$G$7:$G$12)+'BCA Guide - Parameter Values'!$C$14*'Bike Safety CRTMeasure'!$G$6,0)</f>
        <v>0</v>
      </c>
      <c r="H42" s="1290">
        <f>IF(AND($F42&gt;=MIN($C$29),$F42&lt;=MAX($D$29)),SUMPRODUCT('BCA Guide - Parameter Values'!$C$6:$C$11,'Bike Safety CRTMeasure'!$G$19:$G$24)+'BCA Guide - Parameter Values'!$C$14*'Bike Safety CRTMeasure'!$G$18,0)</f>
        <v>0</v>
      </c>
      <c r="I42" s="1290">
        <f>IF(AND($F42&gt;=MIN($C$30),$F42&lt;=MAX($D$30)),SUMPRODUCT('BCA Guide - Parameter Values'!$C$6:$C$11,'Bike Safety CRTMeasure'!$G$31:$G$36)+'BCA Guide - Parameter Values'!$C$14*'Bike Safety CRTMeasure'!$G$30,0)</f>
        <v>0</v>
      </c>
      <c r="J42" s="1290">
        <f>IF(AND($F42&gt;=MIN($C$31),$F42&lt;=MAX($D$31)),SUMPRODUCT('BCA Guide - Parameter Values'!$C$6:$C$11,'Bike Safety CRTMeasure'!$G$43:$G$48)+'BCA Guide - Parameter Values'!$C$14*'Bike Safety CRTMeasure'!$G$42,0)</f>
        <v>0</v>
      </c>
      <c r="K42" s="1290">
        <f>IF(AND($F42&gt;=MIN($C$32),$F42&lt;=MAX($D$32)),SUMPRODUCT('BCA Guide - Parameter Values'!$C$6:$C$11,'Bike Safety CRTMeasure'!$G$68:$G$73)+'BCA Guide - Parameter Values'!$C$14*'Bike Safety CRTMeasure'!$G$67,0)</f>
        <v>0</v>
      </c>
      <c r="L42" s="1165">
        <f>IF(AND(F42&gt;='Major Assumption Key'!$B$4,F42&lt;='Major Assumption Key'!$B$6),SUM(G42:K42),0)</f>
        <v>0</v>
      </c>
      <c r="M42" s="1290">
        <f>IF(AND($F42&gt;=MIN($C$28),$F42&lt;=MAX($D$28)),SUMPRODUCT('BCA Guide - Parameter Values'!$C$6:$C$11,'Bike Safety CRTMeasure'!$H$7:$H$12)+'BCA Guide - Parameter Values'!$C$14*'Bike Safety CRTMeasure'!$H$6,0)</f>
        <v>0</v>
      </c>
      <c r="N42" s="1291">
        <f>IF(AND($F42&gt;=MIN($C$29),$F42&lt;=MAX($D$29)),SUMPRODUCT('BCA Guide - Parameter Values'!$C$6:$C$11,'Bike Safety CRTMeasure'!$H$19:$H$24)+'BCA Guide - Parameter Values'!$C$14*'Bike Safety CRTMeasure'!$H$18,0)</f>
        <v>0</v>
      </c>
      <c r="O42" s="1291">
        <f>IF(AND($F42&gt;=MIN($C$30),$F42&lt;=MAX($D$30)),SUMPRODUCT('BCA Guide - Parameter Values'!$C$6:$C$11,'Bike Safety CRTMeasure'!$H$31:$H$36)+'BCA Guide - Parameter Values'!$C$14*'Bike Safety CRTMeasure'!$H$30,0)</f>
        <v>0</v>
      </c>
      <c r="P42" s="1291">
        <f>IF(AND($F42&gt;=MIN($C$31),$F42&lt;=MAX($D$31)),SUMPRODUCT('BCA Guide - Parameter Values'!$C$6:$C$11,'Bike Safety CRTMeasure'!$H$43:$H$48)+'BCA Guide - Parameter Values'!$C$14*'Bike Safety CRTMeasure'!$H$42,0)</f>
        <v>0</v>
      </c>
      <c r="Q42" s="1291">
        <f>IF(AND($F42&gt;=MIN($C$32),$F42&lt;=MAX($D$32)),SUMPRODUCT('BCA Guide - Parameter Values'!$C$6:$C$11,'Bike Safety CRTMeasure'!$H$68:$H$73)+'BCA Guide - Parameter Values'!$C$14*'Bike Safety CRTMeasure'!$H$67,0)</f>
        <v>0</v>
      </c>
      <c r="R42" s="1199">
        <f>IF(AND(F42&gt;='Major Assumption Key'!$B$4,F42&lt;='Major Assumption Key'!$B$6),SUM(M42:Q42),0)</f>
        <v>0</v>
      </c>
      <c r="S42" s="1292">
        <f t="shared" si="5"/>
        <v>0</v>
      </c>
      <c r="T42" s="1169">
        <f>S42/(1+'Major Assumption Key'!$B$8)^($F42-'Major Assumption Key'!$B$7)</f>
        <v>0</v>
      </c>
      <c r="U42" s="1281"/>
      <c r="V42" s="1165">
        <f t="shared" si="6"/>
        <v>0</v>
      </c>
      <c r="W42" s="1199">
        <f t="shared" si="7"/>
        <v>0</v>
      </c>
      <c r="X42" s="1292">
        <f t="shared" si="8"/>
        <v>0</v>
      </c>
      <c r="Y42" s="1169">
        <f t="shared" si="9"/>
        <v>0</v>
      </c>
    </row>
    <row r="43" spans="1:25" ht="19.95" customHeight="1">
      <c r="A43" s="1298" t="s">
        <v>875</v>
      </c>
      <c r="B43" s="1299">
        <v>0.41</v>
      </c>
      <c r="C43" s="1957"/>
      <c r="F43" s="1181">
        <f>'Major Assumption Key'!A55</f>
        <v>2056</v>
      </c>
      <c r="G43" s="1290">
        <f>IF(AND($F43&gt;=MIN($C$28),$F43&lt;=MAX($D$28)),SUMPRODUCT('BCA Guide - Parameter Values'!$C$6:$C$11,'Bike Safety CRTMeasure'!$G$7:$G$12)+'BCA Guide - Parameter Values'!$C$14*'Bike Safety CRTMeasure'!$G$6,0)</f>
        <v>0</v>
      </c>
      <c r="H43" s="1290">
        <f>IF(AND($F43&gt;=MIN($C$29),$F43&lt;=MAX($D$29)),SUMPRODUCT('BCA Guide - Parameter Values'!$C$6:$C$11,'Bike Safety CRTMeasure'!$G$19:$G$24)+'BCA Guide - Parameter Values'!$C$14*'Bike Safety CRTMeasure'!$G$18,0)</f>
        <v>0</v>
      </c>
      <c r="I43" s="1290">
        <f>IF(AND($F43&gt;=MIN($C$30),$F43&lt;=MAX($D$30)),SUMPRODUCT('BCA Guide - Parameter Values'!$C$6:$C$11,'Bike Safety CRTMeasure'!$G$31:$G$36)+'BCA Guide - Parameter Values'!$C$14*'Bike Safety CRTMeasure'!$G$30,0)</f>
        <v>0</v>
      </c>
      <c r="J43" s="1290">
        <f>IF(AND($F43&gt;=MIN($C$31),$F43&lt;=MAX($D$31)),SUMPRODUCT('BCA Guide - Parameter Values'!$C$6:$C$11,'Bike Safety CRTMeasure'!$G$43:$G$48)+'BCA Guide - Parameter Values'!$C$14*'Bike Safety CRTMeasure'!$G$42,0)</f>
        <v>0</v>
      </c>
      <c r="K43" s="1290">
        <f>IF(AND($F43&gt;=MIN($C$32),$F43&lt;=MAX($D$32)),SUMPRODUCT('BCA Guide - Parameter Values'!$C$6:$C$11,'Bike Safety CRTMeasure'!$G$68:$G$73)+'BCA Guide - Parameter Values'!$C$14*'Bike Safety CRTMeasure'!$G$67,0)</f>
        <v>0</v>
      </c>
      <c r="L43" s="1165">
        <f>IF(AND(F43&gt;='Major Assumption Key'!$B$4,F43&lt;='Major Assumption Key'!$B$6),SUM(G43:K43),0)</f>
        <v>0</v>
      </c>
      <c r="M43" s="1290">
        <f>IF(AND($F43&gt;=MIN($C$28),$F43&lt;=MAX($D$28)),SUMPRODUCT('BCA Guide - Parameter Values'!$C$6:$C$11,'Bike Safety CRTMeasure'!$H$7:$H$12)+'BCA Guide - Parameter Values'!$C$14*'Bike Safety CRTMeasure'!$H$6,0)</f>
        <v>0</v>
      </c>
      <c r="N43" s="1291">
        <f>IF(AND($F43&gt;=MIN($C$29),$F43&lt;=MAX($D$29)),SUMPRODUCT('BCA Guide - Parameter Values'!$C$6:$C$11,'Bike Safety CRTMeasure'!$H$19:$H$24)+'BCA Guide - Parameter Values'!$C$14*'Bike Safety CRTMeasure'!$H$18,0)</f>
        <v>0</v>
      </c>
      <c r="O43" s="1291">
        <f>IF(AND($F43&gt;=MIN($C$30),$F43&lt;=MAX($D$30)),SUMPRODUCT('BCA Guide - Parameter Values'!$C$6:$C$11,'Bike Safety CRTMeasure'!$H$31:$H$36)+'BCA Guide - Parameter Values'!$C$14*'Bike Safety CRTMeasure'!$H$30,0)</f>
        <v>0</v>
      </c>
      <c r="P43" s="1291">
        <f>IF(AND($F43&gt;=MIN($C$31),$F43&lt;=MAX($D$31)),SUMPRODUCT('BCA Guide - Parameter Values'!$C$6:$C$11,'Bike Safety CRTMeasure'!$H$43:$H$48)+'BCA Guide - Parameter Values'!$C$14*'Bike Safety CRTMeasure'!$H$42,0)</f>
        <v>0</v>
      </c>
      <c r="Q43" s="1291">
        <f>IF(AND($F43&gt;=MIN($C$32),$F43&lt;=MAX($D$32)),SUMPRODUCT('BCA Guide - Parameter Values'!$C$6:$C$11,'Bike Safety CRTMeasure'!$H$68:$H$73)+'BCA Guide - Parameter Values'!$C$14*'Bike Safety CRTMeasure'!$H$67,0)</f>
        <v>0</v>
      </c>
      <c r="R43" s="1199">
        <f>IF(AND(F43&gt;='Major Assumption Key'!$B$4,F43&lt;='Major Assumption Key'!$B$6),SUM(M43:Q43),0)</f>
        <v>0</v>
      </c>
      <c r="S43" s="1292">
        <f t="shared" si="5"/>
        <v>0</v>
      </c>
      <c r="T43" s="1169">
        <f>S43/(1+'Major Assumption Key'!$B$8)^($F43-'Major Assumption Key'!$B$7)</f>
        <v>0</v>
      </c>
      <c r="U43" s="1281"/>
      <c r="V43" s="1165">
        <f t="shared" si="6"/>
        <v>0</v>
      </c>
      <c r="W43" s="1199">
        <f t="shared" si="7"/>
        <v>0</v>
      </c>
      <c r="X43" s="1292">
        <f t="shared" si="8"/>
        <v>0</v>
      </c>
      <c r="Y43" s="1169">
        <f t="shared" si="9"/>
        <v>0</v>
      </c>
    </row>
    <row r="44" spans="1:25" ht="19.95" customHeight="1">
      <c r="A44" s="1298"/>
      <c r="B44" s="1299"/>
      <c r="C44" s="1684"/>
      <c r="F44" s="1181">
        <f>'Major Assumption Key'!A56</f>
        <v>2057</v>
      </c>
      <c r="G44" s="1290">
        <f>IF(AND($F44&gt;=MIN($C$28),$F44&lt;=MAX($D$28)),SUMPRODUCT('BCA Guide - Parameter Values'!$C$6:$C$11,'Bike Safety CRTMeasure'!$G$7:$G$12)+'BCA Guide - Parameter Values'!$C$14*'Bike Safety CRTMeasure'!$G$6,0)</f>
        <v>0</v>
      </c>
      <c r="H44" s="1290">
        <f>IF(AND($F44&gt;=MIN($C$29),$F44&lt;=MAX($D$29)),SUMPRODUCT('BCA Guide - Parameter Values'!$C$6:$C$11,'Bike Safety CRTMeasure'!$G$19:$G$24)+'BCA Guide - Parameter Values'!$C$14*'Bike Safety CRTMeasure'!$G$18,0)</f>
        <v>0</v>
      </c>
      <c r="I44" s="1290">
        <f>IF(AND($F44&gt;=MIN($C$30),$F44&lt;=MAX($D$30)),SUMPRODUCT('BCA Guide - Parameter Values'!$C$6:$C$11,'Bike Safety CRTMeasure'!$G$31:$G$36)+'BCA Guide - Parameter Values'!$C$14*'Bike Safety CRTMeasure'!$G$30,0)</f>
        <v>0</v>
      </c>
      <c r="J44" s="1290">
        <f>IF(AND($F44&gt;=MIN($C$31),$F44&lt;=MAX($D$31)),SUMPRODUCT('BCA Guide - Parameter Values'!$C$6:$C$11,'Bike Safety CRTMeasure'!$G$43:$G$48)+'BCA Guide - Parameter Values'!$C$14*'Bike Safety CRTMeasure'!$G$42,0)</f>
        <v>0</v>
      </c>
      <c r="K44" s="1290">
        <f>IF(AND($F44&gt;=MIN($C$32),$F44&lt;=MAX($D$32)),SUMPRODUCT('BCA Guide - Parameter Values'!$C$6:$C$11,'Bike Safety CRTMeasure'!$G$68:$G$73)+'BCA Guide - Parameter Values'!$C$14*'Bike Safety CRTMeasure'!$G$67,0)</f>
        <v>0</v>
      </c>
      <c r="L44" s="1165">
        <f>IF(AND(F44&gt;='Major Assumption Key'!$B$4,F44&lt;='Major Assumption Key'!$B$6),SUM(G44:K44),0)</f>
        <v>0</v>
      </c>
      <c r="M44" s="1290">
        <f>IF(AND($F44&gt;=MIN($C$28),$F44&lt;=MAX($D$28)),SUMPRODUCT('BCA Guide - Parameter Values'!$C$6:$C$11,'Bike Safety CRTMeasure'!$H$7:$H$12)+'BCA Guide - Parameter Values'!$C$14*'Bike Safety CRTMeasure'!$H$6,0)</f>
        <v>0</v>
      </c>
      <c r="N44" s="1291">
        <f>IF(AND($F44&gt;=MIN($C$29),$F44&lt;=MAX($D$29)),SUMPRODUCT('BCA Guide - Parameter Values'!$C$6:$C$11,'Bike Safety CRTMeasure'!$H$19:$H$24)+'BCA Guide - Parameter Values'!$C$14*'Bike Safety CRTMeasure'!$H$18,0)</f>
        <v>0</v>
      </c>
      <c r="O44" s="1291">
        <f>IF(AND($F44&gt;=MIN($C$30),$F44&lt;=MAX($D$30)),SUMPRODUCT('BCA Guide - Parameter Values'!$C$6:$C$11,'Bike Safety CRTMeasure'!$H$31:$H$36)+'BCA Guide - Parameter Values'!$C$14*'Bike Safety CRTMeasure'!$H$30,0)</f>
        <v>0</v>
      </c>
      <c r="P44" s="1291">
        <f>IF(AND($F44&gt;=MIN($C$31),$F44&lt;=MAX($D$31)),SUMPRODUCT('BCA Guide - Parameter Values'!$C$6:$C$11,'Bike Safety CRTMeasure'!$H$43:$H$48)+'BCA Guide - Parameter Values'!$C$14*'Bike Safety CRTMeasure'!$H$42,0)</f>
        <v>0</v>
      </c>
      <c r="Q44" s="1291">
        <f>IF(AND($F44&gt;=MIN($C$32),$F44&lt;=MAX($D$32)),SUMPRODUCT('BCA Guide - Parameter Values'!$C$6:$C$11,'Bike Safety CRTMeasure'!$H$68:$H$73)+'BCA Guide - Parameter Values'!$C$14*'Bike Safety CRTMeasure'!$H$67,0)</f>
        <v>0</v>
      </c>
      <c r="R44" s="1199">
        <f>IF(AND(F44&gt;='Major Assumption Key'!$B$4,F44&lt;='Major Assumption Key'!$B$6),SUM(M44:Q44),0)</f>
        <v>0</v>
      </c>
      <c r="S44" s="1292">
        <f t="shared" si="5"/>
        <v>0</v>
      </c>
      <c r="T44" s="1169">
        <f>S44/(1+'Major Assumption Key'!$B$8)^($F44-'Major Assumption Key'!$B$7)</f>
        <v>0</v>
      </c>
      <c r="U44" s="1281"/>
      <c r="V44" s="1165">
        <f t="shared" si="6"/>
        <v>0</v>
      </c>
      <c r="W44" s="1199">
        <f t="shared" si="7"/>
        <v>0</v>
      </c>
      <c r="X44" s="1292">
        <f t="shared" si="8"/>
        <v>0</v>
      </c>
      <c r="Y44" s="1169">
        <f t="shared" si="9"/>
        <v>0</v>
      </c>
    </row>
    <row r="45" spans="1:25" ht="19.95" customHeight="1">
      <c r="A45" s="1298"/>
      <c r="B45" s="1299"/>
      <c r="C45" s="1684"/>
      <c r="F45" s="1181">
        <f>'Major Assumption Key'!A57</f>
        <v>2058</v>
      </c>
      <c r="G45" s="1290">
        <f>IF(AND($F45&gt;=MIN($C$28),$F45&lt;=MAX($D$28)),SUMPRODUCT('BCA Guide - Parameter Values'!$C$6:$C$11,'Bike Safety CRTMeasure'!$G$7:$G$12)+'BCA Guide - Parameter Values'!$C$14*'Bike Safety CRTMeasure'!$G$6,0)</f>
        <v>0</v>
      </c>
      <c r="H45" s="1290">
        <f>IF(AND($F45&gt;=MIN($C$29),$F45&lt;=MAX($D$29)),SUMPRODUCT('BCA Guide - Parameter Values'!$C$6:$C$11,'Bike Safety CRTMeasure'!$G$19:$G$24)+'BCA Guide - Parameter Values'!$C$14*'Bike Safety CRTMeasure'!$G$18,0)</f>
        <v>0</v>
      </c>
      <c r="I45" s="1290">
        <f>IF(AND($F45&gt;=MIN($C$30),$F45&lt;=MAX($D$30)),SUMPRODUCT('BCA Guide - Parameter Values'!$C$6:$C$11,'Bike Safety CRTMeasure'!$G$31:$G$36)+'BCA Guide - Parameter Values'!$C$14*'Bike Safety CRTMeasure'!$G$30,0)</f>
        <v>0</v>
      </c>
      <c r="J45" s="1290">
        <f>IF(AND($F45&gt;=MIN($C$31),$F45&lt;=MAX($D$31)),SUMPRODUCT('BCA Guide - Parameter Values'!$C$6:$C$11,'Bike Safety CRTMeasure'!$G$43:$G$48)+'BCA Guide - Parameter Values'!$C$14*'Bike Safety CRTMeasure'!$G$42,0)</f>
        <v>0</v>
      </c>
      <c r="K45" s="1290">
        <f>IF(AND($F45&gt;=MIN($C$32),$F45&lt;=MAX($D$32)),SUMPRODUCT('BCA Guide - Parameter Values'!$C$6:$C$11,'Bike Safety CRTMeasure'!$G$68:$G$73)+'BCA Guide - Parameter Values'!$C$14*'Bike Safety CRTMeasure'!$G$67,0)</f>
        <v>0</v>
      </c>
      <c r="L45" s="1165">
        <f>IF(AND(F45&gt;='Major Assumption Key'!$B$4,F45&lt;='Major Assumption Key'!$B$6),SUM(G45:K45),0)</f>
        <v>0</v>
      </c>
      <c r="M45" s="1290">
        <f>IF(AND($F45&gt;=MIN($C$28),$F45&lt;=MAX($D$28)),SUMPRODUCT('BCA Guide - Parameter Values'!$C$6:$C$11,'Bike Safety CRTMeasure'!$H$7:$H$12)+'BCA Guide - Parameter Values'!$C$14*'Bike Safety CRTMeasure'!$H$6,0)</f>
        <v>0</v>
      </c>
      <c r="N45" s="1291">
        <f>IF(AND($F45&gt;=MIN($C$29),$F45&lt;=MAX($D$29)),SUMPRODUCT('BCA Guide - Parameter Values'!$C$6:$C$11,'Bike Safety CRTMeasure'!$H$19:$H$24)+'BCA Guide - Parameter Values'!$C$14*'Bike Safety CRTMeasure'!$H$18,0)</f>
        <v>0</v>
      </c>
      <c r="O45" s="1291">
        <f>IF(AND($F45&gt;=MIN($C$30),$F45&lt;=MAX($D$30)),SUMPRODUCT('BCA Guide - Parameter Values'!$C$6:$C$11,'Bike Safety CRTMeasure'!$H$31:$H$36)+'BCA Guide - Parameter Values'!$C$14*'Bike Safety CRTMeasure'!$H$30,0)</f>
        <v>0</v>
      </c>
      <c r="P45" s="1291">
        <f>IF(AND($F45&gt;=MIN($C$31),$F45&lt;=MAX($D$31)),SUMPRODUCT('BCA Guide - Parameter Values'!$C$6:$C$11,'Bike Safety CRTMeasure'!$H$43:$H$48)+'BCA Guide - Parameter Values'!$C$14*'Bike Safety CRTMeasure'!$H$42,0)</f>
        <v>0</v>
      </c>
      <c r="Q45" s="1291">
        <f>IF(AND($F45&gt;=MIN($C$32),$F45&lt;=MAX($D$32)),SUMPRODUCT('BCA Guide - Parameter Values'!$C$6:$C$11,'Bike Safety CRTMeasure'!$H$68:$H$73)+'BCA Guide - Parameter Values'!$C$14*'Bike Safety CRTMeasure'!$H$67,0)</f>
        <v>0</v>
      </c>
      <c r="R45" s="1199">
        <f>IF(AND(F45&gt;='Major Assumption Key'!$B$4,F45&lt;='Major Assumption Key'!$B$6),SUM(M45:Q45),0)</f>
        <v>0</v>
      </c>
      <c r="S45" s="1292">
        <f t="shared" si="5"/>
        <v>0</v>
      </c>
      <c r="T45" s="1169">
        <f>S45/(1+'Major Assumption Key'!$B$8)^($F45-'Major Assumption Key'!$B$7)</f>
        <v>0</v>
      </c>
      <c r="U45" s="1281"/>
      <c r="V45" s="1165">
        <f t="shared" si="6"/>
        <v>0</v>
      </c>
      <c r="W45" s="1199">
        <f t="shared" si="7"/>
        <v>0</v>
      </c>
      <c r="X45" s="1292">
        <f t="shared" si="8"/>
        <v>0</v>
      </c>
      <c r="Y45" s="1169">
        <f t="shared" si="9"/>
        <v>0</v>
      </c>
    </row>
    <row r="46" spans="1:25" ht="19.95" customHeight="1">
      <c r="A46" s="1298"/>
      <c r="B46" s="1299"/>
      <c r="C46" s="1684"/>
      <c r="F46" s="1181">
        <f>'Major Assumption Key'!A58</f>
        <v>2059</v>
      </c>
      <c r="G46" s="1290">
        <f>IF(AND($F46&gt;=MIN($C$28),$F46&lt;=MAX($D$28)),SUMPRODUCT('BCA Guide - Parameter Values'!$C$6:$C$11,'Bike Safety CRTMeasure'!$G$7:$G$12)+'BCA Guide - Parameter Values'!$C$14*'Bike Safety CRTMeasure'!$G$6,0)</f>
        <v>0</v>
      </c>
      <c r="H46" s="1290">
        <f>IF(AND($F46&gt;=MIN($C$29),$F46&lt;=MAX($D$29)),SUMPRODUCT('BCA Guide - Parameter Values'!$C$6:$C$11,'Bike Safety CRTMeasure'!$G$19:$G$24)+'BCA Guide - Parameter Values'!$C$14*'Bike Safety CRTMeasure'!$G$18,0)</f>
        <v>0</v>
      </c>
      <c r="I46" s="1290">
        <f>IF(AND($F46&gt;=MIN($C$30),$F46&lt;=MAX($D$30)),SUMPRODUCT('BCA Guide - Parameter Values'!$C$6:$C$11,'Bike Safety CRTMeasure'!$G$31:$G$36)+'BCA Guide - Parameter Values'!$C$14*'Bike Safety CRTMeasure'!$G$30,0)</f>
        <v>0</v>
      </c>
      <c r="J46" s="1290">
        <f>IF(AND($F46&gt;=MIN($C$31),$F46&lt;=MAX($D$31)),SUMPRODUCT('BCA Guide - Parameter Values'!$C$6:$C$11,'Bike Safety CRTMeasure'!$G$43:$G$48)+'BCA Guide - Parameter Values'!$C$14*'Bike Safety CRTMeasure'!$G$42,0)</f>
        <v>0</v>
      </c>
      <c r="K46" s="1290">
        <f>IF(AND($F46&gt;=MIN($C$32),$F46&lt;=MAX($D$32)),SUMPRODUCT('BCA Guide - Parameter Values'!$C$6:$C$11,'Bike Safety CRTMeasure'!$G$68:$G$73)+'BCA Guide - Parameter Values'!$C$14*'Bike Safety CRTMeasure'!$G$67,0)</f>
        <v>0</v>
      </c>
      <c r="L46" s="1165">
        <f>IF(AND(F46&gt;='Major Assumption Key'!$B$4,F46&lt;='Major Assumption Key'!$B$6),SUM(G46:K46),0)</f>
        <v>0</v>
      </c>
      <c r="M46" s="1290">
        <f>IF(AND($F46&gt;=MIN($C$28),$F46&lt;=MAX($D$28)),SUMPRODUCT('BCA Guide - Parameter Values'!$C$6:$C$11,'Bike Safety CRTMeasure'!$H$7:$H$12)+'BCA Guide - Parameter Values'!$C$14*'Bike Safety CRTMeasure'!$H$6,0)</f>
        <v>0</v>
      </c>
      <c r="N46" s="1291">
        <f>IF(AND($F46&gt;=MIN($C$29),$F46&lt;=MAX($D$29)),SUMPRODUCT('BCA Guide - Parameter Values'!$C$6:$C$11,'Bike Safety CRTMeasure'!$H$19:$H$24)+'BCA Guide - Parameter Values'!$C$14*'Bike Safety CRTMeasure'!$H$18,0)</f>
        <v>0</v>
      </c>
      <c r="O46" s="1291">
        <f>IF(AND($F46&gt;=MIN($C$30),$F46&lt;=MAX($D$30)),SUMPRODUCT('BCA Guide - Parameter Values'!$C$6:$C$11,'Bike Safety CRTMeasure'!$H$31:$H$36)+'BCA Guide - Parameter Values'!$C$14*'Bike Safety CRTMeasure'!$H$30,0)</f>
        <v>0</v>
      </c>
      <c r="P46" s="1291">
        <f>IF(AND($F46&gt;=MIN($C$31),$F46&lt;=MAX($D$31)),SUMPRODUCT('BCA Guide - Parameter Values'!$C$6:$C$11,'Bike Safety CRTMeasure'!$H$43:$H$48)+'BCA Guide - Parameter Values'!$C$14*'Bike Safety CRTMeasure'!$H$42,0)</f>
        <v>0</v>
      </c>
      <c r="Q46" s="1291">
        <f>IF(AND($F46&gt;=MIN($C$32),$F46&lt;=MAX($D$32)),SUMPRODUCT('BCA Guide - Parameter Values'!$C$6:$C$11,'Bike Safety CRTMeasure'!$H$68:$H$73)+'BCA Guide - Parameter Values'!$C$14*'Bike Safety CRTMeasure'!$H$67,0)</f>
        <v>0</v>
      </c>
      <c r="R46" s="1199">
        <f>IF(AND(F46&gt;='Major Assumption Key'!$B$4,F46&lt;='Major Assumption Key'!$B$6),SUM(M46:Q46),0)</f>
        <v>0</v>
      </c>
      <c r="S46" s="1292">
        <f t="shared" si="5"/>
        <v>0</v>
      </c>
      <c r="T46" s="1169">
        <f>S46/(1+'Major Assumption Key'!$B$8)^($F46-'Major Assumption Key'!$B$7)</f>
        <v>0</v>
      </c>
      <c r="U46" s="1281"/>
      <c r="V46" s="1165">
        <f t="shared" si="6"/>
        <v>0</v>
      </c>
      <c r="W46" s="1199">
        <f t="shared" si="7"/>
        <v>0</v>
      </c>
      <c r="X46" s="1292">
        <f t="shared" si="8"/>
        <v>0</v>
      </c>
      <c r="Y46" s="1169">
        <f t="shared" si="9"/>
        <v>0</v>
      </c>
    </row>
    <row r="47" spans="1:25" ht="19.95" customHeight="1">
      <c r="A47" s="1298"/>
      <c r="B47" s="1299"/>
      <c r="C47" s="1684"/>
      <c r="F47" s="1181">
        <f>'Major Assumption Key'!A59</f>
        <v>2060</v>
      </c>
      <c r="G47" s="1290">
        <f>IF(AND($F47&gt;=MIN($C$28),$F47&lt;=MAX($D$28)),SUMPRODUCT('BCA Guide - Parameter Values'!$C$6:$C$11,'Bike Safety CRTMeasure'!$G$7:$G$12)+'BCA Guide - Parameter Values'!$C$14*'Bike Safety CRTMeasure'!$G$6,0)</f>
        <v>0</v>
      </c>
      <c r="H47" s="1290">
        <f>IF(AND($F47&gt;=MIN($C$29),$F47&lt;=MAX($D$29)),SUMPRODUCT('BCA Guide - Parameter Values'!$C$6:$C$11,'Bike Safety CRTMeasure'!$G$19:$G$24)+'BCA Guide - Parameter Values'!$C$14*'Bike Safety CRTMeasure'!$G$18,0)</f>
        <v>0</v>
      </c>
      <c r="I47" s="1290">
        <f>IF(AND($F47&gt;=MIN($C$30),$F47&lt;=MAX($D$30)),SUMPRODUCT('BCA Guide - Parameter Values'!$C$6:$C$11,'Bike Safety CRTMeasure'!$G$31:$G$36)+'BCA Guide - Parameter Values'!$C$14*'Bike Safety CRTMeasure'!$G$30,0)</f>
        <v>0</v>
      </c>
      <c r="J47" s="1290">
        <f>IF(AND($F47&gt;=MIN($C$31),$F47&lt;=MAX($D$31)),SUMPRODUCT('BCA Guide - Parameter Values'!$C$6:$C$11,'Bike Safety CRTMeasure'!$G$43:$G$48)+'BCA Guide - Parameter Values'!$C$14*'Bike Safety CRTMeasure'!$G$42,0)</f>
        <v>0</v>
      </c>
      <c r="K47" s="1290">
        <f>IF(AND($F47&gt;=MIN($C$32),$F47&lt;=MAX($D$32)),SUMPRODUCT('BCA Guide - Parameter Values'!$C$6:$C$11,'Bike Safety CRTMeasure'!$G$68:$G$73)+'BCA Guide - Parameter Values'!$C$14*'Bike Safety CRTMeasure'!$G$67,0)</f>
        <v>0</v>
      </c>
      <c r="L47" s="1165">
        <f>IF(AND(F47&gt;='Major Assumption Key'!$B$4,F47&lt;='Major Assumption Key'!$B$6),SUM(G47:K47),0)</f>
        <v>0</v>
      </c>
      <c r="M47" s="1290">
        <f>IF(AND($F47&gt;=MIN($C$28),$F47&lt;=MAX($D$28)),SUMPRODUCT('BCA Guide - Parameter Values'!$C$6:$C$11,'Bike Safety CRTMeasure'!$H$7:$H$12)+'BCA Guide - Parameter Values'!$C$14*'Bike Safety CRTMeasure'!$H$6,0)</f>
        <v>0</v>
      </c>
      <c r="N47" s="1291">
        <f>IF(AND($F47&gt;=MIN($C$29),$F47&lt;=MAX($D$29)),SUMPRODUCT('BCA Guide - Parameter Values'!$C$6:$C$11,'Bike Safety CRTMeasure'!$H$19:$H$24)+'BCA Guide - Parameter Values'!$C$14*'Bike Safety CRTMeasure'!$H$18,0)</f>
        <v>0</v>
      </c>
      <c r="O47" s="1291">
        <f>IF(AND($F47&gt;=MIN($C$30),$F47&lt;=MAX($D$30)),SUMPRODUCT('BCA Guide - Parameter Values'!$C$6:$C$11,'Bike Safety CRTMeasure'!$H$31:$H$36)+'BCA Guide - Parameter Values'!$C$14*'Bike Safety CRTMeasure'!$H$30,0)</f>
        <v>0</v>
      </c>
      <c r="P47" s="1291">
        <f>IF(AND($F47&gt;=MIN($C$31),$F47&lt;=MAX($D$31)),SUMPRODUCT('BCA Guide - Parameter Values'!$C$6:$C$11,'Bike Safety CRTMeasure'!$H$43:$H$48)+'BCA Guide - Parameter Values'!$C$14*'Bike Safety CRTMeasure'!$H$42,0)</f>
        <v>0</v>
      </c>
      <c r="Q47" s="1291">
        <f>IF(AND($F47&gt;=MIN($C$32),$F47&lt;=MAX($D$32)),SUMPRODUCT('BCA Guide - Parameter Values'!$C$6:$C$11,'Bike Safety CRTMeasure'!$H$68:$H$73)+'BCA Guide - Parameter Values'!$C$14*'Bike Safety CRTMeasure'!$H$67,0)</f>
        <v>0</v>
      </c>
      <c r="R47" s="1199">
        <f>IF(AND(F47&gt;='Major Assumption Key'!$B$4,F47&lt;='Major Assumption Key'!$B$6),SUM(M47:Q47),0)</f>
        <v>0</v>
      </c>
      <c r="S47" s="1292">
        <f t="shared" si="5"/>
        <v>0</v>
      </c>
      <c r="T47" s="1169">
        <f>S47/(1+'Major Assumption Key'!$B$8)^($F47-'Major Assumption Key'!$B$7)</f>
        <v>0</v>
      </c>
      <c r="U47" s="1281"/>
      <c r="V47" s="1165">
        <f t="shared" si="6"/>
        <v>0</v>
      </c>
      <c r="W47" s="1199">
        <f t="shared" si="7"/>
        <v>0</v>
      </c>
      <c r="X47" s="1292">
        <f t="shared" si="8"/>
        <v>0</v>
      </c>
      <c r="Y47" s="1169">
        <f t="shared" si="9"/>
        <v>0</v>
      </c>
    </row>
    <row r="48" spans="1:25" ht="19.95" customHeight="1" thickBot="1">
      <c r="A48" s="1259"/>
      <c r="B48" s="1259"/>
      <c r="C48" s="1259"/>
      <c r="F48" s="1536" t="s">
        <v>504</v>
      </c>
      <c r="G48" s="1537"/>
      <c r="H48" s="1537"/>
      <c r="I48" s="1537"/>
      <c r="J48" s="1537"/>
      <c r="K48" s="1537"/>
      <c r="L48" s="1550">
        <f>SUM(L7:L47)</f>
        <v>7552000</v>
      </c>
      <c r="M48" s="1537"/>
      <c r="N48" s="1537"/>
      <c r="O48" s="1537"/>
      <c r="P48" s="1537"/>
      <c r="Q48" s="1537"/>
      <c r="R48" s="1550">
        <f>SUM(R7:R47)</f>
        <v>4153600.0000000005</v>
      </c>
      <c r="S48" s="1525">
        <f>SUM(S7:S47)</f>
        <v>3398399.9999999995</v>
      </c>
      <c r="T48" s="1525">
        <f>SUM(T7:T47)</f>
        <v>2150174.7464166032</v>
      </c>
      <c r="U48" s="1281"/>
      <c r="V48" s="1520">
        <f t="shared" si="1"/>
        <v>7552000</v>
      </c>
      <c r="W48" s="1524">
        <f t="shared" si="2"/>
        <v>4154000</v>
      </c>
      <c r="X48" s="1525">
        <f t="shared" si="3"/>
        <v>3398000</v>
      </c>
      <c r="Y48" s="1526">
        <f t="shared" si="4"/>
        <v>2150000</v>
      </c>
    </row>
    <row r="49" spans="1:18" ht="19.95" customHeight="1">
      <c r="A49" s="1259"/>
      <c r="B49" s="1259"/>
      <c r="C49" s="1259"/>
      <c r="L49" s="1685"/>
      <c r="R49" s="1685"/>
    </row>
    <row r="50" spans="1:18" ht="19.95" customHeight="1">
      <c r="A50" s="1259"/>
      <c r="B50" s="1259"/>
      <c r="C50" s="1259"/>
    </row>
    <row r="51" spans="1:18" ht="19.95" customHeight="1">
      <c r="A51" s="1259"/>
      <c r="B51" s="1259"/>
      <c r="C51" s="1259"/>
    </row>
    <row r="52" spans="1:18" ht="19.95" customHeight="1">
      <c r="A52" s="1259"/>
      <c r="B52" s="1259"/>
      <c r="C52" s="1259"/>
    </row>
    <row r="53" spans="1:18" ht="19.95" customHeight="1">
      <c r="A53" s="1298"/>
      <c r="B53" s="1299"/>
      <c r="C53" s="1686"/>
    </row>
    <row r="54" spans="1:18" ht="19.95" customHeight="1"/>
    <row r="55" spans="1:18" ht="19.95" customHeight="1"/>
    <row r="82" spans="4:4">
      <c r="D82" s="1195">
        <v>0</v>
      </c>
    </row>
  </sheetData>
  <sheetProtection algorithmName="SHA-512" hashValue="NmhGBp3tYC+x/Oc256ZtXuWgB9C4UG+ShEca2LI5r3ng7FblcP+KPRrcr4iq3HqAYgL30itvLEAKjPOwshItCQ==" saltValue="+kwWi1STvErCn0RNtogZVA==" spinCount="100000" sheet="1" objects="1" scenarios="1"/>
  <dataConsolidate/>
  <mergeCells count="12">
    <mergeCell ref="C38:C43"/>
    <mergeCell ref="C36:C37"/>
    <mergeCell ref="B23:B24"/>
    <mergeCell ref="X4:Y5"/>
    <mergeCell ref="A12:B12"/>
    <mergeCell ref="C15:D15"/>
    <mergeCell ref="A11:B11"/>
    <mergeCell ref="B3:D3"/>
    <mergeCell ref="S4:T5"/>
    <mergeCell ref="B5:D5"/>
    <mergeCell ref="A9:D9"/>
    <mergeCell ref="A10:B10"/>
  </mergeCells>
  <phoneticPr fontId="20" type="noConversion"/>
  <dataValidations disablePrompts="1" count="1">
    <dataValidation type="list" allowBlank="1" showInputMessage="1" showErrorMessage="1" sqref="A24" xr:uid="{E739AFCB-BD3B-4ABB-87B7-424E72D7D68B}">
      <formula1>$A$35:$A$47</formula1>
    </dataValidation>
  </dataValidations>
  <hyperlinks>
    <hyperlink ref="C19" r:id="rId1" display="https://www.cmfclearinghouse.org/detail.php?facid=4034" xr:uid="{2990AAAC-B9DF-456D-8015-0D75C43B9564}"/>
  </hyperlinks>
  <pageMargins left="0.25" right="0.25" top="0.75" bottom="0.75" header="0.3" footer="0.3"/>
  <pageSetup paperSize="17" scale="35" fitToHeight="0"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AG196"/>
  <sheetViews>
    <sheetView workbookViewId="0">
      <selection sqref="A1:XFD1048576"/>
    </sheetView>
  </sheetViews>
  <sheetFormatPr defaultColWidth="8.77734375" defaultRowHeight="14.4"/>
  <cols>
    <col min="1" max="1" width="28.5546875" style="1259" customWidth="1"/>
    <col min="2" max="6" width="5" style="1259" bestFit="1" customWidth="1"/>
    <col min="7" max="7" width="17.77734375" style="1259" bestFit="1" customWidth="1"/>
    <col min="8" max="8" width="19.21875" style="1259" bestFit="1" customWidth="1"/>
    <col min="9" max="9" width="16.5546875" style="1259" customWidth="1"/>
    <col min="10" max="10" width="25.44140625" style="1259" bestFit="1" customWidth="1"/>
    <col min="11" max="11" width="15.77734375" style="1259" bestFit="1" customWidth="1"/>
    <col min="12" max="13" width="4.77734375" style="1259" bestFit="1" customWidth="1"/>
    <col min="14" max="14" width="11.21875" style="1259" bestFit="1" customWidth="1"/>
    <col min="15" max="27" width="28.77734375" style="1259" bestFit="1" customWidth="1"/>
    <col min="28" max="28" width="26.21875" style="1259" bestFit="1" customWidth="1"/>
    <col min="29" max="29" width="26.77734375" style="1259" bestFit="1" customWidth="1"/>
    <col min="30" max="30" width="31.44140625" style="1259" bestFit="1" customWidth="1"/>
    <col min="31" max="31" width="34.21875" style="1259" bestFit="1" customWidth="1"/>
    <col min="32" max="32" width="22.77734375" style="1259" bestFit="1" customWidth="1"/>
    <col min="33" max="33" width="27.21875" style="1259" bestFit="1" customWidth="1"/>
    <col min="34" max="16384" width="8.77734375" style="1259"/>
  </cols>
  <sheetData>
    <row r="1" spans="1:33" ht="25.2" customHeight="1">
      <c r="A1" s="1025" t="s">
        <v>413</v>
      </c>
      <c r="B1" s="1026" t="s">
        <v>876</v>
      </c>
      <c r="C1" s="1026"/>
      <c r="D1" s="1026"/>
      <c r="E1" s="1026"/>
      <c r="F1" s="1026"/>
      <c r="G1" s="1026"/>
      <c r="H1" s="1011"/>
      <c r="I1" s="1029"/>
    </row>
    <row r="2" spans="1:33">
      <c r="A2" s="1267"/>
      <c r="B2" s="1267"/>
      <c r="C2" s="1268"/>
      <c r="D2" s="1268"/>
      <c r="E2" s="1268"/>
      <c r="F2" s="1011"/>
      <c r="G2" s="1012"/>
    </row>
    <row r="3" spans="1:33">
      <c r="J3" s="1269" t="s">
        <v>7720</v>
      </c>
      <c r="K3" s="1013" t="s">
        <v>8201</v>
      </c>
      <c r="O3" s="1013"/>
      <c r="P3" s="1013"/>
      <c r="Q3" s="1013"/>
      <c r="R3" s="1013"/>
      <c r="S3" s="1013"/>
      <c r="T3" s="1013"/>
      <c r="U3" s="1013"/>
      <c r="V3" s="1013"/>
      <c r="W3" s="1013"/>
      <c r="X3" s="1013"/>
      <c r="Y3" s="1013"/>
      <c r="Z3" s="1013"/>
      <c r="AA3" s="1013"/>
      <c r="AB3" s="1013"/>
      <c r="AC3" s="1013"/>
      <c r="AD3" s="1013"/>
      <c r="AE3" s="1013"/>
      <c r="AF3" s="1013"/>
      <c r="AG3" s="1013"/>
    </row>
    <row r="4" spans="1:33">
      <c r="A4" s="1270" t="str">
        <f>'Bike Safety'!A28</f>
        <v>Countermeasure #1 - Installation of a cycle track with a median 2 meters away from a roadway</v>
      </c>
      <c r="J4" s="1013"/>
      <c r="K4" s="1013"/>
      <c r="L4" s="1013"/>
      <c r="O4" s="1013"/>
      <c r="P4" s="1013"/>
      <c r="Q4" s="1013"/>
      <c r="R4" s="1013"/>
      <c r="S4" s="1013"/>
      <c r="T4" s="1013"/>
      <c r="U4" s="1013"/>
      <c r="V4" s="1013"/>
      <c r="W4" s="1013"/>
      <c r="X4" s="1013"/>
      <c r="Y4" s="1013"/>
      <c r="Z4" s="1013"/>
      <c r="AA4" s="1013"/>
      <c r="AB4" s="1013"/>
      <c r="AC4" s="1013"/>
      <c r="AD4" s="1013"/>
      <c r="AE4" s="1013"/>
      <c r="AF4" s="1013"/>
      <c r="AG4" s="1013"/>
    </row>
    <row r="5" spans="1:33">
      <c r="A5" s="1673" t="s">
        <v>826</v>
      </c>
      <c r="B5" s="1674">
        <v>2019</v>
      </c>
      <c r="C5" s="1674">
        <v>2020</v>
      </c>
      <c r="D5" s="1674">
        <v>2021</v>
      </c>
      <c r="E5" s="1674">
        <v>2022</v>
      </c>
      <c r="F5" s="1674">
        <v>2023</v>
      </c>
      <c r="G5" s="1674" t="s">
        <v>827</v>
      </c>
      <c r="H5" s="1674" t="s">
        <v>828</v>
      </c>
      <c r="J5" s="1013"/>
      <c r="K5" s="1269" t="s">
        <v>7893</v>
      </c>
      <c r="L5" s="1013"/>
      <c r="M5" s="1013"/>
      <c r="N5" s="1013"/>
      <c r="O5" s="1013"/>
      <c r="P5" s="1013"/>
      <c r="Q5" s="1013"/>
      <c r="R5" s="1013"/>
      <c r="S5" s="1013"/>
      <c r="T5" s="1013"/>
      <c r="U5" s="1013"/>
      <c r="V5" s="1013"/>
      <c r="W5" s="1013"/>
      <c r="X5" s="1013"/>
      <c r="Y5" s="1013"/>
      <c r="Z5" s="1013"/>
      <c r="AA5" s="1013"/>
      <c r="AB5" s="1013"/>
      <c r="AC5" s="1013"/>
      <c r="AD5" s="1013"/>
      <c r="AE5" s="1013"/>
      <c r="AF5" s="1013"/>
      <c r="AG5" s="1013"/>
    </row>
    <row r="6" spans="1:33">
      <c r="A6" s="1274" t="s">
        <v>829</v>
      </c>
      <c r="B6" s="1272">
        <v>0</v>
      </c>
      <c r="C6" s="1272">
        <v>0</v>
      </c>
      <c r="D6" s="1272">
        <v>0</v>
      </c>
      <c r="E6" s="1272">
        <v>0</v>
      </c>
      <c r="F6" s="1272">
        <v>0</v>
      </c>
      <c r="G6" s="1273">
        <f t="shared" ref="G6:G12" si="0">AVERAGE(B6:F6)</f>
        <v>0</v>
      </c>
      <c r="H6" s="1273">
        <f>G6*(1-'Bike Safety'!$B$19)</f>
        <v>0</v>
      </c>
      <c r="J6" s="1269" t="s">
        <v>7900</v>
      </c>
      <c r="K6" s="1013">
        <v>2019</v>
      </c>
      <c r="L6" s="1013">
        <v>2021</v>
      </c>
      <c r="M6" s="1013">
        <v>2023</v>
      </c>
      <c r="N6" s="1013" t="s">
        <v>7894</v>
      </c>
      <c r="O6" s="1013"/>
      <c r="P6" s="1013"/>
      <c r="Q6" s="1013"/>
      <c r="R6" s="1013"/>
      <c r="S6" s="1013"/>
      <c r="T6" s="1013"/>
      <c r="U6" s="1013"/>
      <c r="V6" s="1013"/>
      <c r="W6" s="1013"/>
      <c r="X6" s="1013"/>
      <c r="Y6" s="1013"/>
      <c r="Z6" s="1013"/>
      <c r="AA6" s="1013"/>
      <c r="AB6" s="1013"/>
      <c r="AC6" s="1013"/>
      <c r="AD6" s="1013"/>
      <c r="AE6" s="1013"/>
      <c r="AF6" s="1013"/>
      <c r="AG6" s="1013"/>
    </row>
    <row r="7" spans="1:33">
      <c r="A7" s="1271" t="s">
        <v>830</v>
      </c>
      <c r="B7" s="1272">
        <v>0</v>
      </c>
      <c r="C7" s="1272">
        <f>K7</f>
        <v>2</v>
      </c>
      <c r="D7" s="1272">
        <v>0</v>
      </c>
      <c r="E7" s="1272">
        <f>L7</f>
        <v>1</v>
      </c>
      <c r="F7" s="1272">
        <f>M7</f>
        <v>2</v>
      </c>
      <c r="G7" s="1273">
        <f t="shared" si="0"/>
        <v>1</v>
      </c>
      <c r="H7" s="1273">
        <f>G7*(1-'Bike Safety'!$B$19)</f>
        <v>0.55000000000000004</v>
      </c>
      <c r="J7" s="1344" t="s">
        <v>7895</v>
      </c>
      <c r="K7" s="1013">
        <v>2</v>
      </c>
      <c r="L7" s="1013">
        <v>1</v>
      </c>
      <c r="M7" s="1013">
        <v>2</v>
      </c>
      <c r="N7" s="1013">
        <v>5</v>
      </c>
    </row>
    <row r="8" spans="1:33">
      <c r="A8" s="1271" t="s">
        <v>831</v>
      </c>
      <c r="B8" s="1272">
        <v>0</v>
      </c>
      <c r="C8" s="1272">
        <f t="shared" ref="C8:C12" si="1">K8</f>
        <v>1</v>
      </c>
      <c r="D8" s="1272">
        <v>0</v>
      </c>
      <c r="E8" s="1272">
        <f t="shared" ref="E8:E12" si="2">L8</f>
        <v>1</v>
      </c>
      <c r="F8" s="1272">
        <f t="shared" ref="F8:F12" si="3">M8</f>
        <v>0</v>
      </c>
      <c r="G8" s="1273">
        <f t="shared" si="0"/>
        <v>0.4</v>
      </c>
      <c r="H8" s="1273">
        <f>G8*(1-'Bike Safety'!$B$19)</f>
        <v>0.22000000000000003</v>
      </c>
      <c r="J8" s="1344" t="s">
        <v>7896</v>
      </c>
      <c r="K8" s="1013">
        <v>1</v>
      </c>
      <c r="L8" s="1013">
        <v>1</v>
      </c>
      <c r="M8" s="1013">
        <v>0</v>
      </c>
      <c r="N8" s="1013">
        <v>2</v>
      </c>
    </row>
    <row r="9" spans="1:33">
      <c r="A9" s="1271" t="s">
        <v>832</v>
      </c>
      <c r="B9" s="1272">
        <v>0</v>
      </c>
      <c r="C9" s="1272">
        <f t="shared" si="1"/>
        <v>1</v>
      </c>
      <c r="D9" s="1272">
        <v>0</v>
      </c>
      <c r="E9" s="1272">
        <f t="shared" si="2"/>
        <v>0</v>
      </c>
      <c r="F9" s="1272">
        <f t="shared" si="3"/>
        <v>0</v>
      </c>
      <c r="G9" s="1273">
        <f t="shared" si="0"/>
        <v>0.2</v>
      </c>
      <c r="H9" s="1273">
        <f>G9*(1-'Bike Safety'!$B$19)</f>
        <v>0.11000000000000001</v>
      </c>
      <c r="J9" s="1344" t="s">
        <v>7897</v>
      </c>
      <c r="K9" s="1013">
        <v>1</v>
      </c>
      <c r="L9" s="1013">
        <v>0</v>
      </c>
      <c r="M9" s="1013">
        <v>0</v>
      </c>
      <c r="N9" s="1013">
        <v>1</v>
      </c>
    </row>
    <row r="10" spans="1:33">
      <c r="A10" s="1271" t="s">
        <v>833</v>
      </c>
      <c r="B10" s="1272">
        <v>0</v>
      </c>
      <c r="C10" s="1272">
        <f t="shared" si="1"/>
        <v>0</v>
      </c>
      <c r="D10" s="1272">
        <v>0</v>
      </c>
      <c r="E10" s="1272">
        <f t="shared" si="2"/>
        <v>1</v>
      </c>
      <c r="F10" s="1272">
        <f t="shared" si="3"/>
        <v>0</v>
      </c>
      <c r="G10" s="1273">
        <f t="shared" si="0"/>
        <v>0.2</v>
      </c>
      <c r="H10" s="1273">
        <f>G10*(1-'Bike Safety'!$B$19)</f>
        <v>0.11000000000000001</v>
      </c>
      <c r="I10" s="1282"/>
      <c r="J10" s="1344" t="s">
        <v>7898</v>
      </c>
      <c r="K10" s="1013">
        <v>0</v>
      </c>
      <c r="L10" s="1013">
        <v>1</v>
      </c>
      <c r="M10" s="1013">
        <v>0</v>
      </c>
      <c r="N10" s="1013">
        <v>1</v>
      </c>
    </row>
    <row r="11" spans="1:33">
      <c r="A11" s="1271" t="s">
        <v>834</v>
      </c>
      <c r="B11" s="1272">
        <v>0</v>
      </c>
      <c r="C11" s="1272">
        <f t="shared" si="1"/>
        <v>0</v>
      </c>
      <c r="D11" s="1272">
        <v>0</v>
      </c>
      <c r="E11" s="1272">
        <f t="shared" si="2"/>
        <v>0</v>
      </c>
      <c r="F11" s="1272">
        <f t="shared" si="3"/>
        <v>0</v>
      </c>
      <c r="G11" s="1273">
        <f t="shared" si="0"/>
        <v>0</v>
      </c>
      <c r="H11" s="1273">
        <f>G11*(1-'Bike Safety'!$B$19)</f>
        <v>0</v>
      </c>
      <c r="J11" s="1344" t="s">
        <v>7899</v>
      </c>
      <c r="K11" s="1013">
        <v>0</v>
      </c>
      <c r="L11" s="1013">
        <v>0</v>
      </c>
      <c r="M11" s="1013">
        <v>0</v>
      </c>
      <c r="N11" s="1013">
        <v>0</v>
      </c>
    </row>
    <row r="12" spans="1:33">
      <c r="A12" s="1271" t="s">
        <v>835</v>
      </c>
      <c r="B12" s="1272">
        <v>0</v>
      </c>
      <c r="C12" s="1272">
        <f t="shared" si="1"/>
        <v>0</v>
      </c>
      <c r="D12" s="1272">
        <v>0</v>
      </c>
      <c r="E12" s="1272">
        <f t="shared" si="2"/>
        <v>1</v>
      </c>
      <c r="F12" s="1272">
        <f t="shared" si="3"/>
        <v>0</v>
      </c>
      <c r="G12" s="1273">
        <f t="shared" si="0"/>
        <v>0.2</v>
      </c>
      <c r="H12" s="1273">
        <f>G12*(1-'Bike Safety'!$B$19)</f>
        <v>0.11000000000000001</v>
      </c>
      <c r="J12" s="1344" t="s">
        <v>7901</v>
      </c>
      <c r="K12" s="1013">
        <v>0</v>
      </c>
      <c r="L12" s="1013">
        <v>1</v>
      </c>
      <c r="M12" s="1013">
        <v>0</v>
      </c>
      <c r="N12" s="1013">
        <v>1</v>
      </c>
    </row>
    <row r="13" spans="1:33">
      <c r="H13" s="1675"/>
    </row>
    <row r="14" spans="1:33">
      <c r="H14" s="1675"/>
    </row>
    <row r="16" spans="1:33">
      <c r="A16" s="1270" t="str">
        <f>'Bike Safety'!A29</f>
        <v>Countermeasure #2</v>
      </c>
    </row>
    <row r="17" spans="1:8">
      <c r="A17" s="1673" t="s">
        <v>826</v>
      </c>
      <c r="B17" s="1674">
        <v>2019</v>
      </c>
      <c r="C17" s="1674">
        <v>2020</v>
      </c>
      <c r="D17" s="1674">
        <v>2021</v>
      </c>
      <c r="E17" s="1674">
        <v>2022</v>
      </c>
      <c r="F17" s="1674">
        <v>2023</v>
      </c>
      <c r="G17" s="1674" t="s">
        <v>827</v>
      </c>
      <c r="H17" s="1674" t="s">
        <v>828</v>
      </c>
    </row>
    <row r="18" spans="1:8">
      <c r="A18" s="1274" t="s">
        <v>829</v>
      </c>
      <c r="B18" s="1272">
        <v>0</v>
      </c>
      <c r="C18" s="1272">
        <v>0</v>
      </c>
      <c r="D18" s="1272">
        <v>0</v>
      </c>
      <c r="E18" s="1272">
        <v>0</v>
      </c>
      <c r="F18" s="1272">
        <v>0</v>
      </c>
      <c r="G18" s="1273">
        <f t="shared" ref="G18:G24" si="4">AVERAGE(B18:F18)</f>
        <v>0</v>
      </c>
      <c r="H18" s="1273">
        <f>G18*(1-'Bike Safety'!$B$20)</f>
        <v>0</v>
      </c>
    </row>
    <row r="19" spans="1:8">
      <c r="A19" s="1271" t="s">
        <v>830</v>
      </c>
      <c r="B19" s="1272">
        <v>0</v>
      </c>
      <c r="C19" s="1272">
        <v>0</v>
      </c>
      <c r="D19" s="1272">
        <v>0</v>
      </c>
      <c r="E19" s="1272">
        <v>0</v>
      </c>
      <c r="F19" s="1272">
        <v>0</v>
      </c>
      <c r="G19" s="1273">
        <f t="shared" si="4"/>
        <v>0</v>
      </c>
      <c r="H19" s="1273">
        <f>G19*(1-'Bike Safety'!$B$20)</f>
        <v>0</v>
      </c>
    </row>
    <row r="20" spans="1:8">
      <c r="A20" s="1271" t="s">
        <v>831</v>
      </c>
      <c r="B20" s="1272">
        <v>0</v>
      </c>
      <c r="C20" s="1272">
        <v>0</v>
      </c>
      <c r="D20" s="1272">
        <v>0</v>
      </c>
      <c r="E20" s="1272">
        <v>0</v>
      </c>
      <c r="F20" s="1272">
        <v>0</v>
      </c>
      <c r="G20" s="1273">
        <f t="shared" si="4"/>
        <v>0</v>
      </c>
      <c r="H20" s="1273">
        <f>G20*(1-'Bike Safety'!$B$20)</f>
        <v>0</v>
      </c>
    </row>
    <row r="21" spans="1:8">
      <c r="A21" s="1271" t="s">
        <v>832</v>
      </c>
      <c r="B21" s="1272">
        <v>0</v>
      </c>
      <c r="C21" s="1272">
        <v>0</v>
      </c>
      <c r="D21" s="1272">
        <v>0</v>
      </c>
      <c r="E21" s="1272">
        <v>0</v>
      </c>
      <c r="F21" s="1272">
        <v>0</v>
      </c>
      <c r="G21" s="1273">
        <f t="shared" si="4"/>
        <v>0</v>
      </c>
      <c r="H21" s="1273">
        <f>G21*(1-'Bike Safety'!$B$20)</f>
        <v>0</v>
      </c>
    </row>
    <row r="22" spans="1:8">
      <c r="A22" s="1271" t="s">
        <v>833</v>
      </c>
      <c r="B22" s="1272">
        <v>0</v>
      </c>
      <c r="C22" s="1272">
        <v>0</v>
      </c>
      <c r="D22" s="1272">
        <v>0</v>
      </c>
      <c r="E22" s="1272">
        <v>0</v>
      </c>
      <c r="F22" s="1272">
        <v>0</v>
      </c>
      <c r="G22" s="1273">
        <f t="shared" si="4"/>
        <v>0</v>
      </c>
      <c r="H22" s="1273">
        <f>G22*(1-'Bike Safety'!$B$20)</f>
        <v>0</v>
      </c>
    </row>
    <row r="23" spans="1:8">
      <c r="A23" s="1271" t="s">
        <v>834</v>
      </c>
      <c r="B23" s="1272">
        <v>0</v>
      </c>
      <c r="C23" s="1272">
        <v>0</v>
      </c>
      <c r="D23" s="1272">
        <v>0</v>
      </c>
      <c r="E23" s="1272">
        <v>0</v>
      </c>
      <c r="F23" s="1272">
        <v>0</v>
      </c>
      <c r="G23" s="1273">
        <f t="shared" si="4"/>
        <v>0</v>
      </c>
      <c r="H23" s="1273">
        <f>G23*(1-'Bike Safety'!$B$20)</f>
        <v>0</v>
      </c>
    </row>
    <row r="24" spans="1:8">
      <c r="A24" s="1271" t="s">
        <v>835</v>
      </c>
      <c r="B24" s="1272">
        <v>0</v>
      </c>
      <c r="C24" s="1272">
        <v>0</v>
      </c>
      <c r="D24" s="1272">
        <v>0</v>
      </c>
      <c r="E24" s="1272">
        <v>0</v>
      </c>
      <c r="F24" s="1272">
        <v>0</v>
      </c>
      <c r="G24" s="1273">
        <f t="shared" si="4"/>
        <v>0</v>
      </c>
      <c r="H24" s="1273">
        <f>G24*(1-'Bike Safety'!$B$20)</f>
        <v>0</v>
      </c>
    </row>
    <row r="28" spans="1:8">
      <c r="A28" s="1270" t="str">
        <f>'Bike Safety'!A30</f>
        <v>Countermeasure #3</v>
      </c>
    </row>
    <row r="29" spans="1:8">
      <c r="A29" s="1673" t="s">
        <v>826</v>
      </c>
      <c r="B29" s="1674">
        <v>2019</v>
      </c>
      <c r="C29" s="1674">
        <v>2020</v>
      </c>
      <c r="D29" s="1674">
        <v>2021</v>
      </c>
      <c r="E29" s="1674">
        <v>2022</v>
      </c>
      <c r="F29" s="1674">
        <v>2023</v>
      </c>
      <c r="G29" s="1674" t="s">
        <v>827</v>
      </c>
      <c r="H29" s="1674" t="s">
        <v>828</v>
      </c>
    </row>
    <row r="30" spans="1:8">
      <c r="A30" s="1274" t="s">
        <v>829</v>
      </c>
      <c r="B30" s="1272">
        <v>0</v>
      </c>
      <c r="C30" s="1272">
        <v>0</v>
      </c>
      <c r="D30" s="1272">
        <v>0</v>
      </c>
      <c r="E30" s="1272">
        <v>0</v>
      </c>
      <c r="F30" s="1272">
        <v>0</v>
      </c>
      <c r="G30" s="1273">
        <f t="shared" ref="G30:G36" si="5">AVERAGE(B30:F30)</f>
        <v>0</v>
      </c>
      <c r="H30" s="1273">
        <f>G30*(1-'Bike Safety'!$B$21)</f>
        <v>0</v>
      </c>
    </row>
    <row r="31" spans="1:8">
      <c r="A31" s="1271" t="s">
        <v>830</v>
      </c>
      <c r="B31" s="1272">
        <v>0</v>
      </c>
      <c r="C31" s="1272">
        <v>0</v>
      </c>
      <c r="D31" s="1272">
        <v>0</v>
      </c>
      <c r="E31" s="1272">
        <v>0</v>
      </c>
      <c r="F31" s="1272">
        <v>0</v>
      </c>
      <c r="G31" s="1273">
        <f t="shared" si="5"/>
        <v>0</v>
      </c>
      <c r="H31" s="1273">
        <f>G31*(1-'Bike Safety'!$B$21)</f>
        <v>0</v>
      </c>
    </row>
    <row r="32" spans="1:8">
      <c r="A32" s="1271" t="s">
        <v>831</v>
      </c>
      <c r="B32" s="1272">
        <v>0</v>
      </c>
      <c r="C32" s="1272">
        <v>0</v>
      </c>
      <c r="D32" s="1272">
        <v>0</v>
      </c>
      <c r="E32" s="1272">
        <v>0</v>
      </c>
      <c r="F32" s="1272">
        <v>0</v>
      </c>
      <c r="G32" s="1273">
        <f t="shared" si="5"/>
        <v>0</v>
      </c>
      <c r="H32" s="1273">
        <f>G32*(1-'Bike Safety'!$B$21)</f>
        <v>0</v>
      </c>
    </row>
    <row r="33" spans="1:8">
      <c r="A33" s="1271" t="s">
        <v>832</v>
      </c>
      <c r="B33" s="1272">
        <v>0</v>
      </c>
      <c r="C33" s="1272">
        <v>0</v>
      </c>
      <c r="D33" s="1272">
        <v>0</v>
      </c>
      <c r="E33" s="1272">
        <v>0</v>
      </c>
      <c r="F33" s="1272">
        <v>0</v>
      </c>
      <c r="G33" s="1273">
        <f t="shared" si="5"/>
        <v>0</v>
      </c>
      <c r="H33" s="1273">
        <f>G33*(1-'Bike Safety'!$B$21)</f>
        <v>0</v>
      </c>
    </row>
    <row r="34" spans="1:8">
      <c r="A34" s="1271" t="s">
        <v>833</v>
      </c>
      <c r="B34" s="1272">
        <v>0</v>
      </c>
      <c r="C34" s="1272">
        <v>0</v>
      </c>
      <c r="D34" s="1272">
        <v>0</v>
      </c>
      <c r="E34" s="1272">
        <v>0</v>
      </c>
      <c r="F34" s="1272">
        <v>0</v>
      </c>
      <c r="G34" s="1273">
        <f t="shared" si="5"/>
        <v>0</v>
      </c>
      <c r="H34" s="1273">
        <f>G34*(1-'Bike Safety'!$B$21)</f>
        <v>0</v>
      </c>
    </row>
    <row r="35" spans="1:8">
      <c r="A35" s="1271" t="s">
        <v>834</v>
      </c>
      <c r="B35" s="1272">
        <v>0</v>
      </c>
      <c r="C35" s="1272">
        <v>0</v>
      </c>
      <c r="D35" s="1272">
        <v>0</v>
      </c>
      <c r="E35" s="1272">
        <v>0</v>
      </c>
      <c r="F35" s="1272">
        <v>0</v>
      </c>
      <c r="G35" s="1273">
        <f t="shared" si="5"/>
        <v>0</v>
      </c>
      <c r="H35" s="1273">
        <f>G35*(1-'Bike Safety'!$B$21)</f>
        <v>0</v>
      </c>
    </row>
    <row r="36" spans="1:8">
      <c r="A36" s="1271" t="s">
        <v>835</v>
      </c>
      <c r="B36" s="1272">
        <v>0</v>
      </c>
      <c r="C36" s="1272">
        <v>0</v>
      </c>
      <c r="D36" s="1272">
        <v>0</v>
      </c>
      <c r="E36" s="1272">
        <v>0</v>
      </c>
      <c r="F36" s="1272">
        <v>0</v>
      </c>
      <c r="G36" s="1273">
        <f t="shared" si="5"/>
        <v>0</v>
      </c>
      <c r="H36" s="1273">
        <f>G36*(1-'Bike Safety'!$B$21)</f>
        <v>0</v>
      </c>
    </row>
    <row r="40" spans="1:8">
      <c r="A40" s="1270" t="str">
        <f>'Bike Safety'!A31</f>
        <v>Countermeasure #4</v>
      </c>
    </row>
    <row r="41" spans="1:8">
      <c r="A41" s="1673" t="s">
        <v>826</v>
      </c>
      <c r="B41" s="1674">
        <v>2019</v>
      </c>
      <c r="C41" s="1674">
        <v>2020</v>
      </c>
      <c r="D41" s="1674">
        <v>2021</v>
      </c>
      <c r="E41" s="1674">
        <v>2022</v>
      </c>
      <c r="F41" s="1674">
        <v>2023</v>
      </c>
      <c r="G41" s="1674" t="s">
        <v>827</v>
      </c>
      <c r="H41" s="1674" t="s">
        <v>828</v>
      </c>
    </row>
    <row r="42" spans="1:8">
      <c r="A42" s="1274" t="s">
        <v>829</v>
      </c>
      <c r="B42" s="1272">
        <v>0</v>
      </c>
      <c r="C42" s="1272">
        <v>0</v>
      </c>
      <c r="D42" s="1272">
        <v>0</v>
      </c>
      <c r="E42" s="1272">
        <v>0</v>
      </c>
      <c r="F42" s="1272">
        <v>0</v>
      </c>
      <c r="G42" s="1273">
        <f t="shared" ref="G42:G48" si="6">AVERAGE(B42:F42)</f>
        <v>0</v>
      </c>
      <c r="H42" s="1273">
        <f>G42*(1-'Bike Safety'!$B$22)</f>
        <v>0</v>
      </c>
    </row>
    <row r="43" spans="1:8">
      <c r="A43" s="1271" t="s">
        <v>830</v>
      </c>
      <c r="B43" s="1272">
        <v>0</v>
      </c>
      <c r="C43" s="1272">
        <v>0</v>
      </c>
      <c r="D43" s="1272">
        <v>0</v>
      </c>
      <c r="E43" s="1272">
        <v>0</v>
      </c>
      <c r="F43" s="1272">
        <v>0</v>
      </c>
      <c r="G43" s="1273">
        <f t="shared" si="6"/>
        <v>0</v>
      </c>
      <c r="H43" s="1273">
        <f>G43*(1-'Bike Safety'!$B$22)</f>
        <v>0</v>
      </c>
    </row>
    <row r="44" spans="1:8">
      <c r="A44" s="1271" t="s">
        <v>831</v>
      </c>
      <c r="B44" s="1272">
        <v>0</v>
      </c>
      <c r="C44" s="1272">
        <v>0</v>
      </c>
      <c r="D44" s="1272">
        <v>0</v>
      </c>
      <c r="E44" s="1272">
        <v>0</v>
      </c>
      <c r="F44" s="1272">
        <v>0</v>
      </c>
      <c r="G44" s="1273">
        <f t="shared" si="6"/>
        <v>0</v>
      </c>
      <c r="H44" s="1273">
        <f>G44*(1-'Bike Safety'!$B$22)</f>
        <v>0</v>
      </c>
    </row>
    <row r="45" spans="1:8">
      <c r="A45" s="1271" t="s">
        <v>832</v>
      </c>
      <c r="B45" s="1272">
        <v>0</v>
      </c>
      <c r="C45" s="1272">
        <v>0</v>
      </c>
      <c r="D45" s="1272">
        <v>0</v>
      </c>
      <c r="E45" s="1272">
        <v>0</v>
      </c>
      <c r="F45" s="1272">
        <v>0</v>
      </c>
      <c r="G45" s="1273">
        <f t="shared" si="6"/>
        <v>0</v>
      </c>
      <c r="H45" s="1273">
        <f>G45*(1-'Bike Safety'!$B$22)</f>
        <v>0</v>
      </c>
    </row>
    <row r="46" spans="1:8">
      <c r="A46" s="1271" t="s">
        <v>833</v>
      </c>
      <c r="B46" s="1272">
        <v>0</v>
      </c>
      <c r="C46" s="1272">
        <v>0</v>
      </c>
      <c r="D46" s="1272">
        <v>0</v>
      </c>
      <c r="E46" s="1272">
        <v>0</v>
      </c>
      <c r="F46" s="1272">
        <v>0</v>
      </c>
      <c r="G46" s="1273">
        <f t="shared" si="6"/>
        <v>0</v>
      </c>
      <c r="H46" s="1273">
        <f>G46*(1-'Bike Safety'!$B$22)</f>
        <v>0</v>
      </c>
    </row>
    <row r="47" spans="1:8">
      <c r="A47" s="1271" t="s">
        <v>834</v>
      </c>
      <c r="B47" s="1272">
        <v>0</v>
      </c>
      <c r="C47" s="1272">
        <v>0</v>
      </c>
      <c r="D47" s="1272">
        <v>0</v>
      </c>
      <c r="E47" s="1272">
        <v>0</v>
      </c>
      <c r="F47" s="1272">
        <v>0</v>
      </c>
      <c r="G47" s="1273">
        <f t="shared" si="6"/>
        <v>0</v>
      </c>
      <c r="H47" s="1273">
        <f>G47*(1-'Bike Safety'!$B$22)</f>
        <v>0</v>
      </c>
    </row>
    <row r="48" spans="1:8">
      <c r="A48" s="1271" t="s">
        <v>835</v>
      </c>
      <c r="B48" s="1272">
        <v>0</v>
      </c>
      <c r="C48" s="1272">
        <v>0</v>
      </c>
      <c r="D48" s="1272">
        <v>0</v>
      </c>
      <c r="E48" s="1272">
        <v>0</v>
      </c>
      <c r="F48" s="1272">
        <v>0</v>
      </c>
      <c r="G48" s="1273">
        <f t="shared" si="6"/>
        <v>0</v>
      </c>
      <c r="H48" s="1273">
        <f>G48*(1-'Bike Safety'!$B$22)</f>
        <v>0</v>
      </c>
    </row>
    <row r="52" spans="1:8">
      <c r="A52" s="1270" t="str">
        <f>'Bike Safety'!A32</f>
        <v>Countermeasure #5 - Install Bike Lane</v>
      </c>
    </row>
    <row r="53" spans="1:8">
      <c r="A53" s="1673" t="s">
        <v>826</v>
      </c>
      <c r="B53" s="1674">
        <v>2019</v>
      </c>
      <c r="C53" s="1674">
        <v>2020</v>
      </c>
      <c r="D53" s="1674">
        <v>2021</v>
      </c>
      <c r="E53" s="1674">
        <v>2022</v>
      </c>
      <c r="F53" s="1674">
        <v>2023</v>
      </c>
      <c r="G53" s="1674" t="s">
        <v>827</v>
      </c>
      <c r="H53" s="1674" t="s">
        <v>828</v>
      </c>
    </row>
    <row r="54" spans="1:8">
      <c r="A54" s="1274" t="s">
        <v>829</v>
      </c>
      <c r="B54" s="1272">
        <v>0</v>
      </c>
      <c r="C54" s="1272">
        <v>0</v>
      </c>
      <c r="D54" s="1272">
        <v>0</v>
      </c>
      <c r="E54" s="1272">
        <v>0</v>
      </c>
      <c r="F54" s="1272">
        <v>0</v>
      </c>
      <c r="G54" s="1273">
        <f t="shared" ref="G54:G60" si="7">AVERAGE(B54:F54)</f>
        <v>0</v>
      </c>
      <c r="H54" s="1273">
        <f>G54*(1-'Bike Safety'!$B$22)</f>
        <v>0</v>
      </c>
    </row>
    <row r="55" spans="1:8">
      <c r="A55" s="1271" t="s">
        <v>830</v>
      </c>
      <c r="B55" s="1272">
        <v>0</v>
      </c>
      <c r="C55" s="1272">
        <v>0</v>
      </c>
      <c r="D55" s="1272">
        <v>0</v>
      </c>
      <c r="E55" s="1272">
        <v>0</v>
      </c>
      <c r="F55" s="1272">
        <v>0</v>
      </c>
      <c r="G55" s="1273">
        <f t="shared" si="7"/>
        <v>0</v>
      </c>
      <c r="H55" s="1273">
        <f>G55*(1-'Bike Safety'!$B$22)</f>
        <v>0</v>
      </c>
    </row>
    <row r="56" spans="1:8">
      <c r="A56" s="1271" t="s">
        <v>831</v>
      </c>
      <c r="B56" s="1272">
        <v>0</v>
      </c>
      <c r="C56" s="1272">
        <v>0</v>
      </c>
      <c r="D56" s="1272">
        <v>0</v>
      </c>
      <c r="E56" s="1272">
        <v>0</v>
      </c>
      <c r="F56" s="1272">
        <v>0</v>
      </c>
      <c r="G56" s="1273">
        <f t="shared" si="7"/>
        <v>0</v>
      </c>
      <c r="H56" s="1273">
        <f>G56*(1-'Bike Safety'!$B$22)</f>
        <v>0</v>
      </c>
    </row>
    <row r="57" spans="1:8">
      <c r="A57" s="1271" t="s">
        <v>832</v>
      </c>
      <c r="B57" s="1272">
        <v>0</v>
      </c>
      <c r="C57" s="1272">
        <v>0</v>
      </c>
      <c r="D57" s="1272">
        <v>0</v>
      </c>
      <c r="E57" s="1272">
        <v>0</v>
      </c>
      <c r="F57" s="1272">
        <v>0</v>
      </c>
      <c r="G57" s="1273">
        <f t="shared" si="7"/>
        <v>0</v>
      </c>
      <c r="H57" s="1273">
        <f>G57*(1-'Bike Safety'!$B$22)</f>
        <v>0</v>
      </c>
    </row>
    <row r="58" spans="1:8">
      <c r="A58" s="1271" t="s">
        <v>833</v>
      </c>
      <c r="B58" s="1272">
        <v>0</v>
      </c>
      <c r="C58" s="1272">
        <v>0</v>
      </c>
      <c r="D58" s="1272">
        <v>0</v>
      </c>
      <c r="E58" s="1272">
        <v>0</v>
      </c>
      <c r="F58" s="1272">
        <v>0</v>
      </c>
      <c r="G58" s="1273">
        <f t="shared" si="7"/>
        <v>0</v>
      </c>
      <c r="H58" s="1273">
        <f>G58*(1-'Bike Safety'!$B$22)</f>
        <v>0</v>
      </c>
    </row>
    <row r="59" spans="1:8">
      <c r="A59" s="1271" t="s">
        <v>834</v>
      </c>
      <c r="B59" s="1272">
        <v>0</v>
      </c>
      <c r="C59" s="1272">
        <v>0</v>
      </c>
      <c r="D59" s="1272">
        <v>0</v>
      </c>
      <c r="E59" s="1272">
        <v>0</v>
      </c>
      <c r="F59" s="1272">
        <v>0</v>
      </c>
      <c r="G59" s="1273">
        <f t="shared" si="7"/>
        <v>0</v>
      </c>
      <c r="H59" s="1273">
        <f>G59*(1-'Bike Safety'!$B$22)</f>
        <v>0</v>
      </c>
    </row>
    <row r="60" spans="1:8">
      <c r="A60" s="1271" t="s">
        <v>835</v>
      </c>
      <c r="B60" s="1272">
        <v>0</v>
      </c>
      <c r="C60" s="1272">
        <v>0</v>
      </c>
      <c r="D60" s="1272">
        <v>0</v>
      </c>
      <c r="E60" s="1272">
        <v>0</v>
      </c>
      <c r="F60" s="1272">
        <v>0</v>
      </c>
      <c r="G60" s="1273">
        <f t="shared" si="7"/>
        <v>0</v>
      </c>
      <c r="H60" s="1273">
        <f>G60*(1-'Bike Safety'!$B$22)</f>
        <v>0</v>
      </c>
    </row>
    <row r="63" spans="1:8" ht="54" customHeight="1">
      <c r="A63" s="1956"/>
      <c r="B63" s="1956"/>
      <c r="C63" s="1956"/>
      <c r="D63" s="1956"/>
      <c r="E63" s="1956"/>
      <c r="F63" s="1956"/>
      <c r="G63" s="1956"/>
      <c r="H63" s="1956"/>
    </row>
    <row r="65" s="1259" customFormat="1"/>
    <row r="66" s="1259" customFormat="1"/>
    <row r="67" s="1259" customFormat="1"/>
    <row r="68" s="1259" customFormat="1"/>
    <row r="69" s="1259" customFormat="1"/>
    <row r="70" s="1259" customFormat="1"/>
    <row r="71" s="1259" customFormat="1"/>
    <row r="72" s="1259" customFormat="1"/>
    <row r="73" s="1259" customFormat="1"/>
    <row r="74" s="1259" customFormat="1"/>
    <row r="75" s="1259" customFormat="1"/>
    <row r="76" s="1259" customFormat="1"/>
    <row r="77" s="1259" customFormat="1"/>
    <row r="78" s="1259" customFormat="1"/>
    <row r="79" s="1259" customFormat="1"/>
    <row r="80" s="1259" customFormat="1"/>
    <row r="81" s="1259" customFormat="1"/>
    <row r="82" s="1259" customFormat="1"/>
    <row r="83" s="1259" customFormat="1"/>
    <row r="84" s="1259" customFormat="1"/>
    <row r="85" s="1259" customFormat="1"/>
    <row r="86" s="1259" customFormat="1"/>
    <row r="87" s="1259" customFormat="1"/>
    <row r="88" s="1259" customFormat="1"/>
    <row r="89" s="1259" customFormat="1"/>
    <row r="90" s="1259" customFormat="1"/>
    <row r="91" s="1259" customFormat="1"/>
    <row r="92" s="1259" customFormat="1"/>
    <row r="93" s="1259" customFormat="1"/>
    <row r="94" s="1259" customFormat="1"/>
    <row r="95" s="1259" customFormat="1"/>
    <row r="96" s="1259" customFormat="1"/>
    <row r="97" s="1259" customFormat="1"/>
    <row r="98" s="1259" customFormat="1"/>
    <row r="99" s="1259" customFormat="1"/>
    <row r="100" s="1259" customFormat="1"/>
    <row r="101" s="1259" customFormat="1"/>
    <row r="102" s="1259" customFormat="1"/>
    <row r="103" s="1259" customFormat="1"/>
    <row r="104" s="1259" customFormat="1"/>
    <row r="105" s="1259" customFormat="1"/>
    <row r="106" s="1259" customFormat="1"/>
    <row r="107" s="1259" customFormat="1"/>
    <row r="108" s="1259" customFormat="1"/>
    <row r="109" s="1259" customFormat="1"/>
    <row r="110" s="1259" customFormat="1"/>
    <row r="111" s="1259" customFormat="1"/>
    <row r="112" s="1259" customFormat="1"/>
    <row r="113" s="1259" customFormat="1"/>
    <row r="114" s="1259" customFormat="1"/>
    <row r="115" s="1259" customFormat="1"/>
    <row r="116" s="1259" customFormat="1"/>
    <row r="117" s="1259" customFormat="1"/>
    <row r="118" s="1259" customFormat="1"/>
    <row r="119" s="1259" customFormat="1"/>
    <row r="120" s="1259" customFormat="1"/>
    <row r="121" s="1259" customFormat="1"/>
    <row r="122" s="1259" customFormat="1"/>
    <row r="123" s="1259" customFormat="1"/>
    <row r="124" s="1259" customFormat="1"/>
    <row r="125" s="1259" customFormat="1"/>
    <row r="126" s="1259" customFormat="1"/>
    <row r="127" s="1259" customFormat="1"/>
    <row r="128" s="1259" customFormat="1"/>
    <row r="129" s="1259" customFormat="1"/>
    <row r="130" s="1259" customFormat="1"/>
    <row r="131" s="1259" customFormat="1"/>
    <row r="132" s="1259" customFormat="1"/>
    <row r="133" s="1259" customFormat="1"/>
    <row r="134" s="1259" customFormat="1"/>
    <row r="135" s="1259" customFormat="1"/>
    <row r="136" s="1259" customFormat="1"/>
    <row r="137" s="1259" customFormat="1"/>
    <row r="138" s="1259" customFormat="1"/>
    <row r="139" s="1259" customFormat="1"/>
    <row r="140" s="1259" customFormat="1"/>
    <row r="141" s="1259" customFormat="1"/>
    <row r="142" s="1259" customFormat="1"/>
    <row r="143" s="1259" customFormat="1"/>
    <row r="144" s="1259" customFormat="1"/>
    <row r="145" s="1259" customFormat="1"/>
    <row r="146" s="1259" customFormat="1"/>
    <row r="147" s="1259" customFormat="1"/>
    <row r="148" s="1259" customFormat="1"/>
    <row r="149" s="1259" customFormat="1"/>
    <row r="150" s="1259" customFormat="1"/>
    <row r="151" s="1259" customFormat="1"/>
    <row r="152" s="1259" customFormat="1"/>
    <row r="153" s="1259" customFormat="1"/>
    <row r="154" s="1259" customFormat="1"/>
    <row r="155" s="1259" customFormat="1"/>
    <row r="156" s="1259" customFormat="1"/>
    <row r="157" s="1259" customFormat="1"/>
    <row r="158" s="1259" customFormat="1"/>
    <row r="159" s="1259" customFormat="1"/>
    <row r="160" s="1259" customFormat="1"/>
    <row r="161" s="1259" customFormat="1"/>
    <row r="162" s="1259" customFormat="1"/>
    <row r="163" s="1259" customFormat="1"/>
    <row r="164" s="1259" customFormat="1"/>
    <row r="165" s="1259" customFormat="1"/>
    <row r="166" s="1259" customFormat="1"/>
    <row r="167" s="1259" customFormat="1"/>
    <row r="168" s="1259" customFormat="1"/>
    <row r="169" s="1259" customFormat="1"/>
    <row r="170" s="1259" customFormat="1"/>
    <row r="171" s="1259" customFormat="1"/>
    <row r="172" s="1259" customFormat="1"/>
    <row r="173" s="1259" customFormat="1"/>
    <row r="174" s="1259" customFormat="1"/>
    <row r="175" s="1259" customFormat="1"/>
    <row r="176" s="1259" customFormat="1"/>
    <row r="177" s="1259" customFormat="1"/>
    <row r="178" s="1259" customFormat="1"/>
    <row r="179" s="1259" customFormat="1"/>
    <row r="180" s="1259" customFormat="1"/>
    <row r="181" s="1259" customFormat="1"/>
    <row r="182" s="1259" customFormat="1"/>
    <row r="183" s="1259" customFormat="1"/>
    <row r="184" s="1259" customFormat="1"/>
    <row r="185" s="1259" customFormat="1"/>
    <row r="186" s="1259" customFormat="1"/>
    <row r="187" s="1259" customFormat="1"/>
    <row r="188" s="1259" customFormat="1"/>
    <row r="189" s="1259" customFormat="1"/>
    <row r="190" s="1259" customFormat="1"/>
    <row r="191" s="1259" customFormat="1"/>
    <row r="192" s="1259" customFormat="1"/>
    <row r="193" s="1259" customFormat="1"/>
    <row r="194" s="1259" customFormat="1"/>
    <row r="195" s="1259" customFormat="1"/>
    <row r="196" s="1259" customFormat="1"/>
  </sheetData>
  <sheetProtection algorithmName="SHA-512" hashValue="Bp3MXxuY1NY2X9I790gQ3feezSyfloqCY4fsC4/B3GiPcVunY/KALcoJ699qpE5Ma4uVRbrugJQ9SF+cPKeh9A==" saltValue="oqlBKU6SK7qtU0800AWXgg==" spinCount="100000" sheet="1" objects="1" scenarios="1"/>
  <mergeCells count="1">
    <mergeCell ref="A63:H63"/>
  </mergeCells>
  <pageMargins left="0.25" right="0.25" top="0.75" bottom="0.75" header="0.3" footer="0.3"/>
  <pageSetup scale="53"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GM196"/>
  <sheetViews>
    <sheetView workbookViewId="0">
      <selection sqref="A1:XFD1048576"/>
    </sheetView>
  </sheetViews>
  <sheetFormatPr defaultColWidth="8.77734375" defaultRowHeight="13.2"/>
  <cols>
    <col min="1" max="1" width="18.77734375" style="1013" customWidth="1"/>
    <col min="2" max="2" width="32.5546875" style="1013" bestFit="1" customWidth="1"/>
    <col min="3" max="3" width="11.77734375" style="1013" bestFit="1" customWidth="1"/>
    <col min="4" max="4" width="21.5546875" style="1013" bestFit="1" customWidth="1"/>
    <col min="5" max="5" width="9" style="1013" bestFit="1" customWidth="1"/>
    <col min="6" max="6" width="20.77734375" style="1013" customWidth="1"/>
    <col min="7" max="7" width="9" style="1013" bestFit="1" customWidth="1"/>
    <col min="8" max="8" width="17.5546875" style="1013" bestFit="1" customWidth="1"/>
    <col min="9" max="9" width="14.44140625" style="1013" bestFit="1" customWidth="1"/>
    <col min="10" max="10" width="21.5546875" style="1013" bestFit="1" customWidth="1"/>
    <col min="11" max="11" width="18.77734375" style="1013" bestFit="1" customWidth="1"/>
    <col min="12" max="12" width="14.21875" style="1013" bestFit="1" customWidth="1"/>
    <col min="13" max="13" width="13.77734375" style="1013" bestFit="1" customWidth="1"/>
    <col min="14" max="14" width="14.77734375" style="1013" bestFit="1" customWidth="1"/>
    <col min="15" max="15" width="12.77734375" style="1013" bestFit="1" customWidth="1"/>
    <col min="16" max="16" width="10.21875" style="1013" bestFit="1" customWidth="1"/>
    <col min="17" max="17" width="11.21875" style="1013" bestFit="1" customWidth="1"/>
    <col min="18" max="18" width="10.77734375" style="1013" bestFit="1" customWidth="1"/>
    <col min="19" max="19" width="11.21875" style="1013" bestFit="1" customWidth="1"/>
    <col min="20" max="23" width="9" style="1013" bestFit="1" customWidth="1"/>
    <col min="24" max="16384" width="8.77734375" style="1013"/>
  </cols>
  <sheetData>
    <row r="1" spans="1:195" ht="25.2" customHeight="1">
      <c r="A1" s="1009" t="s">
        <v>185</v>
      </c>
      <c r="B1" s="1143" t="s">
        <v>877</v>
      </c>
      <c r="C1" s="1263"/>
      <c r="D1" s="1264"/>
      <c r="E1" s="1264"/>
      <c r="F1" s="1011"/>
      <c r="G1" s="1029"/>
      <c r="H1" s="1029"/>
    </row>
    <row r="2" spans="1:195" ht="15.6">
      <c r="A2" s="1265" t="s">
        <v>878</v>
      </c>
      <c r="B2" s="1266"/>
      <c r="C2" s="1266"/>
      <c r="D2" s="1265"/>
    </row>
    <row r="4" spans="1:195" ht="26.4">
      <c r="A4" s="1019" t="s">
        <v>7553</v>
      </c>
      <c r="B4" s="1019" t="s">
        <v>716</v>
      </c>
      <c r="C4" s="1019" t="s">
        <v>7554</v>
      </c>
      <c r="D4" s="1019" t="s">
        <v>7555</v>
      </c>
      <c r="E4" s="1022" t="s">
        <v>7556</v>
      </c>
      <c r="F4" s="1019" t="s">
        <v>7557</v>
      </c>
      <c r="G4" s="1019" t="s">
        <v>7558</v>
      </c>
      <c r="H4" s="1019" t="s">
        <v>7559</v>
      </c>
      <c r="I4" s="1019" t="s">
        <v>7560</v>
      </c>
      <c r="J4" s="1019" t="s">
        <v>7561</v>
      </c>
      <c r="K4" s="1019" t="s">
        <v>7562</v>
      </c>
      <c r="L4" s="1019" t="s">
        <v>7563</v>
      </c>
      <c r="M4" s="1019" t="s">
        <v>7564</v>
      </c>
      <c r="N4" s="1019" t="s">
        <v>7565</v>
      </c>
      <c r="O4" s="1019" t="s">
        <v>7566</v>
      </c>
      <c r="P4" s="1019" t="s">
        <v>7567</v>
      </c>
      <c r="Q4" s="1019" t="s">
        <v>7568</v>
      </c>
      <c r="R4" s="1019" t="s">
        <v>7569</v>
      </c>
      <c r="S4" s="1019" t="s">
        <v>7570</v>
      </c>
      <c r="T4" s="1020" t="s">
        <v>7571</v>
      </c>
      <c r="U4" s="1020" t="s">
        <v>7572</v>
      </c>
      <c r="V4" s="1020" t="s">
        <v>7573</v>
      </c>
      <c r="W4" s="1020" t="s">
        <v>7574</v>
      </c>
      <c r="X4" s="1019" t="s">
        <v>7575</v>
      </c>
      <c r="Y4" s="1019" t="s">
        <v>7576</v>
      </c>
      <c r="Z4" s="1019" t="s">
        <v>7577</v>
      </c>
      <c r="AA4" s="1019" t="s">
        <v>7578</v>
      </c>
      <c r="AB4" s="1013" t="s">
        <v>7579</v>
      </c>
      <c r="AC4" s="1013" t="s">
        <v>7580</v>
      </c>
      <c r="AD4" s="1013" t="s">
        <v>7581</v>
      </c>
      <c r="AE4" s="1013" t="s">
        <v>7582</v>
      </c>
      <c r="AF4" s="1013" t="s">
        <v>7583</v>
      </c>
      <c r="AG4" s="1013" t="s">
        <v>7584</v>
      </c>
      <c r="AH4" s="1013" t="s">
        <v>7585</v>
      </c>
      <c r="AI4" s="1013" t="s">
        <v>7586</v>
      </c>
      <c r="AJ4" s="1013" t="s">
        <v>7587</v>
      </c>
      <c r="AK4" s="1013" t="s">
        <v>7588</v>
      </c>
      <c r="AL4" s="1013" t="s">
        <v>7589</v>
      </c>
      <c r="AM4" s="1013" t="s">
        <v>7590</v>
      </c>
      <c r="AN4" s="1013" t="s">
        <v>7591</v>
      </c>
      <c r="AO4" s="1013" t="s">
        <v>7592</v>
      </c>
      <c r="AP4" s="1013" t="s">
        <v>7593</v>
      </c>
      <c r="AQ4" s="1013" t="s">
        <v>7594</v>
      </c>
      <c r="AR4" s="1013" t="s">
        <v>7595</v>
      </c>
      <c r="AS4" s="1013" t="s">
        <v>7596</v>
      </c>
      <c r="AT4" s="1013" t="s">
        <v>7597</v>
      </c>
      <c r="AU4" s="1013" t="s">
        <v>7598</v>
      </c>
      <c r="AV4" s="1013" t="s">
        <v>7599</v>
      </c>
      <c r="AW4" s="1013" t="s">
        <v>7600</v>
      </c>
      <c r="AX4" s="1013" t="s">
        <v>7601</v>
      </c>
      <c r="AY4" s="1013" t="s">
        <v>7602</v>
      </c>
      <c r="AZ4" s="1013" t="s">
        <v>7603</v>
      </c>
      <c r="BA4" s="1013" t="s">
        <v>7604</v>
      </c>
      <c r="BB4" s="1013" t="s">
        <v>7605</v>
      </c>
      <c r="BC4" s="1013" t="s">
        <v>7606</v>
      </c>
      <c r="BD4" s="1013" t="s">
        <v>7607</v>
      </c>
      <c r="BE4" s="1013" t="s">
        <v>7608</v>
      </c>
      <c r="BF4" s="1013" t="s">
        <v>7609</v>
      </c>
      <c r="BG4" s="1013" t="s">
        <v>7610</v>
      </c>
      <c r="BH4" s="1013" t="s">
        <v>7611</v>
      </c>
      <c r="BI4" s="1013" t="s">
        <v>7612</v>
      </c>
      <c r="BJ4" s="1013" t="s">
        <v>7613</v>
      </c>
      <c r="BK4" s="1013" t="s">
        <v>7614</v>
      </c>
      <c r="BL4" s="1013" t="s">
        <v>7615</v>
      </c>
      <c r="BM4" s="1013" t="s">
        <v>7616</v>
      </c>
      <c r="BN4" s="1013" t="s">
        <v>7617</v>
      </c>
      <c r="BO4" s="1013" t="s">
        <v>7618</v>
      </c>
      <c r="BP4" s="1013" t="s">
        <v>7619</v>
      </c>
      <c r="BQ4" s="1013" t="s">
        <v>7620</v>
      </c>
      <c r="BR4" s="1013" t="s">
        <v>7621</v>
      </c>
      <c r="BS4" s="1013" t="s">
        <v>7622</v>
      </c>
      <c r="BT4" s="1013" t="s">
        <v>7623</v>
      </c>
      <c r="BU4" s="1013" t="s">
        <v>7624</v>
      </c>
      <c r="BV4" s="1013" t="s">
        <v>7625</v>
      </c>
      <c r="BW4" s="1013" t="s">
        <v>7626</v>
      </c>
      <c r="BX4" s="1013" t="s">
        <v>7627</v>
      </c>
      <c r="BY4" s="1013" t="s">
        <v>7628</v>
      </c>
      <c r="BZ4" s="1013" t="s">
        <v>7629</v>
      </c>
      <c r="CA4" s="1013" t="s">
        <v>7630</v>
      </c>
      <c r="CB4" s="1013" t="s">
        <v>7631</v>
      </c>
      <c r="CC4" s="1013" t="s">
        <v>7632</v>
      </c>
      <c r="CD4" s="1013" t="s">
        <v>7633</v>
      </c>
      <c r="CE4" s="1013" t="s">
        <v>7634</v>
      </c>
      <c r="CF4" s="1013" t="s">
        <v>7635</v>
      </c>
      <c r="CG4" s="1013" t="s">
        <v>7636</v>
      </c>
      <c r="CH4" s="1013" t="s">
        <v>7637</v>
      </c>
      <c r="CI4" s="1013" t="s">
        <v>7638</v>
      </c>
      <c r="CJ4" s="1013" t="s">
        <v>7639</v>
      </c>
      <c r="CK4" s="1013" t="s">
        <v>7640</v>
      </c>
      <c r="CL4" s="1013" t="s">
        <v>7641</v>
      </c>
      <c r="CM4" s="1013" t="s">
        <v>7642</v>
      </c>
      <c r="CN4" s="1013" t="s">
        <v>7643</v>
      </c>
      <c r="CO4" s="1013" t="s">
        <v>7644</v>
      </c>
      <c r="CP4" s="1013" t="s">
        <v>7645</v>
      </c>
      <c r="CQ4" s="1013" t="s">
        <v>7646</v>
      </c>
      <c r="CR4" s="1013" t="s">
        <v>7647</v>
      </c>
      <c r="CS4" s="1013" t="s">
        <v>7648</v>
      </c>
      <c r="CT4" s="1013" t="s">
        <v>7649</v>
      </c>
      <c r="CU4" s="1013" t="s">
        <v>7650</v>
      </c>
      <c r="CV4" s="1013" t="s">
        <v>7651</v>
      </c>
      <c r="CW4" s="1013" t="s">
        <v>7652</v>
      </c>
      <c r="CX4" s="1013" t="s">
        <v>7653</v>
      </c>
      <c r="CY4" s="1013" t="s">
        <v>7654</v>
      </c>
      <c r="CZ4" s="1013" t="s">
        <v>7655</v>
      </c>
      <c r="DA4" s="1013" t="s">
        <v>7656</v>
      </c>
      <c r="DB4" s="1013" t="s">
        <v>7657</v>
      </c>
      <c r="DC4" s="1013" t="s">
        <v>7658</v>
      </c>
      <c r="DD4" s="1013" t="s">
        <v>7659</v>
      </c>
      <c r="DE4" s="1013" t="s">
        <v>7660</v>
      </c>
      <c r="DF4" s="1013" t="s">
        <v>7661</v>
      </c>
      <c r="DG4" s="1013" t="s">
        <v>7662</v>
      </c>
      <c r="DH4" s="1013" t="s">
        <v>7663</v>
      </c>
      <c r="DI4" s="1013" t="s">
        <v>7664</v>
      </c>
      <c r="DJ4" s="1013" t="s">
        <v>7665</v>
      </c>
      <c r="DK4" s="1013" t="s">
        <v>7666</v>
      </c>
      <c r="DL4" s="1013" t="s">
        <v>7667</v>
      </c>
      <c r="DM4" s="1013" t="s">
        <v>7668</v>
      </c>
      <c r="DN4" s="1013" t="s">
        <v>7669</v>
      </c>
      <c r="DO4" s="1013" t="s">
        <v>7670</v>
      </c>
      <c r="DP4" s="1013" t="s">
        <v>7671</v>
      </c>
      <c r="DQ4" s="1013" t="s">
        <v>7672</v>
      </c>
      <c r="DR4" s="1013" t="s">
        <v>7673</v>
      </c>
      <c r="DS4" s="1013" t="s">
        <v>7674</v>
      </c>
      <c r="DT4" s="1013" t="s">
        <v>7675</v>
      </c>
      <c r="DU4" s="1013" t="s">
        <v>7676</v>
      </c>
      <c r="DV4" s="1013" t="s">
        <v>7677</v>
      </c>
      <c r="DW4" s="1013" t="s">
        <v>7678</v>
      </c>
      <c r="DX4" s="1013" t="s">
        <v>7679</v>
      </c>
      <c r="DY4" s="1013" t="s">
        <v>7680</v>
      </c>
      <c r="DZ4" s="1013" t="s">
        <v>7681</v>
      </c>
      <c r="EA4" s="1013" t="s">
        <v>7682</v>
      </c>
      <c r="EB4" s="1013" t="s">
        <v>7683</v>
      </c>
      <c r="EC4" s="1013" t="s">
        <v>7684</v>
      </c>
      <c r="ED4" s="1013" t="s">
        <v>7685</v>
      </c>
      <c r="EE4" s="1013" t="s">
        <v>7686</v>
      </c>
      <c r="EF4" s="1013" t="s">
        <v>7687</v>
      </c>
      <c r="EG4" s="1013" t="s">
        <v>7688</v>
      </c>
      <c r="EH4" s="1013" t="s">
        <v>7689</v>
      </c>
      <c r="EI4" s="1013" t="s">
        <v>7690</v>
      </c>
      <c r="EJ4" s="1013" t="s">
        <v>7691</v>
      </c>
      <c r="EK4" s="1013" t="s">
        <v>7692</v>
      </c>
      <c r="EL4" s="1013" t="s">
        <v>7693</v>
      </c>
      <c r="EM4" s="1013" t="s">
        <v>7694</v>
      </c>
      <c r="EN4" s="1013" t="s">
        <v>7695</v>
      </c>
      <c r="EO4" s="1013" t="s">
        <v>7696</v>
      </c>
      <c r="EP4" s="1013" t="s">
        <v>7697</v>
      </c>
      <c r="EQ4" s="1013" t="s">
        <v>7698</v>
      </c>
      <c r="ER4" s="1013" t="s">
        <v>7699</v>
      </c>
      <c r="ES4" s="1013" t="s">
        <v>7700</v>
      </c>
      <c r="ET4" s="1013" t="s">
        <v>7701</v>
      </c>
      <c r="EU4" s="1013" t="s">
        <v>7702</v>
      </c>
      <c r="EV4" s="1013" t="s">
        <v>7703</v>
      </c>
      <c r="EW4" s="1013" t="s">
        <v>7704</v>
      </c>
      <c r="EX4" s="1013" t="s">
        <v>7705</v>
      </c>
      <c r="EY4" s="1013" t="s">
        <v>7706</v>
      </c>
      <c r="EZ4" s="1013" t="s">
        <v>7707</v>
      </c>
      <c r="FA4" s="1013" t="s">
        <v>7708</v>
      </c>
      <c r="FB4" s="1013" t="s">
        <v>7709</v>
      </c>
      <c r="FC4" s="1013" t="s">
        <v>7710</v>
      </c>
      <c r="FD4" s="1013" t="s">
        <v>7711</v>
      </c>
      <c r="FE4" s="1013" t="s">
        <v>7712</v>
      </c>
      <c r="FF4" s="1013" t="s">
        <v>7713</v>
      </c>
      <c r="FG4" s="1013" t="s">
        <v>7714</v>
      </c>
      <c r="FH4" s="1013" t="s">
        <v>832</v>
      </c>
      <c r="FI4" s="1013" t="s">
        <v>831</v>
      </c>
      <c r="FJ4" s="1013" t="s">
        <v>830</v>
      </c>
      <c r="FK4" s="1013" t="s">
        <v>835</v>
      </c>
      <c r="FL4" s="1013" t="s">
        <v>7715</v>
      </c>
      <c r="FM4" s="1013" t="s">
        <v>834</v>
      </c>
      <c r="FN4" s="1013" t="s">
        <v>7716</v>
      </c>
      <c r="FO4" s="1013" t="s">
        <v>7717</v>
      </c>
      <c r="FP4" s="1013" t="s">
        <v>7718</v>
      </c>
      <c r="FQ4" s="1013" t="s">
        <v>7719</v>
      </c>
      <c r="FR4" s="1013" t="s">
        <v>7954</v>
      </c>
      <c r="FS4" s="1013" t="s">
        <v>7955</v>
      </c>
      <c r="FT4" s="1013" t="s">
        <v>7956</v>
      </c>
      <c r="FU4" s="1013" t="s">
        <v>7957</v>
      </c>
      <c r="FV4" s="1013" t="s">
        <v>7958</v>
      </c>
      <c r="FW4" s="1013" t="s">
        <v>7959</v>
      </c>
      <c r="FX4" s="1013" t="s">
        <v>7960</v>
      </c>
      <c r="FY4" s="1013" t="s">
        <v>7961</v>
      </c>
      <c r="FZ4" s="1013" t="s">
        <v>7962</v>
      </c>
      <c r="GA4" s="1013" t="s">
        <v>7963</v>
      </c>
      <c r="GB4" s="1013" t="s">
        <v>7964</v>
      </c>
      <c r="GC4" s="1013" t="s">
        <v>7721</v>
      </c>
      <c r="GD4" s="1013" t="s">
        <v>7720</v>
      </c>
      <c r="GE4" s="1013" t="s">
        <v>7965</v>
      </c>
      <c r="GF4" s="1013" t="s">
        <v>7966</v>
      </c>
      <c r="GG4" s="1013" t="s">
        <v>7967</v>
      </c>
      <c r="GH4" s="1013" t="s">
        <v>7968</v>
      </c>
      <c r="GI4" s="1013" t="s">
        <v>7969</v>
      </c>
      <c r="GJ4" s="1013" t="s">
        <v>7970</v>
      </c>
      <c r="GK4" s="1013" t="s">
        <v>7971</v>
      </c>
      <c r="GL4" s="1013" t="s">
        <v>7972</v>
      </c>
      <c r="GM4" s="1013" t="s">
        <v>8200</v>
      </c>
    </row>
    <row r="5" spans="1:195">
      <c r="A5" s="1019">
        <v>100</v>
      </c>
      <c r="B5" s="1019" t="s">
        <v>7722</v>
      </c>
      <c r="C5" s="1019">
        <v>17162431</v>
      </c>
      <c r="D5" s="1019" t="s">
        <v>7723</v>
      </c>
      <c r="E5" s="1022" t="s">
        <v>7723</v>
      </c>
      <c r="F5" s="1019" t="s">
        <v>7723</v>
      </c>
      <c r="G5" s="1019" t="s">
        <v>7723</v>
      </c>
      <c r="H5" s="1019" t="s">
        <v>7723</v>
      </c>
      <c r="I5" s="1019" t="s">
        <v>7723</v>
      </c>
      <c r="J5" s="1019" t="s">
        <v>7723</v>
      </c>
      <c r="K5" s="1019">
        <v>43629</v>
      </c>
      <c r="L5" s="1019">
        <v>0.2013888888888889</v>
      </c>
      <c r="M5" s="1019" t="s">
        <v>7749</v>
      </c>
      <c r="N5" s="1019" t="s">
        <v>7724</v>
      </c>
      <c r="O5" s="1019">
        <v>101</v>
      </c>
      <c r="P5" s="1019">
        <v>208</v>
      </c>
      <c r="Q5" s="1019" t="s">
        <v>7723</v>
      </c>
      <c r="R5" s="1019" t="s">
        <v>7727</v>
      </c>
      <c r="S5" s="1019" t="s">
        <v>7724</v>
      </c>
      <c r="T5" s="1020" t="s">
        <v>7724</v>
      </c>
      <c r="U5" s="1020">
        <v>19</v>
      </c>
      <c r="V5" s="1020" t="s">
        <v>7724</v>
      </c>
      <c r="W5" s="1020" t="s">
        <v>7724</v>
      </c>
      <c r="X5" s="1019">
        <v>1</v>
      </c>
      <c r="Y5" s="1019">
        <v>4400</v>
      </c>
      <c r="Z5" s="1019" t="s">
        <v>7724</v>
      </c>
      <c r="AA5" s="1019" t="s">
        <v>7728</v>
      </c>
      <c r="AB5" s="1013" t="s">
        <v>7724</v>
      </c>
      <c r="AC5" s="1013" t="s">
        <v>7723</v>
      </c>
      <c r="AD5" s="1013" t="s">
        <v>7723</v>
      </c>
      <c r="AE5" s="1013">
        <v>40</v>
      </c>
      <c r="AF5" s="1013" t="s">
        <v>7723</v>
      </c>
      <c r="AG5" s="1013" t="s">
        <v>7723</v>
      </c>
      <c r="AH5" s="1013" t="s">
        <v>7739</v>
      </c>
      <c r="AI5" s="1013" t="s">
        <v>7727</v>
      </c>
      <c r="AJ5" s="1013">
        <v>19</v>
      </c>
      <c r="AK5" s="1013" t="s">
        <v>7724</v>
      </c>
      <c r="AL5" s="1013" t="s">
        <v>7724</v>
      </c>
      <c r="AM5" s="1013">
        <v>1</v>
      </c>
      <c r="AN5" s="1013">
        <v>1100</v>
      </c>
      <c r="AO5" s="1013" t="s">
        <v>7724</v>
      </c>
      <c r="AP5" s="1013" t="s">
        <v>7725</v>
      </c>
      <c r="AQ5" s="1013" t="s">
        <v>7724</v>
      </c>
      <c r="AR5" s="1013" t="s">
        <v>7724</v>
      </c>
      <c r="AS5" s="1013" t="s">
        <v>7724</v>
      </c>
      <c r="AT5" s="1013" t="s">
        <v>7724</v>
      </c>
      <c r="AU5" s="1013" t="s">
        <v>7724</v>
      </c>
      <c r="AV5" s="1013" t="s">
        <v>7724</v>
      </c>
      <c r="AW5" s="1013" t="s">
        <v>7724</v>
      </c>
      <c r="AX5" s="1013">
        <v>11</v>
      </c>
      <c r="AY5" s="1013">
        <v>4</v>
      </c>
      <c r="AZ5" s="1013">
        <v>4</v>
      </c>
      <c r="BA5" s="1013">
        <v>2</v>
      </c>
      <c r="BB5" s="1013">
        <v>1</v>
      </c>
      <c r="BC5" s="1013">
        <v>1</v>
      </c>
      <c r="BD5" s="1013">
        <v>5</v>
      </c>
      <c r="BE5" s="1023">
        <v>0.23541666666666666</v>
      </c>
      <c r="BF5" s="1013" t="s">
        <v>7729</v>
      </c>
      <c r="BG5" s="1023">
        <v>0.24652777777777779</v>
      </c>
      <c r="BH5" s="1024">
        <v>43650</v>
      </c>
      <c r="BI5" s="1013" t="s">
        <v>7727</v>
      </c>
      <c r="BJ5" s="1013" t="s">
        <v>7730</v>
      </c>
      <c r="BK5" s="1013">
        <v>2469</v>
      </c>
      <c r="BL5" s="1013" t="s">
        <v>7724</v>
      </c>
      <c r="BM5" s="1013" t="s">
        <v>7724</v>
      </c>
      <c r="BN5" s="1013">
        <v>113</v>
      </c>
      <c r="BO5" s="1013">
        <v>8</v>
      </c>
      <c r="BP5" s="1013">
        <v>5</v>
      </c>
      <c r="BQ5" s="1013">
        <v>2</v>
      </c>
      <c r="BR5" s="1013">
        <v>3</v>
      </c>
      <c r="BS5" s="1013">
        <v>64</v>
      </c>
      <c r="BT5" s="1013">
        <v>54</v>
      </c>
      <c r="BU5" s="1013">
        <v>1</v>
      </c>
      <c r="BV5" s="1013">
        <v>5</v>
      </c>
      <c r="BW5" s="1013">
        <v>1</v>
      </c>
      <c r="BX5" s="1013">
        <v>21</v>
      </c>
      <c r="BY5" s="1013">
        <v>21</v>
      </c>
      <c r="BZ5" s="1013">
        <v>101</v>
      </c>
      <c r="CA5" s="1013">
        <v>208</v>
      </c>
      <c r="CB5" s="1013">
        <v>29.733094999999999</v>
      </c>
      <c r="CC5" s="1013">
        <v>-95.381282999999996</v>
      </c>
      <c r="CD5" s="1013" t="s">
        <v>7724</v>
      </c>
      <c r="CE5" s="1013" t="s">
        <v>7724</v>
      </c>
      <c r="CF5" s="1013" t="s">
        <v>7724</v>
      </c>
      <c r="CG5" s="1013" t="s">
        <v>7724</v>
      </c>
      <c r="CH5" s="1013" t="s">
        <v>7732</v>
      </c>
      <c r="CI5" s="1013">
        <v>4399</v>
      </c>
      <c r="CJ5" s="1013" t="s">
        <v>7724</v>
      </c>
      <c r="CK5" s="1013" t="s">
        <v>7724</v>
      </c>
      <c r="CL5" s="1013" t="s">
        <v>7724</v>
      </c>
      <c r="CM5" s="1013" t="s">
        <v>7724</v>
      </c>
      <c r="CN5" s="1013" t="s">
        <v>7724</v>
      </c>
      <c r="CO5" s="1013" t="s">
        <v>7724</v>
      </c>
      <c r="CP5" s="1013" t="s">
        <v>7724</v>
      </c>
      <c r="CQ5" s="1013" t="s">
        <v>7724</v>
      </c>
      <c r="CR5" s="1013" t="s">
        <v>7731</v>
      </c>
      <c r="CS5" s="1013" t="s">
        <v>7724</v>
      </c>
      <c r="CT5" s="1013" t="s">
        <v>7724</v>
      </c>
      <c r="CU5" s="1013" t="s">
        <v>7724</v>
      </c>
      <c r="CV5" s="1013" t="s">
        <v>7724</v>
      </c>
      <c r="CW5" s="1013" t="s">
        <v>7727</v>
      </c>
      <c r="CX5" s="1013" t="s">
        <v>7723</v>
      </c>
      <c r="CY5" s="1013" t="s">
        <v>7723</v>
      </c>
      <c r="CZ5" s="1013">
        <v>2</v>
      </c>
      <c r="DA5" s="1013">
        <v>9</v>
      </c>
      <c r="DB5" s="1013" t="s">
        <v>7727</v>
      </c>
      <c r="DC5" s="1013" t="s">
        <v>7740</v>
      </c>
      <c r="DD5" s="1013" t="s">
        <v>7724</v>
      </c>
      <c r="DE5" s="1013" t="s">
        <v>7724</v>
      </c>
      <c r="DF5" s="1013" t="s">
        <v>7724</v>
      </c>
      <c r="DG5" s="1013" t="s">
        <v>7724</v>
      </c>
      <c r="DH5" s="1013" t="s">
        <v>7724</v>
      </c>
      <c r="DI5" s="1013" t="s">
        <v>7724</v>
      </c>
      <c r="DJ5" s="1013" t="s">
        <v>7724</v>
      </c>
      <c r="DK5" s="1013" t="s">
        <v>7724</v>
      </c>
      <c r="DL5" s="1013" t="s">
        <v>7724</v>
      </c>
      <c r="DM5" s="1013" t="s">
        <v>7724</v>
      </c>
      <c r="DN5" s="1013" t="s">
        <v>7724</v>
      </c>
      <c r="DO5" s="1013" t="s">
        <v>7724</v>
      </c>
      <c r="DP5" s="1013" t="s">
        <v>7724</v>
      </c>
      <c r="DQ5" s="1013" t="s">
        <v>7724</v>
      </c>
      <c r="DR5" s="1013" t="s">
        <v>7724</v>
      </c>
      <c r="DS5" s="1013" t="s">
        <v>7724</v>
      </c>
      <c r="DT5" s="1013" t="s">
        <v>7724</v>
      </c>
      <c r="DU5" s="1013" t="s">
        <v>7724</v>
      </c>
      <c r="DV5" s="1013" t="s">
        <v>7724</v>
      </c>
      <c r="DW5" s="1013" t="s">
        <v>7724</v>
      </c>
      <c r="DX5" s="1013" t="s">
        <v>7724</v>
      </c>
      <c r="DY5" s="1013" t="s">
        <v>7724</v>
      </c>
      <c r="DZ5" s="1013" t="s">
        <v>7724</v>
      </c>
      <c r="EA5" s="1013" t="s">
        <v>7724</v>
      </c>
      <c r="EB5" s="1013" t="s">
        <v>7724</v>
      </c>
      <c r="EC5" s="1013" t="s">
        <v>7724</v>
      </c>
      <c r="ED5" s="1013" t="s">
        <v>7724</v>
      </c>
      <c r="EE5" s="1013" t="s">
        <v>7724</v>
      </c>
      <c r="EF5" s="1013" t="s">
        <v>7724</v>
      </c>
      <c r="EG5" s="1013" t="s">
        <v>7724</v>
      </c>
      <c r="EH5" s="1013" t="s">
        <v>7724</v>
      </c>
      <c r="EI5" s="1013" t="s">
        <v>7724</v>
      </c>
      <c r="EJ5" s="1013" t="s">
        <v>7724</v>
      </c>
      <c r="EK5" s="1013" t="s">
        <v>7724</v>
      </c>
      <c r="EL5" s="1013" t="s">
        <v>7724</v>
      </c>
      <c r="EM5" s="1013" t="s">
        <v>7724</v>
      </c>
      <c r="EN5" s="1013" t="s">
        <v>7724</v>
      </c>
      <c r="EO5" s="1013" t="s">
        <v>7724</v>
      </c>
      <c r="EP5" s="1013" t="s">
        <v>7724</v>
      </c>
      <c r="EQ5" s="1013" t="s">
        <v>7724</v>
      </c>
      <c r="ER5" s="1013" t="s">
        <v>7724</v>
      </c>
      <c r="ES5" s="1013" t="s">
        <v>7724</v>
      </c>
      <c r="ET5" s="1013" t="s">
        <v>7724</v>
      </c>
      <c r="EU5" s="1013" t="s">
        <v>7724</v>
      </c>
      <c r="EV5" s="1013" t="s">
        <v>7724</v>
      </c>
      <c r="EW5" s="1013" t="s">
        <v>7724</v>
      </c>
      <c r="EX5" s="1013" t="s">
        <v>7724</v>
      </c>
      <c r="EY5" s="1013" t="s">
        <v>7724</v>
      </c>
      <c r="EZ5" s="1013" t="s">
        <v>7724</v>
      </c>
      <c r="FA5" s="1013" t="s">
        <v>7724</v>
      </c>
      <c r="FB5" s="1013" t="s">
        <v>7724</v>
      </c>
      <c r="FC5" s="1013" t="s">
        <v>7724</v>
      </c>
      <c r="FD5" s="1013" t="s">
        <v>7724</v>
      </c>
      <c r="FE5" s="1013" t="s">
        <v>7724</v>
      </c>
      <c r="FF5" s="1013" t="s">
        <v>7724</v>
      </c>
      <c r="FG5" s="1013">
        <v>0</v>
      </c>
      <c r="FH5" s="1013">
        <v>1</v>
      </c>
      <c r="FI5" s="1013">
        <v>0</v>
      </c>
      <c r="FJ5" s="1013">
        <v>1</v>
      </c>
      <c r="FK5" s="1013">
        <v>0</v>
      </c>
      <c r="FL5" s="1013">
        <v>1</v>
      </c>
      <c r="FM5" s="1013">
        <v>0</v>
      </c>
      <c r="FN5" s="1013">
        <v>15</v>
      </c>
      <c r="FO5" s="1013">
        <v>29</v>
      </c>
      <c r="FP5" s="1013">
        <v>6</v>
      </c>
      <c r="FQ5" s="1013" t="s">
        <v>7724</v>
      </c>
      <c r="FR5" s="1013" t="s">
        <v>7724</v>
      </c>
      <c r="FS5" s="1013" t="s">
        <v>7724</v>
      </c>
      <c r="FT5" s="1013" t="s">
        <v>7724</v>
      </c>
      <c r="FU5" s="1013" t="s">
        <v>7724</v>
      </c>
      <c r="FV5" s="1013" t="s">
        <v>7724</v>
      </c>
      <c r="FW5" s="1013" t="s">
        <v>7724</v>
      </c>
      <c r="FX5" s="1013" t="s">
        <v>7724</v>
      </c>
      <c r="FY5" s="1013" t="s">
        <v>7724</v>
      </c>
      <c r="FZ5" s="1013" t="s">
        <v>7724</v>
      </c>
      <c r="GA5" s="1013" t="s">
        <v>7724</v>
      </c>
      <c r="GB5" s="1013" t="s">
        <v>7724</v>
      </c>
      <c r="GC5" s="1013">
        <v>2019</v>
      </c>
      <c r="GD5" s="1013" t="s">
        <v>1407</v>
      </c>
      <c r="GE5" s="1013">
        <v>2</v>
      </c>
      <c r="GF5" s="1013" t="s">
        <v>1407</v>
      </c>
      <c r="GG5" s="1013" t="s">
        <v>1404</v>
      </c>
      <c r="GH5" s="1013" t="s">
        <v>7988</v>
      </c>
      <c r="GI5" s="1013" t="s">
        <v>7974</v>
      </c>
      <c r="GJ5" s="1013" t="s">
        <v>7974</v>
      </c>
      <c r="GK5" s="1013" t="s">
        <v>7974</v>
      </c>
      <c r="GL5" s="1013" t="s">
        <v>7974</v>
      </c>
      <c r="GM5" s="1013" t="s">
        <v>8199</v>
      </c>
    </row>
    <row r="6" spans="1:195">
      <c r="A6" s="1019">
        <v>118</v>
      </c>
      <c r="B6" s="1019" t="s">
        <v>7722</v>
      </c>
      <c r="C6" s="1019">
        <v>17391586</v>
      </c>
      <c r="D6" s="1019" t="s">
        <v>7723</v>
      </c>
      <c r="E6" s="1022" t="s">
        <v>7723</v>
      </c>
      <c r="F6" s="1019" t="s">
        <v>7723</v>
      </c>
      <c r="G6" s="1019" t="s">
        <v>7723</v>
      </c>
      <c r="H6" s="1019" t="s">
        <v>7723</v>
      </c>
      <c r="I6" s="1019" t="s">
        <v>7723</v>
      </c>
      <c r="J6" s="1019" t="s">
        <v>7723</v>
      </c>
      <c r="K6" s="1019">
        <v>43776</v>
      </c>
      <c r="L6" s="1019">
        <v>0.58333333333333337</v>
      </c>
      <c r="M6" s="1019" t="s">
        <v>7750</v>
      </c>
      <c r="N6" s="1019" t="s">
        <v>7724</v>
      </c>
      <c r="O6" s="1019">
        <v>101</v>
      </c>
      <c r="P6" s="1019">
        <v>208</v>
      </c>
      <c r="Q6" s="1019" t="s">
        <v>7723</v>
      </c>
      <c r="R6" s="1019" t="s">
        <v>7723</v>
      </c>
      <c r="S6" s="1019" t="s">
        <v>7724</v>
      </c>
      <c r="T6" s="1020" t="s">
        <v>7724</v>
      </c>
      <c r="U6" s="1020">
        <v>19</v>
      </c>
      <c r="V6" s="1020" t="s">
        <v>7724</v>
      </c>
      <c r="W6" s="1020" t="s">
        <v>7724</v>
      </c>
      <c r="X6" s="1019">
        <v>1</v>
      </c>
      <c r="Y6" s="1019">
        <v>4400</v>
      </c>
      <c r="Z6" s="1019" t="s">
        <v>7724</v>
      </c>
      <c r="AA6" s="1019" t="s">
        <v>7728</v>
      </c>
      <c r="AB6" s="1013" t="s">
        <v>7724</v>
      </c>
      <c r="AC6" s="1013" t="s">
        <v>7723</v>
      </c>
      <c r="AD6" s="1013" t="s">
        <v>7723</v>
      </c>
      <c r="AE6" s="1013">
        <v>35</v>
      </c>
      <c r="AF6" s="1013" t="s">
        <v>7723</v>
      </c>
      <c r="AG6" s="1013" t="s">
        <v>7723</v>
      </c>
      <c r="AH6" s="1013" t="s">
        <v>7739</v>
      </c>
      <c r="AI6" s="1013" t="s">
        <v>7727</v>
      </c>
      <c r="AJ6" s="1013">
        <v>19</v>
      </c>
      <c r="AK6" s="1013" t="s">
        <v>7724</v>
      </c>
      <c r="AL6" s="1013" t="s">
        <v>7724</v>
      </c>
      <c r="AM6" s="1013">
        <v>1</v>
      </c>
      <c r="AN6" s="1013">
        <v>1200</v>
      </c>
      <c r="AO6" s="1013" t="s">
        <v>7724</v>
      </c>
      <c r="AP6" s="1013" t="s">
        <v>7725</v>
      </c>
      <c r="AQ6" s="1013" t="s">
        <v>7724</v>
      </c>
      <c r="AR6" s="1013" t="s">
        <v>7724</v>
      </c>
      <c r="AS6" s="1013" t="s">
        <v>7724</v>
      </c>
      <c r="AT6" s="1013" t="s">
        <v>7724</v>
      </c>
      <c r="AU6" s="1013" t="s">
        <v>7724</v>
      </c>
      <c r="AV6" s="1013" t="s">
        <v>7724</v>
      </c>
      <c r="AW6" s="1013" t="s">
        <v>7724</v>
      </c>
      <c r="AX6" s="1013">
        <v>2</v>
      </c>
      <c r="AY6" s="1013">
        <v>1</v>
      </c>
      <c r="AZ6" s="1013">
        <v>4</v>
      </c>
      <c r="BA6" s="1013">
        <v>2</v>
      </c>
      <c r="BB6" s="1013">
        <v>1</v>
      </c>
      <c r="BC6" s="1013">
        <v>2</v>
      </c>
      <c r="BD6" s="1013">
        <v>5</v>
      </c>
      <c r="BE6" s="1023">
        <v>0.58333333333333337</v>
      </c>
      <c r="BF6" s="1013" t="s">
        <v>7736</v>
      </c>
      <c r="BG6" s="1023">
        <v>0.58333333333333337</v>
      </c>
      <c r="BH6" s="1024">
        <v>43776</v>
      </c>
      <c r="BI6" s="1013" t="s">
        <v>7727</v>
      </c>
      <c r="BJ6" s="1013" t="s">
        <v>7730</v>
      </c>
      <c r="BK6" s="1013">
        <v>2469</v>
      </c>
      <c r="BL6" s="1013" t="s">
        <v>7724</v>
      </c>
      <c r="BM6" s="1013" t="s">
        <v>7724</v>
      </c>
      <c r="BN6" s="1013">
        <v>113</v>
      </c>
      <c r="BO6" s="1013">
        <v>8</v>
      </c>
      <c r="BP6" s="1013">
        <v>5</v>
      </c>
      <c r="BQ6" s="1013">
        <v>1</v>
      </c>
      <c r="BR6" s="1013">
        <v>3</v>
      </c>
      <c r="BS6" s="1013">
        <v>64</v>
      </c>
      <c r="BT6" s="1013">
        <v>3</v>
      </c>
      <c r="BU6" s="1013">
        <v>1</v>
      </c>
      <c r="BV6" s="1013">
        <v>5</v>
      </c>
      <c r="BW6" s="1013">
        <v>1</v>
      </c>
      <c r="BX6" s="1013">
        <v>21</v>
      </c>
      <c r="BY6" s="1013">
        <v>21</v>
      </c>
      <c r="BZ6" s="1013">
        <v>101</v>
      </c>
      <c r="CA6" s="1013">
        <v>208</v>
      </c>
      <c r="CB6" s="1013">
        <v>29.733094999999999</v>
      </c>
      <c r="CC6" s="1013">
        <v>-95.381282999999996</v>
      </c>
      <c r="CD6" s="1013" t="s">
        <v>7724</v>
      </c>
      <c r="CE6" s="1013" t="s">
        <v>7724</v>
      </c>
      <c r="CF6" s="1013" t="s">
        <v>7724</v>
      </c>
      <c r="CG6" s="1013" t="s">
        <v>7724</v>
      </c>
      <c r="CH6" s="1013" t="s">
        <v>7732</v>
      </c>
      <c r="CI6" s="1013">
        <v>4399</v>
      </c>
      <c r="CJ6" s="1013" t="s">
        <v>7724</v>
      </c>
      <c r="CK6" s="1013" t="s">
        <v>7724</v>
      </c>
      <c r="CL6" s="1013" t="s">
        <v>7724</v>
      </c>
      <c r="CM6" s="1013" t="s">
        <v>7724</v>
      </c>
      <c r="CN6" s="1013" t="s">
        <v>7724</v>
      </c>
      <c r="CO6" s="1013" t="s">
        <v>7724</v>
      </c>
      <c r="CP6" s="1013" t="s">
        <v>7724</v>
      </c>
      <c r="CQ6" s="1013" t="s">
        <v>7724</v>
      </c>
      <c r="CR6" s="1013" t="s">
        <v>7731</v>
      </c>
      <c r="CS6" s="1013" t="s">
        <v>7724</v>
      </c>
      <c r="CT6" s="1013" t="s">
        <v>7724</v>
      </c>
      <c r="CU6" s="1013" t="s">
        <v>7724</v>
      </c>
      <c r="CV6" s="1013" t="s">
        <v>7724</v>
      </c>
      <c r="CW6" s="1013" t="s">
        <v>7727</v>
      </c>
      <c r="CX6" s="1013" t="s">
        <v>7723</v>
      </c>
      <c r="CY6" s="1013" t="s">
        <v>7723</v>
      </c>
      <c r="CZ6" s="1013">
        <v>3</v>
      </c>
      <c r="DA6" s="1013">
        <v>9</v>
      </c>
      <c r="DB6" s="1013" t="s">
        <v>7727</v>
      </c>
      <c r="DC6" s="1013" t="s">
        <v>7740</v>
      </c>
      <c r="DD6" s="1013" t="s">
        <v>7724</v>
      </c>
      <c r="DE6" s="1013" t="s">
        <v>7724</v>
      </c>
      <c r="DF6" s="1013" t="s">
        <v>7724</v>
      </c>
      <c r="DG6" s="1013" t="s">
        <v>7724</v>
      </c>
      <c r="DH6" s="1013" t="s">
        <v>7724</v>
      </c>
      <c r="DI6" s="1013" t="s">
        <v>7724</v>
      </c>
      <c r="DJ6" s="1013" t="s">
        <v>7724</v>
      </c>
      <c r="DK6" s="1013" t="s">
        <v>7724</v>
      </c>
      <c r="DL6" s="1013" t="s">
        <v>7724</v>
      </c>
      <c r="DM6" s="1013" t="s">
        <v>7724</v>
      </c>
      <c r="DN6" s="1013" t="s">
        <v>7724</v>
      </c>
      <c r="DO6" s="1013" t="s">
        <v>7724</v>
      </c>
      <c r="DP6" s="1013" t="s">
        <v>7724</v>
      </c>
      <c r="DQ6" s="1013" t="s">
        <v>7724</v>
      </c>
      <c r="DR6" s="1013" t="s">
        <v>7724</v>
      </c>
      <c r="DS6" s="1013" t="s">
        <v>7724</v>
      </c>
      <c r="DT6" s="1013" t="s">
        <v>7724</v>
      </c>
      <c r="DU6" s="1013" t="s">
        <v>7724</v>
      </c>
      <c r="DV6" s="1013" t="s">
        <v>7724</v>
      </c>
      <c r="DW6" s="1013" t="s">
        <v>7724</v>
      </c>
      <c r="DX6" s="1013" t="s">
        <v>7724</v>
      </c>
      <c r="DY6" s="1013" t="s">
        <v>7724</v>
      </c>
      <c r="DZ6" s="1013" t="s">
        <v>7724</v>
      </c>
      <c r="EA6" s="1013" t="s">
        <v>7724</v>
      </c>
      <c r="EB6" s="1013" t="s">
        <v>7724</v>
      </c>
      <c r="EC6" s="1013" t="s">
        <v>7724</v>
      </c>
      <c r="ED6" s="1013" t="s">
        <v>7724</v>
      </c>
      <c r="EE6" s="1013" t="s">
        <v>7724</v>
      </c>
      <c r="EF6" s="1013" t="s">
        <v>7724</v>
      </c>
      <c r="EG6" s="1013" t="s">
        <v>7724</v>
      </c>
      <c r="EH6" s="1013" t="s">
        <v>7724</v>
      </c>
      <c r="EI6" s="1013" t="s">
        <v>7724</v>
      </c>
      <c r="EJ6" s="1013" t="s">
        <v>7724</v>
      </c>
      <c r="EK6" s="1013" t="s">
        <v>7724</v>
      </c>
      <c r="EL6" s="1013" t="s">
        <v>7724</v>
      </c>
      <c r="EM6" s="1013" t="s">
        <v>7724</v>
      </c>
      <c r="EN6" s="1013" t="s">
        <v>7724</v>
      </c>
      <c r="EO6" s="1013" t="s">
        <v>7724</v>
      </c>
      <c r="EP6" s="1013" t="s">
        <v>7724</v>
      </c>
      <c r="EQ6" s="1013" t="s">
        <v>7724</v>
      </c>
      <c r="ER6" s="1013" t="s">
        <v>7724</v>
      </c>
      <c r="ES6" s="1013" t="s">
        <v>7724</v>
      </c>
      <c r="ET6" s="1013" t="s">
        <v>7724</v>
      </c>
      <c r="EU6" s="1013" t="s">
        <v>7724</v>
      </c>
      <c r="EV6" s="1013" t="s">
        <v>7724</v>
      </c>
      <c r="EW6" s="1013" t="s">
        <v>7724</v>
      </c>
      <c r="EX6" s="1013" t="s">
        <v>7724</v>
      </c>
      <c r="EY6" s="1013" t="s">
        <v>7724</v>
      </c>
      <c r="EZ6" s="1013" t="s">
        <v>7724</v>
      </c>
      <c r="FA6" s="1013" t="s">
        <v>7724</v>
      </c>
      <c r="FB6" s="1013" t="s">
        <v>7724</v>
      </c>
      <c r="FC6" s="1013" t="s">
        <v>7724</v>
      </c>
      <c r="FD6" s="1013" t="s">
        <v>7724</v>
      </c>
      <c r="FE6" s="1013" t="s">
        <v>7724</v>
      </c>
      <c r="FF6" s="1013" t="s">
        <v>7724</v>
      </c>
      <c r="FG6" s="1013">
        <v>0</v>
      </c>
      <c r="FH6" s="1013">
        <v>0</v>
      </c>
      <c r="FI6" s="1013">
        <v>1</v>
      </c>
      <c r="FJ6" s="1013">
        <v>1</v>
      </c>
      <c r="FK6" s="1013">
        <v>0</v>
      </c>
      <c r="FL6" s="1013">
        <v>1</v>
      </c>
      <c r="FM6" s="1013">
        <v>0</v>
      </c>
      <c r="FN6" s="1013">
        <v>15</v>
      </c>
      <c r="FO6" s="1013">
        <v>29</v>
      </c>
      <c r="FP6" s="1013">
        <v>6</v>
      </c>
      <c r="FQ6" s="1013" t="s">
        <v>7724</v>
      </c>
      <c r="FR6" s="1013" t="s">
        <v>7724</v>
      </c>
      <c r="FS6" s="1013" t="s">
        <v>7724</v>
      </c>
      <c r="FT6" s="1013" t="s">
        <v>7724</v>
      </c>
      <c r="FU6" s="1013" t="s">
        <v>7724</v>
      </c>
      <c r="FV6" s="1013" t="s">
        <v>7724</v>
      </c>
      <c r="FW6" s="1013" t="s">
        <v>7724</v>
      </c>
      <c r="FX6" s="1013" t="s">
        <v>7724</v>
      </c>
      <c r="FY6" s="1013" t="s">
        <v>7724</v>
      </c>
      <c r="FZ6" s="1013" t="s">
        <v>7724</v>
      </c>
      <c r="GA6" s="1013" t="s">
        <v>7724</v>
      </c>
      <c r="GB6" s="1013" t="s">
        <v>7724</v>
      </c>
      <c r="GC6" s="1013">
        <v>2019</v>
      </c>
      <c r="GD6" s="1013" t="s">
        <v>1407</v>
      </c>
      <c r="GE6" s="1013">
        <v>2</v>
      </c>
      <c r="GF6" s="1013" t="s">
        <v>1407</v>
      </c>
      <c r="GG6" s="1013" t="s">
        <v>1404</v>
      </c>
      <c r="GH6" s="1013" t="s">
        <v>7989</v>
      </c>
      <c r="GI6" s="1013" t="s">
        <v>7974</v>
      </c>
      <c r="GJ6" s="1013" t="s">
        <v>7974</v>
      </c>
      <c r="GK6" s="1013" t="s">
        <v>7991</v>
      </c>
      <c r="GL6" s="1013" t="s">
        <v>7974</v>
      </c>
      <c r="GM6" s="1013" t="s">
        <v>8199</v>
      </c>
    </row>
    <row r="7" spans="1:195">
      <c r="A7" s="1019">
        <v>181</v>
      </c>
      <c r="B7" s="1019" t="s">
        <v>7722</v>
      </c>
      <c r="C7" s="1019">
        <v>18453466</v>
      </c>
      <c r="D7" s="1019" t="s">
        <v>7723</v>
      </c>
      <c r="E7" s="1022" t="s">
        <v>7723</v>
      </c>
      <c r="F7" s="1019" t="s">
        <v>7723</v>
      </c>
      <c r="G7" s="1019" t="s">
        <v>7723</v>
      </c>
      <c r="H7" s="1019" t="s">
        <v>7723</v>
      </c>
      <c r="I7" s="1019" t="s">
        <v>7723</v>
      </c>
      <c r="J7" s="1019" t="s">
        <v>7723</v>
      </c>
      <c r="K7" s="1019">
        <v>44441</v>
      </c>
      <c r="L7" s="1019">
        <v>0.82152777777777775</v>
      </c>
      <c r="M7" s="1019" t="s">
        <v>7751</v>
      </c>
      <c r="N7" s="1019" t="s">
        <v>7744</v>
      </c>
      <c r="O7" s="1019">
        <v>101</v>
      </c>
      <c r="P7" s="1019">
        <v>208</v>
      </c>
      <c r="Q7" s="1019" t="s">
        <v>7723</v>
      </c>
      <c r="R7" s="1019" t="s">
        <v>7727</v>
      </c>
      <c r="S7" s="1019" t="s">
        <v>7724</v>
      </c>
      <c r="T7" s="1020" t="s">
        <v>7724</v>
      </c>
      <c r="U7" s="1020">
        <v>19</v>
      </c>
      <c r="V7" s="1020" t="s">
        <v>7724</v>
      </c>
      <c r="W7" s="1020" t="s">
        <v>7724</v>
      </c>
      <c r="X7" s="1019">
        <v>1</v>
      </c>
      <c r="Y7" s="1019">
        <v>4300</v>
      </c>
      <c r="Z7" s="1019" t="s">
        <v>7724</v>
      </c>
      <c r="AA7" s="1019" t="s">
        <v>7745</v>
      </c>
      <c r="AB7" s="1013" t="s">
        <v>7726</v>
      </c>
      <c r="AC7" s="1013" t="s">
        <v>7723</v>
      </c>
      <c r="AD7" s="1013" t="s">
        <v>7723</v>
      </c>
      <c r="AE7" s="1013">
        <v>35</v>
      </c>
      <c r="AF7" s="1013" t="s">
        <v>7723</v>
      </c>
      <c r="AG7" s="1013" t="s">
        <v>7723</v>
      </c>
      <c r="AH7" s="1013" t="s">
        <v>7724</v>
      </c>
      <c r="AI7" s="1013" t="s">
        <v>7727</v>
      </c>
      <c r="AJ7" s="1013">
        <v>19</v>
      </c>
      <c r="AK7" s="1013" t="s">
        <v>7724</v>
      </c>
      <c r="AL7" s="1013" t="s">
        <v>7724</v>
      </c>
      <c r="AM7" s="1013">
        <v>1</v>
      </c>
      <c r="AN7" s="1013">
        <v>1200</v>
      </c>
      <c r="AO7" s="1013" t="s">
        <v>7724</v>
      </c>
      <c r="AP7" s="1013" t="s">
        <v>7725</v>
      </c>
      <c r="AQ7" s="1013" t="s">
        <v>7726</v>
      </c>
      <c r="AR7" s="1013" t="s">
        <v>7724</v>
      </c>
      <c r="AS7" s="1013" t="s">
        <v>7724</v>
      </c>
      <c r="AT7" s="1013" t="s">
        <v>7724</v>
      </c>
      <c r="AU7" s="1013" t="s">
        <v>7724</v>
      </c>
      <c r="AV7" s="1013" t="s">
        <v>7724</v>
      </c>
      <c r="AW7" s="1013" t="s">
        <v>7724</v>
      </c>
      <c r="AX7" s="1013">
        <v>11</v>
      </c>
      <c r="AY7" s="1013">
        <v>1</v>
      </c>
      <c r="AZ7" s="1013">
        <v>2</v>
      </c>
      <c r="BA7" s="1013">
        <v>1</v>
      </c>
      <c r="BB7" s="1013">
        <v>1</v>
      </c>
      <c r="BC7" s="1013">
        <v>1</v>
      </c>
      <c r="BD7" s="1013">
        <v>3</v>
      </c>
      <c r="BE7" s="1023">
        <v>0.82361111111111107</v>
      </c>
      <c r="BF7" s="1013" t="s">
        <v>7752</v>
      </c>
      <c r="BG7" s="1023">
        <v>0.8256944444444444</v>
      </c>
      <c r="BH7" s="1024">
        <v>44441</v>
      </c>
      <c r="BI7" s="1013" t="s">
        <v>7727</v>
      </c>
      <c r="BJ7" s="1013" t="s">
        <v>7730</v>
      </c>
      <c r="BK7" s="1013">
        <v>2469</v>
      </c>
      <c r="BL7" s="1013" t="s">
        <v>7724</v>
      </c>
      <c r="BM7" s="1013" t="s">
        <v>7724</v>
      </c>
      <c r="BN7" s="1013">
        <v>113</v>
      </c>
      <c r="BO7" s="1013">
        <v>8</v>
      </c>
      <c r="BP7" s="1013">
        <v>5</v>
      </c>
      <c r="BQ7" s="1013">
        <v>1</v>
      </c>
      <c r="BR7" s="1013">
        <v>1</v>
      </c>
      <c r="BS7" s="1013">
        <v>64</v>
      </c>
      <c r="BT7" s="1013">
        <v>54</v>
      </c>
      <c r="BU7" s="1013">
        <v>1</v>
      </c>
      <c r="BV7" s="1013">
        <v>5</v>
      </c>
      <c r="BW7" s="1013">
        <v>1</v>
      </c>
      <c r="BX7" s="1013">
        <v>21</v>
      </c>
      <c r="BY7" s="1013">
        <v>21</v>
      </c>
      <c r="BZ7" s="1013">
        <v>101</v>
      </c>
      <c r="CA7" s="1013">
        <v>208</v>
      </c>
      <c r="CB7" s="1013">
        <v>29.732565000000001</v>
      </c>
      <c r="CC7" s="1013">
        <v>-95.380463000000006</v>
      </c>
      <c r="CD7" s="1013" t="s">
        <v>7724</v>
      </c>
      <c r="CE7" s="1013" t="s">
        <v>7724</v>
      </c>
      <c r="CF7" s="1013" t="s">
        <v>7724</v>
      </c>
      <c r="CG7" s="1013" t="s">
        <v>7724</v>
      </c>
      <c r="CH7" s="1013" t="s">
        <v>7746</v>
      </c>
      <c r="CI7" s="1013" t="s">
        <v>7724</v>
      </c>
      <c r="CJ7" s="1013" t="s">
        <v>7724</v>
      </c>
      <c r="CK7" s="1013" t="s">
        <v>7724</v>
      </c>
      <c r="CL7" s="1013" t="s">
        <v>7724</v>
      </c>
      <c r="CM7" s="1013" t="s">
        <v>7724</v>
      </c>
      <c r="CN7" s="1013" t="s">
        <v>7724</v>
      </c>
      <c r="CO7" s="1013" t="s">
        <v>7724</v>
      </c>
      <c r="CP7" s="1013" t="s">
        <v>7724</v>
      </c>
      <c r="CQ7" s="1013" t="s">
        <v>7724</v>
      </c>
      <c r="CR7" s="1013" t="s">
        <v>7731</v>
      </c>
      <c r="CS7" s="1013" t="s">
        <v>7724</v>
      </c>
      <c r="CT7" s="1013" t="s">
        <v>7724</v>
      </c>
      <c r="CU7" s="1013" t="s">
        <v>7724</v>
      </c>
      <c r="CV7" s="1013" t="s">
        <v>7724</v>
      </c>
      <c r="CW7" s="1013" t="s">
        <v>7727</v>
      </c>
      <c r="CX7" s="1013" t="s">
        <v>7723</v>
      </c>
      <c r="CY7" s="1013" t="s">
        <v>7723</v>
      </c>
      <c r="CZ7" s="1013">
        <v>1</v>
      </c>
      <c r="DA7" s="1013">
        <v>9</v>
      </c>
      <c r="DB7" s="1013" t="s">
        <v>7727</v>
      </c>
      <c r="DC7" s="1013" t="s">
        <v>7740</v>
      </c>
      <c r="DD7" s="1013" t="s">
        <v>7724</v>
      </c>
      <c r="DE7" s="1013" t="s">
        <v>7724</v>
      </c>
      <c r="DF7" s="1013" t="s">
        <v>7724</v>
      </c>
      <c r="DG7" s="1013" t="s">
        <v>7724</v>
      </c>
      <c r="DH7" s="1013" t="s">
        <v>7724</v>
      </c>
      <c r="DI7" s="1013" t="s">
        <v>7724</v>
      </c>
      <c r="DJ7" s="1013" t="s">
        <v>7724</v>
      </c>
      <c r="DK7" s="1013" t="s">
        <v>7724</v>
      </c>
      <c r="DL7" s="1013" t="s">
        <v>7724</v>
      </c>
      <c r="DM7" s="1013" t="s">
        <v>7724</v>
      </c>
      <c r="DN7" s="1013" t="s">
        <v>7724</v>
      </c>
      <c r="DO7" s="1013" t="s">
        <v>7724</v>
      </c>
      <c r="DP7" s="1013" t="s">
        <v>7724</v>
      </c>
      <c r="DQ7" s="1013" t="s">
        <v>7724</v>
      </c>
      <c r="DR7" s="1013" t="s">
        <v>7724</v>
      </c>
      <c r="DS7" s="1013" t="s">
        <v>7724</v>
      </c>
      <c r="DT7" s="1013" t="s">
        <v>7724</v>
      </c>
      <c r="DU7" s="1013" t="s">
        <v>7724</v>
      </c>
      <c r="DV7" s="1013" t="s">
        <v>7724</v>
      </c>
      <c r="DW7" s="1013" t="s">
        <v>7724</v>
      </c>
      <c r="DX7" s="1013" t="s">
        <v>7724</v>
      </c>
      <c r="DY7" s="1013" t="s">
        <v>7724</v>
      </c>
      <c r="DZ7" s="1013" t="s">
        <v>7724</v>
      </c>
      <c r="EA7" s="1013" t="s">
        <v>7724</v>
      </c>
      <c r="EB7" s="1013" t="s">
        <v>7724</v>
      </c>
      <c r="EC7" s="1013" t="s">
        <v>7724</v>
      </c>
      <c r="ED7" s="1013" t="s">
        <v>7724</v>
      </c>
      <c r="EE7" s="1013" t="s">
        <v>7724</v>
      </c>
      <c r="EF7" s="1013" t="s">
        <v>7724</v>
      </c>
      <c r="EG7" s="1013" t="s">
        <v>7724</v>
      </c>
      <c r="EH7" s="1013" t="s">
        <v>7724</v>
      </c>
      <c r="EI7" s="1013" t="s">
        <v>7724</v>
      </c>
      <c r="EJ7" s="1013" t="s">
        <v>7724</v>
      </c>
      <c r="EK7" s="1013" t="s">
        <v>7724</v>
      </c>
      <c r="EL7" s="1013" t="s">
        <v>7724</v>
      </c>
      <c r="EM7" s="1013" t="s">
        <v>7724</v>
      </c>
      <c r="EN7" s="1013" t="s">
        <v>7724</v>
      </c>
      <c r="EO7" s="1013" t="s">
        <v>7724</v>
      </c>
      <c r="EP7" s="1013" t="s">
        <v>7724</v>
      </c>
      <c r="EQ7" s="1013" t="s">
        <v>7724</v>
      </c>
      <c r="ER7" s="1013" t="s">
        <v>7724</v>
      </c>
      <c r="ES7" s="1013" t="s">
        <v>7724</v>
      </c>
      <c r="ET7" s="1013" t="s">
        <v>7724</v>
      </c>
      <c r="EU7" s="1013" t="s">
        <v>7724</v>
      </c>
      <c r="EV7" s="1013" t="s">
        <v>7724</v>
      </c>
      <c r="EW7" s="1013" t="s">
        <v>7724</v>
      </c>
      <c r="EX7" s="1013" t="s">
        <v>7724</v>
      </c>
      <c r="EY7" s="1013" t="s">
        <v>7724</v>
      </c>
      <c r="EZ7" s="1013" t="s">
        <v>7724</v>
      </c>
      <c r="FA7" s="1013" t="s">
        <v>7724</v>
      </c>
      <c r="FB7" s="1013" t="s">
        <v>7724</v>
      </c>
      <c r="FC7" s="1013" t="s">
        <v>7724</v>
      </c>
      <c r="FD7" s="1013" t="s">
        <v>7724</v>
      </c>
      <c r="FE7" s="1013" t="s">
        <v>7724</v>
      </c>
      <c r="FF7" s="1013" t="s">
        <v>7724</v>
      </c>
      <c r="FG7" s="1013">
        <v>1</v>
      </c>
      <c r="FH7" s="1013">
        <v>0</v>
      </c>
      <c r="FI7" s="1013">
        <v>0</v>
      </c>
      <c r="FJ7" s="1013">
        <v>0</v>
      </c>
      <c r="FK7" s="1013">
        <v>1</v>
      </c>
      <c r="FL7" s="1013">
        <v>1</v>
      </c>
      <c r="FM7" s="1013">
        <v>0</v>
      </c>
      <c r="FN7" s="1013">
        <v>15</v>
      </c>
      <c r="FO7" s="1013">
        <v>29</v>
      </c>
      <c r="FP7" s="1013">
        <v>6</v>
      </c>
      <c r="FQ7" s="1013" t="s">
        <v>7724</v>
      </c>
      <c r="FR7" s="1013" t="s">
        <v>7724</v>
      </c>
      <c r="FS7" s="1013" t="s">
        <v>7724</v>
      </c>
      <c r="FT7" s="1013" t="s">
        <v>7724</v>
      </c>
      <c r="FU7" s="1013" t="s">
        <v>7724</v>
      </c>
      <c r="FV7" s="1013" t="s">
        <v>7724</v>
      </c>
      <c r="FW7" s="1013" t="s">
        <v>7724</v>
      </c>
      <c r="FX7" s="1013" t="s">
        <v>7724</v>
      </c>
      <c r="FY7" s="1013" t="s">
        <v>7724</v>
      </c>
      <c r="FZ7" s="1013" t="s">
        <v>7724</v>
      </c>
      <c r="GA7" s="1013" t="s">
        <v>7724</v>
      </c>
      <c r="GB7" s="1013" t="s">
        <v>7724</v>
      </c>
      <c r="GC7" s="1013">
        <v>2021</v>
      </c>
      <c r="GD7" s="1013" t="s">
        <v>1407</v>
      </c>
      <c r="GE7" s="1013">
        <v>2</v>
      </c>
      <c r="GF7" s="1013" t="s">
        <v>1407</v>
      </c>
      <c r="GG7" s="1013" t="s">
        <v>1404</v>
      </c>
      <c r="GH7" s="1013" t="s">
        <v>7989</v>
      </c>
      <c r="GI7" s="1013" t="s">
        <v>7974</v>
      </c>
      <c r="GJ7" s="1013" t="s">
        <v>7974</v>
      </c>
      <c r="GK7" s="1013" t="s">
        <v>7999</v>
      </c>
      <c r="GL7" s="1013" t="s">
        <v>7974</v>
      </c>
      <c r="GM7" s="1013" t="s">
        <v>8199</v>
      </c>
    </row>
    <row r="8" spans="1:195">
      <c r="A8" s="1019">
        <v>152</v>
      </c>
      <c r="B8" s="1019" t="s">
        <v>7722</v>
      </c>
      <c r="C8" s="1019">
        <v>19866067</v>
      </c>
      <c r="D8" s="1019" t="s">
        <v>7723</v>
      </c>
      <c r="E8" s="1022" t="s">
        <v>7723</v>
      </c>
      <c r="F8" s="1019" t="s">
        <v>7723</v>
      </c>
      <c r="G8" s="1019" t="s">
        <v>7723</v>
      </c>
      <c r="H8" s="1019" t="s">
        <v>7723</v>
      </c>
      <c r="I8" s="1019" t="s">
        <v>7727</v>
      </c>
      <c r="J8" s="1019" t="s">
        <v>7723</v>
      </c>
      <c r="K8" s="1019">
        <v>45243</v>
      </c>
      <c r="L8" s="1019">
        <v>0.79236111111111107</v>
      </c>
      <c r="M8" s="1019" t="s">
        <v>8010</v>
      </c>
      <c r="N8" s="1019" t="s">
        <v>7724</v>
      </c>
      <c r="O8" s="1019">
        <v>101</v>
      </c>
      <c r="P8" s="1019">
        <v>208</v>
      </c>
      <c r="Q8" s="1019" t="s">
        <v>7723</v>
      </c>
      <c r="R8" s="1019" t="s">
        <v>7727</v>
      </c>
      <c r="S8" s="1019" t="s">
        <v>7724</v>
      </c>
      <c r="T8" s="1020" t="s">
        <v>7724</v>
      </c>
      <c r="U8" s="1020">
        <v>19</v>
      </c>
      <c r="V8" s="1020" t="s">
        <v>7724</v>
      </c>
      <c r="W8" s="1020" t="s">
        <v>7724</v>
      </c>
      <c r="X8" s="1019">
        <v>1</v>
      </c>
      <c r="Y8" s="1019">
        <v>4399</v>
      </c>
      <c r="Z8" s="1019" t="s">
        <v>7724</v>
      </c>
      <c r="AA8" s="1019" t="s">
        <v>7728</v>
      </c>
      <c r="AB8" s="1013" t="s">
        <v>7724</v>
      </c>
      <c r="AC8" s="1013" t="s">
        <v>7723</v>
      </c>
      <c r="AD8" s="1013" t="s">
        <v>7723</v>
      </c>
      <c r="AE8" s="1013">
        <v>35</v>
      </c>
      <c r="AF8" s="1013" t="s">
        <v>7723</v>
      </c>
      <c r="AG8" s="1013" t="s">
        <v>7723</v>
      </c>
      <c r="AH8" s="1013" t="s">
        <v>8011</v>
      </c>
      <c r="AI8" s="1013" t="s">
        <v>7727</v>
      </c>
      <c r="AJ8" s="1013">
        <v>18</v>
      </c>
      <c r="AK8" s="1013" t="s">
        <v>7724</v>
      </c>
      <c r="AL8" s="1013" t="s">
        <v>7724</v>
      </c>
      <c r="AM8" s="1013">
        <v>1</v>
      </c>
      <c r="AN8" s="1013">
        <v>1199</v>
      </c>
      <c r="AO8" s="1013" t="s">
        <v>7724</v>
      </c>
      <c r="AP8" s="1013" t="s">
        <v>7725</v>
      </c>
      <c r="AQ8" s="1013" t="s">
        <v>7726</v>
      </c>
      <c r="AR8" s="1013" t="s">
        <v>7724</v>
      </c>
      <c r="AS8" s="1013" t="s">
        <v>7724</v>
      </c>
      <c r="AT8" s="1013" t="s">
        <v>7724</v>
      </c>
      <c r="AU8" s="1013" t="s">
        <v>7724</v>
      </c>
      <c r="AV8" s="1013" t="s">
        <v>8011</v>
      </c>
      <c r="AW8" s="1013" t="s">
        <v>7724</v>
      </c>
      <c r="AX8" s="1013">
        <v>12</v>
      </c>
      <c r="AY8" s="1013">
        <v>4</v>
      </c>
      <c r="AZ8" s="1013">
        <v>4</v>
      </c>
      <c r="BA8" s="1013">
        <v>4</v>
      </c>
      <c r="BB8" s="1013">
        <v>1</v>
      </c>
      <c r="BC8" s="1013">
        <v>2</v>
      </c>
      <c r="BD8" s="1013">
        <v>5</v>
      </c>
      <c r="BE8" s="1023">
        <v>0.79305555555555551</v>
      </c>
      <c r="BF8" s="1013" t="s">
        <v>7736</v>
      </c>
      <c r="BG8" s="1023">
        <v>0.7944444444444444</v>
      </c>
      <c r="BH8" s="1024">
        <v>45244</v>
      </c>
      <c r="BI8" s="1013" t="s">
        <v>7727</v>
      </c>
      <c r="BJ8" s="1013" t="s">
        <v>7730</v>
      </c>
      <c r="BK8" s="1013">
        <v>2469</v>
      </c>
      <c r="BL8" s="1013" t="s">
        <v>7724</v>
      </c>
      <c r="BM8" s="1013" t="s">
        <v>7724</v>
      </c>
      <c r="BN8" s="1013">
        <v>113</v>
      </c>
      <c r="BO8" s="1013">
        <v>8</v>
      </c>
      <c r="BP8" s="1013">
        <v>5</v>
      </c>
      <c r="BQ8" s="1013">
        <v>2</v>
      </c>
      <c r="BR8" s="1013">
        <v>1</v>
      </c>
      <c r="BS8" s="1013">
        <v>64</v>
      </c>
      <c r="BT8" s="1013">
        <v>54</v>
      </c>
      <c r="BU8" s="1013">
        <v>1</v>
      </c>
      <c r="BV8" s="1013">
        <v>3</v>
      </c>
      <c r="BW8" s="1013">
        <v>1</v>
      </c>
      <c r="BX8" s="1013">
        <v>21</v>
      </c>
      <c r="BY8" s="1013">
        <v>21</v>
      </c>
      <c r="BZ8" s="1013">
        <v>101</v>
      </c>
      <c r="CA8" s="1013">
        <v>208</v>
      </c>
      <c r="CB8" s="1013">
        <v>29.733094999999999</v>
      </c>
      <c r="CC8" s="1013">
        <v>-95.381282999999996</v>
      </c>
      <c r="CD8" s="1013" t="s">
        <v>7724</v>
      </c>
      <c r="CE8" s="1013" t="s">
        <v>7724</v>
      </c>
      <c r="CF8" s="1013" t="s">
        <v>7724</v>
      </c>
      <c r="CG8" s="1013" t="s">
        <v>7724</v>
      </c>
      <c r="CH8" s="1013" t="s">
        <v>7732</v>
      </c>
      <c r="CI8" s="1013">
        <v>4399</v>
      </c>
      <c r="CJ8" s="1013" t="s">
        <v>7724</v>
      </c>
      <c r="CK8" s="1013" t="s">
        <v>7724</v>
      </c>
      <c r="CL8" s="1013" t="s">
        <v>7724</v>
      </c>
      <c r="CM8" s="1013" t="s">
        <v>7724</v>
      </c>
      <c r="CN8" s="1013" t="s">
        <v>7724</v>
      </c>
      <c r="CO8" s="1013" t="s">
        <v>7724</v>
      </c>
      <c r="CP8" s="1013" t="s">
        <v>7724</v>
      </c>
      <c r="CQ8" s="1013" t="s">
        <v>7724</v>
      </c>
      <c r="CR8" s="1013" t="s">
        <v>967</v>
      </c>
      <c r="CS8" s="1013" t="s">
        <v>7724</v>
      </c>
      <c r="CT8" s="1013" t="s">
        <v>7724</v>
      </c>
      <c r="CU8" s="1013" t="s">
        <v>7724</v>
      </c>
      <c r="CV8" s="1013" t="s">
        <v>7724</v>
      </c>
      <c r="CW8" s="1013" t="s">
        <v>7727</v>
      </c>
      <c r="CX8" s="1013" t="s">
        <v>7723</v>
      </c>
      <c r="CY8" s="1013" t="s">
        <v>7723</v>
      </c>
      <c r="CZ8" s="1013">
        <v>5</v>
      </c>
      <c r="DA8" s="1013">
        <v>9</v>
      </c>
      <c r="DB8" s="1013" t="s">
        <v>7727</v>
      </c>
      <c r="DC8" s="1013" t="s">
        <v>7743</v>
      </c>
      <c r="DD8" s="1013" t="s">
        <v>7724</v>
      </c>
      <c r="DE8" s="1013" t="s">
        <v>7724</v>
      </c>
      <c r="DF8" s="1013" t="s">
        <v>7724</v>
      </c>
      <c r="DG8" s="1013" t="s">
        <v>7724</v>
      </c>
      <c r="DH8" s="1013" t="s">
        <v>7724</v>
      </c>
      <c r="DI8" s="1013" t="s">
        <v>7724</v>
      </c>
      <c r="DJ8" s="1013" t="s">
        <v>7724</v>
      </c>
      <c r="DK8" s="1013" t="s">
        <v>7724</v>
      </c>
      <c r="DL8" s="1013" t="s">
        <v>7724</v>
      </c>
      <c r="DM8" s="1013" t="s">
        <v>7724</v>
      </c>
      <c r="DN8" s="1013" t="s">
        <v>7724</v>
      </c>
      <c r="DO8" s="1013" t="s">
        <v>7724</v>
      </c>
      <c r="DP8" s="1013" t="s">
        <v>7724</v>
      </c>
      <c r="DQ8" s="1013" t="s">
        <v>7724</v>
      </c>
      <c r="DR8" s="1013" t="s">
        <v>7724</v>
      </c>
      <c r="DS8" s="1013" t="s">
        <v>7724</v>
      </c>
      <c r="DT8" s="1013" t="s">
        <v>7724</v>
      </c>
      <c r="DU8" s="1013" t="s">
        <v>7724</v>
      </c>
      <c r="DV8" s="1013" t="s">
        <v>7724</v>
      </c>
      <c r="DW8" s="1013" t="s">
        <v>7724</v>
      </c>
      <c r="DX8" s="1013" t="s">
        <v>7724</v>
      </c>
      <c r="DY8" s="1013" t="s">
        <v>7724</v>
      </c>
      <c r="DZ8" s="1013" t="s">
        <v>7724</v>
      </c>
      <c r="EA8" s="1013" t="s">
        <v>7724</v>
      </c>
      <c r="EB8" s="1013" t="s">
        <v>7724</v>
      </c>
      <c r="EC8" s="1013" t="s">
        <v>7724</v>
      </c>
      <c r="ED8" s="1013" t="s">
        <v>7724</v>
      </c>
      <c r="EE8" s="1013" t="s">
        <v>7724</v>
      </c>
      <c r="EF8" s="1013" t="s">
        <v>7724</v>
      </c>
      <c r="EG8" s="1013" t="s">
        <v>7724</v>
      </c>
      <c r="EH8" s="1013" t="s">
        <v>7724</v>
      </c>
      <c r="EI8" s="1013" t="s">
        <v>7724</v>
      </c>
      <c r="EJ8" s="1013" t="s">
        <v>7724</v>
      </c>
      <c r="EK8" s="1013" t="s">
        <v>7724</v>
      </c>
      <c r="EL8" s="1013" t="s">
        <v>7724</v>
      </c>
      <c r="EM8" s="1013" t="s">
        <v>7724</v>
      </c>
      <c r="EN8" s="1013" t="s">
        <v>7724</v>
      </c>
      <c r="EO8" s="1013" t="s">
        <v>7724</v>
      </c>
      <c r="EP8" s="1013" t="s">
        <v>7724</v>
      </c>
      <c r="EQ8" s="1013" t="s">
        <v>7724</v>
      </c>
      <c r="ER8" s="1013" t="s">
        <v>7724</v>
      </c>
      <c r="ES8" s="1013" t="s">
        <v>7724</v>
      </c>
      <c r="ET8" s="1013" t="s">
        <v>7724</v>
      </c>
      <c r="EU8" s="1013" t="s">
        <v>7724</v>
      </c>
      <c r="EV8" s="1013" t="s">
        <v>7724</v>
      </c>
      <c r="EW8" s="1013" t="s">
        <v>7724</v>
      </c>
      <c r="EX8" s="1013" t="s">
        <v>7724</v>
      </c>
      <c r="EY8" s="1013" t="s">
        <v>7724</v>
      </c>
      <c r="EZ8" s="1013" t="s">
        <v>7724</v>
      </c>
      <c r="FA8" s="1013" t="s">
        <v>7724</v>
      </c>
      <c r="FB8" s="1013" t="s">
        <v>7724</v>
      </c>
      <c r="FC8" s="1013" t="s">
        <v>7724</v>
      </c>
      <c r="FD8" s="1013" t="s">
        <v>7724</v>
      </c>
      <c r="FE8" s="1013" t="s">
        <v>7724</v>
      </c>
      <c r="FF8" s="1013" t="s">
        <v>7724</v>
      </c>
      <c r="FG8" s="1013">
        <v>0</v>
      </c>
      <c r="FH8" s="1013">
        <v>0</v>
      </c>
      <c r="FI8" s="1013">
        <v>0</v>
      </c>
      <c r="FJ8" s="1013">
        <v>2</v>
      </c>
      <c r="FK8" s="1013">
        <v>0</v>
      </c>
      <c r="FL8" s="1013">
        <v>0</v>
      </c>
      <c r="FM8" s="1013">
        <v>0</v>
      </c>
      <c r="FN8" s="1013">
        <v>15</v>
      </c>
      <c r="FO8" s="1013">
        <v>29</v>
      </c>
      <c r="FP8" s="1013">
        <v>6</v>
      </c>
      <c r="FQ8" s="1013" t="s">
        <v>7724</v>
      </c>
      <c r="FR8" s="1013" t="s">
        <v>7724</v>
      </c>
      <c r="FS8" s="1013" t="s">
        <v>7724</v>
      </c>
      <c r="FT8" s="1013" t="s">
        <v>7723</v>
      </c>
      <c r="FU8" s="1013" t="s">
        <v>7723</v>
      </c>
      <c r="FV8" s="1013">
        <v>35</v>
      </c>
      <c r="FW8" s="1023">
        <v>0.82291666666666663</v>
      </c>
      <c r="FX8" s="1023">
        <v>0.82638888888888884</v>
      </c>
      <c r="FY8" s="1024">
        <v>45243</v>
      </c>
      <c r="FZ8" s="1024">
        <v>45243</v>
      </c>
      <c r="GA8" s="1024">
        <v>45243</v>
      </c>
      <c r="GB8" s="1024">
        <v>45243</v>
      </c>
      <c r="GC8" s="1013">
        <v>2023</v>
      </c>
      <c r="GD8" s="1013" t="s">
        <v>1404</v>
      </c>
      <c r="GE8" s="1013">
        <v>2</v>
      </c>
      <c r="GF8" s="1013" t="s">
        <v>1407</v>
      </c>
      <c r="GG8" s="1013" t="s">
        <v>1404</v>
      </c>
      <c r="GH8" s="1013" t="s">
        <v>7985</v>
      </c>
      <c r="GI8" s="1013" t="s">
        <v>7974</v>
      </c>
      <c r="GJ8" s="1013" t="s">
        <v>7974</v>
      </c>
      <c r="GK8" s="1013" t="s">
        <v>7974</v>
      </c>
      <c r="GL8" s="1013" t="s">
        <v>7974</v>
      </c>
      <c r="GM8" s="1013" t="s">
        <v>8199</v>
      </c>
    </row>
    <row r="9" spans="1:195">
      <c r="A9" s="1013">
        <v>183</v>
      </c>
      <c r="B9" s="1013" t="s">
        <v>7722</v>
      </c>
      <c r="C9" s="1013">
        <v>18598695</v>
      </c>
      <c r="D9" s="1013" t="s">
        <v>7723</v>
      </c>
      <c r="E9" s="1013" t="s">
        <v>7723</v>
      </c>
      <c r="F9" s="1013" t="s">
        <v>7723</v>
      </c>
      <c r="G9" s="1013" t="s">
        <v>7723</v>
      </c>
      <c r="H9" s="1013" t="s">
        <v>7723</v>
      </c>
      <c r="I9" s="1013" t="s">
        <v>7723</v>
      </c>
      <c r="J9" s="1013" t="s">
        <v>7723</v>
      </c>
      <c r="K9" s="1024">
        <v>44472</v>
      </c>
      <c r="L9" s="1023">
        <v>0.85763888888888884</v>
      </c>
      <c r="M9" s="1013" t="s">
        <v>7753</v>
      </c>
      <c r="N9" s="1013" t="s">
        <v>7724</v>
      </c>
      <c r="O9" s="1013">
        <v>101</v>
      </c>
      <c r="P9" s="1013">
        <v>208</v>
      </c>
      <c r="Q9" s="1013" t="s">
        <v>7723</v>
      </c>
      <c r="R9" s="1013" t="s">
        <v>7723</v>
      </c>
      <c r="S9" s="1013" t="s">
        <v>7724</v>
      </c>
      <c r="T9" s="1014" t="s">
        <v>7724</v>
      </c>
      <c r="U9" s="1014">
        <v>19</v>
      </c>
      <c r="V9" s="1014" t="s">
        <v>7724</v>
      </c>
      <c r="W9" s="1014" t="s">
        <v>7724</v>
      </c>
      <c r="X9" s="1013">
        <v>1</v>
      </c>
      <c r="Y9" s="1013">
        <v>4200</v>
      </c>
      <c r="Z9" s="1013" t="s">
        <v>7724</v>
      </c>
      <c r="AA9" s="1013" t="s">
        <v>7745</v>
      </c>
      <c r="AB9" s="1013" t="s">
        <v>7726</v>
      </c>
      <c r="AC9" s="1013" t="s">
        <v>7723</v>
      </c>
      <c r="AD9" s="1013" t="s">
        <v>7723</v>
      </c>
      <c r="AE9" s="1013">
        <v>35</v>
      </c>
      <c r="AF9" s="1013" t="s">
        <v>7723</v>
      </c>
      <c r="AG9" s="1013" t="s">
        <v>7723</v>
      </c>
      <c r="AH9" s="1013" t="s">
        <v>7739</v>
      </c>
      <c r="AI9" s="1013" t="s">
        <v>7723</v>
      </c>
      <c r="AJ9" s="1013">
        <v>19</v>
      </c>
      <c r="AK9" s="1013" t="s">
        <v>7724</v>
      </c>
      <c r="AL9" s="1013" t="s">
        <v>7724</v>
      </c>
      <c r="AM9" s="1013">
        <v>1</v>
      </c>
      <c r="AN9" s="1013">
        <v>1300</v>
      </c>
      <c r="AO9" s="1013" t="s">
        <v>7724</v>
      </c>
      <c r="AP9" s="1013" t="s">
        <v>7754</v>
      </c>
      <c r="AQ9" s="1013" t="s">
        <v>7726</v>
      </c>
      <c r="AR9" s="1013" t="s">
        <v>7724</v>
      </c>
      <c r="AS9" s="1013" t="s">
        <v>7724</v>
      </c>
      <c r="AT9" s="1013" t="s">
        <v>7724</v>
      </c>
      <c r="AU9" s="1013" t="s">
        <v>7724</v>
      </c>
      <c r="AV9" s="1013" t="s">
        <v>7724</v>
      </c>
      <c r="AW9" s="1013" t="s">
        <v>7724</v>
      </c>
      <c r="AX9" s="1013">
        <v>11</v>
      </c>
      <c r="AY9" s="1013">
        <v>4</v>
      </c>
      <c r="AZ9" s="1013">
        <v>0</v>
      </c>
      <c r="BA9" s="1013">
        <v>4</v>
      </c>
      <c r="BB9" s="1013">
        <v>1</v>
      </c>
      <c r="BC9" s="1013">
        <v>1</v>
      </c>
      <c r="BD9" s="1013">
        <v>20</v>
      </c>
      <c r="BE9" s="1023">
        <v>0.85763888888888884</v>
      </c>
      <c r="BF9" s="1013" t="s">
        <v>7736</v>
      </c>
      <c r="BG9" s="1023">
        <v>0.86527777777777781</v>
      </c>
      <c r="BH9" s="1024">
        <v>44512</v>
      </c>
      <c r="BI9" s="1013" t="s">
        <v>7727</v>
      </c>
      <c r="BJ9" s="1013" t="s">
        <v>7730</v>
      </c>
      <c r="BK9" s="1013">
        <v>2469</v>
      </c>
      <c r="BL9" s="1013" t="s">
        <v>7724</v>
      </c>
      <c r="BM9" s="1013" t="s">
        <v>7724</v>
      </c>
      <c r="BN9" s="1013">
        <v>113</v>
      </c>
      <c r="BO9" s="1013">
        <v>8</v>
      </c>
      <c r="BP9" s="1013">
        <v>5</v>
      </c>
      <c r="BQ9" s="1013">
        <v>2</v>
      </c>
      <c r="BR9" s="1013">
        <v>1</v>
      </c>
      <c r="BS9" s="1013">
        <v>64</v>
      </c>
      <c r="BT9" s="1013">
        <v>9</v>
      </c>
      <c r="BU9" s="1013">
        <v>1</v>
      </c>
      <c r="BV9" s="1013">
        <v>5</v>
      </c>
      <c r="BW9" s="1013">
        <v>1</v>
      </c>
      <c r="BX9" s="1013">
        <v>21</v>
      </c>
      <c r="BY9" s="1013">
        <v>21</v>
      </c>
      <c r="BZ9" s="1013">
        <v>101</v>
      </c>
      <c r="CA9" s="1013">
        <v>208</v>
      </c>
      <c r="CB9" s="1013">
        <v>29.732458999999999</v>
      </c>
      <c r="CC9" s="1013">
        <v>-95.380544999999998</v>
      </c>
      <c r="CD9" s="1013" t="s">
        <v>7724</v>
      </c>
      <c r="CE9" s="1013" t="s">
        <v>7724</v>
      </c>
      <c r="CF9" s="1013" t="s">
        <v>7724</v>
      </c>
      <c r="CG9" s="1013" t="s">
        <v>7724</v>
      </c>
      <c r="CH9" s="1013" t="s">
        <v>7746</v>
      </c>
      <c r="CI9" s="1013" t="s">
        <v>7724</v>
      </c>
      <c r="CJ9" s="1013" t="s">
        <v>7724</v>
      </c>
      <c r="CK9" s="1013" t="s">
        <v>7724</v>
      </c>
      <c r="CL9" s="1013" t="s">
        <v>7724</v>
      </c>
      <c r="CM9" s="1013" t="s">
        <v>7724</v>
      </c>
      <c r="CN9" s="1013" t="s">
        <v>7724</v>
      </c>
      <c r="CO9" s="1013" t="s">
        <v>7724</v>
      </c>
      <c r="CP9" s="1013" t="s">
        <v>7724</v>
      </c>
      <c r="CQ9" s="1013" t="s">
        <v>7724</v>
      </c>
      <c r="CR9" s="1013" t="s">
        <v>7755</v>
      </c>
      <c r="CS9" s="1013" t="s">
        <v>7724</v>
      </c>
      <c r="CT9" s="1013" t="s">
        <v>7724</v>
      </c>
      <c r="CU9" s="1013" t="s">
        <v>7724</v>
      </c>
      <c r="CV9" s="1013" t="s">
        <v>7724</v>
      </c>
      <c r="CW9" s="1013" t="s">
        <v>7727</v>
      </c>
      <c r="CX9" s="1013" t="s">
        <v>7723</v>
      </c>
      <c r="CY9" s="1013" t="s">
        <v>7723</v>
      </c>
      <c r="CZ9" s="1013">
        <v>3</v>
      </c>
      <c r="DA9" s="1013">
        <v>9</v>
      </c>
      <c r="DB9" s="1013" t="s">
        <v>7727</v>
      </c>
      <c r="DC9" s="1013" t="s">
        <v>7747</v>
      </c>
      <c r="DD9" s="1013" t="s">
        <v>7724</v>
      </c>
      <c r="DE9" s="1013" t="s">
        <v>7724</v>
      </c>
      <c r="DF9" s="1013" t="s">
        <v>7724</v>
      </c>
      <c r="DG9" s="1013" t="s">
        <v>7724</v>
      </c>
      <c r="DH9" s="1013" t="s">
        <v>7724</v>
      </c>
      <c r="DI9" s="1013" t="s">
        <v>7724</v>
      </c>
      <c r="DJ9" s="1013" t="s">
        <v>7724</v>
      </c>
      <c r="DK9" s="1013" t="s">
        <v>7724</v>
      </c>
      <c r="DL9" s="1013" t="s">
        <v>7724</v>
      </c>
      <c r="DM9" s="1013" t="s">
        <v>7724</v>
      </c>
      <c r="DN9" s="1013" t="s">
        <v>7724</v>
      </c>
      <c r="DO9" s="1013" t="s">
        <v>7724</v>
      </c>
      <c r="DP9" s="1013" t="s">
        <v>7724</v>
      </c>
      <c r="DQ9" s="1013" t="s">
        <v>7724</v>
      </c>
      <c r="DR9" s="1013" t="s">
        <v>7724</v>
      </c>
      <c r="DS9" s="1013" t="s">
        <v>7724</v>
      </c>
      <c r="DT9" s="1013" t="s">
        <v>7724</v>
      </c>
      <c r="DU9" s="1013" t="s">
        <v>7724</v>
      </c>
      <c r="DV9" s="1013" t="s">
        <v>7724</v>
      </c>
      <c r="DW9" s="1013" t="s">
        <v>7724</v>
      </c>
      <c r="DX9" s="1013" t="s">
        <v>7724</v>
      </c>
      <c r="DY9" s="1013" t="s">
        <v>7724</v>
      </c>
      <c r="DZ9" s="1013" t="s">
        <v>7724</v>
      </c>
      <c r="EA9" s="1013" t="s">
        <v>7724</v>
      </c>
      <c r="EB9" s="1013" t="s">
        <v>7724</v>
      </c>
      <c r="EC9" s="1013" t="s">
        <v>7724</v>
      </c>
      <c r="ED9" s="1013" t="s">
        <v>7724</v>
      </c>
      <c r="EE9" s="1013" t="s">
        <v>7724</v>
      </c>
      <c r="EF9" s="1013" t="s">
        <v>7724</v>
      </c>
      <c r="EG9" s="1013" t="s">
        <v>7724</v>
      </c>
      <c r="EH9" s="1013" t="s">
        <v>7724</v>
      </c>
      <c r="EI9" s="1013" t="s">
        <v>7724</v>
      </c>
      <c r="EJ9" s="1013" t="s">
        <v>7724</v>
      </c>
      <c r="EK9" s="1013" t="s">
        <v>7724</v>
      </c>
      <c r="EL9" s="1013" t="s">
        <v>7724</v>
      </c>
      <c r="EM9" s="1013" t="s">
        <v>7724</v>
      </c>
      <c r="EN9" s="1013" t="s">
        <v>7724</v>
      </c>
      <c r="EO9" s="1013" t="s">
        <v>7724</v>
      </c>
      <c r="EP9" s="1013" t="s">
        <v>7724</v>
      </c>
      <c r="EQ9" s="1013" t="s">
        <v>7724</v>
      </c>
      <c r="ER9" s="1013" t="s">
        <v>7724</v>
      </c>
      <c r="ES9" s="1013" t="s">
        <v>7724</v>
      </c>
      <c r="ET9" s="1013" t="s">
        <v>7724</v>
      </c>
      <c r="EU9" s="1013" t="s">
        <v>7724</v>
      </c>
      <c r="EV9" s="1013" t="s">
        <v>7724</v>
      </c>
      <c r="EW9" s="1013" t="s">
        <v>7724</v>
      </c>
      <c r="EX9" s="1013" t="s">
        <v>7724</v>
      </c>
      <c r="EY9" s="1013" t="s">
        <v>7724</v>
      </c>
      <c r="EZ9" s="1013" t="s">
        <v>7724</v>
      </c>
      <c r="FA9" s="1013" t="s">
        <v>7724</v>
      </c>
      <c r="FB9" s="1013" t="s">
        <v>7724</v>
      </c>
      <c r="FC9" s="1013" t="s">
        <v>7724</v>
      </c>
      <c r="FD9" s="1013" t="s">
        <v>7724</v>
      </c>
      <c r="FE9" s="1013" t="s">
        <v>7724</v>
      </c>
      <c r="FF9" s="1013" t="s">
        <v>7724</v>
      </c>
      <c r="FG9" s="1013">
        <v>0</v>
      </c>
      <c r="FH9" s="1013">
        <v>0</v>
      </c>
      <c r="FI9" s="1013">
        <v>1</v>
      </c>
      <c r="FJ9" s="1013">
        <v>1</v>
      </c>
      <c r="FK9" s="1013">
        <v>0</v>
      </c>
      <c r="FL9" s="1013">
        <v>1</v>
      </c>
      <c r="FM9" s="1013">
        <v>0</v>
      </c>
      <c r="FN9" s="1013">
        <v>15</v>
      </c>
      <c r="FO9" s="1013">
        <v>29</v>
      </c>
      <c r="FP9" s="1013">
        <v>6</v>
      </c>
      <c r="FQ9" s="1013" t="s">
        <v>7724</v>
      </c>
      <c r="FR9" s="1013" t="s">
        <v>7724</v>
      </c>
      <c r="FS9" s="1013" t="s">
        <v>7724</v>
      </c>
      <c r="FT9" s="1013" t="s">
        <v>7724</v>
      </c>
      <c r="FU9" s="1013" t="s">
        <v>7724</v>
      </c>
      <c r="FV9" s="1013" t="s">
        <v>7724</v>
      </c>
      <c r="FW9" s="1013" t="s">
        <v>7724</v>
      </c>
      <c r="FX9" s="1013" t="s">
        <v>7724</v>
      </c>
      <c r="FY9" s="1013" t="s">
        <v>7724</v>
      </c>
      <c r="FZ9" s="1013" t="s">
        <v>7724</v>
      </c>
      <c r="GA9" s="1013" t="s">
        <v>7724</v>
      </c>
      <c r="GB9" s="1013" t="s">
        <v>7724</v>
      </c>
      <c r="GC9" s="1013">
        <v>2021</v>
      </c>
      <c r="GD9" s="1013" t="s">
        <v>1407</v>
      </c>
      <c r="GE9" s="1013">
        <v>2</v>
      </c>
      <c r="GF9" s="1013" t="s">
        <v>1407</v>
      </c>
      <c r="GG9" s="1013" t="s">
        <v>1404</v>
      </c>
      <c r="GH9" s="1013" t="s">
        <v>8049</v>
      </c>
      <c r="GI9" s="1013" t="s">
        <v>7974</v>
      </c>
      <c r="GJ9" s="1013" t="s">
        <v>7974</v>
      </c>
      <c r="GK9" s="1013" t="s">
        <v>7974</v>
      </c>
      <c r="GL9" s="1013" t="s">
        <v>7974</v>
      </c>
      <c r="GM9" s="1013" t="s">
        <v>8199</v>
      </c>
    </row>
    <row r="17" s="1013" customFormat="1"/>
    <row r="18" s="1013" customFormat="1"/>
    <row r="19" s="1013" customFormat="1"/>
    <row r="20" s="1013" customFormat="1"/>
    <row r="21" s="1013" customFormat="1"/>
    <row r="22" s="1013" customFormat="1"/>
    <row r="23" s="1013" customFormat="1"/>
    <row r="24" s="1013" customFormat="1"/>
    <row r="25" s="1013" customFormat="1"/>
    <row r="26" s="1013" customFormat="1"/>
    <row r="27" s="1013" customFormat="1"/>
    <row r="28" s="1013" customFormat="1"/>
    <row r="29" s="1013" customFormat="1"/>
    <row r="30" s="1013" customFormat="1"/>
    <row r="31" s="1013" customFormat="1"/>
    <row r="32" s="1013" customFormat="1"/>
    <row r="33" s="1013" customFormat="1"/>
    <row r="34" s="1013" customFormat="1"/>
    <row r="35" s="1013" customFormat="1"/>
    <row r="36" s="1013" customFormat="1"/>
    <row r="37" s="1013" customFormat="1"/>
    <row r="38" s="1013" customFormat="1"/>
    <row r="39" s="1013" customFormat="1"/>
    <row r="40" s="1013" customFormat="1"/>
    <row r="41" s="1013" customFormat="1"/>
    <row r="42" s="1013" customFormat="1"/>
    <row r="43" s="1013" customFormat="1"/>
    <row r="44" s="1013" customFormat="1"/>
    <row r="45" s="1013" customFormat="1"/>
    <row r="46" s="1013" customFormat="1"/>
    <row r="47" s="1013" customFormat="1"/>
    <row r="48" s="1013" customFormat="1"/>
    <row r="49" s="1013" customFormat="1"/>
    <row r="50" s="1013" customFormat="1"/>
    <row r="51" s="1013" customFormat="1"/>
    <row r="52" s="1013" customFormat="1"/>
    <row r="53" s="1013" customFormat="1"/>
    <row r="54" s="1013" customFormat="1"/>
    <row r="55" s="1013" customFormat="1"/>
    <row r="56" s="1013" customFormat="1"/>
    <row r="57" s="1013" customFormat="1"/>
    <row r="58" s="1013" customFormat="1"/>
    <row r="59" s="1013" customFormat="1"/>
    <row r="60" s="1013" customFormat="1"/>
    <row r="61" s="1013" customFormat="1"/>
    <row r="62" s="1013" customFormat="1"/>
    <row r="63" s="1013" customFormat="1"/>
    <row r="64" s="1013" customFormat="1"/>
    <row r="73" spans="4:4">
      <c r="D73" s="1013">
        <v>0</v>
      </c>
    </row>
    <row r="81" s="1013" customFormat="1"/>
    <row r="82" s="1013" customFormat="1"/>
    <row r="83" s="1013" customFormat="1"/>
    <row r="84" s="1013" customFormat="1"/>
    <row r="85" s="1013" customFormat="1"/>
    <row r="86" s="1013" customFormat="1"/>
    <row r="87" s="1013" customFormat="1"/>
    <row r="88" s="1013" customFormat="1"/>
    <row r="89" s="1013" customFormat="1"/>
    <row r="90" s="1013" customFormat="1"/>
    <row r="91" s="1013" customFormat="1"/>
    <row r="92" s="1013" customFormat="1"/>
    <row r="93" s="1013" customFormat="1"/>
    <row r="94" s="1013" customFormat="1"/>
    <row r="95" s="1013" customFormat="1"/>
    <row r="96" s="1013" customFormat="1"/>
    <row r="97" s="1013" customFormat="1"/>
    <row r="98" s="1013" customFormat="1"/>
    <row r="99" s="1013" customFormat="1"/>
    <row r="100" s="1013" customFormat="1"/>
    <row r="101" s="1013" customFormat="1"/>
    <row r="102" s="1013" customFormat="1"/>
    <row r="103" s="1013" customFormat="1"/>
    <row r="104" s="1013" customFormat="1"/>
    <row r="105" s="1013" customFormat="1"/>
    <row r="106" s="1013" customFormat="1"/>
    <row r="107" s="1013" customFormat="1"/>
    <row r="108" s="1013" customFormat="1"/>
    <row r="109" s="1013" customFormat="1"/>
    <row r="110" s="1013" customFormat="1"/>
    <row r="111" s="1013" customFormat="1"/>
    <row r="112" s="1013" customFormat="1"/>
    <row r="113" s="1013" customFormat="1"/>
    <row r="114" s="1013" customFormat="1"/>
    <row r="115" s="1013" customFormat="1"/>
    <row r="116" s="1013" customFormat="1"/>
    <row r="117" s="1013" customFormat="1"/>
    <row r="118" s="1013" customFormat="1"/>
    <row r="119" s="1013" customFormat="1"/>
    <row r="120" s="1013" customFormat="1"/>
    <row r="121" s="1013" customFormat="1"/>
    <row r="122" s="1013" customFormat="1"/>
    <row r="123" s="1013" customFormat="1"/>
    <row r="124" s="1013" customFormat="1"/>
    <row r="125" s="1013" customFormat="1"/>
    <row r="126" s="1013" customFormat="1"/>
    <row r="127" s="1013" customFormat="1"/>
    <row r="128" s="1013" customFormat="1"/>
    <row r="129" s="1013" customFormat="1"/>
    <row r="130" s="1013" customFormat="1"/>
    <row r="131" s="1013" customFormat="1"/>
    <row r="132" s="1013" customFormat="1"/>
    <row r="133" s="1013" customFormat="1"/>
    <row r="134" s="1013" customFormat="1"/>
    <row r="135" s="1013" customFormat="1"/>
    <row r="136" s="1013" customFormat="1"/>
    <row r="137" s="1013" customFormat="1"/>
    <row r="138" s="1013" customFormat="1"/>
    <row r="139" s="1013" customFormat="1"/>
    <row r="140" s="1013" customFormat="1"/>
    <row r="141" s="1013" customFormat="1"/>
    <row r="142" s="1013" customFormat="1"/>
    <row r="143" s="1013" customFormat="1"/>
    <row r="144" s="1013" customFormat="1"/>
    <row r="145" s="1013" customFormat="1"/>
    <row r="146" s="1013" customFormat="1"/>
    <row r="147" s="1013" customFormat="1"/>
    <row r="148" s="1013" customFormat="1"/>
    <row r="149" s="1013" customFormat="1"/>
    <row r="150" s="1013" customFormat="1"/>
    <row r="151" s="1013" customFormat="1"/>
    <row r="152" s="1013" customFormat="1"/>
    <row r="153" s="1013" customFormat="1"/>
    <row r="154" s="1013" customFormat="1"/>
    <row r="155" s="1013" customFormat="1"/>
    <row r="156" s="1013" customFormat="1"/>
    <row r="157" s="1013" customFormat="1"/>
    <row r="158" s="1013" customFormat="1"/>
    <row r="159" s="1013" customFormat="1"/>
    <row r="160" s="1013" customFormat="1"/>
    <row r="161" s="1013" customFormat="1"/>
    <row r="162" s="1013" customFormat="1"/>
    <row r="163" s="1013" customFormat="1"/>
    <row r="164" s="1013" customFormat="1"/>
    <row r="165" s="1013" customFormat="1"/>
    <row r="166" s="1013" customFormat="1"/>
    <row r="167" s="1013" customFormat="1"/>
    <row r="168" s="1013" customFormat="1"/>
    <row r="169" s="1013" customFormat="1"/>
    <row r="170" s="1013" customFormat="1"/>
    <row r="171" s="1013" customFormat="1"/>
    <row r="172" s="1013" customFormat="1"/>
    <row r="173" s="1013" customFormat="1"/>
    <row r="174" s="1013" customFormat="1"/>
    <row r="175" s="1013" customFormat="1"/>
    <row r="176" s="1013" customFormat="1"/>
    <row r="177" s="1013" customFormat="1"/>
    <row r="178" s="1013" customFormat="1"/>
    <row r="179" s="1013" customFormat="1"/>
    <row r="180" s="1013" customFormat="1"/>
    <row r="181" s="1013" customFormat="1"/>
    <row r="182" s="1013" customFormat="1"/>
    <row r="183" s="1013" customFormat="1"/>
    <row r="184" s="1013" customFormat="1"/>
    <row r="185" s="1013" customFormat="1"/>
    <row r="186" s="1013" customFormat="1"/>
    <row r="187" s="1013" customFormat="1"/>
    <row r="188" s="1013" customFormat="1"/>
    <row r="189" s="1013" customFormat="1"/>
    <row r="190" s="1013" customFormat="1"/>
    <row r="191" s="1013" customFormat="1"/>
    <row r="192" s="1013" customFormat="1"/>
    <row r="193" s="1013" customFormat="1"/>
    <row r="194" s="1013" customFormat="1"/>
    <row r="195" s="1013" customFormat="1"/>
    <row r="196" s="1013" customFormat="1"/>
  </sheetData>
  <sheetProtection algorithmName="SHA-512" hashValue="rf7sTqwU8UNzlHVJZ4p6fmw2kN2l4vakv3gCJEM8Kt+wWVeAV8Nse43hz695UkY+S6fxbVY8m23Rl00/mJDgkA==" saltValue="8b06cLIIQe7Ilow5/bPS5w=="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filterMode="1">
    <tabColor theme="4"/>
  </sheetPr>
  <dimension ref="A1:GL196"/>
  <sheetViews>
    <sheetView workbookViewId="0">
      <selection sqref="A1:XFD1048576"/>
    </sheetView>
  </sheetViews>
  <sheetFormatPr defaultColWidth="12.21875" defaultRowHeight="13.2"/>
  <cols>
    <col min="1" max="1" width="22.77734375" style="1013" bestFit="1" customWidth="1"/>
    <col min="2" max="19" width="12.21875" style="1013" customWidth="1"/>
    <col min="20" max="21" width="12.21875" style="1014" customWidth="1"/>
    <col min="22" max="22" width="30.21875" style="1014" customWidth="1"/>
    <col min="23" max="23" width="12.21875" style="1014" customWidth="1"/>
    <col min="24" max="28" width="12.21875" style="1013"/>
    <col min="29" max="29" width="78.21875" style="1013" customWidth="1"/>
    <col min="30" max="30" width="12.21875" style="1013"/>
    <col min="31" max="31" width="85.77734375" style="1013" customWidth="1"/>
    <col min="32" max="16384" width="12.21875" style="1013"/>
  </cols>
  <sheetData>
    <row r="1" spans="1:194" ht="14.4">
      <c r="A1" s="1009" t="s">
        <v>413</v>
      </c>
      <c r="B1" s="1010" t="s">
        <v>879</v>
      </c>
      <c r="C1" s="1010"/>
      <c r="D1" s="1010"/>
      <c r="E1" s="1010"/>
      <c r="F1" s="1010"/>
      <c r="G1" s="1010"/>
      <c r="H1" s="1010"/>
      <c r="I1" s="1010"/>
      <c r="J1" s="1011"/>
      <c r="K1" s="1012"/>
    </row>
    <row r="2" spans="1:194" s="1018" customFormat="1" ht="15.6">
      <c r="A2" s="1015" t="s">
        <v>210</v>
      </c>
      <c r="B2" s="1016" t="s">
        <v>880</v>
      </c>
      <c r="C2" s="1017"/>
      <c r="D2" s="1015"/>
      <c r="F2" s="1019"/>
      <c r="G2" s="1019"/>
      <c r="H2" s="1019"/>
      <c r="I2" s="1019"/>
      <c r="J2" s="1019"/>
      <c r="K2" s="1019"/>
      <c r="L2" s="1019"/>
      <c r="M2" s="1019"/>
      <c r="N2" s="1019"/>
      <c r="O2" s="1019"/>
      <c r="P2" s="1019"/>
      <c r="Q2" s="1019"/>
      <c r="R2" s="1019"/>
      <c r="S2" s="1019"/>
      <c r="T2" s="1020"/>
      <c r="U2" s="1020"/>
      <c r="V2" s="1020"/>
      <c r="W2" s="1020"/>
      <c r="X2" s="1019"/>
      <c r="Y2" s="1019"/>
      <c r="Z2" s="1019"/>
      <c r="AA2" s="1019"/>
      <c r="AC2" s="1021"/>
    </row>
    <row r="3" spans="1:194">
      <c r="A3" s="1019"/>
      <c r="B3" s="1019"/>
      <c r="C3" s="1019"/>
      <c r="D3" s="1019"/>
      <c r="E3" s="1022"/>
      <c r="F3" s="1019"/>
      <c r="G3" s="1019"/>
      <c r="H3" s="1019"/>
      <c r="I3" s="1019"/>
      <c r="J3" s="1019"/>
      <c r="K3" s="1019"/>
      <c r="L3" s="1019"/>
      <c r="M3" s="1019"/>
      <c r="N3" s="1019"/>
      <c r="O3" s="1019"/>
      <c r="P3" s="1019"/>
      <c r="Q3" s="1019"/>
      <c r="R3" s="1019"/>
      <c r="S3" s="1019"/>
      <c r="T3" s="1020"/>
      <c r="U3" s="1020"/>
      <c r="V3" s="1020"/>
      <c r="W3" s="1020"/>
      <c r="X3" s="1019"/>
      <c r="Y3" s="1019"/>
      <c r="Z3" s="1019"/>
      <c r="AA3" s="1019"/>
    </row>
    <row r="4" spans="1:194" ht="26.4">
      <c r="A4" s="1019" t="s">
        <v>7553</v>
      </c>
      <c r="B4" s="1019" t="s">
        <v>716</v>
      </c>
      <c r="C4" s="1019" t="s">
        <v>7554</v>
      </c>
      <c r="D4" s="1019" t="s">
        <v>7555</v>
      </c>
      <c r="E4" s="1022" t="s">
        <v>7556</v>
      </c>
      <c r="F4" s="1019" t="s">
        <v>7557</v>
      </c>
      <c r="G4" s="1019" t="s">
        <v>7558</v>
      </c>
      <c r="H4" s="1019" t="s">
        <v>7559</v>
      </c>
      <c r="I4" s="1019" t="s">
        <v>7560</v>
      </c>
      <c r="J4" s="1019" t="s">
        <v>7561</v>
      </c>
      <c r="K4" s="1019" t="s">
        <v>7562</v>
      </c>
      <c r="L4" s="1019" t="s">
        <v>7563</v>
      </c>
      <c r="M4" s="1019" t="s">
        <v>7564</v>
      </c>
      <c r="N4" s="1019" t="s">
        <v>7565</v>
      </c>
      <c r="O4" s="1019" t="s">
        <v>7566</v>
      </c>
      <c r="P4" s="1019" t="s">
        <v>7567</v>
      </c>
      <c r="Q4" s="1019" t="s">
        <v>7568</v>
      </c>
      <c r="R4" s="1019" t="s">
        <v>7569</v>
      </c>
      <c r="S4" s="1019" t="s">
        <v>7570</v>
      </c>
      <c r="T4" s="1020" t="s">
        <v>7571</v>
      </c>
      <c r="U4" s="1020" t="s">
        <v>7572</v>
      </c>
      <c r="V4" s="1020" t="s">
        <v>7573</v>
      </c>
      <c r="W4" s="1020" t="s">
        <v>7574</v>
      </c>
      <c r="X4" s="1019" t="s">
        <v>7575</v>
      </c>
      <c r="Y4" s="1019" t="s">
        <v>7576</v>
      </c>
      <c r="Z4" s="1019" t="s">
        <v>7577</v>
      </c>
      <c r="AA4" s="1019" t="s">
        <v>7578</v>
      </c>
      <c r="AB4" s="1013" t="s">
        <v>7579</v>
      </c>
      <c r="AC4" s="1013" t="s">
        <v>7580</v>
      </c>
      <c r="AD4" s="1013" t="s">
        <v>7581</v>
      </c>
      <c r="AE4" s="1013" t="s">
        <v>7582</v>
      </c>
      <c r="AF4" s="1013" t="s">
        <v>7583</v>
      </c>
      <c r="AG4" s="1013" t="s">
        <v>7584</v>
      </c>
      <c r="AH4" s="1013" t="s">
        <v>7585</v>
      </c>
      <c r="AI4" s="1013" t="s">
        <v>7586</v>
      </c>
      <c r="AJ4" s="1013" t="s">
        <v>7587</v>
      </c>
      <c r="AK4" s="1013" t="s">
        <v>7588</v>
      </c>
      <c r="AL4" s="1013" t="s">
        <v>7589</v>
      </c>
      <c r="AM4" s="1013" t="s">
        <v>7590</v>
      </c>
      <c r="AN4" s="1013" t="s">
        <v>7591</v>
      </c>
      <c r="AO4" s="1013" t="s">
        <v>7592</v>
      </c>
      <c r="AP4" s="1013" t="s">
        <v>7593</v>
      </c>
      <c r="AQ4" s="1013" t="s">
        <v>7594</v>
      </c>
      <c r="AR4" s="1013" t="s">
        <v>7595</v>
      </c>
      <c r="AS4" s="1013" t="s">
        <v>7596</v>
      </c>
      <c r="AT4" s="1013" t="s">
        <v>7597</v>
      </c>
      <c r="AU4" s="1013" t="s">
        <v>7598</v>
      </c>
      <c r="AV4" s="1013" t="s">
        <v>7599</v>
      </c>
      <c r="AW4" s="1013" t="s">
        <v>7600</v>
      </c>
      <c r="AX4" s="1013" t="s">
        <v>7601</v>
      </c>
      <c r="AY4" s="1013" t="s">
        <v>7602</v>
      </c>
      <c r="AZ4" s="1013" t="s">
        <v>7603</v>
      </c>
      <c r="BA4" s="1013" t="s">
        <v>7604</v>
      </c>
      <c r="BB4" s="1013" t="s">
        <v>7605</v>
      </c>
      <c r="BC4" s="1013" t="s">
        <v>7606</v>
      </c>
      <c r="BD4" s="1013" t="s">
        <v>7607</v>
      </c>
      <c r="BE4" s="1013" t="s">
        <v>7608</v>
      </c>
      <c r="BF4" s="1013" t="s">
        <v>7609</v>
      </c>
      <c r="BG4" s="1013" t="s">
        <v>7610</v>
      </c>
      <c r="BH4" s="1013" t="s">
        <v>7611</v>
      </c>
      <c r="BI4" s="1013" t="s">
        <v>7612</v>
      </c>
      <c r="BJ4" s="1013" t="s">
        <v>7613</v>
      </c>
      <c r="BK4" s="1013" t="s">
        <v>7614</v>
      </c>
      <c r="BL4" s="1013" t="s">
        <v>7615</v>
      </c>
      <c r="BM4" s="1013" t="s">
        <v>7616</v>
      </c>
      <c r="BN4" s="1013" t="s">
        <v>7617</v>
      </c>
      <c r="BO4" s="1013" t="s">
        <v>7618</v>
      </c>
      <c r="BP4" s="1013" t="s">
        <v>7619</v>
      </c>
      <c r="BQ4" s="1013" t="s">
        <v>7620</v>
      </c>
      <c r="BR4" s="1013" t="s">
        <v>7621</v>
      </c>
      <c r="BS4" s="1013" t="s">
        <v>7622</v>
      </c>
      <c r="BT4" s="1013" t="s">
        <v>7623</v>
      </c>
      <c r="BU4" s="1013" t="s">
        <v>7624</v>
      </c>
      <c r="BV4" s="1013" t="s">
        <v>7625</v>
      </c>
      <c r="BW4" s="1013" t="s">
        <v>7626</v>
      </c>
      <c r="BX4" s="1013" t="s">
        <v>7627</v>
      </c>
      <c r="BY4" s="1013" t="s">
        <v>7628</v>
      </c>
      <c r="BZ4" s="1013" t="s">
        <v>7629</v>
      </c>
      <c r="CA4" s="1013" t="s">
        <v>7630</v>
      </c>
      <c r="CB4" s="1013" t="s">
        <v>7631</v>
      </c>
      <c r="CC4" s="1013" t="s">
        <v>7632</v>
      </c>
      <c r="CD4" s="1013" t="s">
        <v>7633</v>
      </c>
      <c r="CE4" s="1013" t="s">
        <v>7634</v>
      </c>
      <c r="CF4" s="1013" t="s">
        <v>7635</v>
      </c>
      <c r="CG4" s="1013" t="s">
        <v>7636</v>
      </c>
      <c r="CH4" s="1013" t="s">
        <v>7637</v>
      </c>
      <c r="CI4" s="1013" t="s">
        <v>7638</v>
      </c>
      <c r="CJ4" s="1013" t="s">
        <v>7639</v>
      </c>
      <c r="CK4" s="1013" t="s">
        <v>7640</v>
      </c>
      <c r="CL4" s="1013" t="s">
        <v>7641</v>
      </c>
      <c r="CM4" s="1013" t="s">
        <v>7642</v>
      </c>
      <c r="CN4" s="1013" t="s">
        <v>7643</v>
      </c>
      <c r="CO4" s="1013" t="s">
        <v>7644</v>
      </c>
      <c r="CP4" s="1013" t="s">
        <v>7645</v>
      </c>
      <c r="CQ4" s="1013" t="s">
        <v>7646</v>
      </c>
      <c r="CR4" s="1013" t="s">
        <v>7647</v>
      </c>
      <c r="CS4" s="1013" t="s">
        <v>7648</v>
      </c>
      <c r="CT4" s="1013" t="s">
        <v>7649</v>
      </c>
      <c r="CU4" s="1013" t="s">
        <v>7650</v>
      </c>
      <c r="CV4" s="1013" t="s">
        <v>7651</v>
      </c>
      <c r="CW4" s="1013" t="s">
        <v>7652</v>
      </c>
      <c r="CX4" s="1013" t="s">
        <v>7653</v>
      </c>
      <c r="CY4" s="1013" t="s">
        <v>7654</v>
      </c>
      <c r="CZ4" s="1013" t="s">
        <v>7655</v>
      </c>
      <c r="DA4" s="1013" t="s">
        <v>7656</v>
      </c>
      <c r="DB4" s="1013" t="s">
        <v>7657</v>
      </c>
      <c r="DC4" s="1013" t="s">
        <v>7658</v>
      </c>
      <c r="DD4" s="1013" t="s">
        <v>7659</v>
      </c>
      <c r="DE4" s="1013" t="s">
        <v>7660</v>
      </c>
      <c r="DF4" s="1013" t="s">
        <v>7661</v>
      </c>
      <c r="DG4" s="1013" t="s">
        <v>7662</v>
      </c>
      <c r="DH4" s="1013" t="s">
        <v>7663</v>
      </c>
      <c r="DI4" s="1013" t="s">
        <v>7664</v>
      </c>
      <c r="DJ4" s="1013" t="s">
        <v>7665</v>
      </c>
      <c r="DK4" s="1013" t="s">
        <v>7666</v>
      </c>
      <c r="DL4" s="1013" t="s">
        <v>7667</v>
      </c>
      <c r="DM4" s="1013" t="s">
        <v>7668</v>
      </c>
      <c r="DN4" s="1013" t="s">
        <v>7669</v>
      </c>
      <c r="DO4" s="1013" t="s">
        <v>7670</v>
      </c>
      <c r="DP4" s="1013" t="s">
        <v>7671</v>
      </c>
      <c r="DQ4" s="1013" t="s">
        <v>7672</v>
      </c>
      <c r="DR4" s="1013" t="s">
        <v>7673</v>
      </c>
      <c r="DS4" s="1013" t="s">
        <v>7674</v>
      </c>
      <c r="DT4" s="1013" t="s">
        <v>7675</v>
      </c>
      <c r="DU4" s="1013" t="s">
        <v>7676</v>
      </c>
      <c r="DV4" s="1013" t="s">
        <v>7677</v>
      </c>
      <c r="DW4" s="1013" t="s">
        <v>7678</v>
      </c>
      <c r="DX4" s="1013" t="s">
        <v>7679</v>
      </c>
      <c r="DY4" s="1013" t="s">
        <v>7680</v>
      </c>
      <c r="DZ4" s="1013" t="s">
        <v>7681</v>
      </c>
      <c r="EA4" s="1013" t="s">
        <v>7682</v>
      </c>
      <c r="EB4" s="1013" t="s">
        <v>7683</v>
      </c>
      <c r="EC4" s="1013" t="s">
        <v>7684</v>
      </c>
      <c r="ED4" s="1013" t="s">
        <v>7685</v>
      </c>
      <c r="EE4" s="1013" t="s">
        <v>7686</v>
      </c>
      <c r="EF4" s="1013" t="s">
        <v>7687</v>
      </c>
      <c r="EG4" s="1013" t="s">
        <v>7688</v>
      </c>
      <c r="EH4" s="1013" t="s">
        <v>7689</v>
      </c>
      <c r="EI4" s="1013" t="s">
        <v>7690</v>
      </c>
      <c r="EJ4" s="1013" t="s">
        <v>7691</v>
      </c>
      <c r="EK4" s="1013" t="s">
        <v>7692</v>
      </c>
      <c r="EL4" s="1013" t="s">
        <v>7693</v>
      </c>
      <c r="EM4" s="1013" t="s">
        <v>7694</v>
      </c>
      <c r="EN4" s="1013" t="s">
        <v>7695</v>
      </c>
      <c r="EO4" s="1013" t="s">
        <v>7696</v>
      </c>
      <c r="EP4" s="1013" t="s">
        <v>7697</v>
      </c>
      <c r="EQ4" s="1013" t="s">
        <v>7698</v>
      </c>
      <c r="ER4" s="1013" t="s">
        <v>7699</v>
      </c>
      <c r="ES4" s="1013" t="s">
        <v>7700</v>
      </c>
      <c r="ET4" s="1013" t="s">
        <v>7701</v>
      </c>
      <c r="EU4" s="1013" t="s">
        <v>7702</v>
      </c>
      <c r="EV4" s="1013" t="s">
        <v>7703</v>
      </c>
      <c r="EW4" s="1013" t="s">
        <v>7704</v>
      </c>
      <c r="EX4" s="1013" t="s">
        <v>7705</v>
      </c>
      <c r="EY4" s="1013" t="s">
        <v>7706</v>
      </c>
      <c r="EZ4" s="1013" t="s">
        <v>7707</v>
      </c>
      <c r="FA4" s="1013" t="s">
        <v>7708</v>
      </c>
      <c r="FB4" s="1013" t="s">
        <v>7709</v>
      </c>
      <c r="FC4" s="1013" t="s">
        <v>7710</v>
      </c>
      <c r="FD4" s="1013" t="s">
        <v>7711</v>
      </c>
      <c r="FE4" s="1013" t="s">
        <v>7712</v>
      </c>
      <c r="FF4" s="1013" t="s">
        <v>7713</v>
      </c>
      <c r="FG4" s="1013" t="s">
        <v>7714</v>
      </c>
      <c r="FH4" s="1013" t="s">
        <v>832</v>
      </c>
      <c r="FI4" s="1013" t="s">
        <v>831</v>
      </c>
      <c r="FJ4" s="1013" t="s">
        <v>830</v>
      </c>
      <c r="FK4" s="1013" t="s">
        <v>835</v>
      </c>
      <c r="FL4" s="1013" t="s">
        <v>7715</v>
      </c>
      <c r="FM4" s="1013" t="s">
        <v>834</v>
      </c>
      <c r="FN4" s="1013" t="s">
        <v>7716</v>
      </c>
      <c r="FO4" s="1013" t="s">
        <v>7717</v>
      </c>
      <c r="FP4" s="1013" t="s">
        <v>7718</v>
      </c>
      <c r="FQ4" s="1013" t="s">
        <v>7719</v>
      </c>
      <c r="FR4" s="1013" t="s">
        <v>7954</v>
      </c>
      <c r="FS4" s="1013" t="s">
        <v>7955</v>
      </c>
      <c r="FT4" s="1013" t="s">
        <v>7956</v>
      </c>
      <c r="FU4" s="1013" t="s">
        <v>7957</v>
      </c>
      <c r="FV4" s="1013" t="s">
        <v>7958</v>
      </c>
      <c r="FW4" s="1013" t="s">
        <v>7959</v>
      </c>
      <c r="FX4" s="1013" t="s">
        <v>7960</v>
      </c>
      <c r="FY4" s="1013" t="s">
        <v>7961</v>
      </c>
      <c r="FZ4" s="1013" t="s">
        <v>7962</v>
      </c>
      <c r="GA4" s="1013" t="s">
        <v>7963</v>
      </c>
      <c r="GB4" s="1013" t="s">
        <v>7964</v>
      </c>
      <c r="GC4" s="1013" t="s">
        <v>7721</v>
      </c>
      <c r="GD4" s="1013" t="s">
        <v>7720</v>
      </c>
      <c r="GE4" s="1013" t="s">
        <v>7965</v>
      </c>
      <c r="GF4" s="1013" t="s">
        <v>7966</v>
      </c>
      <c r="GG4" s="1013" t="s">
        <v>7967</v>
      </c>
      <c r="GH4" s="1013" t="s">
        <v>7968</v>
      </c>
      <c r="GI4" s="1013" t="s">
        <v>7969</v>
      </c>
      <c r="GJ4" s="1013" t="s">
        <v>7970</v>
      </c>
      <c r="GK4" s="1013" t="s">
        <v>7971</v>
      </c>
      <c r="GL4" s="1013" t="s">
        <v>7972</v>
      </c>
    </row>
    <row r="5" spans="1:194" hidden="1">
      <c r="A5" s="1019">
        <v>3</v>
      </c>
      <c r="B5" s="1019" t="s">
        <v>7722</v>
      </c>
      <c r="C5" s="1019">
        <v>18786719</v>
      </c>
      <c r="D5" s="1019" t="s">
        <v>7723</v>
      </c>
      <c r="E5" s="1022" t="s">
        <v>7723</v>
      </c>
      <c r="F5" s="1019" t="s">
        <v>7723</v>
      </c>
      <c r="G5" s="1019" t="s">
        <v>7723</v>
      </c>
      <c r="H5" s="1019" t="s">
        <v>7723</v>
      </c>
      <c r="I5" s="1019" t="s">
        <v>7723</v>
      </c>
      <c r="J5" s="1019" t="s">
        <v>7723</v>
      </c>
      <c r="K5" s="1019">
        <v>44628</v>
      </c>
      <c r="L5" s="1019">
        <v>0.3888888888888889</v>
      </c>
      <c r="M5" s="1019" t="s">
        <v>7866</v>
      </c>
      <c r="N5" s="1019" t="s">
        <v>7724</v>
      </c>
      <c r="O5" s="1019">
        <v>101</v>
      </c>
      <c r="P5" s="1019">
        <v>208</v>
      </c>
      <c r="Q5" s="1019" t="s">
        <v>7723</v>
      </c>
      <c r="R5" s="1019" t="s">
        <v>7727</v>
      </c>
      <c r="S5" s="1019" t="s">
        <v>7724</v>
      </c>
      <c r="T5" s="1020" t="s">
        <v>7724</v>
      </c>
      <c r="U5" s="1020">
        <v>19</v>
      </c>
      <c r="V5" s="1020" t="s">
        <v>7724</v>
      </c>
      <c r="W5" s="1020" t="s">
        <v>7724</v>
      </c>
      <c r="X5" s="1019">
        <v>1</v>
      </c>
      <c r="Y5" s="1019" t="s">
        <v>7724</v>
      </c>
      <c r="Z5" s="1019" t="s">
        <v>7724</v>
      </c>
      <c r="AA5" s="1019" t="s">
        <v>7728</v>
      </c>
      <c r="AB5" s="1013" t="s">
        <v>7735</v>
      </c>
      <c r="AC5" s="1013" t="s">
        <v>7723</v>
      </c>
      <c r="AD5" s="1013" t="s">
        <v>7723</v>
      </c>
      <c r="AE5" s="1013">
        <v>35</v>
      </c>
      <c r="AF5" s="1013" t="s">
        <v>7723</v>
      </c>
      <c r="AG5" s="1013" t="s">
        <v>7723</v>
      </c>
      <c r="AH5" s="1013" t="s">
        <v>7739</v>
      </c>
      <c r="AI5" s="1013" t="s">
        <v>7727</v>
      </c>
      <c r="AJ5" s="1013">
        <v>19</v>
      </c>
      <c r="AK5" s="1013" t="s">
        <v>7724</v>
      </c>
      <c r="AL5" s="1013" t="s">
        <v>7724</v>
      </c>
      <c r="AM5" s="1013">
        <v>1</v>
      </c>
      <c r="AN5" s="1013" t="s">
        <v>7724</v>
      </c>
      <c r="AO5" s="1013" t="s">
        <v>7724</v>
      </c>
      <c r="AP5" s="1013" t="s">
        <v>7725</v>
      </c>
      <c r="AQ5" s="1013" t="s">
        <v>7724</v>
      </c>
      <c r="AR5" s="1013" t="s">
        <v>7724</v>
      </c>
      <c r="AS5" s="1013" t="s">
        <v>7724</v>
      </c>
      <c r="AT5" s="1013" t="s">
        <v>7724</v>
      </c>
      <c r="AU5" s="1013" t="s">
        <v>7724</v>
      </c>
      <c r="AV5" s="1013" t="s">
        <v>7724</v>
      </c>
      <c r="AW5" s="1013" t="s">
        <v>7724</v>
      </c>
      <c r="AX5" s="1013">
        <v>12</v>
      </c>
      <c r="AY5" s="1013">
        <v>1</v>
      </c>
      <c r="AZ5" s="1013">
        <v>4</v>
      </c>
      <c r="BA5" s="1013">
        <v>4</v>
      </c>
      <c r="BB5" s="1013">
        <v>1</v>
      </c>
      <c r="BC5" s="1013">
        <v>1</v>
      </c>
      <c r="BD5" s="1013">
        <v>5</v>
      </c>
      <c r="BE5" s="1023">
        <v>0.40069444444444446</v>
      </c>
      <c r="BF5" s="1013" t="s">
        <v>7782</v>
      </c>
      <c r="BG5" s="1023">
        <v>0.40763888888888888</v>
      </c>
      <c r="BH5" s="1024">
        <v>44628</v>
      </c>
      <c r="BI5" s="1013" t="s">
        <v>7727</v>
      </c>
      <c r="BJ5" s="1013" t="s">
        <v>7730</v>
      </c>
      <c r="BK5" s="1013">
        <v>2469</v>
      </c>
      <c r="BL5" s="1013" t="s">
        <v>7724</v>
      </c>
      <c r="BM5" s="1013" t="s">
        <v>7724</v>
      </c>
      <c r="BN5" s="1013">
        <v>113</v>
      </c>
      <c r="BO5" s="1013">
        <v>8</v>
      </c>
      <c r="BP5" s="1013">
        <v>2</v>
      </c>
      <c r="BQ5" s="1013">
        <v>1</v>
      </c>
      <c r="BR5" s="1013">
        <v>24</v>
      </c>
      <c r="BS5" s="1013">
        <v>33</v>
      </c>
      <c r="BT5" s="1013">
        <v>54</v>
      </c>
      <c r="BU5" s="1013">
        <v>1</v>
      </c>
      <c r="BV5" s="1013">
        <v>5</v>
      </c>
      <c r="BW5" s="1013">
        <v>1</v>
      </c>
      <c r="BX5" s="1013">
        <v>21</v>
      </c>
      <c r="BY5" s="1013">
        <v>21</v>
      </c>
      <c r="BZ5" s="1013">
        <v>101</v>
      </c>
      <c r="CA5" s="1013">
        <v>208</v>
      </c>
      <c r="CB5" s="1013">
        <v>29.733094999999999</v>
      </c>
      <c r="CC5" s="1013">
        <v>-95.381282999999996</v>
      </c>
      <c r="CD5" s="1013" t="s">
        <v>7724</v>
      </c>
      <c r="CE5" s="1013" t="s">
        <v>7724</v>
      </c>
      <c r="CF5" s="1013" t="s">
        <v>7724</v>
      </c>
      <c r="CG5" s="1013" t="s">
        <v>7724</v>
      </c>
      <c r="CH5" s="1013" t="s">
        <v>7732</v>
      </c>
      <c r="CI5" s="1013">
        <v>4399</v>
      </c>
      <c r="CJ5" s="1013" t="s">
        <v>7724</v>
      </c>
      <c r="CK5" s="1013" t="s">
        <v>7724</v>
      </c>
      <c r="CL5" s="1013" t="s">
        <v>7724</v>
      </c>
      <c r="CM5" s="1013" t="s">
        <v>7724</v>
      </c>
      <c r="CN5" s="1013" t="s">
        <v>7724</v>
      </c>
      <c r="CO5" s="1013" t="s">
        <v>7724</v>
      </c>
      <c r="CP5" s="1013" t="s">
        <v>7724</v>
      </c>
      <c r="CQ5" s="1013" t="s">
        <v>7724</v>
      </c>
      <c r="CR5" s="1013" t="s">
        <v>7731</v>
      </c>
      <c r="CS5" s="1013" t="s">
        <v>7724</v>
      </c>
      <c r="CT5" s="1013" t="s">
        <v>7724</v>
      </c>
      <c r="CU5" s="1013" t="s">
        <v>7724</v>
      </c>
      <c r="CV5" s="1013" t="s">
        <v>7724</v>
      </c>
      <c r="CW5" s="1013" t="s">
        <v>7727</v>
      </c>
      <c r="CX5" s="1013" t="s">
        <v>7723</v>
      </c>
      <c r="CY5" s="1013" t="s">
        <v>7723</v>
      </c>
      <c r="CZ5" s="1013">
        <v>3</v>
      </c>
      <c r="DA5" s="1013">
        <v>9</v>
      </c>
      <c r="DB5" s="1013" t="s">
        <v>7727</v>
      </c>
      <c r="DC5" s="1013" t="s">
        <v>7737</v>
      </c>
      <c r="DD5" s="1013" t="s">
        <v>7724</v>
      </c>
      <c r="DE5" s="1013" t="s">
        <v>7724</v>
      </c>
      <c r="DF5" s="1013" t="s">
        <v>7724</v>
      </c>
      <c r="DG5" s="1013" t="s">
        <v>7724</v>
      </c>
      <c r="DH5" s="1013" t="s">
        <v>7724</v>
      </c>
      <c r="DI5" s="1013" t="s">
        <v>7724</v>
      </c>
      <c r="DJ5" s="1013" t="s">
        <v>7724</v>
      </c>
      <c r="DK5" s="1013" t="s">
        <v>7724</v>
      </c>
      <c r="DL5" s="1013" t="s">
        <v>7724</v>
      </c>
      <c r="DM5" s="1013" t="s">
        <v>7724</v>
      </c>
      <c r="DN5" s="1013" t="s">
        <v>7724</v>
      </c>
      <c r="DO5" s="1013" t="s">
        <v>7724</v>
      </c>
      <c r="DP5" s="1013" t="s">
        <v>7724</v>
      </c>
      <c r="DQ5" s="1013" t="s">
        <v>7724</v>
      </c>
      <c r="DR5" s="1013" t="s">
        <v>7724</v>
      </c>
      <c r="DS5" s="1013" t="s">
        <v>7724</v>
      </c>
      <c r="DT5" s="1013" t="s">
        <v>7724</v>
      </c>
      <c r="DU5" s="1013" t="s">
        <v>7724</v>
      </c>
      <c r="DV5" s="1013" t="s">
        <v>7724</v>
      </c>
      <c r="DW5" s="1013" t="s">
        <v>7724</v>
      </c>
      <c r="DX5" s="1013" t="s">
        <v>7724</v>
      </c>
      <c r="DY5" s="1013" t="s">
        <v>7724</v>
      </c>
      <c r="DZ5" s="1013" t="s">
        <v>7724</v>
      </c>
      <c r="EA5" s="1013" t="s">
        <v>7724</v>
      </c>
      <c r="EB5" s="1013" t="s">
        <v>7724</v>
      </c>
      <c r="EC5" s="1013" t="s">
        <v>7724</v>
      </c>
      <c r="ED5" s="1013" t="s">
        <v>7724</v>
      </c>
      <c r="EE5" s="1013" t="s">
        <v>7724</v>
      </c>
      <c r="EF5" s="1013" t="s">
        <v>7724</v>
      </c>
      <c r="EG5" s="1013" t="s">
        <v>7724</v>
      </c>
      <c r="EH5" s="1013" t="s">
        <v>7724</v>
      </c>
      <c r="EI5" s="1013" t="s">
        <v>7724</v>
      </c>
      <c r="EJ5" s="1013" t="s">
        <v>7724</v>
      </c>
      <c r="EK5" s="1013" t="s">
        <v>7724</v>
      </c>
      <c r="EL5" s="1013" t="s">
        <v>7724</v>
      </c>
      <c r="EM5" s="1013" t="s">
        <v>7724</v>
      </c>
      <c r="EN5" s="1013" t="s">
        <v>7724</v>
      </c>
      <c r="EO5" s="1013" t="s">
        <v>7724</v>
      </c>
      <c r="EP5" s="1013" t="s">
        <v>7724</v>
      </c>
      <c r="EQ5" s="1013" t="s">
        <v>7724</v>
      </c>
      <c r="ER5" s="1013" t="s">
        <v>7724</v>
      </c>
      <c r="ES5" s="1013" t="s">
        <v>7724</v>
      </c>
      <c r="ET5" s="1013" t="s">
        <v>7724</v>
      </c>
      <c r="EU5" s="1013" t="s">
        <v>7724</v>
      </c>
      <c r="EV5" s="1013" t="s">
        <v>7724</v>
      </c>
      <c r="EW5" s="1013" t="s">
        <v>7724</v>
      </c>
      <c r="EX5" s="1013" t="s">
        <v>7724</v>
      </c>
      <c r="EY5" s="1013" t="s">
        <v>7724</v>
      </c>
      <c r="EZ5" s="1013" t="s">
        <v>7724</v>
      </c>
      <c r="FA5" s="1013" t="s">
        <v>7724</v>
      </c>
      <c r="FB5" s="1013" t="s">
        <v>7724</v>
      </c>
      <c r="FC5" s="1013" t="s">
        <v>7724</v>
      </c>
      <c r="FD5" s="1013" t="s">
        <v>7724</v>
      </c>
      <c r="FE5" s="1013" t="s">
        <v>7724</v>
      </c>
      <c r="FF5" s="1013" t="s">
        <v>7724</v>
      </c>
      <c r="FG5" s="1013">
        <v>0</v>
      </c>
      <c r="FH5" s="1013">
        <v>0</v>
      </c>
      <c r="FI5" s="1013">
        <v>3</v>
      </c>
      <c r="FJ5" s="1013">
        <v>0</v>
      </c>
      <c r="FK5" s="1013">
        <v>0</v>
      </c>
      <c r="FL5" s="1013">
        <v>3</v>
      </c>
      <c r="FM5" s="1013">
        <v>0</v>
      </c>
      <c r="FN5" s="1013">
        <v>15</v>
      </c>
      <c r="FO5" s="1013">
        <v>29</v>
      </c>
      <c r="FP5" s="1013">
        <v>6</v>
      </c>
      <c r="FQ5" s="1013" t="s">
        <v>7724</v>
      </c>
      <c r="FR5" s="1013" t="s">
        <v>7724</v>
      </c>
      <c r="FS5" s="1013" t="s">
        <v>7724</v>
      </c>
      <c r="FT5" s="1013" t="s">
        <v>7724</v>
      </c>
      <c r="FU5" s="1013" t="s">
        <v>7724</v>
      </c>
      <c r="FV5" s="1013" t="s">
        <v>7724</v>
      </c>
      <c r="FW5" s="1013" t="s">
        <v>7724</v>
      </c>
      <c r="FX5" s="1013" t="s">
        <v>7724</v>
      </c>
      <c r="FY5" s="1013" t="s">
        <v>7724</v>
      </c>
      <c r="FZ5" s="1013" t="s">
        <v>7724</v>
      </c>
      <c r="GA5" s="1013" t="s">
        <v>7724</v>
      </c>
      <c r="GB5" s="1013" t="s">
        <v>7724</v>
      </c>
      <c r="GC5" s="1013">
        <v>2022</v>
      </c>
      <c r="GD5" s="1013" t="s">
        <v>1407</v>
      </c>
      <c r="GE5" s="1013">
        <v>2</v>
      </c>
      <c r="GF5" s="1013" t="s">
        <v>1407</v>
      </c>
      <c r="GG5" s="1013" t="s">
        <v>1407</v>
      </c>
      <c r="GH5" s="1013" t="s">
        <v>7973</v>
      </c>
      <c r="GI5" s="1013" t="s">
        <v>7974</v>
      </c>
      <c r="GJ5" s="1013" t="s">
        <v>7974</v>
      </c>
      <c r="GK5" s="1013" t="s">
        <v>7974</v>
      </c>
      <c r="GL5" s="1013" t="s">
        <v>7974</v>
      </c>
    </row>
    <row r="6" spans="1:194" hidden="1">
      <c r="A6" s="1019">
        <v>4</v>
      </c>
      <c r="B6" s="1019" t="s">
        <v>7722</v>
      </c>
      <c r="C6" s="1019">
        <v>18820446</v>
      </c>
      <c r="D6" s="1019" t="s">
        <v>7723</v>
      </c>
      <c r="E6" s="1022" t="s">
        <v>7723</v>
      </c>
      <c r="F6" s="1019" t="s">
        <v>7723</v>
      </c>
      <c r="G6" s="1019" t="s">
        <v>7723</v>
      </c>
      <c r="H6" s="1019" t="s">
        <v>7723</v>
      </c>
      <c r="I6" s="1019" t="s">
        <v>7723</v>
      </c>
      <c r="J6" s="1019" t="s">
        <v>7723</v>
      </c>
      <c r="K6" s="1019">
        <v>44647</v>
      </c>
      <c r="L6" s="1019">
        <v>0.62430555555555556</v>
      </c>
      <c r="M6" s="1019" t="s">
        <v>7867</v>
      </c>
      <c r="N6" s="1019" t="s">
        <v>7724</v>
      </c>
      <c r="O6" s="1019">
        <v>101</v>
      </c>
      <c r="P6" s="1019">
        <v>208</v>
      </c>
      <c r="Q6" s="1019" t="s">
        <v>7723</v>
      </c>
      <c r="R6" s="1019" t="s">
        <v>7727</v>
      </c>
      <c r="S6" s="1019" t="s">
        <v>7724</v>
      </c>
      <c r="T6" s="1020" t="s">
        <v>7724</v>
      </c>
      <c r="U6" s="1020">
        <v>19</v>
      </c>
      <c r="V6" s="1020" t="s">
        <v>7724</v>
      </c>
      <c r="W6" s="1020" t="s">
        <v>7724</v>
      </c>
      <c r="X6" s="1019">
        <v>1</v>
      </c>
      <c r="Y6" s="1019">
        <v>4400</v>
      </c>
      <c r="Z6" s="1019" t="s">
        <v>7724</v>
      </c>
      <c r="AA6" s="1019" t="s">
        <v>7745</v>
      </c>
      <c r="AB6" s="1013" t="s">
        <v>7726</v>
      </c>
      <c r="AC6" s="1013" t="s">
        <v>7723</v>
      </c>
      <c r="AD6" s="1013" t="s">
        <v>7723</v>
      </c>
      <c r="AE6" s="1013">
        <v>30</v>
      </c>
      <c r="AF6" s="1013" t="s">
        <v>7723</v>
      </c>
      <c r="AG6" s="1013" t="s">
        <v>7723</v>
      </c>
      <c r="AH6" s="1013" t="s">
        <v>7868</v>
      </c>
      <c r="AI6" s="1013" t="s">
        <v>7727</v>
      </c>
      <c r="AJ6" s="1013">
        <v>19</v>
      </c>
      <c r="AK6" s="1013" t="s">
        <v>7724</v>
      </c>
      <c r="AL6" s="1013" t="s">
        <v>7724</v>
      </c>
      <c r="AM6" s="1013">
        <v>1</v>
      </c>
      <c r="AN6" s="1013">
        <v>1200</v>
      </c>
      <c r="AO6" s="1013" t="s">
        <v>7724</v>
      </c>
      <c r="AP6" s="1013" t="s">
        <v>7725</v>
      </c>
      <c r="AQ6" s="1013" t="s">
        <v>7726</v>
      </c>
      <c r="AR6" s="1013" t="s">
        <v>7724</v>
      </c>
      <c r="AS6" s="1013" t="s">
        <v>7724</v>
      </c>
      <c r="AT6" s="1013" t="s">
        <v>7724</v>
      </c>
      <c r="AU6" s="1013" t="s">
        <v>7724</v>
      </c>
      <c r="AV6" s="1013" t="s">
        <v>7724</v>
      </c>
      <c r="AW6" s="1013" t="s">
        <v>7724</v>
      </c>
      <c r="AX6" s="1013">
        <v>11</v>
      </c>
      <c r="AY6" s="1013">
        <v>1</v>
      </c>
      <c r="AZ6" s="1013">
        <v>4</v>
      </c>
      <c r="BA6" s="1013">
        <v>2</v>
      </c>
      <c r="BB6" s="1013">
        <v>1</v>
      </c>
      <c r="BC6" s="1013">
        <v>1</v>
      </c>
      <c r="BD6" s="1013">
        <v>8</v>
      </c>
      <c r="BE6" s="1023">
        <v>0.62569444444444444</v>
      </c>
      <c r="BF6" s="1013" t="s">
        <v>7736</v>
      </c>
      <c r="BG6" s="1023">
        <v>0.62986111111111109</v>
      </c>
      <c r="BH6" s="1024">
        <v>44647</v>
      </c>
      <c r="BI6" s="1013" t="s">
        <v>7727</v>
      </c>
      <c r="BJ6" s="1013" t="s">
        <v>7730</v>
      </c>
      <c r="BK6" s="1013">
        <v>2469</v>
      </c>
      <c r="BL6" s="1013" t="s">
        <v>7724</v>
      </c>
      <c r="BM6" s="1013" t="s">
        <v>7724</v>
      </c>
      <c r="BN6" s="1013">
        <v>113</v>
      </c>
      <c r="BO6" s="1013">
        <v>8</v>
      </c>
      <c r="BP6" s="1013">
        <v>2</v>
      </c>
      <c r="BQ6" s="1013">
        <v>1</v>
      </c>
      <c r="BR6" s="1013">
        <v>10</v>
      </c>
      <c r="BS6" s="1013">
        <v>64</v>
      </c>
      <c r="BT6" s="1013">
        <v>54</v>
      </c>
      <c r="BU6" s="1013">
        <v>1</v>
      </c>
      <c r="BV6" s="1013">
        <v>5</v>
      </c>
      <c r="BW6" s="1013">
        <v>1</v>
      </c>
      <c r="BX6" s="1013">
        <v>21</v>
      </c>
      <c r="BY6" s="1013">
        <v>21</v>
      </c>
      <c r="BZ6" s="1013">
        <v>101</v>
      </c>
      <c r="CA6" s="1013">
        <v>208</v>
      </c>
      <c r="CB6" s="1013">
        <v>29.732565000000001</v>
      </c>
      <c r="CC6" s="1013">
        <v>-95.380463000000006</v>
      </c>
      <c r="CD6" s="1013" t="s">
        <v>7724</v>
      </c>
      <c r="CE6" s="1013" t="s">
        <v>7724</v>
      </c>
      <c r="CF6" s="1013" t="s">
        <v>7724</v>
      </c>
      <c r="CG6" s="1013" t="s">
        <v>7724</v>
      </c>
      <c r="CH6" s="1013" t="s">
        <v>7746</v>
      </c>
      <c r="CI6" s="1013" t="s">
        <v>7724</v>
      </c>
      <c r="CJ6" s="1013" t="s">
        <v>7724</v>
      </c>
      <c r="CK6" s="1013" t="s">
        <v>7724</v>
      </c>
      <c r="CL6" s="1013" t="s">
        <v>7724</v>
      </c>
      <c r="CM6" s="1013" t="s">
        <v>7724</v>
      </c>
      <c r="CN6" s="1013" t="s">
        <v>7724</v>
      </c>
      <c r="CO6" s="1013" t="s">
        <v>7724</v>
      </c>
      <c r="CP6" s="1013" t="s">
        <v>7724</v>
      </c>
      <c r="CQ6" s="1013" t="s">
        <v>7724</v>
      </c>
      <c r="CR6" s="1013" t="s">
        <v>7731</v>
      </c>
      <c r="CS6" s="1013" t="s">
        <v>7724</v>
      </c>
      <c r="CT6" s="1013" t="s">
        <v>7724</v>
      </c>
      <c r="CU6" s="1013" t="s">
        <v>7724</v>
      </c>
      <c r="CV6" s="1013" t="s">
        <v>7724</v>
      </c>
      <c r="CW6" s="1013" t="s">
        <v>7727</v>
      </c>
      <c r="CX6" s="1013" t="s">
        <v>7723</v>
      </c>
      <c r="CY6" s="1013" t="s">
        <v>7723</v>
      </c>
      <c r="CZ6" s="1013">
        <v>5</v>
      </c>
      <c r="DA6" s="1013">
        <v>9</v>
      </c>
      <c r="DB6" s="1013" t="s">
        <v>7727</v>
      </c>
      <c r="DC6" s="1013" t="s">
        <v>7747</v>
      </c>
      <c r="DD6" s="1013" t="s">
        <v>7724</v>
      </c>
      <c r="DE6" s="1013" t="s">
        <v>7724</v>
      </c>
      <c r="DF6" s="1013" t="s">
        <v>7724</v>
      </c>
      <c r="DG6" s="1013" t="s">
        <v>7724</v>
      </c>
      <c r="DH6" s="1013" t="s">
        <v>7724</v>
      </c>
      <c r="DI6" s="1013" t="s">
        <v>7724</v>
      </c>
      <c r="DJ6" s="1013" t="s">
        <v>7724</v>
      </c>
      <c r="DK6" s="1013" t="s">
        <v>7724</v>
      </c>
      <c r="DL6" s="1013" t="s">
        <v>7724</v>
      </c>
      <c r="DM6" s="1013" t="s">
        <v>7724</v>
      </c>
      <c r="DN6" s="1013" t="s">
        <v>7724</v>
      </c>
      <c r="DO6" s="1013" t="s">
        <v>7724</v>
      </c>
      <c r="DP6" s="1013" t="s">
        <v>7724</v>
      </c>
      <c r="DQ6" s="1013" t="s">
        <v>7724</v>
      </c>
      <c r="DR6" s="1013" t="s">
        <v>7724</v>
      </c>
      <c r="DS6" s="1013" t="s">
        <v>7724</v>
      </c>
      <c r="DT6" s="1013" t="s">
        <v>7724</v>
      </c>
      <c r="DU6" s="1013" t="s">
        <v>7724</v>
      </c>
      <c r="DV6" s="1013" t="s">
        <v>7724</v>
      </c>
      <c r="DW6" s="1013" t="s">
        <v>7724</v>
      </c>
      <c r="DX6" s="1013" t="s">
        <v>7724</v>
      </c>
      <c r="DY6" s="1013" t="s">
        <v>7724</v>
      </c>
      <c r="DZ6" s="1013" t="s">
        <v>7724</v>
      </c>
      <c r="EA6" s="1013" t="s">
        <v>7724</v>
      </c>
      <c r="EB6" s="1013" t="s">
        <v>7724</v>
      </c>
      <c r="EC6" s="1013" t="s">
        <v>7724</v>
      </c>
      <c r="ED6" s="1013" t="s">
        <v>7724</v>
      </c>
      <c r="EE6" s="1013" t="s">
        <v>7724</v>
      </c>
      <c r="EF6" s="1013" t="s">
        <v>7724</v>
      </c>
      <c r="EG6" s="1013" t="s">
        <v>7724</v>
      </c>
      <c r="EH6" s="1013" t="s">
        <v>7724</v>
      </c>
      <c r="EI6" s="1013" t="s">
        <v>7724</v>
      </c>
      <c r="EJ6" s="1013" t="s">
        <v>7724</v>
      </c>
      <c r="EK6" s="1013" t="s">
        <v>7724</v>
      </c>
      <c r="EL6" s="1013" t="s">
        <v>7724</v>
      </c>
      <c r="EM6" s="1013" t="s">
        <v>7724</v>
      </c>
      <c r="EN6" s="1013" t="s">
        <v>7724</v>
      </c>
      <c r="EO6" s="1013" t="s">
        <v>7724</v>
      </c>
      <c r="EP6" s="1013" t="s">
        <v>7724</v>
      </c>
      <c r="EQ6" s="1013" t="s">
        <v>7724</v>
      </c>
      <c r="ER6" s="1013" t="s">
        <v>7724</v>
      </c>
      <c r="ES6" s="1013" t="s">
        <v>7724</v>
      </c>
      <c r="ET6" s="1013" t="s">
        <v>7724</v>
      </c>
      <c r="EU6" s="1013" t="s">
        <v>7724</v>
      </c>
      <c r="EV6" s="1013" t="s">
        <v>7724</v>
      </c>
      <c r="EW6" s="1013" t="s">
        <v>7724</v>
      </c>
      <c r="EX6" s="1013" t="s">
        <v>7724</v>
      </c>
      <c r="EY6" s="1013" t="s">
        <v>7724</v>
      </c>
      <c r="EZ6" s="1013" t="s">
        <v>7724</v>
      </c>
      <c r="FA6" s="1013" t="s">
        <v>7724</v>
      </c>
      <c r="FB6" s="1013" t="s">
        <v>7724</v>
      </c>
      <c r="FC6" s="1013" t="s">
        <v>7724</v>
      </c>
      <c r="FD6" s="1013" t="s">
        <v>7724</v>
      </c>
      <c r="FE6" s="1013" t="s">
        <v>7724</v>
      </c>
      <c r="FF6" s="1013" t="s">
        <v>7724</v>
      </c>
      <c r="FG6" s="1013">
        <v>0</v>
      </c>
      <c r="FH6" s="1013">
        <v>0</v>
      </c>
      <c r="FI6" s="1013">
        <v>0</v>
      </c>
      <c r="FJ6" s="1013">
        <v>2</v>
      </c>
      <c r="FK6" s="1013">
        <v>0</v>
      </c>
      <c r="FL6" s="1013">
        <v>0</v>
      </c>
      <c r="FM6" s="1013">
        <v>0</v>
      </c>
      <c r="FN6" s="1013">
        <v>15</v>
      </c>
      <c r="FO6" s="1013">
        <v>29</v>
      </c>
      <c r="FP6" s="1013">
        <v>6</v>
      </c>
      <c r="FQ6" s="1013" t="s">
        <v>7724</v>
      </c>
      <c r="FR6" s="1013" t="s">
        <v>7724</v>
      </c>
      <c r="FS6" s="1013" t="s">
        <v>7724</v>
      </c>
      <c r="FT6" s="1013" t="s">
        <v>7724</v>
      </c>
      <c r="FU6" s="1013" t="s">
        <v>7724</v>
      </c>
      <c r="FV6" s="1013" t="s">
        <v>7724</v>
      </c>
      <c r="FW6" s="1013" t="s">
        <v>7724</v>
      </c>
      <c r="FX6" s="1013" t="s">
        <v>7724</v>
      </c>
      <c r="FY6" s="1013" t="s">
        <v>7724</v>
      </c>
      <c r="FZ6" s="1013" t="s">
        <v>7724</v>
      </c>
      <c r="GA6" s="1013" t="s">
        <v>7724</v>
      </c>
      <c r="GB6" s="1013" t="s">
        <v>7724</v>
      </c>
      <c r="GC6" s="1013">
        <v>2022</v>
      </c>
      <c r="GD6" s="1013" t="s">
        <v>1404</v>
      </c>
      <c r="GE6" s="1013">
        <v>2</v>
      </c>
      <c r="GF6" s="1013" t="s">
        <v>1407</v>
      </c>
      <c r="GG6" s="1013" t="s">
        <v>1407</v>
      </c>
      <c r="GH6" s="1013" t="s">
        <v>7975</v>
      </c>
      <c r="GI6" s="1013" t="s">
        <v>7974</v>
      </c>
      <c r="GJ6" s="1013" t="s">
        <v>7974</v>
      </c>
      <c r="GK6" s="1013" t="s">
        <v>7974</v>
      </c>
      <c r="GL6" s="1013" t="s">
        <v>7974</v>
      </c>
    </row>
    <row r="7" spans="1:194" hidden="1">
      <c r="A7" s="1019">
        <v>9</v>
      </c>
      <c r="B7" s="1019" t="s">
        <v>7722</v>
      </c>
      <c r="C7" s="1019">
        <v>18876791</v>
      </c>
      <c r="D7" s="1019" t="s">
        <v>7723</v>
      </c>
      <c r="E7" s="1022" t="s">
        <v>7723</v>
      </c>
      <c r="F7" s="1019" t="s">
        <v>7723</v>
      </c>
      <c r="G7" s="1019" t="s">
        <v>7723</v>
      </c>
      <c r="H7" s="1019" t="s">
        <v>7723</v>
      </c>
      <c r="I7" s="1019" t="s">
        <v>7723</v>
      </c>
      <c r="J7" s="1019" t="s">
        <v>7723</v>
      </c>
      <c r="K7" s="1019">
        <v>44679</v>
      </c>
      <c r="L7" s="1019">
        <v>9.0277777777777769E-3</v>
      </c>
      <c r="M7" s="1019" t="s">
        <v>7870</v>
      </c>
      <c r="N7" s="1019" t="s">
        <v>7724</v>
      </c>
      <c r="O7" s="1019">
        <v>101</v>
      </c>
      <c r="P7" s="1019">
        <v>208</v>
      </c>
      <c r="Q7" s="1019" t="s">
        <v>7723</v>
      </c>
      <c r="R7" s="1019" t="s">
        <v>7727</v>
      </c>
      <c r="S7" s="1019" t="s">
        <v>7724</v>
      </c>
      <c r="T7" s="1020" t="s">
        <v>7724</v>
      </c>
      <c r="U7" s="1020">
        <v>19</v>
      </c>
      <c r="V7" s="1020" t="s">
        <v>7724</v>
      </c>
      <c r="W7" s="1020" t="s">
        <v>7724</v>
      </c>
      <c r="X7" s="1019">
        <v>1</v>
      </c>
      <c r="Y7" s="1019">
        <v>4300</v>
      </c>
      <c r="Z7" s="1019" t="s">
        <v>7724</v>
      </c>
      <c r="AA7" s="1019" t="s">
        <v>7745</v>
      </c>
      <c r="AB7" s="1013" t="s">
        <v>7726</v>
      </c>
      <c r="AC7" s="1013" t="s">
        <v>7723</v>
      </c>
      <c r="AD7" s="1013" t="s">
        <v>7723</v>
      </c>
      <c r="AE7" s="1013">
        <v>30</v>
      </c>
      <c r="AF7" s="1013" t="s">
        <v>7723</v>
      </c>
      <c r="AG7" s="1013" t="s">
        <v>7723</v>
      </c>
      <c r="AH7" s="1013" t="s">
        <v>7779</v>
      </c>
      <c r="AI7" s="1013" t="s">
        <v>7727</v>
      </c>
      <c r="AJ7" s="1013">
        <v>19</v>
      </c>
      <c r="AK7" s="1013" t="s">
        <v>7724</v>
      </c>
      <c r="AL7" s="1013" t="s">
        <v>7724</v>
      </c>
      <c r="AM7" s="1013">
        <v>1</v>
      </c>
      <c r="AN7" s="1013">
        <v>1200</v>
      </c>
      <c r="AO7" s="1013" t="s">
        <v>7724</v>
      </c>
      <c r="AP7" s="1013" t="s">
        <v>7725</v>
      </c>
      <c r="AQ7" s="1013" t="s">
        <v>7724</v>
      </c>
      <c r="AR7" s="1013" t="s">
        <v>7724</v>
      </c>
      <c r="AS7" s="1013" t="s">
        <v>7724</v>
      </c>
      <c r="AT7" s="1013" t="s">
        <v>7724</v>
      </c>
      <c r="AU7" s="1013" t="s">
        <v>7724</v>
      </c>
      <c r="AV7" s="1013" t="s">
        <v>7724</v>
      </c>
      <c r="AW7" s="1013" t="s">
        <v>7724</v>
      </c>
      <c r="AX7" s="1013">
        <v>11</v>
      </c>
      <c r="AY7" s="1013">
        <v>4</v>
      </c>
      <c r="AZ7" s="1013">
        <v>4</v>
      </c>
      <c r="BA7" s="1013">
        <v>3</v>
      </c>
      <c r="BB7" s="1013">
        <v>1</v>
      </c>
      <c r="BC7" s="1013">
        <v>1</v>
      </c>
      <c r="BD7" s="1013">
        <v>8</v>
      </c>
      <c r="BE7" s="1023">
        <v>3.7499999999999999E-2</v>
      </c>
      <c r="BF7" s="1013" t="s">
        <v>7729</v>
      </c>
      <c r="BG7" s="1023">
        <v>4.3749999999999997E-2</v>
      </c>
      <c r="BH7" s="1024">
        <v>44679</v>
      </c>
      <c r="BI7" s="1013" t="s">
        <v>7727</v>
      </c>
      <c r="BJ7" s="1013" t="s">
        <v>7730</v>
      </c>
      <c r="BK7" s="1013">
        <v>2469</v>
      </c>
      <c r="BL7" s="1013" t="s">
        <v>7724</v>
      </c>
      <c r="BM7" s="1013" t="s">
        <v>7724</v>
      </c>
      <c r="BN7" s="1013">
        <v>113</v>
      </c>
      <c r="BO7" s="1013">
        <v>8</v>
      </c>
      <c r="BP7" s="1013">
        <v>2</v>
      </c>
      <c r="BQ7" s="1013">
        <v>1</v>
      </c>
      <c r="BR7" s="1013">
        <v>10</v>
      </c>
      <c r="BS7" s="1013">
        <v>64</v>
      </c>
      <c r="BT7" s="1013">
        <v>54</v>
      </c>
      <c r="BU7" s="1013">
        <v>1</v>
      </c>
      <c r="BV7" s="1013">
        <v>5</v>
      </c>
      <c r="BW7" s="1013">
        <v>1</v>
      </c>
      <c r="BX7" s="1013">
        <v>21</v>
      </c>
      <c r="BY7" s="1013">
        <v>21</v>
      </c>
      <c r="BZ7" s="1013">
        <v>101</v>
      </c>
      <c r="CA7" s="1013">
        <v>208</v>
      </c>
      <c r="CB7" s="1013">
        <v>29.732565000000001</v>
      </c>
      <c r="CC7" s="1013">
        <v>-95.380463000000006</v>
      </c>
      <c r="CD7" s="1013" t="s">
        <v>7724</v>
      </c>
      <c r="CE7" s="1013" t="s">
        <v>7724</v>
      </c>
      <c r="CF7" s="1013" t="s">
        <v>7724</v>
      </c>
      <c r="CG7" s="1013" t="s">
        <v>7724</v>
      </c>
      <c r="CH7" s="1013" t="s">
        <v>7746</v>
      </c>
      <c r="CI7" s="1013" t="s">
        <v>7724</v>
      </c>
      <c r="CJ7" s="1013" t="s">
        <v>7724</v>
      </c>
      <c r="CK7" s="1013" t="s">
        <v>7724</v>
      </c>
      <c r="CL7" s="1013" t="s">
        <v>7724</v>
      </c>
      <c r="CM7" s="1013" t="s">
        <v>7724</v>
      </c>
      <c r="CN7" s="1013" t="s">
        <v>7724</v>
      </c>
      <c r="CO7" s="1013" t="s">
        <v>7724</v>
      </c>
      <c r="CP7" s="1013" t="s">
        <v>7724</v>
      </c>
      <c r="CQ7" s="1013" t="s">
        <v>7724</v>
      </c>
      <c r="CR7" s="1013" t="s">
        <v>7731</v>
      </c>
      <c r="CS7" s="1013" t="s">
        <v>7724</v>
      </c>
      <c r="CT7" s="1013" t="s">
        <v>7724</v>
      </c>
      <c r="CU7" s="1013" t="s">
        <v>7724</v>
      </c>
      <c r="CV7" s="1013" t="s">
        <v>7724</v>
      </c>
      <c r="CW7" s="1013" t="s">
        <v>7727</v>
      </c>
      <c r="CX7" s="1013" t="s">
        <v>7723</v>
      </c>
      <c r="CY7" s="1013" t="s">
        <v>7723</v>
      </c>
      <c r="CZ7" s="1013">
        <v>3</v>
      </c>
      <c r="DA7" s="1013">
        <v>9</v>
      </c>
      <c r="DB7" s="1013" t="s">
        <v>7727</v>
      </c>
      <c r="DC7" s="1013" t="s">
        <v>7740</v>
      </c>
      <c r="DD7" s="1013" t="s">
        <v>7724</v>
      </c>
      <c r="DE7" s="1013" t="s">
        <v>7724</v>
      </c>
      <c r="DF7" s="1013" t="s">
        <v>7724</v>
      </c>
      <c r="DG7" s="1013" t="s">
        <v>7724</v>
      </c>
      <c r="DH7" s="1013" t="s">
        <v>7724</v>
      </c>
      <c r="DI7" s="1013" t="s">
        <v>7724</v>
      </c>
      <c r="DJ7" s="1013" t="s">
        <v>7724</v>
      </c>
      <c r="DK7" s="1013" t="s">
        <v>7724</v>
      </c>
      <c r="DL7" s="1013" t="s">
        <v>7724</v>
      </c>
      <c r="DM7" s="1013" t="s">
        <v>7724</v>
      </c>
      <c r="DN7" s="1013" t="s">
        <v>7724</v>
      </c>
      <c r="DO7" s="1013" t="s">
        <v>7724</v>
      </c>
      <c r="DP7" s="1013" t="s">
        <v>7724</v>
      </c>
      <c r="DQ7" s="1013" t="s">
        <v>7724</v>
      </c>
      <c r="DR7" s="1013" t="s">
        <v>7724</v>
      </c>
      <c r="DS7" s="1013" t="s">
        <v>7724</v>
      </c>
      <c r="DT7" s="1013" t="s">
        <v>7724</v>
      </c>
      <c r="DU7" s="1013" t="s">
        <v>7724</v>
      </c>
      <c r="DV7" s="1013" t="s">
        <v>7724</v>
      </c>
      <c r="DW7" s="1013" t="s">
        <v>7724</v>
      </c>
      <c r="DX7" s="1013" t="s">
        <v>7724</v>
      </c>
      <c r="DY7" s="1013" t="s">
        <v>7724</v>
      </c>
      <c r="DZ7" s="1013" t="s">
        <v>7724</v>
      </c>
      <c r="EA7" s="1013" t="s">
        <v>7724</v>
      </c>
      <c r="EB7" s="1013" t="s">
        <v>7724</v>
      </c>
      <c r="EC7" s="1013" t="s">
        <v>7724</v>
      </c>
      <c r="ED7" s="1013" t="s">
        <v>7724</v>
      </c>
      <c r="EE7" s="1013" t="s">
        <v>7724</v>
      </c>
      <c r="EF7" s="1013" t="s">
        <v>7724</v>
      </c>
      <c r="EG7" s="1013" t="s">
        <v>7724</v>
      </c>
      <c r="EH7" s="1013" t="s">
        <v>7724</v>
      </c>
      <c r="EI7" s="1013" t="s">
        <v>7724</v>
      </c>
      <c r="EJ7" s="1013" t="s">
        <v>7724</v>
      </c>
      <c r="EK7" s="1013" t="s">
        <v>7724</v>
      </c>
      <c r="EL7" s="1013" t="s">
        <v>7724</v>
      </c>
      <c r="EM7" s="1013" t="s">
        <v>7724</v>
      </c>
      <c r="EN7" s="1013" t="s">
        <v>7724</v>
      </c>
      <c r="EO7" s="1013" t="s">
        <v>7724</v>
      </c>
      <c r="EP7" s="1013" t="s">
        <v>7724</v>
      </c>
      <c r="EQ7" s="1013" t="s">
        <v>7724</v>
      </c>
      <c r="ER7" s="1013" t="s">
        <v>7724</v>
      </c>
      <c r="ES7" s="1013" t="s">
        <v>7724</v>
      </c>
      <c r="ET7" s="1013" t="s">
        <v>7724</v>
      </c>
      <c r="EU7" s="1013" t="s">
        <v>7724</v>
      </c>
      <c r="EV7" s="1013" t="s">
        <v>7724</v>
      </c>
      <c r="EW7" s="1013" t="s">
        <v>7724</v>
      </c>
      <c r="EX7" s="1013" t="s">
        <v>7724</v>
      </c>
      <c r="EY7" s="1013" t="s">
        <v>7724</v>
      </c>
      <c r="EZ7" s="1013" t="s">
        <v>7724</v>
      </c>
      <c r="FA7" s="1013" t="s">
        <v>7724</v>
      </c>
      <c r="FB7" s="1013" t="s">
        <v>7724</v>
      </c>
      <c r="FC7" s="1013" t="s">
        <v>7724</v>
      </c>
      <c r="FD7" s="1013" t="s">
        <v>7724</v>
      </c>
      <c r="FE7" s="1013" t="s">
        <v>7724</v>
      </c>
      <c r="FF7" s="1013" t="s">
        <v>7724</v>
      </c>
      <c r="FG7" s="1013">
        <v>0</v>
      </c>
      <c r="FH7" s="1013">
        <v>0</v>
      </c>
      <c r="FI7" s="1013">
        <v>1</v>
      </c>
      <c r="FJ7" s="1013">
        <v>1</v>
      </c>
      <c r="FK7" s="1013">
        <v>0</v>
      </c>
      <c r="FL7" s="1013">
        <v>1</v>
      </c>
      <c r="FM7" s="1013">
        <v>0</v>
      </c>
      <c r="FN7" s="1013">
        <v>15</v>
      </c>
      <c r="FO7" s="1013">
        <v>29</v>
      </c>
      <c r="FP7" s="1013">
        <v>6</v>
      </c>
      <c r="FQ7" s="1013" t="s">
        <v>7724</v>
      </c>
      <c r="FR7" s="1013" t="s">
        <v>7724</v>
      </c>
      <c r="FS7" s="1013" t="s">
        <v>7724</v>
      </c>
      <c r="FT7" s="1013" t="s">
        <v>7724</v>
      </c>
      <c r="FU7" s="1013" t="s">
        <v>7724</v>
      </c>
      <c r="FV7" s="1013" t="s">
        <v>7724</v>
      </c>
      <c r="FW7" s="1013" t="s">
        <v>7724</v>
      </c>
      <c r="FX7" s="1013" t="s">
        <v>7724</v>
      </c>
      <c r="FY7" s="1013" t="s">
        <v>7724</v>
      </c>
      <c r="FZ7" s="1013" t="s">
        <v>7724</v>
      </c>
      <c r="GA7" s="1013" t="s">
        <v>7724</v>
      </c>
      <c r="GB7" s="1013" t="s">
        <v>7724</v>
      </c>
      <c r="GC7" s="1013">
        <v>2022</v>
      </c>
      <c r="GD7" s="1013" t="s">
        <v>1407</v>
      </c>
      <c r="GE7" s="1013">
        <v>2</v>
      </c>
      <c r="GF7" s="1013" t="s">
        <v>1407</v>
      </c>
      <c r="GG7" s="1013" t="s">
        <v>1407</v>
      </c>
      <c r="GH7" s="1013" t="s">
        <v>7975</v>
      </c>
      <c r="GI7" s="1013" t="s">
        <v>7974</v>
      </c>
      <c r="GJ7" s="1013" t="s">
        <v>7974</v>
      </c>
      <c r="GK7" s="1013" t="s">
        <v>7974</v>
      </c>
      <c r="GL7" s="1013" t="s">
        <v>7974</v>
      </c>
    </row>
    <row r="8" spans="1:194" hidden="1">
      <c r="A8" s="1019">
        <v>10</v>
      </c>
      <c r="B8" s="1019" t="s">
        <v>7722</v>
      </c>
      <c r="C8" s="1019">
        <v>18884410</v>
      </c>
      <c r="D8" s="1019" t="s">
        <v>7723</v>
      </c>
      <c r="E8" s="1022" t="s">
        <v>7723</v>
      </c>
      <c r="F8" s="1019" t="s">
        <v>7723</v>
      </c>
      <c r="G8" s="1019" t="s">
        <v>7723</v>
      </c>
      <c r="H8" s="1019" t="s">
        <v>7723</v>
      </c>
      <c r="I8" s="1019" t="s">
        <v>7723</v>
      </c>
      <c r="J8" s="1019" t="s">
        <v>7723</v>
      </c>
      <c r="K8" s="1019">
        <v>44680</v>
      </c>
      <c r="L8" s="1019">
        <v>0.40208333333333335</v>
      </c>
      <c r="M8" s="1019" t="s">
        <v>7871</v>
      </c>
      <c r="N8" s="1019" t="s">
        <v>7724</v>
      </c>
      <c r="O8" s="1019">
        <v>101</v>
      </c>
      <c r="P8" s="1019">
        <v>208</v>
      </c>
      <c r="Q8" s="1019" t="s">
        <v>7723</v>
      </c>
      <c r="R8" s="1019" t="s">
        <v>7727</v>
      </c>
      <c r="S8" s="1019" t="s">
        <v>7724</v>
      </c>
      <c r="T8" s="1020" t="s">
        <v>7724</v>
      </c>
      <c r="U8" s="1020">
        <v>19</v>
      </c>
      <c r="V8" s="1020" t="s">
        <v>7724</v>
      </c>
      <c r="W8" s="1020" t="s">
        <v>7724</v>
      </c>
      <c r="X8" s="1019">
        <v>1</v>
      </c>
      <c r="Y8" s="1019">
        <v>4400</v>
      </c>
      <c r="Z8" s="1019" t="s">
        <v>7724</v>
      </c>
      <c r="AA8" s="1019" t="s">
        <v>7728</v>
      </c>
      <c r="AB8" s="1013" t="s">
        <v>7724</v>
      </c>
      <c r="AC8" s="1013" t="s">
        <v>7723</v>
      </c>
      <c r="AD8" s="1013" t="s">
        <v>7723</v>
      </c>
      <c r="AE8" s="1013">
        <v>40</v>
      </c>
      <c r="AF8" s="1013" t="s">
        <v>7723</v>
      </c>
      <c r="AG8" s="1013" t="s">
        <v>7723</v>
      </c>
      <c r="AH8" s="1013" t="s">
        <v>7724</v>
      </c>
      <c r="AI8" s="1013" t="s">
        <v>7727</v>
      </c>
      <c r="AJ8" s="1013">
        <v>19</v>
      </c>
      <c r="AK8" s="1013" t="s">
        <v>7724</v>
      </c>
      <c r="AL8" s="1013" t="s">
        <v>7724</v>
      </c>
      <c r="AM8" s="1013">
        <v>1</v>
      </c>
      <c r="AN8" s="1013" t="s">
        <v>7724</v>
      </c>
      <c r="AO8" s="1013" t="s">
        <v>7724</v>
      </c>
      <c r="AP8" s="1013" t="s">
        <v>7725</v>
      </c>
      <c r="AQ8" s="1013" t="s">
        <v>7724</v>
      </c>
      <c r="AR8" s="1013" t="s">
        <v>7724</v>
      </c>
      <c r="AS8" s="1013" t="s">
        <v>7724</v>
      </c>
      <c r="AT8" s="1013" t="s">
        <v>7724</v>
      </c>
      <c r="AU8" s="1013" t="s">
        <v>7724</v>
      </c>
      <c r="AV8" s="1013" t="s">
        <v>7724</v>
      </c>
      <c r="AW8" s="1013" t="s">
        <v>7724</v>
      </c>
      <c r="AX8" s="1013">
        <v>11</v>
      </c>
      <c r="AY8" s="1013">
        <v>1</v>
      </c>
      <c r="AZ8" s="1013">
        <v>4</v>
      </c>
      <c r="BA8" s="1013">
        <v>1</v>
      </c>
      <c r="BB8" s="1013">
        <v>1</v>
      </c>
      <c r="BC8" s="1013">
        <v>1</v>
      </c>
      <c r="BD8" s="1013">
        <v>20</v>
      </c>
      <c r="BE8" s="1023">
        <v>0.40486111111111112</v>
      </c>
      <c r="BF8" s="1013" t="s">
        <v>7729</v>
      </c>
      <c r="BG8" s="1023">
        <v>0.40833333333333333</v>
      </c>
      <c r="BH8" s="1024">
        <v>44680</v>
      </c>
      <c r="BI8" s="1013" t="s">
        <v>7727</v>
      </c>
      <c r="BJ8" s="1013" t="s">
        <v>7730</v>
      </c>
      <c r="BK8" s="1013">
        <v>2469</v>
      </c>
      <c r="BL8" s="1013" t="s">
        <v>7724</v>
      </c>
      <c r="BM8" s="1013" t="s">
        <v>7724</v>
      </c>
      <c r="BN8" s="1013">
        <v>113</v>
      </c>
      <c r="BO8" s="1013">
        <v>8</v>
      </c>
      <c r="BP8" s="1013">
        <v>2</v>
      </c>
      <c r="BQ8" s="1013">
        <v>1</v>
      </c>
      <c r="BR8" s="1013">
        <v>10</v>
      </c>
      <c r="BS8" s="1013">
        <v>1</v>
      </c>
      <c r="BT8" s="1013">
        <v>54</v>
      </c>
      <c r="BU8" s="1013">
        <v>1</v>
      </c>
      <c r="BV8" s="1013">
        <v>5</v>
      </c>
      <c r="BW8" s="1013">
        <v>1</v>
      </c>
      <c r="BX8" s="1013">
        <v>21</v>
      </c>
      <c r="BY8" s="1013">
        <v>21</v>
      </c>
      <c r="BZ8" s="1013">
        <v>101</v>
      </c>
      <c r="CA8" s="1013">
        <v>208</v>
      </c>
      <c r="CB8" s="1013">
        <v>29.733094999999999</v>
      </c>
      <c r="CC8" s="1013">
        <v>-95.381282999999996</v>
      </c>
      <c r="CD8" s="1013" t="s">
        <v>7724</v>
      </c>
      <c r="CE8" s="1013" t="s">
        <v>7724</v>
      </c>
      <c r="CF8" s="1013" t="s">
        <v>7724</v>
      </c>
      <c r="CG8" s="1013" t="s">
        <v>7724</v>
      </c>
      <c r="CH8" s="1013" t="s">
        <v>7732</v>
      </c>
      <c r="CI8" s="1013">
        <v>4399</v>
      </c>
      <c r="CJ8" s="1013" t="s">
        <v>7724</v>
      </c>
      <c r="CK8" s="1013" t="s">
        <v>7724</v>
      </c>
      <c r="CL8" s="1013" t="s">
        <v>7724</v>
      </c>
      <c r="CM8" s="1013" t="s">
        <v>7724</v>
      </c>
      <c r="CN8" s="1013" t="s">
        <v>7724</v>
      </c>
      <c r="CO8" s="1013" t="s">
        <v>7724</v>
      </c>
      <c r="CP8" s="1013" t="s">
        <v>7724</v>
      </c>
      <c r="CQ8" s="1013" t="s">
        <v>7724</v>
      </c>
      <c r="CR8" s="1013" t="s">
        <v>7731</v>
      </c>
      <c r="CS8" s="1013" t="s">
        <v>7724</v>
      </c>
      <c r="CT8" s="1013" t="s">
        <v>7724</v>
      </c>
      <c r="CU8" s="1013" t="s">
        <v>7724</v>
      </c>
      <c r="CV8" s="1013" t="s">
        <v>7724</v>
      </c>
      <c r="CW8" s="1013" t="s">
        <v>7727</v>
      </c>
      <c r="CX8" s="1013" t="s">
        <v>7723</v>
      </c>
      <c r="CY8" s="1013" t="s">
        <v>7723</v>
      </c>
      <c r="CZ8" s="1013">
        <v>5</v>
      </c>
      <c r="DA8" s="1013">
        <v>9</v>
      </c>
      <c r="DB8" s="1013" t="s">
        <v>7727</v>
      </c>
      <c r="DC8" s="1013" t="s">
        <v>7759</v>
      </c>
      <c r="DD8" s="1013" t="s">
        <v>7724</v>
      </c>
      <c r="DE8" s="1013" t="s">
        <v>7724</v>
      </c>
      <c r="DF8" s="1013" t="s">
        <v>7724</v>
      </c>
      <c r="DG8" s="1013" t="s">
        <v>7724</v>
      </c>
      <c r="DH8" s="1013" t="s">
        <v>7724</v>
      </c>
      <c r="DI8" s="1013" t="s">
        <v>7724</v>
      </c>
      <c r="DJ8" s="1013" t="s">
        <v>7724</v>
      </c>
      <c r="DK8" s="1013" t="s">
        <v>7724</v>
      </c>
      <c r="DL8" s="1013" t="s">
        <v>7724</v>
      </c>
      <c r="DM8" s="1013" t="s">
        <v>7724</v>
      </c>
      <c r="DN8" s="1013" t="s">
        <v>7724</v>
      </c>
      <c r="DO8" s="1013" t="s">
        <v>7724</v>
      </c>
      <c r="DP8" s="1013" t="s">
        <v>7724</v>
      </c>
      <c r="DQ8" s="1013" t="s">
        <v>7724</v>
      </c>
      <c r="DR8" s="1013" t="s">
        <v>7724</v>
      </c>
      <c r="DS8" s="1013" t="s">
        <v>7724</v>
      </c>
      <c r="DT8" s="1013" t="s">
        <v>7724</v>
      </c>
      <c r="DU8" s="1013" t="s">
        <v>7724</v>
      </c>
      <c r="DV8" s="1013" t="s">
        <v>7724</v>
      </c>
      <c r="DW8" s="1013" t="s">
        <v>7724</v>
      </c>
      <c r="DX8" s="1013" t="s">
        <v>7724</v>
      </c>
      <c r="DY8" s="1013" t="s">
        <v>7724</v>
      </c>
      <c r="DZ8" s="1013" t="s">
        <v>7724</v>
      </c>
      <c r="EA8" s="1013" t="s">
        <v>7724</v>
      </c>
      <c r="EB8" s="1013" t="s">
        <v>7724</v>
      </c>
      <c r="EC8" s="1013" t="s">
        <v>7724</v>
      </c>
      <c r="ED8" s="1013" t="s">
        <v>7724</v>
      </c>
      <c r="EE8" s="1013" t="s">
        <v>7724</v>
      </c>
      <c r="EF8" s="1013" t="s">
        <v>7724</v>
      </c>
      <c r="EG8" s="1013" t="s">
        <v>7724</v>
      </c>
      <c r="EH8" s="1013" t="s">
        <v>7724</v>
      </c>
      <c r="EI8" s="1013" t="s">
        <v>7724</v>
      </c>
      <c r="EJ8" s="1013" t="s">
        <v>7724</v>
      </c>
      <c r="EK8" s="1013" t="s">
        <v>7724</v>
      </c>
      <c r="EL8" s="1013" t="s">
        <v>7724</v>
      </c>
      <c r="EM8" s="1013" t="s">
        <v>7724</v>
      </c>
      <c r="EN8" s="1013" t="s">
        <v>7724</v>
      </c>
      <c r="EO8" s="1013" t="s">
        <v>7724</v>
      </c>
      <c r="EP8" s="1013" t="s">
        <v>7724</v>
      </c>
      <c r="EQ8" s="1013" t="s">
        <v>7724</v>
      </c>
      <c r="ER8" s="1013" t="s">
        <v>7724</v>
      </c>
      <c r="ES8" s="1013" t="s">
        <v>7724</v>
      </c>
      <c r="ET8" s="1013" t="s">
        <v>7724</v>
      </c>
      <c r="EU8" s="1013" t="s">
        <v>7724</v>
      </c>
      <c r="EV8" s="1013" t="s">
        <v>7724</v>
      </c>
      <c r="EW8" s="1013" t="s">
        <v>7724</v>
      </c>
      <c r="EX8" s="1013" t="s">
        <v>7724</v>
      </c>
      <c r="EY8" s="1013" t="s">
        <v>7724</v>
      </c>
      <c r="EZ8" s="1013" t="s">
        <v>7724</v>
      </c>
      <c r="FA8" s="1013" t="s">
        <v>7724</v>
      </c>
      <c r="FB8" s="1013" t="s">
        <v>7724</v>
      </c>
      <c r="FC8" s="1013" t="s">
        <v>7724</v>
      </c>
      <c r="FD8" s="1013" t="s">
        <v>7724</v>
      </c>
      <c r="FE8" s="1013" t="s">
        <v>7724</v>
      </c>
      <c r="FF8" s="1013" t="s">
        <v>7724</v>
      </c>
      <c r="FG8" s="1013">
        <v>0</v>
      </c>
      <c r="FH8" s="1013">
        <v>0</v>
      </c>
      <c r="FI8" s="1013">
        <v>0</v>
      </c>
      <c r="FJ8" s="1013">
        <v>2</v>
      </c>
      <c r="FK8" s="1013">
        <v>0</v>
      </c>
      <c r="FL8" s="1013">
        <v>0</v>
      </c>
      <c r="FM8" s="1013">
        <v>0</v>
      </c>
      <c r="FN8" s="1013">
        <v>15</v>
      </c>
      <c r="FO8" s="1013">
        <v>29</v>
      </c>
      <c r="FP8" s="1013">
        <v>6</v>
      </c>
      <c r="FQ8" s="1013" t="s">
        <v>7724</v>
      </c>
      <c r="FR8" s="1013" t="s">
        <v>7724</v>
      </c>
      <c r="FS8" s="1013" t="s">
        <v>7724</v>
      </c>
      <c r="FT8" s="1013" t="s">
        <v>7724</v>
      </c>
      <c r="FU8" s="1013" t="s">
        <v>7724</v>
      </c>
      <c r="FV8" s="1013" t="s">
        <v>7724</v>
      </c>
      <c r="FW8" s="1013" t="s">
        <v>7724</v>
      </c>
      <c r="FX8" s="1013" t="s">
        <v>7724</v>
      </c>
      <c r="FY8" s="1013" t="s">
        <v>7724</v>
      </c>
      <c r="FZ8" s="1013" t="s">
        <v>7724</v>
      </c>
      <c r="GA8" s="1013" t="s">
        <v>7724</v>
      </c>
      <c r="GB8" s="1013" t="s">
        <v>7724</v>
      </c>
      <c r="GC8" s="1013">
        <v>2022</v>
      </c>
      <c r="GD8" s="1013" t="s">
        <v>1404</v>
      </c>
      <c r="GE8" s="1013">
        <v>2</v>
      </c>
      <c r="GF8" s="1013" t="s">
        <v>1407</v>
      </c>
      <c r="GG8" s="1013" t="s">
        <v>1407</v>
      </c>
      <c r="GH8" s="1013" t="s">
        <v>7976</v>
      </c>
      <c r="GI8" s="1013" t="s">
        <v>7974</v>
      </c>
      <c r="GJ8" s="1013" t="s">
        <v>7974</v>
      </c>
      <c r="GK8" s="1013" t="s">
        <v>7974</v>
      </c>
      <c r="GL8" s="1013" t="s">
        <v>7974</v>
      </c>
    </row>
    <row r="9" spans="1:194" hidden="1">
      <c r="A9" s="1019">
        <v>11</v>
      </c>
      <c r="B9" s="1019" t="s">
        <v>7722</v>
      </c>
      <c r="C9" s="1019">
        <v>18897680</v>
      </c>
      <c r="D9" s="1019" t="s">
        <v>7723</v>
      </c>
      <c r="E9" s="1022" t="s">
        <v>7723</v>
      </c>
      <c r="F9" s="1019" t="s">
        <v>7723</v>
      </c>
      <c r="G9" s="1019" t="s">
        <v>7723</v>
      </c>
      <c r="H9" s="1019" t="s">
        <v>7723</v>
      </c>
      <c r="I9" s="1019" t="s">
        <v>7723</v>
      </c>
      <c r="J9" s="1019" t="s">
        <v>7723</v>
      </c>
      <c r="K9" s="1019">
        <v>44680</v>
      </c>
      <c r="L9" s="1019">
        <v>0.78472222222222221</v>
      </c>
      <c r="M9" s="1019" t="s">
        <v>7872</v>
      </c>
      <c r="N9" s="1019" t="s">
        <v>7724</v>
      </c>
      <c r="O9" s="1019">
        <v>101</v>
      </c>
      <c r="P9" s="1019">
        <v>208</v>
      </c>
      <c r="Q9" s="1019" t="s">
        <v>7723</v>
      </c>
      <c r="R9" s="1019" t="s">
        <v>7727</v>
      </c>
      <c r="S9" s="1019" t="s">
        <v>7724</v>
      </c>
      <c r="T9" s="1020" t="s">
        <v>7724</v>
      </c>
      <c r="U9" s="1020">
        <v>19</v>
      </c>
      <c r="V9" s="1020" t="s">
        <v>7724</v>
      </c>
      <c r="W9" s="1020" t="s">
        <v>7724</v>
      </c>
      <c r="X9" s="1019">
        <v>1</v>
      </c>
      <c r="Y9" s="1019">
        <v>4400</v>
      </c>
      <c r="Z9" s="1019" t="s">
        <v>7724</v>
      </c>
      <c r="AA9" s="1019" t="s">
        <v>7728</v>
      </c>
      <c r="AB9" s="1013" t="s">
        <v>7726</v>
      </c>
      <c r="AC9" s="1013" t="s">
        <v>7723</v>
      </c>
      <c r="AD9" s="1013" t="s">
        <v>7723</v>
      </c>
      <c r="AE9" s="1013">
        <v>30</v>
      </c>
      <c r="AF9" s="1013" t="s">
        <v>7723</v>
      </c>
      <c r="AG9" s="1013" t="s">
        <v>7723</v>
      </c>
      <c r="AH9" s="1013" t="s">
        <v>7779</v>
      </c>
      <c r="AI9" s="1013" t="s">
        <v>7727</v>
      </c>
      <c r="AJ9" s="1013">
        <v>19</v>
      </c>
      <c r="AK9" s="1013" t="s">
        <v>7724</v>
      </c>
      <c r="AL9" s="1013" t="s">
        <v>7724</v>
      </c>
      <c r="AM9" s="1013">
        <v>1</v>
      </c>
      <c r="AN9" s="1013">
        <v>1200</v>
      </c>
      <c r="AO9" s="1013" t="s">
        <v>7724</v>
      </c>
      <c r="AP9" s="1013" t="s">
        <v>7725</v>
      </c>
      <c r="AQ9" s="1013" t="s">
        <v>7726</v>
      </c>
      <c r="AR9" s="1013" t="s">
        <v>7724</v>
      </c>
      <c r="AS9" s="1013" t="s">
        <v>7724</v>
      </c>
      <c r="AT9" s="1013" t="s">
        <v>7724</v>
      </c>
      <c r="AU9" s="1013" t="s">
        <v>7724</v>
      </c>
      <c r="AV9" s="1013" t="s">
        <v>7724</v>
      </c>
      <c r="AW9" s="1013" t="s">
        <v>7724</v>
      </c>
      <c r="AX9" s="1013">
        <v>11</v>
      </c>
      <c r="AY9" s="1013">
        <v>1</v>
      </c>
      <c r="AZ9" s="1013">
        <v>4</v>
      </c>
      <c r="BA9" s="1013">
        <v>2</v>
      </c>
      <c r="BB9" s="1013">
        <v>1</v>
      </c>
      <c r="BC9" s="1013">
        <v>1</v>
      </c>
      <c r="BD9" s="1013">
        <v>5</v>
      </c>
      <c r="BE9" s="1023">
        <v>0.79305555555555551</v>
      </c>
      <c r="BF9" s="1013" t="s">
        <v>7736</v>
      </c>
      <c r="BG9" s="1023">
        <v>0.79722222222222228</v>
      </c>
      <c r="BH9" s="1024">
        <v>44690</v>
      </c>
      <c r="BI9" s="1013" t="s">
        <v>7727</v>
      </c>
      <c r="BJ9" s="1013" t="s">
        <v>7730</v>
      </c>
      <c r="BK9" s="1013">
        <v>2469</v>
      </c>
      <c r="BL9" s="1013" t="s">
        <v>7724</v>
      </c>
      <c r="BM9" s="1013" t="s">
        <v>7724</v>
      </c>
      <c r="BN9" s="1013">
        <v>113</v>
      </c>
      <c r="BO9" s="1013">
        <v>8</v>
      </c>
      <c r="BP9" s="1013">
        <v>2</v>
      </c>
      <c r="BQ9" s="1013">
        <v>1</v>
      </c>
      <c r="BR9" s="1013">
        <v>10</v>
      </c>
      <c r="BS9" s="1013">
        <v>64</v>
      </c>
      <c r="BT9" s="1013">
        <v>54</v>
      </c>
      <c r="BU9" s="1013">
        <v>1</v>
      </c>
      <c r="BV9" s="1013">
        <v>5</v>
      </c>
      <c r="BW9" s="1013">
        <v>1</v>
      </c>
      <c r="BX9" s="1013">
        <v>21</v>
      </c>
      <c r="BY9" s="1013">
        <v>21</v>
      </c>
      <c r="BZ9" s="1013">
        <v>101</v>
      </c>
      <c r="CA9" s="1013">
        <v>208</v>
      </c>
      <c r="CB9" s="1013">
        <v>29.733094999999999</v>
      </c>
      <c r="CC9" s="1013">
        <v>-95.381282999999996</v>
      </c>
      <c r="CD9" s="1013" t="s">
        <v>7724</v>
      </c>
      <c r="CE9" s="1013" t="s">
        <v>7724</v>
      </c>
      <c r="CF9" s="1013" t="s">
        <v>7724</v>
      </c>
      <c r="CG9" s="1013" t="s">
        <v>7724</v>
      </c>
      <c r="CH9" s="1013" t="s">
        <v>7732</v>
      </c>
      <c r="CI9" s="1013">
        <v>4399</v>
      </c>
      <c r="CJ9" s="1013" t="s">
        <v>7724</v>
      </c>
      <c r="CK9" s="1013" t="s">
        <v>7724</v>
      </c>
      <c r="CL9" s="1013" t="s">
        <v>7724</v>
      </c>
      <c r="CM9" s="1013" t="s">
        <v>7724</v>
      </c>
      <c r="CN9" s="1013" t="s">
        <v>7724</v>
      </c>
      <c r="CO9" s="1013" t="s">
        <v>7724</v>
      </c>
      <c r="CP9" s="1013" t="s">
        <v>7724</v>
      </c>
      <c r="CQ9" s="1013" t="s">
        <v>7724</v>
      </c>
      <c r="CR9" s="1013" t="s">
        <v>7731</v>
      </c>
      <c r="CS9" s="1013" t="s">
        <v>7724</v>
      </c>
      <c r="CT9" s="1013" t="s">
        <v>7724</v>
      </c>
      <c r="CU9" s="1013" t="s">
        <v>7724</v>
      </c>
      <c r="CV9" s="1013" t="s">
        <v>7724</v>
      </c>
      <c r="CW9" s="1013" t="s">
        <v>7727</v>
      </c>
      <c r="CX9" s="1013" t="s">
        <v>7723</v>
      </c>
      <c r="CY9" s="1013" t="s">
        <v>7723</v>
      </c>
      <c r="CZ9" s="1013">
        <v>5</v>
      </c>
      <c r="DA9" s="1013">
        <v>9</v>
      </c>
      <c r="DB9" s="1013" t="s">
        <v>7727</v>
      </c>
      <c r="DC9" s="1013" t="s">
        <v>7759</v>
      </c>
      <c r="DD9" s="1013" t="s">
        <v>7724</v>
      </c>
      <c r="DE9" s="1013" t="s">
        <v>7724</v>
      </c>
      <c r="DF9" s="1013" t="s">
        <v>7724</v>
      </c>
      <c r="DG9" s="1013" t="s">
        <v>7724</v>
      </c>
      <c r="DH9" s="1013" t="s">
        <v>7724</v>
      </c>
      <c r="DI9" s="1013" t="s">
        <v>7724</v>
      </c>
      <c r="DJ9" s="1013" t="s">
        <v>7724</v>
      </c>
      <c r="DK9" s="1013" t="s">
        <v>7724</v>
      </c>
      <c r="DL9" s="1013" t="s">
        <v>7724</v>
      </c>
      <c r="DM9" s="1013" t="s">
        <v>7724</v>
      </c>
      <c r="DN9" s="1013" t="s">
        <v>7724</v>
      </c>
      <c r="DO9" s="1013" t="s">
        <v>7724</v>
      </c>
      <c r="DP9" s="1013" t="s">
        <v>7724</v>
      </c>
      <c r="DQ9" s="1013" t="s">
        <v>7724</v>
      </c>
      <c r="DR9" s="1013" t="s">
        <v>7724</v>
      </c>
      <c r="DS9" s="1013" t="s">
        <v>7724</v>
      </c>
      <c r="DT9" s="1013" t="s">
        <v>7724</v>
      </c>
      <c r="DU9" s="1013" t="s">
        <v>7724</v>
      </c>
      <c r="DV9" s="1013" t="s">
        <v>7724</v>
      </c>
      <c r="DW9" s="1013" t="s">
        <v>7724</v>
      </c>
      <c r="DX9" s="1013" t="s">
        <v>7724</v>
      </c>
      <c r="DY9" s="1013" t="s">
        <v>7724</v>
      </c>
      <c r="DZ9" s="1013" t="s">
        <v>7724</v>
      </c>
      <c r="EA9" s="1013" t="s">
        <v>7724</v>
      </c>
      <c r="EB9" s="1013" t="s">
        <v>7724</v>
      </c>
      <c r="EC9" s="1013" t="s">
        <v>7724</v>
      </c>
      <c r="ED9" s="1013" t="s">
        <v>7724</v>
      </c>
      <c r="EE9" s="1013" t="s">
        <v>7724</v>
      </c>
      <c r="EF9" s="1013" t="s">
        <v>7724</v>
      </c>
      <c r="EG9" s="1013" t="s">
        <v>7724</v>
      </c>
      <c r="EH9" s="1013" t="s">
        <v>7724</v>
      </c>
      <c r="EI9" s="1013" t="s">
        <v>7724</v>
      </c>
      <c r="EJ9" s="1013" t="s">
        <v>7724</v>
      </c>
      <c r="EK9" s="1013" t="s">
        <v>7724</v>
      </c>
      <c r="EL9" s="1013" t="s">
        <v>7724</v>
      </c>
      <c r="EM9" s="1013" t="s">
        <v>7724</v>
      </c>
      <c r="EN9" s="1013" t="s">
        <v>7724</v>
      </c>
      <c r="EO9" s="1013" t="s">
        <v>7724</v>
      </c>
      <c r="EP9" s="1013" t="s">
        <v>7724</v>
      </c>
      <c r="EQ9" s="1013" t="s">
        <v>7724</v>
      </c>
      <c r="ER9" s="1013" t="s">
        <v>7724</v>
      </c>
      <c r="ES9" s="1013" t="s">
        <v>7724</v>
      </c>
      <c r="ET9" s="1013" t="s">
        <v>7724</v>
      </c>
      <c r="EU9" s="1013" t="s">
        <v>7724</v>
      </c>
      <c r="EV9" s="1013" t="s">
        <v>7724</v>
      </c>
      <c r="EW9" s="1013" t="s">
        <v>7724</v>
      </c>
      <c r="EX9" s="1013" t="s">
        <v>7724</v>
      </c>
      <c r="EY9" s="1013" t="s">
        <v>7724</v>
      </c>
      <c r="EZ9" s="1013" t="s">
        <v>7724</v>
      </c>
      <c r="FA9" s="1013" t="s">
        <v>7724</v>
      </c>
      <c r="FB9" s="1013" t="s">
        <v>7724</v>
      </c>
      <c r="FC9" s="1013" t="s">
        <v>7724</v>
      </c>
      <c r="FD9" s="1013" t="s">
        <v>7724</v>
      </c>
      <c r="FE9" s="1013" t="s">
        <v>7724</v>
      </c>
      <c r="FF9" s="1013" t="s">
        <v>7724</v>
      </c>
      <c r="FG9" s="1013">
        <v>0</v>
      </c>
      <c r="FH9" s="1013">
        <v>0</v>
      </c>
      <c r="FI9" s="1013">
        <v>0</v>
      </c>
      <c r="FJ9" s="1013">
        <v>2</v>
      </c>
      <c r="FK9" s="1013">
        <v>0</v>
      </c>
      <c r="FL9" s="1013">
        <v>0</v>
      </c>
      <c r="FM9" s="1013">
        <v>0</v>
      </c>
      <c r="FN9" s="1013">
        <v>15</v>
      </c>
      <c r="FO9" s="1013">
        <v>29</v>
      </c>
      <c r="FP9" s="1013">
        <v>6</v>
      </c>
      <c r="FQ9" s="1013" t="s">
        <v>7724</v>
      </c>
      <c r="FR9" s="1013" t="s">
        <v>7724</v>
      </c>
      <c r="FS9" s="1013" t="s">
        <v>7724</v>
      </c>
      <c r="FT9" s="1013" t="s">
        <v>7724</v>
      </c>
      <c r="FU9" s="1013" t="s">
        <v>7724</v>
      </c>
      <c r="FV9" s="1013" t="s">
        <v>7724</v>
      </c>
      <c r="FW9" s="1013" t="s">
        <v>7724</v>
      </c>
      <c r="FX9" s="1013" t="s">
        <v>7724</v>
      </c>
      <c r="FY9" s="1013" t="s">
        <v>7724</v>
      </c>
      <c r="FZ9" s="1013" t="s">
        <v>7724</v>
      </c>
      <c r="GA9" s="1013" t="s">
        <v>7724</v>
      </c>
      <c r="GB9" s="1013" t="s">
        <v>7724</v>
      </c>
      <c r="GC9" s="1013">
        <v>2022</v>
      </c>
      <c r="GD9" s="1013" t="s">
        <v>1404</v>
      </c>
      <c r="GE9" s="1013">
        <v>2</v>
      </c>
      <c r="GF9" s="1013" t="s">
        <v>1407</v>
      </c>
      <c r="GG9" s="1013" t="s">
        <v>1407</v>
      </c>
      <c r="GH9" s="1013" t="s">
        <v>7977</v>
      </c>
      <c r="GI9" s="1013" t="s">
        <v>7974</v>
      </c>
      <c r="GJ9" s="1013" t="s">
        <v>7974</v>
      </c>
      <c r="GK9" s="1013" t="s">
        <v>7974</v>
      </c>
      <c r="GL9" s="1013" t="s">
        <v>7974</v>
      </c>
    </row>
    <row r="10" spans="1:194" hidden="1">
      <c r="A10" s="1019">
        <v>26</v>
      </c>
      <c r="B10" s="1019" t="s">
        <v>7722</v>
      </c>
      <c r="C10" s="1019">
        <v>19116780</v>
      </c>
      <c r="D10" s="1019" t="s">
        <v>7723</v>
      </c>
      <c r="E10" s="1022" t="s">
        <v>7723</v>
      </c>
      <c r="F10" s="1019" t="s">
        <v>7723</v>
      </c>
      <c r="G10" s="1019" t="s">
        <v>7723</v>
      </c>
      <c r="H10" s="1019" t="s">
        <v>7723</v>
      </c>
      <c r="I10" s="1019" t="s">
        <v>7723</v>
      </c>
      <c r="J10" s="1019" t="s">
        <v>7723</v>
      </c>
      <c r="K10" s="1019">
        <v>44820</v>
      </c>
      <c r="L10" s="1019">
        <v>0.67708333333333337</v>
      </c>
      <c r="M10" s="1019" t="s">
        <v>7885</v>
      </c>
      <c r="N10" s="1019" t="s">
        <v>7744</v>
      </c>
      <c r="O10" s="1019">
        <v>101</v>
      </c>
      <c r="P10" s="1019">
        <v>208</v>
      </c>
      <c r="Q10" s="1019" t="s">
        <v>7723</v>
      </c>
      <c r="R10" s="1019" t="s">
        <v>7727</v>
      </c>
      <c r="S10" s="1019" t="s">
        <v>7724</v>
      </c>
      <c r="T10" s="1020" t="s">
        <v>7724</v>
      </c>
      <c r="U10" s="1020">
        <v>19</v>
      </c>
      <c r="V10" s="1020" t="s">
        <v>7724</v>
      </c>
      <c r="W10" s="1020" t="s">
        <v>7724</v>
      </c>
      <c r="X10" s="1019">
        <v>1</v>
      </c>
      <c r="Y10" s="1019">
        <v>4400</v>
      </c>
      <c r="Z10" s="1019" t="s">
        <v>7724</v>
      </c>
      <c r="AA10" s="1019" t="s">
        <v>7728</v>
      </c>
      <c r="AB10" s="1013" t="s">
        <v>7726</v>
      </c>
      <c r="AC10" s="1013" t="s">
        <v>7723</v>
      </c>
      <c r="AD10" s="1013" t="s">
        <v>7723</v>
      </c>
      <c r="AE10" s="1013">
        <v>35</v>
      </c>
      <c r="AF10" s="1013" t="s">
        <v>7723</v>
      </c>
      <c r="AG10" s="1013" t="s">
        <v>7723</v>
      </c>
      <c r="AH10" s="1013" t="s">
        <v>7739</v>
      </c>
      <c r="AI10" s="1013" t="s">
        <v>7727</v>
      </c>
      <c r="AJ10" s="1013">
        <v>19</v>
      </c>
      <c r="AK10" s="1013" t="s">
        <v>7724</v>
      </c>
      <c r="AL10" s="1013" t="s">
        <v>7724</v>
      </c>
      <c r="AM10" s="1013">
        <v>1</v>
      </c>
      <c r="AN10" s="1013">
        <v>1100</v>
      </c>
      <c r="AO10" s="1013" t="s">
        <v>7724</v>
      </c>
      <c r="AP10" s="1013" t="s">
        <v>7725</v>
      </c>
      <c r="AQ10" s="1013" t="s">
        <v>7726</v>
      </c>
      <c r="AR10" s="1013" t="s">
        <v>7724</v>
      </c>
      <c r="AS10" s="1013" t="s">
        <v>7724</v>
      </c>
      <c r="AT10" s="1013" t="s">
        <v>7724</v>
      </c>
      <c r="AU10" s="1013" t="s">
        <v>7724</v>
      </c>
      <c r="AV10" s="1013" t="s">
        <v>7724</v>
      </c>
      <c r="AW10" s="1013" t="s">
        <v>7724</v>
      </c>
      <c r="AX10" s="1013">
        <v>11</v>
      </c>
      <c r="AY10" s="1013">
        <v>1</v>
      </c>
      <c r="AZ10" s="1013">
        <v>4</v>
      </c>
      <c r="BA10" s="1013">
        <v>4</v>
      </c>
      <c r="BB10" s="1013">
        <v>1</v>
      </c>
      <c r="BC10" s="1013">
        <v>1</v>
      </c>
      <c r="BD10" s="1013">
        <v>20</v>
      </c>
      <c r="BE10" s="1023">
        <v>0.68055555555555558</v>
      </c>
      <c r="BF10" s="1013" t="s">
        <v>7736</v>
      </c>
      <c r="BG10" s="1023">
        <v>0.68472222222222223</v>
      </c>
      <c r="BH10" s="1024">
        <v>44820</v>
      </c>
      <c r="BI10" s="1013" t="s">
        <v>7727</v>
      </c>
      <c r="BJ10" s="1013" t="s">
        <v>7730</v>
      </c>
      <c r="BK10" s="1013">
        <v>2469</v>
      </c>
      <c r="BL10" s="1013" t="s">
        <v>7724</v>
      </c>
      <c r="BM10" s="1013" t="s">
        <v>7724</v>
      </c>
      <c r="BN10" s="1013">
        <v>113</v>
      </c>
      <c r="BO10" s="1013">
        <v>8</v>
      </c>
      <c r="BP10" s="1013">
        <v>2</v>
      </c>
      <c r="BQ10" s="1013">
        <v>1</v>
      </c>
      <c r="BR10" s="1013">
        <v>24</v>
      </c>
      <c r="BS10" s="1013">
        <v>64</v>
      </c>
      <c r="BT10" s="1013">
        <v>54</v>
      </c>
      <c r="BU10" s="1013">
        <v>1</v>
      </c>
      <c r="BV10" s="1013">
        <v>5</v>
      </c>
      <c r="BW10" s="1013">
        <v>1</v>
      </c>
      <c r="BX10" s="1013">
        <v>21</v>
      </c>
      <c r="BY10" s="1013">
        <v>21</v>
      </c>
      <c r="BZ10" s="1013">
        <v>101</v>
      </c>
      <c r="CA10" s="1013">
        <v>208</v>
      </c>
      <c r="CB10" s="1013">
        <v>29.733094999999999</v>
      </c>
      <c r="CC10" s="1013">
        <v>-95.381282999999996</v>
      </c>
      <c r="CD10" s="1013" t="s">
        <v>7724</v>
      </c>
      <c r="CE10" s="1013" t="s">
        <v>7724</v>
      </c>
      <c r="CF10" s="1013" t="s">
        <v>7724</v>
      </c>
      <c r="CG10" s="1013" t="s">
        <v>7724</v>
      </c>
      <c r="CH10" s="1013" t="s">
        <v>7732</v>
      </c>
      <c r="CI10" s="1013">
        <v>4399</v>
      </c>
      <c r="CJ10" s="1013" t="s">
        <v>7724</v>
      </c>
      <c r="CK10" s="1013" t="s">
        <v>7724</v>
      </c>
      <c r="CL10" s="1013" t="s">
        <v>7724</v>
      </c>
      <c r="CM10" s="1013" t="s">
        <v>7724</v>
      </c>
      <c r="CN10" s="1013" t="s">
        <v>7724</v>
      </c>
      <c r="CO10" s="1013" t="s">
        <v>7724</v>
      </c>
      <c r="CP10" s="1013" t="s">
        <v>7724</v>
      </c>
      <c r="CQ10" s="1013" t="s">
        <v>7724</v>
      </c>
      <c r="CR10" s="1013" t="s">
        <v>7731</v>
      </c>
      <c r="CS10" s="1013" t="s">
        <v>7724</v>
      </c>
      <c r="CT10" s="1013" t="s">
        <v>7724</v>
      </c>
      <c r="CU10" s="1013" t="s">
        <v>7724</v>
      </c>
      <c r="CV10" s="1013" t="s">
        <v>7724</v>
      </c>
      <c r="CW10" s="1013" t="s">
        <v>7727</v>
      </c>
      <c r="CX10" s="1013" t="s">
        <v>7723</v>
      </c>
      <c r="CY10" s="1013" t="s">
        <v>7723</v>
      </c>
      <c r="CZ10" s="1013">
        <v>5</v>
      </c>
      <c r="DA10" s="1013">
        <v>9</v>
      </c>
      <c r="DB10" s="1013" t="s">
        <v>7727</v>
      </c>
      <c r="DC10" s="1013" t="s">
        <v>7759</v>
      </c>
      <c r="DD10" s="1013" t="s">
        <v>7724</v>
      </c>
      <c r="DE10" s="1013" t="s">
        <v>7724</v>
      </c>
      <c r="DF10" s="1013" t="s">
        <v>7724</v>
      </c>
      <c r="DG10" s="1013" t="s">
        <v>7724</v>
      </c>
      <c r="DH10" s="1013" t="s">
        <v>7724</v>
      </c>
      <c r="DI10" s="1013" t="s">
        <v>7724</v>
      </c>
      <c r="DJ10" s="1013" t="s">
        <v>7724</v>
      </c>
      <c r="DK10" s="1013" t="s">
        <v>7724</v>
      </c>
      <c r="DL10" s="1013" t="s">
        <v>7724</v>
      </c>
      <c r="DM10" s="1013" t="s">
        <v>7724</v>
      </c>
      <c r="DN10" s="1013" t="s">
        <v>7724</v>
      </c>
      <c r="DO10" s="1013" t="s">
        <v>7724</v>
      </c>
      <c r="DP10" s="1013" t="s">
        <v>7724</v>
      </c>
      <c r="DQ10" s="1013" t="s">
        <v>7724</v>
      </c>
      <c r="DR10" s="1013" t="s">
        <v>7724</v>
      </c>
      <c r="DS10" s="1013" t="s">
        <v>7724</v>
      </c>
      <c r="DT10" s="1013" t="s">
        <v>7724</v>
      </c>
      <c r="DU10" s="1013" t="s">
        <v>7724</v>
      </c>
      <c r="DV10" s="1013" t="s">
        <v>7724</v>
      </c>
      <c r="DW10" s="1013" t="s">
        <v>7724</v>
      </c>
      <c r="DX10" s="1013" t="s">
        <v>7724</v>
      </c>
      <c r="DY10" s="1013" t="s">
        <v>7724</v>
      </c>
      <c r="DZ10" s="1013" t="s">
        <v>7724</v>
      </c>
      <c r="EA10" s="1013" t="s">
        <v>7724</v>
      </c>
      <c r="EB10" s="1013" t="s">
        <v>7724</v>
      </c>
      <c r="EC10" s="1013" t="s">
        <v>7724</v>
      </c>
      <c r="ED10" s="1013" t="s">
        <v>7724</v>
      </c>
      <c r="EE10" s="1013" t="s">
        <v>7724</v>
      </c>
      <c r="EF10" s="1013" t="s">
        <v>7724</v>
      </c>
      <c r="EG10" s="1013" t="s">
        <v>7724</v>
      </c>
      <c r="EH10" s="1013" t="s">
        <v>7724</v>
      </c>
      <c r="EI10" s="1013" t="s">
        <v>7724</v>
      </c>
      <c r="EJ10" s="1013" t="s">
        <v>7724</v>
      </c>
      <c r="EK10" s="1013" t="s">
        <v>7724</v>
      </c>
      <c r="EL10" s="1013" t="s">
        <v>7724</v>
      </c>
      <c r="EM10" s="1013" t="s">
        <v>7724</v>
      </c>
      <c r="EN10" s="1013" t="s">
        <v>7724</v>
      </c>
      <c r="EO10" s="1013" t="s">
        <v>7724</v>
      </c>
      <c r="EP10" s="1013" t="s">
        <v>7724</v>
      </c>
      <c r="EQ10" s="1013" t="s">
        <v>7724</v>
      </c>
      <c r="ER10" s="1013" t="s">
        <v>7724</v>
      </c>
      <c r="ES10" s="1013" t="s">
        <v>7724</v>
      </c>
      <c r="ET10" s="1013" t="s">
        <v>7724</v>
      </c>
      <c r="EU10" s="1013" t="s">
        <v>7724</v>
      </c>
      <c r="EV10" s="1013" t="s">
        <v>7724</v>
      </c>
      <c r="EW10" s="1013" t="s">
        <v>7724</v>
      </c>
      <c r="EX10" s="1013" t="s">
        <v>7724</v>
      </c>
      <c r="EY10" s="1013" t="s">
        <v>7724</v>
      </c>
      <c r="EZ10" s="1013" t="s">
        <v>7724</v>
      </c>
      <c r="FA10" s="1013" t="s">
        <v>7724</v>
      </c>
      <c r="FB10" s="1013" t="s">
        <v>7724</v>
      </c>
      <c r="FC10" s="1013" t="s">
        <v>7724</v>
      </c>
      <c r="FD10" s="1013" t="s">
        <v>7724</v>
      </c>
      <c r="FE10" s="1013" t="s">
        <v>7724</v>
      </c>
      <c r="FF10" s="1013" t="s">
        <v>7724</v>
      </c>
      <c r="FG10" s="1013">
        <v>0</v>
      </c>
      <c r="FH10" s="1013">
        <v>0</v>
      </c>
      <c r="FI10" s="1013">
        <v>0</v>
      </c>
      <c r="FJ10" s="1013">
        <v>1</v>
      </c>
      <c r="FK10" s="1013">
        <v>1</v>
      </c>
      <c r="FL10" s="1013">
        <v>0</v>
      </c>
      <c r="FM10" s="1013">
        <v>0</v>
      </c>
      <c r="FN10" s="1013">
        <v>15</v>
      </c>
      <c r="FO10" s="1013">
        <v>29</v>
      </c>
      <c r="FP10" s="1013">
        <v>6</v>
      </c>
      <c r="FQ10" s="1013" t="s">
        <v>7724</v>
      </c>
      <c r="FR10" s="1013" t="s">
        <v>7724</v>
      </c>
      <c r="FS10" s="1013" t="s">
        <v>7724</v>
      </c>
      <c r="FT10" s="1013" t="s">
        <v>7724</v>
      </c>
      <c r="FU10" s="1013" t="s">
        <v>7724</v>
      </c>
      <c r="FV10" s="1013" t="s">
        <v>7724</v>
      </c>
      <c r="FW10" s="1013" t="s">
        <v>7724</v>
      </c>
      <c r="FX10" s="1013" t="s">
        <v>7724</v>
      </c>
      <c r="FY10" s="1013" t="s">
        <v>7724</v>
      </c>
      <c r="FZ10" s="1013" t="s">
        <v>7724</v>
      </c>
      <c r="GA10" s="1013" t="s">
        <v>7724</v>
      </c>
      <c r="GB10" s="1013" t="s">
        <v>7724</v>
      </c>
      <c r="GC10" s="1013">
        <v>2022</v>
      </c>
      <c r="GD10" s="1013" t="s">
        <v>1407</v>
      </c>
      <c r="GE10" s="1013">
        <v>2</v>
      </c>
      <c r="GF10" s="1013" t="s">
        <v>1407</v>
      </c>
      <c r="GG10" s="1013" t="s">
        <v>1407</v>
      </c>
      <c r="GH10" s="1013" t="s">
        <v>7978</v>
      </c>
      <c r="GI10" s="1013" t="s">
        <v>7974</v>
      </c>
      <c r="GJ10" s="1013" t="s">
        <v>7974</v>
      </c>
      <c r="GK10" s="1013" t="s">
        <v>7974</v>
      </c>
      <c r="GL10" s="1013" t="s">
        <v>7974</v>
      </c>
    </row>
    <row r="11" spans="1:194" hidden="1">
      <c r="A11" s="1019">
        <v>29</v>
      </c>
      <c r="B11" s="1019" t="s">
        <v>7722</v>
      </c>
      <c r="C11" s="1019">
        <v>19152394</v>
      </c>
      <c r="D11" s="1019" t="s">
        <v>7723</v>
      </c>
      <c r="E11" s="1022" t="s">
        <v>7723</v>
      </c>
      <c r="F11" s="1019" t="s">
        <v>7723</v>
      </c>
      <c r="G11" s="1019" t="s">
        <v>7723</v>
      </c>
      <c r="H11" s="1019" t="s">
        <v>7723</v>
      </c>
      <c r="I11" s="1019" t="s">
        <v>7723</v>
      </c>
      <c r="J11" s="1019" t="s">
        <v>7723</v>
      </c>
      <c r="K11" s="1019">
        <v>44839</v>
      </c>
      <c r="L11" s="1019">
        <v>0.62847222222222221</v>
      </c>
      <c r="M11" s="1019" t="s">
        <v>7887</v>
      </c>
      <c r="N11" s="1019" t="s">
        <v>7724</v>
      </c>
      <c r="O11" s="1019">
        <v>101</v>
      </c>
      <c r="P11" s="1019">
        <v>208</v>
      </c>
      <c r="Q11" s="1019" t="s">
        <v>7723</v>
      </c>
      <c r="R11" s="1019" t="s">
        <v>7727</v>
      </c>
      <c r="S11" s="1019" t="s">
        <v>7724</v>
      </c>
      <c r="T11" s="1020" t="s">
        <v>7724</v>
      </c>
      <c r="U11" s="1020">
        <v>19</v>
      </c>
      <c r="V11" s="1020" t="s">
        <v>7724</v>
      </c>
      <c r="W11" s="1020" t="s">
        <v>7724</v>
      </c>
      <c r="X11" s="1019">
        <v>1</v>
      </c>
      <c r="Y11" s="1019">
        <v>4300</v>
      </c>
      <c r="Z11" s="1019" t="s">
        <v>7724</v>
      </c>
      <c r="AA11" s="1019" t="s">
        <v>7745</v>
      </c>
      <c r="AB11" s="1013" t="s">
        <v>7726</v>
      </c>
      <c r="AC11" s="1013" t="s">
        <v>7723</v>
      </c>
      <c r="AD11" s="1013" t="s">
        <v>7723</v>
      </c>
      <c r="AE11" s="1013">
        <v>30</v>
      </c>
      <c r="AF11" s="1013" t="s">
        <v>7723</v>
      </c>
      <c r="AG11" s="1013" t="s">
        <v>7723</v>
      </c>
      <c r="AH11" s="1013" t="s">
        <v>7779</v>
      </c>
      <c r="AI11" s="1013" t="s">
        <v>7727</v>
      </c>
      <c r="AJ11" s="1013">
        <v>19</v>
      </c>
      <c r="AK11" s="1013" t="s">
        <v>7724</v>
      </c>
      <c r="AL11" s="1013" t="s">
        <v>7724</v>
      </c>
      <c r="AM11" s="1013">
        <v>1</v>
      </c>
      <c r="AN11" s="1013">
        <v>1300</v>
      </c>
      <c r="AO11" s="1013" t="s">
        <v>7724</v>
      </c>
      <c r="AP11" s="1013" t="s">
        <v>7725</v>
      </c>
      <c r="AQ11" s="1013" t="s">
        <v>7726</v>
      </c>
      <c r="AR11" s="1013" t="s">
        <v>7724</v>
      </c>
      <c r="AS11" s="1013" t="s">
        <v>7724</v>
      </c>
      <c r="AT11" s="1013" t="s">
        <v>7724</v>
      </c>
      <c r="AU11" s="1013" t="s">
        <v>7724</v>
      </c>
      <c r="AV11" s="1013" t="s">
        <v>7724</v>
      </c>
      <c r="AW11" s="1013" t="s">
        <v>7724</v>
      </c>
      <c r="AX11" s="1013">
        <v>11</v>
      </c>
      <c r="AY11" s="1013">
        <v>1</v>
      </c>
      <c r="AZ11" s="1013">
        <v>4</v>
      </c>
      <c r="BA11" s="1013">
        <v>3</v>
      </c>
      <c r="BB11" s="1013">
        <v>1</v>
      </c>
      <c r="BC11" s="1013">
        <v>1</v>
      </c>
      <c r="BD11" s="1013">
        <v>8</v>
      </c>
      <c r="BE11" s="1023">
        <v>0.63194444444444442</v>
      </c>
      <c r="BF11" s="1013" t="s">
        <v>7729</v>
      </c>
      <c r="BG11" s="1023">
        <v>0.64375000000000004</v>
      </c>
      <c r="BH11" s="1024">
        <v>44839</v>
      </c>
      <c r="BI11" s="1013" t="s">
        <v>7727</v>
      </c>
      <c r="BJ11" s="1013" t="s">
        <v>7730</v>
      </c>
      <c r="BK11" s="1013">
        <v>2469</v>
      </c>
      <c r="BL11" s="1013" t="s">
        <v>7724</v>
      </c>
      <c r="BM11" s="1013" t="s">
        <v>7724</v>
      </c>
      <c r="BN11" s="1013">
        <v>113</v>
      </c>
      <c r="BO11" s="1013">
        <v>8</v>
      </c>
      <c r="BP11" s="1013">
        <v>2</v>
      </c>
      <c r="BQ11" s="1013">
        <v>1</v>
      </c>
      <c r="BR11" s="1013">
        <v>10</v>
      </c>
      <c r="BS11" s="1013">
        <v>64</v>
      </c>
      <c r="BT11" s="1013">
        <v>54</v>
      </c>
      <c r="BU11" s="1013">
        <v>1</v>
      </c>
      <c r="BV11" s="1013">
        <v>5</v>
      </c>
      <c r="BW11" s="1013">
        <v>1</v>
      </c>
      <c r="BX11" s="1013">
        <v>21</v>
      </c>
      <c r="BY11" s="1013">
        <v>21</v>
      </c>
      <c r="BZ11" s="1013">
        <v>101</v>
      </c>
      <c r="CA11" s="1013">
        <v>208</v>
      </c>
      <c r="CB11" s="1013">
        <v>29.732565000000001</v>
      </c>
      <c r="CC11" s="1013">
        <v>-95.380463000000006</v>
      </c>
      <c r="CD11" s="1013" t="s">
        <v>7724</v>
      </c>
      <c r="CE11" s="1013" t="s">
        <v>7724</v>
      </c>
      <c r="CF11" s="1013" t="s">
        <v>7724</v>
      </c>
      <c r="CG11" s="1013" t="s">
        <v>7724</v>
      </c>
      <c r="CH11" s="1013" t="s">
        <v>7746</v>
      </c>
      <c r="CI11" s="1013" t="s">
        <v>7724</v>
      </c>
      <c r="CJ11" s="1013" t="s">
        <v>7724</v>
      </c>
      <c r="CK11" s="1013" t="s">
        <v>7724</v>
      </c>
      <c r="CL11" s="1013" t="s">
        <v>7724</v>
      </c>
      <c r="CM11" s="1013" t="s">
        <v>7724</v>
      </c>
      <c r="CN11" s="1013" t="s">
        <v>7724</v>
      </c>
      <c r="CO11" s="1013" t="s">
        <v>7724</v>
      </c>
      <c r="CP11" s="1013" t="s">
        <v>7724</v>
      </c>
      <c r="CQ11" s="1013" t="s">
        <v>7724</v>
      </c>
      <c r="CR11" s="1013" t="s">
        <v>7731</v>
      </c>
      <c r="CS11" s="1013" t="s">
        <v>7724</v>
      </c>
      <c r="CT11" s="1013" t="s">
        <v>7724</v>
      </c>
      <c r="CU11" s="1013" t="s">
        <v>7724</v>
      </c>
      <c r="CV11" s="1013" t="s">
        <v>7724</v>
      </c>
      <c r="CW11" s="1013" t="s">
        <v>7727</v>
      </c>
      <c r="CX11" s="1013" t="s">
        <v>7723</v>
      </c>
      <c r="CY11" s="1013" t="s">
        <v>7723</v>
      </c>
      <c r="CZ11" s="1013">
        <v>5</v>
      </c>
      <c r="DA11" s="1013">
        <v>9</v>
      </c>
      <c r="DB11" s="1013" t="s">
        <v>7727</v>
      </c>
      <c r="DC11" s="1013" t="s">
        <v>7756</v>
      </c>
      <c r="DD11" s="1013" t="s">
        <v>7724</v>
      </c>
      <c r="DE11" s="1013" t="s">
        <v>7724</v>
      </c>
      <c r="DF11" s="1013" t="s">
        <v>7724</v>
      </c>
      <c r="DG11" s="1013" t="s">
        <v>7724</v>
      </c>
      <c r="DH11" s="1013" t="s">
        <v>7724</v>
      </c>
      <c r="DI11" s="1013" t="s">
        <v>7724</v>
      </c>
      <c r="DJ11" s="1013" t="s">
        <v>7724</v>
      </c>
      <c r="DK11" s="1013" t="s">
        <v>7724</v>
      </c>
      <c r="DL11" s="1013" t="s">
        <v>7724</v>
      </c>
      <c r="DM11" s="1013" t="s">
        <v>7724</v>
      </c>
      <c r="DN11" s="1013" t="s">
        <v>7724</v>
      </c>
      <c r="DO11" s="1013" t="s">
        <v>7724</v>
      </c>
      <c r="DP11" s="1013" t="s">
        <v>7724</v>
      </c>
      <c r="DQ11" s="1013" t="s">
        <v>7724</v>
      </c>
      <c r="DR11" s="1013" t="s">
        <v>7724</v>
      </c>
      <c r="DS11" s="1013" t="s">
        <v>7724</v>
      </c>
      <c r="DT11" s="1013" t="s">
        <v>7724</v>
      </c>
      <c r="DU11" s="1013" t="s">
        <v>7724</v>
      </c>
      <c r="DV11" s="1013" t="s">
        <v>7724</v>
      </c>
      <c r="DW11" s="1013" t="s">
        <v>7724</v>
      </c>
      <c r="DX11" s="1013" t="s">
        <v>7724</v>
      </c>
      <c r="DY11" s="1013" t="s">
        <v>7724</v>
      </c>
      <c r="DZ11" s="1013" t="s">
        <v>7724</v>
      </c>
      <c r="EA11" s="1013" t="s">
        <v>7724</v>
      </c>
      <c r="EB11" s="1013" t="s">
        <v>7724</v>
      </c>
      <c r="EC11" s="1013" t="s">
        <v>7724</v>
      </c>
      <c r="ED11" s="1013" t="s">
        <v>7724</v>
      </c>
      <c r="EE11" s="1013" t="s">
        <v>7724</v>
      </c>
      <c r="EF11" s="1013" t="s">
        <v>7724</v>
      </c>
      <c r="EG11" s="1013" t="s">
        <v>7724</v>
      </c>
      <c r="EH11" s="1013" t="s">
        <v>7724</v>
      </c>
      <c r="EI11" s="1013" t="s">
        <v>7724</v>
      </c>
      <c r="EJ11" s="1013" t="s">
        <v>7724</v>
      </c>
      <c r="EK11" s="1013" t="s">
        <v>7724</v>
      </c>
      <c r="EL11" s="1013" t="s">
        <v>7724</v>
      </c>
      <c r="EM11" s="1013" t="s">
        <v>7724</v>
      </c>
      <c r="EN11" s="1013" t="s">
        <v>7724</v>
      </c>
      <c r="EO11" s="1013" t="s">
        <v>7724</v>
      </c>
      <c r="EP11" s="1013" t="s">
        <v>7724</v>
      </c>
      <c r="EQ11" s="1013" t="s">
        <v>7724</v>
      </c>
      <c r="ER11" s="1013" t="s">
        <v>7724</v>
      </c>
      <c r="ES11" s="1013" t="s">
        <v>7724</v>
      </c>
      <c r="ET11" s="1013" t="s">
        <v>7724</v>
      </c>
      <c r="EU11" s="1013" t="s">
        <v>7724</v>
      </c>
      <c r="EV11" s="1013" t="s">
        <v>7724</v>
      </c>
      <c r="EW11" s="1013" t="s">
        <v>7724</v>
      </c>
      <c r="EX11" s="1013" t="s">
        <v>7724</v>
      </c>
      <c r="EY11" s="1013" t="s">
        <v>7724</v>
      </c>
      <c r="EZ11" s="1013" t="s">
        <v>7724</v>
      </c>
      <c r="FA11" s="1013" t="s">
        <v>7724</v>
      </c>
      <c r="FB11" s="1013" t="s">
        <v>7724</v>
      </c>
      <c r="FC11" s="1013" t="s">
        <v>7724</v>
      </c>
      <c r="FD11" s="1013" t="s">
        <v>7724</v>
      </c>
      <c r="FE11" s="1013" t="s">
        <v>7724</v>
      </c>
      <c r="FF11" s="1013" t="s">
        <v>7724</v>
      </c>
      <c r="FG11" s="1013">
        <v>0</v>
      </c>
      <c r="FH11" s="1013">
        <v>0</v>
      </c>
      <c r="FI11" s="1013">
        <v>0</v>
      </c>
      <c r="FJ11" s="1013">
        <v>3</v>
      </c>
      <c r="FK11" s="1013">
        <v>0</v>
      </c>
      <c r="FL11" s="1013">
        <v>0</v>
      </c>
      <c r="FM11" s="1013">
        <v>0</v>
      </c>
      <c r="FN11" s="1013">
        <v>15</v>
      </c>
      <c r="FO11" s="1013">
        <v>29</v>
      </c>
      <c r="FP11" s="1013">
        <v>6</v>
      </c>
      <c r="FQ11" s="1013" t="s">
        <v>7724</v>
      </c>
      <c r="FR11" s="1013" t="s">
        <v>7724</v>
      </c>
      <c r="FS11" s="1013" t="s">
        <v>7724</v>
      </c>
      <c r="FT11" s="1013" t="s">
        <v>7724</v>
      </c>
      <c r="FU11" s="1013" t="s">
        <v>7724</v>
      </c>
      <c r="FV11" s="1013" t="s">
        <v>7724</v>
      </c>
      <c r="FW11" s="1013" t="s">
        <v>7724</v>
      </c>
      <c r="FX11" s="1013" t="s">
        <v>7724</v>
      </c>
      <c r="FY11" s="1013" t="s">
        <v>7724</v>
      </c>
      <c r="FZ11" s="1013" t="s">
        <v>7724</v>
      </c>
      <c r="GA11" s="1013" t="s">
        <v>7724</v>
      </c>
      <c r="GB11" s="1013" t="s">
        <v>7724</v>
      </c>
      <c r="GC11" s="1013">
        <v>2022</v>
      </c>
      <c r="GD11" s="1013" t="s">
        <v>1404</v>
      </c>
      <c r="GE11" s="1013">
        <v>2</v>
      </c>
      <c r="GF11" s="1013" t="s">
        <v>1407</v>
      </c>
      <c r="GG11" s="1013" t="s">
        <v>1407</v>
      </c>
      <c r="GH11" s="1013" t="s">
        <v>7975</v>
      </c>
      <c r="GI11" s="1013" t="s">
        <v>7974</v>
      </c>
      <c r="GJ11" s="1013" t="s">
        <v>7974</v>
      </c>
      <c r="GK11" s="1013" t="s">
        <v>7974</v>
      </c>
      <c r="GL11" s="1013" t="s">
        <v>7974</v>
      </c>
    </row>
    <row r="12" spans="1:194" hidden="1">
      <c r="A12" s="1019">
        <v>30</v>
      </c>
      <c r="B12" s="1019" t="s">
        <v>7722</v>
      </c>
      <c r="C12" s="1019">
        <v>19209550</v>
      </c>
      <c r="D12" s="1019" t="s">
        <v>7723</v>
      </c>
      <c r="E12" s="1022" t="s">
        <v>7723</v>
      </c>
      <c r="F12" s="1019" t="s">
        <v>7723</v>
      </c>
      <c r="G12" s="1019" t="s">
        <v>7723</v>
      </c>
      <c r="H12" s="1019" t="s">
        <v>7723</v>
      </c>
      <c r="I12" s="1019" t="s">
        <v>7723</v>
      </c>
      <c r="J12" s="1019" t="s">
        <v>7723</v>
      </c>
      <c r="K12" s="1019">
        <v>44867</v>
      </c>
      <c r="L12" s="1019">
        <v>0.73402777777777772</v>
      </c>
      <c r="M12" s="1019" t="s">
        <v>7888</v>
      </c>
      <c r="N12" s="1019" t="s">
        <v>7724</v>
      </c>
      <c r="O12" s="1019">
        <v>101</v>
      </c>
      <c r="P12" s="1019">
        <v>208</v>
      </c>
      <c r="Q12" s="1019" t="s">
        <v>7723</v>
      </c>
      <c r="R12" s="1019" t="s">
        <v>7727</v>
      </c>
      <c r="S12" s="1019" t="s">
        <v>7724</v>
      </c>
      <c r="T12" s="1020" t="s">
        <v>7724</v>
      </c>
      <c r="U12" s="1020">
        <v>19</v>
      </c>
      <c r="V12" s="1020" t="s">
        <v>7724</v>
      </c>
      <c r="W12" s="1020" t="s">
        <v>7724</v>
      </c>
      <c r="X12" s="1019">
        <v>1</v>
      </c>
      <c r="Y12" s="1019">
        <v>4400</v>
      </c>
      <c r="Z12" s="1019" t="s">
        <v>7724</v>
      </c>
      <c r="AA12" s="1019" t="s">
        <v>7728</v>
      </c>
      <c r="AB12" s="1013" t="s">
        <v>7724</v>
      </c>
      <c r="AC12" s="1013" t="s">
        <v>7723</v>
      </c>
      <c r="AD12" s="1013" t="s">
        <v>7723</v>
      </c>
      <c r="AE12" s="1013">
        <v>40</v>
      </c>
      <c r="AF12" s="1013" t="s">
        <v>7723</v>
      </c>
      <c r="AG12" s="1013" t="s">
        <v>7723</v>
      </c>
      <c r="AH12" s="1013" t="s">
        <v>7724</v>
      </c>
      <c r="AI12" s="1013" t="s">
        <v>7723</v>
      </c>
      <c r="AJ12" s="1013">
        <v>19</v>
      </c>
      <c r="AK12" s="1013" t="s">
        <v>7724</v>
      </c>
      <c r="AL12" s="1013" t="s">
        <v>7724</v>
      </c>
      <c r="AM12" s="1013">
        <v>1</v>
      </c>
      <c r="AN12" s="1013">
        <v>1100</v>
      </c>
      <c r="AO12" s="1013" t="s">
        <v>7724</v>
      </c>
      <c r="AP12" s="1013" t="s">
        <v>7725</v>
      </c>
      <c r="AQ12" s="1013" t="s">
        <v>7735</v>
      </c>
      <c r="AR12" s="1013" t="s">
        <v>7724</v>
      </c>
      <c r="AS12" s="1013" t="s">
        <v>7724</v>
      </c>
      <c r="AT12" s="1013" t="s">
        <v>7724</v>
      </c>
      <c r="AU12" s="1013" t="s">
        <v>7724</v>
      </c>
      <c r="AV12" s="1013" t="s">
        <v>7724</v>
      </c>
      <c r="AW12" s="1013" t="s">
        <v>7724</v>
      </c>
      <c r="AX12" s="1013">
        <v>11</v>
      </c>
      <c r="AY12" s="1013">
        <v>1</v>
      </c>
      <c r="AZ12" s="1013">
        <v>0</v>
      </c>
      <c r="BA12" s="1013">
        <v>4</v>
      </c>
      <c r="BB12" s="1013">
        <v>1</v>
      </c>
      <c r="BC12" s="1013">
        <v>1</v>
      </c>
      <c r="BD12" s="1013">
        <v>5</v>
      </c>
      <c r="BE12" s="1023">
        <v>0.82499999999999996</v>
      </c>
      <c r="BF12" s="1013" t="s">
        <v>7736</v>
      </c>
      <c r="BG12" s="1023">
        <v>0.82847222222222228</v>
      </c>
      <c r="BH12" s="1024">
        <v>44867</v>
      </c>
      <c r="BI12" s="1013" t="s">
        <v>7727</v>
      </c>
      <c r="BJ12" s="1013" t="s">
        <v>7730</v>
      </c>
      <c r="BK12" s="1013">
        <v>2469</v>
      </c>
      <c r="BL12" s="1013" t="s">
        <v>7724</v>
      </c>
      <c r="BM12" s="1013" t="s">
        <v>7724</v>
      </c>
      <c r="BN12" s="1013">
        <v>113</v>
      </c>
      <c r="BO12" s="1013">
        <v>8</v>
      </c>
      <c r="BP12" s="1013">
        <v>2</v>
      </c>
      <c r="BQ12" s="1013">
        <v>2</v>
      </c>
      <c r="BR12" s="1013">
        <v>20</v>
      </c>
      <c r="BS12" s="1013">
        <v>64</v>
      </c>
      <c r="BT12" s="1013">
        <v>54</v>
      </c>
      <c r="BU12" s="1013">
        <v>1</v>
      </c>
      <c r="BV12" s="1013">
        <v>5</v>
      </c>
      <c r="BW12" s="1013">
        <v>1</v>
      </c>
      <c r="BX12" s="1013">
        <v>21</v>
      </c>
      <c r="BY12" s="1013">
        <v>21</v>
      </c>
      <c r="BZ12" s="1013">
        <v>101</v>
      </c>
      <c r="CA12" s="1013">
        <v>208</v>
      </c>
      <c r="CB12" s="1013">
        <v>29.732987999999999</v>
      </c>
      <c r="CC12" s="1013">
        <v>-95.381381000000005</v>
      </c>
      <c r="CD12" s="1013" t="s">
        <v>7724</v>
      </c>
      <c r="CE12" s="1013" t="s">
        <v>7724</v>
      </c>
      <c r="CF12" s="1013" t="s">
        <v>7724</v>
      </c>
      <c r="CG12" s="1013" t="s">
        <v>7724</v>
      </c>
      <c r="CH12" s="1013" t="s">
        <v>7732</v>
      </c>
      <c r="CI12" s="1013">
        <v>4416</v>
      </c>
      <c r="CJ12" s="1013" t="s">
        <v>7724</v>
      </c>
      <c r="CK12" s="1013" t="s">
        <v>7724</v>
      </c>
      <c r="CL12" s="1013" t="s">
        <v>7724</v>
      </c>
      <c r="CM12" s="1013" t="s">
        <v>7724</v>
      </c>
      <c r="CN12" s="1013" t="s">
        <v>7724</v>
      </c>
      <c r="CO12" s="1013" t="s">
        <v>7724</v>
      </c>
      <c r="CP12" s="1013" t="s">
        <v>7724</v>
      </c>
      <c r="CQ12" s="1013" t="s">
        <v>7724</v>
      </c>
      <c r="CR12" s="1013" t="s">
        <v>7731</v>
      </c>
      <c r="CS12" s="1013" t="s">
        <v>7724</v>
      </c>
      <c r="CT12" s="1013" t="s">
        <v>7724</v>
      </c>
      <c r="CU12" s="1013" t="s">
        <v>7724</v>
      </c>
      <c r="CV12" s="1013" t="s">
        <v>7724</v>
      </c>
      <c r="CW12" s="1013" t="s">
        <v>7727</v>
      </c>
      <c r="CX12" s="1013" t="s">
        <v>7723</v>
      </c>
      <c r="CY12" s="1013" t="s">
        <v>7723</v>
      </c>
      <c r="CZ12" s="1013">
        <v>5</v>
      </c>
      <c r="DA12" s="1013">
        <v>9</v>
      </c>
      <c r="DB12" s="1013" t="s">
        <v>7727</v>
      </c>
      <c r="DC12" s="1013" t="s">
        <v>7756</v>
      </c>
      <c r="DD12" s="1013" t="s">
        <v>7724</v>
      </c>
      <c r="DE12" s="1013" t="s">
        <v>7724</v>
      </c>
      <c r="DF12" s="1013" t="s">
        <v>7724</v>
      </c>
      <c r="DG12" s="1013" t="s">
        <v>7724</v>
      </c>
      <c r="DH12" s="1013" t="s">
        <v>7724</v>
      </c>
      <c r="DI12" s="1013" t="s">
        <v>7724</v>
      </c>
      <c r="DJ12" s="1013" t="s">
        <v>7724</v>
      </c>
      <c r="DK12" s="1013" t="s">
        <v>7724</v>
      </c>
      <c r="DL12" s="1013" t="s">
        <v>7724</v>
      </c>
      <c r="DM12" s="1013" t="s">
        <v>7724</v>
      </c>
      <c r="DN12" s="1013" t="s">
        <v>7724</v>
      </c>
      <c r="DO12" s="1013" t="s">
        <v>7724</v>
      </c>
      <c r="DP12" s="1013" t="s">
        <v>7724</v>
      </c>
      <c r="DQ12" s="1013" t="s">
        <v>7724</v>
      </c>
      <c r="DR12" s="1013" t="s">
        <v>7724</v>
      </c>
      <c r="DS12" s="1013" t="s">
        <v>7724</v>
      </c>
      <c r="DT12" s="1013" t="s">
        <v>7724</v>
      </c>
      <c r="DU12" s="1013" t="s">
        <v>7724</v>
      </c>
      <c r="DV12" s="1013" t="s">
        <v>7724</v>
      </c>
      <c r="DW12" s="1013" t="s">
        <v>7724</v>
      </c>
      <c r="DX12" s="1013" t="s">
        <v>7724</v>
      </c>
      <c r="DY12" s="1013" t="s">
        <v>7724</v>
      </c>
      <c r="DZ12" s="1013" t="s">
        <v>7724</v>
      </c>
      <c r="EA12" s="1013" t="s">
        <v>7724</v>
      </c>
      <c r="EB12" s="1013" t="s">
        <v>7724</v>
      </c>
      <c r="EC12" s="1013" t="s">
        <v>7724</v>
      </c>
      <c r="ED12" s="1013" t="s">
        <v>7724</v>
      </c>
      <c r="EE12" s="1013" t="s">
        <v>7724</v>
      </c>
      <c r="EF12" s="1013" t="s">
        <v>7724</v>
      </c>
      <c r="EG12" s="1013" t="s">
        <v>7724</v>
      </c>
      <c r="EH12" s="1013" t="s">
        <v>7724</v>
      </c>
      <c r="EI12" s="1013" t="s">
        <v>7724</v>
      </c>
      <c r="EJ12" s="1013" t="s">
        <v>7724</v>
      </c>
      <c r="EK12" s="1013" t="s">
        <v>7724</v>
      </c>
      <c r="EL12" s="1013" t="s">
        <v>7724</v>
      </c>
      <c r="EM12" s="1013" t="s">
        <v>7724</v>
      </c>
      <c r="EN12" s="1013" t="s">
        <v>7724</v>
      </c>
      <c r="EO12" s="1013" t="s">
        <v>7724</v>
      </c>
      <c r="EP12" s="1013" t="s">
        <v>7724</v>
      </c>
      <c r="EQ12" s="1013" t="s">
        <v>7724</v>
      </c>
      <c r="ER12" s="1013" t="s">
        <v>7724</v>
      </c>
      <c r="ES12" s="1013" t="s">
        <v>7724</v>
      </c>
      <c r="ET12" s="1013" t="s">
        <v>7724</v>
      </c>
      <c r="EU12" s="1013" t="s">
        <v>7724</v>
      </c>
      <c r="EV12" s="1013" t="s">
        <v>7724</v>
      </c>
      <c r="EW12" s="1013" t="s">
        <v>7724</v>
      </c>
      <c r="EX12" s="1013" t="s">
        <v>7724</v>
      </c>
      <c r="EY12" s="1013" t="s">
        <v>7724</v>
      </c>
      <c r="EZ12" s="1013" t="s">
        <v>7724</v>
      </c>
      <c r="FA12" s="1013" t="s">
        <v>7724</v>
      </c>
      <c r="FB12" s="1013" t="s">
        <v>7724</v>
      </c>
      <c r="FC12" s="1013" t="s">
        <v>7724</v>
      </c>
      <c r="FD12" s="1013" t="s">
        <v>7724</v>
      </c>
      <c r="FE12" s="1013" t="s">
        <v>7724</v>
      </c>
      <c r="FF12" s="1013" t="s">
        <v>7724</v>
      </c>
      <c r="FG12" s="1013">
        <v>0</v>
      </c>
      <c r="FH12" s="1013">
        <v>0</v>
      </c>
      <c r="FI12" s="1013">
        <v>0</v>
      </c>
      <c r="FJ12" s="1013">
        <v>3</v>
      </c>
      <c r="FK12" s="1013">
        <v>0</v>
      </c>
      <c r="FL12" s="1013">
        <v>0</v>
      </c>
      <c r="FM12" s="1013">
        <v>0</v>
      </c>
      <c r="FN12" s="1013">
        <v>15</v>
      </c>
      <c r="FO12" s="1013">
        <v>29</v>
      </c>
      <c r="FP12" s="1013">
        <v>6</v>
      </c>
      <c r="FQ12" s="1013" t="s">
        <v>7724</v>
      </c>
      <c r="FR12" s="1013" t="s">
        <v>7724</v>
      </c>
      <c r="FS12" s="1013" t="s">
        <v>7724</v>
      </c>
      <c r="FT12" s="1013" t="s">
        <v>7724</v>
      </c>
      <c r="FU12" s="1013" t="s">
        <v>7724</v>
      </c>
      <c r="FV12" s="1013" t="s">
        <v>7724</v>
      </c>
      <c r="FW12" s="1013" t="s">
        <v>7724</v>
      </c>
      <c r="FX12" s="1013" t="s">
        <v>7724</v>
      </c>
      <c r="FY12" s="1013" t="s">
        <v>7724</v>
      </c>
      <c r="FZ12" s="1013" t="s">
        <v>7724</v>
      </c>
      <c r="GA12" s="1013" t="s">
        <v>7724</v>
      </c>
      <c r="GB12" s="1013" t="s">
        <v>7724</v>
      </c>
      <c r="GC12" s="1013">
        <v>2022</v>
      </c>
      <c r="GD12" s="1013" t="s">
        <v>1404</v>
      </c>
      <c r="GE12" s="1013">
        <v>3</v>
      </c>
      <c r="GF12" s="1013" t="s">
        <v>1407</v>
      </c>
      <c r="GG12" s="1013" t="s">
        <v>1407</v>
      </c>
      <c r="GH12" s="1013" t="s">
        <v>7979</v>
      </c>
      <c r="GI12" s="1013" t="s">
        <v>7980</v>
      </c>
      <c r="GJ12" s="1013" t="s">
        <v>7980</v>
      </c>
      <c r="GK12" s="1013" t="s">
        <v>7980</v>
      </c>
      <c r="GL12" s="1013" t="s">
        <v>7980</v>
      </c>
    </row>
    <row r="13" spans="1:194" hidden="1">
      <c r="A13" s="1019">
        <v>35</v>
      </c>
      <c r="B13" s="1019" t="s">
        <v>7722</v>
      </c>
      <c r="C13" s="1019">
        <v>19280429</v>
      </c>
      <c r="D13" s="1019" t="s">
        <v>7723</v>
      </c>
      <c r="E13" s="1022" t="s">
        <v>7723</v>
      </c>
      <c r="F13" s="1019" t="s">
        <v>7723</v>
      </c>
      <c r="G13" s="1019" t="s">
        <v>7723</v>
      </c>
      <c r="H13" s="1019" t="s">
        <v>7723</v>
      </c>
      <c r="I13" s="1019" t="s">
        <v>7723</v>
      </c>
      <c r="J13" s="1019" t="s">
        <v>7723</v>
      </c>
      <c r="K13" s="1019">
        <v>44907</v>
      </c>
      <c r="L13" s="1019">
        <v>0.64930555555555558</v>
      </c>
      <c r="M13" s="1019" t="s">
        <v>7892</v>
      </c>
      <c r="N13" s="1019" t="s">
        <v>7724</v>
      </c>
      <c r="O13" s="1019">
        <v>101</v>
      </c>
      <c r="P13" s="1019">
        <v>208</v>
      </c>
      <c r="Q13" s="1019" t="s">
        <v>7723</v>
      </c>
      <c r="R13" s="1019" t="s">
        <v>7727</v>
      </c>
      <c r="S13" s="1019" t="s">
        <v>7724</v>
      </c>
      <c r="T13" s="1020" t="s">
        <v>7724</v>
      </c>
      <c r="U13" s="1020">
        <v>19</v>
      </c>
      <c r="V13" s="1020" t="s">
        <v>7724</v>
      </c>
      <c r="W13" s="1020" t="s">
        <v>7724</v>
      </c>
      <c r="X13" s="1019">
        <v>1</v>
      </c>
      <c r="Y13" s="1019">
        <v>4300</v>
      </c>
      <c r="Z13" s="1019" t="s">
        <v>7724</v>
      </c>
      <c r="AA13" s="1019" t="s">
        <v>7745</v>
      </c>
      <c r="AB13" s="1013" t="s">
        <v>7726</v>
      </c>
      <c r="AC13" s="1013" t="s">
        <v>7723</v>
      </c>
      <c r="AD13" s="1013" t="s">
        <v>7723</v>
      </c>
      <c r="AE13" s="1013">
        <v>35</v>
      </c>
      <c r="AF13" s="1013" t="s">
        <v>7723</v>
      </c>
      <c r="AG13" s="1013" t="s">
        <v>7723</v>
      </c>
      <c r="AH13" s="1013" t="s">
        <v>7739</v>
      </c>
      <c r="AI13" s="1013" t="s">
        <v>7727</v>
      </c>
      <c r="AJ13" s="1013">
        <v>19</v>
      </c>
      <c r="AK13" s="1013" t="s">
        <v>7724</v>
      </c>
      <c r="AL13" s="1013" t="s">
        <v>7724</v>
      </c>
      <c r="AM13" s="1013">
        <v>1</v>
      </c>
      <c r="AN13" s="1013">
        <v>1200</v>
      </c>
      <c r="AO13" s="1013" t="s">
        <v>7724</v>
      </c>
      <c r="AP13" s="1013" t="s">
        <v>7725</v>
      </c>
      <c r="AQ13" s="1013" t="s">
        <v>7735</v>
      </c>
      <c r="AR13" s="1013" t="s">
        <v>7724</v>
      </c>
      <c r="AS13" s="1013" t="s">
        <v>7724</v>
      </c>
      <c r="AT13" s="1013" t="s">
        <v>7724</v>
      </c>
      <c r="AU13" s="1013" t="s">
        <v>7724</v>
      </c>
      <c r="AV13" s="1013" t="s">
        <v>7724</v>
      </c>
      <c r="AW13" s="1013" t="s">
        <v>7724</v>
      </c>
      <c r="AX13" s="1013">
        <v>11</v>
      </c>
      <c r="AY13" s="1013">
        <v>1</v>
      </c>
      <c r="AZ13" s="1013">
        <v>4</v>
      </c>
      <c r="BA13" s="1013">
        <v>98</v>
      </c>
      <c r="BB13" s="1013">
        <v>1</v>
      </c>
      <c r="BC13" s="1013">
        <v>1</v>
      </c>
      <c r="BD13" s="1013">
        <v>20</v>
      </c>
      <c r="BE13" s="1023">
        <v>0.64930555555555558</v>
      </c>
      <c r="BF13" s="1013" t="s">
        <v>7736</v>
      </c>
      <c r="BG13" s="1023">
        <v>0.64930555555555558</v>
      </c>
      <c r="BH13" s="1024">
        <v>44907</v>
      </c>
      <c r="BI13" s="1013" t="s">
        <v>7727</v>
      </c>
      <c r="BJ13" s="1013" t="s">
        <v>7730</v>
      </c>
      <c r="BK13" s="1013">
        <v>2469</v>
      </c>
      <c r="BL13" s="1013" t="s">
        <v>7724</v>
      </c>
      <c r="BM13" s="1013" t="s">
        <v>7724</v>
      </c>
      <c r="BN13" s="1013">
        <v>113</v>
      </c>
      <c r="BO13" s="1013">
        <v>8</v>
      </c>
      <c r="BP13" s="1013">
        <v>2</v>
      </c>
      <c r="BQ13" s="1013">
        <v>1</v>
      </c>
      <c r="BR13" s="1013">
        <v>10</v>
      </c>
      <c r="BS13" s="1013">
        <v>64</v>
      </c>
      <c r="BT13" s="1013">
        <v>17</v>
      </c>
      <c r="BU13" s="1013">
        <v>1</v>
      </c>
      <c r="BV13" s="1013">
        <v>5</v>
      </c>
      <c r="BW13" s="1013">
        <v>1</v>
      </c>
      <c r="BX13" s="1013">
        <v>21</v>
      </c>
      <c r="BY13" s="1013">
        <v>21</v>
      </c>
      <c r="BZ13" s="1013">
        <v>101</v>
      </c>
      <c r="CA13" s="1013">
        <v>208</v>
      </c>
      <c r="CB13" s="1013">
        <v>29.732565000000001</v>
      </c>
      <c r="CC13" s="1013">
        <v>-95.380463000000006</v>
      </c>
      <c r="CD13" s="1013" t="s">
        <v>7724</v>
      </c>
      <c r="CE13" s="1013" t="s">
        <v>7724</v>
      </c>
      <c r="CF13" s="1013" t="s">
        <v>7724</v>
      </c>
      <c r="CG13" s="1013" t="s">
        <v>7724</v>
      </c>
      <c r="CH13" s="1013" t="s">
        <v>7746</v>
      </c>
      <c r="CI13" s="1013" t="s">
        <v>7724</v>
      </c>
      <c r="CJ13" s="1013" t="s">
        <v>7724</v>
      </c>
      <c r="CK13" s="1013" t="s">
        <v>7724</v>
      </c>
      <c r="CL13" s="1013" t="s">
        <v>7724</v>
      </c>
      <c r="CM13" s="1013" t="s">
        <v>7724</v>
      </c>
      <c r="CN13" s="1013" t="s">
        <v>7724</v>
      </c>
      <c r="CO13" s="1013" t="s">
        <v>7724</v>
      </c>
      <c r="CP13" s="1013" t="s">
        <v>7724</v>
      </c>
      <c r="CQ13" s="1013" t="s">
        <v>7724</v>
      </c>
      <c r="CR13" s="1013" t="s">
        <v>7731</v>
      </c>
      <c r="CS13" s="1013" t="s">
        <v>7724</v>
      </c>
      <c r="CT13" s="1013" t="s">
        <v>7724</v>
      </c>
      <c r="CU13" s="1013" t="s">
        <v>7724</v>
      </c>
      <c r="CV13" s="1013" t="s">
        <v>7724</v>
      </c>
      <c r="CW13" s="1013" t="s">
        <v>7727</v>
      </c>
      <c r="CX13" s="1013" t="s">
        <v>7723</v>
      </c>
      <c r="CY13" s="1013" t="s">
        <v>7723</v>
      </c>
      <c r="CZ13" s="1013">
        <v>3</v>
      </c>
      <c r="DA13" s="1013">
        <v>9</v>
      </c>
      <c r="DB13" s="1013" t="s">
        <v>7727</v>
      </c>
      <c r="DC13" s="1013" t="s">
        <v>7743</v>
      </c>
      <c r="DD13" s="1013" t="s">
        <v>7724</v>
      </c>
      <c r="DE13" s="1013" t="s">
        <v>7724</v>
      </c>
      <c r="DF13" s="1013" t="s">
        <v>7724</v>
      </c>
      <c r="DG13" s="1013" t="s">
        <v>7724</v>
      </c>
      <c r="DH13" s="1013" t="s">
        <v>7724</v>
      </c>
      <c r="DI13" s="1013" t="s">
        <v>7724</v>
      </c>
      <c r="DJ13" s="1013" t="s">
        <v>7724</v>
      </c>
      <c r="DK13" s="1013" t="s">
        <v>7724</v>
      </c>
      <c r="DL13" s="1013" t="s">
        <v>7724</v>
      </c>
      <c r="DM13" s="1013" t="s">
        <v>7724</v>
      </c>
      <c r="DN13" s="1013" t="s">
        <v>7724</v>
      </c>
      <c r="DO13" s="1013" t="s">
        <v>7724</v>
      </c>
      <c r="DP13" s="1013" t="s">
        <v>7724</v>
      </c>
      <c r="DQ13" s="1013" t="s">
        <v>7724</v>
      </c>
      <c r="DR13" s="1013" t="s">
        <v>7724</v>
      </c>
      <c r="DS13" s="1013" t="s">
        <v>7724</v>
      </c>
      <c r="DT13" s="1013" t="s">
        <v>7724</v>
      </c>
      <c r="DU13" s="1013" t="s">
        <v>7724</v>
      </c>
      <c r="DV13" s="1013" t="s">
        <v>7724</v>
      </c>
      <c r="DW13" s="1013" t="s">
        <v>7724</v>
      </c>
      <c r="DX13" s="1013" t="s">
        <v>7724</v>
      </c>
      <c r="DY13" s="1013" t="s">
        <v>7724</v>
      </c>
      <c r="DZ13" s="1013" t="s">
        <v>7724</v>
      </c>
      <c r="EA13" s="1013" t="s">
        <v>7724</v>
      </c>
      <c r="EB13" s="1013" t="s">
        <v>7724</v>
      </c>
      <c r="EC13" s="1013" t="s">
        <v>7724</v>
      </c>
      <c r="ED13" s="1013" t="s">
        <v>7724</v>
      </c>
      <c r="EE13" s="1013" t="s">
        <v>7724</v>
      </c>
      <c r="EF13" s="1013" t="s">
        <v>7724</v>
      </c>
      <c r="EG13" s="1013" t="s">
        <v>7724</v>
      </c>
      <c r="EH13" s="1013" t="s">
        <v>7724</v>
      </c>
      <c r="EI13" s="1013" t="s">
        <v>7724</v>
      </c>
      <c r="EJ13" s="1013" t="s">
        <v>7724</v>
      </c>
      <c r="EK13" s="1013" t="s">
        <v>7724</v>
      </c>
      <c r="EL13" s="1013" t="s">
        <v>7724</v>
      </c>
      <c r="EM13" s="1013" t="s">
        <v>7724</v>
      </c>
      <c r="EN13" s="1013" t="s">
        <v>7724</v>
      </c>
      <c r="EO13" s="1013" t="s">
        <v>7724</v>
      </c>
      <c r="EP13" s="1013" t="s">
        <v>7724</v>
      </c>
      <c r="EQ13" s="1013" t="s">
        <v>7724</v>
      </c>
      <c r="ER13" s="1013" t="s">
        <v>7724</v>
      </c>
      <c r="ES13" s="1013" t="s">
        <v>7724</v>
      </c>
      <c r="ET13" s="1013" t="s">
        <v>7724</v>
      </c>
      <c r="EU13" s="1013" t="s">
        <v>7724</v>
      </c>
      <c r="EV13" s="1013" t="s">
        <v>7724</v>
      </c>
      <c r="EW13" s="1013" t="s">
        <v>7724</v>
      </c>
      <c r="EX13" s="1013" t="s">
        <v>7724</v>
      </c>
      <c r="EY13" s="1013" t="s">
        <v>7724</v>
      </c>
      <c r="EZ13" s="1013" t="s">
        <v>7724</v>
      </c>
      <c r="FA13" s="1013" t="s">
        <v>7724</v>
      </c>
      <c r="FB13" s="1013" t="s">
        <v>7724</v>
      </c>
      <c r="FC13" s="1013" t="s">
        <v>7724</v>
      </c>
      <c r="FD13" s="1013" t="s">
        <v>7724</v>
      </c>
      <c r="FE13" s="1013" t="s">
        <v>7724</v>
      </c>
      <c r="FF13" s="1013" t="s">
        <v>7724</v>
      </c>
      <c r="FG13" s="1013">
        <v>0</v>
      </c>
      <c r="FH13" s="1013">
        <v>0</v>
      </c>
      <c r="FI13" s="1013">
        <v>1</v>
      </c>
      <c r="FJ13" s="1013">
        <v>2</v>
      </c>
      <c r="FK13" s="1013">
        <v>0</v>
      </c>
      <c r="FL13" s="1013">
        <v>1</v>
      </c>
      <c r="FM13" s="1013">
        <v>0</v>
      </c>
      <c r="FN13" s="1013">
        <v>15</v>
      </c>
      <c r="FO13" s="1013">
        <v>29</v>
      </c>
      <c r="FP13" s="1013">
        <v>6</v>
      </c>
      <c r="FQ13" s="1013" t="s">
        <v>7724</v>
      </c>
      <c r="FR13" s="1013" t="s">
        <v>7724</v>
      </c>
      <c r="FS13" s="1013" t="s">
        <v>7724</v>
      </c>
      <c r="FT13" s="1013" t="s">
        <v>7724</v>
      </c>
      <c r="FU13" s="1013" t="s">
        <v>7724</v>
      </c>
      <c r="FV13" s="1013" t="s">
        <v>7724</v>
      </c>
      <c r="FW13" s="1013" t="s">
        <v>7724</v>
      </c>
      <c r="FX13" s="1013" t="s">
        <v>7724</v>
      </c>
      <c r="FY13" s="1013" t="s">
        <v>7724</v>
      </c>
      <c r="FZ13" s="1013" t="s">
        <v>7724</v>
      </c>
      <c r="GA13" s="1013" t="s">
        <v>7724</v>
      </c>
      <c r="GB13" s="1013" t="s">
        <v>7724</v>
      </c>
      <c r="GC13" s="1013">
        <v>2022</v>
      </c>
      <c r="GD13" s="1013" t="s">
        <v>1407</v>
      </c>
      <c r="GE13" s="1013">
        <v>2</v>
      </c>
      <c r="GF13" s="1013" t="s">
        <v>1407</v>
      </c>
      <c r="GG13" s="1013" t="s">
        <v>1407</v>
      </c>
      <c r="GH13" s="1013" t="s">
        <v>7981</v>
      </c>
      <c r="GI13" s="1013" t="s">
        <v>7974</v>
      </c>
      <c r="GJ13" s="1013" t="s">
        <v>7974</v>
      </c>
      <c r="GK13" s="1013" t="s">
        <v>7974</v>
      </c>
      <c r="GL13" s="1013" t="s">
        <v>7974</v>
      </c>
    </row>
    <row r="14" spans="1:194" hidden="1">
      <c r="A14" s="1019">
        <v>39</v>
      </c>
      <c r="B14" s="1019" t="s">
        <v>7722</v>
      </c>
      <c r="C14" s="1019">
        <v>17511168</v>
      </c>
      <c r="D14" s="1019" t="s">
        <v>7723</v>
      </c>
      <c r="E14" s="1022" t="s">
        <v>7723</v>
      </c>
      <c r="F14" s="1019" t="s">
        <v>7723</v>
      </c>
      <c r="G14" s="1019" t="s">
        <v>7723</v>
      </c>
      <c r="H14" s="1019" t="s">
        <v>7723</v>
      </c>
      <c r="I14" s="1019" t="s">
        <v>7723</v>
      </c>
      <c r="J14" s="1019" t="s">
        <v>7723</v>
      </c>
      <c r="K14" s="1019">
        <v>43837</v>
      </c>
      <c r="L14" s="1019">
        <v>0.71527777777777779</v>
      </c>
      <c r="M14" s="1019" t="s">
        <v>7820</v>
      </c>
      <c r="N14" s="1019" t="s">
        <v>7724</v>
      </c>
      <c r="O14" s="1019">
        <v>101</v>
      </c>
      <c r="P14" s="1019">
        <v>208</v>
      </c>
      <c r="Q14" s="1019" t="s">
        <v>7723</v>
      </c>
      <c r="R14" s="1019" t="s">
        <v>7727</v>
      </c>
      <c r="S14" s="1019" t="s">
        <v>7724</v>
      </c>
      <c r="T14" s="1020" t="s">
        <v>7724</v>
      </c>
      <c r="U14" s="1020">
        <v>19</v>
      </c>
      <c r="V14" s="1020" t="s">
        <v>7724</v>
      </c>
      <c r="W14" s="1020" t="s">
        <v>7724</v>
      </c>
      <c r="X14" s="1019">
        <v>1</v>
      </c>
      <c r="Y14" s="1019">
        <v>4300</v>
      </c>
      <c r="Z14" s="1019" t="s">
        <v>7724</v>
      </c>
      <c r="AA14" s="1019" t="s">
        <v>7745</v>
      </c>
      <c r="AB14" s="1013" t="s">
        <v>7726</v>
      </c>
      <c r="AC14" s="1013" t="s">
        <v>7723</v>
      </c>
      <c r="AD14" s="1013" t="s">
        <v>7723</v>
      </c>
      <c r="AE14" s="1013">
        <v>30</v>
      </c>
      <c r="AF14" s="1013" t="s">
        <v>7723</v>
      </c>
      <c r="AG14" s="1013" t="s">
        <v>7723</v>
      </c>
      <c r="AH14" s="1013" t="s">
        <v>7724</v>
      </c>
      <c r="AI14" s="1013" t="s">
        <v>7727</v>
      </c>
      <c r="AJ14" s="1013">
        <v>19</v>
      </c>
      <c r="AK14" s="1013" t="s">
        <v>7724</v>
      </c>
      <c r="AL14" s="1013" t="s">
        <v>7724</v>
      </c>
      <c r="AM14" s="1013">
        <v>1</v>
      </c>
      <c r="AN14" s="1013">
        <v>1200</v>
      </c>
      <c r="AO14" s="1013" t="s">
        <v>7724</v>
      </c>
      <c r="AP14" s="1013" t="s">
        <v>7725</v>
      </c>
      <c r="AQ14" s="1013" t="s">
        <v>7726</v>
      </c>
      <c r="AR14" s="1013" t="s">
        <v>7724</v>
      </c>
      <c r="AS14" s="1013" t="s">
        <v>7724</v>
      </c>
      <c r="AT14" s="1013" t="s">
        <v>7724</v>
      </c>
      <c r="AU14" s="1013" t="s">
        <v>7724</v>
      </c>
      <c r="AV14" s="1013" t="s">
        <v>7724</v>
      </c>
      <c r="AW14" s="1013" t="s">
        <v>7724</v>
      </c>
      <c r="AX14" s="1013">
        <v>11</v>
      </c>
      <c r="AY14" s="1013">
        <v>4</v>
      </c>
      <c r="AZ14" s="1013">
        <v>2</v>
      </c>
      <c r="BA14" s="1013">
        <v>3</v>
      </c>
      <c r="BB14" s="1013">
        <v>1</v>
      </c>
      <c r="BC14" s="1013">
        <v>1</v>
      </c>
      <c r="BD14" s="1013">
        <v>8</v>
      </c>
      <c r="BE14" s="1023">
        <v>0.72222222222222221</v>
      </c>
      <c r="BF14" s="1013" t="s">
        <v>7729</v>
      </c>
      <c r="BG14" s="1023">
        <v>0.72569444444444442</v>
      </c>
      <c r="BH14" s="1024">
        <v>43837</v>
      </c>
      <c r="BI14" s="1013" t="s">
        <v>7727</v>
      </c>
      <c r="BJ14" s="1013" t="s">
        <v>7730</v>
      </c>
      <c r="BK14" s="1013">
        <v>2469</v>
      </c>
      <c r="BL14" s="1013" t="s">
        <v>7724</v>
      </c>
      <c r="BM14" s="1013" t="s">
        <v>7724</v>
      </c>
      <c r="BN14" s="1013">
        <v>113</v>
      </c>
      <c r="BO14" s="1013">
        <v>8</v>
      </c>
      <c r="BP14" s="1013">
        <v>2</v>
      </c>
      <c r="BQ14" s="1013">
        <v>1</v>
      </c>
      <c r="BR14" s="1013">
        <v>10</v>
      </c>
      <c r="BS14" s="1013">
        <v>64</v>
      </c>
      <c r="BT14" s="1013">
        <v>54</v>
      </c>
      <c r="BU14" s="1013">
        <v>1</v>
      </c>
      <c r="BV14" s="1013">
        <v>5</v>
      </c>
      <c r="BW14" s="1013">
        <v>1</v>
      </c>
      <c r="BX14" s="1013">
        <v>21</v>
      </c>
      <c r="BY14" s="1013">
        <v>21</v>
      </c>
      <c r="BZ14" s="1013">
        <v>101</v>
      </c>
      <c r="CA14" s="1013">
        <v>208</v>
      </c>
      <c r="CB14" s="1013">
        <v>29.732565000000001</v>
      </c>
      <c r="CC14" s="1013">
        <v>-95.380463000000006</v>
      </c>
      <c r="CD14" s="1013" t="s">
        <v>7724</v>
      </c>
      <c r="CE14" s="1013" t="s">
        <v>7724</v>
      </c>
      <c r="CF14" s="1013" t="s">
        <v>7724</v>
      </c>
      <c r="CG14" s="1013" t="s">
        <v>7724</v>
      </c>
      <c r="CH14" s="1013" t="s">
        <v>7746</v>
      </c>
      <c r="CI14" s="1013" t="s">
        <v>7724</v>
      </c>
      <c r="CJ14" s="1013" t="s">
        <v>7724</v>
      </c>
      <c r="CK14" s="1013" t="s">
        <v>7724</v>
      </c>
      <c r="CL14" s="1013" t="s">
        <v>7724</v>
      </c>
      <c r="CM14" s="1013" t="s">
        <v>7724</v>
      </c>
      <c r="CN14" s="1013" t="s">
        <v>7724</v>
      </c>
      <c r="CO14" s="1013" t="s">
        <v>7724</v>
      </c>
      <c r="CP14" s="1013" t="s">
        <v>7724</v>
      </c>
      <c r="CQ14" s="1013" t="s">
        <v>7724</v>
      </c>
      <c r="CR14" s="1013" t="s">
        <v>7731</v>
      </c>
      <c r="CS14" s="1013" t="s">
        <v>7724</v>
      </c>
      <c r="CT14" s="1013" t="s">
        <v>7724</v>
      </c>
      <c r="CU14" s="1013" t="s">
        <v>7724</v>
      </c>
      <c r="CV14" s="1013" t="s">
        <v>7724</v>
      </c>
      <c r="CW14" s="1013" t="s">
        <v>7727</v>
      </c>
      <c r="CX14" s="1013" t="s">
        <v>7723</v>
      </c>
      <c r="CY14" s="1013" t="s">
        <v>7723</v>
      </c>
      <c r="CZ14" s="1013">
        <v>5</v>
      </c>
      <c r="DA14" s="1013">
        <v>9</v>
      </c>
      <c r="DB14" s="1013" t="s">
        <v>7727</v>
      </c>
      <c r="DC14" s="1013" t="s">
        <v>7737</v>
      </c>
      <c r="DD14" s="1013" t="s">
        <v>7724</v>
      </c>
      <c r="DE14" s="1013" t="s">
        <v>7724</v>
      </c>
      <c r="DF14" s="1013" t="s">
        <v>7724</v>
      </c>
      <c r="DG14" s="1013" t="s">
        <v>7724</v>
      </c>
      <c r="DH14" s="1013" t="s">
        <v>7724</v>
      </c>
      <c r="DI14" s="1013" t="s">
        <v>7724</v>
      </c>
      <c r="DJ14" s="1013" t="s">
        <v>7724</v>
      </c>
      <c r="DK14" s="1013" t="s">
        <v>7724</v>
      </c>
      <c r="DL14" s="1013" t="s">
        <v>7724</v>
      </c>
      <c r="DM14" s="1013" t="s">
        <v>7724</v>
      </c>
      <c r="DN14" s="1013" t="s">
        <v>7724</v>
      </c>
      <c r="DO14" s="1013" t="s">
        <v>7724</v>
      </c>
      <c r="DP14" s="1013" t="s">
        <v>7724</v>
      </c>
      <c r="DQ14" s="1013" t="s">
        <v>7724</v>
      </c>
      <c r="DR14" s="1013" t="s">
        <v>7724</v>
      </c>
      <c r="DS14" s="1013" t="s">
        <v>7724</v>
      </c>
      <c r="DT14" s="1013" t="s">
        <v>7724</v>
      </c>
      <c r="DU14" s="1013" t="s">
        <v>7724</v>
      </c>
      <c r="DV14" s="1013" t="s">
        <v>7724</v>
      </c>
      <c r="DW14" s="1013" t="s">
        <v>7724</v>
      </c>
      <c r="DX14" s="1013" t="s">
        <v>7724</v>
      </c>
      <c r="DY14" s="1013" t="s">
        <v>7724</v>
      </c>
      <c r="DZ14" s="1013" t="s">
        <v>7724</v>
      </c>
      <c r="EA14" s="1013" t="s">
        <v>7724</v>
      </c>
      <c r="EB14" s="1013" t="s">
        <v>7724</v>
      </c>
      <c r="EC14" s="1013" t="s">
        <v>7724</v>
      </c>
      <c r="ED14" s="1013" t="s">
        <v>7724</v>
      </c>
      <c r="EE14" s="1013" t="s">
        <v>7724</v>
      </c>
      <c r="EF14" s="1013" t="s">
        <v>7724</v>
      </c>
      <c r="EG14" s="1013" t="s">
        <v>7724</v>
      </c>
      <c r="EH14" s="1013" t="s">
        <v>7724</v>
      </c>
      <c r="EI14" s="1013" t="s">
        <v>7724</v>
      </c>
      <c r="EJ14" s="1013" t="s">
        <v>7724</v>
      </c>
      <c r="EK14" s="1013" t="s">
        <v>7724</v>
      </c>
      <c r="EL14" s="1013" t="s">
        <v>7724</v>
      </c>
      <c r="EM14" s="1013" t="s">
        <v>7724</v>
      </c>
      <c r="EN14" s="1013" t="s">
        <v>7724</v>
      </c>
      <c r="EO14" s="1013" t="s">
        <v>7724</v>
      </c>
      <c r="EP14" s="1013" t="s">
        <v>7724</v>
      </c>
      <c r="EQ14" s="1013" t="s">
        <v>7724</v>
      </c>
      <c r="ER14" s="1013" t="s">
        <v>7724</v>
      </c>
      <c r="ES14" s="1013" t="s">
        <v>7724</v>
      </c>
      <c r="ET14" s="1013" t="s">
        <v>7724</v>
      </c>
      <c r="EU14" s="1013" t="s">
        <v>7724</v>
      </c>
      <c r="EV14" s="1013" t="s">
        <v>7724</v>
      </c>
      <c r="EW14" s="1013" t="s">
        <v>7724</v>
      </c>
      <c r="EX14" s="1013" t="s">
        <v>7724</v>
      </c>
      <c r="EY14" s="1013" t="s">
        <v>7724</v>
      </c>
      <c r="EZ14" s="1013" t="s">
        <v>7724</v>
      </c>
      <c r="FA14" s="1013" t="s">
        <v>7724</v>
      </c>
      <c r="FB14" s="1013" t="s">
        <v>7724</v>
      </c>
      <c r="FC14" s="1013" t="s">
        <v>7724</v>
      </c>
      <c r="FD14" s="1013" t="s">
        <v>7724</v>
      </c>
      <c r="FE14" s="1013" t="s">
        <v>7724</v>
      </c>
      <c r="FF14" s="1013" t="s">
        <v>7724</v>
      </c>
      <c r="FG14" s="1013">
        <v>0</v>
      </c>
      <c r="FH14" s="1013">
        <v>0</v>
      </c>
      <c r="FI14" s="1013">
        <v>0</v>
      </c>
      <c r="FJ14" s="1013">
        <v>2</v>
      </c>
      <c r="FK14" s="1013">
        <v>0</v>
      </c>
      <c r="FL14" s="1013">
        <v>0</v>
      </c>
      <c r="FM14" s="1013">
        <v>0</v>
      </c>
      <c r="FN14" s="1013">
        <v>15</v>
      </c>
      <c r="FO14" s="1013">
        <v>29</v>
      </c>
      <c r="FP14" s="1013">
        <v>6</v>
      </c>
      <c r="FQ14" s="1013" t="s">
        <v>7724</v>
      </c>
      <c r="FR14" s="1013" t="s">
        <v>7724</v>
      </c>
      <c r="FS14" s="1013" t="s">
        <v>7724</v>
      </c>
      <c r="FT14" s="1013" t="s">
        <v>7724</v>
      </c>
      <c r="FU14" s="1013" t="s">
        <v>7724</v>
      </c>
      <c r="FV14" s="1013" t="s">
        <v>7724</v>
      </c>
      <c r="FW14" s="1013" t="s">
        <v>7724</v>
      </c>
      <c r="FX14" s="1013" t="s">
        <v>7724</v>
      </c>
      <c r="FY14" s="1013" t="s">
        <v>7724</v>
      </c>
      <c r="FZ14" s="1013" t="s">
        <v>7724</v>
      </c>
      <c r="GA14" s="1013" t="s">
        <v>7724</v>
      </c>
      <c r="GB14" s="1013" t="s">
        <v>7724</v>
      </c>
      <c r="GC14" s="1013">
        <v>2020</v>
      </c>
      <c r="GD14" s="1013" t="s">
        <v>1404</v>
      </c>
      <c r="GE14" s="1013">
        <v>2</v>
      </c>
      <c r="GF14" s="1013" t="s">
        <v>1407</v>
      </c>
      <c r="GG14" s="1013" t="s">
        <v>1407</v>
      </c>
      <c r="GH14" s="1013" t="s">
        <v>7982</v>
      </c>
      <c r="GI14" s="1013" t="s">
        <v>7974</v>
      </c>
      <c r="GJ14" s="1013" t="s">
        <v>7974</v>
      </c>
      <c r="GK14" s="1013" t="s">
        <v>7974</v>
      </c>
      <c r="GL14" s="1013" t="s">
        <v>7974</v>
      </c>
    </row>
    <row r="15" spans="1:194" hidden="1">
      <c r="A15" s="1019">
        <v>46</v>
      </c>
      <c r="B15" s="1019" t="s">
        <v>7722</v>
      </c>
      <c r="C15" s="1019">
        <v>17594235</v>
      </c>
      <c r="D15" s="1019" t="s">
        <v>7723</v>
      </c>
      <c r="E15" s="1022" t="s">
        <v>7723</v>
      </c>
      <c r="F15" s="1019" t="s">
        <v>7723</v>
      </c>
      <c r="G15" s="1019" t="s">
        <v>7723</v>
      </c>
      <c r="H15" s="1019" t="s">
        <v>7723</v>
      </c>
      <c r="I15" s="1019" t="s">
        <v>7723</v>
      </c>
      <c r="J15" s="1019" t="s">
        <v>7723</v>
      </c>
      <c r="K15" s="1019">
        <v>43834</v>
      </c>
      <c r="L15" s="1019">
        <v>0.8125</v>
      </c>
      <c r="M15" s="1019" t="s">
        <v>7825</v>
      </c>
      <c r="N15" s="1019" t="s">
        <v>7724</v>
      </c>
      <c r="O15" s="1019">
        <v>101</v>
      </c>
      <c r="P15" s="1019">
        <v>208</v>
      </c>
      <c r="Q15" s="1019" t="s">
        <v>7723</v>
      </c>
      <c r="R15" s="1019" t="s">
        <v>7727</v>
      </c>
      <c r="S15" s="1019" t="s">
        <v>7724</v>
      </c>
      <c r="T15" s="1020" t="s">
        <v>7724</v>
      </c>
      <c r="U15" s="1020">
        <v>19</v>
      </c>
      <c r="V15" s="1020" t="s">
        <v>7724</v>
      </c>
      <c r="W15" s="1020" t="s">
        <v>7724</v>
      </c>
      <c r="X15" s="1019">
        <v>1</v>
      </c>
      <c r="Y15" s="1019">
        <v>4400</v>
      </c>
      <c r="Z15" s="1019" t="s">
        <v>7724</v>
      </c>
      <c r="AA15" s="1019" t="s">
        <v>7728</v>
      </c>
      <c r="AB15" s="1013" t="s">
        <v>7726</v>
      </c>
      <c r="AC15" s="1013" t="s">
        <v>7723</v>
      </c>
      <c r="AD15" s="1013" t="s">
        <v>7723</v>
      </c>
      <c r="AE15" s="1013">
        <v>35</v>
      </c>
      <c r="AF15" s="1013" t="s">
        <v>7723</v>
      </c>
      <c r="AG15" s="1013" t="s">
        <v>7723</v>
      </c>
      <c r="AH15" s="1013" t="s">
        <v>7826</v>
      </c>
      <c r="AI15" s="1013" t="s">
        <v>7723</v>
      </c>
      <c r="AJ15" s="1013">
        <v>19</v>
      </c>
      <c r="AK15" s="1013" t="s">
        <v>7724</v>
      </c>
      <c r="AL15" s="1013" t="s">
        <v>7724</v>
      </c>
      <c r="AM15" s="1013">
        <v>1</v>
      </c>
      <c r="AN15" s="1013">
        <v>1000</v>
      </c>
      <c r="AO15" s="1013" t="s">
        <v>7724</v>
      </c>
      <c r="AP15" s="1013" t="s">
        <v>7725</v>
      </c>
      <c r="AQ15" s="1013" t="s">
        <v>7735</v>
      </c>
      <c r="AR15" s="1013" t="s">
        <v>7724</v>
      </c>
      <c r="AS15" s="1013" t="s">
        <v>7724</v>
      </c>
      <c r="AT15" s="1013" t="s">
        <v>7724</v>
      </c>
      <c r="AU15" s="1013" t="s">
        <v>7724</v>
      </c>
      <c r="AV15" s="1013" t="s">
        <v>7724</v>
      </c>
      <c r="AW15" s="1013" t="s">
        <v>7724</v>
      </c>
      <c r="AX15" s="1013">
        <v>11</v>
      </c>
      <c r="AY15" s="1013">
        <v>4</v>
      </c>
      <c r="AZ15" s="1013">
        <v>0</v>
      </c>
      <c r="BA15" s="1013">
        <v>4</v>
      </c>
      <c r="BB15" s="1013">
        <v>1</v>
      </c>
      <c r="BC15" s="1013">
        <v>1</v>
      </c>
      <c r="BD15" s="1013">
        <v>20</v>
      </c>
      <c r="BE15" s="1023">
        <v>0.58333333333333337</v>
      </c>
      <c r="BF15" s="1013" t="s">
        <v>7761</v>
      </c>
      <c r="BG15" s="1023">
        <v>0.58333333333333337</v>
      </c>
      <c r="BH15" s="1024">
        <v>43888</v>
      </c>
      <c r="BI15" s="1013" t="s">
        <v>7727</v>
      </c>
      <c r="BJ15" s="1013" t="s">
        <v>7730</v>
      </c>
      <c r="BK15" s="1013">
        <v>2469</v>
      </c>
      <c r="BL15" s="1013" t="s">
        <v>7724</v>
      </c>
      <c r="BM15" s="1013" t="s">
        <v>7724</v>
      </c>
      <c r="BN15" s="1013">
        <v>113</v>
      </c>
      <c r="BO15" s="1013">
        <v>8</v>
      </c>
      <c r="BP15" s="1013">
        <v>2</v>
      </c>
      <c r="BQ15" s="1013">
        <v>2</v>
      </c>
      <c r="BR15" s="1013">
        <v>22</v>
      </c>
      <c r="BS15" s="1013">
        <v>64</v>
      </c>
      <c r="BT15" s="1013">
        <v>38</v>
      </c>
      <c r="BU15" s="1013">
        <v>1</v>
      </c>
      <c r="BV15" s="1013">
        <v>5</v>
      </c>
      <c r="BW15" s="1013">
        <v>1</v>
      </c>
      <c r="BX15" s="1013">
        <v>21</v>
      </c>
      <c r="BY15" s="1013">
        <v>21</v>
      </c>
      <c r="BZ15" s="1013">
        <v>101</v>
      </c>
      <c r="CA15" s="1013">
        <v>208</v>
      </c>
      <c r="CB15" s="1013">
        <v>29.733118000000001</v>
      </c>
      <c r="CC15" s="1013">
        <v>-95.381265999999997</v>
      </c>
      <c r="CD15" s="1013" t="s">
        <v>7724</v>
      </c>
      <c r="CE15" s="1013" t="s">
        <v>7724</v>
      </c>
      <c r="CF15" s="1013" t="s">
        <v>7724</v>
      </c>
      <c r="CG15" s="1013" t="s">
        <v>7724</v>
      </c>
      <c r="CH15" s="1013" t="s">
        <v>7732</v>
      </c>
      <c r="CI15" s="1013">
        <v>4396</v>
      </c>
      <c r="CJ15" s="1013" t="s">
        <v>7724</v>
      </c>
      <c r="CK15" s="1013" t="s">
        <v>7724</v>
      </c>
      <c r="CL15" s="1013" t="s">
        <v>7724</v>
      </c>
      <c r="CM15" s="1013" t="s">
        <v>7724</v>
      </c>
      <c r="CN15" s="1013" t="s">
        <v>7724</v>
      </c>
      <c r="CO15" s="1013" t="s">
        <v>7724</v>
      </c>
      <c r="CP15" s="1013" t="s">
        <v>7724</v>
      </c>
      <c r="CQ15" s="1013" t="s">
        <v>7724</v>
      </c>
      <c r="CR15" s="1013" t="s">
        <v>7731</v>
      </c>
      <c r="CS15" s="1013" t="s">
        <v>7724</v>
      </c>
      <c r="CT15" s="1013" t="s">
        <v>7724</v>
      </c>
      <c r="CU15" s="1013" t="s">
        <v>7724</v>
      </c>
      <c r="CV15" s="1013" t="s">
        <v>7724</v>
      </c>
      <c r="CW15" s="1013" t="s">
        <v>7727</v>
      </c>
      <c r="CX15" s="1013" t="s">
        <v>7723</v>
      </c>
      <c r="CY15" s="1013" t="s">
        <v>7723</v>
      </c>
      <c r="CZ15" s="1013">
        <v>3</v>
      </c>
      <c r="DA15" s="1013">
        <v>9</v>
      </c>
      <c r="DB15" s="1013" t="s">
        <v>7727</v>
      </c>
      <c r="DC15" s="1013" t="s">
        <v>7733</v>
      </c>
      <c r="DD15" s="1013" t="s">
        <v>7724</v>
      </c>
      <c r="DE15" s="1013" t="s">
        <v>7724</v>
      </c>
      <c r="DF15" s="1013" t="s">
        <v>7724</v>
      </c>
      <c r="DG15" s="1013" t="s">
        <v>7724</v>
      </c>
      <c r="DH15" s="1013" t="s">
        <v>7724</v>
      </c>
      <c r="DI15" s="1013" t="s">
        <v>7724</v>
      </c>
      <c r="DJ15" s="1013" t="s">
        <v>7724</v>
      </c>
      <c r="DK15" s="1013" t="s">
        <v>7724</v>
      </c>
      <c r="DL15" s="1013" t="s">
        <v>7724</v>
      </c>
      <c r="DM15" s="1013" t="s">
        <v>7724</v>
      </c>
      <c r="DN15" s="1013" t="s">
        <v>7724</v>
      </c>
      <c r="DO15" s="1013" t="s">
        <v>7724</v>
      </c>
      <c r="DP15" s="1013" t="s">
        <v>7724</v>
      </c>
      <c r="DQ15" s="1013" t="s">
        <v>7724</v>
      </c>
      <c r="DR15" s="1013" t="s">
        <v>7724</v>
      </c>
      <c r="DS15" s="1013" t="s">
        <v>7724</v>
      </c>
      <c r="DT15" s="1013" t="s">
        <v>7724</v>
      </c>
      <c r="DU15" s="1013" t="s">
        <v>7724</v>
      </c>
      <c r="DV15" s="1013" t="s">
        <v>7724</v>
      </c>
      <c r="DW15" s="1013" t="s">
        <v>7724</v>
      </c>
      <c r="DX15" s="1013" t="s">
        <v>7724</v>
      </c>
      <c r="DY15" s="1013" t="s">
        <v>7724</v>
      </c>
      <c r="DZ15" s="1013" t="s">
        <v>7724</v>
      </c>
      <c r="EA15" s="1013" t="s">
        <v>7724</v>
      </c>
      <c r="EB15" s="1013" t="s">
        <v>7724</v>
      </c>
      <c r="EC15" s="1013" t="s">
        <v>7724</v>
      </c>
      <c r="ED15" s="1013" t="s">
        <v>7724</v>
      </c>
      <c r="EE15" s="1013" t="s">
        <v>7724</v>
      </c>
      <c r="EF15" s="1013" t="s">
        <v>7724</v>
      </c>
      <c r="EG15" s="1013" t="s">
        <v>7724</v>
      </c>
      <c r="EH15" s="1013" t="s">
        <v>7724</v>
      </c>
      <c r="EI15" s="1013" t="s">
        <v>7724</v>
      </c>
      <c r="EJ15" s="1013" t="s">
        <v>7724</v>
      </c>
      <c r="EK15" s="1013" t="s">
        <v>7724</v>
      </c>
      <c r="EL15" s="1013" t="s">
        <v>7724</v>
      </c>
      <c r="EM15" s="1013" t="s">
        <v>7724</v>
      </c>
      <c r="EN15" s="1013" t="s">
        <v>7724</v>
      </c>
      <c r="EO15" s="1013" t="s">
        <v>7724</v>
      </c>
      <c r="EP15" s="1013" t="s">
        <v>7724</v>
      </c>
      <c r="EQ15" s="1013" t="s">
        <v>7724</v>
      </c>
      <c r="ER15" s="1013" t="s">
        <v>7724</v>
      </c>
      <c r="ES15" s="1013" t="s">
        <v>7724</v>
      </c>
      <c r="ET15" s="1013" t="s">
        <v>7724</v>
      </c>
      <c r="EU15" s="1013" t="s">
        <v>7724</v>
      </c>
      <c r="EV15" s="1013" t="s">
        <v>7724</v>
      </c>
      <c r="EW15" s="1013" t="s">
        <v>7724</v>
      </c>
      <c r="EX15" s="1013" t="s">
        <v>7724</v>
      </c>
      <c r="EY15" s="1013" t="s">
        <v>7724</v>
      </c>
      <c r="EZ15" s="1013" t="s">
        <v>7724</v>
      </c>
      <c r="FA15" s="1013" t="s">
        <v>7724</v>
      </c>
      <c r="FB15" s="1013" t="s">
        <v>7724</v>
      </c>
      <c r="FC15" s="1013" t="s">
        <v>7724</v>
      </c>
      <c r="FD15" s="1013" t="s">
        <v>7724</v>
      </c>
      <c r="FE15" s="1013" t="s">
        <v>7724</v>
      </c>
      <c r="FF15" s="1013" t="s">
        <v>7724</v>
      </c>
      <c r="FG15" s="1013">
        <v>0</v>
      </c>
      <c r="FH15" s="1013">
        <v>0</v>
      </c>
      <c r="FI15" s="1013">
        <v>1</v>
      </c>
      <c r="FJ15" s="1013">
        <v>0</v>
      </c>
      <c r="FK15" s="1013">
        <v>2</v>
      </c>
      <c r="FL15" s="1013">
        <v>1</v>
      </c>
      <c r="FM15" s="1013">
        <v>0</v>
      </c>
      <c r="FN15" s="1013">
        <v>15</v>
      </c>
      <c r="FO15" s="1013">
        <v>29</v>
      </c>
      <c r="FP15" s="1013">
        <v>6</v>
      </c>
      <c r="FQ15" s="1013" t="s">
        <v>7724</v>
      </c>
      <c r="FR15" s="1013" t="s">
        <v>7724</v>
      </c>
      <c r="FS15" s="1013" t="s">
        <v>7724</v>
      </c>
      <c r="FT15" s="1013" t="s">
        <v>7724</v>
      </c>
      <c r="FU15" s="1013" t="s">
        <v>7724</v>
      </c>
      <c r="FV15" s="1013" t="s">
        <v>7724</v>
      </c>
      <c r="FW15" s="1013" t="s">
        <v>7724</v>
      </c>
      <c r="FX15" s="1013" t="s">
        <v>7724</v>
      </c>
      <c r="FY15" s="1013" t="s">
        <v>7724</v>
      </c>
      <c r="FZ15" s="1013" t="s">
        <v>7724</v>
      </c>
      <c r="GA15" s="1013" t="s">
        <v>7724</v>
      </c>
      <c r="GB15" s="1013" t="s">
        <v>7724</v>
      </c>
      <c r="GC15" s="1013">
        <v>2020</v>
      </c>
      <c r="GD15" s="1013" t="s">
        <v>1407</v>
      </c>
      <c r="GE15" s="1013">
        <v>3</v>
      </c>
      <c r="GF15" s="1013" t="s">
        <v>1407</v>
      </c>
      <c r="GG15" s="1013" t="s">
        <v>1407</v>
      </c>
      <c r="GH15" s="1013" t="s">
        <v>7983</v>
      </c>
      <c r="GI15" s="1013" t="s">
        <v>7980</v>
      </c>
      <c r="GJ15" s="1013" t="s">
        <v>7980</v>
      </c>
      <c r="GK15" s="1013" t="s">
        <v>7984</v>
      </c>
      <c r="GL15" s="1013" t="s">
        <v>7980</v>
      </c>
    </row>
    <row r="16" spans="1:194" hidden="1">
      <c r="A16" s="1019">
        <v>60</v>
      </c>
      <c r="B16" s="1019" t="s">
        <v>7722</v>
      </c>
      <c r="C16" s="1019">
        <v>17859373</v>
      </c>
      <c r="D16" s="1019" t="s">
        <v>7723</v>
      </c>
      <c r="E16" s="1022" t="s">
        <v>7723</v>
      </c>
      <c r="F16" s="1019" t="s">
        <v>7723</v>
      </c>
      <c r="G16" s="1019" t="s">
        <v>7723</v>
      </c>
      <c r="H16" s="1019" t="s">
        <v>7723</v>
      </c>
      <c r="I16" s="1019" t="s">
        <v>7723</v>
      </c>
      <c r="J16" s="1019" t="s">
        <v>7723</v>
      </c>
      <c r="K16" s="1019">
        <v>44082</v>
      </c>
      <c r="L16" s="1019">
        <v>0.58333333333333337</v>
      </c>
      <c r="M16" s="1019" t="s">
        <v>7836</v>
      </c>
      <c r="N16" s="1019" t="s">
        <v>7724</v>
      </c>
      <c r="O16" s="1019">
        <v>101</v>
      </c>
      <c r="P16" s="1019">
        <v>208</v>
      </c>
      <c r="Q16" s="1019" t="s">
        <v>7723</v>
      </c>
      <c r="R16" s="1019" t="s">
        <v>7727</v>
      </c>
      <c r="S16" s="1019" t="s">
        <v>7724</v>
      </c>
      <c r="T16" s="1020" t="s">
        <v>7724</v>
      </c>
      <c r="U16" s="1020">
        <v>19</v>
      </c>
      <c r="V16" s="1020" t="s">
        <v>7724</v>
      </c>
      <c r="W16" s="1020" t="s">
        <v>7724</v>
      </c>
      <c r="X16" s="1019">
        <v>1</v>
      </c>
      <c r="Y16" s="1019">
        <v>4400</v>
      </c>
      <c r="Z16" s="1019" t="s">
        <v>7724</v>
      </c>
      <c r="AA16" s="1019" t="s">
        <v>7728</v>
      </c>
      <c r="AB16" s="1013" t="s">
        <v>7724</v>
      </c>
      <c r="AC16" s="1013" t="s">
        <v>7723</v>
      </c>
      <c r="AD16" s="1013" t="s">
        <v>7723</v>
      </c>
      <c r="AE16" s="1013">
        <v>35</v>
      </c>
      <c r="AF16" s="1013" t="s">
        <v>7723</v>
      </c>
      <c r="AG16" s="1013" t="s">
        <v>7723</v>
      </c>
      <c r="AH16" s="1013" t="s">
        <v>7837</v>
      </c>
      <c r="AI16" s="1013" t="s">
        <v>7727</v>
      </c>
      <c r="AJ16" s="1013">
        <v>19</v>
      </c>
      <c r="AK16" s="1013" t="s">
        <v>7724</v>
      </c>
      <c r="AL16" s="1013" t="s">
        <v>7724</v>
      </c>
      <c r="AM16" s="1013">
        <v>1</v>
      </c>
      <c r="AN16" s="1013">
        <v>1000</v>
      </c>
      <c r="AO16" s="1013" t="s">
        <v>7724</v>
      </c>
      <c r="AP16" s="1013" t="s">
        <v>7725</v>
      </c>
      <c r="AQ16" s="1013" t="s">
        <v>7724</v>
      </c>
      <c r="AR16" s="1013" t="s">
        <v>7724</v>
      </c>
      <c r="AS16" s="1013" t="s">
        <v>7724</v>
      </c>
      <c r="AT16" s="1013" t="s">
        <v>7724</v>
      </c>
      <c r="AU16" s="1013" t="s">
        <v>7724</v>
      </c>
      <c r="AV16" s="1013" t="s">
        <v>7724</v>
      </c>
      <c r="AW16" s="1013" t="s">
        <v>7724</v>
      </c>
      <c r="AX16" s="1013">
        <v>12</v>
      </c>
      <c r="AY16" s="1013">
        <v>1</v>
      </c>
      <c r="AZ16" s="1013">
        <v>5</v>
      </c>
      <c r="BA16" s="1013">
        <v>4</v>
      </c>
      <c r="BB16" s="1013">
        <v>1</v>
      </c>
      <c r="BC16" s="1013">
        <v>1</v>
      </c>
      <c r="BD16" s="1013">
        <v>5</v>
      </c>
      <c r="BE16" s="1023">
        <v>0.59930555555555554</v>
      </c>
      <c r="BF16" s="1013" t="s">
        <v>7736</v>
      </c>
      <c r="BG16" s="1023">
        <v>0.6020833333333333</v>
      </c>
      <c r="BH16" s="1024">
        <v>44082</v>
      </c>
      <c r="BI16" s="1013" t="s">
        <v>7727</v>
      </c>
      <c r="BJ16" s="1013" t="s">
        <v>7730</v>
      </c>
      <c r="BK16" s="1013">
        <v>2469</v>
      </c>
      <c r="BL16" s="1013" t="s">
        <v>7724</v>
      </c>
      <c r="BM16" s="1013" t="s">
        <v>7724</v>
      </c>
      <c r="BN16" s="1013">
        <v>113</v>
      </c>
      <c r="BO16" s="1013">
        <v>8</v>
      </c>
      <c r="BP16" s="1013">
        <v>2</v>
      </c>
      <c r="BQ16" s="1013">
        <v>1</v>
      </c>
      <c r="BR16" s="1013">
        <v>10</v>
      </c>
      <c r="BS16" s="1013">
        <v>64</v>
      </c>
      <c r="BT16" s="1013">
        <v>54</v>
      </c>
      <c r="BU16" s="1013">
        <v>1</v>
      </c>
      <c r="BV16" s="1013">
        <v>5</v>
      </c>
      <c r="BW16" s="1013">
        <v>1</v>
      </c>
      <c r="BX16" s="1013">
        <v>21</v>
      </c>
      <c r="BY16" s="1013">
        <v>21</v>
      </c>
      <c r="BZ16" s="1013">
        <v>101</v>
      </c>
      <c r="CA16" s="1013">
        <v>208</v>
      </c>
      <c r="CB16" s="1013">
        <v>29.733094999999999</v>
      </c>
      <c r="CC16" s="1013">
        <v>-95.381282999999996</v>
      </c>
      <c r="CD16" s="1013" t="s">
        <v>7724</v>
      </c>
      <c r="CE16" s="1013" t="s">
        <v>7724</v>
      </c>
      <c r="CF16" s="1013" t="s">
        <v>7724</v>
      </c>
      <c r="CG16" s="1013" t="s">
        <v>7724</v>
      </c>
      <c r="CH16" s="1013" t="s">
        <v>7732</v>
      </c>
      <c r="CI16" s="1013">
        <v>4399</v>
      </c>
      <c r="CJ16" s="1013" t="s">
        <v>7724</v>
      </c>
      <c r="CK16" s="1013" t="s">
        <v>7724</v>
      </c>
      <c r="CL16" s="1013" t="s">
        <v>7724</v>
      </c>
      <c r="CM16" s="1013" t="s">
        <v>7724</v>
      </c>
      <c r="CN16" s="1013" t="s">
        <v>7724</v>
      </c>
      <c r="CO16" s="1013" t="s">
        <v>7724</v>
      </c>
      <c r="CP16" s="1013" t="s">
        <v>7724</v>
      </c>
      <c r="CQ16" s="1013" t="s">
        <v>7724</v>
      </c>
      <c r="CR16" s="1013" t="s">
        <v>7731</v>
      </c>
      <c r="CS16" s="1013" t="s">
        <v>7724</v>
      </c>
      <c r="CT16" s="1013" t="s">
        <v>7724</v>
      </c>
      <c r="CU16" s="1013" t="s">
        <v>7724</v>
      </c>
      <c r="CV16" s="1013" t="s">
        <v>7724</v>
      </c>
      <c r="CW16" s="1013" t="s">
        <v>7727</v>
      </c>
      <c r="CX16" s="1013" t="s">
        <v>7723</v>
      </c>
      <c r="CY16" s="1013" t="s">
        <v>7723</v>
      </c>
      <c r="CZ16" s="1013">
        <v>3</v>
      </c>
      <c r="DA16" s="1013">
        <v>9</v>
      </c>
      <c r="DB16" s="1013" t="s">
        <v>7727</v>
      </c>
      <c r="DC16" s="1013" t="s">
        <v>7737</v>
      </c>
      <c r="DD16" s="1013" t="s">
        <v>7724</v>
      </c>
      <c r="DE16" s="1013" t="s">
        <v>7724</v>
      </c>
      <c r="DF16" s="1013" t="s">
        <v>7724</v>
      </c>
      <c r="DG16" s="1013" t="s">
        <v>7724</v>
      </c>
      <c r="DH16" s="1013" t="s">
        <v>7724</v>
      </c>
      <c r="DI16" s="1013" t="s">
        <v>7724</v>
      </c>
      <c r="DJ16" s="1013" t="s">
        <v>7724</v>
      </c>
      <c r="DK16" s="1013" t="s">
        <v>7724</v>
      </c>
      <c r="DL16" s="1013" t="s">
        <v>7724</v>
      </c>
      <c r="DM16" s="1013" t="s">
        <v>7724</v>
      </c>
      <c r="DN16" s="1013" t="s">
        <v>7724</v>
      </c>
      <c r="DO16" s="1013" t="s">
        <v>7724</v>
      </c>
      <c r="DP16" s="1013" t="s">
        <v>7724</v>
      </c>
      <c r="DQ16" s="1013" t="s">
        <v>7724</v>
      </c>
      <c r="DR16" s="1013" t="s">
        <v>7724</v>
      </c>
      <c r="DS16" s="1013" t="s">
        <v>7724</v>
      </c>
      <c r="DT16" s="1013" t="s">
        <v>7724</v>
      </c>
      <c r="DU16" s="1013" t="s">
        <v>7724</v>
      </c>
      <c r="DV16" s="1013" t="s">
        <v>7724</v>
      </c>
      <c r="DW16" s="1013" t="s">
        <v>7724</v>
      </c>
      <c r="DX16" s="1013" t="s">
        <v>7724</v>
      </c>
      <c r="DY16" s="1013" t="s">
        <v>7724</v>
      </c>
      <c r="DZ16" s="1013" t="s">
        <v>7724</v>
      </c>
      <c r="EA16" s="1013" t="s">
        <v>7724</v>
      </c>
      <c r="EB16" s="1013" t="s">
        <v>7724</v>
      </c>
      <c r="EC16" s="1013" t="s">
        <v>7724</v>
      </c>
      <c r="ED16" s="1013" t="s">
        <v>7724</v>
      </c>
      <c r="EE16" s="1013" t="s">
        <v>7724</v>
      </c>
      <c r="EF16" s="1013" t="s">
        <v>7724</v>
      </c>
      <c r="EG16" s="1013" t="s">
        <v>7724</v>
      </c>
      <c r="EH16" s="1013" t="s">
        <v>7724</v>
      </c>
      <c r="EI16" s="1013" t="s">
        <v>7724</v>
      </c>
      <c r="EJ16" s="1013" t="s">
        <v>7724</v>
      </c>
      <c r="EK16" s="1013" t="s">
        <v>7724</v>
      </c>
      <c r="EL16" s="1013" t="s">
        <v>7724</v>
      </c>
      <c r="EM16" s="1013" t="s">
        <v>7724</v>
      </c>
      <c r="EN16" s="1013" t="s">
        <v>7724</v>
      </c>
      <c r="EO16" s="1013" t="s">
        <v>7724</v>
      </c>
      <c r="EP16" s="1013" t="s">
        <v>7724</v>
      </c>
      <c r="EQ16" s="1013" t="s">
        <v>7724</v>
      </c>
      <c r="ER16" s="1013" t="s">
        <v>7724</v>
      </c>
      <c r="ES16" s="1013" t="s">
        <v>7724</v>
      </c>
      <c r="ET16" s="1013" t="s">
        <v>7724</v>
      </c>
      <c r="EU16" s="1013" t="s">
        <v>7724</v>
      </c>
      <c r="EV16" s="1013" t="s">
        <v>7724</v>
      </c>
      <c r="EW16" s="1013" t="s">
        <v>7724</v>
      </c>
      <c r="EX16" s="1013" t="s">
        <v>7724</v>
      </c>
      <c r="EY16" s="1013" t="s">
        <v>7724</v>
      </c>
      <c r="EZ16" s="1013" t="s">
        <v>7724</v>
      </c>
      <c r="FA16" s="1013" t="s">
        <v>7724</v>
      </c>
      <c r="FB16" s="1013" t="s">
        <v>7724</v>
      </c>
      <c r="FC16" s="1013" t="s">
        <v>7724</v>
      </c>
      <c r="FD16" s="1013" t="s">
        <v>7724</v>
      </c>
      <c r="FE16" s="1013" t="s">
        <v>7724</v>
      </c>
      <c r="FF16" s="1013" t="s">
        <v>7724</v>
      </c>
      <c r="FG16" s="1013">
        <v>0</v>
      </c>
      <c r="FH16" s="1013">
        <v>0</v>
      </c>
      <c r="FI16" s="1013">
        <v>1</v>
      </c>
      <c r="FJ16" s="1013">
        <v>2</v>
      </c>
      <c r="FK16" s="1013">
        <v>0</v>
      </c>
      <c r="FL16" s="1013">
        <v>1</v>
      </c>
      <c r="FM16" s="1013">
        <v>0</v>
      </c>
      <c r="FN16" s="1013">
        <v>15</v>
      </c>
      <c r="FO16" s="1013">
        <v>29</v>
      </c>
      <c r="FP16" s="1013">
        <v>6</v>
      </c>
      <c r="FQ16" s="1013" t="s">
        <v>7724</v>
      </c>
      <c r="FR16" s="1013" t="s">
        <v>7724</v>
      </c>
      <c r="FS16" s="1013" t="s">
        <v>7724</v>
      </c>
      <c r="FT16" s="1013" t="s">
        <v>7724</v>
      </c>
      <c r="FU16" s="1013" t="s">
        <v>7724</v>
      </c>
      <c r="FV16" s="1013" t="s">
        <v>7724</v>
      </c>
      <c r="FW16" s="1013" t="s">
        <v>7724</v>
      </c>
      <c r="FX16" s="1013" t="s">
        <v>7724</v>
      </c>
      <c r="FY16" s="1013" t="s">
        <v>7724</v>
      </c>
      <c r="FZ16" s="1013" t="s">
        <v>7724</v>
      </c>
      <c r="GA16" s="1013" t="s">
        <v>7724</v>
      </c>
      <c r="GB16" s="1013" t="s">
        <v>7724</v>
      </c>
      <c r="GC16" s="1013">
        <v>2020</v>
      </c>
      <c r="GD16" s="1013" t="s">
        <v>1407</v>
      </c>
      <c r="GE16" s="1013">
        <v>2</v>
      </c>
      <c r="GF16" s="1013" t="s">
        <v>1407</v>
      </c>
      <c r="GG16" s="1013" t="s">
        <v>1407</v>
      </c>
      <c r="GH16" s="1013" t="s">
        <v>7985</v>
      </c>
      <c r="GI16" s="1013" t="s">
        <v>7974</v>
      </c>
      <c r="GJ16" s="1013" t="s">
        <v>7974</v>
      </c>
      <c r="GK16" s="1013" t="s">
        <v>7974</v>
      </c>
      <c r="GL16" s="1013" t="s">
        <v>7974</v>
      </c>
    </row>
    <row r="17" spans="1:194" hidden="1">
      <c r="A17" s="1019">
        <v>70</v>
      </c>
      <c r="B17" s="1019" t="s">
        <v>7722</v>
      </c>
      <c r="C17" s="1019">
        <v>17974411</v>
      </c>
      <c r="D17" s="1019" t="s">
        <v>7723</v>
      </c>
      <c r="E17" s="1022" t="s">
        <v>7723</v>
      </c>
      <c r="F17" s="1019" t="s">
        <v>7723</v>
      </c>
      <c r="G17" s="1019" t="s">
        <v>7723</v>
      </c>
      <c r="H17" s="1019" t="s">
        <v>7723</v>
      </c>
      <c r="I17" s="1019" t="s">
        <v>7723</v>
      </c>
      <c r="J17" s="1019" t="s">
        <v>7723</v>
      </c>
      <c r="K17" s="1019">
        <v>44156</v>
      </c>
      <c r="L17" s="1019">
        <v>0.99236111111111114</v>
      </c>
      <c r="M17" s="1019" t="s">
        <v>7845</v>
      </c>
      <c r="N17" s="1019" t="s">
        <v>7724</v>
      </c>
      <c r="O17" s="1019">
        <v>101</v>
      </c>
      <c r="P17" s="1019">
        <v>208</v>
      </c>
      <c r="Q17" s="1019" t="s">
        <v>7723</v>
      </c>
      <c r="R17" s="1019" t="s">
        <v>7727</v>
      </c>
      <c r="S17" s="1019" t="s">
        <v>7724</v>
      </c>
      <c r="T17" s="1020" t="s">
        <v>7724</v>
      </c>
      <c r="U17" s="1020">
        <v>19</v>
      </c>
      <c r="V17" s="1020" t="s">
        <v>7724</v>
      </c>
      <c r="W17" s="1020" t="s">
        <v>7724</v>
      </c>
      <c r="X17" s="1019">
        <v>1</v>
      </c>
      <c r="Y17" s="1019">
        <v>4400</v>
      </c>
      <c r="Z17" s="1019" t="s">
        <v>7724</v>
      </c>
      <c r="AA17" s="1019" t="s">
        <v>7728</v>
      </c>
      <c r="AB17" s="1013" t="s">
        <v>7726</v>
      </c>
      <c r="AC17" s="1013" t="s">
        <v>7723</v>
      </c>
      <c r="AD17" s="1013" t="s">
        <v>7723</v>
      </c>
      <c r="AE17" s="1013">
        <v>30</v>
      </c>
      <c r="AF17" s="1013" t="s">
        <v>7723</v>
      </c>
      <c r="AG17" s="1013" t="s">
        <v>7723</v>
      </c>
      <c r="AH17" s="1013" t="s">
        <v>7739</v>
      </c>
      <c r="AI17" s="1013" t="s">
        <v>7727</v>
      </c>
      <c r="AJ17" s="1013">
        <v>19</v>
      </c>
      <c r="AK17" s="1013" t="s">
        <v>7724</v>
      </c>
      <c r="AL17" s="1013" t="s">
        <v>7724</v>
      </c>
      <c r="AM17" s="1013">
        <v>1</v>
      </c>
      <c r="AN17" s="1013">
        <v>1100</v>
      </c>
      <c r="AO17" s="1013" t="s">
        <v>7724</v>
      </c>
      <c r="AP17" s="1013" t="s">
        <v>7725</v>
      </c>
      <c r="AQ17" s="1013" t="s">
        <v>7726</v>
      </c>
      <c r="AR17" s="1013" t="s">
        <v>7724</v>
      </c>
      <c r="AS17" s="1013" t="s">
        <v>7724</v>
      </c>
      <c r="AT17" s="1013" t="s">
        <v>7724</v>
      </c>
      <c r="AU17" s="1013" t="s">
        <v>7724</v>
      </c>
      <c r="AV17" s="1013" t="s">
        <v>7724</v>
      </c>
      <c r="AW17" s="1013" t="s">
        <v>7724</v>
      </c>
      <c r="AX17" s="1013">
        <v>11</v>
      </c>
      <c r="AY17" s="1013">
        <v>4</v>
      </c>
      <c r="AZ17" s="1013">
        <v>2</v>
      </c>
      <c r="BA17" s="1013">
        <v>1</v>
      </c>
      <c r="BB17" s="1013">
        <v>1</v>
      </c>
      <c r="BC17" s="1013">
        <v>1</v>
      </c>
      <c r="BD17" s="1013">
        <v>5</v>
      </c>
      <c r="BE17" s="1023">
        <v>0.99375000000000002</v>
      </c>
      <c r="BF17" s="1013" t="s">
        <v>7736</v>
      </c>
      <c r="BG17" s="1023">
        <v>0.99513888888888891</v>
      </c>
      <c r="BH17" s="1024">
        <v>44157</v>
      </c>
      <c r="BI17" s="1013" t="s">
        <v>7727</v>
      </c>
      <c r="BJ17" s="1013" t="s">
        <v>7730</v>
      </c>
      <c r="BK17" s="1013">
        <v>2469</v>
      </c>
      <c r="BL17" s="1013" t="s">
        <v>7724</v>
      </c>
      <c r="BM17" s="1013" t="s">
        <v>7724</v>
      </c>
      <c r="BN17" s="1013">
        <v>113</v>
      </c>
      <c r="BO17" s="1013">
        <v>8</v>
      </c>
      <c r="BP17" s="1013">
        <v>2</v>
      </c>
      <c r="BQ17" s="1013">
        <v>1</v>
      </c>
      <c r="BR17" s="1013">
        <v>10</v>
      </c>
      <c r="BS17" s="1013">
        <v>36</v>
      </c>
      <c r="BT17" s="1013">
        <v>54</v>
      </c>
      <c r="BU17" s="1013">
        <v>1</v>
      </c>
      <c r="BV17" s="1013">
        <v>5</v>
      </c>
      <c r="BW17" s="1013">
        <v>1</v>
      </c>
      <c r="BX17" s="1013">
        <v>21</v>
      </c>
      <c r="BY17" s="1013">
        <v>21</v>
      </c>
      <c r="BZ17" s="1013">
        <v>101</v>
      </c>
      <c r="CA17" s="1013">
        <v>208</v>
      </c>
      <c r="CB17" s="1013">
        <v>29.733094999999999</v>
      </c>
      <c r="CC17" s="1013">
        <v>-95.381282999999996</v>
      </c>
      <c r="CD17" s="1013" t="s">
        <v>7724</v>
      </c>
      <c r="CE17" s="1013" t="s">
        <v>7724</v>
      </c>
      <c r="CF17" s="1013" t="s">
        <v>7724</v>
      </c>
      <c r="CG17" s="1013" t="s">
        <v>7724</v>
      </c>
      <c r="CH17" s="1013" t="s">
        <v>7732</v>
      </c>
      <c r="CI17" s="1013">
        <v>4399</v>
      </c>
      <c r="CJ17" s="1013" t="s">
        <v>7724</v>
      </c>
      <c r="CK17" s="1013" t="s">
        <v>7724</v>
      </c>
      <c r="CL17" s="1013" t="s">
        <v>7724</v>
      </c>
      <c r="CM17" s="1013" t="s">
        <v>7724</v>
      </c>
      <c r="CN17" s="1013" t="s">
        <v>7724</v>
      </c>
      <c r="CO17" s="1013" t="s">
        <v>7724</v>
      </c>
      <c r="CP17" s="1013" t="s">
        <v>7724</v>
      </c>
      <c r="CQ17" s="1013" t="s">
        <v>7724</v>
      </c>
      <c r="CR17" s="1013" t="s">
        <v>7731</v>
      </c>
      <c r="CS17" s="1013" t="s">
        <v>7724</v>
      </c>
      <c r="CT17" s="1013" t="s">
        <v>7724</v>
      </c>
      <c r="CU17" s="1013" t="s">
        <v>7724</v>
      </c>
      <c r="CV17" s="1013" t="s">
        <v>7724</v>
      </c>
      <c r="CW17" s="1013" t="s">
        <v>7727</v>
      </c>
      <c r="CX17" s="1013" t="s">
        <v>7723</v>
      </c>
      <c r="CY17" s="1013" t="s">
        <v>7723</v>
      </c>
      <c r="CZ17" s="1013">
        <v>5</v>
      </c>
      <c r="DA17" s="1013">
        <v>9</v>
      </c>
      <c r="DB17" s="1013" t="s">
        <v>7727</v>
      </c>
      <c r="DC17" s="1013" t="s">
        <v>7733</v>
      </c>
      <c r="DD17" s="1013" t="s">
        <v>7724</v>
      </c>
      <c r="DE17" s="1013" t="s">
        <v>7724</v>
      </c>
      <c r="DF17" s="1013" t="s">
        <v>7724</v>
      </c>
      <c r="DG17" s="1013" t="s">
        <v>7724</v>
      </c>
      <c r="DH17" s="1013" t="s">
        <v>7724</v>
      </c>
      <c r="DI17" s="1013" t="s">
        <v>7724</v>
      </c>
      <c r="DJ17" s="1013" t="s">
        <v>7724</v>
      </c>
      <c r="DK17" s="1013" t="s">
        <v>7724</v>
      </c>
      <c r="DL17" s="1013" t="s">
        <v>7724</v>
      </c>
      <c r="DM17" s="1013" t="s">
        <v>7724</v>
      </c>
      <c r="DN17" s="1013" t="s">
        <v>7724</v>
      </c>
      <c r="DO17" s="1013" t="s">
        <v>7724</v>
      </c>
      <c r="DP17" s="1013" t="s">
        <v>7724</v>
      </c>
      <c r="DQ17" s="1013" t="s">
        <v>7724</v>
      </c>
      <c r="DR17" s="1013" t="s">
        <v>7724</v>
      </c>
      <c r="DS17" s="1013" t="s">
        <v>7724</v>
      </c>
      <c r="DT17" s="1013" t="s">
        <v>7724</v>
      </c>
      <c r="DU17" s="1013" t="s">
        <v>7724</v>
      </c>
      <c r="DV17" s="1013" t="s">
        <v>7724</v>
      </c>
      <c r="DW17" s="1013" t="s">
        <v>7724</v>
      </c>
      <c r="DX17" s="1013" t="s">
        <v>7724</v>
      </c>
      <c r="DY17" s="1013" t="s">
        <v>7724</v>
      </c>
      <c r="DZ17" s="1013" t="s">
        <v>7724</v>
      </c>
      <c r="EA17" s="1013" t="s">
        <v>7724</v>
      </c>
      <c r="EB17" s="1013" t="s">
        <v>7724</v>
      </c>
      <c r="EC17" s="1013" t="s">
        <v>7724</v>
      </c>
      <c r="ED17" s="1013" t="s">
        <v>7724</v>
      </c>
      <c r="EE17" s="1013" t="s">
        <v>7724</v>
      </c>
      <c r="EF17" s="1013" t="s">
        <v>7724</v>
      </c>
      <c r="EG17" s="1013" t="s">
        <v>7724</v>
      </c>
      <c r="EH17" s="1013" t="s">
        <v>7724</v>
      </c>
      <c r="EI17" s="1013" t="s">
        <v>7724</v>
      </c>
      <c r="EJ17" s="1013" t="s">
        <v>7724</v>
      </c>
      <c r="EK17" s="1013" t="s">
        <v>7724</v>
      </c>
      <c r="EL17" s="1013" t="s">
        <v>7724</v>
      </c>
      <c r="EM17" s="1013" t="s">
        <v>7724</v>
      </c>
      <c r="EN17" s="1013" t="s">
        <v>7724</v>
      </c>
      <c r="EO17" s="1013" t="s">
        <v>7724</v>
      </c>
      <c r="EP17" s="1013" t="s">
        <v>7724</v>
      </c>
      <c r="EQ17" s="1013" t="s">
        <v>7724</v>
      </c>
      <c r="ER17" s="1013" t="s">
        <v>7724</v>
      </c>
      <c r="ES17" s="1013" t="s">
        <v>7724</v>
      </c>
      <c r="ET17" s="1013" t="s">
        <v>7724</v>
      </c>
      <c r="EU17" s="1013" t="s">
        <v>7724</v>
      </c>
      <c r="EV17" s="1013" t="s">
        <v>7724</v>
      </c>
      <c r="EW17" s="1013" t="s">
        <v>7724</v>
      </c>
      <c r="EX17" s="1013" t="s">
        <v>7724</v>
      </c>
      <c r="EY17" s="1013" t="s">
        <v>7724</v>
      </c>
      <c r="EZ17" s="1013" t="s">
        <v>7724</v>
      </c>
      <c r="FA17" s="1013" t="s">
        <v>7724</v>
      </c>
      <c r="FB17" s="1013" t="s">
        <v>7724</v>
      </c>
      <c r="FC17" s="1013" t="s">
        <v>7724</v>
      </c>
      <c r="FD17" s="1013" t="s">
        <v>7724</v>
      </c>
      <c r="FE17" s="1013" t="s">
        <v>7724</v>
      </c>
      <c r="FF17" s="1013" t="s">
        <v>7724</v>
      </c>
      <c r="FG17" s="1013">
        <v>0</v>
      </c>
      <c r="FH17" s="1013">
        <v>0</v>
      </c>
      <c r="FI17" s="1013">
        <v>0</v>
      </c>
      <c r="FJ17" s="1013">
        <v>4</v>
      </c>
      <c r="FK17" s="1013">
        <v>0</v>
      </c>
      <c r="FL17" s="1013">
        <v>0</v>
      </c>
      <c r="FM17" s="1013">
        <v>0</v>
      </c>
      <c r="FN17" s="1013">
        <v>15</v>
      </c>
      <c r="FO17" s="1013">
        <v>29</v>
      </c>
      <c r="FP17" s="1013">
        <v>6</v>
      </c>
      <c r="FQ17" s="1013" t="s">
        <v>7724</v>
      </c>
      <c r="FR17" s="1013" t="s">
        <v>7724</v>
      </c>
      <c r="FS17" s="1013" t="s">
        <v>7724</v>
      </c>
      <c r="FT17" s="1013" t="s">
        <v>7724</v>
      </c>
      <c r="FU17" s="1013" t="s">
        <v>7724</v>
      </c>
      <c r="FV17" s="1013" t="s">
        <v>7724</v>
      </c>
      <c r="FW17" s="1013" t="s">
        <v>7724</v>
      </c>
      <c r="FX17" s="1013" t="s">
        <v>7724</v>
      </c>
      <c r="FY17" s="1013" t="s">
        <v>7724</v>
      </c>
      <c r="FZ17" s="1013" t="s">
        <v>7724</v>
      </c>
      <c r="GA17" s="1013" t="s">
        <v>7724</v>
      </c>
      <c r="GB17" s="1013" t="s">
        <v>7724</v>
      </c>
      <c r="GC17" s="1013">
        <v>2020</v>
      </c>
      <c r="GD17" s="1013" t="s">
        <v>1404</v>
      </c>
      <c r="GE17" s="1013">
        <v>2</v>
      </c>
      <c r="GF17" s="1013" t="s">
        <v>1407</v>
      </c>
      <c r="GG17" s="1013" t="s">
        <v>1407</v>
      </c>
      <c r="GH17" s="1013" t="s">
        <v>7986</v>
      </c>
      <c r="GI17" s="1013" t="s">
        <v>7974</v>
      </c>
      <c r="GJ17" s="1013" t="s">
        <v>7974</v>
      </c>
      <c r="GK17" s="1013" t="s">
        <v>7974</v>
      </c>
      <c r="GL17" s="1013" t="s">
        <v>7974</v>
      </c>
    </row>
    <row r="18" spans="1:194" hidden="1">
      <c r="A18" s="1019">
        <v>85</v>
      </c>
      <c r="B18" s="1019" t="s">
        <v>7722</v>
      </c>
      <c r="C18" s="1019">
        <v>16995819</v>
      </c>
      <c r="D18" s="1019" t="s">
        <v>7723</v>
      </c>
      <c r="E18" s="1022" t="s">
        <v>7723</v>
      </c>
      <c r="F18" s="1019" t="s">
        <v>7723</v>
      </c>
      <c r="G18" s="1019" t="s">
        <v>7723</v>
      </c>
      <c r="H18" s="1019" t="s">
        <v>7723</v>
      </c>
      <c r="I18" s="1019" t="s">
        <v>7723</v>
      </c>
      <c r="J18" s="1019" t="s">
        <v>7723</v>
      </c>
      <c r="K18" s="1019">
        <v>43554</v>
      </c>
      <c r="L18" s="1019">
        <v>0.13541666666666666</v>
      </c>
      <c r="M18" s="1019" t="s">
        <v>7781</v>
      </c>
      <c r="N18" s="1019" t="s">
        <v>7724</v>
      </c>
      <c r="O18" s="1019">
        <v>101</v>
      </c>
      <c r="P18" s="1019">
        <v>208</v>
      </c>
      <c r="Q18" s="1019" t="s">
        <v>7723</v>
      </c>
      <c r="R18" s="1019" t="s">
        <v>7727</v>
      </c>
      <c r="S18" s="1019" t="s">
        <v>7724</v>
      </c>
      <c r="T18" s="1020" t="s">
        <v>7724</v>
      </c>
      <c r="U18" s="1020">
        <v>19</v>
      </c>
      <c r="V18" s="1020" t="s">
        <v>7724</v>
      </c>
      <c r="W18" s="1020" t="s">
        <v>7724</v>
      </c>
      <c r="X18" s="1019">
        <v>1</v>
      </c>
      <c r="Y18" s="1019">
        <v>4200</v>
      </c>
      <c r="Z18" s="1019" t="s">
        <v>7724</v>
      </c>
      <c r="AA18" s="1019" t="s">
        <v>7728</v>
      </c>
      <c r="AB18" s="1013" t="s">
        <v>7724</v>
      </c>
      <c r="AC18" s="1013" t="s">
        <v>7723</v>
      </c>
      <c r="AD18" s="1013" t="s">
        <v>7723</v>
      </c>
      <c r="AE18" s="1013">
        <v>30</v>
      </c>
      <c r="AF18" s="1013" t="s">
        <v>7723</v>
      </c>
      <c r="AG18" s="1013" t="s">
        <v>7723</v>
      </c>
      <c r="AH18" s="1013" t="s">
        <v>7724</v>
      </c>
      <c r="AI18" s="1013" t="s">
        <v>7727</v>
      </c>
      <c r="AJ18" s="1013">
        <v>19</v>
      </c>
      <c r="AK18" s="1013" t="s">
        <v>7724</v>
      </c>
      <c r="AL18" s="1013" t="s">
        <v>7724</v>
      </c>
      <c r="AM18" s="1013">
        <v>1</v>
      </c>
      <c r="AN18" s="1013">
        <v>1100</v>
      </c>
      <c r="AO18" s="1013" t="s">
        <v>7724</v>
      </c>
      <c r="AP18" s="1013" t="s">
        <v>7725</v>
      </c>
      <c r="AQ18" s="1013" t="s">
        <v>7724</v>
      </c>
      <c r="AR18" s="1013" t="s">
        <v>7724</v>
      </c>
      <c r="AS18" s="1013" t="s">
        <v>7724</v>
      </c>
      <c r="AT18" s="1013" t="s">
        <v>7724</v>
      </c>
      <c r="AU18" s="1013" t="s">
        <v>7724</v>
      </c>
      <c r="AV18" s="1013" t="s">
        <v>7724</v>
      </c>
      <c r="AW18" s="1013" t="s">
        <v>7724</v>
      </c>
      <c r="AX18" s="1013">
        <v>11</v>
      </c>
      <c r="AY18" s="1013">
        <v>4</v>
      </c>
      <c r="AZ18" s="1013">
        <v>4</v>
      </c>
      <c r="BA18" s="1013">
        <v>2</v>
      </c>
      <c r="BB18" s="1013">
        <v>1</v>
      </c>
      <c r="BC18" s="1013">
        <v>1</v>
      </c>
      <c r="BD18" s="1013">
        <v>5</v>
      </c>
      <c r="BE18" s="1023">
        <v>0.1388888888888889</v>
      </c>
      <c r="BF18" s="1013" t="s">
        <v>7782</v>
      </c>
      <c r="BG18" s="1023">
        <v>0.1423611111111111</v>
      </c>
      <c r="BH18" s="1024">
        <v>43554</v>
      </c>
      <c r="BI18" s="1013" t="s">
        <v>7727</v>
      </c>
      <c r="BJ18" s="1013" t="s">
        <v>7730</v>
      </c>
      <c r="BK18" s="1013">
        <v>2469</v>
      </c>
      <c r="BL18" s="1013" t="s">
        <v>7724</v>
      </c>
      <c r="BM18" s="1013" t="s">
        <v>7724</v>
      </c>
      <c r="BN18" s="1013">
        <v>113</v>
      </c>
      <c r="BO18" s="1013">
        <v>8</v>
      </c>
      <c r="BP18" s="1013">
        <v>2</v>
      </c>
      <c r="BQ18" s="1013">
        <v>1</v>
      </c>
      <c r="BR18" s="1013">
        <v>10</v>
      </c>
      <c r="BS18" s="1013">
        <v>64</v>
      </c>
      <c r="BT18" s="1013">
        <v>54</v>
      </c>
      <c r="BU18" s="1013">
        <v>1</v>
      </c>
      <c r="BV18" s="1013">
        <v>5</v>
      </c>
      <c r="BW18" s="1013">
        <v>1</v>
      </c>
      <c r="BX18" s="1013">
        <v>21</v>
      </c>
      <c r="BY18" s="1013">
        <v>21</v>
      </c>
      <c r="BZ18" s="1013">
        <v>101</v>
      </c>
      <c r="CA18" s="1013">
        <v>208</v>
      </c>
      <c r="CB18" s="1013">
        <v>29.733094999999999</v>
      </c>
      <c r="CC18" s="1013">
        <v>-95.381282999999996</v>
      </c>
      <c r="CD18" s="1013" t="s">
        <v>7724</v>
      </c>
      <c r="CE18" s="1013" t="s">
        <v>7724</v>
      </c>
      <c r="CF18" s="1013" t="s">
        <v>7724</v>
      </c>
      <c r="CG18" s="1013" t="s">
        <v>7724</v>
      </c>
      <c r="CH18" s="1013" t="s">
        <v>7732</v>
      </c>
      <c r="CI18" s="1013">
        <v>4399</v>
      </c>
      <c r="CJ18" s="1013" t="s">
        <v>7724</v>
      </c>
      <c r="CK18" s="1013" t="s">
        <v>7724</v>
      </c>
      <c r="CL18" s="1013" t="s">
        <v>7724</v>
      </c>
      <c r="CM18" s="1013" t="s">
        <v>7724</v>
      </c>
      <c r="CN18" s="1013" t="s">
        <v>7724</v>
      </c>
      <c r="CO18" s="1013" t="s">
        <v>7724</v>
      </c>
      <c r="CP18" s="1013" t="s">
        <v>7724</v>
      </c>
      <c r="CQ18" s="1013" t="s">
        <v>7724</v>
      </c>
      <c r="CR18" s="1013" t="s">
        <v>7731</v>
      </c>
      <c r="CS18" s="1013" t="s">
        <v>7724</v>
      </c>
      <c r="CT18" s="1013" t="s">
        <v>7724</v>
      </c>
      <c r="CU18" s="1013" t="s">
        <v>7724</v>
      </c>
      <c r="CV18" s="1013" t="s">
        <v>7724</v>
      </c>
      <c r="CW18" s="1013" t="s">
        <v>7727</v>
      </c>
      <c r="CX18" s="1013" t="s">
        <v>7723</v>
      </c>
      <c r="CY18" s="1013" t="s">
        <v>7723</v>
      </c>
      <c r="CZ18" s="1013">
        <v>3</v>
      </c>
      <c r="DA18" s="1013">
        <v>9</v>
      </c>
      <c r="DB18" s="1013" t="s">
        <v>7727</v>
      </c>
      <c r="DC18" s="1013" t="s">
        <v>7733</v>
      </c>
      <c r="DD18" s="1013" t="s">
        <v>7724</v>
      </c>
      <c r="DE18" s="1013" t="s">
        <v>7724</v>
      </c>
      <c r="DF18" s="1013" t="s">
        <v>7724</v>
      </c>
      <c r="DG18" s="1013" t="s">
        <v>7724</v>
      </c>
      <c r="DH18" s="1013" t="s">
        <v>7724</v>
      </c>
      <c r="DI18" s="1013" t="s">
        <v>7724</v>
      </c>
      <c r="DJ18" s="1013" t="s">
        <v>7724</v>
      </c>
      <c r="DK18" s="1013" t="s">
        <v>7724</v>
      </c>
      <c r="DL18" s="1013" t="s">
        <v>7724</v>
      </c>
      <c r="DM18" s="1013" t="s">
        <v>7724</v>
      </c>
      <c r="DN18" s="1013" t="s">
        <v>7724</v>
      </c>
      <c r="DO18" s="1013" t="s">
        <v>7724</v>
      </c>
      <c r="DP18" s="1013" t="s">
        <v>7724</v>
      </c>
      <c r="DQ18" s="1013" t="s">
        <v>7724</v>
      </c>
      <c r="DR18" s="1013" t="s">
        <v>7724</v>
      </c>
      <c r="DS18" s="1013" t="s">
        <v>7724</v>
      </c>
      <c r="DT18" s="1013" t="s">
        <v>7724</v>
      </c>
      <c r="DU18" s="1013" t="s">
        <v>7724</v>
      </c>
      <c r="DV18" s="1013" t="s">
        <v>7724</v>
      </c>
      <c r="DW18" s="1013" t="s">
        <v>7724</v>
      </c>
      <c r="DX18" s="1013" t="s">
        <v>7724</v>
      </c>
      <c r="DY18" s="1013" t="s">
        <v>7724</v>
      </c>
      <c r="DZ18" s="1013" t="s">
        <v>7724</v>
      </c>
      <c r="EA18" s="1013" t="s">
        <v>7724</v>
      </c>
      <c r="EB18" s="1013" t="s">
        <v>7724</v>
      </c>
      <c r="EC18" s="1013" t="s">
        <v>7724</v>
      </c>
      <c r="ED18" s="1013" t="s">
        <v>7724</v>
      </c>
      <c r="EE18" s="1013" t="s">
        <v>7724</v>
      </c>
      <c r="EF18" s="1013" t="s">
        <v>7724</v>
      </c>
      <c r="EG18" s="1013" t="s">
        <v>7724</v>
      </c>
      <c r="EH18" s="1013" t="s">
        <v>7724</v>
      </c>
      <c r="EI18" s="1013" t="s">
        <v>7724</v>
      </c>
      <c r="EJ18" s="1013" t="s">
        <v>7724</v>
      </c>
      <c r="EK18" s="1013" t="s">
        <v>7724</v>
      </c>
      <c r="EL18" s="1013" t="s">
        <v>7724</v>
      </c>
      <c r="EM18" s="1013" t="s">
        <v>7724</v>
      </c>
      <c r="EN18" s="1013" t="s">
        <v>7724</v>
      </c>
      <c r="EO18" s="1013" t="s">
        <v>7724</v>
      </c>
      <c r="EP18" s="1013" t="s">
        <v>7724</v>
      </c>
      <c r="EQ18" s="1013" t="s">
        <v>7724</v>
      </c>
      <c r="ER18" s="1013" t="s">
        <v>7724</v>
      </c>
      <c r="ES18" s="1013" t="s">
        <v>7724</v>
      </c>
      <c r="ET18" s="1013" t="s">
        <v>7724</v>
      </c>
      <c r="EU18" s="1013" t="s">
        <v>7724</v>
      </c>
      <c r="EV18" s="1013" t="s">
        <v>7724</v>
      </c>
      <c r="EW18" s="1013" t="s">
        <v>7724</v>
      </c>
      <c r="EX18" s="1013" t="s">
        <v>7724</v>
      </c>
      <c r="EY18" s="1013" t="s">
        <v>7724</v>
      </c>
      <c r="EZ18" s="1013" t="s">
        <v>7724</v>
      </c>
      <c r="FA18" s="1013" t="s">
        <v>7724</v>
      </c>
      <c r="FB18" s="1013" t="s">
        <v>7724</v>
      </c>
      <c r="FC18" s="1013" t="s">
        <v>7724</v>
      </c>
      <c r="FD18" s="1013" t="s">
        <v>7724</v>
      </c>
      <c r="FE18" s="1013" t="s">
        <v>7724</v>
      </c>
      <c r="FF18" s="1013" t="s">
        <v>7724</v>
      </c>
      <c r="FG18" s="1013">
        <v>0</v>
      </c>
      <c r="FH18" s="1013">
        <v>0</v>
      </c>
      <c r="FI18" s="1013">
        <v>1</v>
      </c>
      <c r="FJ18" s="1013">
        <v>3</v>
      </c>
      <c r="FK18" s="1013">
        <v>0</v>
      </c>
      <c r="FL18" s="1013">
        <v>1</v>
      </c>
      <c r="FM18" s="1013">
        <v>0</v>
      </c>
      <c r="FN18" s="1013">
        <v>15</v>
      </c>
      <c r="FO18" s="1013">
        <v>29</v>
      </c>
      <c r="FP18" s="1013">
        <v>6</v>
      </c>
      <c r="FQ18" s="1013" t="s">
        <v>7724</v>
      </c>
      <c r="FR18" s="1013" t="s">
        <v>7724</v>
      </c>
      <c r="FS18" s="1013" t="s">
        <v>7724</v>
      </c>
      <c r="FT18" s="1013" t="s">
        <v>7724</v>
      </c>
      <c r="FU18" s="1013" t="s">
        <v>7724</v>
      </c>
      <c r="FV18" s="1013" t="s">
        <v>7724</v>
      </c>
      <c r="FW18" s="1013" t="s">
        <v>7724</v>
      </c>
      <c r="FX18" s="1013" t="s">
        <v>7724</v>
      </c>
      <c r="FY18" s="1013" t="s">
        <v>7724</v>
      </c>
      <c r="FZ18" s="1013" t="s">
        <v>7724</v>
      </c>
      <c r="GA18" s="1013" t="s">
        <v>7724</v>
      </c>
      <c r="GB18" s="1013" t="s">
        <v>7724</v>
      </c>
      <c r="GC18" s="1013">
        <v>2019</v>
      </c>
      <c r="GD18" s="1013" t="s">
        <v>1407</v>
      </c>
      <c r="GE18" s="1013">
        <v>2</v>
      </c>
      <c r="GF18" s="1013" t="s">
        <v>1407</v>
      </c>
      <c r="GG18" s="1013" t="s">
        <v>1407</v>
      </c>
      <c r="GH18" s="1013" t="s">
        <v>7987</v>
      </c>
      <c r="GI18" s="1013" t="s">
        <v>7974</v>
      </c>
      <c r="GJ18" s="1013" t="s">
        <v>7974</v>
      </c>
      <c r="GK18" s="1013" t="s">
        <v>7974</v>
      </c>
      <c r="GL18" s="1013" t="s">
        <v>7974</v>
      </c>
    </row>
    <row r="19" spans="1:194" hidden="1">
      <c r="A19" s="1019">
        <v>94</v>
      </c>
      <c r="B19" s="1019" t="s">
        <v>7722</v>
      </c>
      <c r="C19" s="1019">
        <v>17066930</v>
      </c>
      <c r="D19" s="1019" t="s">
        <v>7723</v>
      </c>
      <c r="E19" s="1022" t="s">
        <v>7723</v>
      </c>
      <c r="F19" s="1019" t="s">
        <v>7723</v>
      </c>
      <c r="G19" s="1019" t="s">
        <v>7723</v>
      </c>
      <c r="H19" s="1019" t="s">
        <v>7723</v>
      </c>
      <c r="I19" s="1019" t="s">
        <v>7723</v>
      </c>
      <c r="J19" s="1019" t="s">
        <v>7723</v>
      </c>
      <c r="K19" s="1019">
        <v>43598</v>
      </c>
      <c r="L19" s="1019">
        <v>0.35694444444444445</v>
      </c>
      <c r="M19" s="1019" t="s">
        <v>7797</v>
      </c>
      <c r="N19" s="1019" t="s">
        <v>7724</v>
      </c>
      <c r="O19" s="1019">
        <v>101</v>
      </c>
      <c r="P19" s="1019">
        <v>208</v>
      </c>
      <c r="Q19" s="1019" t="s">
        <v>7723</v>
      </c>
      <c r="R19" s="1019" t="s">
        <v>7727</v>
      </c>
      <c r="S19" s="1019" t="s">
        <v>7724</v>
      </c>
      <c r="T19" s="1020" t="s">
        <v>7724</v>
      </c>
      <c r="U19" s="1020">
        <v>19</v>
      </c>
      <c r="V19" s="1020" t="s">
        <v>7724</v>
      </c>
      <c r="W19" s="1020" t="s">
        <v>7724</v>
      </c>
      <c r="X19" s="1019">
        <v>1</v>
      </c>
      <c r="Y19" s="1019">
        <v>4400</v>
      </c>
      <c r="Z19" s="1019" t="s">
        <v>7724</v>
      </c>
      <c r="AA19" s="1019" t="s">
        <v>7745</v>
      </c>
      <c r="AB19" s="1013" t="s">
        <v>7726</v>
      </c>
      <c r="AC19" s="1013" t="s">
        <v>7723</v>
      </c>
      <c r="AD19" s="1013" t="s">
        <v>7723</v>
      </c>
      <c r="AE19" s="1013">
        <v>35</v>
      </c>
      <c r="AF19" s="1013" t="s">
        <v>7723</v>
      </c>
      <c r="AG19" s="1013" t="s">
        <v>7723</v>
      </c>
      <c r="AH19" s="1013" t="s">
        <v>7724</v>
      </c>
      <c r="AI19" s="1013" t="s">
        <v>7727</v>
      </c>
      <c r="AJ19" s="1013">
        <v>19</v>
      </c>
      <c r="AK19" s="1013" t="s">
        <v>7724</v>
      </c>
      <c r="AL19" s="1013" t="s">
        <v>7724</v>
      </c>
      <c r="AM19" s="1013">
        <v>1</v>
      </c>
      <c r="AN19" s="1013">
        <v>1300</v>
      </c>
      <c r="AO19" s="1013" t="s">
        <v>7724</v>
      </c>
      <c r="AP19" s="1013" t="s">
        <v>7725</v>
      </c>
      <c r="AQ19" s="1013" t="s">
        <v>7735</v>
      </c>
      <c r="AR19" s="1013" t="s">
        <v>7724</v>
      </c>
      <c r="AS19" s="1013" t="s">
        <v>7724</v>
      </c>
      <c r="AT19" s="1013" t="s">
        <v>7724</v>
      </c>
      <c r="AU19" s="1013" t="s">
        <v>7724</v>
      </c>
      <c r="AV19" s="1013" t="s">
        <v>7724</v>
      </c>
      <c r="AW19" s="1013" t="s">
        <v>7724</v>
      </c>
      <c r="AX19" s="1013">
        <v>11</v>
      </c>
      <c r="AY19" s="1013">
        <v>1</v>
      </c>
      <c r="AZ19" s="1013">
        <v>0</v>
      </c>
      <c r="BA19" s="1013">
        <v>3</v>
      </c>
      <c r="BB19" s="1013">
        <v>1</v>
      </c>
      <c r="BC19" s="1013">
        <v>1</v>
      </c>
      <c r="BD19" s="1013">
        <v>8</v>
      </c>
      <c r="BE19" s="1023">
        <v>0.36319444444444443</v>
      </c>
      <c r="BF19" s="1013" t="s">
        <v>7736</v>
      </c>
      <c r="BG19" s="1023">
        <v>0.36875000000000002</v>
      </c>
      <c r="BH19" s="1024">
        <v>43598</v>
      </c>
      <c r="BI19" s="1013" t="s">
        <v>7727</v>
      </c>
      <c r="BJ19" s="1013" t="s">
        <v>7730</v>
      </c>
      <c r="BK19" s="1013">
        <v>2469</v>
      </c>
      <c r="BL19" s="1013" t="s">
        <v>7724</v>
      </c>
      <c r="BM19" s="1013" t="s">
        <v>7724</v>
      </c>
      <c r="BN19" s="1013">
        <v>113</v>
      </c>
      <c r="BO19" s="1013">
        <v>8</v>
      </c>
      <c r="BP19" s="1013">
        <v>2</v>
      </c>
      <c r="BQ19" s="1013">
        <v>1</v>
      </c>
      <c r="BR19" s="1013">
        <v>10</v>
      </c>
      <c r="BS19" s="1013">
        <v>64</v>
      </c>
      <c r="BT19" s="1013">
        <v>54</v>
      </c>
      <c r="BU19" s="1013">
        <v>1</v>
      </c>
      <c r="BV19" s="1013">
        <v>5</v>
      </c>
      <c r="BW19" s="1013">
        <v>1</v>
      </c>
      <c r="BX19" s="1013">
        <v>21</v>
      </c>
      <c r="BY19" s="1013">
        <v>21</v>
      </c>
      <c r="BZ19" s="1013">
        <v>101</v>
      </c>
      <c r="CA19" s="1013">
        <v>208</v>
      </c>
      <c r="CB19" s="1013">
        <v>29.732565000000001</v>
      </c>
      <c r="CC19" s="1013">
        <v>-95.380463000000006</v>
      </c>
      <c r="CD19" s="1013" t="s">
        <v>7724</v>
      </c>
      <c r="CE19" s="1013" t="s">
        <v>7724</v>
      </c>
      <c r="CF19" s="1013" t="s">
        <v>7724</v>
      </c>
      <c r="CG19" s="1013" t="s">
        <v>7724</v>
      </c>
      <c r="CH19" s="1013" t="s">
        <v>7746</v>
      </c>
      <c r="CI19" s="1013" t="s">
        <v>7724</v>
      </c>
      <c r="CJ19" s="1013" t="s">
        <v>7724</v>
      </c>
      <c r="CK19" s="1013" t="s">
        <v>7724</v>
      </c>
      <c r="CL19" s="1013" t="s">
        <v>7724</v>
      </c>
      <c r="CM19" s="1013" t="s">
        <v>7724</v>
      </c>
      <c r="CN19" s="1013" t="s">
        <v>7724</v>
      </c>
      <c r="CO19" s="1013" t="s">
        <v>7724</v>
      </c>
      <c r="CP19" s="1013" t="s">
        <v>7724</v>
      </c>
      <c r="CQ19" s="1013" t="s">
        <v>7724</v>
      </c>
      <c r="CR19" s="1013" t="s">
        <v>7731</v>
      </c>
      <c r="CS19" s="1013" t="s">
        <v>7724</v>
      </c>
      <c r="CT19" s="1013" t="s">
        <v>7724</v>
      </c>
      <c r="CU19" s="1013" t="s">
        <v>7724</v>
      </c>
      <c r="CV19" s="1013" t="s">
        <v>7724</v>
      </c>
      <c r="CW19" s="1013" t="s">
        <v>7727</v>
      </c>
      <c r="CX19" s="1013" t="s">
        <v>7723</v>
      </c>
      <c r="CY19" s="1013" t="s">
        <v>7723</v>
      </c>
      <c r="CZ19" s="1013">
        <v>3</v>
      </c>
      <c r="DA19" s="1013">
        <v>9</v>
      </c>
      <c r="DB19" s="1013" t="s">
        <v>7727</v>
      </c>
      <c r="DC19" s="1013" t="s">
        <v>7743</v>
      </c>
      <c r="DD19" s="1013" t="s">
        <v>7724</v>
      </c>
      <c r="DE19" s="1013" t="s">
        <v>7724</v>
      </c>
      <c r="DF19" s="1013" t="s">
        <v>7724</v>
      </c>
      <c r="DG19" s="1013" t="s">
        <v>7724</v>
      </c>
      <c r="DH19" s="1013" t="s">
        <v>7724</v>
      </c>
      <c r="DI19" s="1013" t="s">
        <v>7724</v>
      </c>
      <c r="DJ19" s="1013" t="s">
        <v>7724</v>
      </c>
      <c r="DK19" s="1013" t="s">
        <v>7724</v>
      </c>
      <c r="DL19" s="1013" t="s">
        <v>7724</v>
      </c>
      <c r="DM19" s="1013" t="s">
        <v>7724</v>
      </c>
      <c r="DN19" s="1013" t="s">
        <v>7724</v>
      </c>
      <c r="DO19" s="1013" t="s">
        <v>7724</v>
      </c>
      <c r="DP19" s="1013" t="s">
        <v>7724</v>
      </c>
      <c r="DQ19" s="1013" t="s">
        <v>7724</v>
      </c>
      <c r="DR19" s="1013" t="s">
        <v>7724</v>
      </c>
      <c r="DS19" s="1013" t="s">
        <v>7724</v>
      </c>
      <c r="DT19" s="1013" t="s">
        <v>7724</v>
      </c>
      <c r="DU19" s="1013" t="s">
        <v>7724</v>
      </c>
      <c r="DV19" s="1013" t="s">
        <v>7724</v>
      </c>
      <c r="DW19" s="1013" t="s">
        <v>7724</v>
      </c>
      <c r="DX19" s="1013" t="s">
        <v>7724</v>
      </c>
      <c r="DY19" s="1013" t="s">
        <v>7724</v>
      </c>
      <c r="DZ19" s="1013" t="s">
        <v>7724</v>
      </c>
      <c r="EA19" s="1013" t="s">
        <v>7724</v>
      </c>
      <c r="EB19" s="1013" t="s">
        <v>7724</v>
      </c>
      <c r="EC19" s="1013" t="s">
        <v>7724</v>
      </c>
      <c r="ED19" s="1013" t="s">
        <v>7724</v>
      </c>
      <c r="EE19" s="1013" t="s">
        <v>7724</v>
      </c>
      <c r="EF19" s="1013" t="s">
        <v>7724</v>
      </c>
      <c r="EG19" s="1013" t="s">
        <v>7724</v>
      </c>
      <c r="EH19" s="1013" t="s">
        <v>7724</v>
      </c>
      <c r="EI19" s="1013" t="s">
        <v>7724</v>
      </c>
      <c r="EJ19" s="1013" t="s">
        <v>7724</v>
      </c>
      <c r="EK19" s="1013" t="s">
        <v>7724</v>
      </c>
      <c r="EL19" s="1013" t="s">
        <v>7724</v>
      </c>
      <c r="EM19" s="1013" t="s">
        <v>7724</v>
      </c>
      <c r="EN19" s="1013" t="s">
        <v>7724</v>
      </c>
      <c r="EO19" s="1013" t="s">
        <v>7724</v>
      </c>
      <c r="EP19" s="1013" t="s">
        <v>7724</v>
      </c>
      <c r="EQ19" s="1013" t="s">
        <v>7724</v>
      </c>
      <c r="ER19" s="1013" t="s">
        <v>7724</v>
      </c>
      <c r="ES19" s="1013" t="s">
        <v>7724</v>
      </c>
      <c r="ET19" s="1013" t="s">
        <v>7724</v>
      </c>
      <c r="EU19" s="1013" t="s">
        <v>7724</v>
      </c>
      <c r="EV19" s="1013" t="s">
        <v>7724</v>
      </c>
      <c r="EW19" s="1013" t="s">
        <v>7724</v>
      </c>
      <c r="EX19" s="1013" t="s">
        <v>7724</v>
      </c>
      <c r="EY19" s="1013" t="s">
        <v>7724</v>
      </c>
      <c r="EZ19" s="1013" t="s">
        <v>7724</v>
      </c>
      <c r="FA19" s="1013" t="s">
        <v>7724</v>
      </c>
      <c r="FB19" s="1013" t="s">
        <v>7724</v>
      </c>
      <c r="FC19" s="1013" t="s">
        <v>7724</v>
      </c>
      <c r="FD19" s="1013" t="s">
        <v>7724</v>
      </c>
      <c r="FE19" s="1013" t="s">
        <v>7724</v>
      </c>
      <c r="FF19" s="1013" t="s">
        <v>7724</v>
      </c>
      <c r="FG19" s="1013">
        <v>0</v>
      </c>
      <c r="FH19" s="1013">
        <v>0</v>
      </c>
      <c r="FI19" s="1013">
        <v>1</v>
      </c>
      <c r="FJ19" s="1013">
        <v>1</v>
      </c>
      <c r="FK19" s="1013">
        <v>0</v>
      </c>
      <c r="FL19" s="1013">
        <v>1</v>
      </c>
      <c r="FM19" s="1013">
        <v>0</v>
      </c>
      <c r="FN19" s="1013">
        <v>15</v>
      </c>
      <c r="FO19" s="1013">
        <v>29</v>
      </c>
      <c r="FP19" s="1013">
        <v>6</v>
      </c>
      <c r="FQ19" s="1013" t="s">
        <v>7724</v>
      </c>
      <c r="FR19" s="1013" t="s">
        <v>7724</v>
      </c>
      <c r="FS19" s="1013" t="s">
        <v>7724</v>
      </c>
      <c r="FT19" s="1013" t="s">
        <v>7724</v>
      </c>
      <c r="FU19" s="1013" t="s">
        <v>7724</v>
      </c>
      <c r="FV19" s="1013" t="s">
        <v>7724</v>
      </c>
      <c r="FW19" s="1013" t="s">
        <v>7724</v>
      </c>
      <c r="FX19" s="1013" t="s">
        <v>7724</v>
      </c>
      <c r="FY19" s="1013" t="s">
        <v>7724</v>
      </c>
      <c r="FZ19" s="1013" t="s">
        <v>7724</v>
      </c>
      <c r="GA19" s="1013" t="s">
        <v>7724</v>
      </c>
      <c r="GB19" s="1013" t="s">
        <v>7724</v>
      </c>
      <c r="GC19" s="1013">
        <v>2019</v>
      </c>
      <c r="GD19" s="1013" t="s">
        <v>1407</v>
      </c>
      <c r="GE19" s="1013">
        <v>2</v>
      </c>
      <c r="GF19" s="1013" t="s">
        <v>1407</v>
      </c>
      <c r="GG19" s="1013" t="s">
        <v>1407</v>
      </c>
      <c r="GH19" s="1013" t="s">
        <v>7975</v>
      </c>
      <c r="GI19" s="1013" t="s">
        <v>7974</v>
      </c>
      <c r="GJ19" s="1013" t="s">
        <v>7974</v>
      </c>
      <c r="GK19" s="1013" t="s">
        <v>7974</v>
      </c>
      <c r="GL19" s="1013" t="s">
        <v>7974</v>
      </c>
    </row>
    <row r="20" spans="1:194" hidden="1">
      <c r="A20" s="1019">
        <v>99</v>
      </c>
      <c r="B20" s="1019" t="s">
        <v>7722</v>
      </c>
      <c r="C20" s="1019">
        <v>17119220</v>
      </c>
      <c r="D20" s="1019" t="s">
        <v>7723</v>
      </c>
      <c r="E20" s="1022" t="s">
        <v>7723</v>
      </c>
      <c r="F20" s="1019" t="s">
        <v>7723</v>
      </c>
      <c r="G20" s="1019" t="s">
        <v>7723</v>
      </c>
      <c r="H20" s="1019" t="s">
        <v>7723</v>
      </c>
      <c r="I20" s="1019" t="s">
        <v>7723</v>
      </c>
      <c r="J20" s="1019" t="s">
        <v>7723</v>
      </c>
      <c r="K20" s="1019">
        <v>43623</v>
      </c>
      <c r="L20" s="1019">
        <v>0.66666666666666663</v>
      </c>
      <c r="M20" s="1019" t="s">
        <v>7800</v>
      </c>
      <c r="N20" s="1019" t="s">
        <v>7724</v>
      </c>
      <c r="O20" s="1019">
        <v>101</v>
      </c>
      <c r="P20" s="1019">
        <v>208</v>
      </c>
      <c r="Q20" s="1019" t="s">
        <v>7723</v>
      </c>
      <c r="R20" s="1019" t="s">
        <v>7727</v>
      </c>
      <c r="S20" s="1019" t="s">
        <v>7724</v>
      </c>
      <c r="T20" s="1020" t="s">
        <v>7724</v>
      </c>
      <c r="U20" s="1020">
        <v>19</v>
      </c>
      <c r="V20" s="1020" t="s">
        <v>7724</v>
      </c>
      <c r="W20" s="1020" t="s">
        <v>7724</v>
      </c>
      <c r="X20" s="1019">
        <v>1</v>
      </c>
      <c r="Y20" s="1019">
        <v>4300</v>
      </c>
      <c r="Z20" s="1019" t="s">
        <v>7724</v>
      </c>
      <c r="AA20" s="1019" t="s">
        <v>7745</v>
      </c>
      <c r="AB20" s="1013" t="s">
        <v>7726</v>
      </c>
      <c r="AC20" s="1013" t="s">
        <v>7723</v>
      </c>
      <c r="AD20" s="1013" t="s">
        <v>7723</v>
      </c>
      <c r="AE20" s="1013">
        <v>30</v>
      </c>
      <c r="AF20" s="1013" t="s">
        <v>7723</v>
      </c>
      <c r="AG20" s="1013" t="s">
        <v>7723</v>
      </c>
      <c r="AH20" s="1013" t="s">
        <v>7739</v>
      </c>
      <c r="AI20" s="1013" t="s">
        <v>7727</v>
      </c>
      <c r="AJ20" s="1013">
        <v>19</v>
      </c>
      <c r="AK20" s="1013" t="s">
        <v>7724</v>
      </c>
      <c r="AL20" s="1013" t="s">
        <v>7724</v>
      </c>
      <c r="AM20" s="1013">
        <v>1</v>
      </c>
      <c r="AN20" s="1013">
        <v>1200</v>
      </c>
      <c r="AO20" s="1013" t="s">
        <v>7724</v>
      </c>
      <c r="AP20" s="1013" t="s">
        <v>7725</v>
      </c>
      <c r="AQ20" s="1013" t="s">
        <v>7726</v>
      </c>
      <c r="AR20" s="1013" t="s">
        <v>7724</v>
      </c>
      <c r="AS20" s="1013" t="s">
        <v>7724</v>
      </c>
      <c r="AT20" s="1013" t="s">
        <v>7724</v>
      </c>
      <c r="AU20" s="1013" t="s">
        <v>7724</v>
      </c>
      <c r="AV20" s="1013" t="s">
        <v>7724</v>
      </c>
      <c r="AW20" s="1013" t="s">
        <v>7724</v>
      </c>
      <c r="AX20" s="1013">
        <v>11</v>
      </c>
      <c r="AY20" s="1013">
        <v>1</v>
      </c>
      <c r="AZ20" s="1013">
        <v>4</v>
      </c>
      <c r="BA20" s="1013">
        <v>3</v>
      </c>
      <c r="BB20" s="1013">
        <v>1</v>
      </c>
      <c r="BC20" s="1013">
        <v>1</v>
      </c>
      <c r="BD20" s="1013">
        <v>8</v>
      </c>
      <c r="BE20" s="1023">
        <v>0.67152777777777772</v>
      </c>
      <c r="BF20" s="1013" t="s">
        <v>7748</v>
      </c>
      <c r="BG20" s="1023">
        <v>0.67638888888888893</v>
      </c>
      <c r="BH20" s="1024">
        <v>43623</v>
      </c>
      <c r="BI20" s="1013" t="s">
        <v>7727</v>
      </c>
      <c r="BJ20" s="1013" t="s">
        <v>7730</v>
      </c>
      <c r="BK20" s="1013">
        <v>2469</v>
      </c>
      <c r="BL20" s="1013" t="s">
        <v>7724</v>
      </c>
      <c r="BM20" s="1013" t="s">
        <v>7724</v>
      </c>
      <c r="BN20" s="1013">
        <v>113</v>
      </c>
      <c r="BO20" s="1013">
        <v>8</v>
      </c>
      <c r="BP20" s="1013">
        <v>2</v>
      </c>
      <c r="BQ20" s="1013">
        <v>1</v>
      </c>
      <c r="BR20" s="1013">
        <v>34</v>
      </c>
      <c r="BS20" s="1013">
        <v>64</v>
      </c>
      <c r="BT20" s="1013">
        <v>54</v>
      </c>
      <c r="BU20" s="1013">
        <v>1</v>
      </c>
      <c r="BV20" s="1013">
        <v>5</v>
      </c>
      <c r="BW20" s="1013">
        <v>1</v>
      </c>
      <c r="BX20" s="1013">
        <v>21</v>
      </c>
      <c r="BY20" s="1013">
        <v>21</v>
      </c>
      <c r="BZ20" s="1013">
        <v>101</v>
      </c>
      <c r="CA20" s="1013">
        <v>208</v>
      </c>
      <c r="CB20" s="1013">
        <v>29.732565000000001</v>
      </c>
      <c r="CC20" s="1013">
        <v>-95.380463000000006</v>
      </c>
      <c r="CD20" s="1013" t="s">
        <v>7724</v>
      </c>
      <c r="CE20" s="1013" t="s">
        <v>7724</v>
      </c>
      <c r="CF20" s="1013" t="s">
        <v>7724</v>
      </c>
      <c r="CG20" s="1013" t="s">
        <v>7724</v>
      </c>
      <c r="CH20" s="1013" t="s">
        <v>7746</v>
      </c>
      <c r="CI20" s="1013" t="s">
        <v>7724</v>
      </c>
      <c r="CJ20" s="1013" t="s">
        <v>7724</v>
      </c>
      <c r="CK20" s="1013" t="s">
        <v>7724</v>
      </c>
      <c r="CL20" s="1013" t="s">
        <v>7724</v>
      </c>
      <c r="CM20" s="1013" t="s">
        <v>7724</v>
      </c>
      <c r="CN20" s="1013" t="s">
        <v>7724</v>
      </c>
      <c r="CO20" s="1013" t="s">
        <v>7724</v>
      </c>
      <c r="CP20" s="1013" t="s">
        <v>7724</v>
      </c>
      <c r="CQ20" s="1013" t="s">
        <v>7724</v>
      </c>
      <c r="CR20" s="1013" t="s">
        <v>7731</v>
      </c>
      <c r="CS20" s="1013" t="s">
        <v>7724</v>
      </c>
      <c r="CT20" s="1013" t="s">
        <v>7724</v>
      </c>
      <c r="CU20" s="1013" t="s">
        <v>7724</v>
      </c>
      <c r="CV20" s="1013" t="s">
        <v>7724</v>
      </c>
      <c r="CW20" s="1013" t="s">
        <v>7727</v>
      </c>
      <c r="CX20" s="1013" t="s">
        <v>7723</v>
      </c>
      <c r="CY20" s="1013" t="s">
        <v>7723</v>
      </c>
      <c r="CZ20" s="1013">
        <v>3</v>
      </c>
      <c r="DA20" s="1013">
        <v>9</v>
      </c>
      <c r="DB20" s="1013" t="s">
        <v>7727</v>
      </c>
      <c r="DC20" s="1013" t="s">
        <v>7759</v>
      </c>
      <c r="DD20" s="1013" t="s">
        <v>7724</v>
      </c>
      <c r="DE20" s="1013" t="s">
        <v>7724</v>
      </c>
      <c r="DF20" s="1013" t="s">
        <v>7724</v>
      </c>
      <c r="DG20" s="1013" t="s">
        <v>7724</v>
      </c>
      <c r="DH20" s="1013" t="s">
        <v>7724</v>
      </c>
      <c r="DI20" s="1013" t="s">
        <v>7724</v>
      </c>
      <c r="DJ20" s="1013" t="s">
        <v>7724</v>
      </c>
      <c r="DK20" s="1013" t="s">
        <v>7724</v>
      </c>
      <c r="DL20" s="1013" t="s">
        <v>7724</v>
      </c>
      <c r="DM20" s="1013" t="s">
        <v>7724</v>
      </c>
      <c r="DN20" s="1013" t="s">
        <v>7724</v>
      </c>
      <c r="DO20" s="1013" t="s">
        <v>7724</v>
      </c>
      <c r="DP20" s="1013" t="s">
        <v>7724</v>
      </c>
      <c r="DQ20" s="1013" t="s">
        <v>7724</v>
      </c>
      <c r="DR20" s="1013" t="s">
        <v>7724</v>
      </c>
      <c r="DS20" s="1013" t="s">
        <v>7724</v>
      </c>
      <c r="DT20" s="1013" t="s">
        <v>7724</v>
      </c>
      <c r="DU20" s="1013" t="s">
        <v>7724</v>
      </c>
      <c r="DV20" s="1013" t="s">
        <v>7724</v>
      </c>
      <c r="DW20" s="1013" t="s">
        <v>7724</v>
      </c>
      <c r="DX20" s="1013" t="s">
        <v>7724</v>
      </c>
      <c r="DY20" s="1013" t="s">
        <v>7724</v>
      </c>
      <c r="DZ20" s="1013" t="s">
        <v>7724</v>
      </c>
      <c r="EA20" s="1013" t="s">
        <v>7724</v>
      </c>
      <c r="EB20" s="1013" t="s">
        <v>7724</v>
      </c>
      <c r="EC20" s="1013" t="s">
        <v>7724</v>
      </c>
      <c r="ED20" s="1013" t="s">
        <v>7724</v>
      </c>
      <c r="EE20" s="1013" t="s">
        <v>7724</v>
      </c>
      <c r="EF20" s="1013" t="s">
        <v>7724</v>
      </c>
      <c r="EG20" s="1013" t="s">
        <v>7724</v>
      </c>
      <c r="EH20" s="1013" t="s">
        <v>7724</v>
      </c>
      <c r="EI20" s="1013" t="s">
        <v>7724</v>
      </c>
      <c r="EJ20" s="1013" t="s">
        <v>7724</v>
      </c>
      <c r="EK20" s="1013" t="s">
        <v>7724</v>
      </c>
      <c r="EL20" s="1013" t="s">
        <v>7724</v>
      </c>
      <c r="EM20" s="1013" t="s">
        <v>7724</v>
      </c>
      <c r="EN20" s="1013" t="s">
        <v>7724</v>
      </c>
      <c r="EO20" s="1013" t="s">
        <v>7724</v>
      </c>
      <c r="EP20" s="1013" t="s">
        <v>7724</v>
      </c>
      <c r="EQ20" s="1013" t="s">
        <v>7724</v>
      </c>
      <c r="ER20" s="1013" t="s">
        <v>7724</v>
      </c>
      <c r="ES20" s="1013" t="s">
        <v>7724</v>
      </c>
      <c r="ET20" s="1013" t="s">
        <v>7724</v>
      </c>
      <c r="EU20" s="1013" t="s">
        <v>7724</v>
      </c>
      <c r="EV20" s="1013" t="s">
        <v>7724</v>
      </c>
      <c r="EW20" s="1013" t="s">
        <v>7724</v>
      </c>
      <c r="EX20" s="1013" t="s">
        <v>7724</v>
      </c>
      <c r="EY20" s="1013" t="s">
        <v>7724</v>
      </c>
      <c r="EZ20" s="1013" t="s">
        <v>7724</v>
      </c>
      <c r="FA20" s="1013" t="s">
        <v>7724</v>
      </c>
      <c r="FB20" s="1013" t="s">
        <v>7724</v>
      </c>
      <c r="FC20" s="1013" t="s">
        <v>7724</v>
      </c>
      <c r="FD20" s="1013" t="s">
        <v>7724</v>
      </c>
      <c r="FE20" s="1013" t="s">
        <v>7724</v>
      </c>
      <c r="FF20" s="1013" t="s">
        <v>7724</v>
      </c>
      <c r="FG20" s="1013">
        <v>0</v>
      </c>
      <c r="FH20" s="1013">
        <v>0</v>
      </c>
      <c r="FI20" s="1013">
        <v>2</v>
      </c>
      <c r="FJ20" s="1013">
        <v>3</v>
      </c>
      <c r="FK20" s="1013">
        <v>0</v>
      </c>
      <c r="FL20" s="1013">
        <v>2</v>
      </c>
      <c r="FM20" s="1013">
        <v>0</v>
      </c>
      <c r="FN20" s="1013">
        <v>15</v>
      </c>
      <c r="FO20" s="1013">
        <v>29</v>
      </c>
      <c r="FP20" s="1013">
        <v>6</v>
      </c>
      <c r="FQ20" s="1013" t="s">
        <v>7724</v>
      </c>
      <c r="FR20" s="1013" t="s">
        <v>7724</v>
      </c>
      <c r="FS20" s="1013" t="s">
        <v>7724</v>
      </c>
      <c r="FT20" s="1013" t="s">
        <v>7724</v>
      </c>
      <c r="FU20" s="1013" t="s">
        <v>7724</v>
      </c>
      <c r="FV20" s="1013" t="s">
        <v>7724</v>
      </c>
      <c r="FW20" s="1013" t="s">
        <v>7724</v>
      </c>
      <c r="FX20" s="1013" t="s">
        <v>7724</v>
      </c>
      <c r="FY20" s="1013" t="s">
        <v>7724</v>
      </c>
      <c r="FZ20" s="1013" t="s">
        <v>7724</v>
      </c>
      <c r="GA20" s="1013" t="s">
        <v>7724</v>
      </c>
      <c r="GB20" s="1013" t="s">
        <v>7724</v>
      </c>
      <c r="GC20" s="1013">
        <v>2019</v>
      </c>
      <c r="GD20" s="1013" t="s">
        <v>1407</v>
      </c>
      <c r="GE20" s="1013">
        <v>2</v>
      </c>
      <c r="GF20" s="1013" t="s">
        <v>1407</v>
      </c>
      <c r="GG20" s="1013" t="s">
        <v>1407</v>
      </c>
      <c r="GH20" s="1013" t="s">
        <v>7975</v>
      </c>
      <c r="GI20" s="1013" t="s">
        <v>7974</v>
      </c>
      <c r="GJ20" s="1013" t="s">
        <v>7974</v>
      </c>
      <c r="GK20" s="1013" t="s">
        <v>7974</v>
      </c>
      <c r="GL20" s="1013" t="s">
        <v>7974</v>
      </c>
    </row>
    <row r="21" spans="1:194">
      <c r="A21" s="1019">
        <v>100</v>
      </c>
      <c r="B21" s="1019" t="s">
        <v>7722</v>
      </c>
      <c r="C21" s="1019">
        <v>17162431</v>
      </c>
      <c r="D21" s="1019" t="s">
        <v>7723</v>
      </c>
      <c r="E21" s="1022" t="s">
        <v>7723</v>
      </c>
      <c r="F21" s="1019" t="s">
        <v>7723</v>
      </c>
      <c r="G21" s="1019" t="s">
        <v>7723</v>
      </c>
      <c r="H21" s="1019" t="s">
        <v>7723</v>
      </c>
      <c r="I21" s="1019" t="s">
        <v>7723</v>
      </c>
      <c r="J21" s="1019" t="s">
        <v>7723</v>
      </c>
      <c r="K21" s="1019">
        <v>43629</v>
      </c>
      <c r="L21" s="1019">
        <v>0.2013888888888889</v>
      </c>
      <c r="M21" s="1019" t="s">
        <v>7749</v>
      </c>
      <c r="N21" s="1019" t="s">
        <v>7724</v>
      </c>
      <c r="O21" s="1019">
        <v>101</v>
      </c>
      <c r="P21" s="1019">
        <v>208</v>
      </c>
      <c r="Q21" s="1019" t="s">
        <v>7723</v>
      </c>
      <c r="R21" s="1019" t="s">
        <v>7727</v>
      </c>
      <c r="S21" s="1019" t="s">
        <v>7724</v>
      </c>
      <c r="T21" s="1020" t="s">
        <v>7724</v>
      </c>
      <c r="U21" s="1020">
        <v>19</v>
      </c>
      <c r="V21" s="1020" t="s">
        <v>7724</v>
      </c>
      <c r="W21" s="1020" t="s">
        <v>7724</v>
      </c>
      <c r="X21" s="1019">
        <v>1</v>
      </c>
      <c r="Y21" s="1019">
        <v>4400</v>
      </c>
      <c r="Z21" s="1019" t="s">
        <v>7724</v>
      </c>
      <c r="AA21" s="1019" t="s">
        <v>7728</v>
      </c>
      <c r="AB21" s="1013" t="s">
        <v>7724</v>
      </c>
      <c r="AC21" s="1013" t="s">
        <v>7723</v>
      </c>
      <c r="AD21" s="1013" t="s">
        <v>7723</v>
      </c>
      <c r="AE21" s="1013">
        <v>40</v>
      </c>
      <c r="AF21" s="1013" t="s">
        <v>7723</v>
      </c>
      <c r="AG21" s="1013" t="s">
        <v>7723</v>
      </c>
      <c r="AH21" s="1013" t="s">
        <v>7739</v>
      </c>
      <c r="AI21" s="1013" t="s">
        <v>7727</v>
      </c>
      <c r="AJ21" s="1013">
        <v>19</v>
      </c>
      <c r="AK21" s="1013" t="s">
        <v>7724</v>
      </c>
      <c r="AL21" s="1013" t="s">
        <v>7724</v>
      </c>
      <c r="AM21" s="1013">
        <v>1</v>
      </c>
      <c r="AN21" s="1013">
        <v>1100</v>
      </c>
      <c r="AO21" s="1013" t="s">
        <v>7724</v>
      </c>
      <c r="AP21" s="1013" t="s">
        <v>7725</v>
      </c>
      <c r="AQ21" s="1013" t="s">
        <v>7724</v>
      </c>
      <c r="AR21" s="1013" t="s">
        <v>7724</v>
      </c>
      <c r="AS21" s="1013" t="s">
        <v>7724</v>
      </c>
      <c r="AT21" s="1013" t="s">
        <v>7724</v>
      </c>
      <c r="AU21" s="1013" t="s">
        <v>7724</v>
      </c>
      <c r="AV21" s="1013" t="s">
        <v>7724</v>
      </c>
      <c r="AW21" s="1013" t="s">
        <v>7724</v>
      </c>
      <c r="AX21" s="1013">
        <v>11</v>
      </c>
      <c r="AY21" s="1013">
        <v>4</v>
      </c>
      <c r="AZ21" s="1013">
        <v>4</v>
      </c>
      <c r="BA21" s="1013">
        <v>2</v>
      </c>
      <c r="BB21" s="1013">
        <v>1</v>
      </c>
      <c r="BC21" s="1013">
        <v>1</v>
      </c>
      <c r="BD21" s="1013">
        <v>5</v>
      </c>
      <c r="BE21" s="1023">
        <v>0.23541666666666666</v>
      </c>
      <c r="BF21" s="1013" t="s">
        <v>7729</v>
      </c>
      <c r="BG21" s="1023">
        <v>0.24652777777777779</v>
      </c>
      <c r="BH21" s="1024">
        <v>43650</v>
      </c>
      <c r="BI21" s="1013" t="s">
        <v>7727</v>
      </c>
      <c r="BJ21" s="1013" t="s">
        <v>7730</v>
      </c>
      <c r="BK21" s="1013">
        <v>2469</v>
      </c>
      <c r="BL21" s="1013" t="s">
        <v>7724</v>
      </c>
      <c r="BM21" s="1013" t="s">
        <v>7724</v>
      </c>
      <c r="BN21" s="1013">
        <v>113</v>
      </c>
      <c r="BO21" s="1013">
        <v>8</v>
      </c>
      <c r="BP21" s="1013">
        <v>5</v>
      </c>
      <c r="BQ21" s="1013">
        <v>2</v>
      </c>
      <c r="BR21" s="1013">
        <v>3</v>
      </c>
      <c r="BS21" s="1013">
        <v>64</v>
      </c>
      <c r="BT21" s="1013">
        <v>54</v>
      </c>
      <c r="BU21" s="1013">
        <v>1</v>
      </c>
      <c r="BV21" s="1013">
        <v>5</v>
      </c>
      <c r="BW21" s="1013">
        <v>1</v>
      </c>
      <c r="BX21" s="1013">
        <v>21</v>
      </c>
      <c r="BY21" s="1013">
        <v>21</v>
      </c>
      <c r="BZ21" s="1013">
        <v>101</v>
      </c>
      <c r="CA21" s="1013">
        <v>208</v>
      </c>
      <c r="CB21" s="1013">
        <v>29.733094999999999</v>
      </c>
      <c r="CC21" s="1013">
        <v>-95.381282999999996</v>
      </c>
      <c r="CD21" s="1013" t="s">
        <v>7724</v>
      </c>
      <c r="CE21" s="1013" t="s">
        <v>7724</v>
      </c>
      <c r="CF21" s="1013" t="s">
        <v>7724</v>
      </c>
      <c r="CG21" s="1013" t="s">
        <v>7724</v>
      </c>
      <c r="CH21" s="1013" t="s">
        <v>7732</v>
      </c>
      <c r="CI21" s="1013">
        <v>4399</v>
      </c>
      <c r="CJ21" s="1013" t="s">
        <v>7724</v>
      </c>
      <c r="CK21" s="1013" t="s">
        <v>7724</v>
      </c>
      <c r="CL21" s="1013" t="s">
        <v>7724</v>
      </c>
      <c r="CM21" s="1013" t="s">
        <v>7724</v>
      </c>
      <c r="CN21" s="1013" t="s">
        <v>7724</v>
      </c>
      <c r="CO21" s="1013" t="s">
        <v>7724</v>
      </c>
      <c r="CP21" s="1013" t="s">
        <v>7724</v>
      </c>
      <c r="CQ21" s="1013" t="s">
        <v>7724</v>
      </c>
      <c r="CR21" s="1013" t="s">
        <v>7731</v>
      </c>
      <c r="CS21" s="1013" t="s">
        <v>7724</v>
      </c>
      <c r="CT21" s="1013" t="s">
        <v>7724</v>
      </c>
      <c r="CU21" s="1013" t="s">
        <v>7724</v>
      </c>
      <c r="CV21" s="1013" t="s">
        <v>7724</v>
      </c>
      <c r="CW21" s="1013" t="s">
        <v>7727</v>
      </c>
      <c r="CX21" s="1013" t="s">
        <v>7723</v>
      </c>
      <c r="CY21" s="1013" t="s">
        <v>7723</v>
      </c>
      <c r="CZ21" s="1013">
        <v>2</v>
      </c>
      <c r="DA21" s="1013">
        <v>9</v>
      </c>
      <c r="DB21" s="1013" t="s">
        <v>7727</v>
      </c>
      <c r="DC21" s="1013" t="s">
        <v>7740</v>
      </c>
      <c r="DD21" s="1013" t="s">
        <v>7724</v>
      </c>
      <c r="DE21" s="1013" t="s">
        <v>7724</v>
      </c>
      <c r="DF21" s="1013" t="s">
        <v>7724</v>
      </c>
      <c r="DG21" s="1013" t="s">
        <v>7724</v>
      </c>
      <c r="DH21" s="1013" t="s">
        <v>7724</v>
      </c>
      <c r="DI21" s="1013" t="s">
        <v>7724</v>
      </c>
      <c r="DJ21" s="1013" t="s">
        <v>7724</v>
      </c>
      <c r="DK21" s="1013" t="s">
        <v>7724</v>
      </c>
      <c r="DL21" s="1013" t="s">
        <v>7724</v>
      </c>
      <c r="DM21" s="1013" t="s">
        <v>7724</v>
      </c>
      <c r="DN21" s="1013" t="s">
        <v>7724</v>
      </c>
      <c r="DO21" s="1013" t="s">
        <v>7724</v>
      </c>
      <c r="DP21" s="1013" t="s">
        <v>7724</v>
      </c>
      <c r="DQ21" s="1013" t="s">
        <v>7724</v>
      </c>
      <c r="DR21" s="1013" t="s">
        <v>7724</v>
      </c>
      <c r="DS21" s="1013" t="s">
        <v>7724</v>
      </c>
      <c r="DT21" s="1013" t="s">
        <v>7724</v>
      </c>
      <c r="DU21" s="1013" t="s">
        <v>7724</v>
      </c>
      <c r="DV21" s="1013" t="s">
        <v>7724</v>
      </c>
      <c r="DW21" s="1013" t="s">
        <v>7724</v>
      </c>
      <c r="DX21" s="1013" t="s">
        <v>7724</v>
      </c>
      <c r="DY21" s="1013" t="s">
        <v>7724</v>
      </c>
      <c r="DZ21" s="1013" t="s">
        <v>7724</v>
      </c>
      <c r="EA21" s="1013" t="s">
        <v>7724</v>
      </c>
      <c r="EB21" s="1013" t="s">
        <v>7724</v>
      </c>
      <c r="EC21" s="1013" t="s">
        <v>7724</v>
      </c>
      <c r="ED21" s="1013" t="s">
        <v>7724</v>
      </c>
      <c r="EE21" s="1013" t="s">
        <v>7724</v>
      </c>
      <c r="EF21" s="1013" t="s">
        <v>7724</v>
      </c>
      <c r="EG21" s="1013" t="s">
        <v>7724</v>
      </c>
      <c r="EH21" s="1013" t="s">
        <v>7724</v>
      </c>
      <c r="EI21" s="1013" t="s">
        <v>7724</v>
      </c>
      <c r="EJ21" s="1013" t="s">
        <v>7724</v>
      </c>
      <c r="EK21" s="1013" t="s">
        <v>7724</v>
      </c>
      <c r="EL21" s="1013" t="s">
        <v>7724</v>
      </c>
      <c r="EM21" s="1013" t="s">
        <v>7724</v>
      </c>
      <c r="EN21" s="1013" t="s">
        <v>7724</v>
      </c>
      <c r="EO21" s="1013" t="s">
        <v>7724</v>
      </c>
      <c r="EP21" s="1013" t="s">
        <v>7724</v>
      </c>
      <c r="EQ21" s="1013" t="s">
        <v>7724</v>
      </c>
      <c r="ER21" s="1013" t="s">
        <v>7724</v>
      </c>
      <c r="ES21" s="1013" t="s">
        <v>7724</v>
      </c>
      <c r="ET21" s="1013" t="s">
        <v>7724</v>
      </c>
      <c r="EU21" s="1013" t="s">
        <v>7724</v>
      </c>
      <c r="EV21" s="1013" t="s">
        <v>7724</v>
      </c>
      <c r="EW21" s="1013" t="s">
        <v>7724</v>
      </c>
      <c r="EX21" s="1013" t="s">
        <v>7724</v>
      </c>
      <c r="EY21" s="1013" t="s">
        <v>7724</v>
      </c>
      <c r="EZ21" s="1013" t="s">
        <v>7724</v>
      </c>
      <c r="FA21" s="1013" t="s">
        <v>7724</v>
      </c>
      <c r="FB21" s="1013" t="s">
        <v>7724</v>
      </c>
      <c r="FC21" s="1013" t="s">
        <v>7724</v>
      </c>
      <c r="FD21" s="1013" t="s">
        <v>7724</v>
      </c>
      <c r="FE21" s="1013" t="s">
        <v>7724</v>
      </c>
      <c r="FF21" s="1013" t="s">
        <v>7724</v>
      </c>
      <c r="FG21" s="1013">
        <v>0</v>
      </c>
      <c r="FH21" s="1013">
        <v>1</v>
      </c>
      <c r="FI21" s="1013">
        <v>0</v>
      </c>
      <c r="FJ21" s="1013">
        <v>1</v>
      </c>
      <c r="FK21" s="1013">
        <v>0</v>
      </c>
      <c r="FL21" s="1013">
        <v>1</v>
      </c>
      <c r="FM21" s="1013">
        <v>0</v>
      </c>
      <c r="FN21" s="1013">
        <v>15</v>
      </c>
      <c r="FO21" s="1013">
        <v>29</v>
      </c>
      <c r="FP21" s="1013">
        <v>6</v>
      </c>
      <c r="FQ21" s="1013" t="s">
        <v>7724</v>
      </c>
      <c r="FR21" s="1013" t="s">
        <v>7724</v>
      </c>
      <c r="FS21" s="1013" t="s">
        <v>7724</v>
      </c>
      <c r="FT21" s="1013" t="s">
        <v>7724</v>
      </c>
      <c r="FU21" s="1013" t="s">
        <v>7724</v>
      </c>
      <c r="FV21" s="1013" t="s">
        <v>7724</v>
      </c>
      <c r="FW21" s="1013" t="s">
        <v>7724</v>
      </c>
      <c r="FX21" s="1013" t="s">
        <v>7724</v>
      </c>
      <c r="FY21" s="1013" t="s">
        <v>7724</v>
      </c>
      <c r="FZ21" s="1013" t="s">
        <v>7724</v>
      </c>
      <c r="GA21" s="1013" t="s">
        <v>7724</v>
      </c>
      <c r="GB21" s="1013" t="s">
        <v>7724</v>
      </c>
      <c r="GC21" s="1013">
        <v>2019</v>
      </c>
      <c r="GD21" s="1013" t="s">
        <v>1407</v>
      </c>
      <c r="GE21" s="1013">
        <v>2</v>
      </c>
      <c r="GF21" s="1013" t="s">
        <v>1407</v>
      </c>
      <c r="GG21" s="1013" t="s">
        <v>1404</v>
      </c>
      <c r="GH21" s="1013" t="s">
        <v>7988</v>
      </c>
      <c r="GI21" s="1013" t="s">
        <v>7974</v>
      </c>
      <c r="GJ21" s="1013" t="s">
        <v>7974</v>
      </c>
      <c r="GK21" s="1013" t="s">
        <v>7974</v>
      </c>
      <c r="GL21" s="1013" t="s">
        <v>7974</v>
      </c>
    </row>
    <row r="22" spans="1:194" hidden="1">
      <c r="A22" s="1019">
        <v>101</v>
      </c>
      <c r="B22" s="1019" t="s">
        <v>7722</v>
      </c>
      <c r="C22" s="1019">
        <v>17174732</v>
      </c>
      <c r="D22" s="1019" t="s">
        <v>7723</v>
      </c>
      <c r="E22" s="1022" t="s">
        <v>7723</v>
      </c>
      <c r="F22" s="1019" t="s">
        <v>7723</v>
      </c>
      <c r="G22" s="1019" t="s">
        <v>7723</v>
      </c>
      <c r="H22" s="1019" t="s">
        <v>7723</v>
      </c>
      <c r="I22" s="1019" t="s">
        <v>7723</v>
      </c>
      <c r="J22" s="1019" t="s">
        <v>7723</v>
      </c>
      <c r="K22" s="1019">
        <v>43656</v>
      </c>
      <c r="L22" s="1019">
        <v>0.74722222222222223</v>
      </c>
      <c r="M22" s="1019" t="s">
        <v>7801</v>
      </c>
      <c r="N22" s="1019" t="s">
        <v>7724</v>
      </c>
      <c r="O22" s="1019">
        <v>101</v>
      </c>
      <c r="P22" s="1019">
        <v>208</v>
      </c>
      <c r="Q22" s="1019" t="s">
        <v>7723</v>
      </c>
      <c r="R22" s="1019" t="s">
        <v>7727</v>
      </c>
      <c r="S22" s="1019" t="s">
        <v>7724</v>
      </c>
      <c r="T22" s="1020" t="s">
        <v>7724</v>
      </c>
      <c r="U22" s="1020">
        <v>19</v>
      </c>
      <c r="V22" s="1020" t="s">
        <v>7724</v>
      </c>
      <c r="W22" s="1020" t="s">
        <v>7724</v>
      </c>
      <c r="X22" s="1019">
        <v>1</v>
      </c>
      <c r="Y22" s="1019">
        <v>4400</v>
      </c>
      <c r="Z22" s="1019" t="s">
        <v>7724</v>
      </c>
      <c r="AA22" s="1019" t="s">
        <v>7728</v>
      </c>
      <c r="AB22" s="1013" t="s">
        <v>7726</v>
      </c>
      <c r="AC22" s="1013" t="s">
        <v>7723</v>
      </c>
      <c r="AD22" s="1013" t="s">
        <v>7723</v>
      </c>
      <c r="AE22" s="1013">
        <v>35</v>
      </c>
      <c r="AF22" s="1013" t="s">
        <v>7723</v>
      </c>
      <c r="AG22" s="1013" t="s">
        <v>7723</v>
      </c>
      <c r="AH22" s="1013" t="s">
        <v>7739</v>
      </c>
      <c r="AI22" s="1013" t="s">
        <v>7727</v>
      </c>
      <c r="AJ22" s="1013">
        <v>19</v>
      </c>
      <c r="AK22" s="1013" t="s">
        <v>7724</v>
      </c>
      <c r="AL22" s="1013" t="s">
        <v>7724</v>
      </c>
      <c r="AM22" s="1013">
        <v>1</v>
      </c>
      <c r="AN22" s="1013">
        <v>1100</v>
      </c>
      <c r="AO22" s="1013" t="s">
        <v>7724</v>
      </c>
      <c r="AP22" s="1013" t="s">
        <v>7725</v>
      </c>
      <c r="AQ22" s="1013" t="s">
        <v>7726</v>
      </c>
      <c r="AR22" s="1013" t="s">
        <v>7724</v>
      </c>
      <c r="AS22" s="1013" t="s">
        <v>7724</v>
      </c>
      <c r="AT22" s="1013" t="s">
        <v>7724</v>
      </c>
      <c r="AU22" s="1013" t="s">
        <v>7724</v>
      </c>
      <c r="AV22" s="1013" t="s">
        <v>7724</v>
      </c>
      <c r="AW22" s="1013" t="s">
        <v>7724</v>
      </c>
      <c r="AX22" s="1013">
        <v>11</v>
      </c>
      <c r="AY22" s="1013">
        <v>1</v>
      </c>
      <c r="AZ22" s="1013">
        <v>4</v>
      </c>
      <c r="BA22" s="1013">
        <v>1</v>
      </c>
      <c r="BB22" s="1013">
        <v>1</v>
      </c>
      <c r="BC22" s="1013">
        <v>1</v>
      </c>
      <c r="BD22" s="1013">
        <v>20</v>
      </c>
      <c r="BE22" s="1023">
        <v>0.76180555555555551</v>
      </c>
      <c r="BF22" s="1013" t="s">
        <v>7729</v>
      </c>
      <c r="BG22" s="1023">
        <v>0.76597222222222228</v>
      </c>
      <c r="BH22" s="1024">
        <v>43656</v>
      </c>
      <c r="BI22" s="1013" t="s">
        <v>7727</v>
      </c>
      <c r="BJ22" s="1013" t="s">
        <v>7730</v>
      </c>
      <c r="BK22" s="1013">
        <v>2469</v>
      </c>
      <c r="BL22" s="1013" t="s">
        <v>7724</v>
      </c>
      <c r="BM22" s="1013" t="s">
        <v>7724</v>
      </c>
      <c r="BN22" s="1013">
        <v>113</v>
      </c>
      <c r="BO22" s="1013">
        <v>8</v>
      </c>
      <c r="BP22" s="1013">
        <v>2</v>
      </c>
      <c r="BQ22" s="1013">
        <v>1</v>
      </c>
      <c r="BR22" s="1013">
        <v>10</v>
      </c>
      <c r="BS22" s="1013">
        <v>64</v>
      </c>
      <c r="BT22" s="1013">
        <v>54</v>
      </c>
      <c r="BU22" s="1013">
        <v>1</v>
      </c>
      <c r="BV22" s="1013">
        <v>5</v>
      </c>
      <c r="BW22" s="1013">
        <v>1</v>
      </c>
      <c r="BX22" s="1013">
        <v>21</v>
      </c>
      <c r="BY22" s="1013">
        <v>21</v>
      </c>
      <c r="BZ22" s="1013">
        <v>101</v>
      </c>
      <c r="CA22" s="1013">
        <v>208</v>
      </c>
      <c r="CB22" s="1013">
        <v>29.733094999999999</v>
      </c>
      <c r="CC22" s="1013">
        <v>-95.381282999999996</v>
      </c>
      <c r="CD22" s="1013" t="s">
        <v>7724</v>
      </c>
      <c r="CE22" s="1013" t="s">
        <v>7724</v>
      </c>
      <c r="CF22" s="1013" t="s">
        <v>7724</v>
      </c>
      <c r="CG22" s="1013" t="s">
        <v>7724</v>
      </c>
      <c r="CH22" s="1013" t="s">
        <v>7732</v>
      </c>
      <c r="CI22" s="1013">
        <v>4399</v>
      </c>
      <c r="CJ22" s="1013" t="s">
        <v>7724</v>
      </c>
      <c r="CK22" s="1013" t="s">
        <v>7724</v>
      </c>
      <c r="CL22" s="1013" t="s">
        <v>7724</v>
      </c>
      <c r="CM22" s="1013" t="s">
        <v>7724</v>
      </c>
      <c r="CN22" s="1013" t="s">
        <v>7724</v>
      </c>
      <c r="CO22" s="1013" t="s">
        <v>7724</v>
      </c>
      <c r="CP22" s="1013" t="s">
        <v>7724</v>
      </c>
      <c r="CQ22" s="1013" t="s">
        <v>7724</v>
      </c>
      <c r="CR22" s="1013" t="s">
        <v>7731</v>
      </c>
      <c r="CS22" s="1013" t="s">
        <v>7724</v>
      </c>
      <c r="CT22" s="1013" t="s">
        <v>7724</v>
      </c>
      <c r="CU22" s="1013" t="s">
        <v>7724</v>
      </c>
      <c r="CV22" s="1013" t="s">
        <v>7724</v>
      </c>
      <c r="CW22" s="1013" t="s">
        <v>7727</v>
      </c>
      <c r="CX22" s="1013" t="s">
        <v>7723</v>
      </c>
      <c r="CY22" s="1013" t="s">
        <v>7723</v>
      </c>
      <c r="CZ22" s="1013">
        <v>3</v>
      </c>
      <c r="DA22" s="1013">
        <v>9</v>
      </c>
      <c r="DB22" s="1013" t="s">
        <v>7727</v>
      </c>
      <c r="DC22" s="1013" t="s">
        <v>7756</v>
      </c>
      <c r="DD22" s="1013" t="s">
        <v>7724</v>
      </c>
      <c r="DE22" s="1013" t="s">
        <v>7724</v>
      </c>
      <c r="DF22" s="1013" t="s">
        <v>7724</v>
      </c>
      <c r="DG22" s="1013" t="s">
        <v>7724</v>
      </c>
      <c r="DH22" s="1013" t="s">
        <v>7724</v>
      </c>
      <c r="DI22" s="1013" t="s">
        <v>7724</v>
      </c>
      <c r="DJ22" s="1013" t="s">
        <v>7724</v>
      </c>
      <c r="DK22" s="1013" t="s">
        <v>7724</v>
      </c>
      <c r="DL22" s="1013" t="s">
        <v>7724</v>
      </c>
      <c r="DM22" s="1013" t="s">
        <v>7724</v>
      </c>
      <c r="DN22" s="1013" t="s">
        <v>7724</v>
      </c>
      <c r="DO22" s="1013" t="s">
        <v>7724</v>
      </c>
      <c r="DP22" s="1013" t="s">
        <v>7724</v>
      </c>
      <c r="DQ22" s="1013" t="s">
        <v>7724</v>
      </c>
      <c r="DR22" s="1013" t="s">
        <v>7724</v>
      </c>
      <c r="DS22" s="1013" t="s">
        <v>7724</v>
      </c>
      <c r="DT22" s="1013" t="s">
        <v>7724</v>
      </c>
      <c r="DU22" s="1013" t="s">
        <v>7724</v>
      </c>
      <c r="DV22" s="1013" t="s">
        <v>7724</v>
      </c>
      <c r="DW22" s="1013" t="s">
        <v>7724</v>
      </c>
      <c r="DX22" s="1013" t="s">
        <v>7724</v>
      </c>
      <c r="DY22" s="1013" t="s">
        <v>7724</v>
      </c>
      <c r="DZ22" s="1013" t="s">
        <v>7724</v>
      </c>
      <c r="EA22" s="1013" t="s">
        <v>7724</v>
      </c>
      <c r="EB22" s="1013" t="s">
        <v>7724</v>
      </c>
      <c r="EC22" s="1013" t="s">
        <v>7724</v>
      </c>
      <c r="ED22" s="1013" t="s">
        <v>7724</v>
      </c>
      <c r="EE22" s="1013" t="s">
        <v>7724</v>
      </c>
      <c r="EF22" s="1013" t="s">
        <v>7724</v>
      </c>
      <c r="EG22" s="1013" t="s">
        <v>7724</v>
      </c>
      <c r="EH22" s="1013" t="s">
        <v>7724</v>
      </c>
      <c r="EI22" s="1013" t="s">
        <v>7724</v>
      </c>
      <c r="EJ22" s="1013" t="s">
        <v>7724</v>
      </c>
      <c r="EK22" s="1013" t="s">
        <v>7724</v>
      </c>
      <c r="EL22" s="1013" t="s">
        <v>7724</v>
      </c>
      <c r="EM22" s="1013" t="s">
        <v>7724</v>
      </c>
      <c r="EN22" s="1013" t="s">
        <v>7724</v>
      </c>
      <c r="EO22" s="1013" t="s">
        <v>7724</v>
      </c>
      <c r="EP22" s="1013" t="s">
        <v>7724</v>
      </c>
      <c r="EQ22" s="1013" t="s">
        <v>7724</v>
      </c>
      <c r="ER22" s="1013" t="s">
        <v>7724</v>
      </c>
      <c r="ES22" s="1013" t="s">
        <v>7724</v>
      </c>
      <c r="ET22" s="1013" t="s">
        <v>7724</v>
      </c>
      <c r="EU22" s="1013" t="s">
        <v>7724</v>
      </c>
      <c r="EV22" s="1013" t="s">
        <v>7724</v>
      </c>
      <c r="EW22" s="1013" t="s">
        <v>7724</v>
      </c>
      <c r="EX22" s="1013" t="s">
        <v>7724</v>
      </c>
      <c r="EY22" s="1013" t="s">
        <v>7724</v>
      </c>
      <c r="EZ22" s="1013" t="s">
        <v>7724</v>
      </c>
      <c r="FA22" s="1013" t="s">
        <v>7724</v>
      </c>
      <c r="FB22" s="1013" t="s">
        <v>7724</v>
      </c>
      <c r="FC22" s="1013" t="s">
        <v>7724</v>
      </c>
      <c r="FD22" s="1013" t="s">
        <v>7724</v>
      </c>
      <c r="FE22" s="1013" t="s">
        <v>7724</v>
      </c>
      <c r="FF22" s="1013" t="s">
        <v>7724</v>
      </c>
      <c r="FG22" s="1013">
        <v>0</v>
      </c>
      <c r="FH22" s="1013">
        <v>0</v>
      </c>
      <c r="FI22" s="1013">
        <v>2</v>
      </c>
      <c r="FJ22" s="1013">
        <v>0</v>
      </c>
      <c r="FK22" s="1013">
        <v>0</v>
      </c>
      <c r="FL22" s="1013">
        <v>2</v>
      </c>
      <c r="FM22" s="1013">
        <v>0</v>
      </c>
      <c r="FN22" s="1013">
        <v>15</v>
      </c>
      <c r="FO22" s="1013">
        <v>29</v>
      </c>
      <c r="FP22" s="1013">
        <v>6</v>
      </c>
      <c r="FQ22" s="1013" t="s">
        <v>7724</v>
      </c>
      <c r="FR22" s="1013" t="s">
        <v>7724</v>
      </c>
      <c r="FS22" s="1013" t="s">
        <v>7724</v>
      </c>
      <c r="FT22" s="1013" t="s">
        <v>7724</v>
      </c>
      <c r="FU22" s="1013" t="s">
        <v>7724</v>
      </c>
      <c r="FV22" s="1013" t="s">
        <v>7724</v>
      </c>
      <c r="FW22" s="1013" t="s">
        <v>7724</v>
      </c>
      <c r="FX22" s="1013" t="s">
        <v>7724</v>
      </c>
      <c r="FY22" s="1013" t="s">
        <v>7724</v>
      </c>
      <c r="FZ22" s="1013" t="s">
        <v>7724</v>
      </c>
      <c r="GA22" s="1013" t="s">
        <v>7724</v>
      </c>
      <c r="GB22" s="1013" t="s">
        <v>7724</v>
      </c>
      <c r="GC22" s="1013">
        <v>2019</v>
      </c>
      <c r="GD22" s="1013" t="s">
        <v>1407</v>
      </c>
      <c r="GE22" s="1013">
        <v>2</v>
      </c>
      <c r="GF22" s="1013" t="s">
        <v>1407</v>
      </c>
      <c r="GG22" s="1013" t="s">
        <v>1407</v>
      </c>
      <c r="GH22" s="1013" t="s">
        <v>7976</v>
      </c>
      <c r="GI22" s="1013" t="s">
        <v>7974</v>
      </c>
      <c r="GJ22" s="1013" t="s">
        <v>7974</v>
      </c>
      <c r="GK22" s="1013" t="s">
        <v>7974</v>
      </c>
      <c r="GL22" s="1013" t="s">
        <v>7974</v>
      </c>
    </row>
    <row r="23" spans="1:194" hidden="1">
      <c r="A23" s="1019">
        <v>103</v>
      </c>
      <c r="B23" s="1019" t="s">
        <v>7722</v>
      </c>
      <c r="C23" s="1019">
        <v>17189857</v>
      </c>
      <c r="D23" s="1019" t="s">
        <v>7723</v>
      </c>
      <c r="E23" s="1022" t="s">
        <v>7723</v>
      </c>
      <c r="F23" s="1019" t="s">
        <v>7723</v>
      </c>
      <c r="G23" s="1019" t="s">
        <v>7723</v>
      </c>
      <c r="H23" s="1019" t="s">
        <v>7723</v>
      </c>
      <c r="I23" s="1019" t="s">
        <v>7723</v>
      </c>
      <c r="J23" s="1019" t="s">
        <v>7723</v>
      </c>
      <c r="K23" s="1019">
        <v>43663</v>
      </c>
      <c r="L23" s="1019">
        <v>0.73472222222222228</v>
      </c>
      <c r="M23" s="1019" t="s">
        <v>7803</v>
      </c>
      <c r="N23" s="1019" t="s">
        <v>7724</v>
      </c>
      <c r="O23" s="1019">
        <v>101</v>
      </c>
      <c r="P23" s="1019">
        <v>208</v>
      </c>
      <c r="Q23" s="1019" t="s">
        <v>7723</v>
      </c>
      <c r="R23" s="1019" t="s">
        <v>7727</v>
      </c>
      <c r="S23" s="1019" t="s">
        <v>7724</v>
      </c>
      <c r="T23" s="1020" t="s">
        <v>7724</v>
      </c>
      <c r="U23" s="1020">
        <v>19</v>
      </c>
      <c r="V23" s="1020" t="s">
        <v>7724</v>
      </c>
      <c r="W23" s="1020" t="s">
        <v>7724</v>
      </c>
      <c r="X23" s="1019">
        <v>1</v>
      </c>
      <c r="Y23" s="1019">
        <v>4400</v>
      </c>
      <c r="Z23" s="1019" t="s">
        <v>7724</v>
      </c>
      <c r="AA23" s="1019" t="s">
        <v>7728</v>
      </c>
      <c r="AB23" s="1013" t="s">
        <v>7726</v>
      </c>
      <c r="AC23" s="1013" t="s">
        <v>7723</v>
      </c>
      <c r="AD23" s="1013" t="s">
        <v>7723</v>
      </c>
      <c r="AE23" s="1013">
        <v>30</v>
      </c>
      <c r="AF23" s="1013" t="s">
        <v>7723</v>
      </c>
      <c r="AG23" s="1013" t="s">
        <v>7723</v>
      </c>
      <c r="AH23" s="1013" t="s">
        <v>7739</v>
      </c>
      <c r="AI23" s="1013" t="s">
        <v>7727</v>
      </c>
      <c r="AJ23" s="1013">
        <v>19</v>
      </c>
      <c r="AK23" s="1013" t="s">
        <v>7724</v>
      </c>
      <c r="AL23" s="1013" t="s">
        <v>7724</v>
      </c>
      <c r="AM23" s="1013">
        <v>1</v>
      </c>
      <c r="AN23" s="1013">
        <v>1200</v>
      </c>
      <c r="AO23" s="1013" t="s">
        <v>7724</v>
      </c>
      <c r="AP23" s="1013" t="s">
        <v>7725</v>
      </c>
      <c r="AQ23" s="1013" t="s">
        <v>7726</v>
      </c>
      <c r="AR23" s="1013" t="s">
        <v>7724</v>
      </c>
      <c r="AS23" s="1013" t="s">
        <v>7724</v>
      </c>
      <c r="AT23" s="1013" t="s">
        <v>7724</v>
      </c>
      <c r="AU23" s="1013" t="s">
        <v>7724</v>
      </c>
      <c r="AV23" s="1013" t="s">
        <v>7724</v>
      </c>
      <c r="AW23" s="1013" t="s">
        <v>7724</v>
      </c>
      <c r="AX23" s="1013">
        <v>11</v>
      </c>
      <c r="AY23" s="1013">
        <v>1</v>
      </c>
      <c r="AZ23" s="1013">
        <v>0</v>
      </c>
      <c r="BA23" s="1013">
        <v>1</v>
      </c>
      <c r="BB23" s="1013">
        <v>1</v>
      </c>
      <c r="BC23" s="1013">
        <v>1</v>
      </c>
      <c r="BD23" s="1013">
        <v>1</v>
      </c>
      <c r="BE23" s="1023">
        <v>0.74861111111111112</v>
      </c>
      <c r="BF23" s="1013" t="s">
        <v>7782</v>
      </c>
      <c r="BG23" s="1023">
        <v>0.74861111111111112</v>
      </c>
      <c r="BH23" s="1024">
        <v>43663</v>
      </c>
      <c r="BI23" s="1013" t="s">
        <v>7727</v>
      </c>
      <c r="BJ23" s="1013" t="s">
        <v>7730</v>
      </c>
      <c r="BK23" s="1013">
        <v>2469</v>
      </c>
      <c r="BL23" s="1013" t="s">
        <v>7724</v>
      </c>
      <c r="BM23" s="1013" t="s">
        <v>7724</v>
      </c>
      <c r="BN23" s="1013">
        <v>113</v>
      </c>
      <c r="BO23" s="1013">
        <v>8</v>
      </c>
      <c r="BP23" s="1013">
        <v>2</v>
      </c>
      <c r="BQ23" s="1013">
        <v>1</v>
      </c>
      <c r="BR23" s="1013">
        <v>10</v>
      </c>
      <c r="BS23" s="1013">
        <v>64</v>
      </c>
      <c r="BT23" s="1013">
        <v>3</v>
      </c>
      <c r="BU23" s="1013">
        <v>1</v>
      </c>
      <c r="BV23" s="1013">
        <v>5</v>
      </c>
      <c r="BW23" s="1013">
        <v>1</v>
      </c>
      <c r="BX23" s="1013">
        <v>21</v>
      </c>
      <c r="BY23" s="1013">
        <v>21</v>
      </c>
      <c r="BZ23" s="1013">
        <v>101</v>
      </c>
      <c r="CA23" s="1013">
        <v>208</v>
      </c>
      <c r="CB23" s="1013">
        <v>29.733094999999999</v>
      </c>
      <c r="CC23" s="1013">
        <v>-95.381282999999996</v>
      </c>
      <c r="CD23" s="1013" t="s">
        <v>7724</v>
      </c>
      <c r="CE23" s="1013" t="s">
        <v>7724</v>
      </c>
      <c r="CF23" s="1013" t="s">
        <v>7724</v>
      </c>
      <c r="CG23" s="1013" t="s">
        <v>7724</v>
      </c>
      <c r="CH23" s="1013" t="s">
        <v>7732</v>
      </c>
      <c r="CI23" s="1013">
        <v>4399</v>
      </c>
      <c r="CJ23" s="1013" t="s">
        <v>7724</v>
      </c>
      <c r="CK23" s="1013" t="s">
        <v>7724</v>
      </c>
      <c r="CL23" s="1013" t="s">
        <v>7724</v>
      </c>
      <c r="CM23" s="1013" t="s">
        <v>7724</v>
      </c>
      <c r="CN23" s="1013" t="s">
        <v>7724</v>
      </c>
      <c r="CO23" s="1013" t="s">
        <v>7724</v>
      </c>
      <c r="CP23" s="1013" t="s">
        <v>7724</v>
      </c>
      <c r="CQ23" s="1013" t="s">
        <v>7724</v>
      </c>
      <c r="CR23" s="1013" t="s">
        <v>7731</v>
      </c>
      <c r="CS23" s="1013" t="s">
        <v>7724</v>
      </c>
      <c r="CT23" s="1013" t="s">
        <v>7724</v>
      </c>
      <c r="CU23" s="1013" t="s">
        <v>7724</v>
      </c>
      <c r="CV23" s="1013" t="s">
        <v>7724</v>
      </c>
      <c r="CW23" s="1013" t="s">
        <v>7727</v>
      </c>
      <c r="CX23" s="1013" t="s">
        <v>7723</v>
      </c>
      <c r="CY23" s="1013" t="s">
        <v>7723</v>
      </c>
      <c r="CZ23" s="1013">
        <v>5</v>
      </c>
      <c r="DA23" s="1013">
        <v>9</v>
      </c>
      <c r="DB23" s="1013" t="s">
        <v>7727</v>
      </c>
      <c r="DC23" s="1013" t="s">
        <v>7756</v>
      </c>
      <c r="DD23" s="1013" t="s">
        <v>7724</v>
      </c>
      <c r="DE23" s="1013" t="s">
        <v>7724</v>
      </c>
      <c r="DF23" s="1013" t="s">
        <v>7724</v>
      </c>
      <c r="DG23" s="1013" t="s">
        <v>7724</v>
      </c>
      <c r="DH23" s="1013" t="s">
        <v>7724</v>
      </c>
      <c r="DI23" s="1013" t="s">
        <v>7724</v>
      </c>
      <c r="DJ23" s="1013" t="s">
        <v>7724</v>
      </c>
      <c r="DK23" s="1013" t="s">
        <v>7724</v>
      </c>
      <c r="DL23" s="1013" t="s">
        <v>7724</v>
      </c>
      <c r="DM23" s="1013" t="s">
        <v>7724</v>
      </c>
      <c r="DN23" s="1013" t="s">
        <v>7724</v>
      </c>
      <c r="DO23" s="1013" t="s">
        <v>7724</v>
      </c>
      <c r="DP23" s="1013" t="s">
        <v>7724</v>
      </c>
      <c r="DQ23" s="1013" t="s">
        <v>7724</v>
      </c>
      <c r="DR23" s="1013" t="s">
        <v>7724</v>
      </c>
      <c r="DS23" s="1013" t="s">
        <v>7724</v>
      </c>
      <c r="DT23" s="1013" t="s">
        <v>7724</v>
      </c>
      <c r="DU23" s="1013" t="s">
        <v>7724</v>
      </c>
      <c r="DV23" s="1013" t="s">
        <v>7724</v>
      </c>
      <c r="DW23" s="1013" t="s">
        <v>7724</v>
      </c>
      <c r="DX23" s="1013" t="s">
        <v>7724</v>
      </c>
      <c r="DY23" s="1013" t="s">
        <v>7724</v>
      </c>
      <c r="DZ23" s="1013" t="s">
        <v>7724</v>
      </c>
      <c r="EA23" s="1013" t="s">
        <v>7724</v>
      </c>
      <c r="EB23" s="1013" t="s">
        <v>7724</v>
      </c>
      <c r="EC23" s="1013" t="s">
        <v>7724</v>
      </c>
      <c r="ED23" s="1013" t="s">
        <v>7724</v>
      </c>
      <c r="EE23" s="1013" t="s">
        <v>7724</v>
      </c>
      <c r="EF23" s="1013" t="s">
        <v>7724</v>
      </c>
      <c r="EG23" s="1013" t="s">
        <v>7724</v>
      </c>
      <c r="EH23" s="1013" t="s">
        <v>7724</v>
      </c>
      <c r="EI23" s="1013" t="s">
        <v>7724</v>
      </c>
      <c r="EJ23" s="1013" t="s">
        <v>7724</v>
      </c>
      <c r="EK23" s="1013" t="s">
        <v>7724</v>
      </c>
      <c r="EL23" s="1013" t="s">
        <v>7724</v>
      </c>
      <c r="EM23" s="1013" t="s">
        <v>7724</v>
      </c>
      <c r="EN23" s="1013" t="s">
        <v>7724</v>
      </c>
      <c r="EO23" s="1013" t="s">
        <v>7724</v>
      </c>
      <c r="EP23" s="1013" t="s">
        <v>7724</v>
      </c>
      <c r="EQ23" s="1013" t="s">
        <v>7724</v>
      </c>
      <c r="ER23" s="1013" t="s">
        <v>7724</v>
      </c>
      <c r="ES23" s="1013" t="s">
        <v>7724</v>
      </c>
      <c r="ET23" s="1013" t="s">
        <v>7724</v>
      </c>
      <c r="EU23" s="1013" t="s">
        <v>7724</v>
      </c>
      <c r="EV23" s="1013" t="s">
        <v>7724</v>
      </c>
      <c r="EW23" s="1013" t="s">
        <v>7724</v>
      </c>
      <c r="EX23" s="1013" t="s">
        <v>7724</v>
      </c>
      <c r="EY23" s="1013" t="s">
        <v>7724</v>
      </c>
      <c r="EZ23" s="1013" t="s">
        <v>7724</v>
      </c>
      <c r="FA23" s="1013" t="s">
        <v>7724</v>
      </c>
      <c r="FB23" s="1013" t="s">
        <v>7724</v>
      </c>
      <c r="FC23" s="1013" t="s">
        <v>7724</v>
      </c>
      <c r="FD23" s="1013" t="s">
        <v>7724</v>
      </c>
      <c r="FE23" s="1013" t="s">
        <v>7724</v>
      </c>
      <c r="FF23" s="1013" t="s">
        <v>7724</v>
      </c>
      <c r="FG23" s="1013">
        <v>0</v>
      </c>
      <c r="FH23" s="1013">
        <v>0</v>
      </c>
      <c r="FI23" s="1013">
        <v>0</v>
      </c>
      <c r="FJ23" s="1013">
        <v>2</v>
      </c>
      <c r="FK23" s="1013">
        <v>0</v>
      </c>
      <c r="FL23" s="1013">
        <v>0</v>
      </c>
      <c r="FM23" s="1013">
        <v>0</v>
      </c>
      <c r="FN23" s="1013">
        <v>15</v>
      </c>
      <c r="FO23" s="1013">
        <v>29</v>
      </c>
      <c r="FP23" s="1013">
        <v>6</v>
      </c>
      <c r="FQ23" s="1013" t="s">
        <v>7724</v>
      </c>
      <c r="FR23" s="1013" t="s">
        <v>7724</v>
      </c>
      <c r="FS23" s="1013" t="s">
        <v>7724</v>
      </c>
      <c r="FT23" s="1013" t="s">
        <v>7724</v>
      </c>
      <c r="FU23" s="1013" t="s">
        <v>7724</v>
      </c>
      <c r="FV23" s="1013" t="s">
        <v>7724</v>
      </c>
      <c r="FW23" s="1013" t="s">
        <v>7724</v>
      </c>
      <c r="FX23" s="1013" t="s">
        <v>7724</v>
      </c>
      <c r="FY23" s="1013" t="s">
        <v>7724</v>
      </c>
      <c r="FZ23" s="1013" t="s">
        <v>7724</v>
      </c>
      <c r="GA23" s="1013" t="s">
        <v>7724</v>
      </c>
      <c r="GB23" s="1013" t="s">
        <v>7724</v>
      </c>
      <c r="GC23" s="1013">
        <v>2019</v>
      </c>
      <c r="GD23" s="1013" t="s">
        <v>1404</v>
      </c>
      <c r="GE23" s="1013">
        <v>2</v>
      </c>
      <c r="GF23" s="1013" t="s">
        <v>1407</v>
      </c>
      <c r="GG23" s="1013" t="s">
        <v>1407</v>
      </c>
      <c r="GH23" s="1013" t="s">
        <v>7989</v>
      </c>
      <c r="GI23" s="1013" t="s">
        <v>7974</v>
      </c>
      <c r="GJ23" s="1013" t="s">
        <v>7974</v>
      </c>
      <c r="GK23" s="1013" t="s">
        <v>7990</v>
      </c>
      <c r="GL23" s="1013" t="s">
        <v>7991</v>
      </c>
    </row>
    <row r="24" spans="1:194" hidden="1">
      <c r="A24" s="1019">
        <v>106</v>
      </c>
      <c r="B24" s="1019" t="s">
        <v>7722</v>
      </c>
      <c r="C24" s="1019">
        <v>17212804</v>
      </c>
      <c r="D24" s="1019" t="s">
        <v>7723</v>
      </c>
      <c r="E24" s="1022" t="s">
        <v>7723</v>
      </c>
      <c r="F24" s="1019" t="s">
        <v>7723</v>
      </c>
      <c r="G24" s="1019" t="s">
        <v>7723</v>
      </c>
      <c r="H24" s="1019" t="s">
        <v>7723</v>
      </c>
      <c r="I24" s="1019" t="s">
        <v>7723</v>
      </c>
      <c r="J24" s="1019" t="s">
        <v>7723</v>
      </c>
      <c r="K24" s="1019">
        <v>43679</v>
      </c>
      <c r="L24" s="1019">
        <v>0.60763888888888884</v>
      </c>
      <c r="M24" s="1019" t="s">
        <v>7805</v>
      </c>
      <c r="N24" s="1019" t="s">
        <v>7724</v>
      </c>
      <c r="O24" s="1019">
        <v>101</v>
      </c>
      <c r="P24" s="1019">
        <v>208</v>
      </c>
      <c r="Q24" s="1019" t="s">
        <v>7723</v>
      </c>
      <c r="R24" s="1019" t="s">
        <v>7727</v>
      </c>
      <c r="S24" s="1019" t="s">
        <v>7724</v>
      </c>
      <c r="T24" s="1020" t="s">
        <v>7724</v>
      </c>
      <c r="U24" s="1020">
        <v>19</v>
      </c>
      <c r="V24" s="1020" t="s">
        <v>7724</v>
      </c>
      <c r="W24" s="1020" t="s">
        <v>7724</v>
      </c>
      <c r="X24" s="1019">
        <v>1</v>
      </c>
      <c r="Y24" s="1019">
        <v>4400</v>
      </c>
      <c r="Z24" s="1019" t="s">
        <v>7724</v>
      </c>
      <c r="AA24" s="1019" t="s">
        <v>7728</v>
      </c>
      <c r="AB24" s="1013" t="s">
        <v>7726</v>
      </c>
      <c r="AC24" s="1013" t="s">
        <v>7723</v>
      </c>
      <c r="AD24" s="1013" t="s">
        <v>7723</v>
      </c>
      <c r="AE24" s="1013">
        <v>30</v>
      </c>
      <c r="AF24" s="1013" t="s">
        <v>7723</v>
      </c>
      <c r="AG24" s="1013" t="s">
        <v>7723</v>
      </c>
      <c r="AH24" s="1013" t="s">
        <v>7724</v>
      </c>
      <c r="AI24" s="1013" t="s">
        <v>7727</v>
      </c>
      <c r="AJ24" s="1013">
        <v>19</v>
      </c>
      <c r="AK24" s="1013" t="s">
        <v>7724</v>
      </c>
      <c r="AL24" s="1013" t="s">
        <v>7724</v>
      </c>
      <c r="AM24" s="1013">
        <v>1</v>
      </c>
      <c r="AN24" s="1013">
        <v>1100</v>
      </c>
      <c r="AO24" s="1013" t="s">
        <v>7724</v>
      </c>
      <c r="AP24" s="1013" t="s">
        <v>7725</v>
      </c>
      <c r="AQ24" s="1013" t="s">
        <v>7726</v>
      </c>
      <c r="AR24" s="1013" t="s">
        <v>7724</v>
      </c>
      <c r="AS24" s="1013" t="s">
        <v>7724</v>
      </c>
      <c r="AT24" s="1013" t="s">
        <v>7724</v>
      </c>
      <c r="AU24" s="1013" t="s">
        <v>7724</v>
      </c>
      <c r="AV24" s="1013" t="s">
        <v>7724</v>
      </c>
      <c r="AW24" s="1013" t="s">
        <v>7724</v>
      </c>
      <c r="AX24" s="1013">
        <v>11</v>
      </c>
      <c r="AY24" s="1013">
        <v>1</v>
      </c>
      <c r="AZ24" s="1013">
        <v>2</v>
      </c>
      <c r="BA24" s="1013">
        <v>1</v>
      </c>
      <c r="BB24" s="1013">
        <v>1</v>
      </c>
      <c r="BC24" s="1013">
        <v>1</v>
      </c>
      <c r="BD24" s="1013">
        <v>5</v>
      </c>
      <c r="BE24" s="1023">
        <v>0.61250000000000004</v>
      </c>
      <c r="BF24" s="1013" t="s">
        <v>7729</v>
      </c>
      <c r="BG24" s="1023">
        <v>0.61597222222222225</v>
      </c>
      <c r="BH24" s="1024">
        <v>43679</v>
      </c>
      <c r="BI24" s="1013" t="s">
        <v>7727</v>
      </c>
      <c r="BJ24" s="1013" t="s">
        <v>7730</v>
      </c>
      <c r="BK24" s="1013">
        <v>2469</v>
      </c>
      <c r="BL24" s="1013" t="s">
        <v>7724</v>
      </c>
      <c r="BM24" s="1013" t="s">
        <v>7724</v>
      </c>
      <c r="BN24" s="1013">
        <v>113</v>
      </c>
      <c r="BO24" s="1013">
        <v>8</v>
      </c>
      <c r="BP24" s="1013">
        <v>2</v>
      </c>
      <c r="BQ24" s="1013">
        <v>1</v>
      </c>
      <c r="BR24" s="1013">
        <v>10</v>
      </c>
      <c r="BS24" s="1013">
        <v>64</v>
      </c>
      <c r="BT24" s="1013">
        <v>54</v>
      </c>
      <c r="BU24" s="1013">
        <v>1</v>
      </c>
      <c r="BV24" s="1013">
        <v>5</v>
      </c>
      <c r="BW24" s="1013">
        <v>1</v>
      </c>
      <c r="BX24" s="1013">
        <v>21</v>
      </c>
      <c r="BY24" s="1013">
        <v>21</v>
      </c>
      <c r="BZ24" s="1013">
        <v>101</v>
      </c>
      <c r="CA24" s="1013">
        <v>208</v>
      </c>
      <c r="CB24" s="1013">
        <v>29.733094999999999</v>
      </c>
      <c r="CC24" s="1013">
        <v>-95.381282999999996</v>
      </c>
      <c r="CD24" s="1013" t="s">
        <v>7724</v>
      </c>
      <c r="CE24" s="1013" t="s">
        <v>7724</v>
      </c>
      <c r="CF24" s="1013" t="s">
        <v>7724</v>
      </c>
      <c r="CG24" s="1013" t="s">
        <v>7724</v>
      </c>
      <c r="CH24" s="1013" t="s">
        <v>7732</v>
      </c>
      <c r="CI24" s="1013">
        <v>4399</v>
      </c>
      <c r="CJ24" s="1013" t="s">
        <v>7724</v>
      </c>
      <c r="CK24" s="1013" t="s">
        <v>7724</v>
      </c>
      <c r="CL24" s="1013" t="s">
        <v>7724</v>
      </c>
      <c r="CM24" s="1013" t="s">
        <v>7724</v>
      </c>
      <c r="CN24" s="1013" t="s">
        <v>7724</v>
      </c>
      <c r="CO24" s="1013" t="s">
        <v>7724</v>
      </c>
      <c r="CP24" s="1013" t="s">
        <v>7724</v>
      </c>
      <c r="CQ24" s="1013" t="s">
        <v>7724</v>
      </c>
      <c r="CR24" s="1013" t="s">
        <v>7731</v>
      </c>
      <c r="CS24" s="1013" t="s">
        <v>7724</v>
      </c>
      <c r="CT24" s="1013" t="s">
        <v>7724</v>
      </c>
      <c r="CU24" s="1013" t="s">
        <v>7724</v>
      </c>
      <c r="CV24" s="1013" t="s">
        <v>7724</v>
      </c>
      <c r="CW24" s="1013" t="s">
        <v>7727</v>
      </c>
      <c r="CX24" s="1013" t="s">
        <v>7723</v>
      </c>
      <c r="CY24" s="1013" t="s">
        <v>7723</v>
      </c>
      <c r="CZ24" s="1013">
        <v>2</v>
      </c>
      <c r="DA24" s="1013">
        <v>9</v>
      </c>
      <c r="DB24" s="1013" t="s">
        <v>7727</v>
      </c>
      <c r="DC24" s="1013" t="s">
        <v>7759</v>
      </c>
      <c r="DD24" s="1013" t="s">
        <v>7724</v>
      </c>
      <c r="DE24" s="1013" t="s">
        <v>7724</v>
      </c>
      <c r="DF24" s="1013" t="s">
        <v>7724</v>
      </c>
      <c r="DG24" s="1013" t="s">
        <v>7724</v>
      </c>
      <c r="DH24" s="1013" t="s">
        <v>7724</v>
      </c>
      <c r="DI24" s="1013" t="s">
        <v>7724</v>
      </c>
      <c r="DJ24" s="1013" t="s">
        <v>7724</v>
      </c>
      <c r="DK24" s="1013" t="s">
        <v>7724</v>
      </c>
      <c r="DL24" s="1013" t="s">
        <v>7724</v>
      </c>
      <c r="DM24" s="1013" t="s">
        <v>7724</v>
      </c>
      <c r="DN24" s="1013" t="s">
        <v>7724</v>
      </c>
      <c r="DO24" s="1013" t="s">
        <v>7724</v>
      </c>
      <c r="DP24" s="1013" t="s">
        <v>7724</v>
      </c>
      <c r="DQ24" s="1013" t="s">
        <v>7724</v>
      </c>
      <c r="DR24" s="1013" t="s">
        <v>7724</v>
      </c>
      <c r="DS24" s="1013" t="s">
        <v>7724</v>
      </c>
      <c r="DT24" s="1013" t="s">
        <v>7724</v>
      </c>
      <c r="DU24" s="1013" t="s">
        <v>7724</v>
      </c>
      <c r="DV24" s="1013" t="s">
        <v>7724</v>
      </c>
      <c r="DW24" s="1013" t="s">
        <v>7724</v>
      </c>
      <c r="DX24" s="1013" t="s">
        <v>7724</v>
      </c>
      <c r="DY24" s="1013" t="s">
        <v>7724</v>
      </c>
      <c r="DZ24" s="1013" t="s">
        <v>7724</v>
      </c>
      <c r="EA24" s="1013" t="s">
        <v>7724</v>
      </c>
      <c r="EB24" s="1013" t="s">
        <v>7724</v>
      </c>
      <c r="EC24" s="1013" t="s">
        <v>7724</v>
      </c>
      <c r="ED24" s="1013" t="s">
        <v>7724</v>
      </c>
      <c r="EE24" s="1013" t="s">
        <v>7724</v>
      </c>
      <c r="EF24" s="1013" t="s">
        <v>7724</v>
      </c>
      <c r="EG24" s="1013" t="s">
        <v>7724</v>
      </c>
      <c r="EH24" s="1013" t="s">
        <v>7724</v>
      </c>
      <c r="EI24" s="1013" t="s">
        <v>7724</v>
      </c>
      <c r="EJ24" s="1013" t="s">
        <v>7724</v>
      </c>
      <c r="EK24" s="1013" t="s">
        <v>7724</v>
      </c>
      <c r="EL24" s="1013" t="s">
        <v>7724</v>
      </c>
      <c r="EM24" s="1013" t="s">
        <v>7724</v>
      </c>
      <c r="EN24" s="1013" t="s">
        <v>7724</v>
      </c>
      <c r="EO24" s="1013" t="s">
        <v>7724</v>
      </c>
      <c r="EP24" s="1013" t="s">
        <v>7724</v>
      </c>
      <c r="EQ24" s="1013" t="s">
        <v>7724</v>
      </c>
      <c r="ER24" s="1013" t="s">
        <v>7724</v>
      </c>
      <c r="ES24" s="1013" t="s">
        <v>7724</v>
      </c>
      <c r="ET24" s="1013" t="s">
        <v>7724</v>
      </c>
      <c r="EU24" s="1013" t="s">
        <v>7724</v>
      </c>
      <c r="EV24" s="1013" t="s">
        <v>7724</v>
      </c>
      <c r="EW24" s="1013" t="s">
        <v>7724</v>
      </c>
      <c r="EX24" s="1013" t="s">
        <v>7724</v>
      </c>
      <c r="EY24" s="1013" t="s">
        <v>7724</v>
      </c>
      <c r="EZ24" s="1013" t="s">
        <v>7724</v>
      </c>
      <c r="FA24" s="1013" t="s">
        <v>7724</v>
      </c>
      <c r="FB24" s="1013" t="s">
        <v>7724</v>
      </c>
      <c r="FC24" s="1013" t="s">
        <v>7724</v>
      </c>
      <c r="FD24" s="1013" t="s">
        <v>7724</v>
      </c>
      <c r="FE24" s="1013" t="s">
        <v>7724</v>
      </c>
      <c r="FF24" s="1013" t="s">
        <v>7724</v>
      </c>
      <c r="FG24" s="1013">
        <v>0</v>
      </c>
      <c r="FH24" s="1013">
        <v>1</v>
      </c>
      <c r="FI24" s="1013">
        <v>0</v>
      </c>
      <c r="FJ24" s="1013">
        <v>3</v>
      </c>
      <c r="FK24" s="1013">
        <v>0</v>
      </c>
      <c r="FL24" s="1013">
        <v>1</v>
      </c>
      <c r="FM24" s="1013">
        <v>0</v>
      </c>
      <c r="FN24" s="1013">
        <v>15</v>
      </c>
      <c r="FO24" s="1013">
        <v>29</v>
      </c>
      <c r="FP24" s="1013">
        <v>6</v>
      </c>
      <c r="FQ24" s="1013" t="s">
        <v>7724</v>
      </c>
      <c r="FR24" s="1013" t="s">
        <v>7724</v>
      </c>
      <c r="FS24" s="1013" t="s">
        <v>7724</v>
      </c>
      <c r="FT24" s="1013" t="s">
        <v>7724</v>
      </c>
      <c r="FU24" s="1013" t="s">
        <v>7724</v>
      </c>
      <c r="FV24" s="1013" t="s">
        <v>7724</v>
      </c>
      <c r="FW24" s="1013" t="s">
        <v>7724</v>
      </c>
      <c r="FX24" s="1013" t="s">
        <v>7724</v>
      </c>
      <c r="FY24" s="1013" t="s">
        <v>7724</v>
      </c>
      <c r="FZ24" s="1013" t="s">
        <v>7724</v>
      </c>
      <c r="GA24" s="1013" t="s">
        <v>7724</v>
      </c>
      <c r="GB24" s="1013" t="s">
        <v>7724</v>
      </c>
      <c r="GC24" s="1013">
        <v>2019</v>
      </c>
      <c r="GD24" s="1013" t="s">
        <v>1407</v>
      </c>
      <c r="GE24" s="1013">
        <v>2</v>
      </c>
      <c r="GF24" s="1013" t="s">
        <v>1407</v>
      </c>
      <c r="GG24" s="1013" t="s">
        <v>1407</v>
      </c>
      <c r="GH24" s="1013" t="s">
        <v>7974</v>
      </c>
      <c r="GI24" s="1013" t="s">
        <v>7974</v>
      </c>
      <c r="GJ24" s="1013" t="s">
        <v>7974</v>
      </c>
      <c r="GK24" s="1013" t="s">
        <v>7977</v>
      </c>
      <c r="GL24" s="1013" t="s">
        <v>7974</v>
      </c>
    </row>
    <row r="25" spans="1:194" hidden="1">
      <c r="A25" s="1019">
        <v>107</v>
      </c>
      <c r="B25" s="1019" t="s">
        <v>7722</v>
      </c>
      <c r="C25" s="1019">
        <v>17220077</v>
      </c>
      <c r="D25" s="1019" t="s">
        <v>7723</v>
      </c>
      <c r="E25" s="1022" t="s">
        <v>7723</v>
      </c>
      <c r="F25" s="1019" t="s">
        <v>7723</v>
      </c>
      <c r="G25" s="1019" t="s">
        <v>7723</v>
      </c>
      <c r="H25" s="1019" t="s">
        <v>7723</v>
      </c>
      <c r="I25" s="1019" t="s">
        <v>7723</v>
      </c>
      <c r="J25" s="1019" t="s">
        <v>7723</v>
      </c>
      <c r="K25" s="1019">
        <v>43684</v>
      </c>
      <c r="L25" s="1019">
        <v>0.61458333333333337</v>
      </c>
      <c r="M25" s="1019" t="s">
        <v>7806</v>
      </c>
      <c r="N25" s="1019" t="s">
        <v>7724</v>
      </c>
      <c r="O25" s="1019">
        <v>101</v>
      </c>
      <c r="P25" s="1019">
        <v>208</v>
      </c>
      <c r="Q25" s="1019" t="s">
        <v>7723</v>
      </c>
      <c r="R25" s="1019" t="s">
        <v>7727</v>
      </c>
      <c r="S25" s="1019" t="s">
        <v>7724</v>
      </c>
      <c r="T25" s="1020" t="s">
        <v>7724</v>
      </c>
      <c r="U25" s="1020">
        <v>19</v>
      </c>
      <c r="V25" s="1020" t="s">
        <v>7724</v>
      </c>
      <c r="W25" s="1020" t="s">
        <v>7724</v>
      </c>
      <c r="X25" s="1019">
        <v>1</v>
      </c>
      <c r="Y25" s="1019">
        <v>4300</v>
      </c>
      <c r="Z25" s="1019" t="s">
        <v>7724</v>
      </c>
      <c r="AA25" s="1019" t="s">
        <v>7745</v>
      </c>
      <c r="AB25" s="1013" t="s">
        <v>7726</v>
      </c>
      <c r="AC25" s="1013" t="s">
        <v>7723</v>
      </c>
      <c r="AD25" s="1013" t="s">
        <v>7723</v>
      </c>
      <c r="AE25" s="1013">
        <v>30</v>
      </c>
      <c r="AF25" s="1013" t="s">
        <v>7723</v>
      </c>
      <c r="AG25" s="1013" t="s">
        <v>7723</v>
      </c>
      <c r="AH25" s="1013" t="s">
        <v>7739</v>
      </c>
      <c r="AI25" s="1013" t="s">
        <v>7727</v>
      </c>
      <c r="AJ25" s="1013">
        <v>19</v>
      </c>
      <c r="AK25" s="1013" t="s">
        <v>7724</v>
      </c>
      <c r="AL25" s="1013" t="s">
        <v>7724</v>
      </c>
      <c r="AM25" s="1013">
        <v>1</v>
      </c>
      <c r="AN25" s="1013">
        <v>1200</v>
      </c>
      <c r="AO25" s="1013" t="s">
        <v>7724</v>
      </c>
      <c r="AP25" s="1013" t="s">
        <v>7725</v>
      </c>
      <c r="AQ25" s="1013" t="s">
        <v>7735</v>
      </c>
      <c r="AR25" s="1013" t="s">
        <v>7724</v>
      </c>
      <c r="AS25" s="1013" t="s">
        <v>7724</v>
      </c>
      <c r="AT25" s="1013" t="s">
        <v>7724</v>
      </c>
      <c r="AU25" s="1013" t="s">
        <v>7724</v>
      </c>
      <c r="AV25" s="1013" t="s">
        <v>7724</v>
      </c>
      <c r="AW25" s="1013" t="s">
        <v>7724</v>
      </c>
      <c r="AX25" s="1013">
        <v>11</v>
      </c>
      <c r="AY25" s="1013">
        <v>1</v>
      </c>
      <c r="AZ25" s="1013">
        <v>0</v>
      </c>
      <c r="BA25" s="1013">
        <v>3</v>
      </c>
      <c r="BB25" s="1013">
        <v>1</v>
      </c>
      <c r="BC25" s="1013">
        <v>1</v>
      </c>
      <c r="BD25" s="1013">
        <v>8</v>
      </c>
      <c r="BE25" s="1023">
        <v>0.62083333333333335</v>
      </c>
      <c r="BF25" s="1013" t="s">
        <v>7748</v>
      </c>
      <c r="BG25" s="1023">
        <v>0.62291666666666667</v>
      </c>
      <c r="BH25" s="1024">
        <v>43684</v>
      </c>
      <c r="BI25" s="1013" t="s">
        <v>7727</v>
      </c>
      <c r="BJ25" s="1013" t="s">
        <v>7730</v>
      </c>
      <c r="BK25" s="1013">
        <v>2469</v>
      </c>
      <c r="BL25" s="1013" t="s">
        <v>7724</v>
      </c>
      <c r="BM25" s="1013" t="s">
        <v>7724</v>
      </c>
      <c r="BN25" s="1013">
        <v>113</v>
      </c>
      <c r="BO25" s="1013">
        <v>8</v>
      </c>
      <c r="BP25" s="1013">
        <v>2</v>
      </c>
      <c r="BQ25" s="1013">
        <v>1</v>
      </c>
      <c r="BR25" s="1013">
        <v>10</v>
      </c>
      <c r="BS25" s="1013">
        <v>64</v>
      </c>
      <c r="BT25" s="1013">
        <v>54</v>
      </c>
      <c r="BU25" s="1013">
        <v>1</v>
      </c>
      <c r="BV25" s="1013">
        <v>5</v>
      </c>
      <c r="BW25" s="1013">
        <v>1</v>
      </c>
      <c r="BX25" s="1013">
        <v>21</v>
      </c>
      <c r="BY25" s="1013">
        <v>21</v>
      </c>
      <c r="BZ25" s="1013">
        <v>101</v>
      </c>
      <c r="CA25" s="1013">
        <v>208</v>
      </c>
      <c r="CB25" s="1013">
        <v>29.732565000000001</v>
      </c>
      <c r="CC25" s="1013">
        <v>-95.380463000000006</v>
      </c>
      <c r="CD25" s="1013" t="s">
        <v>7724</v>
      </c>
      <c r="CE25" s="1013" t="s">
        <v>7724</v>
      </c>
      <c r="CF25" s="1013" t="s">
        <v>7724</v>
      </c>
      <c r="CG25" s="1013" t="s">
        <v>7724</v>
      </c>
      <c r="CH25" s="1013" t="s">
        <v>7746</v>
      </c>
      <c r="CI25" s="1013" t="s">
        <v>7724</v>
      </c>
      <c r="CJ25" s="1013" t="s">
        <v>7724</v>
      </c>
      <c r="CK25" s="1013" t="s">
        <v>7724</v>
      </c>
      <c r="CL25" s="1013" t="s">
        <v>7724</v>
      </c>
      <c r="CM25" s="1013" t="s">
        <v>7724</v>
      </c>
      <c r="CN25" s="1013" t="s">
        <v>7724</v>
      </c>
      <c r="CO25" s="1013" t="s">
        <v>7724</v>
      </c>
      <c r="CP25" s="1013" t="s">
        <v>7724</v>
      </c>
      <c r="CQ25" s="1013" t="s">
        <v>7724</v>
      </c>
      <c r="CR25" s="1013" t="s">
        <v>7731</v>
      </c>
      <c r="CS25" s="1013" t="s">
        <v>7724</v>
      </c>
      <c r="CT25" s="1013" t="s">
        <v>7724</v>
      </c>
      <c r="CU25" s="1013" t="s">
        <v>7724</v>
      </c>
      <c r="CV25" s="1013" t="s">
        <v>7724</v>
      </c>
      <c r="CW25" s="1013" t="s">
        <v>7727</v>
      </c>
      <c r="CX25" s="1013" t="s">
        <v>7723</v>
      </c>
      <c r="CY25" s="1013" t="s">
        <v>7723</v>
      </c>
      <c r="CZ25" s="1013">
        <v>3</v>
      </c>
      <c r="DA25" s="1013">
        <v>9</v>
      </c>
      <c r="DB25" s="1013" t="s">
        <v>7727</v>
      </c>
      <c r="DC25" s="1013" t="s">
        <v>7756</v>
      </c>
      <c r="DD25" s="1013" t="s">
        <v>7724</v>
      </c>
      <c r="DE25" s="1013" t="s">
        <v>7724</v>
      </c>
      <c r="DF25" s="1013" t="s">
        <v>7724</v>
      </c>
      <c r="DG25" s="1013" t="s">
        <v>7724</v>
      </c>
      <c r="DH25" s="1013" t="s">
        <v>7724</v>
      </c>
      <c r="DI25" s="1013" t="s">
        <v>7724</v>
      </c>
      <c r="DJ25" s="1013" t="s">
        <v>7724</v>
      </c>
      <c r="DK25" s="1013" t="s">
        <v>7724</v>
      </c>
      <c r="DL25" s="1013" t="s">
        <v>7724</v>
      </c>
      <c r="DM25" s="1013" t="s">
        <v>7724</v>
      </c>
      <c r="DN25" s="1013" t="s">
        <v>7724</v>
      </c>
      <c r="DO25" s="1013" t="s">
        <v>7724</v>
      </c>
      <c r="DP25" s="1013" t="s">
        <v>7724</v>
      </c>
      <c r="DQ25" s="1013" t="s">
        <v>7724</v>
      </c>
      <c r="DR25" s="1013" t="s">
        <v>7724</v>
      </c>
      <c r="DS25" s="1013" t="s">
        <v>7724</v>
      </c>
      <c r="DT25" s="1013" t="s">
        <v>7724</v>
      </c>
      <c r="DU25" s="1013" t="s">
        <v>7724</v>
      </c>
      <c r="DV25" s="1013" t="s">
        <v>7724</v>
      </c>
      <c r="DW25" s="1013" t="s">
        <v>7724</v>
      </c>
      <c r="DX25" s="1013" t="s">
        <v>7724</v>
      </c>
      <c r="DY25" s="1013" t="s">
        <v>7724</v>
      </c>
      <c r="DZ25" s="1013" t="s">
        <v>7724</v>
      </c>
      <c r="EA25" s="1013" t="s">
        <v>7724</v>
      </c>
      <c r="EB25" s="1013" t="s">
        <v>7724</v>
      </c>
      <c r="EC25" s="1013" t="s">
        <v>7724</v>
      </c>
      <c r="ED25" s="1013" t="s">
        <v>7724</v>
      </c>
      <c r="EE25" s="1013" t="s">
        <v>7724</v>
      </c>
      <c r="EF25" s="1013" t="s">
        <v>7724</v>
      </c>
      <c r="EG25" s="1013" t="s">
        <v>7724</v>
      </c>
      <c r="EH25" s="1013" t="s">
        <v>7724</v>
      </c>
      <c r="EI25" s="1013" t="s">
        <v>7724</v>
      </c>
      <c r="EJ25" s="1013" t="s">
        <v>7724</v>
      </c>
      <c r="EK25" s="1013" t="s">
        <v>7724</v>
      </c>
      <c r="EL25" s="1013" t="s">
        <v>7724</v>
      </c>
      <c r="EM25" s="1013" t="s">
        <v>7724</v>
      </c>
      <c r="EN25" s="1013" t="s">
        <v>7724</v>
      </c>
      <c r="EO25" s="1013" t="s">
        <v>7724</v>
      </c>
      <c r="EP25" s="1013" t="s">
        <v>7724</v>
      </c>
      <c r="EQ25" s="1013" t="s">
        <v>7724</v>
      </c>
      <c r="ER25" s="1013" t="s">
        <v>7724</v>
      </c>
      <c r="ES25" s="1013" t="s">
        <v>7724</v>
      </c>
      <c r="ET25" s="1013" t="s">
        <v>7724</v>
      </c>
      <c r="EU25" s="1013" t="s">
        <v>7724</v>
      </c>
      <c r="EV25" s="1013" t="s">
        <v>7724</v>
      </c>
      <c r="EW25" s="1013" t="s">
        <v>7724</v>
      </c>
      <c r="EX25" s="1013" t="s">
        <v>7724</v>
      </c>
      <c r="EY25" s="1013" t="s">
        <v>7724</v>
      </c>
      <c r="EZ25" s="1013" t="s">
        <v>7724</v>
      </c>
      <c r="FA25" s="1013" t="s">
        <v>7724</v>
      </c>
      <c r="FB25" s="1013" t="s">
        <v>7724</v>
      </c>
      <c r="FC25" s="1013" t="s">
        <v>7724</v>
      </c>
      <c r="FD25" s="1013" t="s">
        <v>7724</v>
      </c>
      <c r="FE25" s="1013" t="s">
        <v>7724</v>
      </c>
      <c r="FF25" s="1013" t="s">
        <v>7724</v>
      </c>
      <c r="FG25" s="1013">
        <v>0</v>
      </c>
      <c r="FH25" s="1013">
        <v>0</v>
      </c>
      <c r="FI25" s="1013">
        <v>1</v>
      </c>
      <c r="FJ25" s="1013">
        <v>1</v>
      </c>
      <c r="FK25" s="1013">
        <v>0</v>
      </c>
      <c r="FL25" s="1013">
        <v>1</v>
      </c>
      <c r="FM25" s="1013">
        <v>0</v>
      </c>
      <c r="FN25" s="1013">
        <v>15</v>
      </c>
      <c r="FO25" s="1013">
        <v>29</v>
      </c>
      <c r="FP25" s="1013">
        <v>6</v>
      </c>
      <c r="FQ25" s="1013" t="s">
        <v>7724</v>
      </c>
      <c r="FR25" s="1013" t="s">
        <v>7724</v>
      </c>
      <c r="FS25" s="1013" t="s">
        <v>7724</v>
      </c>
      <c r="FT25" s="1013" t="s">
        <v>7724</v>
      </c>
      <c r="FU25" s="1013" t="s">
        <v>7724</v>
      </c>
      <c r="FV25" s="1013" t="s">
        <v>7724</v>
      </c>
      <c r="FW25" s="1013" t="s">
        <v>7724</v>
      </c>
      <c r="FX25" s="1013" t="s">
        <v>7724</v>
      </c>
      <c r="FY25" s="1013" t="s">
        <v>7724</v>
      </c>
      <c r="FZ25" s="1013" t="s">
        <v>7724</v>
      </c>
      <c r="GA25" s="1013" t="s">
        <v>7724</v>
      </c>
      <c r="GB25" s="1013" t="s">
        <v>7724</v>
      </c>
      <c r="GC25" s="1013">
        <v>2019</v>
      </c>
      <c r="GD25" s="1013" t="s">
        <v>1407</v>
      </c>
      <c r="GE25" s="1013">
        <v>2</v>
      </c>
      <c r="GF25" s="1013" t="s">
        <v>1407</v>
      </c>
      <c r="GG25" s="1013" t="s">
        <v>1407</v>
      </c>
      <c r="GH25" s="1013" t="s">
        <v>7975</v>
      </c>
      <c r="GI25" s="1013" t="s">
        <v>7974</v>
      </c>
      <c r="GJ25" s="1013" t="s">
        <v>7974</v>
      </c>
      <c r="GK25" s="1013" t="s">
        <v>7974</v>
      </c>
      <c r="GL25" s="1013" t="s">
        <v>7974</v>
      </c>
    </row>
    <row r="26" spans="1:194" hidden="1">
      <c r="A26" s="1019">
        <v>116</v>
      </c>
      <c r="B26" s="1019" t="s">
        <v>7722</v>
      </c>
      <c r="C26" s="1019">
        <v>17365195</v>
      </c>
      <c r="D26" s="1019" t="s">
        <v>7723</v>
      </c>
      <c r="E26" s="1022" t="s">
        <v>7723</v>
      </c>
      <c r="F26" s="1019" t="s">
        <v>7723</v>
      </c>
      <c r="G26" s="1019" t="s">
        <v>7723</v>
      </c>
      <c r="H26" s="1019" t="s">
        <v>7723</v>
      </c>
      <c r="I26" s="1019" t="s">
        <v>7723</v>
      </c>
      <c r="J26" s="1019" t="s">
        <v>7723</v>
      </c>
      <c r="K26" s="1019">
        <v>43763</v>
      </c>
      <c r="L26" s="1019">
        <v>0.2638888888888889</v>
      </c>
      <c r="M26" s="1019" t="s">
        <v>7812</v>
      </c>
      <c r="N26" s="1019" t="s">
        <v>7724</v>
      </c>
      <c r="O26" s="1019">
        <v>101</v>
      </c>
      <c r="P26" s="1019">
        <v>208</v>
      </c>
      <c r="Q26" s="1019" t="s">
        <v>7723</v>
      </c>
      <c r="R26" s="1019" t="s">
        <v>7727</v>
      </c>
      <c r="S26" s="1019" t="s">
        <v>7724</v>
      </c>
      <c r="T26" s="1020" t="s">
        <v>7724</v>
      </c>
      <c r="U26" s="1020">
        <v>19</v>
      </c>
      <c r="V26" s="1020" t="s">
        <v>7724</v>
      </c>
      <c r="W26" s="1020" t="s">
        <v>7724</v>
      </c>
      <c r="X26" s="1019">
        <v>1</v>
      </c>
      <c r="Y26" s="1019">
        <v>4500</v>
      </c>
      <c r="Z26" s="1019" t="s">
        <v>7724</v>
      </c>
      <c r="AA26" s="1019" t="s">
        <v>7728</v>
      </c>
      <c r="AB26" s="1013" t="s">
        <v>7724</v>
      </c>
      <c r="AC26" s="1013" t="s">
        <v>7723</v>
      </c>
      <c r="AD26" s="1013" t="s">
        <v>7723</v>
      </c>
      <c r="AE26" s="1013">
        <v>30</v>
      </c>
      <c r="AF26" s="1013" t="s">
        <v>7723</v>
      </c>
      <c r="AG26" s="1013" t="s">
        <v>7723</v>
      </c>
      <c r="AH26" s="1013" t="s">
        <v>7739</v>
      </c>
      <c r="AI26" s="1013" t="s">
        <v>7727</v>
      </c>
      <c r="AJ26" s="1013">
        <v>19</v>
      </c>
      <c r="AK26" s="1013" t="s">
        <v>7724</v>
      </c>
      <c r="AL26" s="1013" t="s">
        <v>7724</v>
      </c>
      <c r="AM26" s="1013">
        <v>1</v>
      </c>
      <c r="AN26" s="1013">
        <v>1100</v>
      </c>
      <c r="AO26" s="1013" t="s">
        <v>7724</v>
      </c>
      <c r="AP26" s="1013" t="s">
        <v>7725</v>
      </c>
      <c r="AQ26" s="1013" t="s">
        <v>7724</v>
      </c>
      <c r="AR26" s="1013" t="s">
        <v>7724</v>
      </c>
      <c r="AS26" s="1013" t="s">
        <v>7724</v>
      </c>
      <c r="AT26" s="1013" t="s">
        <v>7724</v>
      </c>
      <c r="AU26" s="1013" t="s">
        <v>7724</v>
      </c>
      <c r="AV26" s="1013" t="s">
        <v>7724</v>
      </c>
      <c r="AW26" s="1013" t="s">
        <v>7724</v>
      </c>
      <c r="AX26" s="1013">
        <v>2</v>
      </c>
      <c r="AY26" s="1013">
        <v>4</v>
      </c>
      <c r="AZ26" s="1013">
        <v>4</v>
      </c>
      <c r="BA26" s="1013">
        <v>4</v>
      </c>
      <c r="BB26" s="1013">
        <v>1</v>
      </c>
      <c r="BC26" s="1013">
        <v>2</v>
      </c>
      <c r="BD26" s="1013">
        <v>5</v>
      </c>
      <c r="BE26" s="1023">
        <v>0.27083333333333331</v>
      </c>
      <c r="BF26" s="1013" t="s">
        <v>7736</v>
      </c>
      <c r="BG26" s="1023">
        <v>0.27569444444444446</v>
      </c>
      <c r="BH26" s="1024">
        <v>43763</v>
      </c>
      <c r="BI26" s="1013" t="s">
        <v>7727</v>
      </c>
      <c r="BJ26" s="1013" t="s">
        <v>7730</v>
      </c>
      <c r="BK26" s="1013">
        <v>2469</v>
      </c>
      <c r="BL26" s="1013" t="s">
        <v>7724</v>
      </c>
      <c r="BM26" s="1013" t="s">
        <v>7724</v>
      </c>
      <c r="BN26" s="1013">
        <v>113</v>
      </c>
      <c r="BO26" s="1013">
        <v>8</v>
      </c>
      <c r="BP26" s="1013">
        <v>2</v>
      </c>
      <c r="BQ26" s="1013">
        <v>1</v>
      </c>
      <c r="BR26" s="1013">
        <v>10</v>
      </c>
      <c r="BS26" s="1013">
        <v>64</v>
      </c>
      <c r="BT26" s="1013">
        <v>54</v>
      </c>
      <c r="BU26" s="1013">
        <v>1</v>
      </c>
      <c r="BV26" s="1013">
        <v>5</v>
      </c>
      <c r="BW26" s="1013">
        <v>1</v>
      </c>
      <c r="BX26" s="1013">
        <v>21</v>
      </c>
      <c r="BY26" s="1013">
        <v>21</v>
      </c>
      <c r="BZ26" s="1013">
        <v>101</v>
      </c>
      <c r="CA26" s="1013">
        <v>208</v>
      </c>
      <c r="CB26" s="1013">
        <v>29.733094999999999</v>
      </c>
      <c r="CC26" s="1013">
        <v>-95.381282999999996</v>
      </c>
      <c r="CD26" s="1013" t="s">
        <v>7724</v>
      </c>
      <c r="CE26" s="1013" t="s">
        <v>7724</v>
      </c>
      <c r="CF26" s="1013" t="s">
        <v>7724</v>
      </c>
      <c r="CG26" s="1013" t="s">
        <v>7724</v>
      </c>
      <c r="CH26" s="1013" t="s">
        <v>7732</v>
      </c>
      <c r="CI26" s="1013">
        <v>4399</v>
      </c>
      <c r="CJ26" s="1013" t="s">
        <v>7724</v>
      </c>
      <c r="CK26" s="1013" t="s">
        <v>7724</v>
      </c>
      <c r="CL26" s="1013" t="s">
        <v>7724</v>
      </c>
      <c r="CM26" s="1013" t="s">
        <v>7724</v>
      </c>
      <c r="CN26" s="1013" t="s">
        <v>7724</v>
      </c>
      <c r="CO26" s="1013" t="s">
        <v>7724</v>
      </c>
      <c r="CP26" s="1013" t="s">
        <v>7724</v>
      </c>
      <c r="CQ26" s="1013" t="s">
        <v>7724</v>
      </c>
      <c r="CR26" s="1013" t="s">
        <v>7731</v>
      </c>
      <c r="CS26" s="1013" t="s">
        <v>7724</v>
      </c>
      <c r="CT26" s="1013" t="s">
        <v>7724</v>
      </c>
      <c r="CU26" s="1013" t="s">
        <v>7724</v>
      </c>
      <c r="CV26" s="1013" t="s">
        <v>7724</v>
      </c>
      <c r="CW26" s="1013" t="s">
        <v>7727</v>
      </c>
      <c r="CX26" s="1013" t="s">
        <v>7723</v>
      </c>
      <c r="CY26" s="1013" t="s">
        <v>7723</v>
      </c>
      <c r="CZ26" s="1013">
        <v>5</v>
      </c>
      <c r="DA26" s="1013">
        <v>9</v>
      </c>
      <c r="DB26" s="1013" t="s">
        <v>7727</v>
      </c>
      <c r="DC26" s="1013" t="s">
        <v>7759</v>
      </c>
      <c r="DD26" s="1013" t="s">
        <v>7724</v>
      </c>
      <c r="DE26" s="1013" t="s">
        <v>7724</v>
      </c>
      <c r="DF26" s="1013" t="s">
        <v>7724</v>
      </c>
      <c r="DG26" s="1013" t="s">
        <v>7724</v>
      </c>
      <c r="DH26" s="1013" t="s">
        <v>7724</v>
      </c>
      <c r="DI26" s="1013" t="s">
        <v>7724</v>
      </c>
      <c r="DJ26" s="1013" t="s">
        <v>7724</v>
      </c>
      <c r="DK26" s="1013" t="s">
        <v>7724</v>
      </c>
      <c r="DL26" s="1013" t="s">
        <v>7724</v>
      </c>
      <c r="DM26" s="1013" t="s">
        <v>7724</v>
      </c>
      <c r="DN26" s="1013" t="s">
        <v>7724</v>
      </c>
      <c r="DO26" s="1013" t="s">
        <v>7724</v>
      </c>
      <c r="DP26" s="1013" t="s">
        <v>7724</v>
      </c>
      <c r="DQ26" s="1013" t="s">
        <v>7724</v>
      </c>
      <c r="DR26" s="1013" t="s">
        <v>7724</v>
      </c>
      <c r="DS26" s="1013" t="s">
        <v>7724</v>
      </c>
      <c r="DT26" s="1013" t="s">
        <v>7724</v>
      </c>
      <c r="DU26" s="1013" t="s">
        <v>7724</v>
      </c>
      <c r="DV26" s="1013" t="s">
        <v>7724</v>
      </c>
      <c r="DW26" s="1013" t="s">
        <v>7724</v>
      </c>
      <c r="DX26" s="1013" t="s">
        <v>7724</v>
      </c>
      <c r="DY26" s="1013" t="s">
        <v>7724</v>
      </c>
      <c r="DZ26" s="1013" t="s">
        <v>7724</v>
      </c>
      <c r="EA26" s="1013" t="s">
        <v>7724</v>
      </c>
      <c r="EB26" s="1013" t="s">
        <v>7724</v>
      </c>
      <c r="EC26" s="1013" t="s">
        <v>7724</v>
      </c>
      <c r="ED26" s="1013" t="s">
        <v>7724</v>
      </c>
      <c r="EE26" s="1013" t="s">
        <v>7724</v>
      </c>
      <c r="EF26" s="1013" t="s">
        <v>7724</v>
      </c>
      <c r="EG26" s="1013" t="s">
        <v>7724</v>
      </c>
      <c r="EH26" s="1013" t="s">
        <v>7724</v>
      </c>
      <c r="EI26" s="1013" t="s">
        <v>7724</v>
      </c>
      <c r="EJ26" s="1013" t="s">
        <v>7724</v>
      </c>
      <c r="EK26" s="1013" t="s">
        <v>7724</v>
      </c>
      <c r="EL26" s="1013" t="s">
        <v>7724</v>
      </c>
      <c r="EM26" s="1013" t="s">
        <v>7724</v>
      </c>
      <c r="EN26" s="1013" t="s">
        <v>7724</v>
      </c>
      <c r="EO26" s="1013" t="s">
        <v>7724</v>
      </c>
      <c r="EP26" s="1013" t="s">
        <v>7724</v>
      </c>
      <c r="EQ26" s="1013" t="s">
        <v>7724</v>
      </c>
      <c r="ER26" s="1013" t="s">
        <v>7724</v>
      </c>
      <c r="ES26" s="1013" t="s">
        <v>7724</v>
      </c>
      <c r="ET26" s="1013" t="s">
        <v>7724</v>
      </c>
      <c r="EU26" s="1013" t="s">
        <v>7724</v>
      </c>
      <c r="EV26" s="1013" t="s">
        <v>7724</v>
      </c>
      <c r="EW26" s="1013" t="s">
        <v>7724</v>
      </c>
      <c r="EX26" s="1013" t="s">
        <v>7724</v>
      </c>
      <c r="EY26" s="1013" t="s">
        <v>7724</v>
      </c>
      <c r="EZ26" s="1013" t="s">
        <v>7724</v>
      </c>
      <c r="FA26" s="1013" t="s">
        <v>7724</v>
      </c>
      <c r="FB26" s="1013" t="s">
        <v>7724</v>
      </c>
      <c r="FC26" s="1013" t="s">
        <v>7724</v>
      </c>
      <c r="FD26" s="1013" t="s">
        <v>7724</v>
      </c>
      <c r="FE26" s="1013" t="s">
        <v>7724</v>
      </c>
      <c r="FF26" s="1013" t="s">
        <v>7724</v>
      </c>
      <c r="FG26" s="1013">
        <v>0</v>
      </c>
      <c r="FH26" s="1013">
        <v>0</v>
      </c>
      <c r="FI26" s="1013">
        <v>0</v>
      </c>
      <c r="FJ26" s="1013">
        <v>2</v>
      </c>
      <c r="FK26" s="1013">
        <v>0</v>
      </c>
      <c r="FL26" s="1013">
        <v>0</v>
      </c>
      <c r="FM26" s="1013">
        <v>0</v>
      </c>
      <c r="FN26" s="1013">
        <v>15</v>
      </c>
      <c r="FO26" s="1013">
        <v>29</v>
      </c>
      <c r="FP26" s="1013">
        <v>6</v>
      </c>
      <c r="FQ26" s="1013" t="s">
        <v>7724</v>
      </c>
      <c r="FR26" s="1013" t="s">
        <v>7724</v>
      </c>
      <c r="FS26" s="1013" t="s">
        <v>7724</v>
      </c>
      <c r="FT26" s="1013" t="s">
        <v>7724</v>
      </c>
      <c r="FU26" s="1013" t="s">
        <v>7724</v>
      </c>
      <c r="FV26" s="1013" t="s">
        <v>7724</v>
      </c>
      <c r="FW26" s="1013" t="s">
        <v>7724</v>
      </c>
      <c r="FX26" s="1013" t="s">
        <v>7724</v>
      </c>
      <c r="FY26" s="1013" t="s">
        <v>7724</v>
      </c>
      <c r="FZ26" s="1013" t="s">
        <v>7724</v>
      </c>
      <c r="GA26" s="1013" t="s">
        <v>7724</v>
      </c>
      <c r="GB26" s="1013" t="s">
        <v>7724</v>
      </c>
      <c r="GC26" s="1013">
        <v>2019</v>
      </c>
      <c r="GD26" s="1013" t="s">
        <v>1404</v>
      </c>
      <c r="GE26" s="1013">
        <v>2</v>
      </c>
      <c r="GF26" s="1013" t="s">
        <v>1407</v>
      </c>
      <c r="GG26" s="1013" t="s">
        <v>1407</v>
      </c>
      <c r="GH26" s="1013" t="s">
        <v>7986</v>
      </c>
      <c r="GI26" s="1013" t="s">
        <v>7974</v>
      </c>
      <c r="GJ26" s="1013" t="s">
        <v>7974</v>
      </c>
      <c r="GK26" s="1013" t="s">
        <v>7974</v>
      </c>
      <c r="GL26" s="1013" t="s">
        <v>7974</v>
      </c>
    </row>
    <row r="27" spans="1:194">
      <c r="A27" s="1019">
        <v>118</v>
      </c>
      <c r="B27" s="1019" t="s">
        <v>7722</v>
      </c>
      <c r="C27" s="1019">
        <v>17391586</v>
      </c>
      <c r="D27" s="1019" t="s">
        <v>7723</v>
      </c>
      <c r="E27" s="1022" t="s">
        <v>7723</v>
      </c>
      <c r="F27" s="1019" t="s">
        <v>7723</v>
      </c>
      <c r="G27" s="1019" t="s">
        <v>7723</v>
      </c>
      <c r="H27" s="1019" t="s">
        <v>7723</v>
      </c>
      <c r="I27" s="1019" t="s">
        <v>7723</v>
      </c>
      <c r="J27" s="1019" t="s">
        <v>7723</v>
      </c>
      <c r="K27" s="1019">
        <v>43776</v>
      </c>
      <c r="L27" s="1019">
        <v>0.58333333333333337</v>
      </c>
      <c r="M27" s="1019" t="s">
        <v>7750</v>
      </c>
      <c r="N27" s="1019" t="s">
        <v>7724</v>
      </c>
      <c r="O27" s="1019">
        <v>101</v>
      </c>
      <c r="P27" s="1019">
        <v>208</v>
      </c>
      <c r="Q27" s="1019" t="s">
        <v>7723</v>
      </c>
      <c r="R27" s="1019" t="s">
        <v>7723</v>
      </c>
      <c r="S27" s="1019" t="s">
        <v>7724</v>
      </c>
      <c r="T27" s="1020" t="s">
        <v>7724</v>
      </c>
      <c r="U27" s="1020">
        <v>19</v>
      </c>
      <c r="V27" s="1020" t="s">
        <v>7724</v>
      </c>
      <c r="W27" s="1020" t="s">
        <v>7724</v>
      </c>
      <c r="X27" s="1019">
        <v>1</v>
      </c>
      <c r="Y27" s="1019">
        <v>4400</v>
      </c>
      <c r="Z27" s="1019" t="s">
        <v>7724</v>
      </c>
      <c r="AA27" s="1019" t="s">
        <v>7728</v>
      </c>
      <c r="AB27" s="1013" t="s">
        <v>7724</v>
      </c>
      <c r="AC27" s="1013" t="s">
        <v>7723</v>
      </c>
      <c r="AD27" s="1013" t="s">
        <v>7723</v>
      </c>
      <c r="AE27" s="1013">
        <v>35</v>
      </c>
      <c r="AF27" s="1013" t="s">
        <v>7723</v>
      </c>
      <c r="AG27" s="1013" t="s">
        <v>7723</v>
      </c>
      <c r="AH27" s="1013" t="s">
        <v>7739</v>
      </c>
      <c r="AI27" s="1013" t="s">
        <v>7727</v>
      </c>
      <c r="AJ27" s="1013">
        <v>19</v>
      </c>
      <c r="AK27" s="1013" t="s">
        <v>7724</v>
      </c>
      <c r="AL27" s="1013" t="s">
        <v>7724</v>
      </c>
      <c r="AM27" s="1013">
        <v>1</v>
      </c>
      <c r="AN27" s="1013">
        <v>1200</v>
      </c>
      <c r="AO27" s="1013" t="s">
        <v>7724</v>
      </c>
      <c r="AP27" s="1013" t="s">
        <v>7725</v>
      </c>
      <c r="AQ27" s="1013" t="s">
        <v>7724</v>
      </c>
      <c r="AR27" s="1013" t="s">
        <v>7724</v>
      </c>
      <c r="AS27" s="1013" t="s">
        <v>7724</v>
      </c>
      <c r="AT27" s="1013" t="s">
        <v>7724</v>
      </c>
      <c r="AU27" s="1013" t="s">
        <v>7724</v>
      </c>
      <c r="AV27" s="1013" t="s">
        <v>7724</v>
      </c>
      <c r="AW27" s="1013" t="s">
        <v>7724</v>
      </c>
      <c r="AX27" s="1013">
        <v>2</v>
      </c>
      <c r="AY27" s="1013">
        <v>1</v>
      </c>
      <c r="AZ27" s="1013">
        <v>4</v>
      </c>
      <c r="BA27" s="1013">
        <v>2</v>
      </c>
      <c r="BB27" s="1013">
        <v>1</v>
      </c>
      <c r="BC27" s="1013">
        <v>2</v>
      </c>
      <c r="BD27" s="1013">
        <v>5</v>
      </c>
      <c r="BE27" s="1023">
        <v>0.58333333333333337</v>
      </c>
      <c r="BF27" s="1013" t="s">
        <v>7736</v>
      </c>
      <c r="BG27" s="1023">
        <v>0.58333333333333337</v>
      </c>
      <c r="BH27" s="1024">
        <v>43776</v>
      </c>
      <c r="BI27" s="1013" t="s">
        <v>7727</v>
      </c>
      <c r="BJ27" s="1013" t="s">
        <v>7730</v>
      </c>
      <c r="BK27" s="1013">
        <v>2469</v>
      </c>
      <c r="BL27" s="1013" t="s">
        <v>7724</v>
      </c>
      <c r="BM27" s="1013" t="s">
        <v>7724</v>
      </c>
      <c r="BN27" s="1013">
        <v>113</v>
      </c>
      <c r="BO27" s="1013">
        <v>8</v>
      </c>
      <c r="BP27" s="1013">
        <v>5</v>
      </c>
      <c r="BQ27" s="1013">
        <v>1</v>
      </c>
      <c r="BR27" s="1013">
        <v>3</v>
      </c>
      <c r="BS27" s="1013">
        <v>64</v>
      </c>
      <c r="BT27" s="1013">
        <v>3</v>
      </c>
      <c r="BU27" s="1013">
        <v>1</v>
      </c>
      <c r="BV27" s="1013">
        <v>5</v>
      </c>
      <c r="BW27" s="1013">
        <v>1</v>
      </c>
      <c r="BX27" s="1013">
        <v>21</v>
      </c>
      <c r="BY27" s="1013">
        <v>21</v>
      </c>
      <c r="BZ27" s="1013">
        <v>101</v>
      </c>
      <c r="CA27" s="1013">
        <v>208</v>
      </c>
      <c r="CB27" s="1013">
        <v>29.733094999999999</v>
      </c>
      <c r="CC27" s="1013">
        <v>-95.381282999999996</v>
      </c>
      <c r="CD27" s="1013" t="s">
        <v>7724</v>
      </c>
      <c r="CE27" s="1013" t="s">
        <v>7724</v>
      </c>
      <c r="CF27" s="1013" t="s">
        <v>7724</v>
      </c>
      <c r="CG27" s="1013" t="s">
        <v>7724</v>
      </c>
      <c r="CH27" s="1013" t="s">
        <v>7732</v>
      </c>
      <c r="CI27" s="1013">
        <v>4399</v>
      </c>
      <c r="CJ27" s="1013" t="s">
        <v>7724</v>
      </c>
      <c r="CK27" s="1013" t="s">
        <v>7724</v>
      </c>
      <c r="CL27" s="1013" t="s">
        <v>7724</v>
      </c>
      <c r="CM27" s="1013" t="s">
        <v>7724</v>
      </c>
      <c r="CN27" s="1013" t="s">
        <v>7724</v>
      </c>
      <c r="CO27" s="1013" t="s">
        <v>7724</v>
      </c>
      <c r="CP27" s="1013" t="s">
        <v>7724</v>
      </c>
      <c r="CQ27" s="1013" t="s">
        <v>7724</v>
      </c>
      <c r="CR27" s="1013" t="s">
        <v>7731</v>
      </c>
      <c r="CS27" s="1013" t="s">
        <v>7724</v>
      </c>
      <c r="CT27" s="1013" t="s">
        <v>7724</v>
      </c>
      <c r="CU27" s="1013" t="s">
        <v>7724</v>
      </c>
      <c r="CV27" s="1013" t="s">
        <v>7724</v>
      </c>
      <c r="CW27" s="1013" t="s">
        <v>7727</v>
      </c>
      <c r="CX27" s="1013" t="s">
        <v>7723</v>
      </c>
      <c r="CY27" s="1013" t="s">
        <v>7723</v>
      </c>
      <c r="CZ27" s="1013">
        <v>3</v>
      </c>
      <c r="DA27" s="1013">
        <v>9</v>
      </c>
      <c r="DB27" s="1013" t="s">
        <v>7727</v>
      </c>
      <c r="DC27" s="1013" t="s">
        <v>7740</v>
      </c>
      <c r="DD27" s="1013" t="s">
        <v>7724</v>
      </c>
      <c r="DE27" s="1013" t="s">
        <v>7724</v>
      </c>
      <c r="DF27" s="1013" t="s">
        <v>7724</v>
      </c>
      <c r="DG27" s="1013" t="s">
        <v>7724</v>
      </c>
      <c r="DH27" s="1013" t="s">
        <v>7724</v>
      </c>
      <c r="DI27" s="1013" t="s">
        <v>7724</v>
      </c>
      <c r="DJ27" s="1013" t="s">
        <v>7724</v>
      </c>
      <c r="DK27" s="1013" t="s">
        <v>7724</v>
      </c>
      <c r="DL27" s="1013" t="s">
        <v>7724</v>
      </c>
      <c r="DM27" s="1013" t="s">
        <v>7724</v>
      </c>
      <c r="DN27" s="1013" t="s">
        <v>7724</v>
      </c>
      <c r="DO27" s="1013" t="s">
        <v>7724</v>
      </c>
      <c r="DP27" s="1013" t="s">
        <v>7724</v>
      </c>
      <c r="DQ27" s="1013" t="s">
        <v>7724</v>
      </c>
      <c r="DR27" s="1013" t="s">
        <v>7724</v>
      </c>
      <c r="DS27" s="1013" t="s">
        <v>7724</v>
      </c>
      <c r="DT27" s="1013" t="s">
        <v>7724</v>
      </c>
      <c r="DU27" s="1013" t="s">
        <v>7724</v>
      </c>
      <c r="DV27" s="1013" t="s">
        <v>7724</v>
      </c>
      <c r="DW27" s="1013" t="s">
        <v>7724</v>
      </c>
      <c r="DX27" s="1013" t="s">
        <v>7724</v>
      </c>
      <c r="DY27" s="1013" t="s">
        <v>7724</v>
      </c>
      <c r="DZ27" s="1013" t="s">
        <v>7724</v>
      </c>
      <c r="EA27" s="1013" t="s">
        <v>7724</v>
      </c>
      <c r="EB27" s="1013" t="s">
        <v>7724</v>
      </c>
      <c r="EC27" s="1013" t="s">
        <v>7724</v>
      </c>
      <c r="ED27" s="1013" t="s">
        <v>7724</v>
      </c>
      <c r="EE27" s="1013" t="s">
        <v>7724</v>
      </c>
      <c r="EF27" s="1013" t="s">
        <v>7724</v>
      </c>
      <c r="EG27" s="1013" t="s">
        <v>7724</v>
      </c>
      <c r="EH27" s="1013" t="s">
        <v>7724</v>
      </c>
      <c r="EI27" s="1013" t="s">
        <v>7724</v>
      </c>
      <c r="EJ27" s="1013" t="s">
        <v>7724</v>
      </c>
      <c r="EK27" s="1013" t="s">
        <v>7724</v>
      </c>
      <c r="EL27" s="1013" t="s">
        <v>7724</v>
      </c>
      <c r="EM27" s="1013" t="s">
        <v>7724</v>
      </c>
      <c r="EN27" s="1013" t="s">
        <v>7724</v>
      </c>
      <c r="EO27" s="1013" t="s">
        <v>7724</v>
      </c>
      <c r="EP27" s="1013" t="s">
        <v>7724</v>
      </c>
      <c r="EQ27" s="1013" t="s">
        <v>7724</v>
      </c>
      <c r="ER27" s="1013" t="s">
        <v>7724</v>
      </c>
      <c r="ES27" s="1013" t="s">
        <v>7724</v>
      </c>
      <c r="ET27" s="1013" t="s">
        <v>7724</v>
      </c>
      <c r="EU27" s="1013" t="s">
        <v>7724</v>
      </c>
      <c r="EV27" s="1013" t="s">
        <v>7724</v>
      </c>
      <c r="EW27" s="1013" t="s">
        <v>7724</v>
      </c>
      <c r="EX27" s="1013" t="s">
        <v>7724</v>
      </c>
      <c r="EY27" s="1013" t="s">
        <v>7724</v>
      </c>
      <c r="EZ27" s="1013" t="s">
        <v>7724</v>
      </c>
      <c r="FA27" s="1013" t="s">
        <v>7724</v>
      </c>
      <c r="FB27" s="1013" t="s">
        <v>7724</v>
      </c>
      <c r="FC27" s="1013" t="s">
        <v>7724</v>
      </c>
      <c r="FD27" s="1013" t="s">
        <v>7724</v>
      </c>
      <c r="FE27" s="1013" t="s">
        <v>7724</v>
      </c>
      <c r="FF27" s="1013" t="s">
        <v>7724</v>
      </c>
      <c r="FG27" s="1013">
        <v>0</v>
      </c>
      <c r="FH27" s="1013">
        <v>0</v>
      </c>
      <c r="FI27" s="1013">
        <v>1</v>
      </c>
      <c r="FJ27" s="1013">
        <v>1</v>
      </c>
      <c r="FK27" s="1013">
        <v>0</v>
      </c>
      <c r="FL27" s="1013">
        <v>1</v>
      </c>
      <c r="FM27" s="1013">
        <v>0</v>
      </c>
      <c r="FN27" s="1013">
        <v>15</v>
      </c>
      <c r="FO27" s="1013">
        <v>29</v>
      </c>
      <c r="FP27" s="1013">
        <v>6</v>
      </c>
      <c r="FQ27" s="1013" t="s">
        <v>7724</v>
      </c>
      <c r="FR27" s="1013" t="s">
        <v>7724</v>
      </c>
      <c r="FS27" s="1013" t="s">
        <v>7724</v>
      </c>
      <c r="FT27" s="1013" t="s">
        <v>7724</v>
      </c>
      <c r="FU27" s="1013" t="s">
        <v>7724</v>
      </c>
      <c r="FV27" s="1013" t="s">
        <v>7724</v>
      </c>
      <c r="FW27" s="1013" t="s">
        <v>7724</v>
      </c>
      <c r="FX27" s="1013" t="s">
        <v>7724</v>
      </c>
      <c r="FY27" s="1013" t="s">
        <v>7724</v>
      </c>
      <c r="FZ27" s="1013" t="s">
        <v>7724</v>
      </c>
      <c r="GA27" s="1013" t="s">
        <v>7724</v>
      </c>
      <c r="GB27" s="1013" t="s">
        <v>7724</v>
      </c>
      <c r="GC27" s="1013">
        <v>2019</v>
      </c>
      <c r="GD27" s="1013" t="s">
        <v>1407</v>
      </c>
      <c r="GE27" s="1013">
        <v>2</v>
      </c>
      <c r="GF27" s="1013" t="s">
        <v>1407</v>
      </c>
      <c r="GG27" s="1013" t="s">
        <v>1404</v>
      </c>
      <c r="GH27" s="1013" t="s">
        <v>7989</v>
      </c>
      <c r="GI27" s="1013" t="s">
        <v>7974</v>
      </c>
      <c r="GJ27" s="1013" t="s">
        <v>7974</v>
      </c>
      <c r="GK27" s="1013" t="s">
        <v>7991</v>
      </c>
      <c r="GL27" s="1013" t="s">
        <v>7974</v>
      </c>
    </row>
    <row r="28" spans="1:194" hidden="1">
      <c r="A28" s="1019">
        <v>119</v>
      </c>
      <c r="B28" s="1019" t="s">
        <v>7722</v>
      </c>
      <c r="C28" s="1019">
        <v>17393923</v>
      </c>
      <c r="D28" s="1019" t="s">
        <v>7723</v>
      </c>
      <c r="E28" s="1022" t="s">
        <v>7723</v>
      </c>
      <c r="F28" s="1019" t="s">
        <v>7723</v>
      </c>
      <c r="G28" s="1019" t="s">
        <v>7723</v>
      </c>
      <c r="H28" s="1019" t="s">
        <v>7723</v>
      </c>
      <c r="I28" s="1019" t="s">
        <v>7723</v>
      </c>
      <c r="J28" s="1019" t="s">
        <v>7723</v>
      </c>
      <c r="K28" s="1019">
        <v>43777</v>
      </c>
      <c r="L28" s="1019">
        <v>0.37152777777777779</v>
      </c>
      <c r="M28" s="1019" t="s">
        <v>7814</v>
      </c>
      <c r="N28" s="1019" t="s">
        <v>7724</v>
      </c>
      <c r="O28" s="1019">
        <v>101</v>
      </c>
      <c r="P28" s="1019">
        <v>208</v>
      </c>
      <c r="Q28" s="1019" t="s">
        <v>7723</v>
      </c>
      <c r="R28" s="1019" t="s">
        <v>7727</v>
      </c>
      <c r="S28" s="1019" t="s">
        <v>7724</v>
      </c>
      <c r="T28" s="1020" t="s">
        <v>7724</v>
      </c>
      <c r="U28" s="1020">
        <v>19</v>
      </c>
      <c r="V28" s="1020" t="s">
        <v>7724</v>
      </c>
      <c r="W28" s="1020" t="s">
        <v>7724</v>
      </c>
      <c r="X28" s="1019">
        <v>1</v>
      </c>
      <c r="Y28" s="1019">
        <v>4300</v>
      </c>
      <c r="Z28" s="1019" t="s">
        <v>7724</v>
      </c>
      <c r="AA28" s="1019" t="s">
        <v>7728</v>
      </c>
      <c r="AB28" s="1013" t="s">
        <v>7726</v>
      </c>
      <c r="AC28" s="1013" t="s">
        <v>7723</v>
      </c>
      <c r="AD28" s="1013" t="s">
        <v>7723</v>
      </c>
      <c r="AE28" s="1013">
        <v>35</v>
      </c>
      <c r="AF28" s="1013" t="s">
        <v>7723</v>
      </c>
      <c r="AG28" s="1013" t="s">
        <v>7723</v>
      </c>
      <c r="AH28" s="1013" t="s">
        <v>7815</v>
      </c>
      <c r="AI28" s="1013" t="s">
        <v>7727</v>
      </c>
      <c r="AJ28" s="1013">
        <v>19</v>
      </c>
      <c r="AK28" s="1013" t="s">
        <v>7724</v>
      </c>
      <c r="AL28" s="1013" t="s">
        <v>7724</v>
      </c>
      <c r="AM28" s="1013">
        <v>1</v>
      </c>
      <c r="AN28" s="1013">
        <v>1100</v>
      </c>
      <c r="AO28" s="1013" t="s">
        <v>7724</v>
      </c>
      <c r="AP28" s="1013" t="s">
        <v>7725</v>
      </c>
      <c r="AQ28" s="1013" t="s">
        <v>7735</v>
      </c>
      <c r="AR28" s="1013" t="s">
        <v>7724</v>
      </c>
      <c r="AS28" s="1013" t="s">
        <v>7724</v>
      </c>
      <c r="AT28" s="1013" t="s">
        <v>7724</v>
      </c>
      <c r="AU28" s="1013" t="s">
        <v>7724</v>
      </c>
      <c r="AV28" s="1013" t="s">
        <v>7724</v>
      </c>
      <c r="AW28" s="1013" t="s">
        <v>7724</v>
      </c>
      <c r="AX28" s="1013">
        <v>12</v>
      </c>
      <c r="AY28" s="1013">
        <v>1</v>
      </c>
      <c r="AZ28" s="1013">
        <v>2</v>
      </c>
      <c r="BA28" s="1013">
        <v>2</v>
      </c>
      <c r="BB28" s="1013">
        <v>1</v>
      </c>
      <c r="BC28" s="1013">
        <v>1</v>
      </c>
      <c r="BD28" s="1013">
        <v>20</v>
      </c>
      <c r="BE28" s="1023">
        <v>0.37638888888888888</v>
      </c>
      <c r="BF28" s="1013" t="s">
        <v>7736</v>
      </c>
      <c r="BG28" s="1023">
        <v>0.37986111111111109</v>
      </c>
      <c r="BH28" s="1024">
        <v>43778</v>
      </c>
      <c r="BI28" s="1013" t="s">
        <v>7727</v>
      </c>
      <c r="BJ28" s="1013" t="s">
        <v>7730</v>
      </c>
      <c r="BK28" s="1013">
        <v>2469</v>
      </c>
      <c r="BL28" s="1013" t="s">
        <v>7724</v>
      </c>
      <c r="BM28" s="1013" t="s">
        <v>7724</v>
      </c>
      <c r="BN28" s="1013">
        <v>113</v>
      </c>
      <c r="BO28" s="1013">
        <v>8</v>
      </c>
      <c r="BP28" s="1013">
        <v>2</v>
      </c>
      <c r="BQ28" s="1013">
        <v>1</v>
      </c>
      <c r="BR28" s="1013">
        <v>10</v>
      </c>
      <c r="BS28" s="1013">
        <v>64</v>
      </c>
      <c r="BT28" s="1013">
        <v>54</v>
      </c>
      <c r="BU28" s="1013">
        <v>1</v>
      </c>
      <c r="BV28" s="1013">
        <v>5</v>
      </c>
      <c r="BW28" s="1013">
        <v>1</v>
      </c>
      <c r="BX28" s="1013">
        <v>21</v>
      </c>
      <c r="BY28" s="1013">
        <v>21</v>
      </c>
      <c r="BZ28" s="1013">
        <v>101</v>
      </c>
      <c r="CA28" s="1013">
        <v>208</v>
      </c>
      <c r="CB28" s="1013">
        <v>29.733094999999999</v>
      </c>
      <c r="CC28" s="1013">
        <v>-95.381282999999996</v>
      </c>
      <c r="CD28" s="1013" t="s">
        <v>7724</v>
      </c>
      <c r="CE28" s="1013" t="s">
        <v>7724</v>
      </c>
      <c r="CF28" s="1013" t="s">
        <v>7724</v>
      </c>
      <c r="CG28" s="1013" t="s">
        <v>7724</v>
      </c>
      <c r="CH28" s="1013" t="s">
        <v>7732</v>
      </c>
      <c r="CI28" s="1013">
        <v>4399</v>
      </c>
      <c r="CJ28" s="1013" t="s">
        <v>7724</v>
      </c>
      <c r="CK28" s="1013" t="s">
        <v>7724</v>
      </c>
      <c r="CL28" s="1013" t="s">
        <v>7724</v>
      </c>
      <c r="CM28" s="1013" t="s">
        <v>7724</v>
      </c>
      <c r="CN28" s="1013" t="s">
        <v>7724</v>
      </c>
      <c r="CO28" s="1013" t="s">
        <v>7724</v>
      </c>
      <c r="CP28" s="1013" t="s">
        <v>7724</v>
      </c>
      <c r="CQ28" s="1013" t="s">
        <v>7724</v>
      </c>
      <c r="CR28" s="1013" t="s">
        <v>7731</v>
      </c>
      <c r="CS28" s="1013" t="s">
        <v>7724</v>
      </c>
      <c r="CT28" s="1013" t="s">
        <v>7724</v>
      </c>
      <c r="CU28" s="1013" t="s">
        <v>7724</v>
      </c>
      <c r="CV28" s="1013" t="s">
        <v>7724</v>
      </c>
      <c r="CW28" s="1013" t="s">
        <v>7727</v>
      </c>
      <c r="CX28" s="1013" t="s">
        <v>7723</v>
      </c>
      <c r="CY28" s="1013" t="s">
        <v>7723</v>
      </c>
      <c r="CZ28" s="1013">
        <v>5</v>
      </c>
      <c r="DA28" s="1013">
        <v>9</v>
      </c>
      <c r="DB28" s="1013" t="s">
        <v>7727</v>
      </c>
      <c r="DC28" s="1013" t="s">
        <v>7759</v>
      </c>
      <c r="DD28" s="1013" t="s">
        <v>7724</v>
      </c>
      <c r="DE28" s="1013" t="s">
        <v>7724</v>
      </c>
      <c r="DF28" s="1013" t="s">
        <v>7724</v>
      </c>
      <c r="DG28" s="1013" t="s">
        <v>7724</v>
      </c>
      <c r="DH28" s="1013" t="s">
        <v>7724</v>
      </c>
      <c r="DI28" s="1013" t="s">
        <v>7724</v>
      </c>
      <c r="DJ28" s="1013" t="s">
        <v>7724</v>
      </c>
      <c r="DK28" s="1013" t="s">
        <v>7724</v>
      </c>
      <c r="DL28" s="1013" t="s">
        <v>7724</v>
      </c>
      <c r="DM28" s="1013" t="s">
        <v>7724</v>
      </c>
      <c r="DN28" s="1013" t="s">
        <v>7724</v>
      </c>
      <c r="DO28" s="1013" t="s">
        <v>7724</v>
      </c>
      <c r="DP28" s="1013" t="s">
        <v>7724</v>
      </c>
      <c r="DQ28" s="1013" t="s">
        <v>7724</v>
      </c>
      <c r="DR28" s="1013" t="s">
        <v>7724</v>
      </c>
      <c r="DS28" s="1013" t="s">
        <v>7724</v>
      </c>
      <c r="DT28" s="1013" t="s">
        <v>7724</v>
      </c>
      <c r="DU28" s="1013" t="s">
        <v>7724</v>
      </c>
      <c r="DV28" s="1013" t="s">
        <v>7724</v>
      </c>
      <c r="DW28" s="1013" t="s">
        <v>7724</v>
      </c>
      <c r="DX28" s="1013" t="s">
        <v>7724</v>
      </c>
      <c r="DY28" s="1013" t="s">
        <v>7724</v>
      </c>
      <c r="DZ28" s="1013" t="s">
        <v>7724</v>
      </c>
      <c r="EA28" s="1013" t="s">
        <v>7724</v>
      </c>
      <c r="EB28" s="1013" t="s">
        <v>7724</v>
      </c>
      <c r="EC28" s="1013" t="s">
        <v>7724</v>
      </c>
      <c r="ED28" s="1013" t="s">
        <v>7724</v>
      </c>
      <c r="EE28" s="1013" t="s">
        <v>7724</v>
      </c>
      <c r="EF28" s="1013" t="s">
        <v>7724</v>
      </c>
      <c r="EG28" s="1013" t="s">
        <v>7724</v>
      </c>
      <c r="EH28" s="1013" t="s">
        <v>7724</v>
      </c>
      <c r="EI28" s="1013" t="s">
        <v>7724</v>
      </c>
      <c r="EJ28" s="1013" t="s">
        <v>7724</v>
      </c>
      <c r="EK28" s="1013" t="s">
        <v>7724</v>
      </c>
      <c r="EL28" s="1013" t="s">
        <v>7724</v>
      </c>
      <c r="EM28" s="1013" t="s">
        <v>7724</v>
      </c>
      <c r="EN28" s="1013" t="s">
        <v>7724</v>
      </c>
      <c r="EO28" s="1013" t="s">
        <v>7724</v>
      </c>
      <c r="EP28" s="1013" t="s">
        <v>7724</v>
      </c>
      <c r="EQ28" s="1013" t="s">
        <v>7724</v>
      </c>
      <c r="ER28" s="1013" t="s">
        <v>7724</v>
      </c>
      <c r="ES28" s="1013" t="s">
        <v>7724</v>
      </c>
      <c r="ET28" s="1013" t="s">
        <v>7724</v>
      </c>
      <c r="EU28" s="1013" t="s">
        <v>7724</v>
      </c>
      <c r="EV28" s="1013" t="s">
        <v>7724</v>
      </c>
      <c r="EW28" s="1013" t="s">
        <v>7724</v>
      </c>
      <c r="EX28" s="1013" t="s">
        <v>7724</v>
      </c>
      <c r="EY28" s="1013" t="s">
        <v>7724</v>
      </c>
      <c r="EZ28" s="1013" t="s">
        <v>7724</v>
      </c>
      <c r="FA28" s="1013" t="s">
        <v>7724</v>
      </c>
      <c r="FB28" s="1013" t="s">
        <v>7724</v>
      </c>
      <c r="FC28" s="1013" t="s">
        <v>7724</v>
      </c>
      <c r="FD28" s="1013" t="s">
        <v>7724</v>
      </c>
      <c r="FE28" s="1013" t="s">
        <v>7724</v>
      </c>
      <c r="FF28" s="1013" t="s">
        <v>7724</v>
      </c>
      <c r="FG28" s="1013">
        <v>0</v>
      </c>
      <c r="FH28" s="1013">
        <v>0</v>
      </c>
      <c r="FI28" s="1013">
        <v>0</v>
      </c>
      <c r="FJ28" s="1013">
        <v>3</v>
      </c>
      <c r="FK28" s="1013">
        <v>0</v>
      </c>
      <c r="FL28" s="1013">
        <v>0</v>
      </c>
      <c r="FM28" s="1013">
        <v>0</v>
      </c>
      <c r="FN28" s="1013">
        <v>15</v>
      </c>
      <c r="FO28" s="1013">
        <v>29</v>
      </c>
      <c r="FP28" s="1013">
        <v>6</v>
      </c>
      <c r="FQ28" s="1013" t="s">
        <v>7724</v>
      </c>
      <c r="FR28" s="1013" t="s">
        <v>7724</v>
      </c>
      <c r="FS28" s="1013" t="s">
        <v>7724</v>
      </c>
      <c r="FT28" s="1013" t="s">
        <v>7724</v>
      </c>
      <c r="FU28" s="1013" t="s">
        <v>7724</v>
      </c>
      <c r="FV28" s="1013" t="s">
        <v>7724</v>
      </c>
      <c r="FW28" s="1013" t="s">
        <v>7724</v>
      </c>
      <c r="FX28" s="1013" t="s">
        <v>7724</v>
      </c>
      <c r="FY28" s="1013" t="s">
        <v>7724</v>
      </c>
      <c r="FZ28" s="1013" t="s">
        <v>7724</v>
      </c>
      <c r="GA28" s="1013" t="s">
        <v>7724</v>
      </c>
      <c r="GB28" s="1013" t="s">
        <v>7724</v>
      </c>
      <c r="GC28" s="1013">
        <v>2019</v>
      </c>
      <c r="GD28" s="1013" t="s">
        <v>1404</v>
      </c>
      <c r="GE28" s="1013">
        <v>2</v>
      </c>
      <c r="GF28" s="1013" t="s">
        <v>1407</v>
      </c>
      <c r="GG28" s="1013" t="s">
        <v>1407</v>
      </c>
      <c r="GH28" s="1013" t="s">
        <v>7992</v>
      </c>
      <c r="GI28" s="1013" t="s">
        <v>7974</v>
      </c>
      <c r="GJ28" s="1013" t="s">
        <v>7974</v>
      </c>
      <c r="GK28" s="1013" t="s">
        <v>7974</v>
      </c>
      <c r="GL28" s="1013" t="s">
        <v>7974</v>
      </c>
    </row>
    <row r="29" spans="1:194" hidden="1">
      <c r="A29" s="1019">
        <v>130</v>
      </c>
      <c r="B29" s="1019" t="s">
        <v>7722</v>
      </c>
      <c r="C29" s="1019">
        <v>19590183</v>
      </c>
      <c r="D29" s="1019" t="s">
        <v>7723</v>
      </c>
      <c r="E29" s="1022" t="s">
        <v>7723</v>
      </c>
      <c r="F29" s="1019" t="s">
        <v>7723</v>
      </c>
      <c r="G29" s="1019" t="s">
        <v>7723</v>
      </c>
      <c r="H29" s="1019" t="s">
        <v>7723</v>
      </c>
      <c r="I29" s="1019" t="s">
        <v>7723</v>
      </c>
      <c r="J29" s="1019" t="s">
        <v>7723</v>
      </c>
      <c r="K29" s="1019">
        <v>45083</v>
      </c>
      <c r="L29" s="1019">
        <v>0.80555555555555558</v>
      </c>
      <c r="M29" s="1019" t="s">
        <v>7993</v>
      </c>
      <c r="N29" s="1019" t="s">
        <v>7744</v>
      </c>
      <c r="O29" s="1019">
        <v>101</v>
      </c>
      <c r="P29" s="1019">
        <v>208</v>
      </c>
      <c r="Q29" s="1019" t="s">
        <v>7723</v>
      </c>
      <c r="R29" s="1019" t="s">
        <v>7727</v>
      </c>
      <c r="S29" s="1019" t="s">
        <v>7724</v>
      </c>
      <c r="T29" s="1020" t="s">
        <v>7724</v>
      </c>
      <c r="U29" s="1020">
        <v>19</v>
      </c>
      <c r="V29" s="1020" t="s">
        <v>7724</v>
      </c>
      <c r="W29" s="1020" t="s">
        <v>7724</v>
      </c>
      <c r="X29" s="1019">
        <v>1</v>
      </c>
      <c r="Y29" s="1019">
        <v>4400</v>
      </c>
      <c r="Z29" s="1019" t="s">
        <v>7724</v>
      </c>
      <c r="AA29" s="1019" t="s">
        <v>7728</v>
      </c>
      <c r="AB29" s="1013" t="s">
        <v>7724</v>
      </c>
      <c r="AC29" s="1013" t="s">
        <v>7723</v>
      </c>
      <c r="AD29" s="1013" t="s">
        <v>7723</v>
      </c>
      <c r="AE29" s="1013">
        <v>30</v>
      </c>
      <c r="AF29" s="1013" t="s">
        <v>7723</v>
      </c>
      <c r="AG29" s="1013" t="s">
        <v>7723</v>
      </c>
      <c r="AH29" s="1013" t="s">
        <v>7724</v>
      </c>
      <c r="AI29" s="1013" t="s">
        <v>7727</v>
      </c>
      <c r="AJ29" s="1013">
        <v>19</v>
      </c>
      <c r="AK29" s="1013" t="s">
        <v>7724</v>
      </c>
      <c r="AL29" s="1013" t="s">
        <v>7724</v>
      </c>
      <c r="AM29" s="1013">
        <v>1</v>
      </c>
      <c r="AN29" s="1013">
        <v>1200</v>
      </c>
      <c r="AO29" s="1013" t="s">
        <v>7724</v>
      </c>
      <c r="AP29" s="1013" t="s">
        <v>7725</v>
      </c>
      <c r="AQ29" s="1013" t="s">
        <v>7724</v>
      </c>
      <c r="AR29" s="1013" t="s">
        <v>7724</v>
      </c>
      <c r="AS29" s="1013" t="s">
        <v>7724</v>
      </c>
      <c r="AT29" s="1013" t="s">
        <v>7724</v>
      </c>
      <c r="AU29" s="1013" t="s">
        <v>7724</v>
      </c>
      <c r="AV29" s="1013" t="s">
        <v>7724</v>
      </c>
      <c r="AW29" s="1013" t="s">
        <v>7724</v>
      </c>
      <c r="AX29" s="1013">
        <v>11</v>
      </c>
      <c r="AY29" s="1013">
        <v>1</v>
      </c>
      <c r="AZ29" s="1013">
        <v>2</v>
      </c>
      <c r="BA29" s="1013">
        <v>4</v>
      </c>
      <c r="BB29" s="1013">
        <v>1</v>
      </c>
      <c r="BC29" s="1013">
        <v>1</v>
      </c>
      <c r="BD29" s="1013">
        <v>5</v>
      </c>
      <c r="BE29" s="1023">
        <v>0.80972222222222223</v>
      </c>
      <c r="BF29" s="1013" t="s">
        <v>7736</v>
      </c>
      <c r="BG29" s="1023">
        <v>0.81319444444444444</v>
      </c>
      <c r="BH29" s="1024">
        <v>45085</v>
      </c>
      <c r="BI29" s="1013" t="s">
        <v>7727</v>
      </c>
      <c r="BJ29" s="1013" t="s">
        <v>7730</v>
      </c>
      <c r="BK29" s="1013">
        <v>2469</v>
      </c>
      <c r="BL29" s="1013" t="s">
        <v>7724</v>
      </c>
      <c r="BM29" s="1013" t="s">
        <v>7724</v>
      </c>
      <c r="BN29" s="1013">
        <v>113</v>
      </c>
      <c r="BO29" s="1013">
        <v>8</v>
      </c>
      <c r="BP29" s="1013">
        <v>2</v>
      </c>
      <c r="BQ29" s="1013">
        <v>1</v>
      </c>
      <c r="BR29" s="1013">
        <v>24</v>
      </c>
      <c r="BS29" s="1013">
        <v>64</v>
      </c>
      <c r="BT29" s="1013">
        <v>54</v>
      </c>
      <c r="BU29" s="1013">
        <v>1</v>
      </c>
      <c r="BV29" s="1013">
        <v>5</v>
      </c>
      <c r="BW29" s="1013">
        <v>1</v>
      </c>
      <c r="BX29" s="1013">
        <v>21</v>
      </c>
      <c r="BY29" s="1013">
        <v>21</v>
      </c>
      <c r="BZ29" s="1013">
        <v>101</v>
      </c>
      <c r="CA29" s="1013">
        <v>208</v>
      </c>
      <c r="CB29" s="1013">
        <v>29.733094999999999</v>
      </c>
      <c r="CC29" s="1013">
        <v>-95.381282999999996</v>
      </c>
      <c r="CD29" s="1013" t="s">
        <v>7724</v>
      </c>
      <c r="CE29" s="1013" t="s">
        <v>7724</v>
      </c>
      <c r="CF29" s="1013" t="s">
        <v>7724</v>
      </c>
      <c r="CG29" s="1013" t="s">
        <v>7724</v>
      </c>
      <c r="CH29" s="1013" t="s">
        <v>7732</v>
      </c>
      <c r="CI29" s="1013">
        <v>4399</v>
      </c>
      <c r="CJ29" s="1013" t="s">
        <v>7724</v>
      </c>
      <c r="CK29" s="1013" t="s">
        <v>7724</v>
      </c>
      <c r="CL29" s="1013" t="s">
        <v>7724</v>
      </c>
      <c r="CM29" s="1013" t="s">
        <v>7724</v>
      </c>
      <c r="CN29" s="1013" t="s">
        <v>7724</v>
      </c>
      <c r="CO29" s="1013" t="s">
        <v>7724</v>
      </c>
      <c r="CP29" s="1013" t="s">
        <v>7724</v>
      </c>
      <c r="CQ29" s="1013" t="s">
        <v>7724</v>
      </c>
      <c r="CR29" s="1013" t="s">
        <v>7731</v>
      </c>
      <c r="CS29" s="1013" t="s">
        <v>7724</v>
      </c>
      <c r="CT29" s="1013" t="s">
        <v>7724</v>
      </c>
      <c r="CU29" s="1013" t="s">
        <v>7724</v>
      </c>
      <c r="CV29" s="1013" t="s">
        <v>7724</v>
      </c>
      <c r="CW29" s="1013" t="s">
        <v>7727</v>
      </c>
      <c r="CX29" s="1013" t="s">
        <v>7723</v>
      </c>
      <c r="CY29" s="1013" t="s">
        <v>7723</v>
      </c>
      <c r="CZ29" s="1013">
        <v>5</v>
      </c>
      <c r="DA29" s="1013">
        <v>9</v>
      </c>
      <c r="DB29" s="1013" t="s">
        <v>7727</v>
      </c>
      <c r="DC29" s="1013" t="s">
        <v>7737</v>
      </c>
      <c r="DD29" s="1013" t="s">
        <v>7724</v>
      </c>
      <c r="DE29" s="1013" t="s">
        <v>7724</v>
      </c>
      <c r="DF29" s="1013" t="s">
        <v>7724</v>
      </c>
      <c r="DG29" s="1013" t="s">
        <v>7724</v>
      </c>
      <c r="DH29" s="1013" t="s">
        <v>7724</v>
      </c>
      <c r="DI29" s="1013" t="s">
        <v>7724</v>
      </c>
      <c r="DJ29" s="1013" t="s">
        <v>7724</v>
      </c>
      <c r="DK29" s="1013" t="s">
        <v>7724</v>
      </c>
      <c r="DL29" s="1013" t="s">
        <v>7724</v>
      </c>
      <c r="DM29" s="1013" t="s">
        <v>7724</v>
      </c>
      <c r="DN29" s="1013" t="s">
        <v>7724</v>
      </c>
      <c r="DO29" s="1013" t="s">
        <v>7724</v>
      </c>
      <c r="DP29" s="1013" t="s">
        <v>7724</v>
      </c>
      <c r="DQ29" s="1013" t="s">
        <v>7724</v>
      </c>
      <c r="DR29" s="1013" t="s">
        <v>7724</v>
      </c>
      <c r="DS29" s="1013" t="s">
        <v>7724</v>
      </c>
      <c r="DT29" s="1013" t="s">
        <v>7724</v>
      </c>
      <c r="DU29" s="1013" t="s">
        <v>7724</v>
      </c>
      <c r="DV29" s="1013" t="s">
        <v>7724</v>
      </c>
      <c r="DW29" s="1013" t="s">
        <v>7724</v>
      </c>
      <c r="DX29" s="1013" t="s">
        <v>7724</v>
      </c>
      <c r="DY29" s="1013" t="s">
        <v>7724</v>
      </c>
      <c r="DZ29" s="1013" t="s">
        <v>7724</v>
      </c>
      <c r="EA29" s="1013" t="s">
        <v>7724</v>
      </c>
      <c r="EB29" s="1013" t="s">
        <v>7724</v>
      </c>
      <c r="EC29" s="1013" t="s">
        <v>7724</v>
      </c>
      <c r="ED29" s="1013" t="s">
        <v>7724</v>
      </c>
      <c r="EE29" s="1013" t="s">
        <v>7724</v>
      </c>
      <c r="EF29" s="1013" t="s">
        <v>7724</v>
      </c>
      <c r="EG29" s="1013" t="s">
        <v>7724</v>
      </c>
      <c r="EH29" s="1013" t="s">
        <v>7724</v>
      </c>
      <c r="EI29" s="1013" t="s">
        <v>7724</v>
      </c>
      <c r="EJ29" s="1013" t="s">
        <v>7724</v>
      </c>
      <c r="EK29" s="1013" t="s">
        <v>7724</v>
      </c>
      <c r="EL29" s="1013" t="s">
        <v>7724</v>
      </c>
      <c r="EM29" s="1013" t="s">
        <v>7724</v>
      </c>
      <c r="EN29" s="1013" t="s">
        <v>7724</v>
      </c>
      <c r="EO29" s="1013" t="s">
        <v>7724</v>
      </c>
      <c r="EP29" s="1013" t="s">
        <v>7724</v>
      </c>
      <c r="EQ29" s="1013" t="s">
        <v>7724</v>
      </c>
      <c r="ER29" s="1013" t="s">
        <v>7724</v>
      </c>
      <c r="ES29" s="1013" t="s">
        <v>7724</v>
      </c>
      <c r="ET29" s="1013" t="s">
        <v>7724</v>
      </c>
      <c r="EU29" s="1013" t="s">
        <v>7724</v>
      </c>
      <c r="EV29" s="1013" t="s">
        <v>7724</v>
      </c>
      <c r="EW29" s="1013" t="s">
        <v>7724</v>
      </c>
      <c r="EX29" s="1013" t="s">
        <v>7724</v>
      </c>
      <c r="EY29" s="1013" t="s">
        <v>7724</v>
      </c>
      <c r="EZ29" s="1013" t="s">
        <v>7724</v>
      </c>
      <c r="FA29" s="1013" t="s">
        <v>7724</v>
      </c>
      <c r="FB29" s="1013" t="s">
        <v>7724</v>
      </c>
      <c r="FC29" s="1013" t="s">
        <v>7724</v>
      </c>
      <c r="FD29" s="1013" t="s">
        <v>7724</v>
      </c>
      <c r="FE29" s="1013" t="s">
        <v>7724</v>
      </c>
      <c r="FF29" s="1013" t="s">
        <v>7724</v>
      </c>
      <c r="FG29" s="1013">
        <v>0</v>
      </c>
      <c r="FH29" s="1013">
        <v>0</v>
      </c>
      <c r="FI29" s="1013">
        <v>0</v>
      </c>
      <c r="FJ29" s="1013">
        <v>1</v>
      </c>
      <c r="FK29" s="1013">
        <v>1</v>
      </c>
      <c r="FL29" s="1013">
        <v>0</v>
      </c>
      <c r="FM29" s="1013">
        <v>0</v>
      </c>
      <c r="FN29" s="1013">
        <v>15</v>
      </c>
      <c r="FO29" s="1013">
        <v>29</v>
      </c>
      <c r="FP29" s="1013">
        <v>6</v>
      </c>
      <c r="FQ29" s="1013" t="s">
        <v>7724</v>
      </c>
      <c r="FR29" s="1013" t="s">
        <v>7724</v>
      </c>
      <c r="FS29" s="1013" t="s">
        <v>7724</v>
      </c>
      <c r="FT29" s="1013" t="s">
        <v>7723</v>
      </c>
      <c r="FU29" s="1013" t="s">
        <v>7723</v>
      </c>
      <c r="FV29" s="1013">
        <v>30</v>
      </c>
      <c r="FW29" s="1023">
        <v>0.82291666666666663</v>
      </c>
      <c r="FX29" s="1023">
        <v>0.82986111111111116</v>
      </c>
      <c r="FY29" s="1024">
        <v>45083</v>
      </c>
      <c r="FZ29" s="1024">
        <v>45083</v>
      </c>
      <c r="GA29" s="1024">
        <v>45083</v>
      </c>
      <c r="GB29" s="1024">
        <v>45083</v>
      </c>
      <c r="GC29" s="1013">
        <v>2023</v>
      </c>
      <c r="GD29" s="1013" t="s">
        <v>1407</v>
      </c>
      <c r="GE29" s="1013">
        <v>2</v>
      </c>
      <c r="GF29" s="1013" t="s">
        <v>1407</v>
      </c>
      <c r="GG29" s="1013" t="s">
        <v>1407</v>
      </c>
      <c r="GH29" s="1013" t="s">
        <v>7973</v>
      </c>
      <c r="GI29" s="1013" t="s">
        <v>7974</v>
      </c>
      <c r="GJ29" s="1013" t="s">
        <v>7974</v>
      </c>
      <c r="GK29" s="1013" t="s">
        <v>7974</v>
      </c>
      <c r="GL29" s="1013" t="s">
        <v>7974</v>
      </c>
    </row>
    <row r="30" spans="1:194" hidden="1">
      <c r="A30" s="1019">
        <v>140</v>
      </c>
      <c r="B30" s="1019" t="s">
        <v>7722</v>
      </c>
      <c r="C30" s="1019">
        <v>19779534</v>
      </c>
      <c r="D30" s="1019" t="s">
        <v>7723</v>
      </c>
      <c r="E30" s="1022" t="s">
        <v>7723</v>
      </c>
      <c r="F30" s="1019" t="s">
        <v>7723</v>
      </c>
      <c r="G30" s="1019" t="s">
        <v>7723</v>
      </c>
      <c r="H30" s="1019" t="s">
        <v>7723</v>
      </c>
      <c r="I30" s="1019" t="s">
        <v>7723</v>
      </c>
      <c r="J30" s="1019" t="s">
        <v>7723</v>
      </c>
      <c r="K30" s="1019">
        <v>45195</v>
      </c>
      <c r="L30" s="1019">
        <v>0.51249999999999996</v>
      </c>
      <c r="M30" s="1019" t="s">
        <v>7994</v>
      </c>
      <c r="N30" s="1019" t="s">
        <v>7724</v>
      </c>
      <c r="O30" s="1019">
        <v>101</v>
      </c>
      <c r="P30" s="1019">
        <v>208</v>
      </c>
      <c r="Q30" s="1019" t="s">
        <v>7723</v>
      </c>
      <c r="R30" s="1019" t="s">
        <v>7727</v>
      </c>
      <c r="S30" s="1019" t="s">
        <v>7724</v>
      </c>
      <c r="T30" s="1020" t="s">
        <v>7724</v>
      </c>
      <c r="U30" s="1020">
        <v>19</v>
      </c>
      <c r="V30" s="1020" t="s">
        <v>7724</v>
      </c>
      <c r="W30" s="1020" t="s">
        <v>7724</v>
      </c>
      <c r="X30" s="1019">
        <v>1</v>
      </c>
      <c r="Y30" s="1019">
        <v>4300</v>
      </c>
      <c r="Z30" s="1019" t="s">
        <v>7724</v>
      </c>
      <c r="AA30" s="1019" t="s">
        <v>7728</v>
      </c>
      <c r="AB30" s="1013" t="s">
        <v>7726</v>
      </c>
      <c r="AC30" s="1013" t="s">
        <v>7723</v>
      </c>
      <c r="AD30" s="1013" t="s">
        <v>7723</v>
      </c>
      <c r="AE30" s="1013">
        <v>35</v>
      </c>
      <c r="AF30" s="1013" t="s">
        <v>7723</v>
      </c>
      <c r="AG30" s="1013" t="s">
        <v>7723</v>
      </c>
      <c r="AH30" s="1013" t="s">
        <v>7739</v>
      </c>
      <c r="AI30" s="1013" t="s">
        <v>7727</v>
      </c>
      <c r="AJ30" s="1013">
        <v>18</v>
      </c>
      <c r="AK30" s="1013" t="s">
        <v>7724</v>
      </c>
      <c r="AL30" s="1013" t="s">
        <v>7724</v>
      </c>
      <c r="AM30" s="1013">
        <v>1</v>
      </c>
      <c r="AN30" s="1013">
        <v>1100</v>
      </c>
      <c r="AO30" s="1013" t="s">
        <v>7724</v>
      </c>
      <c r="AP30" s="1013" t="s">
        <v>7725</v>
      </c>
      <c r="AQ30" s="1013" t="s">
        <v>7726</v>
      </c>
      <c r="AR30" s="1013" t="s">
        <v>7724</v>
      </c>
      <c r="AS30" s="1013" t="s">
        <v>7724</v>
      </c>
      <c r="AT30" s="1013" t="s">
        <v>7724</v>
      </c>
      <c r="AU30" s="1013" t="s">
        <v>7724</v>
      </c>
      <c r="AV30" s="1013" t="s">
        <v>7739</v>
      </c>
      <c r="AW30" s="1013" t="s">
        <v>7724</v>
      </c>
      <c r="AX30" s="1013">
        <v>11</v>
      </c>
      <c r="AY30" s="1013">
        <v>1</v>
      </c>
      <c r="AZ30" s="1013">
        <v>4</v>
      </c>
      <c r="BA30" s="1013">
        <v>1</v>
      </c>
      <c r="BB30" s="1013">
        <v>1</v>
      </c>
      <c r="BC30" s="1013">
        <v>1</v>
      </c>
      <c r="BD30" s="1013">
        <v>20</v>
      </c>
      <c r="BE30" s="1023">
        <v>0.51249999999999996</v>
      </c>
      <c r="BF30" s="1013" t="s">
        <v>7782</v>
      </c>
      <c r="BG30" s="1023">
        <v>0.52013888888888893</v>
      </c>
      <c r="BH30" s="1024">
        <v>45195</v>
      </c>
      <c r="BI30" s="1013" t="s">
        <v>7727</v>
      </c>
      <c r="BJ30" s="1013" t="s">
        <v>7730</v>
      </c>
      <c r="BK30" s="1013">
        <v>2469</v>
      </c>
      <c r="BL30" s="1013" t="s">
        <v>7724</v>
      </c>
      <c r="BM30" s="1013" t="s">
        <v>7724</v>
      </c>
      <c r="BN30" s="1013">
        <v>113</v>
      </c>
      <c r="BO30" s="1013">
        <v>8</v>
      </c>
      <c r="BP30" s="1013">
        <v>2</v>
      </c>
      <c r="BQ30" s="1013">
        <v>2</v>
      </c>
      <c r="BR30" s="1013">
        <v>21</v>
      </c>
      <c r="BS30" s="1013">
        <v>33</v>
      </c>
      <c r="BT30" s="1013">
        <v>9</v>
      </c>
      <c r="BU30" s="1013">
        <v>1</v>
      </c>
      <c r="BV30" s="1013">
        <v>3</v>
      </c>
      <c r="BW30" s="1013">
        <v>1</v>
      </c>
      <c r="BX30" s="1013">
        <v>21</v>
      </c>
      <c r="BY30" s="1013">
        <v>21</v>
      </c>
      <c r="BZ30" s="1013">
        <v>101</v>
      </c>
      <c r="CA30" s="1013">
        <v>208</v>
      </c>
      <c r="CB30" s="1013">
        <v>29.733094999999999</v>
      </c>
      <c r="CC30" s="1013">
        <v>-95.381282999999996</v>
      </c>
      <c r="CD30" s="1013" t="s">
        <v>7724</v>
      </c>
      <c r="CE30" s="1013" t="s">
        <v>7724</v>
      </c>
      <c r="CF30" s="1013" t="s">
        <v>7724</v>
      </c>
      <c r="CG30" s="1013" t="s">
        <v>7724</v>
      </c>
      <c r="CH30" s="1013" t="s">
        <v>7732</v>
      </c>
      <c r="CI30" s="1013">
        <v>4399</v>
      </c>
      <c r="CJ30" s="1013" t="s">
        <v>7724</v>
      </c>
      <c r="CK30" s="1013" t="s">
        <v>7724</v>
      </c>
      <c r="CL30" s="1013" t="s">
        <v>7724</v>
      </c>
      <c r="CM30" s="1013" t="s">
        <v>7724</v>
      </c>
      <c r="CN30" s="1013" t="s">
        <v>7724</v>
      </c>
      <c r="CO30" s="1013" t="s">
        <v>7724</v>
      </c>
      <c r="CP30" s="1013" t="s">
        <v>7724</v>
      </c>
      <c r="CQ30" s="1013" t="s">
        <v>7724</v>
      </c>
      <c r="CR30" s="1013" t="s">
        <v>7731</v>
      </c>
      <c r="CS30" s="1013" t="s">
        <v>7724</v>
      </c>
      <c r="CT30" s="1013" t="s">
        <v>7724</v>
      </c>
      <c r="CU30" s="1013" t="s">
        <v>7724</v>
      </c>
      <c r="CV30" s="1013" t="s">
        <v>7724</v>
      </c>
      <c r="CW30" s="1013" t="s">
        <v>7727</v>
      </c>
      <c r="CX30" s="1013" t="s">
        <v>7723</v>
      </c>
      <c r="CY30" s="1013" t="s">
        <v>7723</v>
      </c>
      <c r="CZ30" s="1013">
        <v>3</v>
      </c>
      <c r="DA30" s="1013">
        <v>9</v>
      </c>
      <c r="DB30" s="1013" t="s">
        <v>7727</v>
      </c>
      <c r="DC30" s="1013" t="s">
        <v>7737</v>
      </c>
      <c r="DD30" s="1013" t="s">
        <v>7724</v>
      </c>
      <c r="DE30" s="1013" t="s">
        <v>7724</v>
      </c>
      <c r="DF30" s="1013" t="s">
        <v>7724</v>
      </c>
      <c r="DG30" s="1013" t="s">
        <v>7724</v>
      </c>
      <c r="DH30" s="1013" t="s">
        <v>7724</v>
      </c>
      <c r="DI30" s="1013" t="s">
        <v>7724</v>
      </c>
      <c r="DJ30" s="1013" t="s">
        <v>7724</v>
      </c>
      <c r="DK30" s="1013" t="s">
        <v>7724</v>
      </c>
      <c r="DL30" s="1013" t="s">
        <v>7724</v>
      </c>
      <c r="DM30" s="1013" t="s">
        <v>7724</v>
      </c>
      <c r="DN30" s="1013" t="s">
        <v>7724</v>
      </c>
      <c r="DO30" s="1013" t="s">
        <v>7724</v>
      </c>
      <c r="DP30" s="1013" t="s">
        <v>7724</v>
      </c>
      <c r="DQ30" s="1013" t="s">
        <v>7724</v>
      </c>
      <c r="DR30" s="1013" t="s">
        <v>7724</v>
      </c>
      <c r="DS30" s="1013" t="s">
        <v>7724</v>
      </c>
      <c r="DT30" s="1013" t="s">
        <v>7724</v>
      </c>
      <c r="DU30" s="1013" t="s">
        <v>7724</v>
      </c>
      <c r="DV30" s="1013" t="s">
        <v>7724</v>
      </c>
      <c r="DW30" s="1013" t="s">
        <v>7724</v>
      </c>
      <c r="DX30" s="1013" t="s">
        <v>7724</v>
      </c>
      <c r="DY30" s="1013" t="s">
        <v>7724</v>
      </c>
      <c r="DZ30" s="1013" t="s">
        <v>7724</v>
      </c>
      <c r="EA30" s="1013" t="s">
        <v>7724</v>
      </c>
      <c r="EB30" s="1013" t="s">
        <v>7724</v>
      </c>
      <c r="EC30" s="1013" t="s">
        <v>7724</v>
      </c>
      <c r="ED30" s="1013" t="s">
        <v>7724</v>
      </c>
      <c r="EE30" s="1013" t="s">
        <v>7724</v>
      </c>
      <c r="EF30" s="1013" t="s">
        <v>7724</v>
      </c>
      <c r="EG30" s="1013" t="s">
        <v>7724</v>
      </c>
      <c r="EH30" s="1013" t="s">
        <v>7724</v>
      </c>
      <c r="EI30" s="1013" t="s">
        <v>7724</v>
      </c>
      <c r="EJ30" s="1013" t="s">
        <v>7724</v>
      </c>
      <c r="EK30" s="1013" t="s">
        <v>7724</v>
      </c>
      <c r="EL30" s="1013" t="s">
        <v>7724</v>
      </c>
      <c r="EM30" s="1013" t="s">
        <v>7724</v>
      </c>
      <c r="EN30" s="1013" t="s">
        <v>7724</v>
      </c>
      <c r="EO30" s="1013" t="s">
        <v>7724</v>
      </c>
      <c r="EP30" s="1013" t="s">
        <v>7724</v>
      </c>
      <c r="EQ30" s="1013" t="s">
        <v>7724</v>
      </c>
      <c r="ER30" s="1013" t="s">
        <v>7724</v>
      </c>
      <c r="ES30" s="1013" t="s">
        <v>7724</v>
      </c>
      <c r="ET30" s="1013" t="s">
        <v>7724</v>
      </c>
      <c r="EU30" s="1013" t="s">
        <v>7724</v>
      </c>
      <c r="EV30" s="1013" t="s">
        <v>7724</v>
      </c>
      <c r="EW30" s="1013" t="s">
        <v>7724</v>
      </c>
      <c r="EX30" s="1013" t="s">
        <v>7724</v>
      </c>
      <c r="EY30" s="1013" t="s">
        <v>7724</v>
      </c>
      <c r="EZ30" s="1013" t="s">
        <v>7724</v>
      </c>
      <c r="FA30" s="1013" t="s">
        <v>7724</v>
      </c>
      <c r="FB30" s="1013" t="s">
        <v>7724</v>
      </c>
      <c r="FC30" s="1013" t="s">
        <v>7724</v>
      </c>
      <c r="FD30" s="1013" t="s">
        <v>7724</v>
      </c>
      <c r="FE30" s="1013" t="s">
        <v>7724</v>
      </c>
      <c r="FF30" s="1013" t="s">
        <v>7724</v>
      </c>
      <c r="FG30" s="1013">
        <v>0</v>
      </c>
      <c r="FH30" s="1013">
        <v>0</v>
      </c>
      <c r="FI30" s="1013">
        <v>1</v>
      </c>
      <c r="FJ30" s="1013">
        <v>1</v>
      </c>
      <c r="FK30" s="1013">
        <v>0</v>
      </c>
      <c r="FL30" s="1013">
        <v>1</v>
      </c>
      <c r="FM30" s="1013">
        <v>0</v>
      </c>
      <c r="FN30" s="1013">
        <v>15</v>
      </c>
      <c r="FO30" s="1013">
        <v>29</v>
      </c>
      <c r="FP30" s="1013">
        <v>6</v>
      </c>
      <c r="FQ30" s="1013" t="s">
        <v>7724</v>
      </c>
      <c r="FR30" s="1013" t="s">
        <v>7724</v>
      </c>
      <c r="FS30" s="1013" t="s">
        <v>7724</v>
      </c>
      <c r="FT30" s="1013" t="s">
        <v>7723</v>
      </c>
      <c r="FU30" s="1013" t="s">
        <v>7723</v>
      </c>
      <c r="FV30" s="1013">
        <v>35</v>
      </c>
      <c r="FW30" s="1023">
        <v>0.52708333333333335</v>
      </c>
      <c r="FX30" s="1023">
        <v>0.5805555555555556</v>
      </c>
      <c r="FY30" s="1024">
        <v>45195</v>
      </c>
      <c r="FZ30" s="1024">
        <v>45195</v>
      </c>
      <c r="GA30" s="1024">
        <v>45195</v>
      </c>
      <c r="GB30" s="1024">
        <v>45195</v>
      </c>
      <c r="GC30" s="1013">
        <v>2023</v>
      </c>
      <c r="GD30" s="1013" t="s">
        <v>1407</v>
      </c>
      <c r="GE30" s="1013">
        <v>2</v>
      </c>
      <c r="GF30" s="1013" t="s">
        <v>1407</v>
      </c>
      <c r="GG30" s="1013" t="s">
        <v>1407</v>
      </c>
      <c r="GH30" s="1013" t="s">
        <v>7995</v>
      </c>
      <c r="GI30" s="1013" t="s">
        <v>7974</v>
      </c>
      <c r="GJ30" s="1013" t="s">
        <v>7974</v>
      </c>
      <c r="GK30" s="1013" t="s">
        <v>7974</v>
      </c>
      <c r="GL30" s="1013" t="s">
        <v>7974</v>
      </c>
    </row>
    <row r="31" spans="1:194" hidden="1">
      <c r="A31" s="1019">
        <v>154</v>
      </c>
      <c r="B31" s="1019" t="s">
        <v>7722</v>
      </c>
      <c r="C31" s="1019">
        <v>19876548</v>
      </c>
      <c r="D31" s="1019" t="s">
        <v>7723</v>
      </c>
      <c r="E31" s="1022" t="s">
        <v>7723</v>
      </c>
      <c r="F31" s="1019" t="s">
        <v>7723</v>
      </c>
      <c r="G31" s="1019" t="s">
        <v>7723</v>
      </c>
      <c r="H31" s="1019" t="s">
        <v>7723</v>
      </c>
      <c r="I31" s="1019" t="s">
        <v>7723</v>
      </c>
      <c r="J31" s="1019" t="s">
        <v>7723</v>
      </c>
      <c r="K31" s="1019">
        <v>45244</v>
      </c>
      <c r="L31" s="1019">
        <v>0.72569444444444442</v>
      </c>
      <c r="M31" s="1019" t="s">
        <v>7996</v>
      </c>
      <c r="N31" s="1019" t="s">
        <v>7724</v>
      </c>
      <c r="O31" s="1019">
        <v>101</v>
      </c>
      <c r="P31" s="1019">
        <v>208</v>
      </c>
      <c r="Q31" s="1019" t="s">
        <v>7723</v>
      </c>
      <c r="R31" s="1019" t="s">
        <v>7727</v>
      </c>
      <c r="S31" s="1019" t="s">
        <v>7724</v>
      </c>
      <c r="T31" s="1020" t="s">
        <v>7724</v>
      </c>
      <c r="U31" s="1020">
        <v>19</v>
      </c>
      <c r="V31" s="1020" t="s">
        <v>7724</v>
      </c>
      <c r="W31" s="1020" t="s">
        <v>7724</v>
      </c>
      <c r="X31" s="1019">
        <v>1</v>
      </c>
      <c r="Y31" s="1019">
        <v>4399</v>
      </c>
      <c r="Z31" s="1019" t="s">
        <v>7724</v>
      </c>
      <c r="AA31" s="1019" t="s">
        <v>7728</v>
      </c>
      <c r="AB31" s="1013" t="s">
        <v>7724</v>
      </c>
      <c r="AC31" s="1013" t="s">
        <v>7723</v>
      </c>
      <c r="AD31" s="1013" t="s">
        <v>7723</v>
      </c>
      <c r="AE31" s="1013">
        <v>35</v>
      </c>
      <c r="AF31" s="1013" t="s">
        <v>7723</v>
      </c>
      <c r="AG31" s="1013" t="s">
        <v>7723</v>
      </c>
      <c r="AH31" s="1013" t="s">
        <v>7766</v>
      </c>
      <c r="AI31" s="1013" t="s">
        <v>7727</v>
      </c>
      <c r="AJ31" s="1013">
        <v>19</v>
      </c>
      <c r="AK31" s="1013" t="s">
        <v>7724</v>
      </c>
      <c r="AL31" s="1013" t="s">
        <v>7724</v>
      </c>
      <c r="AM31" s="1013">
        <v>1</v>
      </c>
      <c r="AN31" s="1013">
        <v>1199</v>
      </c>
      <c r="AO31" s="1013" t="s">
        <v>7724</v>
      </c>
      <c r="AP31" s="1013" t="s">
        <v>7725</v>
      </c>
      <c r="AQ31" s="1013" t="s">
        <v>7726</v>
      </c>
      <c r="AR31" s="1013" t="s">
        <v>7724</v>
      </c>
      <c r="AS31" s="1013" t="s">
        <v>7724</v>
      </c>
      <c r="AT31" s="1013" t="s">
        <v>7724</v>
      </c>
      <c r="AU31" s="1013" t="s">
        <v>7724</v>
      </c>
      <c r="AV31" s="1013" t="s">
        <v>7766</v>
      </c>
      <c r="AW31" s="1013" t="s">
        <v>7724</v>
      </c>
      <c r="AX31" s="1013">
        <v>12</v>
      </c>
      <c r="AY31" s="1013">
        <v>1</v>
      </c>
      <c r="AZ31" s="1013">
        <v>4</v>
      </c>
      <c r="BA31" s="1013">
        <v>4</v>
      </c>
      <c r="BB31" s="1013">
        <v>1</v>
      </c>
      <c r="BC31" s="1013">
        <v>1</v>
      </c>
      <c r="BD31" s="1013">
        <v>20</v>
      </c>
      <c r="BE31" s="1023">
        <v>0.72847222222222219</v>
      </c>
      <c r="BF31" s="1013" t="s">
        <v>7736</v>
      </c>
      <c r="BG31" s="1023">
        <v>0.72986111111111107</v>
      </c>
      <c r="BH31" s="1024">
        <v>45244</v>
      </c>
      <c r="BI31" s="1013" t="s">
        <v>7727</v>
      </c>
      <c r="BJ31" s="1013" t="s">
        <v>7730</v>
      </c>
      <c r="BK31" s="1013">
        <v>2469</v>
      </c>
      <c r="BL31" s="1013" t="s">
        <v>7724</v>
      </c>
      <c r="BM31" s="1013" t="s">
        <v>7724</v>
      </c>
      <c r="BN31" s="1013">
        <v>113</v>
      </c>
      <c r="BO31" s="1013">
        <v>8</v>
      </c>
      <c r="BP31" s="1013">
        <v>1</v>
      </c>
      <c r="BQ31" s="1013">
        <v>2</v>
      </c>
      <c r="BR31" s="1013">
        <v>1</v>
      </c>
      <c r="BS31" s="1013">
        <v>64</v>
      </c>
      <c r="BT31" s="1013">
        <v>54</v>
      </c>
      <c r="BU31" s="1013">
        <v>1</v>
      </c>
      <c r="BV31" s="1013">
        <v>5</v>
      </c>
      <c r="BW31" s="1013">
        <v>1</v>
      </c>
      <c r="BX31" s="1013">
        <v>21</v>
      </c>
      <c r="BY31" s="1013">
        <v>21</v>
      </c>
      <c r="BZ31" s="1013">
        <v>101</v>
      </c>
      <c r="CA31" s="1013">
        <v>208</v>
      </c>
      <c r="CB31" s="1013">
        <v>29.733094999999999</v>
      </c>
      <c r="CC31" s="1013">
        <v>-95.381282999999996</v>
      </c>
      <c r="CD31" s="1013" t="s">
        <v>7724</v>
      </c>
      <c r="CE31" s="1013" t="s">
        <v>7724</v>
      </c>
      <c r="CF31" s="1013" t="s">
        <v>7724</v>
      </c>
      <c r="CG31" s="1013" t="s">
        <v>7724</v>
      </c>
      <c r="CH31" s="1013" t="s">
        <v>7732</v>
      </c>
      <c r="CI31" s="1013">
        <v>4399</v>
      </c>
      <c r="CJ31" s="1013" t="s">
        <v>7724</v>
      </c>
      <c r="CK31" s="1013" t="s">
        <v>7724</v>
      </c>
      <c r="CL31" s="1013" t="s">
        <v>7724</v>
      </c>
      <c r="CM31" s="1013" t="s">
        <v>7724</v>
      </c>
      <c r="CN31" s="1013" t="s">
        <v>7724</v>
      </c>
      <c r="CO31" s="1013" t="s">
        <v>7724</v>
      </c>
      <c r="CP31" s="1013" t="s">
        <v>7724</v>
      </c>
      <c r="CQ31" s="1013" t="s">
        <v>7724</v>
      </c>
      <c r="CR31" s="1013" t="s">
        <v>7731</v>
      </c>
      <c r="CS31" s="1013" t="s">
        <v>7724</v>
      </c>
      <c r="CT31" s="1013" t="s">
        <v>7724</v>
      </c>
      <c r="CU31" s="1013" t="s">
        <v>7724</v>
      </c>
      <c r="CV31" s="1013" t="s">
        <v>7724</v>
      </c>
      <c r="CW31" s="1013" t="s">
        <v>7727</v>
      </c>
      <c r="CX31" s="1013" t="s">
        <v>7723</v>
      </c>
      <c r="CY31" s="1013" t="s">
        <v>7723</v>
      </c>
      <c r="CZ31" s="1013">
        <v>2</v>
      </c>
      <c r="DA31" s="1013">
        <v>9</v>
      </c>
      <c r="DB31" s="1013" t="s">
        <v>7727</v>
      </c>
      <c r="DC31" s="1013" t="s">
        <v>7737</v>
      </c>
      <c r="DD31" s="1013" t="s">
        <v>7724</v>
      </c>
      <c r="DE31" s="1013" t="s">
        <v>7724</v>
      </c>
      <c r="DF31" s="1013" t="s">
        <v>7724</v>
      </c>
      <c r="DG31" s="1013" t="s">
        <v>7724</v>
      </c>
      <c r="DH31" s="1013" t="s">
        <v>7724</v>
      </c>
      <c r="DI31" s="1013" t="s">
        <v>7724</v>
      </c>
      <c r="DJ31" s="1013" t="s">
        <v>7724</v>
      </c>
      <c r="DK31" s="1013" t="s">
        <v>7724</v>
      </c>
      <c r="DL31" s="1013" t="s">
        <v>7724</v>
      </c>
      <c r="DM31" s="1013" t="s">
        <v>7724</v>
      </c>
      <c r="DN31" s="1013" t="s">
        <v>7724</v>
      </c>
      <c r="DO31" s="1013" t="s">
        <v>7724</v>
      </c>
      <c r="DP31" s="1013" t="s">
        <v>7724</v>
      </c>
      <c r="DQ31" s="1013" t="s">
        <v>7724</v>
      </c>
      <c r="DR31" s="1013" t="s">
        <v>7724</v>
      </c>
      <c r="DS31" s="1013" t="s">
        <v>7724</v>
      </c>
      <c r="DT31" s="1013" t="s">
        <v>7724</v>
      </c>
      <c r="DU31" s="1013" t="s">
        <v>7724</v>
      </c>
      <c r="DV31" s="1013" t="s">
        <v>7724</v>
      </c>
      <c r="DW31" s="1013" t="s">
        <v>7724</v>
      </c>
      <c r="DX31" s="1013" t="s">
        <v>7724</v>
      </c>
      <c r="DY31" s="1013" t="s">
        <v>7724</v>
      </c>
      <c r="DZ31" s="1013" t="s">
        <v>7724</v>
      </c>
      <c r="EA31" s="1013" t="s">
        <v>7724</v>
      </c>
      <c r="EB31" s="1013" t="s">
        <v>7724</v>
      </c>
      <c r="EC31" s="1013" t="s">
        <v>7724</v>
      </c>
      <c r="ED31" s="1013" t="s">
        <v>7724</v>
      </c>
      <c r="EE31" s="1013" t="s">
        <v>7724</v>
      </c>
      <c r="EF31" s="1013" t="s">
        <v>7724</v>
      </c>
      <c r="EG31" s="1013" t="s">
        <v>7724</v>
      </c>
      <c r="EH31" s="1013" t="s">
        <v>7724</v>
      </c>
      <c r="EI31" s="1013" t="s">
        <v>7724</v>
      </c>
      <c r="EJ31" s="1013" t="s">
        <v>7724</v>
      </c>
      <c r="EK31" s="1013" t="s">
        <v>7724</v>
      </c>
      <c r="EL31" s="1013" t="s">
        <v>7724</v>
      </c>
      <c r="EM31" s="1013" t="s">
        <v>7724</v>
      </c>
      <c r="EN31" s="1013" t="s">
        <v>7724</v>
      </c>
      <c r="EO31" s="1013" t="s">
        <v>7724</v>
      </c>
      <c r="EP31" s="1013" t="s">
        <v>7724</v>
      </c>
      <c r="EQ31" s="1013" t="s">
        <v>7724</v>
      </c>
      <c r="ER31" s="1013" t="s">
        <v>7724</v>
      </c>
      <c r="ES31" s="1013" t="s">
        <v>7724</v>
      </c>
      <c r="ET31" s="1013" t="s">
        <v>7724</v>
      </c>
      <c r="EU31" s="1013" t="s">
        <v>7724</v>
      </c>
      <c r="EV31" s="1013" t="s">
        <v>7724</v>
      </c>
      <c r="EW31" s="1013" t="s">
        <v>7724</v>
      </c>
      <c r="EX31" s="1013" t="s">
        <v>7724</v>
      </c>
      <c r="EY31" s="1013" t="s">
        <v>7724</v>
      </c>
      <c r="EZ31" s="1013" t="s">
        <v>7724</v>
      </c>
      <c r="FA31" s="1013" t="s">
        <v>7724</v>
      </c>
      <c r="FB31" s="1013" t="s">
        <v>7724</v>
      </c>
      <c r="FC31" s="1013" t="s">
        <v>7724</v>
      </c>
      <c r="FD31" s="1013" t="s">
        <v>7724</v>
      </c>
      <c r="FE31" s="1013" t="s">
        <v>7724</v>
      </c>
      <c r="FF31" s="1013" t="s">
        <v>7724</v>
      </c>
      <c r="FG31" s="1013">
        <v>0</v>
      </c>
      <c r="FH31" s="1013">
        <v>1</v>
      </c>
      <c r="FI31" s="1013">
        <v>0</v>
      </c>
      <c r="FJ31" s="1013">
        <v>1</v>
      </c>
      <c r="FK31" s="1013">
        <v>0</v>
      </c>
      <c r="FL31" s="1013">
        <v>1</v>
      </c>
      <c r="FM31" s="1013">
        <v>0</v>
      </c>
      <c r="FN31" s="1013">
        <v>15</v>
      </c>
      <c r="FO31" s="1013">
        <v>29</v>
      </c>
      <c r="FP31" s="1013">
        <v>6</v>
      </c>
      <c r="FQ31" s="1013" t="s">
        <v>7724</v>
      </c>
      <c r="FR31" s="1013" t="s">
        <v>7724</v>
      </c>
      <c r="FS31" s="1013" t="s">
        <v>7724</v>
      </c>
      <c r="FT31" s="1013" t="s">
        <v>7723</v>
      </c>
      <c r="FU31" s="1013" t="s">
        <v>7790</v>
      </c>
      <c r="FV31" s="1013">
        <v>35</v>
      </c>
      <c r="FW31" s="1023">
        <v>0.76388888888888884</v>
      </c>
      <c r="FX31" s="1023">
        <v>0.76388888888888884</v>
      </c>
      <c r="FY31" s="1024">
        <v>45244</v>
      </c>
      <c r="FZ31" s="1024">
        <v>45244</v>
      </c>
      <c r="GA31" s="1024">
        <v>45244</v>
      </c>
      <c r="GB31" s="1024">
        <v>45244</v>
      </c>
      <c r="GC31" s="1013">
        <v>2023</v>
      </c>
      <c r="GD31" s="1013" t="s">
        <v>1407</v>
      </c>
      <c r="GE31" s="1013">
        <v>2</v>
      </c>
      <c r="GF31" s="1013" t="s">
        <v>1404</v>
      </c>
      <c r="GG31" s="1013" t="s">
        <v>1407</v>
      </c>
      <c r="GH31" s="1013" t="s">
        <v>7997</v>
      </c>
      <c r="GI31" s="1013" t="s">
        <v>7974</v>
      </c>
      <c r="GJ31" s="1013" t="s">
        <v>7974</v>
      </c>
      <c r="GK31" s="1013" t="s">
        <v>7974</v>
      </c>
      <c r="GL31" s="1013" t="s">
        <v>7974</v>
      </c>
    </row>
    <row r="32" spans="1:194" hidden="1">
      <c r="A32" s="1019">
        <v>169</v>
      </c>
      <c r="B32" s="1019" t="s">
        <v>7722</v>
      </c>
      <c r="C32" s="1019">
        <v>18204316</v>
      </c>
      <c r="D32" s="1019" t="s">
        <v>7723</v>
      </c>
      <c r="E32" s="1022" t="s">
        <v>7723</v>
      </c>
      <c r="F32" s="1019" t="s">
        <v>7723</v>
      </c>
      <c r="G32" s="1019" t="s">
        <v>7723</v>
      </c>
      <c r="H32" s="1019" t="s">
        <v>7723</v>
      </c>
      <c r="I32" s="1019" t="s">
        <v>7723</v>
      </c>
      <c r="J32" s="1019" t="s">
        <v>7723</v>
      </c>
      <c r="K32" s="1019">
        <v>44300</v>
      </c>
      <c r="L32" s="1019">
        <v>0.71527777777777779</v>
      </c>
      <c r="M32" s="1019" t="s">
        <v>7851</v>
      </c>
      <c r="N32" s="1019" t="s">
        <v>7724</v>
      </c>
      <c r="O32" s="1019">
        <v>101</v>
      </c>
      <c r="P32" s="1019">
        <v>208</v>
      </c>
      <c r="Q32" s="1019" t="s">
        <v>7723</v>
      </c>
      <c r="R32" s="1019" t="s">
        <v>7727</v>
      </c>
      <c r="S32" s="1019" t="s">
        <v>7724</v>
      </c>
      <c r="T32" s="1020" t="s">
        <v>7724</v>
      </c>
      <c r="U32" s="1020">
        <v>19</v>
      </c>
      <c r="V32" s="1020" t="s">
        <v>7724</v>
      </c>
      <c r="W32" s="1020" t="s">
        <v>7724</v>
      </c>
      <c r="X32" s="1019">
        <v>1</v>
      </c>
      <c r="Y32" s="1019">
        <v>4300</v>
      </c>
      <c r="Z32" s="1019" t="s">
        <v>7724</v>
      </c>
      <c r="AA32" s="1019" t="s">
        <v>7762</v>
      </c>
      <c r="AB32" s="1013" t="s">
        <v>7726</v>
      </c>
      <c r="AC32" s="1013" t="s">
        <v>7723</v>
      </c>
      <c r="AD32" s="1013" t="s">
        <v>7723</v>
      </c>
      <c r="AE32" s="1013">
        <v>35</v>
      </c>
      <c r="AF32" s="1013" t="s">
        <v>7723</v>
      </c>
      <c r="AG32" s="1013" t="s">
        <v>7723</v>
      </c>
      <c r="AH32" s="1013" t="s">
        <v>7739</v>
      </c>
      <c r="AI32" s="1013" t="s">
        <v>7727</v>
      </c>
      <c r="AJ32" s="1013">
        <v>19</v>
      </c>
      <c r="AK32" s="1013" t="s">
        <v>7724</v>
      </c>
      <c r="AL32" s="1013" t="s">
        <v>7724</v>
      </c>
      <c r="AM32" s="1013">
        <v>1</v>
      </c>
      <c r="AN32" s="1013">
        <v>1300</v>
      </c>
      <c r="AO32" s="1013" t="s">
        <v>7724</v>
      </c>
      <c r="AP32" s="1013" t="s">
        <v>7725</v>
      </c>
      <c r="AQ32" s="1013" t="s">
        <v>7726</v>
      </c>
      <c r="AR32" s="1013" t="s">
        <v>7724</v>
      </c>
      <c r="AS32" s="1013" t="s">
        <v>7724</v>
      </c>
      <c r="AT32" s="1013" t="s">
        <v>7724</v>
      </c>
      <c r="AU32" s="1013" t="s">
        <v>7724</v>
      </c>
      <c r="AV32" s="1013" t="s">
        <v>7724</v>
      </c>
      <c r="AW32" s="1013" t="s">
        <v>7724</v>
      </c>
      <c r="AX32" s="1013">
        <v>2</v>
      </c>
      <c r="AY32" s="1013">
        <v>1</v>
      </c>
      <c r="AZ32" s="1013">
        <v>4</v>
      </c>
      <c r="BA32" s="1013">
        <v>1</v>
      </c>
      <c r="BB32" s="1013">
        <v>1</v>
      </c>
      <c r="BC32" s="1013">
        <v>2</v>
      </c>
      <c r="BD32" s="1013">
        <v>8</v>
      </c>
      <c r="BE32" s="1023">
        <v>0.81319444444444444</v>
      </c>
      <c r="BF32" s="1013" t="s">
        <v>7748</v>
      </c>
      <c r="BG32" s="1023">
        <v>0.81458333333333333</v>
      </c>
      <c r="BH32" s="1024">
        <v>44300</v>
      </c>
      <c r="BI32" s="1013" t="s">
        <v>7727</v>
      </c>
      <c r="BJ32" s="1013" t="s">
        <v>7730</v>
      </c>
      <c r="BK32" s="1013">
        <v>2469</v>
      </c>
      <c r="BL32" s="1013" t="s">
        <v>7724</v>
      </c>
      <c r="BM32" s="1013" t="s">
        <v>7724</v>
      </c>
      <c r="BN32" s="1013">
        <v>113</v>
      </c>
      <c r="BO32" s="1013">
        <v>8</v>
      </c>
      <c r="BP32" s="1013">
        <v>2</v>
      </c>
      <c r="BQ32" s="1013">
        <v>1</v>
      </c>
      <c r="BR32" s="1013">
        <v>10</v>
      </c>
      <c r="BS32" s="1013">
        <v>64</v>
      </c>
      <c r="BT32" s="1013">
        <v>54</v>
      </c>
      <c r="BU32" s="1013">
        <v>1</v>
      </c>
      <c r="BV32" s="1013">
        <v>5</v>
      </c>
      <c r="BW32" s="1013">
        <v>1</v>
      </c>
      <c r="BX32" s="1013">
        <v>21</v>
      </c>
      <c r="BY32" s="1013">
        <v>21</v>
      </c>
      <c r="BZ32" s="1013">
        <v>101</v>
      </c>
      <c r="CA32" s="1013">
        <v>208</v>
      </c>
      <c r="CB32" s="1013">
        <v>29.732054999999999</v>
      </c>
      <c r="CC32" s="1013">
        <v>-95.379503</v>
      </c>
      <c r="CD32" s="1013" t="s">
        <v>7724</v>
      </c>
      <c r="CE32" s="1013" t="s">
        <v>7724</v>
      </c>
      <c r="CF32" s="1013" t="s">
        <v>7724</v>
      </c>
      <c r="CG32" s="1013" t="s">
        <v>7724</v>
      </c>
      <c r="CH32" s="1013" t="s">
        <v>7763</v>
      </c>
      <c r="CI32" s="1013">
        <v>4401</v>
      </c>
      <c r="CJ32" s="1013" t="s">
        <v>7724</v>
      </c>
      <c r="CK32" s="1013" t="s">
        <v>7724</v>
      </c>
      <c r="CL32" s="1013" t="s">
        <v>7724</v>
      </c>
      <c r="CM32" s="1013" t="s">
        <v>7724</v>
      </c>
      <c r="CN32" s="1013" t="s">
        <v>7724</v>
      </c>
      <c r="CO32" s="1013" t="s">
        <v>7724</v>
      </c>
      <c r="CP32" s="1013" t="s">
        <v>7724</v>
      </c>
      <c r="CQ32" s="1013" t="s">
        <v>7724</v>
      </c>
      <c r="CR32" s="1013" t="s">
        <v>7731</v>
      </c>
      <c r="CS32" s="1013" t="s">
        <v>7724</v>
      </c>
      <c r="CT32" s="1013" t="s">
        <v>7724</v>
      </c>
      <c r="CU32" s="1013" t="s">
        <v>7724</v>
      </c>
      <c r="CV32" s="1013" t="s">
        <v>7724</v>
      </c>
      <c r="CW32" s="1013" t="s">
        <v>7727</v>
      </c>
      <c r="CX32" s="1013" t="s">
        <v>7723</v>
      </c>
      <c r="CY32" s="1013" t="s">
        <v>7723</v>
      </c>
      <c r="CZ32" s="1013">
        <v>5</v>
      </c>
      <c r="DA32" s="1013">
        <v>9</v>
      </c>
      <c r="DB32" s="1013" t="s">
        <v>7727</v>
      </c>
      <c r="DC32" s="1013" t="s">
        <v>7756</v>
      </c>
      <c r="DD32" s="1013" t="s">
        <v>7724</v>
      </c>
      <c r="DE32" s="1013" t="s">
        <v>7724</v>
      </c>
      <c r="DF32" s="1013" t="s">
        <v>7724</v>
      </c>
      <c r="DG32" s="1013" t="s">
        <v>7724</v>
      </c>
      <c r="DH32" s="1013" t="s">
        <v>7724</v>
      </c>
      <c r="DI32" s="1013" t="s">
        <v>7724</v>
      </c>
      <c r="DJ32" s="1013" t="s">
        <v>7724</v>
      </c>
      <c r="DK32" s="1013" t="s">
        <v>7724</v>
      </c>
      <c r="DL32" s="1013" t="s">
        <v>7724</v>
      </c>
      <c r="DM32" s="1013" t="s">
        <v>7724</v>
      </c>
      <c r="DN32" s="1013" t="s">
        <v>7724</v>
      </c>
      <c r="DO32" s="1013" t="s">
        <v>7724</v>
      </c>
      <c r="DP32" s="1013" t="s">
        <v>7724</v>
      </c>
      <c r="DQ32" s="1013" t="s">
        <v>7724</v>
      </c>
      <c r="DR32" s="1013" t="s">
        <v>7724</v>
      </c>
      <c r="DS32" s="1013" t="s">
        <v>7724</v>
      </c>
      <c r="DT32" s="1013" t="s">
        <v>7724</v>
      </c>
      <c r="DU32" s="1013" t="s">
        <v>7724</v>
      </c>
      <c r="DV32" s="1013" t="s">
        <v>7724</v>
      </c>
      <c r="DW32" s="1013" t="s">
        <v>7724</v>
      </c>
      <c r="DX32" s="1013" t="s">
        <v>7724</v>
      </c>
      <c r="DY32" s="1013" t="s">
        <v>7724</v>
      </c>
      <c r="DZ32" s="1013" t="s">
        <v>7724</v>
      </c>
      <c r="EA32" s="1013" t="s">
        <v>7724</v>
      </c>
      <c r="EB32" s="1013" t="s">
        <v>7724</v>
      </c>
      <c r="EC32" s="1013" t="s">
        <v>7724</v>
      </c>
      <c r="ED32" s="1013" t="s">
        <v>7724</v>
      </c>
      <c r="EE32" s="1013" t="s">
        <v>7724</v>
      </c>
      <c r="EF32" s="1013" t="s">
        <v>7724</v>
      </c>
      <c r="EG32" s="1013" t="s">
        <v>7724</v>
      </c>
      <c r="EH32" s="1013" t="s">
        <v>7724</v>
      </c>
      <c r="EI32" s="1013" t="s">
        <v>7724</v>
      </c>
      <c r="EJ32" s="1013" t="s">
        <v>7724</v>
      </c>
      <c r="EK32" s="1013" t="s">
        <v>7724</v>
      </c>
      <c r="EL32" s="1013" t="s">
        <v>7724</v>
      </c>
      <c r="EM32" s="1013" t="s">
        <v>7724</v>
      </c>
      <c r="EN32" s="1013" t="s">
        <v>7724</v>
      </c>
      <c r="EO32" s="1013" t="s">
        <v>7724</v>
      </c>
      <c r="EP32" s="1013" t="s">
        <v>7724</v>
      </c>
      <c r="EQ32" s="1013" t="s">
        <v>7724</v>
      </c>
      <c r="ER32" s="1013" t="s">
        <v>7724</v>
      </c>
      <c r="ES32" s="1013" t="s">
        <v>7724</v>
      </c>
      <c r="ET32" s="1013" t="s">
        <v>7724</v>
      </c>
      <c r="EU32" s="1013" t="s">
        <v>7724</v>
      </c>
      <c r="EV32" s="1013" t="s">
        <v>7724</v>
      </c>
      <c r="EW32" s="1013" t="s">
        <v>7724</v>
      </c>
      <c r="EX32" s="1013" t="s">
        <v>7724</v>
      </c>
      <c r="EY32" s="1013" t="s">
        <v>7724</v>
      </c>
      <c r="EZ32" s="1013" t="s">
        <v>7724</v>
      </c>
      <c r="FA32" s="1013" t="s">
        <v>7724</v>
      </c>
      <c r="FB32" s="1013" t="s">
        <v>7724</v>
      </c>
      <c r="FC32" s="1013" t="s">
        <v>7724</v>
      </c>
      <c r="FD32" s="1013" t="s">
        <v>7724</v>
      </c>
      <c r="FE32" s="1013" t="s">
        <v>7724</v>
      </c>
      <c r="FF32" s="1013" t="s">
        <v>7724</v>
      </c>
      <c r="FG32" s="1013">
        <v>0</v>
      </c>
      <c r="FH32" s="1013">
        <v>0</v>
      </c>
      <c r="FI32" s="1013">
        <v>0</v>
      </c>
      <c r="FJ32" s="1013">
        <v>4</v>
      </c>
      <c r="FK32" s="1013">
        <v>0</v>
      </c>
      <c r="FL32" s="1013">
        <v>0</v>
      </c>
      <c r="FM32" s="1013">
        <v>0</v>
      </c>
      <c r="FN32" s="1013">
        <v>15</v>
      </c>
      <c r="FO32" s="1013">
        <v>29</v>
      </c>
      <c r="FP32" s="1013">
        <v>9</v>
      </c>
      <c r="FQ32" s="1013" t="s">
        <v>7724</v>
      </c>
      <c r="FR32" s="1013" t="s">
        <v>7724</v>
      </c>
      <c r="FS32" s="1013" t="s">
        <v>7724</v>
      </c>
      <c r="FT32" s="1013" t="s">
        <v>7724</v>
      </c>
      <c r="FU32" s="1013" t="s">
        <v>7724</v>
      </c>
      <c r="FV32" s="1013" t="s">
        <v>7724</v>
      </c>
      <c r="FW32" s="1013" t="s">
        <v>7724</v>
      </c>
      <c r="FX32" s="1013" t="s">
        <v>7724</v>
      </c>
      <c r="FY32" s="1013" t="s">
        <v>7724</v>
      </c>
      <c r="FZ32" s="1013" t="s">
        <v>7724</v>
      </c>
      <c r="GA32" s="1013" t="s">
        <v>7724</v>
      </c>
      <c r="GB32" s="1013" t="s">
        <v>7724</v>
      </c>
      <c r="GC32" s="1013">
        <v>2021</v>
      </c>
      <c r="GD32" s="1013" t="s">
        <v>1404</v>
      </c>
      <c r="GE32" s="1013">
        <v>3</v>
      </c>
      <c r="GF32" s="1013" t="s">
        <v>1407</v>
      </c>
      <c r="GG32" s="1013" t="s">
        <v>1407</v>
      </c>
      <c r="GH32" s="1013" t="s">
        <v>7998</v>
      </c>
      <c r="GI32" s="1013" t="s">
        <v>7980</v>
      </c>
      <c r="GJ32" s="1013" t="s">
        <v>7980</v>
      </c>
      <c r="GK32" s="1013" t="s">
        <v>7980</v>
      </c>
      <c r="GL32" s="1013" t="s">
        <v>7980</v>
      </c>
    </row>
    <row r="33" spans="1:194" hidden="1">
      <c r="A33" s="1019">
        <v>176</v>
      </c>
      <c r="B33" s="1019" t="s">
        <v>7722</v>
      </c>
      <c r="C33" s="1019">
        <v>18350802</v>
      </c>
      <c r="D33" s="1019" t="s">
        <v>7723</v>
      </c>
      <c r="E33" s="1022" t="s">
        <v>7723</v>
      </c>
      <c r="F33" s="1019" t="s">
        <v>7723</v>
      </c>
      <c r="G33" s="1019" t="s">
        <v>7723</v>
      </c>
      <c r="H33" s="1019" t="s">
        <v>7723</v>
      </c>
      <c r="I33" s="1019" t="s">
        <v>7723</v>
      </c>
      <c r="J33" s="1019" t="s">
        <v>7723</v>
      </c>
      <c r="K33" s="1019">
        <v>44358</v>
      </c>
      <c r="L33" s="1019">
        <v>0.37847222222222221</v>
      </c>
      <c r="M33" s="1019" t="s">
        <v>7853</v>
      </c>
      <c r="N33" s="1019" t="s">
        <v>7724</v>
      </c>
      <c r="O33" s="1019">
        <v>101</v>
      </c>
      <c r="P33" s="1019">
        <v>208</v>
      </c>
      <c r="Q33" s="1019" t="s">
        <v>7723</v>
      </c>
      <c r="R33" s="1019" t="s">
        <v>7727</v>
      </c>
      <c r="S33" s="1019" t="s">
        <v>7724</v>
      </c>
      <c r="T33" s="1020" t="s">
        <v>7724</v>
      </c>
      <c r="U33" s="1020">
        <v>19</v>
      </c>
      <c r="V33" s="1020" t="s">
        <v>7724</v>
      </c>
      <c r="W33" s="1020" t="s">
        <v>7724</v>
      </c>
      <c r="X33" s="1019">
        <v>1</v>
      </c>
      <c r="Y33" s="1019">
        <v>4400</v>
      </c>
      <c r="Z33" s="1019" t="s">
        <v>7724</v>
      </c>
      <c r="AA33" s="1019" t="s">
        <v>7728</v>
      </c>
      <c r="AB33" s="1013" t="s">
        <v>7835</v>
      </c>
      <c r="AC33" s="1013" t="s">
        <v>7723</v>
      </c>
      <c r="AD33" s="1013" t="s">
        <v>7723</v>
      </c>
      <c r="AE33" s="1013">
        <v>35</v>
      </c>
      <c r="AF33" s="1013" t="s">
        <v>7723</v>
      </c>
      <c r="AG33" s="1013" t="s">
        <v>7723</v>
      </c>
      <c r="AH33" s="1013" t="s">
        <v>7739</v>
      </c>
      <c r="AI33" s="1013" t="s">
        <v>7727</v>
      </c>
      <c r="AJ33" s="1013">
        <v>19</v>
      </c>
      <c r="AK33" s="1013" t="s">
        <v>7724</v>
      </c>
      <c r="AL33" s="1013" t="s">
        <v>7724</v>
      </c>
      <c r="AM33" s="1013">
        <v>1</v>
      </c>
      <c r="AN33" s="1013">
        <v>1100</v>
      </c>
      <c r="AO33" s="1013" t="s">
        <v>7724</v>
      </c>
      <c r="AP33" s="1013" t="s">
        <v>7725</v>
      </c>
      <c r="AQ33" s="1013" t="s">
        <v>7735</v>
      </c>
      <c r="AR33" s="1013" t="s">
        <v>7724</v>
      </c>
      <c r="AS33" s="1013" t="s">
        <v>7724</v>
      </c>
      <c r="AT33" s="1013" t="s">
        <v>7724</v>
      </c>
      <c r="AU33" s="1013" t="s">
        <v>7724</v>
      </c>
      <c r="AV33" s="1013" t="s">
        <v>7724</v>
      </c>
      <c r="AW33" s="1013" t="s">
        <v>7724</v>
      </c>
      <c r="AX33" s="1013">
        <v>11</v>
      </c>
      <c r="AY33" s="1013">
        <v>1</v>
      </c>
      <c r="AZ33" s="1013">
        <v>4</v>
      </c>
      <c r="BA33" s="1013">
        <v>98</v>
      </c>
      <c r="BB33" s="1013">
        <v>1</v>
      </c>
      <c r="BC33" s="1013">
        <v>1</v>
      </c>
      <c r="BD33" s="1013">
        <v>5</v>
      </c>
      <c r="BE33" s="1023">
        <v>0.37986111111111109</v>
      </c>
      <c r="BF33" s="1013" t="s">
        <v>7736</v>
      </c>
      <c r="BG33" s="1023">
        <v>0.38541666666666669</v>
      </c>
      <c r="BH33" s="1024">
        <v>44378</v>
      </c>
      <c r="BI33" s="1013" t="s">
        <v>7727</v>
      </c>
      <c r="BJ33" s="1013" t="s">
        <v>7730</v>
      </c>
      <c r="BK33" s="1013">
        <v>2469</v>
      </c>
      <c r="BL33" s="1013" t="s">
        <v>7724</v>
      </c>
      <c r="BM33" s="1013" t="s">
        <v>7724</v>
      </c>
      <c r="BN33" s="1013">
        <v>113</v>
      </c>
      <c r="BO33" s="1013">
        <v>8</v>
      </c>
      <c r="BP33" s="1013">
        <v>2</v>
      </c>
      <c r="BQ33" s="1013">
        <v>1</v>
      </c>
      <c r="BR33" s="1013">
        <v>10</v>
      </c>
      <c r="BS33" s="1013">
        <v>64</v>
      </c>
      <c r="BT33" s="1013">
        <v>54</v>
      </c>
      <c r="BU33" s="1013">
        <v>1</v>
      </c>
      <c r="BV33" s="1013">
        <v>5</v>
      </c>
      <c r="BW33" s="1013">
        <v>1</v>
      </c>
      <c r="BX33" s="1013">
        <v>21</v>
      </c>
      <c r="BY33" s="1013">
        <v>21</v>
      </c>
      <c r="BZ33" s="1013">
        <v>101</v>
      </c>
      <c r="CA33" s="1013">
        <v>208</v>
      </c>
      <c r="CB33" s="1013">
        <v>29.733094999999999</v>
      </c>
      <c r="CC33" s="1013">
        <v>-95.381282999999996</v>
      </c>
      <c r="CD33" s="1013" t="s">
        <v>7724</v>
      </c>
      <c r="CE33" s="1013" t="s">
        <v>7724</v>
      </c>
      <c r="CF33" s="1013" t="s">
        <v>7724</v>
      </c>
      <c r="CG33" s="1013" t="s">
        <v>7724</v>
      </c>
      <c r="CH33" s="1013" t="s">
        <v>7732</v>
      </c>
      <c r="CI33" s="1013">
        <v>4399</v>
      </c>
      <c r="CJ33" s="1013" t="s">
        <v>7724</v>
      </c>
      <c r="CK33" s="1013" t="s">
        <v>7724</v>
      </c>
      <c r="CL33" s="1013" t="s">
        <v>7724</v>
      </c>
      <c r="CM33" s="1013" t="s">
        <v>7724</v>
      </c>
      <c r="CN33" s="1013" t="s">
        <v>7724</v>
      </c>
      <c r="CO33" s="1013" t="s">
        <v>7724</v>
      </c>
      <c r="CP33" s="1013" t="s">
        <v>7724</v>
      </c>
      <c r="CQ33" s="1013" t="s">
        <v>7724</v>
      </c>
      <c r="CR33" s="1013" t="s">
        <v>7731</v>
      </c>
      <c r="CS33" s="1013" t="s">
        <v>7724</v>
      </c>
      <c r="CT33" s="1013" t="s">
        <v>7724</v>
      </c>
      <c r="CU33" s="1013" t="s">
        <v>7724</v>
      </c>
      <c r="CV33" s="1013" t="s">
        <v>7724</v>
      </c>
      <c r="CW33" s="1013" t="s">
        <v>7727</v>
      </c>
      <c r="CX33" s="1013" t="s">
        <v>7723</v>
      </c>
      <c r="CY33" s="1013" t="s">
        <v>7723</v>
      </c>
      <c r="CZ33" s="1013">
        <v>5</v>
      </c>
      <c r="DA33" s="1013">
        <v>9</v>
      </c>
      <c r="DB33" s="1013" t="s">
        <v>7727</v>
      </c>
      <c r="DC33" s="1013" t="s">
        <v>7759</v>
      </c>
      <c r="DD33" s="1013" t="s">
        <v>7724</v>
      </c>
      <c r="DE33" s="1013" t="s">
        <v>7724</v>
      </c>
      <c r="DF33" s="1013" t="s">
        <v>7724</v>
      </c>
      <c r="DG33" s="1013" t="s">
        <v>7724</v>
      </c>
      <c r="DH33" s="1013" t="s">
        <v>7724</v>
      </c>
      <c r="DI33" s="1013" t="s">
        <v>7724</v>
      </c>
      <c r="DJ33" s="1013" t="s">
        <v>7724</v>
      </c>
      <c r="DK33" s="1013" t="s">
        <v>7724</v>
      </c>
      <c r="DL33" s="1013" t="s">
        <v>7724</v>
      </c>
      <c r="DM33" s="1013" t="s">
        <v>7724</v>
      </c>
      <c r="DN33" s="1013" t="s">
        <v>7724</v>
      </c>
      <c r="DO33" s="1013" t="s">
        <v>7724</v>
      </c>
      <c r="DP33" s="1013" t="s">
        <v>7724</v>
      </c>
      <c r="DQ33" s="1013" t="s">
        <v>7724</v>
      </c>
      <c r="DR33" s="1013" t="s">
        <v>7724</v>
      </c>
      <c r="DS33" s="1013" t="s">
        <v>7724</v>
      </c>
      <c r="DT33" s="1013" t="s">
        <v>7724</v>
      </c>
      <c r="DU33" s="1013" t="s">
        <v>7724</v>
      </c>
      <c r="DV33" s="1013" t="s">
        <v>7724</v>
      </c>
      <c r="DW33" s="1013" t="s">
        <v>7724</v>
      </c>
      <c r="DX33" s="1013" t="s">
        <v>7724</v>
      </c>
      <c r="DY33" s="1013" t="s">
        <v>7724</v>
      </c>
      <c r="DZ33" s="1013" t="s">
        <v>7724</v>
      </c>
      <c r="EA33" s="1013" t="s">
        <v>7724</v>
      </c>
      <c r="EB33" s="1013" t="s">
        <v>7724</v>
      </c>
      <c r="EC33" s="1013" t="s">
        <v>7724</v>
      </c>
      <c r="ED33" s="1013" t="s">
        <v>7724</v>
      </c>
      <c r="EE33" s="1013" t="s">
        <v>7724</v>
      </c>
      <c r="EF33" s="1013" t="s">
        <v>7724</v>
      </c>
      <c r="EG33" s="1013" t="s">
        <v>7724</v>
      </c>
      <c r="EH33" s="1013" t="s">
        <v>7724</v>
      </c>
      <c r="EI33" s="1013" t="s">
        <v>7724</v>
      </c>
      <c r="EJ33" s="1013" t="s">
        <v>7724</v>
      </c>
      <c r="EK33" s="1013" t="s">
        <v>7724</v>
      </c>
      <c r="EL33" s="1013" t="s">
        <v>7724</v>
      </c>
      <c r="EM33" s="1013" t="s">
        <v>7724</v>
      </c>
      <c r="EN33" s="1013" t="s">
        <v>7724</v>
      </c>
      <c r="EO33" s="1013" t="s">
        <v>7724</v>
      </c>
      <c r="EP33" s="1013" t="s">
        <v>7724</v>
      </c>
      <c r="EQ33" s="1013" t="s">
        <v>7724</v>
      </c>
      <c r="ER33" s="1013" t="s">
        <v>7724</v>
      </c>
      <c r="ES33" s="1013" t="s">
        <v>7724</v>
      </c>
      <c r="ET33" s="1013" t="s">
        <v>7724</v>
      </c>
      <c r="EU33" s="1013" t="s">
        <v>7724</v>
      </c>
      <c r="EV33" s="1013" t="s">
        <v>7724</v>
      </c>
      <c r="EW33" s="1013" t="s">
        <v>7724</v>
      </c>
      <c r="EX33" s="1013" t="s">
        <v>7724</v>
      </c>
      <c r="EY33" s="1013" t="s">
        <v>7724</v>
      </c>
      <c r="EZ33" s="1013" t="s">
        <v>7724</v>
      </c>
      <c r="FA33" s="1013" t="s">
        <v>7724</v>
      </c>
      <c r="FB33" s="1013" t="s">
        <v>7724</v>
      </c>
      <c r="FC33" s="1013" t="s">
        <v>7724</v>
      </c>
      <c r="FD33" s="1013" t="s">
        <v>7724</v>
      </c>
      <c r="FE33" s="1013" t="s">
        <v>7724</v>
      </c>
      <c r="FF33" s="1013" t="s">
        <v>7724</v>
      </c>
      <c r="FG33" s="1013">
        <v>0</v>
      </c>
      <c r="FH33" s="1013">
        <v>0</v>
      </c>
      <c r="FI33" s="1013">
        <v>0</v>
      </c>
      <c r="FJ33" s="1013">
        <v>2</v>
      </c>
      <c r="FK33" s="1013">
        <v>0</v>
      </c>
      <c r="FL33" s="1013">
        <v>0</v>
      </c>
      <c r="FM33" s="1013">
        <v>0</v>
      </c>
      <c r="FN33" s="1013">
        <v>15</v>
      </c>
      <c r="FO33" s="1013">
        <v>29</v>
      </c>
      <c r="FP33" s="1013">
        <v>6</v>
      </c>
      <c r="FQ33" s="1013" t="s">
        <v>7724</v>
      </c>
      <c r="FR33" s="1013" t="s">
        <v>7724</v>
      </c>
      <c r="FS33" s="1013" t="s">
        <v>7724</v>
      </c>
      <c r="FT33" s="1013" t="s">
        <v>7724</v>
      </c>
      <c r="FU33" s="1013" t="s">
        <v>7724</v>
      </c>
      <c r="FV33" s="1013" t="s">
        <v>7724</v>
      </c>
      <c r="FW33" s="1013" t="s">
        <v>7724</v>
      </c>
      <c r="FX33" s="1013" t="s">
        <v>7724</v>
      </c>
      <c r="FY33" s="1013" t="s">
        <v>7724</v>
      </c>
      <c r="FZ33" s="1013" t="s">
        <v>7724</v>
      </c>
      <c r="GA33" s="1013" t="s">
        <v>7724</v>
      </c>
      <c r="GB33" s="1013" t="s">
        <v>7724</v>
      </c>
      <c r="GC33" s="1013">
        <v>2021</v>
      </c>
      <c r="GD33" s="1013" t="s">
        <v>1404</v>
      </c>
      <c r="GE33" s="1013">
        <v>2</v>
      </c>
      <c r="GF33" s="1013" t="s">
        <v>1407</v>
      </c>
      <c r="GG33" s="1013" t="s">
        <v>1407</v>
      </c>
      <c r="GH33" s="1013" t="s">
        <v>7986</v>
      </c>
      <c r="GI33" s="1013" t="s">
        <v>7974</v>
      </c>
      <c r="GJ33" s="1013" t="s">
        <v>7974</v>
      </c>
      <c r="GK33" s="1013" t="s">
        <v>7974</v>
      </c>
      <c r="GL33" s="1013" t="s">
        <v>7974</v>
      </c>
    </row>
    <row r="34" spans="1:194">
      <c r="A34" s="1019">
        <v>181</v>
      </c>
      <c r="B34" s="1019" t="s">
        <v>7722</v>
      </c>
      <c r="C34" s="1019">
        <v>18453466</v>
      </c>
      <c r="D34" s="1019" t="s">
        <v>7723</v>
      </c>
      <c r="E34" s="1022" t="s">
        <v>7723</v>
      </c>
      <c r="F34" s="1019" t="s">
        <v>7723</v>
      </c>
      <c r="G34" s="1019" t="s">
        <v>7723</v>
      </c>
      <c r="H34" s="1019" t="s">
        <v>7723</v>
      </c>
      <c r="I34" s="1019" t="s">
        <v>7723</v>
      </c>
      <c r="J34" s="1019" t="s">
        <v>7723</v>
      </c>
      <c r="K34" s="1019">
        <v>44441</v>
      </c>
      <c r="L34" s="1019">
        <v>0.82152777777777775</v>
      </c>
      <c r="M34" s="1019" t="s">
        <v>7751</v>
      </c>
      <c r="N34" s="1019" t="s">
        <v>7744</v>
      </c>
      <c r="O34" s="1019">
        <v>101</v>
      </c>
      <c r="P34" s="1019">
        <v>208</v>
      </c>
      <c r="Q34" s="1019" t="s">
        <v>7723</v>
      </c>
      <c r="R34" s="1019" t="s">
        <v>7727</v>
      </c>
      <c r="S34" s="1019" t="s">
        <v>7724</v>
      </c>
      <c r="T34" s="1020" t="s">
        <v>7724</v>
      </c>
      <c r="U34" s="1020">
        <v>19</v>
      </c>
      <c r="V34" s="1020" t="s">
        <v>7724</v>
      </c>
      <c r="W34" s="1020" t="s">
        <v>7724</v>
      </c>
      <c r="X34" s="1019">
        <v>1</v>
      </c>
      <c r="Y34" s="1019">
        <v>4300</v>
      </c>
      <c r="Z34" s="1019" t="s">
        <v>7724</v>
      </c>
      <c r="AA34" s="1019" t="s">
        <v>7745</v>
      </c>
      <c r="AB34" s="1013" t="s">
        <v>7726</v>
      </c>
      <c r="AC34" s="1013" t="s">
        <v>7723</v>
      </c>
      <c r="AD34" s="1013" t="s">
        <v>7723</v>
      </c>
      <c r="AE34" s="1013">
        <v>35</v>
      </c>
      <c r="AF34" s="1013" t="s">
        <v>7723</v>
      </c>
      <c r="AG34" s="1013" t="s">
        <v>7723</v>
      </c>
      <c r="AH34" s="1013" t="s">
        <v>7724</v>
      </c>
      <c r="AI34" s="1013" t="s">
        <v>7727</v>
      </c>
      <c r="AJ34" s="1013">
        <v>19</v>
      </c>
      <c r="AK34" s="1013" t="s">
        <v>7724</v>
      </c>
      <c r="AL34" s="1013" t="s">
        <v>7724</v>
      </c>
      <c r="AM34" s="1013">
        <v>1</v>
      </c>
      <c r="AN34" s="1013">
        <v>1200</v>
      </c>
      <c r="AO34" s="1013" t="s">
        <v>7724</v>
      </c>
      <c r="AP34" s="1013" t="s">
        <v>7725</v>
      </c>
      <c r="AQ34" s="1013" t="s">
        <v>7726</v>
      </c>
      <c r="AR34" s="1013" t="s">
        <v>7724</v>
      </c>
      <c r="AS34" s="1013" t="s">
        <v>7724</v>
      </c>
      <c r="AT34" s="1013" t="s">
        <v>7724</v>
      </c>
      <c r="AU34" s="1013" t="s">
        <v>7724</v>
      </c>
      <c r="AV34" s="1013" t="s">
        <v>7724</v>
      </c>
      <c r="AW34" s="1013" t="s">
        <v>7724</v>
      </c>
      <c r="AX34" s="1013">
        <v>11</v>
      </c>
      <c r="AY34" s="1013">
        <v>1</v>
      </c>
      <c r="AZ34" s="1013">
        <v>2</v>
      </c>
      <c r="BA34" s="1013">
        <v>1</v>
      </c>
      <c r="BB34" s="1013">
        <v>1</v>
      </c>
      <c r="BC34" s="1013">
        <v>1</v>
      </c>
      <c r="BD34" s="1013">
        <v>3</v>
      </c>
      <c r="BE34" s="1023">
        <v>0.82361111111111107</v>
      </c>
      <c r="BF34" s="1013" t="s">
        <v>7752</v>
      </c>
      <c r="BG34" s="1023">
        <v>0.8256944444444444</v>
      </c>
      <c r="BH34" s="1024">
        <v>44441</v>
      </c>
      <c r="BI34" s="1013" t="s">
        <v>7727</v>
      </c>
      <c r="BJ34" s="1013" t="s">
        <v>7730</v>
      </c>
      <c r="BK34" s="1013">
        <v>2469</v>
      </c>
      <c r="BL34" s="1013" t="s">
        <v>7724</v>
      </c>
      <c r="BM34" s="1013" t="s">
        <v>7724</v>
      </c>
      <c r="BN34" s="1013">
        <v>113</v>
      </c>
      <c r="BO34" s="1013">
        <v>8</v>
      </c>
      <c r="BP34" s="1013">
        <v>5</v>
      </c>
      <c r="BQ34" s="1013">
        <v>1</v>
      </c>
      <c r="BR34" s="1013">
        <v>1</v>
      </c>
      <c r="BS34" s="1013">
        <v>64</v>
      </c>
      <c r="BT34" s="1013">
        <v>54</v>
      </c>
      <c r="BU34" s="1013">
        <v>1</v>
      </c>
      <c r="BV34" s="1013">
        <v>5</v>
      </c>
      <c r="BW34" s="1013">
        <v>1</v>
      </c>
      <c r="BX34" s="1013">
        <v>21</v>
      </c>
      <c r="BY34" s="1013">
        <v>21</v>
      </c>
      <c r="BZ34" s="1013">
        <v>101</v>
      </c>
      <c r="CA34" s="1013">
        <v>208</v>
      </c>
      <c r="CB34" s="1013">
        <v>29.732565000000001</v>
      </c>
      <c r="CC34" s="1013">
        <v>-95.380463000000006</v>
      </c>
      <c r="CD34" s="1013" t="s">
        <v>7724</v>
      </c>
      <c r="CE34" s="1013" t="s">
        <v>7724</v>
      </c>
      <c r="CF34" s="1013" t="s">
        <v>7724</v>
      </c>
      <c r="CG34" s="1013" t="s">
        <v>7724</v>
      </c>
      <c r="CH34" s="1013" t="s">
        <v>7746</v>
      </c>
      <c r="CI34" s="1013" t="s">
        <v>7724</v>
      </c>
      <c r="CJ34" s="1013" t="s">
        <v>7724</v>
      </c>
      <c r="CK34" s="1013" t="s">
        <v>7724</v>
      </c>
      <c r="CL34" s="1013" t="s">
        <v>7724</v>
      </c>
      <c r="CM34" s="1013" t="s">
        <v>7724</v>
      </c>
      <c r="CN34" s="1013" t="s">
        <v>7724</v>
      </c>
      <c r="CO34" s="1013" t="s">
        <v>7724</v>
      </c>
      <c r="CP34" s="1013" t="s">
        <v>7724</v>
      </c>
      <c r="CQ34" s="1013" t="s">
        <v>7724</v>
      </c>
      <c r="CR34" s="1013" t="s">
        <v>7731</v>
      </c>
      <c r="CS34" s="1013" t="s">
        <v>7724</v>
      </c>
      <c r="CT34" s="1013" t="s">
        <v>7724</v>
      </c>
      <c r="CU34" s="1013" t="s">
        <v>7724</v>
      </c>
      <c r="CV34" s="1013" t="s">
        <v>7724</v>
      </c>
      <c r="CW34" s="1013" t="s">
        <v>7727</v>
      </c>
      <c r="CX34" s="1013" t="s">
        <v>7723</v>
      </c>
      <c r="CY34" s="1013" t="s">
        <v>7723</v>
      </c>
      <c r="CZ34" s="1013">
        <v>1</v>
      </c>
      <c r="DA34" s="1013">
        <v>9</v>
      </c>
      <c r="DB34" s="1013" t="s">
        <v>7727</v>
      </c>
      <c r="DC34" s="1013" t="s">
        <v>7740</v>
      </c>
      <c r="DD34" s="1013" t="s">
        <v>7724</v>
      </c>
      <c r="DE34" s="1013" t="s">
        <v>7724</v>
      </c>
      <c r="DF34" s="1013" t="s">
        <v>7724</v>
      </c>
      <c r="DG34" s="1013" t="s">
        <v>7724</v>
      </c>
      <c r="DH34" s="1013" t="s">
        <v>7724</v>
      </c>
      <c r="DI34" s="1013" t="s">
        <v>7724</v>
      </c>
      <c r="DJ34" s="1013" t="s">
        <v>7724</v>
      </c>
      <c r="DK34" s="1013" t="s">
        <v>7724</v>
      </c>
      <c r="DL34" s="1013" t="s">
        <v>7724</v>
      </c>
      <c r="DM34" s="1013" t="s">
        <v>7724</v>
      </c>
      <c r="DN34" s="1013" t="s">
        <v>7724</v>
      </c>
      <c r="DO34" s="1013" t="s">
        <v>7724</v>
      </c>
      <c r="DP34" s="1013" t="s">
        <v>7724</v>
      </c>
      <c r="DQ34" s="1013" t="s">
        <v>7724</v>
      </c>
      <c r="DR34" s="1013" t="s">
        <v>7724</v>
      </c>
      <c r="DS34" s="1013" t="s">
        <v>7724</v>
      </c>
      <c r="DT34" s="1013" t="s">
        <v>7724</v>
      </c>
      <c r="DU34" s="1013" t="s">
        <v>7724</v>
      </c>
      <c r="DV34" s="1013" t="s">
        <v>7724</v>
      </c>
      <c r="DW34" s="1013" t="s">
        <v>7724</v>
      </c>
      <c r="DX34" s="1013" t="s">
        <v>7724</v>
      </c>
      <c r="DY34" s="1013" t="s">
        <v>7724</v>
      </c>
      <c r="DZ34" s="1013" t="s">
        <v>7724</v>
      </c>
      <c r="EA34" s="1013" t="s">
        <v>7724</v>
      </c>
      <c r="EB34" s="1013" t="s">
        <v>7724</v>
      </c>
      <c r="EC34" s="1013" t="s">
        <v>7724</v>
      </c>
      <c r="ED34" s="1013" t="s">
        <v>7724</v>
      </c>
      <c r="EE34" s="1013" t="s">
        <v>7724</v>
      </c>
      <c r="EF34" s="1013" t="s">
        <v>7724</v>
      </c>
      <c r="EG34" s="1013" t="s">
        <v>7724</v>
      </c>
      <c r="EH34" s="1013" t="s">
        <v>7724</v>
      </c>
      <c r="EI34" s="1013" t="s">
        <v>7724</v>
      </c>
      <c r="EJ34" s="1013" t="s">
        <v>7724</v>
      </c>
      <c r="EK34" s="1013" t="s">
        <v>7724</v>
      </c>
      <c r="EL34" s="1013" t="s">
        <v>7724</v>
      </c>
      <c r="EM34" s="1013" t="s">
        <v>7724</v>
      </c>
      <c r="EN34" s="1013" t="s">
        <v>7724</v>
      </c>
      <c r="EO34" s="1013" t="s">
        <v>7724</v>
      </c>
      <c r="EP34" s="1013" t="s">
        <v>7724</v>
      </c>
      <c r="EQ34" s="1013" t="s">
        <v>7724</v>
      </c>
      <c r="ER34" s="1013" t="s">
        <v>7724</v>
      </c>
      <c r="ES34" s="1013" t="s">
        <v>7724</v>
      </c>
      <c r="ET34" s="1013" t="s">
        <v>7724</v>
      </c>
      <c r="EU34" s="1013" t="s">
        <v>7724</v>
      </c>
      <c r="EV34" s="1013" t="s">
        <v>7724</v>
      </c>
      <c r="EW34" s="1013" t="s">
        <v>7724</v>
      </c>
      <c r="EX34" s="1013" t="s">
        <v>7724</v>
      </c>
      <c r="EY34" s="1013" t="s">
        <v>7724</v>
      </c>
      <c r="EZ34" s="1013" t="s">
        <v>7724</v>
      </c>
      <c r="FA34" s="1013" t="s">
        <v>7724</v>
      </c>
      <c r="FB34" s="1013" t="s">
        <v>7724</v>
      </c>
      <c r="FC34" s="1013" t="s">
        <v>7724</v>
      </c>
      <c r="FD34" s="1013" t="s">
        <v>7724</v>
      </c>
      <c r="FE34" s="1013" t="s">
        <v>7724</v>
      </c>
      <c r="FF34" s="1013" t="s">
        <v>7724</v>
      </c>
      <c r="FG34" s="1013">
        <v>1</v>
      </c>
      <c r="FH34" s="1013">
        <v>0</v>
      </c>
      <c r="FI34" s="1013">
        <v>0</v>
      </c>
      <c r="FJ34" s="1013">
        <v>0</v>
      </c>
      <c r="FK34" s="1013">
        <v>1</v>
      </c>
      <c r="FL34" s="1013">
        <v>1</v>
      </c>
      <c r="FM34" s="1013">
        <v>0</v>
      </c>
      <c r="FN34" s="1013">
        <v>15</v>
      </c>
      <c r="FO34" s="1013">
        <v>29</v>
      </c>
      <c r="FP34" s="1013">
        <v>6</v>
      </c>
      <c r="FQ34" s="1013" t="s">
        <v>7724</v>
      </c>
      <c r="FR34" s="1013" t="s">
        <v>7724</v>
      </c>
      <c r="FS34" s="1013" t="s">
        <v>7724</v>
      </c>
      <c r="FT34" s="1013" t="s">
        <v>7724</v>
      </c>
      <c r="FU34" s="1013" t="s">
        <v>7724</v>
      </c>
      <c r="FV34" s="1013" t="s">
        <v>7724</v>
      </c>
      <c r="FW34" s="1013" t="s">
        <v>7724</v>
      </c>
      <c r="FX34" s="1013" t="s">
        <v>7724</v>
      </c>
      <c r="FY34" s="1013" t="s">
        <v>7724</v>
      </c>
      <c r="FZ34" s="1013" t="s">
        <v>7724</v>
      </c>
      <c r="GA34" s="1013" t="s">
        <v>7724</v>
      </c>
      <c r="GB34" s="1013" t="s">
        <v>7724</v>
      </c>
      <c r="GC34" s="1013">
        <v>2021</v>
      </c>
      <c r="GD34" s="1013" t="s">
        <v>1407</v>
      </c>
      <c r="GE34" s="1013">
        <v>2</v>
      </c>
      <c r="GF34" s="1013" t="s">
        <v>1407</v>
      </c>
      <c r="GG34" s="1013" t="s">
        <v>1404</v>
      </c>
      <c r="GH34" s="1013" t="s">
        <v>7989</v>
      </c>
      <c r="GI34" s="1013" t="s">
        <v>7974</v>
      </c>
      <c r="GJ34" s="1013" t="s">
        <v>7974</v>
      </c>
      <c r="GK34" s="1013" t="s">
        <v>7999</v>
      </c>
      <c r="GL34" s="1013" t="s">
        <v>7974</v>
      </c>
    </row>
    <row r="35" spans="1:194" hidden="1">
      <c r="A35" s="1019">
        <v>188</v>
      </c>
      <c r="B35" s="1019" t="s">
        <v>7722</v>
      </c>
      <c r="C35" s="1019">
        <v>18616759</v>
      </c>
      <c r="D35" s="1019" t="s">
        <v>7723</v>
      </c>
      <c r="E35" s="1022" t="s">
        <v>7723</v>
      </c>
      <c r="F35" s="1019" t="s">
        <v>7723</v>
      </c>
      <c r="G35" s="1019" t="s">
        <v>7723</v>
      </c>
      <c r="H35" s="1019" t="s">
        <v>7723</v>
      </c>
      <c r="I35" s="1019" t="s">
        <v>7723</v>
      </c>
      <c r="J35" s="1019" t="s">
        <v>7723</v>
      </c>
      <c r="K35" s="1019">
        <v>44529</v>
      </c>
      <c r="L35" s="1019">
        <v>0.31666666666666665</v>
      </c>
      <c r="M35" s="1019" t="s">
        <v>7860</v>
      </c>
      <c r="N35" s="1019" t="s">
        <v>7724</v>
      </c>
      <c r="O35" s="1019">
        <v>101</v>
      </c>
      <c r="P35" s="1019">
        <v>208</v>
      </c>
      <c r="Q35" s="1019" t="s">
        <v>7723</v>
      </c>
      <c r="R35" s="1019" t="s">
        <v>7727</v>
      </c>
      <c r="S35" s="1019" t="s">
        <v>7724</v>
      </c>
      <c r="T35" s="1020" t="s">
        <v>7724</v>
      </c>
      <c r="U35" s="1020">
        <v>19</v>
      </c>
      <c r="V35" s="1020" t="s">
        <v>7724</v>
      </c>
      <c r="W35" s="1020" t="s">
        <v>7724</v>
      </c>
      <c r="X35" s="1019">
        <v>1</v>
      </c>
      <c r="Y35" s="1019">
        <v>4400</v>
      </c>
      <c r="Z35" s="1019" t="s">
        <v>7724</v>
      </c>
      <c r="AA35" s="1019" t="s">
        <v>7728</v>
      </c>
      <c r="AB35" s="1013" t="s">
        <v>7726</v>
      </c>
      <c r="AC35" s="1013" t="s">
        <v>7723</v>
      </c>
      <c r="AD35" s="1013" t="s">
        <v>7723</v>
      </c>
      <c r="AE35" s="1013">
        <v>30</v>
      </c>
      <c r="AF35" s="1013" t="s">
        <v>7723</v>
      </c>
      <c r="AG35" s="1013" t="s">
        <v>7723</v>
      </c>
      <c r="AH35" s="1013" t="s">
        <v>7739</v>
      </c>
      <c r="AI35" s="1013" t="s">
        <v>7727</v>
      </c>
      <c r="AJ35" s="1013">
        <v>19</v>
      </c>
      <c r="AK35" s="1013" t="s">
        <v>7724</v>
      </c>
      <c r="AL35" s="1013" t="s">
        <v>7724</v>
      </c>
      <c r="AM35" s="1013">
        <v>1</v>
      </c>
      <c r="AN35" s="1013">
        <v>1200</v>
      </c>
      <c r="AO35" s="1013" t="s">
        <v>7724</v>
      </c>
      <c r="AP35" s="1013" t="s">
        <v>7725</v>
      </c>
      <c r="AQ35" s="1013" t="s">
        <v>7735</v>
      </c>
      <c r="AR35" s="1013" t="s">
        <v>7724</v>
      </c>
      <c r="AS35" s="1013" t="s">
        <v>7724</v>
      </c>
      <c r="AT35" s="1013" t="s">
        <v>7724</v>
      </c>
      <c r="AU35" s="1013" t="s">
        <v>7724</v>
      </c>
      <c r="AV35" s="1013" t="s">
        <v>7724</v>
      </c>
      <c r="AW35" s="1013" t="s">
        <v>7724</v>
      </c>
      <c r="AX35" s="1013">
        <v>11</v>
      </c>
      <c r="AY35" s="1013">
        <v>1</v>
      </c>
      <c r="AZ35" s="1013">
        <v>4</v>
      </c>
      <c r="BA35" s="1013">
        <v>1</v>
      </c>
      <c r="BB35" s="1013">
        <v>1</v>
      </c>
      <c r="BC35" s="1013">
        <v>1</v>
      </c>
      <c r="BD35" s="1013">
        <v>5</v>
      </c>
      <c r="BE35" s="1023">
        <v>0.31874999999999998</v>
      </c>
      <c r="BF35" s="1013" t="s">
        <v>7736</v>
      </c>
      <c r="BG35" s="1023">
        <v>0.32569444444444445</v>
      </c>
      <c r="BH35" s="1024">
        <v>44529</v>
      </c>
      <c r="BI35" s="1013" t="s">
        <v>7727</v>
      </c>
      <c r="BJ35" s="1013" t="s">
        <v>7730</v>
      </c>
      <c r="BK35" s="1013">
        <v>2469</v>
      </c>
      <c r="BL35" s="1013" t="s">
        <v>7724</v>
      </c>
      <c r="BM35" s="1013" t="s">
        <v>7724</v>
      </c>
      <c r="BN35" s="1013">
        <v>113</v>
      </c>
      <c r="BO35" s="1013">
        <v>8</v>
      </c>
      <c r="BP35" s="1013">
        <v>2</v>
      </c>
      <c r="BQ35" s="1013">
        <v>1</v>
      </c>
      <c r="BR35" s="1013">
        <v>10</v>
      </c>
      <c r="BS35" s="1013">
        <v>64</v>
      </c>
      <c r="BT35" s="1013">
        <v>54</v>
      </c>
      <c r="BU35" s="1013">
        <v>1</v>
      </c>
      <c r="BV35" s="1013">
        <v>5</v>
      </c>
      <c r="BW35" s="1013">
        <v>1</v>
      </c>
      <c r="BX35" s="1013">
        <v>21</v>
      </c>
      <c r="BY35" s="1013">
        <v>21</v>
      </c>
      <c r="BZ35" s="1013">
        <v>101</v>
      </c>
      <c r="CA35" s="1013">
        <v>208</v>
      </c>
      <c r="CB35" s="1013">
        <v>29.733094999999999</v>
      </c>
      <c r="CC35" s="1013">
        <v>-95.381282999999996</v>
      </c>
      <c r="CD35" s="1013" t="s">
        <v>7724</v>
      </c>
      <c r="CE35" s="1013" t="s">
        <v>7724</v>
      </c>
      <c r="CF35" s="1013" t="s">
        <v>7724</v>
      </c>
      <c r="CG35" s="1013" t="s">
        <v>7724</v>
      </c>
      <c r="CH35" s="1013" t="s">
        <v>7732</v>
      </c>
      <c r="CI35" s="1013">
        <v>4399</v>
      </c>
      <c r="CJ35" s="1013" t="s">
        <v>7724</v>
      </c>
      <c r="CK35" s="1013" t="s">
        <v>7724</v>
      </c>
      <c r="CL35" s="1013" t="s">
        <v>7724</v>
      </c>
      <c r="CM35" s="1013" t="s">
        <v>7724</v>
      </c>
      <c r="CN35" s="1013" t="s">
        <v>7724</v>
      </c>
      <c r="CO35" s="1013" t="s">
        <v>7724</v>
      </c>
      <c r="CP35" s="1013" t="s">
        <v>7724</v>
      </c>
      <c r="CQ35" s="1013" t="s">
        <v>7724</v>
      </c>
      <c r="CR35" s="1013" t="s">
        <v>7731</v>
      </c>
      <c r="CS35" s="1013" t="s">
        <v>7724</v>
      </c>
      <c r="CT35" s="1013" t="s">
        <v>7724</v>
      </c>
      <c r="CU35" s="1013" t="s">
        <v>7724</v>
      </c>
      <c r="CV35" s="1013" t="s">
        <v>7724</v>
      </c>
      <c r="CW35" s="1013" t="s">
        <v>7727</v>
      </c>
      <c r="CX35" s="1013" t="s">
        <v>7723</v>
      </c>
      <c r="CY35" s="1013" t="s">
        <v>7723</v>
      </c>
      <c r="CZ35" s="1013">
        <v>5</v>
      </c>
      <c r="DA35" s="1013">
        <v>9</v>
      </c>
      <c r="DB35" s="1013" t="s">
        <v>7727</v>
      </c>
      <c r="DC35" s="1013" t="s">
        <v>7743</v>
      </c>
      <c r="DD35" s="1013" t="s">
        <v>7724</v>
      </c>
      <c r="DE35" s="1013" t="s">
        <v>7724</v>
      </c>
      <c r="DF35" s="1013" t="s">
        <v>7724</v>
      </c>
      <c r="DG35" s="1013" t="s">
        <v>7724</v>
      </c>
      <c r="DH35" s="1013" t="s">
        <v>7724</v>
      </c>
      <c r="DI35" s="1013" t="s">
        <v>7724</v>
      </c>
      <c r="DJ35" s="1013" t="s">
        <v>7724</v>
      </c>
      <c r="DK35" s="1013" t="s">
        <v>7724</v>
      </c>
      <c r="DL35" s="1013" t="s">
        <v>7724</v>
      </c>
      <c r="DM35" s="1013" t="s">
        <v>7724</v>
      </c>
      <c r="DN35" s="1013" t="s">
        <v>7724</v>
      </c>
      <c r="DO35" s="1013" t="s">
        <v>7724</v>
      </c>
      <c r="DP35" s="1013" t="s">
        <v>7724</v>
      </c>
      <c r="DQ35" s="1013" t="s">
        <v>7724</v>
      </c>
      <c r="DR35" s="1013" t="s">
        <v>7724</v>
      </c>
      <c r="DS35" s="1013" t="s">
        <v>7724</v>
      </c>
      <c r="DT35" s="1013" t="s">
        <v>7724</v>
      </c>
      <c r="DU35" s="1013" t="s">
        <v>7724</v>
      </c>
      <c r="DV35" s="1013" t="s">
        <v>7724</v>
      </c>
      <c r="DW35" s="1013" t="s">
        <v>7724</v>
      </c>
      <c r="DX35" s="1013" t="s">
        <v>7724</v>
      </c>
      <c r="DY35" s="1013" t="s">
        <v>7724</v>
      </c>
      <c r="DZ35" s="1013" t="s">
        <v>7724</v>
      </c>
      <c r="EA35" s="1013" t="s">
        <v>7724</v>
      </c>
      <c r="EB35" s="1013" t="s">
        <v>7724</v>
      </c>
      <c r="EC35" s="1013" t="s">
        <v>7724</v>
      </c>
      <c r="ED35" s="1013" t="s">
        <v>7724</v>
      </c>
      <c r="EE35" s="1013" t="s">
        <v>7724</v>
      </c>
      <c r="EF35" s="1013" t="s">
        <v>7724</v>
      </c>
      <c r="EG35" s="1013" t="s">
        <v>7724</v>
      </c>
      <c r="EH35" s="1013" t="s">
        <v>7724</v>
      </c>
      <c r="EI35" s="1013" t="s">
        <v>7724</v>
      </c>
      <c r="EJ35" s="1013" t="s">
        <v>7724</v>
      </c>
      <c r="EK35" s="1013" t="s">
        <v>7724</v>
      </c>
      <c r="EL35" s="1013" t="s">
        <v>7724</v>
      </c>
      <c r="EM35" s="1013" t="s">
        <v>7724</v>
      </c>
      <c r="EN35" s="1013" t="s">
        <v>7724</v>
      </c>
      <c r="EO35" s="1013" t="s">
        <v>7724</v>
      </c>
      <c r="EP35" s="1013" t="s">
        <v>7724</v>
      </c>
      <c r="EQ35" s="1013" t="s">
        <v>7724</v>
      </c>
      <c r="ER35" s="1013" t="s">
        <v>7724</v>
      </c>
      <c r="ES35" s="1013" t="s">
        <v>7724</v>
      </c>
      <c r="ET35" s="1013" t="s">
        <v>7724</v>
      </c>
      <c r="EU35" s="1013" t="s">
        <v>7724</v>
      </c>
      <c r="EV35" s="1013" t="s">
        <v>7724</v>
      </c>
      <c r="EW35" s="1013" t="s">
        <v>7724</v>
      </c>
      <c r="EX35" s="1013" t="s">
        <v>7724</v>
      </c>
      <c r="EY35" s="1013" t="s">
        <v>7724</v>
      </c>
      <c r="EZ35" s="1013" t="s">
        <v>7724</v>
      </c>
      <c r="FA35" s="1013" t="s">
        <v>7724</v>
      </c>
      <c r="FB35" s="1013" t="s">
        <v>7724</v>
      </c>
      <c r="FC35" s="1013" t="s">
        <v>7724</v>
      </c>
      <c r="FD35" s="1013" t="s">
        <v>7724</v>
      </c>
      <c r="FE35" s="1013" t="s">
        <v>7724</v>
      </c>
      <c r="FF35" s="1013" t="s">
        <v>7724</v>
      </c>
      <c r="FG35" s="1013">
        <v>0</v>
      </c>
      <c r="FH35" s="1013">
        <v>0</v>
      </c>
      <c r="FI35" s="1013">
        <v>0</v>
      </c>
      <c r="FJ35" s="1013">
        <v>3</v>
      </c>
      <c r="FK35" s="1013">
        <v>0</v>
      </c>
      <c r="FL35" s="1013">
        <v>0</v>
      </c>
      <c r="FM35" s="1013">
        <v>0</v>
      </c>
      <c r="FN35" s="1013">
        <v>15</v>
      </c>
      <c r="FO35" s="1013">
        <v>29</v>
      </c>
      <c r="FP35" s="1013">
        <v>6</v>
      </c>
      <c r="FQ35" s="1013" t="s">
        <v>7724</v>
      </c>
      <c r="FR35" s="1013" t="s">
        <v>7724</v>
      </c>
      <c r="FS35" s="1013" t="s">
        <v>7724</v>
      </c>
      <c r="FT35" s="1013" t="s">
        <v>7724</v>
      </c>
      <c r="FU35" s="1013" t="s">
        <v>7724</v>
      </c>
      <c r="FV35" s="1013" t="s">
        <v>7724</v>
      </c>
      <c r="FW35" s="1013" t="s">
        <v>7724</v>
      </c>
      <c r="FX35" s="1013" t="s">
        <v>7724</v>
      </c>
      <c r="FY35" s="1013" t="s">
        <v>7724</v>
      </c>
      <c r="FZ35" s="1013" t="s">
        <v>7724</v>
      </c>
      <c r="GA35" s="1013" t="s">
        <v>7724</v>
      </c>
      <c r="GB35" s="1013" t="s">
        <v>7724</v>
      </c>
      <c r="GC35" s="1013">
        <v>2021</v>
      </c>
      <c r="GD35" s="1013" t="s">
        <v>1404</v>
      </c>
      <c r="GE35" s="1013">
        <v>2</v>
      </c>
      <c r="GF35" s="1013" t="s">
        <v>1407</v>
      </c>
      <c r="GG35" s="1013" t="s">
        <v>1407</v>
      </c>
      <c r="GH35" s="1013" t="s">
        <v>8000</v>
      </c>
      <c r="GI35" s="1013" t="s">
        <v>7974</v>
      </c>
      <c r="GJ35" s="1013" t="s">
        <v>7974</v>
      </c>
      <c r="GK35" s="1013" t="s">
        <v>7974</v>
      </c>
      <c r="GL35" s="1013" t="s">
        <v>7974</v>
      </c>
    </row>
    <row r="36" spans="1:194" hidden="1">
      <c r="A36" s="1019">
        <v>7</v>
      </c>
      <c r="B36" s="1019" t="s">
        <v>7722</v>
      </c>
      <c r="C36" s="1019">
        <v>18868042</v>
      </c>
      <c r="D36" s="1019" t="s">
        <v>7723</v>
      </c>
      <c r="E36" s="1022" t="s">
        <v>7723</v>
      </c>
      <c r="F36" s="1019" t="s">
        <v>7723</v>
      </c>
      <c r="G36" s="1019" t="s">
        <v>7723</v>
      </c>
      <c r="H36" s="1019" t="s">
        <v>7723</v>
      </c>
      <c r="I36" s="1019" t="s">
        <v>7723</v>
      </c>
      <c r="J36" s="1019" t="s">
        <v>7723</v>
      </c>
      <c r="K36" s="1019">
        <v>44661</v>
      </c>
      <c r="L36" s="1019">
        <v>0.14583333333333334</v>
      </c>
      <c r="M36" s="1019" t="s">
        <v>8001</v>
      </c>
      <c r="N36" s="1019" t="s">
        <v>8002</v>
      </c>
      <c r="O36" s="1019">
        <v>79</v>
      </c>
      <c r="P36" s="1019">
        <v>9999</v>
      </c>
      <c r="Q36" s="1019" t="s">
        <v>7727</v>
      </c>
      <c r="R36" s="1019" t="s">
        <v>7727</v>
      </c>
      <c r="S36" s="1019" t="s">
        <v>7724</v>
      </c>
      <c r="T36" s="1020" t="s">
        <v>7724</v>
      </c>
      <c r="U36" s="1020">
        <v>19</v>
      </c>
      <c r="V36" s="1020" t="s">
        <v>7724</v>
      </c>
      <c r="W36" s="1020" t="s">
        <v>7724</v>
      </c>
      <c r="X36" s="1019">
        <v>1</v>
      </c>
      <c r="Y36" s="1019" t="s">
        <v>7724</v>
      </c>
      <c r="Z36" s="1019" t="s">
        <v>7724</v>
      </c>
      <c r="AA36" s="1019" t="s">
        <v>8003</v>
      </c>
      <c r="AB36" s="1013" t="s">
        <v>8004</v>
      </c>
      <c r="AC36" s="1013" t="s">
        <v>7723</v>
      </c>
      <c r="AD36" s="1013" t="s">
        <v>7723</v>
      </c>
      <c r="AE36" s="1013">
        <v>45</v>
      </c>
      <c r="AF36" s="1013" t="s">
        <v>7723</v>
      </c>
      <c r="AG36" s="1013" t="s">
        <v>7723</v>
      </c>
      <c r="AH36" s="1013" t="s">
        <v>7724</v>
      </c>
      <c r="AI36" s="1013" t="s">
        <v>7723</v>
      </c>
      <c r="AJ36" s="1013">
        <v>2</v>
      </c>
      <c r="AK36" s="1013">
        <v>59</v>
      </c>
      <c r="AL36" s="1013" t="s">
        <v>7724</v>
      </c>
      <c r="AM36" s="1013">
        <v>2</v>
      </c>
      <c r="AN36" s="1013" t="s">
        <v>7724</v>
      </c>
      <c r="AO36" s="1013" t="s">
        <v>7724</v>
      </c>
      <c r="AP36" s="1013" t="s">
        <v>950</v>
      </c>
      <c r="AQ36" s="1013" t="s">
        <v>7724</v>
      </c>
      <c r="AR36" s="1013" t="s">
        <v>7724</v>
      </c>
      <c r="AS36" s="1013" t="s">
        <v>7724</v>
      </c>
      <c r="AT36" s="1013" t="s">
        <v>7724</v>
      </c>
      <c r="AU36" s="1013" t="s">
        <v>7724</v>
      </c>
      <c r="AV36" s="1013" t="s">
        <v>7724</v>
      </c>
      <c r="AW36" s="1013" t="s">
        <v>7724</v>
      </c>
      <c r="AX36" s="1013">
        <v>11</v>
      </c>
      <c r="AY36" s="1013">
        <v>4</v>
      </c>
      <c r="AZ36" s="1013">
        <v>4</v>
      </c>
      <c r="BA36" s="1013">
        <v>3</v>
      </c>
      <c r="BB36" s="1013">
        <v>1</v>
      </c>
      <c r="BC36" s="1013">
        <v>1</v>
      </c>
      <c r="BD36" s="1013">
        <v>5</v>
      </c>
      <c r="BE36" s="1023">
        <v>0.14722222222222223</v>
      </c>
      <c r="BF36" s="1013" t="s">
        <v>7729</v>
      </c>
      <c r="BG36" s="1023">
        <v>0.15138888888888888</v>
      </c>
      <c r="BH36" s="1024">
        <v>44667</v>
      </c>
      <c r="BI36" s="1013" t="s">
        <v>7727</v>
      </c>
      <c r="BJ36" s="1013" t="s">
        <v>8005</v>
      </c>
      <c r="BK36" s="1013">
        <v>1312</v>
      </c>
      <c r="BL36" s="1013" t="s">
        <v>7724</v>
      </c>
      <c r="BM36" s="1013" t="s">
        <v>7724</v>
      </c>
      <c r="BN36" s="1013">
        <v>151</v>
      </c>
      <c r="BO36" s="1013">
        <v>8</v>
      </c>
      <c r="BP36" s="1013">
        <v>7</v>
      </c>
      <c r="BQ36" s="1013">
        <v>2</v>
      </c>
      <c r="BR36" s="1013">
        <v>3</v>
      </c>
      <c r="BS36" s="1013">
        <v>26</v>
      </c>
      <c r="BT36" s="1013">
        <v>54</v>
      </c>
      <c r="BU36" s="1013">
        <v>2</v>
      </c>
      <c r="BV36" s="1013">
        <v>2</v>
      </c>
      <c r="BW36" s="1013">
        <v>2</v>
      </c>
      <c r="BX36" s="1013">
        <v>21</v>
      </c>
      <c r="BY36" s="1013">
        <v>21</v>
      </c>
      <c r="BZ36" s="1013">
        <v>101</v>
      </c>
      <c r="CA36" s="1013">
        <v>208</v>
      </c>
      <c r="CB36" s="1013">
        <v>29.732593999999999</v>
      </c>
      <c r="CC36" s="1013">
        <v>-95.380521000000002</v>
      </c>
      <c r="CD36" s="1013" t="s">
        <v>7724</v>
      </c>
      <c r="CE36" s="1013" t="s">
        <v>7724</v>
      </c>
      <c r="CF36" s="1013" t="s">
        <v>7724</v>
      </c>
      <c r="CG36" s="1013" t="s">
        <v>7724</v>
      </c>
      <c r="CH36" s="1013" t="s">
        <v>7731</v>
      </c>
      <c r="CI36" s="1013">
        <v>1293</v>
      </c>
      <c r="CJ36" s="1013" t="s">
        <v>7724</v>
      </c>
      <c r="CK36" s="1013" t="s">
        <v>7724</v>
      </c>
      <c r="CL36" s="1013" t="s">
        <v>7724</v>
      </c>
      <c r="CM36" s="1013" t="s">
        <v>7724</v>
      </c>
      <c r="CN36" s="1013" t="s">
        <v>7724</v>
      </c>
      <c r="CO36" s="1013" t="s">
        <v>7724</v>
      </c>
      <c r="CP36" s="1013" t="s">
        <v>7724</v>
      </c>
      <c r="CQ36" s="1013" t="s">
        <v>7724</v>
      </c>
      <c r="CR36" s="1013" t="s">
        <v>967</v>
      </c>
      <c r="CS36" s="1013" t="s">
        <v>7724</v>
      </c>
      <c r="CT36" s="1013" t="s">
        <v>7724</v>
      </c>
      <c r="CU36" s="1013" t="s">
        <v>7724</v>
      </c>
      <c r="CV36" s="1013" t="s">
        <v>7724</v>
      </c>
      <c r="CW36" s="1013" t="s">
        <v>7727</v>
      </c>
      <c r="CX36" s="1013" t="s">
        <v>7723</v>
      </c>
      <c r="CY36" s="1013" t="s">
        <v>7723</v>
      </c>
      <c r="CZ36" s="1013">
        <v>5</v>
      </c>
      <c r="DA36" s="1013">
        <v>9</v>
      </c>
      <c r="DB36" s="1013" t="s">
        <v>7727</v>
      </c>
      <c r="DC36" s="1013" t="s">
        <v>7747</v>
      </c>
      <c r="DD36" s="1013" t="s">
        <v>7724</v>
      </c>
      <c r="DE36" s="1013" t="s">
        <v>7724</v>
      </c>
      <c r="DF36" s="1013" t="s">
        <v>7724</v>
      </c>
      <c r="DG36" s="1013" t="s">
        <v>7724</v>
      </c>
      <c r="DH36" s="1013" t="s">
        <v>7724</v>
      </c>
      <c r="DI36" s="1013" t="s">
        <v>7724</v>
      </c>
      <c r="DJ36" s="1013" t="s">
        <v>7724</v>
      </c>
      <c r="DK36" s="1013" t="s">
        <v>7724</v>
      </c>
      <c r="DL36" s="1013" t="s">
        <v>7724</v>
      </c>
      <c r="DM36" s="1013" t="s">
        <v>7724</v>
      </c>
      <c r="DN36" s="1013" t="s">
        <v>7724</v>
      </c>
      <c r="DO36" s="1013" t="s">
        <v>7724</v>
      </c>
      <c r="DP36" s="1013" t="s">
        <v>7724</v>
      </c>
      <c r="DQ36" s="1013" t="s">
        <v>7724</v>
      </c>
      <c r="DR36" s="1013" t="s">
        <v>7724</v>
      </c>
      <c r="DS36" s="1013" t="s">
        <v>7724</v>
      </c>
      <c r="DT36" s="1013" t="s">
        <v>7724</v>
      </c>
      <c r="DU36" s="1013" t="s">
        <v>7724</v>
      </c>
      <c r="DV36" s="1013" t="s">
        <v>7724</v>
      </c>
      <c r="DW36" s="1013" t="s">
        <v>7724</v>
      </c>
      <c r="DX36" s="1013" t="s">
        <v>7724</v>
      </c>
      <c r="DY36" s="1013" t="s">
        <v>7724</v>
      </c>
      <c r="DZ36" s="1013" t="s">
        <v>7724</v>
      </c>
      <c r="EA36" s="1013" t="s">
        <v>7724</v>
      </c>
      <c r="EB36" s="1013" t="s">
        <v>7724</v>
      </c>
      <c r="EC36" s="1013" t="s">
        <v>7724</v>
      </c>
      <c r="ED36" s="1013" t="s">
        <v>7724</v>
      </c>
      <c r="EE36" s="1013" t="s">
        <v>7724</v>
      </c>
      <c r="EF36" s="1013" t="s">
        <v>7724</v>
      </c>
      <c r="EG36" s="1013" t="s">
        <v>7724</v>
      </c>
      <c r="EH36" s="1013" t="s">
        <v>7724</v>
      </c>
      <c r="EI36" s="1013" t="s">
        <v>7724</v>
      </c>
      <c r="EJ36" s="1013" t="s">
        <v>7724</v>
      </c>
      <c r="EK36" s="1013" t="s">
        <v>7724</v>
      </c>
      <c r="EL36" s="1013" t="s">
        <v>7724</v>
      </c>
      <c r="EM36" s="1013" t="s">
        <v>7724</v>
      </c>
      <c r="EN36" s="1013" t="s">
        <v>7724</v>
      </c>
      <c r="EO36" s="1013" t="s">
        <v>7724</v>
      </c>
      <c r="EP36" s="1013" t="s">
        <v>7724</v>
      </c>
      <c r="EQ36" s="1013" t="s">
        <v>7724</v>
      </c>
      <c r="ER36" s="1013" t="s">
        <v>7724</v>
      </c>
      <c r="ES36" s="1013" t="s">
        <v>7724</v>
      </c>
      <c r="ET36" s="1013" t="s">
        <v>7724</v>
      </c>
      <c r="EU36" s="1013" t="s">
        <v>7724</v>
      </c>
      <c r="EV36" s="1013" t="s">
        <v>7724</v>
      </c>
      <c r="EW36" s="1013" t="s">
        <v>7724</v>
      </c>
      <c r="EX36" s="1013" t="s">
        <v>7724</v>
      </c>
      <c r="EY36" s="1013" t="s">
        <v>7724</v>
      </c>
      <c r="EZ36" s="1013" t="s">
        <v>7724</v>
      </c>
      <c r="FA36" s="1013" t="s">
        <v>7724</v>
      </c>
      <c r="FB36" s="1013" t="s">
        <v>7724</v>
      </c>
      <c r="FC36" s="1013" t="s">
        <v>7724</v>
      </c>
      <c r="FD36" s="1013" t="s">
        <v>7724</v>
      </c>
      <c r="FE36" s="1013" t="s">
        <v>7724</v>
      </c>
      <c r="FF36" s="1013" t="s">
        <v>7724</v>
      </c>
      <c r="FG36" s="1013">
        <v>0</v>
      </c>
      <c r="FH36" s="1013">
        <v>0</v>
      </c>
      <c r="FI36" s="1013">
        <v>0</v>
      </c>
      <c r="FJ36" s="1013">
        <v>1</v>
      </c>
      <c r="FK36" s="1013">
        <v>0</v>
      </c>
      <c r="FL36" s="1013">
        <v>0</v>
      </c>
      <c r="FM36" s="1013">
        <v>0</v>
      </c>
      <c r="FN36" s="1013">
        <v>15</v>
      </c>
      <c r="FO36" s="1013">
        <v>27</v>
      </c>
      <c r="FP36" s="1013">
        <v>22</v>
      </c>
      <c r="FQ36" s="1013" t="s">
        <v>7724</v>
      </c>
      <c r="FR36" s="1013" t="s">
        <v>7724</v>
      </c>
      <c r="FS36" s="1013" t="s">
        <v>7724</v>
      </c>
      <c r="FT36" s="1013" t="s">
        <v>7724</v>
      </c>
      <c r="FU36" s="1013" t="s">
        <v>7724</v>
      </c>
      <c r="FV36" s="1013" t="s">
        <v>7724</v>
      </c>
      <c r="FW36" s="1013" t="s">
        <v>7724</v>
      </c>
      <c r="FX36" s="1013" t="s">
        <v>7724</v>
      </c>
      <c r="FY36" s="1013" t="s">
        <v>7724</v>
      </c>
      <c r="FZ36" s="1013" t="s">
        <v>7724</v>
      </c>
      <c r="GA36" s="1013" t="s">
        <v>7724</v>
      </c>
      <c r="GB36" s="1013" t="s">
        <v>7724</v>
      </c>
      <c r="GC36" s="1013">
        <v>2022</v>
      </c>
      <c r="GD36" s="1013" t="s">
        <v>1404</v>
      </c>
      <c r="GE36" s="1013">
        <v>1</v>
      </c>
      <c r="GF36" s="1013" t="s">
        <v>1407</v>
      </c>
      <c r="GG36" s="1013" t="s">
        <v>1407</v>
      </c>
      <c r="GH36" s="1013">
        <v>67</v>
      </c>
      <c r="GI36" s="1013">
        <v>17</v>
      </c>
      <c r="GJ36" s="1013" t="s">
        <v>8006</v>
      </c>
      <c r="GK36" s="1013" t="s">
        <v>8006</v>
      </c>
      <c r="GL36" s="1013" t="s">
        <v>8006</v>
      </c>
    </row>
    <row r="37" spans="1:194" hidden="1">
      <c r="A37" s="1019">
        <v>61</v>
      </c>
      <c r="B37" s="1019" t="s">
        <v>7722</v>
      </c>
      <c r="C37" s="1019">
        <v>17862015</v>
      </c>
      <c r="D37" s="1019" t="s">
        <v>7723</v>
      </c>
      <c r="E37" s="1022" t="s">
        <v>7723</v>
      </c>
      <c r="F37" s="1019" t="s">
        <v>7723</v>
      </c>
      <c r="G37" s="1019" t="s">
        <v>7723</v>
      </c>
      <c r="H37" s="1019" t="s">
        <v>7723</v>
      </c>
      <c r="I37" s="1019" t="s">
        <v>7727</v>
      </c>
      <c r="J37" s="1019" t="s">
        <v>7723</v>
      </c>
      <c r="K37" s="1019">
        <v>44081</v>
      </c>
      <c r="L37" s="1019">
        <v>0.96527777777777779</v>
      </c>
      <c r="M37" s="1019" t="s">
        <v>7742</v>
      </c>
      <c r="N37" s="1019" t="s">
        <v>7734</v>
      </c>
      <c r="O37" s="1019">
        <v>101</v>
      </c>
      <c r="P37" s="1019">
        <v>208</v>
      </c>
      <c r="Q37" s="1019" t="s">
        <v>7723</v>
      </c>
      <c r="R37" s="1019" t="s">
        <v>7727</v>
      </c>
      <c r="S37" s="1019" t="s">
        <v>7724</v>
      </c>
      <c r="T37" s="1020" t="s">
        <v>7724</v>
      </c>
      <c r="U37" s="1020">
        <v>19</v>
      </c>
      <c r="V37" s="1020" t="s">
        <v>7724</v>
      </c>
      <c r="W37" s="1020" t="s">
        <v>7724</v>
      </c>
      <c r="X37" s="1019">
        <v>1</v>
      </c>
      <c r="Y37" s="1019">
        <v>4400</v>
      </c>
      <c r="Z37" s="1019" t="s">
        <v>7724</v>
      </c>
      <c r="AA37" s="1019" t="s">
        <v>7728</v>
      </c>
      <c r="AB37" s="1013" t="s">
        <v>7724</v>
      </c>
      <c r="AC37" s="1013" t="s">
        <v>7723</v>
      </c>
      <c r="AD37" s="1013" t="s">
        <v>7723</v>
      </c>
      <c r="AE37" s="1013">
        <v>35</v>
      </c>
      <c r="AF37" s="1013" t="s">
        <v>7723</v>
      </c>
      <c r="AG37" s="1013" t="s">
        <v>7723</v>
      </c>
      <c r="AH37" s="1013" t="s">
        <v>7739</v>
      </c>
      <c r="AI37" s="1013" t="s">
        <v>7727</v>
      </c>
      <c r="AJ37" s="1013">
        <v>19</v>
      </c>
      <c r="AK37" s="1013" t="s">
        <v>7724</v>
      </c>
      <c r="AL37" s="1013" t="s">
        <v>7724</v>
      </c>
      <c r="AM37" s="1013">
        <v>1</v>
      </c>
      <c r="AN37" s="1013">
        <v>1100</v>
      </c>
      <c r="AO37" s="1013" t="s">
        <v>7724</v>
      </c>
      <c r="AP37" s="1013" t="s">
        <v>7725</v>
      </c>
      <c r="AQ37" s="1013" t="s">
        <v>7724</v>
      </c>
      <c r="AR37" s="1013" t="s">
        <v>7724</v>
      </c>
      <c r="AS37" s="1013" t="s">
        <v>7724</v>
      </c>
      <c r="AT37" s="1013" t="s">
        <v>7724</v>
      </c>
      <c r="AU37" s="1013" t="s">
        <v>7724</v>
      </c>
      <c r="AV37" s="1013" t="s">
        <v>7724</v>
      </c>
      <c r="AW37" s="1013" t="s">
        <v>7724</v>
      </c>
      <c r="AX37" s="1013">
        <v>11</v>
      </c>
      <c r="AY37" s="1013">
        <v>4</v>
      </c>
      <c r="AZ37" s="1013">
        <v>2</v>
      </c>
      <c r="BA37" s="1013">
        <v>4</v>
      </c>
      <c r="BB37" s="1013">
        <v>1</v>
      </c>
      <c r="BC37" s="1013">
        <v>1</v>
      </c>
      <c r="BD37" s="1013">
        <v>15</v>
      </c>
      <c r="BE37" s="1023">
        <v>0.97222222222222221</v>
      </c>
      <c r="BF37" s="1013" t="s">
        <v>7736</v>
      </c>
      <c r="BG37" s="1023">
        <v>0.97638888888888886</v>
      </c>
      <c r="BH37" s="1024">
        <v>44098</v>
      </c>
      <c r="BI37" s="1013" t="s">
        <v>7727</v>
      </c>
      <c r="BJ37" s="1013" t="s">
        <v>7730</v>
      </c>
      <c r="BK37" s="1013">
        <v>2469</v>
      </c>
      <c r="BL37" s="1013" t="s">
        <v>7724</v>
      </c>
      <c r="BM37" s="1013" t="s">
        <v>7724</v>
      </c>
      <c r="BN37" s="1013">
        <v>113</v>
      </c>
      <c r="BO37" s="1013">
        <v>8</v>
      </c>
      <c r="BP37" s="1013">
        <v>1</v>
      </c>
      <c r="BQ37" s="1013">
        <v>2</v>
      </c>
      <c r="BR37" s="1013">
        <v>1</v>
      </c>
      <c r="BS37" s="1013">
        <v>64</v>
      </c>
      <c r="BT37" s="1013">
        <v>54</v>
      </c>
      <c r="BU37" s="1013">
        <v>1</v>
      </c>
      <c r="BV37" s="1013">
        <v>5</v>
      </c>
      <c r="BW37" s="1013">
        <v>1</v>
      </c>
      <c r="BX37" s="1013">
        <v>21</v>
      </c>
      <c r="BY37" s="1013">
        <v>21</v>
      </c>
      <c r="BZ37" s="1013">
        <v>101</v>
      </c>
      <c r="CA37" s="1013">
        <v>208</v>
      </c>
      <c r="CB37" s="1013">
        <v>29.733094999999999</v>
      </c>
      <c r="CC37" s="1013">
        <v>-95.381282999999996</v>
      </c>
      <c r="CD37" s="1013" t="s">
        <v>7724</v>
      </c>
      <c r="CE37" s="1013" t="s">
        <v>7724</v>
      </c>
      <c r="CF37" s="1013" t="s">
        <v>7724</v>
      </c>
      <c r="CG37" s="1013" t="s">
        <v>7724</v>
      </c>
      <c r="CH37" s="1013" t="s">
        <v>7732</v>
      </c>
      <c r="CI37" s="1013">
        <v>4399</v>
      </c>
      <c r="CJ37" s="1013" t="s">
        <v>7724</v>
      </c>
      <c r="CK37" s="1013" t="s">
        <v>7724</v>
      </c>
      <c r="CL37" s="1013" t="s">
        <v>7724</v>
      </c>
      <c r="CM37" s="1013" t="s">
        <v>7724</v>
      </c>
      <c r="CN37" s="1013" t="s">
        <v>7724</v>
      </c>
      <c r="CO37" s="1013" t="s">
        <v>7724</v>
      </c>
      <c r="CP37" s="1013" t="s">
        <v>7724</v>
      </c>
      <c r="CQ37" s="1013" t="s">
        <v>7724</v>
      </c>
      <c r="CR37" s="1013" t="s">
        <v>967</v>
      </c>
      <c r="CS37" s="1013" t="s">
        <v>7724</v>
      </c>
      <c r="CT37" s="1013" t="s">
        <v>7724</v>
      </c>
      <c r="CU37" s="1013" t="s">
        <v>7724</v>
      </c>
      <c r="CV37" s="1013" t="s">
        <v>7724</v>
      </c>
      <c r="CW37" s="1013" t="s">
        <v>7727</v>
      </c>
      <c r="CX37" s="1013" t="s">
        <v>7723</v>
      </c>
      <c r="CY37" s="1013" t="s">
        <v>7723</v>
      </c>
      <c r="CZ37" s="1013">
        <v>1</v>
      </c>
      <c r="DA37" s="1013">
        <v>9</v>
      </c>
      <c r="DB37" s="1013" t="s">
        <v>7727</v>
      </c>
      <c r="DC37" s="1013" t="s">
        <v>7743</v>
      </c>
      <c r="DD37" s="1013" t="s">
        <v>7724</v>
      </c>
      <c r="DE37" s="1013" t="s">
        <v>7724</v>
      </c>
      <c r="DF37" s="1013" t="s">
        <v>7724</v>
      </c>
      <c r="DG37" s="1013" t="s">
        <v>7724</v>
      </c>
      <c r="DH37" s="1013" t="s">
        <v>7724</v>
      </c>
      <c r="DI37" s="1013" t="s">
        <v>7724</v>
      </c>
      <c r="DJ37" s="1013" t="s">
        <v>7724</v>
      </c>
      <c r="DK37" s="1013" t="s">
        <v>7724</v>
      </c>
      <c r="DL37" s="1013" t="s">
        <v>7724</v>
      </c>
      <c r="DM37" s="1013" t="s">
        <v>7724</v>
      </c>
      <c r="DN37" s="1013" t="s">
        <v>7724</v>
      </c>
      <c r="DO37" s="1013" t="s">
        <v>7724</v>
      </c>
      <c r="DP37" s="1013" t="s">
        <v>7724</v>
      </c>
      <c r="DQ37" s="1013" t="s">
        <v>7724</v>
      </c>
      <c r="DR37" s="1013" t="s">
        <v>7724</v>
      </c>
      <c r="DS37" s="1013" t="s">
        <v>7724</v>
      </c>
      <c r="DT37" s="1013" t="s">
        <v>7724</v>
      </c>
      <c r="DU37" s="1013" t="s">
        <v>7724</v>
      </c>
      <c r="DV37" s="1013" t="s">
        <v>7724</v>
      </c>
      <c r="DW37" s="1013" t="s">
        <v>7724</v>
      </c>
      <c r="DX37" s="1013" t="s">
        <v>7724</v>
      </c>
      <c r="DY37" s="1013" t="s">
        <v>7724</v>
      </c>
      <c r="DZ37" s="1013" t="s">
        <v>7724</v>
      </c>
      <c r="EA37" s="1013" t="s">
        <v>7724</v>
      </c>
      <c r="EB37" s="1013" t="s">
        <v>7724</v>
      </c>
      <c r="EC37" s="1013" t="s">
        <v>7724</v>
      </c>
      <c r="ED37" s="1013" t="s">
        <v>7724</v>
      </c>
      <c r="EE37" s="1013" t="s">
        <v>7724</v>
      </c>
      <c r="EF37" s="1013" t="s">
        <v>7724</v>
      </c>
      <c r="EG37" s="1013" t="s">
        <v>7724</v>
      </c>
      <c r="EH37" s="1013" t="s">
        <v>7724</v>
      </c>
      <c r="EI37" s="1013" t="s">
        <v>7724</v>
      </c>
      <c r="EJ37" s="1013" t="s">
        <v>7724</v>
      </c>
      <c r="EK37" s="1013" t="s">
        <v>7724</v>
      </c>
      <c r="EL37" s="1013" t="s">
        <v>7724</v>
      </c>
      <c r="EM37" s="1013" t="s">
        <v>7724</v>
      </c>
      <c r="EN37" s="1013" t="s">
        <v>7724</v>
      </c>
      <c r="EO37" s="1013" t="s">
        <v>7724</v>
      </c>
      <c r="EP37" s="1013" t="s">
        <v>7724</v>
      </c>
      <c r="EQ37" s="1013" t="s">
        <v>7724</v>
      </c>
      <c r="ER37" s="1013" t="s">
        <v>7724</v>
      </c>
      <c r="ES37" s="1013" t="s">
        <v>7724</v>
      </c>
      <c r="ET37" s="1013" t="s">
        <v>7724</v>
      </c>
      <c r="EU37" s="1013" t="s">
        <v>7724</v>
      </c>
      <c r="EV37" s="1013" t="s">
        <v>7724</v>
      </c>
      <c r="EW37" s="1013" t="s">
        <v>7724</v>
      </c>
      <c r="EX37" s="1013" t="s">
        <v>7724</v>
      </c>
      <c r="EY37" s="1013" t="s">
        <v>7724</v>
      </c>
      <c r="EZ37" s="1013" t="s">
        <v>7724</v>
      </c>
      <c r="FA37" s="1013" t="s">
        <v>7724</v>
      </c>
      <c r="FB37" s="1013" t="s">
        <v>7724</v>
      </c>
      <c r="FC37" s="1013" t="s">
        <v>7724</v>
      </c>
      <c r="FD37" s="1013" t="s">
        <v>7724</v>
      </c>
      <c r="FE37" s="1013" t="s">
        <v>7724</v>
      </c>
      <c r="FF37" s="1013" t="s">
        <v>7724</v>
      </c>
      <c r="FG37" s="1013">
        <v>1</v>
      </c>
      <c r="FH37" s="1013">
        <v>0</v>
      </c>
      <c r="FI37" s="1013">
        <v>0</v>
      </c>
      <c r="FJ37" s="1013">
        <v>0</v>
      </c>
      <c r="FK37" s="1013">
        <v>1</v>
      </c>
      <c r="FL37" s="1013">
        <v>1</v>
      </c>
      <c r="FM37" s="1013">
        <v>0</v>
      </c>
      <c r="FN37" s="1013">
        <v>15</v>
      </c>
      <c r="FO37" s="1013">
        <v>29</v>
      </c>
      <c r="FP37" s="1013">
        <v>6</v>
      </c>
      <c r="FQ37" s="1013" t="s">
        <v>7724</v>
      </c>
      <c r="FR37" s="1013" t="s">
        <v>7724</v>
      </c>
      <c r="FS37" s="1013" t="s">
        <v>7724</v>
      </c>
      <c r="FT37" s="1013" t="s">
        <v>7724</v>
      </c>
      <c r="FU37" s="1013" t="s">
        <v>7724</v>
      </c>
      <c r="FV37" s="1013" t="s">
        <v>7724</v>
      </c>
      <c r="FW37" s="1013" t="s">
        <v>7724</v>
      </c>
      <c r="FX37" s="1013" t="s">
        <v>7724</v>
      </c>
      <c r="FY37" s="1013" t="s">
        <v>7724</v>
      </c>
      <c r="FZ37" s="1013" t="s">
        <v>7724</v>
      </c>
      <c r="GA37" s="1013" t="s">
        <v>7724</v>
      </c>
      <c r="GB37" s="1013" t="s">
        <v>7724</v>
      </c>
      <c r="GC37" s="1013">
        <v>2020</v>
      </c>
      <c r="GD37" s="1013" t="s">
        <v>1407</v>
      </c>
      <c r="GE37" s="1013">
        <v>2</v>
      </c>
      <c r="GF37" s="1013" t="s">
        <v>1404</v>
      </c>
      <c r="GG37" s="1013" t="s">
        <v>1407</v>
      </c>
      <c r="GH37" s="1013" t="s">
        <v>7974</v>
      </c>
      <c r="GI37" s="1013" t="s">
        <v>7974</v>
      </c>
      <c r="GJ37" s="1013" t="s">
        <v>7974</v>
      </c>
      <c r="GK37" s="1013" t="s">
        <v>8007</v>
      </c>
      <c r="GL37" s="1013" t="s">
        <v>7974</v>
      </c>
    </row>
    <row r="38" spans="1:194" hidden="1">
      <c r="A38" s="1019">
        <v>76</v>
      </c>
      <c r="B38" s="1019" t="s">
        <v>7722</v>
      </c>
      <c r="C38" s="1019">
        <v>16865396</v>
      </c>
      <c r="D38" s="1019" t="s">
        <v>7723</v>
      </c>
      <c r="E38" s="1022" t="s">
        <v>7723</v>
      </c>
      <c r="F38" s="1019" t="s">
        <v>7723</v>
      </c>
      <c r="G38" s="1019" t="s">
        <v>7723</v>
      </c>
      <c r="H38" s="1019" t="s">
        <v>7723</v>
      </c>
      <c r="I38" s="1019" t="s">
        <v>7727</v>
      </c>
      <c r="J38" s="1019" t="s">
        <v>7723</v>
      </c>
      <c r="K38" s="1019">
        <v>43488</v>
      </c>
      <c r="L38" s="1019">
        <v>0.29166666666666669</v>
      </c>
      <c r="M38" s="1019" t="s">
        <v>7772</v>
      </c>
      <c r="N38" s="1019" t="s">
        <v>7724</v>
      </c>
      <c r="O38" s="1019">
        <v>101</v>
      </c>
      <c r="P38" s="1019">
        <v>208</v>
      </c>
      <c r="Q38" s="1019" t="s">
        <v>7723</v>
      </c>
      <c r="R38" s="1019" t="s">
        <v>7727</v>
      </c>
      <c r="S38" s="1019" t="s">
        <v>7724</v>
      </c>
      <c r="T38" s="1020" t="s">
        <v>7724</v>
      </c>
      <c r="U38" s="1020">
        <v>19</v>
      </c>
      <c r="V38" s="1020" t="s">
        <v>7724</v>
      </c>
      <c r="W38" s="1020" t="s">
        <v>7724</v>
      </c>
      <c r="X38" s="1019">
        <v>1</v>
      </c>
      <c r="Y38" s="1019">
        <v>1100</v>
      </c>
      <c r="Z38" s="1019" t="s">
        <v>7724</v>
      </c>
      <c r="AA38" s="1019" t="s">
        <v>7725</v>
      </c>
      <c r="AB38" s="1013" t="s">
        <v>7724</v>
      </c>
      <c r="AC38" s="1013" t="s">
        <v>7723</v>
      </c>
      <c r="AD38" s="1013" t="s">
        <v>7723</v>
      </c>
      <c r="AE38" s="1013">
        <v>35</v>
      </c>
      <c r="AF38" s="1013" t="s">
        <v>7723</v>
      </c>
      <c r="AG38" s="1013" t="s">
        <v>7723</v>
      </c>
      <c r="AH38" s="1013" t="s">
        <v>7739</v>
      </c>
      <c r="AI38" s="1013" t="s">
        <v>7727</v>
      </c>
      <c r="AJ38" s="1013">
        <v>19</v>
      </c>
      <c r="AK38" s="1013" t="s">
        <v>7724</v>
      </c>
      <c r="AL38" s="1013" t="s">
        <v>7724</v>
      </c>
      <c r="AM38" s="1013">
        <v>1</v>
      </c>
      <c r="AN38" s="1013">
        <v>4400</v>
      </c>
      <c r="AO38" s="1013" t="s">
        <v>7724</v>
      </c>
      <c r="AP38" s="1013" t="s">
        <v>7728</v>
      </c>
      <c r="AQ38" s="1013" t="s">
        <v>7724</v>
      </c>
      <c r="AR38" s="1013" t="s">
        <v>7724</v>
      </c>
      <c r="AS38" s="1013" t="s">
        <v>7724</v>
      </c>
      <c r="AT38" s="1013" t="s">
        <v>7724</v>
      </c>
      <c r="AU38" s="1013" t="s">
        <v>7724</v>
      </c>
      <c r="AV38" s="1013" t="s">
        <v>7724</v>
      </c>
      <c r="AW38" s="1013" t="s">
        <v>7724</v>
      </c>
      <c r="AX38" s="1013">
        <v>2</v>
      </c>
      <c r="AY38" s="1013">
        <v>5</v>
      </c>
      <c r="AZ38" s="1013">
        <v>4</v>
      </c>
      <c r="BA38" s="1013">
        <v>2</v>
      </c>
      <c r="BB38" s="1013">
        <v>1</v>
      </c>
      <c r="BC38" s="1013">
        <v>2</v>
      </c>
      <c r="BD38" s="1013">
        <v>5</v>
      </c>
      <c r="BE38" s="1023">
        <v>0.31041666666666667</v>
      </c>
      <c r="BF38" s="1013" t="s">
        <v>7736</v>
      </c>
      <c r="BG38" s="1023">
        <v>0.31666666666666665</v>
      </c>
      <c r="BH38" s="1024">
        <v>43497</v>
      </c>
      <c r="BI38" s="1013" t="s">
        <v>7727</v>
      </c>
      <c r="BJ38" s="1013" t="s">
        <v>7730</v>
      </c>
      <c r="BK38" s="1013">
        <v>2469</v>
      </c>
      <c r="BL38" s="1013" t="s">
        <v>7724</v>
      </c>
      <c r="BM38" s="1013" t="s">
        <v>7724</v>
      </c>
      <c r="BN38" s="1013">
        <v>113</v>
      </c>
      <c r="BO38" s="1013">
        <v>8</v>
      </c>
      <c r="BP38" s="1013">
        <v>2</v>
      </c>
      <c r="BQ38" s="1013">
        <v>1</v>
      </c>
      <c r="BR38" s="1013">
        <v>34</v>
      </c>
      <c r="BS38" s="1013">
        <v>64</v>
      </c>
      <c r="BT38" s="1013">
        <v>54</v>
      </c>
      <c r="BU38" s="1013">
        <v>1</v>
      </c>
      <c r="BV38" s="1013">
        <v>5</v>
      </c>
      <c r="BW38" s="1013">
        <v>1</v>
      </c>
      <c r="BX38" s="1013">
        <v>21</v>
      </c>
      <c r="BY38" s="1013">
        <v>21</v>
      </c>
      <c r="BZ38" s="1013">
        <v>101</v>
      </c>
      <c r="CA38" s="1013">
        <v>208</v>
      </c>
      <c r="CB38" s="1013">
        <v>29.733094999999999</v>
      </c>
      <c r="CC38" s="1013">
        <v>-95.381282999999996</v>
      </c>
      <c r="CD38" s="1013" t="s">
        <v>7724</v>
      </c>
      <c r="CE38" s="1013" t="s">
        <v>7724</v>
      </c>
      <c r="CF38" s="1013" t="s">
        <v>7724</v>
      </c>
      <c r="CG38" s="1013" t="s">
        <v>7724</v>
      </c>
      <c r="CH38" s="1013" t="s">
        <v>7731</v>
      </c>
      <c r="CI38" s="1013">
        <v>1201</v>
      </c>
      <c r="CJ38" s="1013" t="s">
        <v>7724</v>
      </c>
      <c r="CK38" s="1013" t="s">
        <v>7724</v>
      </c>
      <c r="CL38" s="1013" t="s">
        <v>7724</v>
      </c>
      <c r="CM38" s="1013" t="s">
        <v>7724</v>
      </c>
      <c r="CN38" s="1013" t="s">
        <v>7724</v>
      </c>
      <c r="CO38" s="1013" t="s">
        <v>7724</v>
      </c>
      <c r="CP38" s="1013" t="s">
        <v>7724</v>
      </c>
      <c r="CQ38" s="1013" t="s">
        <v>7724</v>
      </c>
      <c r="CR38" s="1013" t="s">
        <v>967</v>
      </c>
      <c r="CS38" s="1013" t="s">
        <v>7724</v>
      </c>
      <c r="CT38" s="1013" t="s">
        <v>7724</v>
      </c>
      <c r="CU38" s="1013" t="s">
        <v>7724</v>
      </c>
      <c r="CV38" s="1013" t="s">
        <v>7724</v>
      </c>
      <c r="CW38" s="1013" t="s">
        <v>7727</v>
      </c>
      <c r="CX38" s="1013" t="s">
        <v>7723</v>
      </c>
      <c r="CY38" s="1013" t="s">
        <v>7723</v>
      </c>
      <c r="CZ38" s="1013">
        <v>5</v>
      </c>
      <c r="DA38" s="1013">
        <v>9</v>
      </c>
      <c r="DB38" s="1013" t="s">
        <v>7727</v>
      </c>
      <c r="DC38" s="1013" t="s">
        <v>7756</v>
      </c>
      <c r="DD38" s="1013" t="s">
        <v>7724</v>
      </c>
      <c r="DE38" s="1013" t="s">
        <v>7724</v>
      </c>
      <c r="DF38" s="1013" t="s">
        <v>7724</v>
      </c>
      <c r="DG38" s="1013" t="s">
        <v>7724</v>
      </c>
      <c r="DH38" s="1013" t="s">
        <v>7724</v>
      </c>
      <c r="DI38" s="1013" t="s">
        <v>7724</v>
      </c>
      <c r="DJ38" s="1013" t="s">
        <v>7724</v>
      </c>
      <c r="DK38" s="1013" t="s">
        <v>7724</v>
      </c>
      <c r="DL38" s="1013" t="s">
        <v>7724</v>
      </c>
      <c r="DM38" s="1013" t="s">
        <v>7724</v>
      </c>
      <c r="DN38" s="1013" t="s">
        <v>7724</v>
      </c>
      <c r="DO38" s="1013" t="s">
        <v>7724</v>
      </c>
      <c r="DP38" s="1013" t="s">
        <v>7724</v>
      </c>
      <c r="DQ38" s="1013" t="s">
        <v>7724</v>
      </c>
      <c r="DR38" s="1013" t="s">
        <v>7724</v>
      </c>
      <c r="DS38" s="1013" t="s">
        <v>7724</v>
      </c>
      <c r="DT38" s="1013" t="s">
        <v>7724</v>
      </c>
      <c r="DU38" s="1013" t="s">
        <v>7724</v>
      </c>
      <c r="DV38" s="1013" t="s">
        <v>7724</v>
      </c>
      <c r="DW38" s="1013" t="s">
        <v>7724</v>
      </c>
      <c r="DX38" s="1013" t="s">
        <v>7724</v>
      </c>
      <c r="DY38" s="1013" t="s">
        <v>7724</v>
      </c>
      <c r="DZ38" s="1013" t="s">
        <v>7724</v>
      </c>
      <c r="EA38" s="1013" t="s">
        <v>7724</v>
      </c>
      <c r="EB38" s="1013" t="s">
        <v>7724</v>
      </c>
      <c r="EC38" s="1013" t="s">
        <v>7724</v>
      </c>
      <c r="ED38" s="1013" t="s">
        <v>7724</v>
      </c>
      <c r="EE38" s="1013" t="s">
        <v>7724</v>
      </c>
      <c r="EF38" s="1013" t="s">
        <v>7724</v>
      </c>
      <c r="EG38" s="1013" t="s">
        <v>7724</v>
      </c>
      <c r="EH38" s="1013" t="s">
        <v>7724</v>
      </c>
      <c r="EI38" s="1013" t="s">
        <v>7724</v>
      </c>
      <c r="EJ38" s="1013" t="s">
        <v>7724</v>
      </c>
      <c r="EK38" s="1013" t="s">
        <v>7724</v>
      </c>
      <c r="EL38" s="1013" t="s">
        <v>7724</v>
      </c>
      <c r="EM38" s="1013" t="s">
        <v>7724</v>
      </c>
      <c r="EN38" s="1013" t="s">
        <v>7724</v>
      </c>
      <c r="EO38" s="1013" t="s">
        <v>7724</v>
      </c>
      <c r="EP38" s="1013" t="s">
        <v>7724</v>
      </c>
      <c r="EQ38" s="1013" t="s">
        <v>7724</v>
      </c>
      <c r="ER38" s="1013" t="s">
        <v>7724</v>
      </c>
      <c r="ES38" s="1013" t="s">
        <v>7724</v>
      </c>
      <c r="ET38" s="1013" t="s">
        <v>7724</v>
      </c>
      <c r="EU38" s="1013" t="s">
        <v>7724</v>
      </c>
      <c r="EV38" s="1013" t="s">
        <v>7724</v>
      </c>
      <c r="EW38" s="1013" t="s">
        <v>7724</v>
      </c>
      <c r="EX38" s="1013" t="s">
        <v>7724</v>
      </c>
      <c r="EY38" s="1013" t="s">
        <v>7724</v>
      </c>
      <c r="EZ38" s="1013" t="s">
        <v>7724</v>
      </c>
      <c r="FA38" s="1013" t="s">
        <v>7724</v>
      </c>
      <c r="FB38" s="1013" t="s">
        <v>7724</v>
      </c>
      <c r="FC38" s="1013" t="s">
        <v>7724</v>
      </c>
      <c r="FD38" s="1013" t="s">
        <v>7724</v>
      </c>
      <c r="FE38" s="1013" t="s">
        <v>7724</v>
      </c>
      <c r="FF38" s="1013" t="s">
        <v>7724</v>
      </c>
      <c r="FG38" s="1013">
        <v>0</v>
      </c>
      <c r="FH38" s="1013">
        <v>0</v>
      </c>
      <c r="FI38" s="1013">
        <v>0</v>
      </c>
      <c r="FJ38" s="1013">
        <v>2</v>
      </c>
      <c r="FK38" s="1013">
        <v>0</v>
      </c>
      <c r="FL38" s="1013">
        <v>0</v>
      </c>
      <c r="FM38" s="1013">
        <v>0</v>
      </c>
      <c r="FN38" s="1013">
        <v>15</v>
      </c>
      <c r="FO38" s="1013">
        <v>29</v>
      </c>
      <c r="FP38" s="1013">
        <v>6</v>
      </c>
      <c r="FQ38" s="1013" t="s">
        <v>7724</v>
      </c>
      <c r="FR38" s="1013" t="s">
        <v>7724</v>
      </c>
      <c r="FS38" s="1013" t="s">
        <v>7724</v>
      </c>
      <c r="FT38" s="1013" t="s">
        <v>7724</v>
      </c>
      <c r="FU38" s="1013" t="s">
        <v>7724</v>
      </c>
      <c r="FV38" s="1013" t="s">
        <v>7724</v>
      </c>
      <c r="FW38" s="1013" t="s">
        <v>7724</v>
      </c>
      <c r="FX38" s="1013" t="s">
        <v>7724</v>
      </c>
      <c r="FY38" s="1013" t="s">
        <v>7724</v>
      </c>
      <c r="FZ38" s="1013" t="s">
        <v>7724</v>
      </c>
      <c r="GA38" s="1013" t="s">
        <v>7724</v>
      </c>
      <c r="GB38" s="1013" t="s">
        <v>7724</v>
      </c>
      <c r="GC38" s="1013">
        <v>2019</v>
      </c>
      <c r="GD38" s="1013" t="s">
        <v>1404</v>
      </c>
      <c r="GE38" s="1013">
        <v>2</v>
      </c>
      <c r="GF38" s="1013" t="s">
        <v>1407</v>
      </c>
      <c r="GG38" s="1013" t="s">
        <v>1407</v>
      </c>
      <c r="GH38" s="1013" t="s">
        <v>8008</v>
      </c>
      <c r="GI38" s="1013" t="s">
        <v>7974</v>
      </c>
      <c r="GJ38" s="1013" t="s">
        <v>7974</v>
      </c>
      <c r="GK38" s="1013" t="s">
        <v>7974</v>
      </c>
      <c r="GL38" s="1013" t="s">
        <v>7974</v>
      </c>
    </row>
    <row r="39" spans="1:194" hidden="1">
      <c r="A39" s="1019">
        <v>88</v>
      </c>
      <c r="B39" s="1019" t="s">
        <v>7722</v>
      </c>
      <c r="C39" s="1019">
        <v>17007816</v>
      </c>
      <c r="D39" s="1019" t="s">
        <v>7723</v>
      </c>
      <c r="E39" s="1022" t="s">
        <v>7723</v>
      </c>
      <c r="F39" s="1019" t="s">
        <v>7723</v>
      </c>
      <c r="G39" s="1019" t="s">
        <v>7723</v>
      </c>
      <c r="H39" s="1019" t="s">
        <v>7723</v>
      </c>
      <c r="I39" s="1019" t="s">
        <v>7723</v>
      </c>
      <c r="J39" s="1019" t="s">
        <v>7723</v>
      </c>
      <c r="K39" s="1019">
        <v>43563</v>
      </c>
      <c r="L39" s="1019">
        <v>0.58611111111111114</v>
      </c>
      <c r="M39" s="1019" t="s">
        <v>7786</v>
      </c>
      <c r="N39" s="1019" t="s">
        <v>7724</v>
      </c>
      <c r="O39" s="1019">
        <v>101</v>
      </c>
      <c r="P39" s="1019">
        <v>208</v>
      </c>
      <c r="Q39" s="1019" t="s">
        <v>7723</v>
      </c>
      <c r="R39" s="1019" t="s">
        <v>7727</v>
      </c>
      <c r="S39" s="1019" t="s">
        <v>7724</v>
      </c>
      <c r="T39" s="1020" t="s">
        <v>7724</v>
      </c>
      <c r="U39" s="1020">
        <v>19</v>
      </c>
      <c r="V39" s="1020" t="s">
        <v>7724</v>
      </c>
      <c r="W39" s="1020" t="s">
        <v>7724</v>
      </c>
      <c r="X39" s="1019">
        <v>1</v>
      </c>
      <c r="Y39" s="1019">
        <v>1200</v>
      </c>
      <c r="Z39" s="1019" t="s">
        <v>7724</v>
      </c>
      <c r="AA39" s="1019" t="s">
        <v>7725</v>
      </c>
      <c r="AB39" s="1013" t="s">
        <v>7726</v>
      </c>
      <c r="AC39" s="1013" t="s">
        <v>7723</v>
      </c>
      <c r="AD39" s="1013" t="s">
        <v>7723</v>
      </c>
      <c r="AE39" s="1013">
        <v>25</v>
      </c>
      <c r="AF39" s="1013" t="s">
        <v>7723</v>
      </c>
      <c r="AG39" s="1013" t="s">
        <v>7723</v>
      </c>
      <c r="AH39" s="1013" t="s">
        <v>7787</v>
      </c>
      <c r="AI39" s="1013" t="s">
        <v>7727</v>
      </c>
      <c r="AJ39" s="1013">
        <v>19</v>
      </c>
      <c r="AK39" s="1013" t="s">
        <v>7724</v>
      </c>
      <c r="AL39" s="1013" t="s">
        <v>7724</v>
      </c>
      <c r="AM39" s="1013">
        <v>1</v>
      </c>
      <c r="AN39" s="1013">
        <v>1300</v>
      </c>
      <c r="AO39" s="1013" t="s">
        <v>7724</v>
      </c>
      <c r="AP39" s="1013" t="s">
        <v>7725</v>
      </c>
      <c r="AQ39" s="1013" t="s">
        <v>7726</v>
      </c>
      <c r="AR39" s="1013" t="s">
        <v>7724</v>
      </c>
      <c r="AS39" s="1013" t="s">
        <v>7724</v>
      </c>
      <c r="AT39" s="1013" t="s">
        <v>7724</v>
      </c>
      <c r="AU39" s="1013" t="s">
        <v>7724</v>
      </c>
      <c r="AV39" s="1013" t="s">
        <v>7724</v>
      </c>
      <c r="AW39" s="1013" t="s">
        <v>7724</v>
      </c>
      <c r="AX39" s="1013">
        <v>11</v>
      </c>
      <c r="AY39" s="1013">
        <v>1</v>
      </c>
      <c r="AZ39" s="1013">
        <v>0</v>
      </c>
      <c r="BA39" s="1013">
        <v>2</v>
      </c>
      <c r="BB39" s="1013">
        <v>1</v>
      </c>
      <c r="BC39" s="1013">
        <v>1</v>
      </c>
      <c r="BD39" s="1013">
        <v>8</v>
      </c>
      <c r="BE39" s="1023">
        <v>0.59375</v>
      </c>
      <c r="BF39" s="1013" t="s">
        <v>7729</v>
      </c>
      <c r="BG39" s="1023">
        <v>0.60902777777777772</v>
      </c>
      <c r="BH39" s="1024">
        <v>43563</v>
      </c>
      <c r="BI39" s="1013" t="s">
        <v>7727</v>
      </c>
      <c r="BJ39" s="1013" t="s">
        <v>7730</v>
      </c>
      <c r="BK39" s="1013">
        <v>2469</v>
      </c>
      <c r="BL39" s="1013" t="s">
        <v>7724</v>
      </c>
      <c r="BM39" s="1013" t="s">
        <v>7724</v>
      </c>
      <c r="BN39" s="1013">
        <v>113</v>
      </c>
      <c r="BO39" s="1013">
        <v>8</v>
      </c>
      <c r="BP39" s="1013">
        <v>2</v>
      </c>
      <c r="BQ39" s="1013">
        <v>1</v>
      </c>
      <c r="BR39" s="1013">
        <v>10</v>
      </c>
      <c r="BS39" s="1013">
        <v>64</v>
      </c>
      <c r="BT39" s="1013">
        <v>54</v>
      </c>
      <c r="BU39" s="1013">
        <v>1</v>
      </c>
      <c r="BV39" s="1013">
        <v>5</v>
      </c>
      <c r="BW39" s="1013">
        <v>1</v>
      </c>
      <c r="BX39" s="1013">
        <v>21</v>
      </c>
      <c r="BY39" s="1013">
        <v>21</v>
      </c>
      <c r="BZ39" s="1013">
        <v>101</v>
      </c>
      <c r="CA39" s="1013">
        <v>208</v>
      </c>
      <c r="CB39" s="1013">
        <v>29.733094999999999</v>
      </c>
      <c r="CC39" s="1013">
        <v>-95.381282999999996</v>
      </c>
      <c r="CD39" s="1013" t="s">
        <v>7724</v>
      </c>
      <c r="CE39" s="1013" t="s">
        <v>7724</v>
      </c>
      <c r="CF39" s="1013" t="s">
        <v>7724</v>
      </c>
      <c r="CG39" s="1013" t="s">
        <v>7724</v>
      </c>
      <c r="CH39" s="1013" t="s">
        <v>7731</v>
      </c>
      <c r="CI39" s="1013">
        <v>1200</v>
      </c>
      <c r="CJ39" s="1013" t="s">
        <v>7724</v>
      </c>
      <c r="CK39" s="1013" t="s">
        <v>7724</v>
      </c>
      <c r="CL39" s="1013" t="s">
        <v>7724</v>
      </c>
      <c r="CM39" s="1013" t="s">
        <v>7724</v>
      </c>
      <c r="CN39" s="1013" t="s">
        <v>7724</v>
      </c>
      <c r="CO39" s="1013" t="s">
        <v>7724</v>
      </c>
      <c r="CP39" s="1013" t="s">
        <v>7724</v>
      </c>
      <c r="CQ39" s="1013" t="s">
        <v>7724</v>
      </c>
      <c r="CR39" s="1013" t="s">
        <v>967</v>
      </c>
      <c r="CS39" s="1013" t="s">
        <v>7724</v>
      </c>
      <c r="CT39" s="1013" t="s">
        <v>7724</v>
      </c>
      <c r="CU39" s="1013" t="s">
        <v>7724</v>
      </c>
      <c r="CV39" s="1013" t="s">
        <v>7724</v>
      </c>
      <c r="CW39" s="1013" t="s">
        <v>7727</v>
      </c>
      <c r="CX39" s="1013" t="s">
        <v>7723</v>
      </c>
      <c r="CY39" s="1013" t="s">
        <v>7723</v>
      </c>
      <c r="CZ39" s="1013">
        <v>3</v>
      </c>
      <c r="DA39" s="1013">
        <v>9</v>
      </c>
      <c r="DB39" s="1013" t="s">
        <v>7727</v>
      </c>
      <c r="DC39" s="1013" t="s">
        <v>7743</v>
      </c>
      <c r="DD39" s="1013" t="s">
        <v>7724</v>
      </c>
      <c r="DE39" s="1013" t="s">
        <v>7724</v>
      </c>
      <c r="DF39" s="1013" t="s">
        <v>7724</v>
      </c>
      <c r="DG39" s="1013" t="s">
        <v>7724</v>
      </c>
      <c r="DH39" s="1013" t="s">
        <v>7724</v>
      </c>
      <c r="DI39" s="1013" t="s">
        <v>7724</v>
      </c>
      <c r="DJ39" s="1013" t="s">
        <v>7724</v>
      </c>
      <c r="DK39" s="1013" t="s">
        <v>7724</v>
      </c>
      <c r="DL39" s="1013" t="s">
        <v>7724</v>
      </c>
      <c r="DM39" s="1013" t="s">
        <v>7724</v>
      </c>
      <c r="DN39" s="1013" t="s">
        <v>7724</v>
      </c>
      <c r="DO39" s="1013" t="s">
        <v>7724</v>
      </c>
      <c r="DP39" s="1013" t="s">
        <v>7724</v>
      </c>
      <c r="DQ39" s="1013" t="s">
        <v>7724</v>
      </c>
      <c r="DR39" s="1013" t="s">
        <v>7724</v>
      </c>
      <c r="DS39" s="1013" t="s">
        <v>7724</v>
      </c>
      <c r="DT39" s="1013" t="s">
        <v>7724</v>
      </c>
      <c r="DU39" s="1013" t="s">
        <v>7724</v>
      </c>
      <c r="DV39" s="1013" t="s">
        <v>7724</v>
      </c>
      <c r="DW39" s="1013" t="s">
        <v>7724</v>
      </c>
      <c r="DX39" s="1013" t="s">
        <v>7724</v>
      </c>
      <c r="DY39" s="1013" t="s">
        <v>7724</v>
      </c>
      <c r="DZ39" s="1013" t="s">
        <v>7724</v>
      </c>
      <c r="EA39" s="1013" t="s">
        <v>7724</v>
      </c>
      <c r="EB39" s="1013" t="s">
        <v>7724</v>
      </c>
      <c r="EC39" s="1013" t="s">
        <v>7724</v>
      </c>
      <c r="ED39" s="1013" t="s">
        <v>7724</v>
      </c>
      <c r="EE39" s="1013" t="s">
        <v>7724</v>
      </c>
      <c r="EF39" s="1013" t="s">
        <v>7724</v>
      </c>
      <c r="EG39" s="1013" t="s">
        <v>7724</v>
      </c>
      <c r="EH39" s="1013" t="s">
        <v>7724</v>
      </c>
      <c r="EI39" s="1013" t="s">
        <v>7724</v>
      </c>
      <c r="EJ39" s="1013" t="s">
        <v>7724</v>
      </c>
      <c r="EK39" s="1013" t="s">
        <v>7724</v>
      </c>
      <c r="EL39" s="1013" t="s">
        <v>7724</v>
      </c>
      <c r="EM39" s="1013" t="s">
        <v>7724</v>
      </c>
      <c r="EN39" s="1013" t="s">
        <v>7724</v>
      </c>
      <c r="EO39" s="1013" t="s">
        <v>7724</v>
      </c>
      <c r="EP39" s="1013" t="s">
        <v>7724</v>
      </c>
      <c r="EQ39" s="1013" t="s">
        <v>7724</v>
      </c>
      <c r="ER39" s="1013" t="s">
        <v>7724</v>
      </c>
      <c r="ES39" s="1013" t="s">
        <v>7724</v>
      </c>
      <c r="ET39" s="1013" t="s">
        <v>7724</v>
      </c>
      <c r="EU39" s="1013" t="s">
        <v>7724</v>
      </c>
      <c r="EV39" s="1013" t="s">
        <v>7724</v>
      </c>
      <c r="EW39" s="1013" t="s">
        <v>7724</v>
      </c>
      <c r="EX39" s="1013" t="s">
        <v>7724</v>
      </c>
      <c r="EY39" s="1013" t="s">
        <v>7724</v>
      </c>
      <c r="EZ39" s="1013" t="s">
        <v>7724</v>
      </c>
      <c r="FA39" s="1013" t="s">
        <v>7724</v>
      </c>
      <c r="FB39" s="1013" t="s">
        <v>7724</v>
      </c>
      <c r="FC39" s="1013" t="s">
        <v>7724</v>
      </c>
      <c r="FD39" s="1013" t="s">
        <v>7724</v>
      </c>
      <c r="FE39" s="1013" t="s">
        <v>7724</v>
      </c>
      <c r="FF39" s="1013" t="s">
        <v>7724</v>
      </c>
      <c r="FG39" s="1013">
        <v>0</v>
      </c>
      <c r="FH39" s="1013">
        <v>0</v>
      </c>
      <c r="FI39" s="1013">
        <v>1</v>
      </c>
      <c r="FJ39" s="1013">
        <v>3</v>
      </c>
      <c r="FK39" s="1013">
        <v>0</v>
      </c>
      <c r="FL39" s="1013">
        <v>1</v>
      </c>
      <c r="FM39" s="1013">
        <v>0</v>
      </c>
      <c r="FN39" s="1013">
        <v>15</v>
      </c>
      <c r="FO39" s="1013">
        <v>29</v>
      </c>
      <c r="FP39" s="1013">
        <v>6</v>
      </c>
      <c r="FQ39" s="1013" t="s">
        <v>7724</v>
      </c>
      <c r="FR39" s="1013" t="s">
        <v>7724</v>
      </c>
      <c r="FS39" s="1013" t="s">
        <v>7724</v>
      </c>
      <c r="FT39" s="1013" t="s">
        <v>7724</v>
      </c>
      <c r="FU39" s="1013" t="s">
        <v>7724</v>
      </c>
      <c r="FV39" s="1013" t="s">
        <v>7724</v>
      </c>
      <c r="FW39" s="1013" t="s">
        <v>7724</v>
      </c>
      <c r="FX39" s="1013" t="s">
        <v>7724</v>
      </c>
      <c r="FY39" s="1013" t="s">
        <v>7724</v>
      </c>
      <c r="FZ39" s="1013" t="s">
        <v>7724</v>
      </c>
      <c r="GA39" s="1013" t="s">
        <v>7724</v>
      </c>
      <c r="GB39" s="1013" t="s">
        <v>7724</v>
      </c>
      <c r="GC39" s="1013">
        <v>2019</v>
      </c>
      <c r="GD39" s="1013" t="s">
        <v>1407</v>
      </c>
      <c r="GE39" s="1013">
        <v>2</v>
      </c>
      <c r="GF39" s="1013" t="s">
        <v>1407</v>
      </c>
      <c r="GG39" s="1013" t="s">
        <v>1407</v>
      </c>
      <c r="GH39" s="1013" t="s">
        <v>7982</v>
      </c>
      <c r="GI39" s="1013" t="s">
        <v>7974</v>
      </c>
      <c r="GJ39" s="1013" t="s">
        <v>7974</v>
      </c>
      <c r="GK39" s="1013" t="s">
        <v>7974</v>
      </c>
      <c r="GL39" s="1013" t="s">
        <v>7974</v>
      </c>
    </row>
    <row r="40" spans="1:194" hidden="1">
      <c r="A40" s="1019">
        <v>111</v>
      </c>
      <c r="B40" s="1019" t="s">
        <v>7722</v>
      </c>
      <c r="C40" s="1019">
        <v>17278370</v>
      </c>
      <c r="D40" s="1019" t="s">
        <v>7723</v>
      </c>
      <c r="E40" s="1022" t="s">
        <v>7723</v>
      </c>
      <c r="F40" s="1019" t="s">
        <v>7723</v>
      </c>
      <c r="G40" s="1019" t="s">
        <v>7723</v>
      </c>
      <c r="H40" s="1019" t="s">
        <v>7723</v>
      </c>
      <c r="I40" s="1019" t="s">
        <v>7723</v>
      </c>
      <c r="J40" s="1019" t="s">
        <v>7723</v>
      </c>
      <c r="K40" s="1019">
        <v>43709</v>
      </c>
      <c r="L40" s="1019">
        <v>0.98750000000000004</v>
      </c>
      <c r="M40" s="1019" t="s">
        <v>7809</v>
      </c>
      <c r="N40" s="1019" t="s">
        <v>7724</v>
      </c>
      <c r="O40" s="1019">
        <v>101</v>
      </c>
      <c r="P40" s="1019">
        <v>208</v>
      </c>
      <c r="Q40" s="1019" t="s">
        <v>7723</v>
      </c>
      <c r="R40" s="1019" t="s">
        <v>7727</v>
      </c>
      <c r="S40" s="1019" t="s">
        <v>7724</v>
      </c>
      <c r="T40" s="1020" t="s">
        <v>7724</v>
      </c>
      <c r="U40" s="1020">
        <v>19</v>
      </c>
      <c r="V40" s="1020" t="s">
        <v>7724</v>
      </c>
      <c r="W40" s="1020" t="s">
        <v>7724</v>
      </c>
      <c r="X40" s="1019">
        <v>1</v>
      </c>
      <c r="Y40" s="1019">
        <v>1400</v>
      </c>
      <c r="Z40" s="1019" t="s">
        <v>7724</v>
      </c>
      <c r="AA40" s="1019" t="s">
        <v>7725</v>
      </c>
      <c r="AB40" s="1013" t="s">
        <v>7724</v>
      </c>
      <c r="AC40" s="1013" t="s">
        <v>7723</v>
      </c>
      <c r="AD40" s="1013" t="s">
        <v>7723</v>
      </c>
      <c r="AE40" s="1013">
        <v>35</v>
      </c>
      <c r="AF40" s="1013" t="s">
        <v>7723</v>
      </c>
      <c r="AG40" s="1013" t="s">
        <v>7723</v>
      </c>
      <c r="AH40" s="1013" t="s">
        <v>7810</v>
      </c>
      <c r="AI40" s="1013" t="s">
        <v>7727</v>
      </c>
      <c r="AJ40" s="1013">
        <v>19</v>
      </c>
      <c r="AK40" s="1013" t="s">
        <v>7724</v>
      </c>
      <c r="AL40" s="1013" t="s">
        <v>7724</v>
      </c>
      <c r="AM40" s="1013">
        <v>1</v>
      </c>
      <c r="AN40" s="1013">
        <v>4300</v>
      </c>
      <c r="AO40" s="1013" t="s">
        <v>7724</v>
      </c>
      <c r="AP40" s="1013" t="s">
        <v>7811</v>
      </c>
      <c r="AQ40" s="1013" t="s">
        <v>7724</v>
      </c>
      <c r="AR40" s="1013" t="s">
        <v>7724</v>
      </c>
      <c r="AS40" s="1013" t="s">
        <v>7724</v>
      </c>
      <c r="AT40" s="1013" t="s">
        <v>7724</v>
      </c>
      <c r="AU40" s="1013" t="s">
        <v>7724</v>
      </c>
      <c r="AV40" s="1013" t="s">
        <v>7724</v>
      </c>
      <c r="AW40" s="1013" t="s">
        <v>7724</v>
      </c>
      <c r="AX40" s="1013">
        <v>11</v>
      </c>
      <c r="AY40" s="1013">
        <v>4</v>
      </c>
      <c r="AZ40" s="1013">
        <v>4</v>
      </c>
      <c r="BA40" s="1013">
        <v>1</v>
      </c>
      <c r="BB40" s="1013">
        <v>1</v>
      </c>
      <c r="BC40" s="1013">
        <v>1</v>
      </c>
      <c r="BD40" s="1013">
        <v>5</v>
      </c>
      <c r="BE40" s="1023">
        <v>0.98750000000000004</v>
      </c>
      <c r="BF40" s="1013" t="s">
        <v>7736</v>
      </c>
      <c r="BG40" s="1023">
        <v>4.1666666666666666E-3</v>
      </c>
      <c r="BH40" s="1024">
        <v>43718</v>
      </c>
      <c r="BI40" s="1013" t="s">
        <v>7727</v>
      </c>
      <c r="BJ40" s="1013" t="s">
        <v>7730</v>
      </c>
      <c r="BK40" s="1013">
        <v>2469</v>
      </c>
      <c r="BL40" s="1013" t="s">
        <v>7724</v>
      </c>
      <c r="BM40" s="1013" t="s">
        <v>7724</v>
      </c>
      <c r="BN40" s="1013">
        <v>113</v>
      </c>
      <c r="BO40" s="1013">
        <v>8</v>
      </c>
      <c r="BP40" s="1013">
        <v>7</v>
      </c>
      <c r="BQ40" s="1013">
        <v>2</v>
      </c>
      <c r="BR40" s="1013">
        <v>1</v>
      </c>
      <c r="BS40" s="1013">
        <v>2</v>
      </c>
      <c r="BT40" s="1013">
        <v>54</v>
      </c>
      <c r="BU40" s="1013">
        <v>1</v>
      </c>
      <c r="BV40" s="1013">
        <v>5</v>
      </c>
      <c r="BW40" s="1013">
        <v>1</v>
      </c>
      <c r="BX40" s="1013">
        <v>21</v>
      </c>
      <c r="BY40" s="1013">
        <v>21</v>
      </c>
      <c r="BZ40" s="1013">
        <v>101</v>
      </c>
      <c r="CA40" s="1013">
        <v>208</v>
      </c>
      <c r="CB40" s="1013">
        <v>29.732054999999999</v>
      </c>
      <c r="CC40" s="1013">
        <v>-95.379503</v>
      </c>
      <c r="CD40" s="1013" t="s">
        <v>7724</v>
      </c>
      <c r="CE40" s="1013" t="s">
        <v>7724</v>
      </c>
      <c r="CF40" s="1013" t="s">
        <v>7724</v>
      </c>
      <c r="CG40" s="1013" t="s">
        <v>7724</v>
      </c>
      <c r="CH40" s="1013" t="s">
        <v>7731</v>
      </c>
      <c r="CI40" s="1013">
        <v>1400</v>
      </c>
      <c r="CJ40" s="1013" t="s">
        <v>7724</v>
      </c>
      <c r="CK40" s="1013" t="s">
        <v>7724</v>
      </c>
      <c r="CL40" s="1013" t="s">
        <v>7724</v>
      </c>
      <c r="CM40" s="1013" t="s">
        <v>7724</v>
      </c>
      <c r="CN40" s="1013" t="s">
        <v>7724</v>
      </c>
      <c r="CO40" s="1013" t="s">
        <v>7724</v>
      </c>
      <c r="CP40" s="1013" t="s">
        <v>7724</v>
      </c>
      <c r="CQ40" s="1013" t="s">
        <v>7724</v>
      </c>
      <c r="CR40" s="1013" t="s">
        <v>967</v>
      </c>
      <c r="CS40" s="1013" t="s">
        <v>7724</v>
      </c>
      <c r="CT40" s="1013" t="s">
        <v>7724</v>
      </c>
      <c r="CU40" s="1013" t="s">
        <v>7724</v>
      </c>
      <c r="CV40" s="1013" t="s">
        <v>7724</v>
      </c>
      <c r="CW40" s="1013" t="s">
        <v>7727</v>
      </c>
      <c r="CX40" s="1013" t="s">
        <v>7723</v>
      </c>
      <c r="CY40" s="1013" t="s">
        <v>7723</v>
      </c>
      <c r="CZ40" s="1013">
        <v>3</v>
      </c>
      <c r="DA40" s="1013">
        <v>9</v>
      </c>
      <c r="DB40" s="1013" t="s">
        <v>7727</v>
      </c>
      <c r="DC40" s="1013" t="s">
        <v>7747</v>
      </c>
      <c r="DD40" s="1013" t="s">
        <v>7724</v>
      </c>
      <c r="DE40" s="1013" t="s">
        <v>7724</v>
      </c>
      <c r="DF40" s="1013" t="s">
        <v>7724</v>
      </c>
      <c r="DG40" s="1013" t="s">
        <v>7724</v>
      </c>
      <c r="DH40" s="1013" t="s">
        <v>7724</v>
      </c>
      <c r="DI40" s="1013" t="s">
        <v>7724</v>
      </c>
      <c r="DJ40" s="1013" t="s">
        <v>7724</v>
      </c>
      <c r="DK40" s="1013" t="s">
        <v>7724</v>
      </c>
      <c r="DL40" s="1013" t="s">
        <v>7724</v>
      </c>
      <c r="DM40" s="1013" t="s">
        <v>7724</v>
      </c>
      <c r="DN40" s="1013" t="s">
        <v>7724</v>
      </c>
      <c r="DO40" s="1013" t="s">
        <v>7724</v>
      </c>
      <c r="DP40" s="1013" t="s">
        <v>7724</v>
      </c>
      <c r="DQ40" s="1013" t="s">
        <v>7724</v>
      </c>
      <c r="DR40" s="1013" t="s">
        <v>7724</v>
      </c>
      <c r="DS40" s="1013" t="s">
        <v>7724</v>
      </c>
      <c r="DT40" s="1013" t="s">
        <v>7724</v>
      </c>
      <c r="DU40" s="1013" t="s">
        <v>7724</v>
      </c>
      <c r="DV40" s="1013" t="s">
        <v>7724</v>
      </c>
      <c r="DW40" s="1013" t="s">
        <v>7724</v>
      </c>
      <c r="DX40" s="1013" t="s">
        <v>7724</v>
      </c>
      <c r="DY40" s="1013" t="s">
        <v>7724</v>
      </c>
      <c r="DZ40" s="1013" t="s">
        <v>7724</v>
      </c>
      <c r="EA40" s="1013" t="s">
        <v>7724</v>
      </c>
      <c r="EB40" s="1013" t="s">
        <v>7724</v>
      </c>
      <c r="EC40" s="1013" t="s">
        <v>7724</v>
      </c>
      <c r="ED40" s="1013" t="s">
        <v>7724</v>
      </c>
      <c r="EE40" s="1013" t="s">
        <v>7724</v>
      </c>
      <c r="EF40" s="1013" t="s">
        <v>7724</v>
      </c>
      <c r="EG40" s="1013" t="s">
        <v>7724</v>
      </c>
      <c r="EH40" s="1013" t="s">
        <v>7724</v>
      </c>
      <c r="EI40" s="1013" t="s">
        <v>7724</v>
      </c>
      <c r="EJ40" s="1013" t="s">
        <v>7724</v>
      </c>
      <c r="EK40" s="1013" t="s">
        <v>7724</v>
      </c>
      <c r="EL40" s="1013" t="s">
        <v>7724</v>
      </c>
      <c r="EM40" s="1013" t="s">
        <v>7724</v>
      </c>
      <c r="EN40" s="1013" t="s">
        <v>7724</v>
      </c>
      <c r="EO40" s="1013" t="s">
        <v>7724</v>
      </c>
      <c r="EP40" s="1013" t="s">
        <v>7724</v>
      </c>
      <c r="EQ40" s="1013" t="s">
        <v>7724</v>
      </c>
      <c r="ER40" s="1013" t="s">
        <v>7724</v>
      </c>
      <c r="ES40" s="1013" t="s">
        <v>7724</v>
      </c>
      <c r="ET40" s="1013" t="s">
        <v>7724</v>
      </c>
      <c r="EU40" s="1013" t="s">
        <v>7724</v>
      </c>
      <c r="EV40" s="1013" t="s">
        <v>7724</v>
      </c>
      <c r="EW40" s="1013" t="s">
        <v>7724</v>
      </c>
      <c r="EX40" s="1013" t="s">
        <v>7724</v>
      </c>
      <c r="EY40" s="1013" t="s">
        <v>7724</v>
      </c>
      <c r="EZ40" s="1013" t="s">
        <v>7724</v>
      </c>
      <c r="FA40" s="1013" t="s">
        <v>7724</v>
      </c>
      <c r="FB40" s="1013" t="s">
        <v>7724</v>
      </c>
      <c r="FC40" s="1013" t="s">
        <v>7724</v>
      </c>
      <c r="FD40" s="1013" t="s">
        <v>7724</v>
      </c>
      <c r="FE40" s="1013" t="s">
        <v>7724</v>
      </c>
      <c r="FF40" s="1013" t="s">
        <v>7724</v>
      </c>
      <c r="FG40" s="1013">
        <v>0</v>
      </c>
      <c r="FH40" s="1013">
        <v>0</v>
      </c>
      <c r="FI40" s="1013">
        <v>1</v>
      </c>
      <c r="FJ40" s="1013">
        <v>0</v>
      </c>
      <c r="FK40" s="1013">
        <v>0</v>
      </c>
      <c r="FL40" s="1013">
        <v>1</v>
      </c>
      <c r="FM40" s="1013">
        <v>0</v>
      </c>
      <c r="FN40" s="1013">
        <v>15</v>
      </c>
      <c r="FO40" s="1013">
        <v>29</v>
      </c>
      <c r="FP40" s="1013">
        <v>9</v>
      </c>
      <c r="FQ40" s="1013" t="s">
        <v>7724</v>
      </c>
      <c r="FR40" s="1013" t="s">
        <v>7724</v>
      </c>
      <c r="FS40" s="1013" t="s">
        <v>7724</v>
      </c>
      <c r="FT40" s="1013" t="s">
        <v>7724</v>
      </c>
      <c r="FU40" s="1013" t="s">
        <v>7724</v>
      </c>
      <c r="FV40" s="1013" t="s">
        <v>7724</v>
      </c>
      <c r="FW40" s="1013" t="s">
        <v>7724</v>
      </c>
      <c r="FX40" s="1013" t="s">
        <v>7724</v>
      </c>
      <c r="FY40" s="1013" t="s">
        <v>7724</v>
      </c>
      <c r="FZ40" s="1013" t="s">
        <v>7724</v>
      </c>
      <c r="GA40" s="1013" t="s">
        <v>7724</v>
      </c>
      <c r="GB40" s="1013" t="s">
        <v>7724</v>
      </c>
      <c r="GC40" s="1013">
        <v>2019</v>
      </c>
      <c r="GD40" s="1013" t="s">
        <v>1407</v>
      </c>
      <c r="GE40" s="1013">
        <v>1</v>
      </c>
      <c r="GF40" s="1013" t="s">
        <v>1407</v>
      </c>
      <c r="GG40" s="1013" t="s">
        <v>1407</v>
      </c>
      <c r="GH40" s="1013" t="s">
        <v>8006</v>
      </c>
      <c r="GI40" s="1013" t="s">
        <v>8006</v>
      </c>
      <c r="GJ40" s="1013" t="s">
        <v>8006</v>
      </c>
      <c r="GK40" s="1013">
        <v>41</v>
      </c>
      <c r="GL40" s="1013" t="s">
        <v>8006</v>
      </c>
    </row>
    <row r="41" spans="1:194" hidden="1">
      <c r="A41" s="1019">
        <v>131</v>
      </c>
      <c r="B41" s="1019" t="s">
        <v>7722</v>
      </c>
      <c r="C41" s="1019">
        <v>19591011</v>
      </c>
      <c r="D41" s="1019" t="s">
        <v>7723</v>
      </c>
      <c r="E41" s="1022" t="s">
        <v>7723</v>
      </c>
      <c r="F41" s="1019" t="s">
        <v>7723</v>
      </c>
      <c r="G41" s="1019" t="s">
        <v>7723</v>
      </c>
      <c r="H41" s="1019" t="s">
        <v>7723</v>
      </c>
      <c r="I41" s="1019" t="s">
        <v>7727</v>
      </c>
      <c r="J41" s="1019" t="s">
        <v>7723</v>
      </c>
      <c r="K41" s="1019">
        <v>45084</v>
      </c>
      <c r="L41" s="1019">
        <v>0.39583333333333331</v>
      </c>
      <c r="M41" s="1019" t="s">
        <v>8009</v>
      </c>
      <c r="N41" s="1019" t="s">
        <v>7724</v>
      </c>
      <c r="O41" s="1019">
        <v>101</v>
      </c>
      <c r="P41" s="1019">
        <v>208</v>
      </c>
      <c r="Q41" s="1019" t="s">
        <v>7723</v>
      </c>
      <c r="R41" s="1019" t="s">
        <v>7727</v>
      </c>
      <c r="S41" s="1019" t="s">
        <v>7724</v>
      </c>
      <c r="T41" s="1020" t="s">
        <v>7724</v>
      </c>
      <c r="U41" s="1020">
        <v>19</v>
      </c>
      <c r="V41" s="1020" t="s">
        <v>7724</v>
      </c>
      <c r="W41" s="1020" t="s">
        <v>7724</v>
      </c>
      <c r="X41" s="1019">
        <v>1</v>
      </c>
      <c r="Y41" s="1019">
        <v>1300</v>
      </c>
      <c r="Z41" s="1019" t="s">
        <v>7724</v>
      </c>
      <c r="AA41" s="1019" t="s">
        <v>7725</v>
      </c>
      <c r="AB41" s="1013" t="s">
        <v>7724</v>
      </c>
      <c r="AC41" s="1013" t="s">
        <v>7723</v>
      </c>
      <c r="AD41" s="1013" t="s">
        <v>7723</v>
      </c>
      <c r="AE41" s="1013">
        <v>35</v>
      </c>
      <c r="AF41" s="1013" t="s">
        <v>7723</v>
      </c>
      <c r="AG41" s="1013" t="s">
        <v>7723</v>
      </c>
      <c r="AH41" s="1013" t="s">
        <v>7767</v>
      </c>
      <c r="AI41" s="1013" t="s">
        <v>7727</v>
      </c>
      <c r="AJ41" s="1013">
        <v>19</v>
      </c>
      <c r="AK41" s="1013" t="s">
        <v>7724</v>
      </c>
      <c r="AL41" s="1013" t="s">
        <v>7724</v>
      </c>
      <c r="AM41" s="1013">
        <v>1</v>
      </c>
      <c r="AN41" s="1013">
        <v>4400</v>
      </c>
      <c r="AO41" s="1013" t="s">
        <v>7724</v>
      </c>
      <c r="AP41" s="1013" t="s">
        <v>7762</v>
      </c>
      <c r="AQ41" s="1013" t="s">
        <v>7726</v>
      </c>
      <c r="AR41" s="1013" t="s">
        <v>7724</v>
      </c>
      <c r="AS41" s="1013" t="s">
        <v>7724</v>
      </c>
      <c r="AT41" s="1013" t="s">
        <v>7724</v>
      </c>
      <c r="AU41" s="1013" t="s">
        <v>7724</v>
      </c>
      <c r="AV41" s="1013" t="s">
        <v>7767</v>
      </c>
      <c r="AW41" s="1013" t="s">
        <v>7724</v>
      </c>
      <c r="AX41" s="1013">
        <v>11</v>
      </c>
      <c r="AY41" s="1013">
        <v>1</v>
      </c>
      <c r="AZ41" s="1013">
        <v>4</v>
      </c>
      <c r="BA41" s="1013">
        <v>1</v>
      </c>
      <c r="BB41" s="1013">
        <v>1</v>
      </c>
      <c r="BC41" s="1013">
        <v>1</v>
      </c>
      <c r="BD41" s="1013">
        <v>20</v>
      </c>
      <c r="BE41" s="1023">
        <v>0.39583333333333331</v>
      </c>
      <c r="BF41" s="1013" t="s">
        <v>7736</v>
      </c>
      <c r="BG41" s="1023">
        <v>0.39583333333333331</v>
      </c>
      <c r="BH41" s="1024">
        <v>45099</v>
      </c>
      <c r="BI41" s="1013" t="s">
        <v>7727</v>
      </c>
      <c r="BJ41" s="1013" t="s">
        <v>7730</v>
      </c>
      <c r="BK41" s="1013">
        <v>2469</v>
      </c>
      <c r="BL41" s="1013" t="s">
        <v>7724</v>
      </c>
      <c r="BM41" s="1013" t="s">
        <v>7724</v>
      </c>
      <c r="BN41" s="1013">
        <v>113</v>
      </c>
      <c r="BO41" s="1013">
        <v>8</v>
      </c>
      <c r="BP41" s="1013">
        <v>2</v>
      </c>
      <c r="BQ41" s="1013">
        <v>1</v>
      </c>
      <c r="BR41" s="1013">
        <v>23</v>
      </c>
      <c r="BS41" s="1013">
        <v>64</v>
      </c>
      <c r="BT41" s="1013">
        <v>54</v>
      </c>
      <c r="BU41" s="1013">
        <v>1</v>
      </c>
      <c r="BV41" s="1013">
        <v>5</v>
      </c>
      <c r="BW41" s="1013">
        <v>1</v>
      </c>
      <c r="BX41" s="1013">
        <v>21</v>
      </c>
      <c r="BY41" s="1013">
        <v>21</v>
      </c>
      <c r="BZ41" s="1013">
        <v>101</v>
      </c>
      <c r="CA41" s="1013">
        <v>208</v>
      </c>
      <c r="CB41" s="1013">
        <v>29.732054999999999</v>
      </c>
      <c r="CC41" s="1013">
        <v>-95.379503</v>
      </c>
      <c r="CD41" s="1013" t="s">
        <v>7724</v>
      </c>
      <c r="CE41" s="1013" t="s">
        <v>7724</v>
      </c>
      <c r="CF41" s="1013" t="s">
        <v>7724</v>
      </c>
      <c r="CG41" s="1013" t="s">
        <v>7724</v>
      </c>
      <c r="CH41" s="1013" t="s">
        <v>7731</v>
      </c>
      <c r="CI41" s="1013">
        <v>1401</v>
      </c>
      <c r="CJ41" s="1013" t="s">
        <v>7724</v>
      </c>
      <c r="CK41" s="1013" t="s">
        <v>7724</v>
      </c>
      <c r="CL41" s="1013" t="s">
        <v>7724</v>
      </c>
      <c r="CM41" s="1013" t="s">
        <v>7724</v>
      </c>
      <c r="CN41" s="1013" t="s">
        <v>7724</v>
      </c>
      <c r="CO41" s="1013" t="s">
        <v>7724</v>
      </c>
      <c r="CP41" s="1013" t="s">
        <v>7724</v>
      </c>
      <c r="CQ41" s="1013" t="s">
        <v>7724</v>
      </c>
      <c r="CR41" s="1013" t="s">
        <v>967</v>
      </c>
      <c r="CS41" s="1013" t="s">
        <v>7724</v>
      </c>
      <c r="CT41" s="1013" t="s">
        <v>7724</v>
      </c>
      <c r="CU41" s="1013" t="s">
        <v>7724</v>
      </c>
      <c r="CV41" s="1013" t="s">
        <v>7724</v>
      </c>
      <c r="CW41" s="1013" t="s">
        <v>7727</v>
      </c>
      <c r="CX41" s="1013" t="s">
        <v>7723</v>
      </c>
      <c r="CY41" s="1013" t="s">
        <v>7723</v>
      </c>
      <c r="CZ41" s="1013">
        <v>5</v>
      </c>
      <c r="DA41" s="1013">
        <v>9</v>
      </c>
      <c r="DB41" s="1013" t="s">
        <v>7727</v>
      </c>
      <c r="DC41" s="1013" t="s">
        <v>7756</v>
      </c>
      <c r="DD41" s="1013" t="s">
        <v>7724</v>
      </c>
      <c r="DE41" s="1013" t="s">
        <v>7724</v>
      </c>
      <c r="DF41" s="1013" t="s">
        <v>7724</v>
      </c>
      <c r="DG41" s="1013" t="s">
        <v>7724</v>
      </c>
      <c r="DH41" s="1013" t="s">
        <v>7724</v>
      </c>
      <c r="DI41" s="1013" t="s">
        <v>7724</v>
      </c>
      <c r="DJ41" s="1013" t="s">
        <v>7724</v>
      </c>
      <c r="DK41" s="1013" t="s">
        <v>7724</v>
      </c>
      <c r="DL41" s="1013" t="s">
        <v>7724</v>
      </c>
      <c r="DM41" s="1013" t="s">
        <v>7724</v>
      </c>
      <c r="DN41" s="1013" t="s">
        <v>7724</v>
      </c>
      <c r="DO41" s="1013" t="s">
        <v>7724</v>
      </c>
      <c r="DP41" s="1013" t="s">
        <v>7724</v>
      </c>
      <c r="DQ41" s="1013" t="s">
        <v>7724</v>
      </c>
      <c r="DR41" s="1013" t="s">
        <v>7724</v>
      </c>
      <c r="DS41" s="1013" t="s">
        <v>7724</v>
      </c>
      <c r="DT41" s="1013" t="s">
        <v>7724</v>
      </c>
      <c r="DU41" s="1013" t="s">
        <v>7724</v>
      </c>
      <c r="DV41" s="1013" t="s">
        <v>7724</v>
      </c>
      <c r="DW41" s="1013" t="s">
        <v>7724</v>
      </c>
      <c r="DX41" s="1013" t="s">
        <v>7724</v>
      </c>
      <c r="DY41" s="1013" t="s">
        <v>7724</v>
      </c>
      <c r="DZ41" s="1013" t="s">
        <v>7724</v>
      </c>
      <c r="EA41" s="1013" t="s">
        <v>7724</v>
      </c>
      <c r="EB41" s="1013" t="s">
        <v>7724</v>
      </c>
      <c r="EC41" s="1013" t="s">
        <v>7724</v>
      </c>
      <c r="ED41" s="1013" t="s">
        <v>7724</v>
      </c>
      <c r="EE41" s="1013" t="s">
        <v>7724</v>
      </c>
      <c r="EF41" s="1013" t="s">
        <v>7724</v>
      </c>
      <c r="EG41" s="1013" t="s">
        <v>7724</v>
      </c>
      <c r="EH41" s="1013" t="s">
        <v>7724</v>
      </c>
      <c r="EI41" s="1013" t="s">
        <v>7724</v>
      </c>
      <c r="EJ41" s="1013" t="s">
        <v>7724</v>
      </c>
      <c r="EK41" s="1013" t="s">
        <v>7724</v>
      </c>
      <c r="EL41" s="1013" t="s">
        <v>7724</v>
      </c>
      <c r="EM41" s="1013" t="s">
        <v>7724</v>
      </c>
      <c r="EN41" s="1013" t="s">
        <v>7724</v>
      </c>
      <c r="EO41" s="1013" t="s">
        <v>7724</v>
      </c>
      <c r="EP41" s="1013" t="s">
        <v>7724</v>
      </c>
      <c r="EQ41" s="1013" t="s">
        <v>7724</v>
      </c>
      <c r="ER41" s="1013" t="s">
        <v>7724</v>
      </c>
      <c r="ES41" s="1013" t="s">
        <v>7724</v>
      </c>
      <c r="ET41" s="1013" t="s">
        <v>7724</v>
      </c>
      <c r="EU41" s="1013" t="s">
        <v>7724</v>
      </c>
      <c r="EV41" s="1013" t="s">
        <v>7724</v>
      </c>
      <c r="EW41" s="1013" t="s">
        <v>7724</v>
      </c>
      <c r="EX41" s="1013" t="s">
        <v>7724</v>
      </c>
      <c r="EY41" s="1013" t="s">
        <v>7724</v>
      </c>
      <c r="EZ41" s="1013" t="s">
        <v>7724</v>
      </c>
      <c r="FA41" s="1013" t="s">
        <v>7724</v>
      </c>
      <c r="FB41" s="1013" t="s">
        <v>7724</v>
      </c>
      <c r="FC41" s="1013" t="s">
        <v>7724</v>
      </c>
      <c r="FD41" s="1013" t="s">
        <v>7724</v>
      </c>
      <c r="FE41" s="1013" t="s">
        <v>7724</v>
      </c>
      <c r="FF41" s="1013" t="s">
        <v>7724</v>
      </c>
      <c r="FG41" s="1013">
        <v>0</v>
      </c>
      <c r="FH41" s="1013">
        <v>0</v>
      </c>
      <c r="FI41" s="1013">
        <v>0</v>
      </c>
      <c r="FJ41" s="1013">
        <v>3</v>
      </c>
      <c r="FK41" s="1013">
        <v>0</v>
      </c>
      <c r="FL41" s="1013">
        <v>0</v>
      </c>
      <c r="FM41" s="1013">
        <v>0</v>
      </c>
      <c r="FN41" s="1013">
        <v>15</v>
      </c>
      <c r="FO41" s="1013">
        <v>29</v>
      </c>
      <c r="FP41" s="1013">
        <v>9</v>
      </c>
      <c r="FQ41" s="1013" t="s">
        <v>7724</v>
      </c>
      <c r="FR41" s="1013" t="s">
        <v>7724</v>
      </c>
      <c r="FS41" s="1013" t="s">
        <v>7724</v>
      </c>
      <c r="FT41" s="1013" t="s">
        <v>7723</v>
      </c>
      <c r="FU41" s="1013" t="s">
        <v>7790</v>
      </c>
      <c r="FV41" s="1013">
        <v>35</v>
      </c>
      <c r="FW41" s="1023">
        <v>0.39583333333333331</v>
      </c>
      <c r="FX41" s="1023">
        <v>0.39583333333333331</v>
      </c>
      <c r="FY41" s="1024">
        <v>45084</v>
      </c>
      <c r="FZ41" s="1024">
        <v>45084</v>
      </c>
      <c r="GA41" s="1024">
        <v>45084</v>
      </c>
      <c r="GB41" s="1024">
        <v>45084</v>
      </c>
      <c r="GC41" s="1013">
        <v>2023</v>
      </c>
      <c r="GD41" s="1013" t="s">
        <v>1404</v>
      </c>
      <c r="GE41" s="1013">
        <v>2</v>
      </c>
      <c r="GF41" s="1013" t="s">
        <v>1407</v>
      </c>
      <c r="GG41" s="1013" t="s">
        <v>1407</v>
      </c>
      <c r="GH41" s="1013" t="s">
        <v>7973</v>
      </c>
      <c r="GI41" s="1013" t="s">
        <v>7974</v>
      </c>
      <c r="GJ41" s="1013" t="s">
        <v>7974</v>
      </c>
      <c r="GK41" s="1013" t="s">
        <v>7974</v>
      </c>
      <c r="GL41" s="1013" t="s">
        <v>7974</v>
      </c>
    </row>
    <row r="42" spans="1:194">
      <c r="A42" s="1019">
        <v>152</v>
      </c>
      <c r="B42" s="1019" t="s">
        <v>7722</v>
      </c>
      <c r="C42" s="1019">
        <v>19866067</v>
      </c>
      <c r="D42" s="1019" t="s">
        <v>7723</v>
      </c>
      <c r="E42" s="1022" t="s">
        <v>7723</v>
      </c>
      <c r="F42" s="1019" t="s">
        <v>7723</v>
      </c>
      <c r="G42" s="1019" t="s">
        <v>7723</v>
      </c>
      <c r="H42" s="1019" t="s">
        <v>7723</v>
      </c>
      <c r="I42" s="1019" t="s">
        <v>7727</v>
      </c>
      <c r="J42" s="1019" t="s">
        <v>7723</v>
      </c>
      <c r="K42" s="1019">
        <v>45243</v>
      </c>
      <c r="L42" s="1019">
        <v>0.79236111111111107</v>
      </c>
      <c r="M42" s="1019" t="s">
        <v>8010</v>
      </c>
      <c r="N42" s="1019" t="s">
        <v>7724</v>
      </c>
      <c r="O42" s="1019">
        <v>101</v>
      </c>
      <c r="P42" s="1019">
        <v>208</v>
      </c>
      <c r="Q42" s="1019" t="s">
        <v>7723</v>
      </c>
      <c r="R42" s="1019" t="s">
        <v>7727</v>
      </c>
      <c r="S42" s="1019" t="s">
        <v>7724</v>
      </c>
      <c r="T42" s="1020" t="s">
        <v>7724</v>
      </c>
      <c r="U42" s="1020">
        <v>19</v>
      </c>
      <c r="V42" s="1020" t="s">
        <v>7724</v>
      </c>
      <c r="W42" s="1020" t="s">
        <v>7724</v>
      </c>
      <c r="X42" s="1019">
        <v>1</v>
      </c>
      <c r="Y42" s="1019">
        <v>4399</v>
      </c>
      <c r="Z42" s="1019" t="s">
        <v>7724</v>
      </c>
      <c r="AA42" s="1019" t="s">
        <v>7728</v>
      </c>
      <c r="AB42" s="1013" t="s">
        <v>7724</v>
      </c>
      <c r="AC42" s="1013" t="s">
        <v>7723</v>
      </c>
      <c r="AD42" s="1013" t="s">
        <v>7723</v>
      </c>
      <c r="AE42" s="1013">
        <v>35</v>
      </c>
      <c r="AF42" s="1013" t="s">
        <v>7723</v>
      </c>
      <c r="AG42" s="1013" t="s">
        <v>7723</v>
      </c>
      <c r="AH42" s="1013" t="s">
        <v>8011</v>
      </c>
      <c r="AI42" s="1013" t="s">
        <v>7727</v>
      </c>
      <c r="AJ42" s="1013">
        <v>18</v>
      </c>
      <c r="AK42" s="1013" t="s">
        <v>7724</v>
      </c>
      <c r="AL42" s="1013" t="s">
        <v>7724</v>
      </c>
      <c r="AM42" s="1013">
        <v>1</v>
      </c>
      <c r="AN42" s="1013">
        <v>1199</v>
      </c>
      <c r="AO42" s="1013" t="s">
        <v>7724</v>
      </c>
      <c r="AP42" s="1013" t="s">
        <v>7725</v>
      </c>
      <c r="AQ42" s="1013" t="s">
        <v>7726</v>
      </c>
      <c r="AR42" s="1013" t="s">
        <v>7724</v>
      </c>
      <c r="AS42" s="1013" t="s">
        <v>7724</v>
      </c>
      <c r="AT42" s="1013" t="s">
        <v>7724</v>
      </c>
      <c r="AU42" s="1013" t="s">
        <v>7724</v>
      </c>
      <c r="AV42" s="1013" t="s">
        <v>8011</v>
      </c>
      <c r="AW42" s="1013" t="s">
        <v>7724</v>
      </c>
      <c r="AX42" s="1013">
        <v>12</v>
      </c>
      <c r="AY42" s="1013">
        <v>4</v>
      </c>
      <c r="AZ42" s="1013">
        <v>4</v>
      </c>
      <c r="BA42" s="1013">
        <v>4</v>
      </c>
      <c r="BB42" s="1013">
        <v>1</v>
      </c>
      <c r="BC42" s="1013">
        <v>2</v>
      </c>
      <c r="BD42" s="1013">
        <v>5</v>
      </c>
      <c r="BE42" s="1023">
        <v>0.79305555555555551</v>
      </c>
      <c r="BF42" s="1013" t="s">
        <v>7736</v>
      </c>
      <c r="BG42" s="1023">
        <v>0.7944444444444444</v>
      </c>
      <c r="BH42" s="1024">
        <v>45244</v>
      </c>
      <c r="BI42" s="1013" t="s">
        <v>7727</v>
      </c>
      <c r="BJ42" s="1013" t="s">
        <v>7730</v>
      </c>
      <c r="BK42" s="1013">
        <v>2469</v>
      </c>
      <c r="BL42" s="1013" t="s">
        <v>7724</v>
      </c>
      <c r="BM42" s="1013" t="s">
        <v>7724</v>
      </c>
      <c r="BN42" s="1013">
        <v>113</v>
      </c>
      <c r="BO42" s="1013">
        <v>8</v>
      </c>
      <c r="BP42" s="1013">
        <v>5</v>
      </c>
      <c r="BQ42" s="1013">
        <v>2</v>
      </c>
      <c r="BR42" s="1013">
        <v>1</v>
      </c>
      <c r="BS42" s="1013">
        <v>64</v>
      </c>
      <c r="BT42" s="1013">
        <v>54</v>
      </c>
      <c r="BU42" s="1013">
        <v>1</v>
      </c>
      <c r="BV42" s="1013">
        <v>3</v>
      </c>
      <c r="BW42" s="1013">
        <v>1</v>
      </c>
      <c r="BX42" s="1013">
        <v>21</v>
      </c>
      <c r="BY42" s="1013">
        <v>21</v>
      </c>
      <c r="BZ42" s="1013">
        <v>101</v>
      </c>
      <c r="CA42" s="1013">
        <v>208</v>
      </c>
      <c r="CB42" s="1013">
        <v>29.733094999999999</v>
      </c>
      <c r="CC42" s="1013">
        <v>-95.381282999999996</v>
      </c>
      <c r="CD42" s="1013" t="s">
        <v>7724</v>
      </c>
      <c r="CE42" s="1013" t="s">
        <v>7724</v>
      </c>
      <c r="CF42" s="1013" t="s">
        <v>7724</v>
      </c>
      <c r="CG42" s="1013" t="s">
        <v>7724</v>
      </c>
      <c r="CH42" s="1013" t="s">
        <v>7732</v>
      </c>
      <c r="CI42" s="1013">
        <v>4399</v>
      </c>
      <c r="CJ42" s="1013" t="s">
        <v>7724</v>
      </c>
      <c r="CK42" s="1013" t="s">
        <v>7724</v>
      </c>
      <c r="CL42" s="1013" t="s">
        <v>7724</v>
      </c>
      <c r="CM42" s="1013" t="s">
        <v>7724</v>
      </c>
      <c r="CN42" s="1013" t="s">
        <v>7724</v>
      </c>
      <c r="CO42" s="1013" t="s">
        <v>7724</v>
      </c>
      <c r="CP42" s="1013" t="s">
        <v>7724</v>
      </c>
      <c r="CQ42" s="1013" t="s">
        <v>7724</v>
      </c>
      <c r="CR42" s="1013" t="s">
        <v>967</v>
      </c>
      <c r="CS42" s="1013" t="s">
        <v>7724</v>
      </c>
      <c r="CT42" s="1013" t="s">
        <v>7724</v>
      </c>
      <c r="CU42" s="1013" t="s">
        <v>7724</v>
      </c>
      <c r="CV42" s="1013" t="s">
        <v>7724</v>
      </c>
      <c r="CW42" s="1013" t="s">
        <v>7727</v>
      </c>
      <c r="CX42" s="1013" t="s">
        <v>7723</v>
      </c>
      <c r="CY42" s="1013" t="s">
        <v>7723</v>
      </c>
      <c r="CZ42" s="1013">
        <v>5</v>
      </c>
      <c r="DA42" s="1013">
        <v>9</v>
      </c>
      <c r="DB42" s="1013" t="s">
        <v>7727</v>
      </c>
      <c r="DC42" s="1013" t="s">
        <v>7743</v>
      </c>
      <c r="DD42" s="1013" t="s">
        <v>7724</v>
      </c>
      <c r="DE42" s="1013" t="s">
        <v>7724</v>
      </c>
      <c r="DF42" s="1013" t="s">
        <v>7724</v>
      </c>
      <c r="DG42" s="1013" t="s">
        <v>7724</v>
      </c>
      <c r="DH42" s="1013" t="s">
        <v>7724</v>
      </c>
      <c r="DI42" s="1013" t="s">
        <v>7724</v>
      </c>
      <c r="DJ42" s="1013" t="s">
        <v>7724</v>
      </c>
      <c r="DK42" s="1013" t="s">
        <v>7724</v>
      </c>
      <c r="DL42" s="1013" t="s">
        <v>7724</v>
      </c>
      <c r="DM42" s="1013" t="s">
        <v>7724</v>
      </c>
      <c r="DN42" s="1013" t="s">
        <v>7724</v>
      </c>
      <c r="DO42" s="1013" t="s">
        <v>7724</v>
      </c>
      <c r="DP42" s="1013" t="s">
        <v>7724</v>
      </c>
      <c r="DQ42" s="1013" t="s">
        <v>7724</v>
      </c>
      <c r="DR42" s="1013" t="s">
        <v>7724</v>
      </c>
      <c r="DS42" s="1013" t="s">
        <v>7724</v>
      </c>
      <c r="DT42" s="1013" t="s">
        <v>7724</v>
      </c>
      <c r="DU42" s="1013" t="s">
        <v>7724</v>
      </c>
      <c r="DV42" s="1013" t="s">
        <v>7724</v>
      </c>
      <c r="DW42" s="1013" t="s">
        <v>7724</v>
      </c>
      <c r="DX42" s="1013" t="s">
        <v>7724</v>
      </c>
      <c r="DY42" s="1013" t="s">
        <v>7724</v>
      </c>
      <c r="DZ42" s="1013" t="s">
        <v>7724</v>
      </c>
      <c r="EA42" s="1013" t="s">
        <v>7724</v>
      </c>
      <c r="EB42" s="1013" t="s">
        <v>7724</v>
      </c>
      <c r="EC42" s="1013" t="s">
        <v>7724</v>
      </c>
      <c r="ED42" s="1013" t="s">
        <v>7724</v>
      </c>
      <c r="EE42" s="1013" t="s">
        <v>7724</v>
      </c>
      <c r="EF42" s="1013" t="s">
        <v>7724</v>
      </c>
      <c r="EG42" s="1013" t="s">
        <v>7724</v>
      </c>
      <c r="EH42" s="1013" t="s">
        <v>7724</v>
      </c>
      <c r="EI42" s="1013" t="s">
        <v>7724</v>
      </c>
      <c r="EJ42" s="1013" t="s">
        <v>7724</v>
      </c>
      <c r="EK42" s="1013" t="s">
        <v>7724</v>
      </c>
      <c r="EL42" s="1013" t="s">
        <v>7724</v>
      </c>
      <c r="EM42" s="1013" t="s">
        <v>7724</v>
      </c>
      <c r="EN42" s="1013" t="s">
        <v>7724</v>
      </c>
      <c r="EO42" s="1013" t="s">
        <v>7724</v>
      </c>
      <c r="EP42" s="1013" t="s">
        <v>7724</v>
      </c>
      <c r="EQ42" s="1013" t="s">
        <v>7724</v>
      </c>
      <c r="ER42" s="1013" t="s">
        <v>7724</v>
      </c>
      <c r="ES42" s="1013" t="s">
        <v>7724</v>
      </c>
      <c r="ET42" s="1013" t="s">
        <v>7724</v>
      </c>
      <c r="EU42" s="1013" t="s">
        <v>7724</v>
      </c>
      <c r="EV42" s="1013" t="s">
        <v>7724</v>
      </c>
      <c r="EW42" s="1013" t="s">
        <v>7724</v>
      </c>
      <c r="EX42" s="1013" t="s">
        <v>7724</v>
      </c>
      <c r="EY42" s="1013" t="s">
        <v>7724</v>
      </c>
      <c r="EZ42" s="1013" t="s">
        <v>7724</v>
      </c>
      <c r="FA42" s="1013" t="s">
        <v>7724</v>
      </c>
      <c r="FB42" s="1013" t="s">
        <v>7724</v>
      </c>
      <c r="FC42" s="1013" t="s">
        <v>7724</v>
      </c>
      <c r="FD42" s="1013" t="s">
        <v>7724</v>
      </c>
      <c r="FE42" s="1013" t="s">
        <v>7724</v>
      </c>
      <c r="FF42" s="1013" t="s">
        <v>7724</v>
      </c>
      <c r="FG42" s="1013">
        <v>0</v>
      </c>
      <c r="FH42" s="1013">
        <v>0</v>
      </c>
      <c r="FI42" s="1013">
        <v>0</v>
      </c>
      <c r="FJ42" s="1013">
        <v>2</v>
      </c>
      <c r="FK42" s="1013">
        <v>0</v>
      </c>
      <c r="FL42" s="1013">
        <v>0</v>
      </c>
      <c r="FM42" s="1013">
        <v>0</v>
      </c>
      <c r="FN42" s="1013">
        <v>15</v>
      </c>
      <c r="FO42" s="1013">
        <v>29</v>
      </c>
      <c r="FP42" s="1013">
        <v>6</v>
      </c>
      <c r="FQ42" s="1013" t="s">
        <v>7724</v>
      </c>
      <c r="FR42" s="1013" t="s">
        <v>7724</v>
      </c>
      <c r="FS42" s="1013" t="s">
        <v>7724</v>
      </c>
      <c r="FT42" s="1013" t="s">
        <v>7723</v>
      </c>
      <c r="FU42" s="1013" t="s">
        <v>7723</v>
      </c>
      <c r="FV42" s="1013">
        <v>35</v>
      </c>
      <c r="FW42" s="1023">
        <v>0.82291666666666663</v>
      </c>
      <c r="FX42" s="1023">
        <v>0.82638888888888884</v>
      </c>
      <c r="FY42" s="1024">
        <v>45243</v>
      </c>
      <c r="FZ42" s="1024">
        <v>45243</v>
      </c>
      <c r="GA42" s="1024">
        <v>45243</v>
      </c>
      <c r="GB42" s="1024">
        <v>45243</v>
      </c>
      <c r="GC42" s="1013">
        <v>2023</v>
      </c>
      <c r="GD42" s="1013" t="s">
        <v>1404</v>
      </c>
      <c r="GE42" s="1013">
        <v>2</v>
      </c>
      <c r="GF42" s="1013" t="s">
        <v>1407</v>
      </c>
      <c r="GG42" s="1013" t="s">
        <v>1404</v>
      </c>
      <c r="GH42" s="1013" t="s">
        <v>7985</v>
      </c>
      <c r="GI42" s="1013" t="s">
        <v>7974</v>
      </c>
      <c r="GJ42" s="1013" t="s">
        <v>7974</v>
      </c>
      <c r="GK42" s="1013" t="s">
        <v>7974</v>
      </c>
      <c r="GL42" s="1013" t="s">
        <v>7974</v>
      </c>
    </row>
    <row r="43" spans="1:194" hidden="1">
      <c r="A43" s="1019">
        <v>175</v>
      </c>
      <c r="B43" s="1019" t="s">
        <v>7722</v>
      </c>
      <c r="C43" s="1019">
        <v>18316138</v>
      </c>
      <c r="D43" s="1019" t="s">
        <v>7723</v>
      </c>
      <c r="E43" s="1022" t="s">
        <v>7723</v>
      </c>
      <c r="F43" s="1019" t="s">
        <v>7723</v>
      </c>
      <c r="G43" s="1019" t="s">
        <v>7723</v>
      </c>
      <c r="H43" s="1019" t="s">
        <v>7723</v>
      </c>
      <c r="I43" s="1019" t="s">
        <v>7723</v>
      </c>
      <c r="J43" s="1019" t="s">
        <v>7723</v>
      </c>
      <c r="K43" s="1019">
        <v>44341</v>
      </c>
      <c r="L43" s="1019">
        <v>0.95902777777777781</v>
      </c>
      <c r="M43" s="1019" t="s">
        <v>7852</v>
      </c>
      <c r="N43" s="1019" t="s">
        <v>7744</v>
      </c>
      <c r="O43" s="1019">
        <v>101</v>
      </c>
      <c r="P43" s="1019">
        <v>208</v>
      </c>
      <c r="Q43" s="1019" t="s">
        <v>7723</v>
      </c>
      <c r="R43" s="1019" t="s">
        <v>7727</v>
      </c>
      <c r="S43" s="1019" t="s">
        <v>7724</v>
      </c>
      <c r="T43" s="1020" t="s">
        <v>7724</v>
      </c>
      <c r="U43" s="1020">
        <v>19</v>
      </c>
      <c r="V43" s="1020" t="s">
        <v>7724</v>
      </c>
      <c r="W43" s="1020" t="s">
        <v>7724</v>
      </c>
      <c r="X43" s="1019">
        <v>1</v>
      </c>
      <c r="Y43" s="1019">
        <v>1200</v>
      </c>
      <c r="Z43" s="1019" t="s">
        <v>7790</v>
      </c>
      <c r="AA43" s="1019" t="s">
        <v>7725</v>
      </c>
      <c r="AB43" s="1013" t="s">
        <v>7726</v>
      </c>
      <c r="AC43" s="1013" t="s">
        <v>7723</v>
      </c>
      <c r="AD43" s="1013" t="s">
        <v>7723</v>
      </c>
      <c r="AE43" s="1013">
        <v>30</v>
      </c>
      <c r="AF43" s="1013" t="s">
        <v>7723</v>
      </c>
      <c r="AG43" s="1013" t="s">
        <v>7723</v>
      </c>
      <c r="AH43" s="1013" t="s">
        <v>7739</v>
      </c>
      <c r="AI43" s="1013" t="s">
        <v>7723</v>
      </c>
      <c r="AJ43" s="1013">
        <v>19</v>
      </c>
      <c r="AK43" s="1013" t="s">
        <v>7724</v>
      </c>
      <c r="AL43" s="1013" t="s">
        <v>7724</v>
      </c>
      <c r="AM43" s="1013">
        <v>1</v>
      </c>
      <c r="AN43" s="1013" t="s">
        <v>7724</v>
      </c>
      <c r="AO43" s="1013" t="s">
        <v>7770</v>
      </c>
      <c r="AP43" s="1013" t="s">
        <v>7745</v>
      </c>
      <c r="AQ43" s="1013" t="s">
        <v>7726</v>
      </c>
      <c r="AR43" s="1013" t="s">
        <v>7724</v>
      </c>
      <c r="AS43" s="1013" t="s">
        <v>7724</v>
      </c>
      <c r="AT43" s="1013" t="s">
        <v>7724</v>
      </c>
      <c r="AU43" s="1013" t="s">
        <v>7724</v>
      </c>
      <c r="AV43" s="1013" t="s">
        <v>7724</v>
      </c>
      <c r="AW43" s="1013" t="s">
        <v>7724</v>
      </c>
      <c r="AX43" s="1013">
        <v>11</v>
      </c>
      <c r="AY43" s="1013">
        <v>3</v>
      </c>
      <c r="AZ43" s="1013">
        <v>0</v>
      </c>
      <c r="BA43" s="1013">
        <v>1</v>
      </c>
      <c r="BB43" s="1013">
        <v>1</v>
      </c>
      <c r="BC43" s="1013">
        <v>1</v>
      </c>
      <c r="BD43" s="1013">
        <v>20</v>
      </c>
      <c r="BE43" s="1023">
        <v>2.7777777777777779E-3</v>
      </c>
      <c r="BF43" s="1013" t="s">
        <v>7736</v>
      </c>
      <c r="BG43" s="1023">
        <v>9.7222222222222224E-3</v>
      </c>
      <c r="BH43" s="1024">
        <v>44364</v>
      </c>
      <c r="BI43" s="1013" t="s">
        <v>7727</v>
      </c>
      <c r="BJ43" s="1013" t="s">
        <v>7730</v>
      </c>
      <c r="BK43" s="1013">
        <v>2469</v>
      </c>
      <c r="BL43" s="1013" t="s">
        <v>7724</v>
      </c>
      <c r="BM43" s="1013" t="s">
        <v>7724</v>
      </c>
      <c r="BN43" s="1013">
        <v>113</v>
      </c>
      <c r="BO43" s="1013">
        <v>8</v>
      </c>
      <c r="BP43" s="1013">
        <v>2</v>
      </c>
      <c r="BQ43" s="1013">
        <v>2</v>
      </c>
      <c r="BR43" s="1013">
        <v>21</v>
      </c>
      <c r="BS43" s="1013">
        <v>64</v>
      </c>
      <c r="BT43" s="1013">
        <v>54</v>
      </c>
      <c r="BU43" s="1013">
        <v>1</v>
      </c>
      <c r="BV43" s="1013">
        <v>5</v>
      </c>
      <c r="BW43" s="1013">
        <v>1</v>
      </c>
      <c r="BX43" s="1013">
        <v>21</v>
      </c>
      <c r="BY43" s="1013">
        <v>21</v>
      </c>
      <c r="BZ43" s="1013">
        <v>101</v>
      </c>
      <c r="CA43" s="1013">
        <v>208</v>
      </c>
      <c r="CB43" s="1013">
        <v>29.733094999999999</v>
      </c>
      <c r="CC43" s="1013">
        <v>-95.381282999999996</v>
      </c>
      <c r="CD43" s="1013" t="s">
        <v>7724</v>
      </c>
      <c r="CE43" s="1013" t="s">
        <v>7724</v>
      </c>
      <c r="CF43" s="1013" t="s">
        <v>7724</v>
      </c>
      <c r="CG43" s="1013" t="s">
        <v>7724</v>
      </c>
      <c r="CH43" s="1013" t="s">
        <v>7731</v>
      </c>
      <c r="CI43" s="1013">
        <v>1200</v>
      </c>
      <c r="CJ43" s="1013" t="s">
        <v>7724</v>
      </c>
      <c r="CK43" s="1013" t="s">
        <v>7724</v>
      </c>
      <c r="CL43" s="1013" t="s">
        <v>7724</v>
      </c>
      <c r="CM43" s="1013" t="s">
        <v>7724</v>
      </c>
      <c r="CN43" s="1013" t="s">
        <v>7724</v>
      </c>
      <c r="CO43" s="1013" t="s">
        <v>7724</v>
      </c>
      <c r="CP43" s="1013" t="s">
        <v>7724</v>
      </c>
      <c r="CQ43" s="1013" t="s">
        <v>7724</v>
      </c>
      <c r="CR43" s="1013" t="s">
        <v>967</v>
      </c>
      <c r="CS43" s="1013" t="s">
        <v>7724</v>
      </c>
      <c r="CT43" s="1013" t="s">
        <v>7724</v>
      </c>
      <c r="CU43" s="1013" t="s">
        <v>7724</v>
      </c>
      <c r="CV43" s="1013" t="s">
        <v>7724</v>
      </c>
      <c r="CW43" s="1013" t="s">
        <v>7727</v>
      </c>
      <c r="CX43" s="1013" t="s">
        <v>7723</v>
      </c>
      <c r="CY43" s="1013" t="s">
        <v>7723</v>
      </c>
      <c r="CZ43" s="1013">
        <v>5</v>
      </c>
      <c r="DA43" s="1013">
        <v>9</v>
      </c>
      <c r="DB43" s="1013" t="s">
        <v>7727</v>
      </c>
      <c r="DC43" s="1013" t="s">
        <v>7737</v>
      </c>
      <c r="DD43" s="1013" t="s">
        <v>7724</v>
      </c>
      <c r="DE43" s="1013" t="s">
        <v>7724</v>
      </c>
      <c r="DF43" s="1013" t="s">
        <v>7724</v>
      </c>
      <c r="DG43" s="1013" t="s">
        <v>7724</v>
      </c>
      <c r="DH43" s="1013" t="s">
        <v>7724</v>
      </c>
      <c r="DI43" s="1013" t="s">
        <v>7724</v>
      </c>
      <c r="DJ43" s="1013" t="s">
        <v>7724</v>
      </c>
      <c r="DK43" s="1013" t="s">
        <v>7724</v>
      </c>
      <c r="DL43" s="1013" t="s">
        <v>7724</v>
      </c>
      <c r="DM43" s="1013" t="s">
        <v>7724</v>
      </c>
      <c r="DN43" s="1013" t="s">
        <v>7724</v>
      </c>
      <c r="DO43" s="1013" t="s">
        <v>7724</v>
      </c>
      <c r="DP43" s="1013" t="s">
        <v>7724</v>
      </c>
      <c r="DQ43" s="1013" t="s">
        <v>7724</v>
      </c>
      <c r="DR43" s="1013" t="s">
        <v>7724</v>
      </c>
      <c r="DS43" s="1013" t="s">
        <v>7724</v>
      </c>
      <c r="DT43" s="1013" t="s">
        <v>7724</v>
      </c>
      <c r="DU43" s="1013" t="s">
        <v>7724</v>
      </c>
      <c r="DV43" s="1013" t="s">
        <v>7724</v>
      </c>
      <c r="DW43" s="1013" t="s">
        <v>7724</v>
      </c>
      <c r="DX43" s="1013" t="s">
        <v>7724</v>
      </c>
      <c r="DY43" s="1013" t="s">
        <v>7724</v>
      </c>
      <c r="DZ43" s="1013" t="s">
        <v>7724</v>
      </c>
      <c r="EA43" s="1013" t="s">
        <v>7724</v>
      </c>
      <c r="EB43" s="1013" t="s">
        <v>7724</v>
      </c>
      <c r="EC43" s="1013" t="s">
        <v>7724</v>
      </c>
      <c r="ED43" s="1013" t="s">
        <v>7724</v>
      </c>
      <c r="EE43" s="1013" t="s">
        <v>7724</v>
      </c>
      <c r="EF43" s="1013" t="s">
        <v>7724</v>
      </c>
      <c r="EG43" s="1013" t="s">
        <v>7724</v>
      </c>
      <c r="EH43" s="1013" t="s">
        <v>7724</v>
      </c>
      <c r="EI43" s="1013" t="s">
        <v>7724</v>
      </c>
      <c r="EJ43" s="1013" t="s">
        <v>7724</v>
      </c>
      <c r="EK43" s="1013" t="s">
        <v>7724</v>
      </c>
      <c r="EL43" s="1013" t="s">
        <v>7724</v>
      </c>
      <c r="EM43" s="1013" t="s">
        <v>7724</v>
      </c>
      <c r="EN43" s="1013" t="s">
        <v>7724</v>
      </c>
      <c r="EO43" s="1013" t="s">
        <v>7724</v>
      </c>
      <c r="EP43" s="1013" t="s">
        <v>7724</v>
      </c>
      <c r="EQ43" s="1013" t="s">
        <v>7724</v>
      </c>
      <c r="ER43" s="1013" t="s">
        <v>7724</v>
      </c>
      <c r="ES43" s="1013" t="s">
        <v>7724</v>
      </c>
      <c r="ET43" s="1013" t="s">
        <v>7724</v>
      </c>
      <c r="EU43" s="1013" t="s">
        <v>7724</v>
      </c>
      <c r="EV43" s="1013" t="s">
        <v>7724</v>
      </c>
      <c r="EW43" s="1013" t="s">
        <v>7724</v>
      </c>
      <c r="EX43" s="1013" t="s">
        <v>7724</v>
      </c>
      <c r="EY43" s="1013" t="s">
        <v>7724</v>
      </c>
      <c r="EZ43" s="1013" t="s">
        <v>7724</v>
      </c>
      <c r="FA43" s="1013" t="s">
        <v>7724</v>
      </c>
      <c r="FB43" s="1013" t="s">
        <v>7724</v>
      </c>
      <c r="FC43" s="1013" t="s">
        <v>7724</v>
      </c>
      <c r="FD43" s="1013" t="s">
        <v>7724</v>
      </c>
      <c r="FE43" s="1013" t="s">
        <v>7724</v>
      </c>
      <c r="FF43" s="1013" t="s">
        <v>7724</v>
      </c>
      <c r="FG43" s="1013">
        <v>0</v>
      </c>
      <c r="FH43" s="1013">
        <v>0</v>
      </c>
      <c r="FI43" s="1013">
        <v>0</v>
      </c>
      <c r="FJ43" s="1013">
        <v>1</v>
      </c>
      <c r="FK43" s="1013">
        <v>1</v>
      </c>
      <c r="FL43" s="1013">
        <v>0</v>
      </c>
      <c r="FM43" s="1013">
        <v>0</v>
      </c>
      <c r="FN43" s="1013">
        <v>15</v>
      </c>
      <c r="FO43" s="1013">
        <v>29</v>
      </c>
      <c r="FP43" s="1013">
        <v>6</v>
      </c>
      <c r="FQ43" s="1013" t="s">
        <v>7724</v>
      </c>
      <c r="FR43" s="1013" t="s">
        <v>7724</v>
      </c>
      <c r="FS43" s="1013" t="s">
        <v>7724</v>
      </c>
      <c r="FT43" s="1013" t="s">
        <v>7724</v>
      </c>
      <c r="FU43" s="1013" t="s">
        <v>7724</v>
      </c>
      <c r="FV43" s="1013" t="s">
        <v>7724</v>
      </c>
      <c r="FW43" s="1013" t="s">
        <v>7724</v>
      </c>
      <c r="FX43" s="1013" t="s">
        <v>7724</v>
      </c>
      <c r="FY43" s="1013" t="s">
        <v>7724</v>
      </c>
      <c r="FZ43" s="1013" t="s">
        <v>7724</v>
      </c>
      <c r="GA43" s="1013" t="s">
        <v>7724</v>
      </c>
      <c r="GB43" s="1013" t="s">
        <v>7724</v>
      </c>
      <c r="GC43" s="1013">
        <v>2021</v>
      </c>
      <c r="GD43" s="1013" t="s">
        <v>1407</v>
      </c>
      <c r="GE43" s="1013">
        <v>2</v>
      </c>
      <c r="GF43" s="1013" t="s">
        <v>1407</v>
      </c>
      <c r="GG43" s="1013" t="s">
        <v>1407</v>
      </c>
      <c r="GH43" s="1013" t="s">
        <v>8012</v>
      </c>
      <c r="GI43" s="1013" t="s">
        <v>7974</v>
      </c>
      <c r="GJ43" s="1013" t="s">
        <v>7974</v>
      </c>
      <c r="GK43" s="1013" t="s">
        <v>7974</v>
      </c>
      <c r="GL43" s="1013" t="s">
        <v>7974</v>
      </c>
    </row>
    <row r="44" spans="1:194" hidden="1">
      <c r="A44" s="1019">
        <v>5</v>
      </c>
      <c r="B44" s="1019" t="s">
        <v>7722</v>
      </c>
      <c r="C44" s="1019">
        <v>18826870</v>
      </c>
      <c r="D44" s="1019" t="s">
        <v>7723</v>
      </c>
      <c r="E44" s="1022" t="s">
        <v>7723</v>
      </c>
      <c r="F44" s="1019" t="s">
        <v>7723</v>
      </c>
      <c r="G44" s="1019" t="s">
        <v>7723</v>
      </c>
      <c r="H44" s="1019" t="s">
        <v>7723</v>
      </c>
      <c r="I44" s="1019" t="s">
        <v>7723</v>
      </c>
      <c r="J44" s="1019" t="s">
        <v>7723</v>
      </c>
      <c r="K44" s="1019">
        <v>44647</v>
      </c>
      <c r="L44" s="1019">
        <v>0.61111111111111116</v>
      </c>
      <c r="M44" s="1019" t="s">
        <v>8013</v>
      </c>
      <c r="N44" s="1019" t="s">
        <v>7724</v>
      </c>
      <c r="O44" s="1019">
        <v>101</v>
      </c>
      <c r="P44" s="1019">
        <v>208</v>
      </c>
      <c r="Q44" s="1019" t="s">
        <v>7723</v>
      </c>
      <c r="R44" s="1019" t="s">
        <v>7727</v>
      </c>
      <c r="S44" s="1019" t="s">
        <v>7724</v>
      </c>
      <c r="T44" s="1020" t="s">
        <v>7724</v>
      </c>
      <c r="U44" s="1020">
        <v>19</v>
      </c>
      <c r="V44" s="1020" t="s">
        <v>7724</v>
      </c>
      <c r="W44" s="1020" t="s">
        <v>7724</v>
      </c>
      <c r="X44" s="1019">
        <v>1</v>
      </c>
      <c r="Y44" s="1019">
        <v>4300</v>
      </c>
      <c r="Z44" s="1019" t="s">
        <v>7724</v>
      </c>
      <c r="AA44" s="1019" t="s">
        <v>8014</v>
      </c>
      <c r="AB44" s="1013" t="s">
        <v>7760</v>
      </c>
      <c r="AC44" s="1013" t="s">
        <v>7723</v>
      </c>
      <c r="AD44" s="1013" t="s">
        <v>7723</v>
      </c>
      <c r="AE44" s="1013">
        <v>35</v>
      </c>
      <c r="AF44" s="1013" t="s">
        <v>7723</v>
      </c>
      <c r="AG44" s="1013" t="s">
        <v>7723</v>
      </c>
      <c r="AH44" s="1013" t="s">
        <v>8015</v>
      </c>
      <c r="AI44" s="1013" t="s">
        <v>7727</v>
      </c>
      <c r="AJ44" s="1013">
        <v>19</v>
      </c>
      <c r="AK44" s="1013" t="s">
        <v>7724</v>
      </c>
      <c r="AL44" s="1013" t="s">
        <v>7724</v>
      </c>
      <c r="AM44" s="1013">
        <v>1</v>
      </c>
      <c r="AN44" s="1013">
        <v>400</v>
      </c>
      <c r="AO44" s="1013" t="s">
        <v>7724</v>
      </c>
      <c r="AP44" s="1013" t="s">
        <v>8003</v>
      </c>
      <c r="AQ44" s="1013" t="s">
        <v>7735</v>
      </c>
      <c r="AR44" s="1013" t="s">
        <v>7724</v>
      </c>
      <c r="AS44" s="1013" t="s">
        <v>7724</v>
      </c>
      <c r="AT44" s="1013" t="s">
        <v>7724</v>
      </c>
      <c r="AU44" s="1013" t="s">
        <v>7724</v>
      </c>
      <c r="AV44" s="1013" t="s">
        <v>7724</v>
      </c>
      <c r="AW44" s="1013" t="s">
        <v>7724</v>
      </c>
      <c r="AX44" s="1013">
        <v>11</v>
      </c>
      <c r="AY44" s="1013">
        <v>1</v>
      </c>
      <c r="AZ44" s="1013">
        <v>4</v>
      </c>
      <c r="BA44" s="1013">
        <v>4</v>
      </c>
      <c r="BB44" s="1013">
        <v>2</v>
      </c>
      <c r="BC44" s="1013">
        <v>1</v>
      </c>
      <c r="BD44" s="1013">
        <v>20</v>
      </c>
      <c r="BE44" s="1023">
        <v>0.70833333333333337</v>
      </c>
      <c r="BF44" s="1013" t="s">
        <v>7761</v>
      </c>
      <c r="BG44" s="1023">
        <v>0.70833333333333337</v>
      </c>
      <c r="BH44" s="1024">
        <v>44647</v>
      </c>
      <c r="BI44" s="1013" t="s">
        <v>7727</v>
      </c>
      <c r="BJ44" s="1013" t="s">
        <v>7730</v>
      </c>
      <c r="BK44" s="1013">
        <v>2469</v>
      </c>
      <c r="BL44" s="1013" t="s">
        <v>7724</v>
      </c>
      <c r="BM44" s="1013" t="s">
        <v>7724</v>
      </c>
      <c r="BN44" s="1013">
        <v>113</v>
      </c>
      <c r="BO44" s="1013">
        <v>8</v>
      </c>
      <c r="BP44" s="1013">
        <v>2</v>
      </c>
      <c r="BQ44" s="1013">
        <v>1</v>
      </c>
      <c r="BR44" s="1013">
        <v>23</v>
      </c>
      <c r="BS44" s="1013">
        <v>64</v>
      </c>
      <c r="BT44" s="1013">
        <v>54</v>
      </c>
      <c r="BU44" s="1013">
        <v>2</v>
      </c>
      <c r="BV44" s="1013">
        <v>1</v>
      </c>
      <c r="BW44" s="1013">
        <v>1</v>
      </c>
      <c r="BX44" s="1013">
        <v>21</v>
      </c>
      <c r="BY44" s="1013">
        <v>21</v>
      </c>
      <c r="BZ44" s="1013">
        <v>101</v>
      </c>
      <c r="CA44" s="1013">
        <v>208</v>
      </c>
      <c r="CB44" s="1013">
        <v>29.732529</v>
      </c>
      <c r="CC44" s="1013">
        <v>-95.380407000000005</v>
      </c>
      <c r="CD44" s="1013" t="s">
        <v>8016</v>
      </c>
      <c r="CE44" s="1013">
        <v>69</v>
      </c>
      <c r="CF44" s="1013" t="s">
        <v>7724</v>
      </c>
      <c r="CG44" s="1013">
        <v>33.588000000000001</v>
      </c>
      <c r="CH44" s="1013" t="s">
        <v>8017</v>
      </c>
      <c r="CI44" s="1013" t="s">
        <v>7724</v>
      </c>
      <c r="CJ44" s="1013">
        <v>27</v>
      </c>
      <c r="CK44" s="1013">
        <v>13</v>
      </c>
      <c r="CL44" s="1013">
        <v>13.885999999999999</v>
      </c>
      <c r="CM44" s="1013">
        <v>128</v>
      </c>
      <c r="CN44" s="1013">
        <v>0.32900000000000001</v>
      </c>
      <c r="CO44" s="1013" t="s">
        <v>8018</v>
      </c>
      <c r="CP44" s="1013">
        <v>288</v>
      </c>
      <c r="CQ44" s="1013" t="s">
        <v>7724</v>
      </c>
      <c r="CR44" s="1013" t="s">
        <v>8019</v>
      </c>
      <c r="CS44" s="1013" t="s">
        <v>7724</v>
      </c>
      <c r="CT44" s="1013" t="s">
        <v>7724</v>
      </c>
      <c r="CU44" s="1013" t="s">
        <v>7724</v>
      </c>
      <c r="CV44" s="1013" t="s">
        <v>7724</v>
      </c>
      <c r="CW44" s="1013" t="s">
        <v>7727</v>
      </c>
      <c r="CX44" s="1013" t="s">
        <v>7727</v>
      </c>
      <c r="CY44" s="1013" t="s">
        <v>7723</v>
      </c>
      <c r="CZ44" s="1013">
        <v>5</v>
      </c>
      <c r="DA44" s="1013">
        <v>9</v>
      </c>
      <c r="DB44" s="1013" t="s">
        <v>7727</v>
      </c>
      <c r="DC44" s="1013" t="s">
        <v>7747</v>
      </c>
      <c r="DD44" s="1013">
        <v>5</v>
      </c>
      <c r="DE44" s="1013" t="s">
        <v>7724</v>
      </c>
      <c r="DF44" s="1013">
        <v>20</v>
      </c>
      <c r="DG44" s="1013">
        <v>20</v>
      </c>
      <c r="DH44" s="1013">
        <v>5</v>
      </c>
      <c r="DI44" s="1013" t="s">
        <v>7724</v>
      </c>
      <c r="DJ44" s="1013">
        <v>8</v>
      </c>
      <c r="DK44" s="1013">
        <v>400</v>
      </c>
      <c r="DL44" s="1013">
        <v>138</v>
      </c>
      <c r="DM44" s="1013">
        <v>98</v>
      </c>
      <c r="DN44" s="1013">
        <v>1</v>
      </c>
      <c r="DO44" s="1013">
        <v>0</v>
      </c>
      <c r="DP44" s="1013">
        <v>0</v>
      </c>
      <c r="DQ44" s="1013">
        <v>1</v>
      </c>
      <c r="DR44" s="1013">
        <v>20</v>
      </c>
      <c r="DS44" s="1013">
        <v>5</v>
      </c>
      <c r="DT44" s="1013">
        <v>1</v>
      </c>
      <c r="DU44" s="1013">
        <v>20</v>
      </c>
      <c r="DV44" s="1013">
        <v>5</v>
      </c>
      <c r="DW44" s="1013">
        <v>7</v>
      </c>
      <c r="DX44" s="1013">
        <v>5</v>
      </c>
      <c r="DY44" s="1013">
        <v>4</v>
      </c>
      <c r="DZ44" s="1013">
        <v>1</v>
      </c>
      <c r="EA44" s="1013">
        <v>185410</v>
      </c>
      <c r="EB44" s="1013">
        <v>2019</v>
      </c>
      <c r="EC44" s="1013">
        <v>185410</v>
      </c>
      <c r="ED44" s="1013">
        <v>2.2999999999999998</v>
      </c>
      <c r="EE44" s="1013">
        <v>2.5</v>
      </c>
      <c r="EF44" s="1013">
        <v>4.8</v>
      </c>
      <c r="EG44" s="1013" t="s">
        <v>7724</v>
      </c>
      <c r="EH44" s="1013" t="s">
        <v>7724</v>
      </c>
      <c r="EI44" s="1013" t="s">
        <v>7724</v>
      </c>
      <c r="EJ44" s="1013" t="s">
        <v>7724</v>
      </c>
      <c r="EK44" s="1013" t="s">
        <v>7724</v>
      </c>
      <c r="EL44" s="1013" t="s">
        <v>7724</v>
      </c>
      <c r="EM44" s="1013" t="s">
        <v>7724</v>
      </c>
      <c r="EN44" s="1013" t="s">
        <v>7724</v>
      </c>
      <c r="EO44" s="1013" t="s">
        <v>7724</v>
      </c>
      <c r="EP44" s="1013" t="s">
        <v>7724</v>
      </c>
      <c r="EQ44" s="1013" t="s">
        <v>7724</v>
      </c>
      <c r="ER44" s="1013" t="s">
        <v>7724</v>
      </c>
      <c r="ES44" s="1013" t="s">
        <v>7724</v>
      </c>
      <c r="ET44" s="1013" t="s">
        <v>7724</v>
      </c>
      <c r="EU44" s="1013" t="s">
        <v>7724</v>
      </c>
      <c r="EV44" s="1013" t="s">
        <v>7724</v>
      </c>
      <c r="EW44" s="1013" t="s">
        <v>7724</v>
      </c>
      <c r="EX44" s="1013" t="s">
        <v>7724</v>
      </c>
      <c r="EY44" s="1013" t="s">
        <v>7724</v>
      </c>
      <c r="EZ44" s="1013" t="s">
        <v>7724</v>
      </c>
      <c r="FA44" s="1013" t="s">
        <v>7724</v>
      </c>
      <c r="FB44" s="1013" t="s">
        <v>7724</v>
      </c>
      <c r="FC44" s="1013" t="s">
        <v>7724</v>
      </c>
      <c r="FD44" s="1013" t="s">
        <v>7724</v>
      </c>
      <c r="FE44" s="1013" t="s">
        <v>7724</v>
      </c>
      <c r="FF44" s="1013" t="s">
        <v>7724</v>
      </c>
      <c r="FG44" s="1013">
        <v>0</v>
      </c>
      <c r="FH44" s="1013">
        <v>0</v>
      </c>
      <c r="FI44" s="1013">
        <v>0</v>
      </c>
      <c r="FJ44" s="1013">
        <v>6</v>
      </c>
      <c r="FK44" s="1013">
        <v>0</v>
      </c>
      <c r="FL44" s="1013">
        <v>0</v>
      </c>
      <c r="FM44" s="1013">
        <v>0</v>
      </c>
      <c r="FN44" s="1013">
        <v>15</v>
      </c>
      <c r="FO44" s="1013">
        <v>29</v>
      </c>
      <c r="FP44" s="1013">
        <v>6</v>
      </c>
      <c r="FQ44" s="1013" t="s">
        <v>7724</v>
      </c>
      <c r="FR44" s="1013" t="s">
        <v>7724</v>
      </c>
      <c r="FS44" s="1013" t="s">
        <v>7724</v>
      </c>
      <c r="FT44" s="1013" t="s">
        <v>7724</v>
      </c>
      <c r="FU44" s="1013" t="s">
        <v>7724</v>
      </c>
      <c r="FV44" s="1013" t="s">
        <v>7724</v>
      </c>
      <c r="FW44" s="1013" t="s">
        <v>7724</v>
      </c>
      <c r="FX44" s="1013" t="s">
        <v>7724</v>
      </c>
      <c r="FY44" s="1013" t="s">
        <v>7724</v>
      </c>
      <c r="FZ44" s="1013" t="s">
        <v>7724</v>
      </c>
      <c r="GA44" s="1013" t="s">
        <v>7724</v>
      </c>
      <c r="GB44" s="1013" t="s">
        <v>7724</v>
      </c>
      <c r="GC44" s="1013">
        <v>2022</v>
      </c>
      <c r="GD44" s="1013" t="s">
        <v>1404</v>
      </c>
      <c r="GE44" s="1013">
        <v>2</v>
      </c>
      <c r="GF44" s="1013" t="s">
        <v>1407</v>
      </c>
      <c r="GG44" s="1013" t="s">
        <v>1407</v>
      </c>
      <c r="GH44" s="1013" t="s">
        <v>8020</v>
      </c>
      <c r="GI44" s="1013" t="s">
        <v>7974</v>
      </c>
      <c r="GJ44" s="1013" t="s">
        <v>7974</v>
      </c>
      <c r="GK44" s="1013" t="s">
        <v>7974</v>
      </c>
      <c r="GL44" s="1013" t="s">
        <v>7974</v>
      </c>
    </row>
    <row r="45" spans="1:194" hidden="1">
      <c r="A45" s="1013">
        <v>12</v>
      </c>
      <c r="B45" s="1013" t="s">
        <v>7722</v>
      </c>
      <c r="C45" s="1013">
        <v>18925680</v>
      </c>
      <c r="D45" s="1013" t="s">
        <v>7723</v>
      </c>
      <c r="E45" s="1013" t="s">
        <v>7723</v>
      </c>
      <c r="F45" s="1013" t="s">
        <v>7723</v>
      </c>
      <c r="G45" s="1013" t="s">
        <v>7723</v>
      </c>
      <c r="H45" s="1013" t="s">
        <v>7723</v>
      </c>
      <c r="I45" s="1013" t="s">
        <v>7723</v>
      </c>
      <c r="J45" s="1013" t="s">
        <v>7723</v>
      </c>
      <c r="K45" s="1024">
        <v>44702</v>
      </c>
      <c r="L45" s="1023">
        <v>0.57222222222222219</v>
      </c>
      <c r="M45" s="1013" t="s">
        <v>8021</v>
      </c>
      <c r="N45" s="1013" t="s">
        <v>8022</v>
      </c>
      <c r="O45" s="1013">
        <v>79</v>
      </c>
      <c r="P45" s="1013">
        <v>9999</v>
      </c>
      <c r="Q45" s="1013" t="s">
        <v>7727</v>
      </c>
      <c r="R45" s="1013" t="s">
        <v>7727</v>
      </c>
      <c r="S45" s="1013" t="s">
        <v>7724</v>
      </c>
      <c r="T45" s="1014" t="s">
        <v>7724</v>
      </c>
      <c r="U45" s="1014">
        <v>2</v>
      </c>
      <c r="V45" s="1014">
        <v>59</v>
      </c>
      <c r="W45" s="1014" t="s">
        <v>7724</v>
      </c>
      <c r="X45" s="1013">
        <v>2</v>
      </c>
      <c r="Y45" s="1013">
        <v>21800</v>
      </c>
      <c r="Z45" s="1013" t="s">
        <v>7724</v>
      </c>
      <c r="AA45" s="1013" t="s">
        <v>950</v>
      </c>
      <c r="AB45" s="1013" t="s">
        <v>7724</v>
      </c>
      <c r="AC45" s="1013" t="s">
        <v>7723</v>
      </c>
      <c r="AD45" s="1013" t="s">
        <v>7723</v>
      </c>
      <c r="AE45" s="1013">
        <v>55</v>
      </c>
      <c r="AF45" s="1013" t="s">
        <v>7727</v>
      </c>
      <c r="AG45" s="1013" t="s">
        <v>7723</v>
      </c>
      <c r="AH45" s="1013" t="s">
        <v>7724</v>
      </c>
      <c r="AI45" s="1013" t="s">
        <v>7723</v>
      </c>
      <c r="AJ45" s="1013">
        <v>19</v>
      </c>
      <c r="AK45" s="1013" t="s">
        <v>7724</v>
      </c>
      <c r="AL45" s="1013" t="s">
        <v>7724</v>
      </c>
      <c r="AM45" s="1013">
        <v>1</v>
      </c>
      <c r="AN45" s="1013" t="s">
        <v>7724</v>
      </c>
      <c r="AO45" s="1013" t="s">
        <v>7724</v>
      </c>
      <c r="AP45" s="1013" t="s">
        <v>8003</v>
      </c>
      <c r="AQ45" s="1013" t="s">
        <v>8004</v>
      </c>
      <c r="AR45" s="1013" t="s">
        <v>7724</v>
      </c>
      <c r="AS45" s="1013" t="s">
        <v>7724</v>
      </c>
      <c r="AT45" s="1013" t="s">
        <v>7724</v>
      </c>
      <c r="AU45" s="1013" t="s">
        <v>7724</v>
      </c>
      <c r="AV45" s="1013" t="s">
        <v>7724</v>
      </c>
      <c r="AW45" s="1013" t="s">
        <v>7724</v>
      </c>
      <c r="AX45" s="1013">
        <v>11</v>
      </c>
      <c r="AY45" s="1013">
        <v>1</v>
      </c>
      <c r="AZ45" s="1013">
        <v>3</v>
      </c>
      <c r="BA45" s="1013">
        <v>3</v>
      </c>
      <c r="BB45" s="1013">
        <v>1</v>
      </c>
      <c r="BC45" s="1013">
        <v>1</v>
      </c>
      <c r="BD45" s="1013">
        <v>9</v>
      </c>
      <c r="BE45" s="1023">
        <v>0.57291666666666663</v>
      </c>
      <c r="BF45" s="1013" t="s">
        <v>7729</v>
      </c>
      <c r="BG45" s="1023">
        <v>0.58402777777777781</v>
      </c>
      <c r="BH45" s="1024">
        <v>44704</v>
      </c>
      <c r="BI45" s="1013" t="s">
        <v>7727</v>
      </c>
      <c r="BJ45" s="1013" t="s">
        <v>8005</v>
      </c>
      <c r="BK45" s="1013">
        <v>1312</v>
      </c>
      <c r="BL45" s="1013" t="s">
        <v>7724</v>
      </c>
      <c r="BM45" s="1013" t="s">
        <v>7724</v>
      </c>
      <c r="BN45" s="1013">
        <v>53</v>
      </c>
      <c r="BO45" s="1013">
        <v>8</v>
      </c>
      <c r="BP45" s="1013">
        <v>2</v>
      </c>
      <c r="BQ45" s="1013">
        <v>2</v>
      </c>
      <c r="BR45" s="1013">
        <v>27</v>
      </c>
      <c r="BS45" s="1013">
        <v>64</v>
      </c>
      <c r="BT45" s="1013">
        <v>49</v>
      </c>
      <c r="BU45" s="1013">
        <v>2</v>
      </c>
      <c r="BV45" s="1013">
        <v>2</v>
      </c>
      <c r="BW45" s="1013">
        <v>1</v>
      </c>
      <c r="BX45" s="1013">
        <v>21</v>
      </c>
      <c r="BY45" s="1013">
        <v>21</v>
      </c>
      <c r="BZ45" s="1013">
        <v>101</v>
      </c>
      <c r="CA45" s="1013">
        <v>208</v>
      </c>
      <c r="CB45" s="1013">
        <v>29.732536</v>
      </c>
      <c r="CC45" s="1013">
        <v>-95.380306000000004</v>
      </c>
      <c r="CD45" s="1013" t="s">
        <v>8016</v>
      </c>
      <c r="CE45" s="1013">
        <v>69</v>
      </c>
      <c r="CF45" s="1013" t="s">
        <v>7724</v>
      </c>
      <c r="CG45" s="1013">
        <v>33.594999999999999</v>
      </c>
      <c r="CH45" s="1013" t="s">
        <v>8017</v>
      </c>
      <c r="CI45" s="1013">
        <v>4392</v>
      </c>
      <c r="CJ45" s="1013">
        <v>27</v>
      </c>
      <c r="CK45" s="1013">
        <v>13</v>
      </c>
      <c r="CL45" s="1013">
        <v>13.891999999999999</v>
      </c>
      <c r="CM45" s="1013">
        <v>128</v>
      </c>
      <c r="CN45" s="1013">
        <v>0.33600000000000002</v>
      </c>
      <c r="CO45" s="1013" t="s">
        <v>8018</v>
      </c>
      <c r="CP45" s="1013">
        <v>288</v>
      </c>
      <c r="CQ45" s="1013" t="s">
        <v>7724</v>
      </c>
      <c r="CR45" s="1013" t="s">
        <v>8019</v>
      </c>
      <c r="CS45" s="1013" t="s">
        <v>7724</v>
      </c>
      <c r="CT45" s="1013" t="s">
        <v>7724</v>
      </c>
      <c r="CU45" s="1013" t="s">
        <v>7724</v>
      </c>
      <c r="CV45" s="1013" t="s">
        <v>7724</v>
      </c>
      <c r="CW45" s="1013" t="s">
        <v>7727</v>
      </c>
      <c r="CX45" s="1013" t="s">
        <v>7727</v>
      </c>
      <c r="CY45" s="1013" t="s">
        <v>7723</v>
      </c>
      <c r="CZ45" s="1013">
        <v>3</v>
      </c>
      <c r="DA45" s="1013">
        <v>9</v>
      </c>
      <c r="DB45" s="1013" t="s">
        <v>7727</v>
      </c>
      <c r="DC45" s="1013" t="s">
        <v>7733</v>
      </c>
      <c r="DD45" s="1013">
        <v>5</v>
      </c>
      <c r="DE45" s="1013" t="s">
        <v>7724</v>
      </c>
      <c r="DF45" s="1013">
        <v>20</v>
      </c>
      <c r="DG45" s="1013">
        <v>20</v>
      </c>
      <c r="DH45" s="1013">
        <v>5</v>
      </c>
      <c r="DI45" s="1013" t="s">
        <v>7724</v>
      </c>
      <c r="DJ45" s="1013">
        <v>8</v>
      </c>
      <c r="DK45" s="1013">
        <v>400</v>
      </c>
      <c r="DL45" s="1013">
        <v>138</v>
      </c>
      <c r="DM45" s="1013">
        <v>98</v>
      </c>
      <c r="DN45" s="1013">
        <v>1</v>
      </c>
      <c r="DO45" s="1013">
        <v>0</v>
      </c>
      <c r="DP45" s="1013">
        <v>0</v>
      </c>
      <c r="DQ45" s="1013">
        <v>1</v>
      </c>
      <c r="DR45" s="1013">
        <v>20</v>
      </c>
      <c r="DS45" s="1013">
        <v>5</v>
      </c>
      <c r="DT45" s="1013">
        <v>1</v>
      </c>
      <c r="DU45" s="1013">
        <v>20</v>
      </c>
      <c r="DV45" s="1013">
        <v>5</v>
      </c>
      <c r="DW45" s="1013">
        <v>7</v>
      </c>
      <c r="DX45" s="1013">
        <v>5</v>
      </c>
      <c r="DY45" s="1013">
        <v>4</v>
      </c>
      <c r="DZ45" s="1013">
        <v>1</v>
      </c>
      <c r="EA45" s="1013">
        <v>185410</v>
      </c>
      <c r="EB45" s="1013">
        <v>2019</v>
      </c>
      <c r="EC45" s="1013">
        <v>185410</v>
      </c>
      <c r="ED45" s="1013">
        <v>2.2999999999999998</v>
      </c>
      <c r="EE45" s="1013">
        <v>2.5</v>
      </c>
      <c r="EF45" s="1013">
        <v>4.8</v>
      </c>
      <c r="EG45" s="1013" t="s">
        <v>7724</v>
      </c>
      <c r="EH45" s="1013" t="s">
        <v>7724</v>
      </c>
      <c r="EI45" s="1013" t="s">
        <v>7724</v>
      </c>
      <c r="EJ45" s="1013" t="s">
        <v>7724</v>
      </c>
      <c r="EK45" s="1013" t="s">
        <v>7724</v>
      </c>
      <c r="EL45" s="1013" t="s">
        <v>7724</v>
      </c>
      <c r="EM45" s="1013" t="s">
        <v>7724</v>
      </c>
      <c r="EN45" s="1013" t="s">
        <v>7724</v>
      </c>
      <c r="EO45" s="1013" t="s">
        <v>7724</v>
      </c>
      <c r="EP45" s="1013" t="s">
        <v>7724</v>
      </c>
      <c r="EQ45" s="1013" t="s">
        <v>7724</v>
      </c>
      <c r="ER45" s="1013" t="s">
        <v>7724</v>
      </c>
      <c r="ES45" s="1013" t="s">
        <v>7724</v>
      </c>
      <c r="ET45" s="1013" t="s">
        <v>7724</v>
      </c>
      <c r="EU45" s="1013" t="s">
        <v>7724</v>
      </c>
      <c r="EV45" s="1013" t="s">
        <v>7724</v>
      </c>
      <c r="EW45" s="1013" t="s">
        <v>7724</v>
      </c>
      <c r="EX45" s="1013" t="s">
        <v>7724</v>
      </c>
      <c r="EY45" s="1013" t="s">
        <v>7724</v>
      </c>
      <c r="EZ45" s="1013" t="s">
        <v>7724</v>
      </c>
      <c r="FA45" s="1013" t="s">
        <v>7724</v>
      </c>
      <c r="FB45" s="1013" t="s">
        <v>7724</v>
      </c>
      <c r="FC45" s="1013" t="s">
        <v>7724</v>
      </c>
      <c r="FD45" s="1013" t="s">
        <v>7724</v>
      </c>
      <c r="FE45" s="1013" t="s">
        <v>7724</v>
      </c>
      <c r="FF45" s="1013" t="s">
        <v>7724</v>
      </c>
      <c r="FG45" s="1013">
        <v>0</v>
      </c>
      <c r="FH45" s="1013">
        <v>0</v>
      </c>
      <c r="FI45" s="1013">
        <v>3</v>
      </c>
      <c r="FJ45" s="1013">
        <v>2</v>
      </c>
      <c r="FK45" s="1013">
        <v>0</v>
      </c>
      <c r="FL45" s="1013">
        <v>3</v>
      </c>
      <c r="FM45" s="1013">
        <v>0</v>
      </c>
      <c r="FN45" s="1013">
        <v>15</v>
      </c>
      <c r="FO45" s="1013">
        <v>35</v>
      </c>
      <c r="FP45" s="1013">
        <v>17</v>
      </c>
      <c r="FQ45" s="1013" t="s">
        <v>7724</v>
      </c>
      <c r="FR45" s="1013" t="s">
        <v>7724</v>
      </c>
      <c r="FS45" s="1013" t="s">
        <v>7724</v>
      </c>
      <c r="FT45" s="1013" t="s">
        <v>7724</v>
      </c>
      <c r="FU45" s="1013" t="s">
        <v>7724</v>
      </c>
      <c r="FV45" s="1013" t="s">
        <v>7724</v>
      </c>
      <c r="FW45" s="1013" t="s">
        <v>7724</v>
      </c>
      <c r="FX45" s="1013" t="s">
        <v>7724</v>
      </c>
      <c r="FY45" s="1013" t="s">
        <v>7724</v>
      </c>
      <c r="FZ45" s="1013" t="s">
        <v>7724</v>
      </c>
      <c r="GA45" s="1013" t="s">
        <v>7724</v>
      </c>
      <c r="GB45" s="1013" t="s">
        <v>7724</v>
      </c>
      <c r="GC45" s="1013">
        <v>2022</v>
      </c>
      <c r="GD45" s="1013" t="s">
        <v>1407</v>
      </c>
      <c r="GE45" s="1013">
        <v>2</v>
      </c>
      <c r="GF45" s="1013" t="s">
        <v>1407</v>
      </c>
      <c r="GG45" s="1013" t="s">
        <v>1407</v>
      </c>
      <c r="GH45" s="1013" t="s">
        <v>8023</v>
      </c>
      <c r="GI45" s="1013" t="s">
        <v>7974</v>
      </c>
      <c r="GJ45" s="1013" t="s">
        <v>7974</v>
      </c>
      <c r="GK45" s="1013" t="s">
        <v>7974</v>
      </c>
      <c r="GL45" s="1013" t="s">
        <v>7974</v>
      </c>
    </row>
    <row r="46" spans="1:194" hidden="1">
      <c r="A46" s="1013">
        <v>32</v>
      </c>
      <c r="B46" s="1013" t="s">
        <v>7722</v>
      </c>
      <c r="C46" s="1013">
        <v>19265285</v>
      </c>
      <c r="D46" s="1013" t="s">
        <v>7723</v>
      </c>
      <c r="E46" s="1013" t="s">
        <v>7723</v>
      </c>
      <c r="F46" s="1013" t="s">
        <v>7723</v>
      </c>
      <c r="G46" s="1013" t="s">
        <v>7723</v>
      </c>
      <c r="H46" s="1013" t="s">
        <v>7723</v>
      </c>
      <c r="I46" s="1013" t="s">
        <v>7723</v>
      </c>
      <c r="J46" s="1013" t="s">
        <v>7723</v>
      </c>
      <c r="K46" s="1024">
        <v>44880</v>
      </c>
      <c r="L46" s="1023">
        <v>0.64861111111111114</v>
      </c>
      <c r="M46" s="1013" t="s">
        <v>8024</v>
      </c>
      <c r="N46" s="1013" t="s">
        <v>7724</v>
      </c>
      <c r="O46" s="1013">
        <v>101</v>
      </c>
      <c r="P46" s="1013">
        <v>208</v>
      </c>
      <c r="Q46" s="1013" t="s">
        <v>7723</v>
      </c>
      <c r="R46" s="1013" t="s">
        <v>7727</v>
      </c>
      <c r="S46" s="1013" t="s">
        <v>7724</v>
      </c>
      <c r="T46" s="1014" t="s">
        <v>7724</v>
      </c>
      <c r="U46" s="1014">
        <v>2</v>
      </c>
      <c r="V46" s="1014">
        <v>59</v>
      </c>
      <c r="W46" s="1014" t="s">
        <v>7724</v>
      </c>
      <c r="X46" s="1013">
        <v>1</v>
      </c>
      <c r="Y46" s="1013">
        <v>6100</v>
      </c>
      <c r="Z46" s="1013" t="s">
        <v>7770</v>
      </c>
      <c r="AA46" s="1013" t="s">
        <v>7771</v>
      </c>
      <c r="AB46" s="1013" t="s">
        <v>7760</v>
      </c>
      <c r="AC46" s="1013" t="s">
        <v>7723</v>
      </c>
      <c r="AD46" s="1013" t="s">
        <v>7723</v>
      </c>
      <c r="AE46" s="1013">
        <v>35</v>
      </c>
      <c r="AF46" s="1013" t="s">
        <v>7723</v>
      </c>
      <c r="AG46" s="1013" t="s">
        <v>7723</v>
      </c>
      <c r="AH46" s="1013" t="s">
        <v>8025</v>
      </c>
      <c r="AI46" s="1013" t="s">
        <v>7723</v>
      </c>
      <c r="AJ46" s="1013">
        <v>19</v>
      </c>
      <c r="AK46" s="1013" t="s">
        <v>7724</v>
      </c>
      <c r="AL46" s="1013" t="s">
        <v>7724</v>
      </c>
      <c r="AM46" s="1013">
        <v>1</v>
      </c>
      <c r="AN46" s="1013">
        <v>6200</v>
      </c>
      <c r="AO46" s="1013" t="s">
        <v>7724</v>
      </c>
      <c r="AP46" s="1013" t="s">
        <v>8003</v>
      </c>
      <c r="AQ46" s="1013" t="s">
        <v>7735</v>
      </c>
      <c r="AR46" s="1013" t="s">
        <v>7724</v>
      </c>
      <c r="AS46" s="1013" t="s">
        <v>7724</v>
      </c>
      <c r="AT46" s="1013" t="s">
        <v>7724</v>
      </c>
      <c r="AU46" s="1013" t="s">
        <v>7724</v>
      </c>
      <c r="AV46" s="1013" t="s">
        <v>7724</v>
      </c>
      <c r="AW46" s="1013" t="s">
        <v>7724</v>
      </c>
      <c r="AX46" s="1013">
        <v>11</v>
      </c>
      <c r="AY46" s="1013">
        <v>1</v>
      </c>
      <c r="AZ46" s="1013">
        <v>0</v>
      </c>
      <c r="BA46" s="1013">
        <v>4</v>
      </c>
      <c r="BB46" s="1013">
        <v>1</v>
      </c>
      <c r="BC46" s="1013">
        <v>1</v>
      </c>
      <c r="BD46" s="1013">
        <v>20</v>
      </c>
      <c r="BE46" s="1023">
        <v>0.64930555555555558</v>
      </c>
      <c r="BF46" s="1013" t="s">
        <v>7736</v>
      </c>
      <c r="BG46" s="1023">
        <v>0.65902777777777777</v>
      </c>
      <c r="BH46" s="1024">
        <v>44900</v>
      </c>
      <c r="BI46" s="1013" t="s">
        <v>7727</v>
      </c>
      <c r="BJ46" s="1013" t="s">
        <v>7730</v>
      </c>
      <c r="BK46" s="1013">
        <v>2469</v>
      </c>
      <c r="BL46" s="1013" t="s">
        <v>7724</v>
      </c>
      <c r="BM46" s="1013" t="s">
        <v>7724</v>
      </c>
      <c r="BN46" s="1013">
        <v>106</v>
      </c>
      <c r="BO46" s="1013">
        <v>8</v>
      </c>
      <c r="BP46" s="1013">
        <v>2</v>
      </c>
      <c r="BQ46" s="1013">
        <v>1</v>
      </c>
      <c r="BR46" s="1013">
        <v>23</v>
      </c>
      <c r="BS46" s="1013">
        <v>1</v>
      </c>
      <c r="BT46" s="1013">
        <v>9</v>
      </c>
      <c r="BU46" s="1013">
        <v>1</v>
      </c>
      <c r="BV46" s="1013">
        <v>2</v>
      </c>
      <c r="BW46" s="1013">
        <v>1</v>
      </c>
      <c r="BX46" s="1013">
        <v>21</v>
      </c>
      <c r="BY46" s="1013">
        <v>21</v>
      </c>
      <c r="BZ46" s="1013">
        <v>101</v>
      </c>
      <c r="CA46" s="1013">
        <v>208</v>
      </c>
      <c r="CB46" s="1013">
        <v>29.732530000000001</v>
      </c>
      <c r="CC46" s="1013">
        <v>-95.380397000000002</v>
      </c>
      <c r="CD46" s="1013" t="s">
        <v>8016</v>
      </c>
      <c r="CE46" s="1013">
        <v>69</v>
      </c>
      <c r="CF46" s="1013" t="s">
        <v>7724</v>
      </c>
      <c r="CG46" s="1013">
        <v>33.588999999999999</v>
      </c>
      <c r="CH46" s="1013" t="s">
        <v>8017</v>
      </c>
      <c r="CI46" s="1013" t="s">
        <v>7724</v>
      </c>
      <c r="CJ46" s="1013">
        <v>27</v>
      </c>
      <c r="CK46" s="1013">
        <v>13</v>
      </c>
      <c r="CL46" s="1013">
        <v>13.887</v>
      </c>
      <c r="CM46" s="1013">
        <v>128</v>
      </c>
      <c r="CN46" s="1013">
        <v>0.33</v>
      </c>
      <c r="CO46" s="1013" t="s">
        <v>8018</v>
      </c>
      <c r="CP46" s="1013">
        <v>288</v>
      </c>
      <c r="CQ46" s="1013" t="s">
        <v>7724</v>
      </c>
      <c r="CR46" s="1013" t="s">
        <v>8019</v>
      </c>
      <c r="CS46" s="1013" t="s">
        <v>7724</v>
      </c>
      <c r="CT46" s="1013" t="s">
        <v>7724</v>
      </c>
      <c r="CU46" s="1013" t="s">
        <v>7724</v>
      </c>
      <c r="CV46" s="1013" t="s">
        <v>7724</v>
      </c>
      <c r="CW46" s="1013" t="s">
        <v>7727</v>
      </c>
      <c r="CX46" s="1013" t="s">
        <v>7727</v>
      </c>
      <c r="CY46" s="1013" t="s">
        <v>7723</v>
      </c>
      <c r="CZ46" s="1013">
        <v>5</v>
      </c>
      <c r="DA46" s="1013">
        <v>9</v>
      </c>
      <c r="DB46" s="1013" t="s">
        <v>7727</v>
      </c>
      <c r="DC46" s="1013" t="s">
        <v>7737</v>
      </c>
      <c r="DD46" s="1013">
        <v>5</v>
      </c>
      <c r="DE46" s="1013" t="s">
        <v>7724</v>
      </c>
      <c r="DF46" s="1013">
        <v>20</v>
      </c>
      <c r="DG46" s="1013">
        <v>20</v>
      </c>
      <c r="DH46" s="1013">
        <v>5</v>
      </c>
      <c r="DI46" s="1013" t="s">
        <v>7724</v>
      </c>
      <c r="DJ46" s="1013">
        <v>8</v>
      </c>
      <c r="DK46" s="1013">
        <v>400</v>
      </c>
      <c r="DL46" s="1013">
        <v>138</v>
      </c>
      <c r="DM46" s="1013">
        <v>98</v>
      </c>
      <c r="DN46" s="1013">
        <v>1</v>
      </c>
      <c r="DO46" s="1013">
        <v>0</v>
      </c>
      <c r="DP46" s="1013">
        <v>0</v>
      </c>
      <c r="DQ46" s="1013">
        <v>1</v>
      </c>
      <c r="DR46" s="1013">
        <v>20</v>
      </c>
      <c r="DS46" s="1013">
        <v>5</v>
      </c>
      <c r="DT46" s="1013">
        <v>1</v>
      </c>
      <c r="DU46" s="1013">
        <v>20</v>
      </c>
      <c r="DV46" s="1013">
        <v>5</v>
      </c>
      <c r="DW46" s="1013">
        <v>7</v>
      </c>
      <c r="DX46" s="1013">
        <v>5</v>
      </c>
      <c r="DY46" s="1013">
        <v>4</v>
      </c>
      <c r="DZ46" s="1013">
        <v>1</v>
      </c>
      <c r="EA46" s="1013">
        <v>185410</v>
      </c>
      <c r="EB46" s="1013">
        <v>2019</v>
      </c>
      <c r="EC46" s="1013">
        <v>185410</v>
      </c>
      <c r="ED46" s="1013">
        <v>2.2999999999999998</v>
      </c>
      <c r="EE46" s="1013">
        <v>2.5</v>
      </c>
      <c r="EF46" s="1013">
        <v>4.8</v>
      </c>
      <c r="EG46" s="1013" t="s">
        <v>7724</v>
      </c>
      <c r="EH46" s="1013" t="s">
        <v>7724</v>
      </c>
      <c r="EI46" s="1013" t="s">
        <v>7724</v>
      </c>
      <c r="EJ46" s="1013" t="s">
        <v>7724</v>
      </c>
      <c r="EK46" s="1013" t="s">
        <v>7724</v>
      </c>
      <c r="EL46" s="1013" t="s">
        <v>7724</v>
      </c>
      <c r="EM46" s="1013" t="s">
        <v>7724</v>
      </c>
      <c r="EN46" s="1013" t="s">
        <v>7724</v>
      </c>
      <c r="EO46" s="1013" t="s">
        <v>7724</v>
      </c>
      <c r="EP46" s="1013" t="s">
        <v>7724</v>
      </c>
      <c r="EQ46" s="1013" t="s">
        <v>7724</v>
      </c>
      <c r="ER46" s="1013" t="s">
        <v>7724</v>
      </c>
      <c r="ES46" s="1013" t="s">
        <v>7724</v>
      </c>
      <c r="ET46" s="1013" t="s">
        <v>7724</v>
      </c>
      <c r="EU46" s="1013" t="s">
        <v>7724</v>
      </c>
      <c r="EV46" s="1013" t="s">
        <v>7724</v>
      </c>
      <c r="EW46" s="1013" t="s">
        <v>7724</v>
      </c>
      <c r="EX46" s="1013" t="s">
        <v>7724</v>
      </c>
      <c r="EY46" s="1013" t="s">
        <v>7724</v>
      </c>
      <c r="EZ46" s="1013" t="s">
        <v>7724</v>
      </c>
      <c r="FA46" s="1013" t="s">
        <v>7724</v>
      </c>
      <c r="FB46" s="1013" t="s">
        <v>7724</v>
      </c>
      <c r="FC46" s="1013" t="s">
        <v>7724</v>
      </c>
      <c r="FD46" s="1013" t="s">
        <v>7724</v>
      </c>
      <c r="FE46" s="1013" t="s">
        <v>7724</v>
      </c>
      <c r="FF46" s="1013" t="s">
        <v>7724</v>
      </c>
      <c r="FG46" s="1013">
        <v>0</v>
      </c>
      <c r="FH46" s="1013">
        <v>0</v>
      </c>
      <c r="FI46" s="1013">
        <v>0</v>
      </c>
      <c r="FJ46" s="1013">
        <v>2</v>
      </c>
      <c r="FK46" s="1013">
        <v>0</v>
      </c>
      <c r="FL46" s="1013">
        <v>0</v>
      </c>
      <c r="FM46" s="1013">
        <v>0</v>
      </c>
      <c r="FN46" s="1013">
        <v>15</v>
      </c>
      <c r="FO46" s="1013">
        <v>54</v>
      </c>
      <c r="FP46" s="1013">
        <v>18</v>
      </c>
      <c r="FQ46" s="1013" t="s">
        <v>7724</v>
      </c>
      <c r="FR46" s="1013" t="s">
        <v>7724</v>
      </c>
      <c r="FS46" s="1013" t="s">
        <v>7724</v>
      </c>
      <c r="FT46" s="1013" t="s">
        <v>7724</v>
      </c>
      <c r="FU46" s="1013" t="s">
        <v>7724</v>
      </c>
      <c r="FV46" s="1013" t="s">
        <v>7724</v>
      </c>
      <c r="FW46" s="1013" t="s">
        <v>7724</v>
      </c>
      <c r="FX46" s="1013" t="s">
        <v>7724</v>
      </c>
      <c r="FY46" s="1013" t="s">
        <v>7724</v>
      </c>
      <c r="FZ46" s="1013" t="s">
        <v>7724</v>
      </c>
      <c r="GA46" s="1013" t="s">
        <v>7724</v>
      </c>
      <c r="GB46" s="1013" t="s">
        <v>7724</v>
      </c>
      <c r="GC46" s="1013">
        <v>2022</v>
      </c>
      <c r="GD46" s="1013" t="s">
        <v>1404</v>
      </c>
      <c r="GE46" s="1013">
        <v>2</v>
      </c>
      <c r="GF46" s="1013" t="s">
        <v>1407</v>
      </c>
      <c r="GG46" s="1013" t="s">
        <v>1407</v>
      </c>
      <c r="GH46" s="1013" t="s">
        <v>7995</v>
      </c>
      <c r="GI46" s="1013" t="s">
        <v>7974</v>
      </c>
      <c r="GJ46" s="1013" t="s">
        <v>7974</v>
      </c>
      <c r="GK46" s="1013" t="s">
        <v>7974</v>
      </c>
      <c r="GL46" s="1013" t="s">
        <v>7974</v>
      </c>
    </row>
    <row r="47" spans="1:194" hidden="1">
      <c r="A47" s="1013">
        <v>71</v>
      </c>
      <c r="B47" s="1013" t="s">
        <v>7722</v>
      </c>
      <c r="C47" s="1013">
        <v>17979359</v>
      </c>
      <c r="D47" s="1013" t="s">
        <v>7723</v>
      </c>
      <c r="E47" s="1013" t="s">
        <v>7723</v>
      </c>
      <c r="F47" s="1013" t="s">
        <v>7723</v>
      </c>
      <c r="G47" s="1013" t="s">
        <v>7723</v>
      </c>
      <c r="H47" s="1013" t="s">
        <v>7723</v>
      </c>
      <c r="I47" s="1013" t="s">
        <v>7723</v>
      </c>
      <c r="J47" s="1013" t="s">
        <v>7723</v>
      </c>
      <c r="K47" s="1024">
        <v>44159</v>
      </c>
      <c r="L47" s="1023">
        <v>0.73958333333333337</v>
      </c>
      <c r="M47" s="1013" t="s">
        <v>8026</v>
      </c>
      <c r="N47" s="1013" t="s">
        <v>8027</v>
      </c>
      <c r="O47" s="1013">
        <v>79</v>
      </c>
      <c r="P47" s="1013">
        <v>9999</v>
      </c>
      <c r="Q47" s="1013" t="s">
        <v>7727</v>
      </c>
      <c r="R47" s="1013" t="s">
        <v>7727</v>
      </c>
      <c r="S47" s="1013" t="s">
        <v>7724</v>
      </c>
      <c r="T47" s="1014" t="s">
        <v>7724</v>
      </c>
      <c r="U47" s="1014">
        <v>2</v>
      </c>
      <c r="V47" s="1014">
        <v>59</v>
      </c>
      <c r="W47" s="1014" t="s">
        <v>7724</v>
      </c>
      <c r="X47" s="1013">
        <v>2</v>
      </c>
      <c r="Y47" s="1013">
        <v>21700</v>
      </c>
      <c r="Z47" s="1013" t="s">
        <v>7724</v>
      </c>
      <c r="AA47" s="1013" t="s">
        <v>950</v>
      </c>
      <c r="AB47" s="1013" t="s">
        <v>7724</v>
      </c>
      <c r="AC47" s="1013" t="s">
        <v>7723</v>
      </c>
      <c r="AD47" s="1013" t="s">
        <v>7723</v>
      </c>
      <c r="AE47" s="1013">
        <v>55</v>
      </c>
      <c r="AF47" s="1013" t="s">
        <v>7723</v>
      </c>
      <c r="AG47" s="1013" t="s">
        <v>7723</v>
      </c>
      <c r="AH47" s="1013" t="s">
        <v>7724</v>
      </c>
      <c r="AI47" s="1013" t="s">
        <v>7723</v>
      </c>
      <c r="AJ47" s="1013">
        <v>19</v>
      </c>
      <c r="AK47" s="1013" t="s">
        <v>7724</v>
      </c>
      <c r="AL47" s="1013" t="s">
        <v>7724</v>
      </c>
      <c r="AM47" s="1013">
        <v>1</v>
      </c>
      <c r="AN47" s="1013" t="s">
        <v>7724</v>
      </c>
      <c r="AO47" s="1013" t="s">
        <v>7724</v>
      </c>
      <c r="AP47" s="1013" t="s">
        <v>8003</v>
      </c>
      <c r="AQ47" s="1013" t="s">
        <v>8004</v>
      </c>
      <c r="AR47" s="1013" t="s">
        <v>7724</v>
      </c>
      <c r="AS47" s="1013" t="s">
        <v>7724</v>
      </c>
      <c r="AT47" s="1013" t="s">
        <v>7724</v>
      </c>
      <c r="AU47" s="1013" t="s">
        <v>7724</v>
      </c>
      <c r="AV47" s="1013" t="s">
        <v>7724</v>
      </c>
      <c r="AW47" s="1013" t="s">
        <v>7724</v>
      </c>
      <c r="AX47" s="1013">
        <v>11</v>
      </c>
      <c r="AY47" s="1013">
        <v>5</v>
      </c>
      <c r="AZ47" s="1013">
        <v>4</v>
      </c>
      <c r="BA47" s="1013">
        <v>4</v>
      </c>
      <c r="BB47" s="1013">
        <v>1</v>
      </c>
      <c r="BC47" s="1013">
        <v>1</v>
      </c>
      <c r="BD47" s="1013">
        <v>5</v>
      </c>
      <c r="BE47" s="1023">
        <v>0.76944444444444449</v>
      </c>
      <c r="BF47" s="1013" t="s">
        <v>7736</v>
      </c>
      <c r="BG47" s="1023">
        <v>0.78680555555555554</v>
      </c>
      <c r="BH47" s="1024">
        <v>44159</v>
      </c>
      <c r="BI47" s="1013" t="s">
        <v>7727</v>
      </c>
      <c r="BJ47" s="1013" t="s">
        <v>8005</v>
      </c>
      <c r="BK47" s="1013">
        <v>1312</v>
      </c>
      <c r="BL47" s="1013" t="s">
        <v>7724</v>
      </c>
      <c r="BM47" s="1013" t="s">
        <v>7724</v>
      </c>
      <c r="BN47" s="1013">
        <v>41</v>
      </c>
      <c r="BO47" s="1013">
        <v>8</v>
      </c>
      <c r="BP47" s="1013">
        <v>2</v>
      </c>
      <c r="BQ47" s="1013">
        <v>2</v>
      </c>
      <c r="BR47" s="1013">
        <v>22</v>
      </c>
      <c r="BS47" s="1013">
        <v>64</v>
      </c>
      <c r="BT47" s="1013">
        <v>38</v>
      </c>
      <c r="BU47" s="1013">
        <v>2</v>
      </c>
      <c r="BV47" s="1013">
        <v>2</v>
      </c>
      <c r="BW47" s="1013">
        <v>1</v>
      </c>
      <c r="BX47" s="1013">
        <v>21</v>
      </c>
      <c r="BY47" s="1013">
        <v>21</v>
      </c>
      <c r="BZ47" s="1013">
        <v>101</v>
      </c>
      <c r="CA47" s="1013">
        <v>208</v>
      </c>
      <c r="CB47" s="1013">
        <v>29.732527000000001</v>
      </c>
      <c r="CC47" s="1013">
        <v>-95.380429000000007</v>
      </c>
      <c r="CD47" s="1013" t="s">
        <v>8016</v>
      </c>
      <c r="CE47" s="1013">
        <v>69</v>
      </c>
      <c r="CF47" s="1013" t="s">
        <v>7724</v>
      </c>
      <c r="CG47" s="1013">
        <v>33.587000000000003</v>
      </c>
      <c r="CH47" s="1013" t="s">
        <v>8017</v>
      </c>
      <c r="CI47" s="1013" t="s">
        <v>7724</v>
      </c>
      <c r="CJ47" s="1013">
        <v>27</v>
      </c>
      <c r="CK47" s="1013">
        <v>13</v>
      </c>
      <c r="CL47" s="1013">
        <v>13.885</v>
      </c>
      <c r="CM47" s="1013">
        <v>128</v>
      </c>
      <c r="CN47" s="1013">
        <v>0.32800000000000001</v>
      </c>
      <c r="CO47" s="1013" t="s">
        <v>8018</v>
      </c>
      <c r="CP47" s="1013">
        <v>288</v>
      </c>
      <c r="CQ47" s="1013" t="s">
        <v>7724</v>
      </c>
      <c r="CR47" s="1013" t="s">
        <v>8019</v>
      </c>
      <c r="CS47" s="1013" t="s">
        <v>7724</v>
      </c>
      <c r="CT47" s="1013" t="s">
        <v>7724</v>
      </c>
      <c r="CU47" s="1013" t="s">
        <v>7724</v>
      </c>
      <c r="CV47" s="1013" t="s">
        <v>7724</v>
      </c>
      <c r="CW47" s="1013" t="s">
        <v>7727</v>
      </c>
      <c r="CX47" s="1013" t="s">
        <v>7727</v>
      </c>
      <c r="CY47" s="1013" t="s">
        <v>7723</v>
      </c>
      <c r="CZ47" s="1013">
        <v>5</v>
      </c>
      <c r="DA47" s="1013">
        <v>9</v>
      </c>
      <c r="DB47" s="1013" t="s">
        <v>7727</v>
      </c>
      <c r="DC47" s="1013" t="s">
        <v>7737</v>
      </c>
      <c r="DD47" s="1013">
        <v>5</v>
      </c>
      <c r="DE47" s="1013" t="s">
        <v>7724</v>
      </c>
      <c r="DF47" s="1013">
        <v>20</v>
      </c>
      <c r="DG47" s="1013">
        <v>20</v>
      </c>
      <c r="DH47" s="1013">
        <v>5</v>
      </c>
      <c r="DI47" s="1013" t="s">
        <v>7724</v>
      </c>
      <c r="DJ47" s="1013">
        <v>8</v>
      </c>
      <c r="DK47" s="1013">
        <v>400</v>
      </c>
      <c r="DL47" s="1013">
        <v>138</v>
      </c>
      <c r="DM47" s="1013">
        <v>98</v>
      </c>
      <c r="DN47" s="1013">
        <v>1</v>
      </c>
      <c r="DO47" s="1013">
        <v>0</v>
      </c>
      <c r="DP47" s="1013">
        <v>0</v>
      </c>
      <c r="DQ47" s="1013">
        <v>1</v>
      </c>
      <c r="DR47" s="1013">
        <v>20</v>
      </c>
      <c r="DS47" s="1013">
        <v>5</v>
      </c>
      <c r="DT47" s="1013">
        <v>1</v>
      </c>
      <c r="DU47" s="1013">
        <v>20</v>
      </c>
      <c r="DV47" s="1013">
        <v>5</v>
      </c>
      <c r="DW47" s="1013">
        <v>7</v>
      </c>
      <c r="DX47" s="1013">
        <v>5</v>
      </c>
      <c r="DY47" s="1013">
        <v>4</v>
      </c>
      <c r="DZ47" s="1013">
        <v>1</v>
      </c>
      <c r="EA47" s="1013">
        <v>185410</v>
      </c>
      <c r="EB47" s="1013">
        <v>2019</v>
      </c>
      <c r="EC47" s="1013">
        <v>185410</v>
      </c>
      <c r="ED47" s="1013">
        <v>2.2999999999999998</v>
      </c>
      <c r="EE47" s="1013">
        <v>2.5</v>
      </c>
      <c r="EF47" s="1013">
        <v>4.8</v>
      </c>
      <c r="EG47" s="1013" t="s">
        <v>7724</v>
      </c>
      <c r="EH47" s="1013" t="s">
        <v>7724</v>
      </c>
      <c r="EI47" s="1013" t="s">
        <v>7724</v>
      </c>
      <c r="EJ47" s="1013" t="s">
        <v>7724</v>
      </c>
      <c r="EK47" s="1013" t="s">
        <v>7724</v>
      </c>
      <c r="EL47" s="1013" t="s">
        <v>7724</v>
      </c>
      <c r="EM47" s="1013" t="s">
        <v>7724</v>
      </c>
      <c r="EN47" s="1013" t="s">
        <v>7724</v>
      </c>
      <c r="EO47" s="1013" t="s">
        <v>7724</v>
      </c>
      <c r="EP47" s="1013" t="s">
        <v>7724</v>
      </c>
      <c r="EQ47" s="1013" t="s">
        <v>7724</v>
      </c>
      <c r="ER47" s="1013" t="s">
        <v>7724</v>
      </c>
      <c r="ES47" s="1013" t="s">
        <v>7724</v>
      </c>
      <c r="ET47" s="1013" t="s">
        <v>7724</v>
      </c>
      <c r="EU47" s="1013" t="s">
        <v>7724</v>
      </c>
      <c r="EV47" s="1013" t="s">
        <v>7724</v>
      </c>
      <c r="EW47" s="1013" t="s">
        <v>7724</v>
      </c>
      <c r="EX47" s="1013" t="s">
        <v>7724</v>
      </c>
      <c r="EY47" s="1013" t="s">
        <v>7724</v>
      </c>
      <c r="EZ47" s="1013" t="s">
        <v>7724</v>
      </c>
      <c r="FA47" s="1013" t="s">
        <v>7724</v>
      </c>
      <c r="FB47" s="1013" t="s">
        <v>7724</v>
      </c>
      <c r="FC47" s="1013" t="s">
        <v>7724</v>
      </c>
      <c r="FD47" s="1013" t="s">
        <v>7724</v>
      </c>
      <c r="FE47" s="1013" t="s">
        <v>7724</v>
      </c>
      <c r="FF47" s="1013" t="s">
        <v>7724</v>
      </c>
      <c r="FG47" s="1013">
        <v>0</v>
      </c>
      <c r="FH47" s="1013">
        <v>0</v>
      </c>
      <c r="FI47" s="1013">
        <v>0</v>
      </c>
      <c r="FJ47" s="1013">
        <v>3</v>
      </c>
      <c r="FK47" s="1013">
        <v>0</v>
      </c>
      <c r="FL47" s="1013">
        <v>0</v>
      </c>
      <c r="FM47" s="1013">
        <v>0</v>
      </c>
      <c r="FN47" s="1013">
        <v>15</v>
      </c>
      <c r="FO47" s="1013">
        <v>33</v>
      </c>
      <c r="FP47" s="1013">
        <v>12</v>
      </c>
      <c r="FQ47" s="1013" t="s">
        <v>7724</v>
      </c>
      <c r="FR47" s="1013" t="s">
        <v>7724</v>
      </c>
      <c r="FS47" s="1013" t="s">
        <v>7724</v>
      </c>
      <c r="FT47" s="1013" t="s">
        <v>7724</v>
      </c>
      <c r="FU47" s="1013" t="s">
        <v>7724</v>
      </c>
      <c r="FV47" s="1013" t="s">
        <v>7724</v>
      </c>
      <c r="FW47" s="1013" t="s">
        <v>7724</v>
      </c>
      <c r="FX47" s="1013" t="s">
        <v>7724</v>
      </c>
      <c r="FY47" s="1013" t="s">
        <v>7724</v>
      </c>
      <c r="FZ47" s="1013" t="s">
        <v>7724</v>
      </c>
      <c r="GA47" s="1013" t="s">
        <v>7724</v>
      </c>
      <c r="GB47" s="1013" t="s">
        <v>7724</v>
      </c>
      <c r="GC47" s="1013">
        <v>2020</v>
      </c>
      <c r="GD47" s="1013" t="s">
        <v>1404</v>
      </c>
      <c r="GE47" s="1013">
        <v>2</v>
      </c>
      <c r="GF47" s="1013" t="s">
        <v>1407</v>
      </c>
      <c r="GG47" s="1013" t="s">
        <v>1407</v>
      </c>
      <c r="GH47" s="1013" t="s">
        <v>8023</v>
      </c>
      <c r="GI47" s="1013" t="s">
        <v>7974</v>
      </c>
      <c r="GJ47" s="1013" t="s">
        <v>7974</v>
      </c>
      <c r="GK47" s="1013" t="s">
        <v>7974</v>
      </c>
      <c r="GL47" s="1013" t="s">
        <v>7974</v>
      </c>
    </row>
    <row r="48" spans="1:194" hidden="1">
      <c r="A48" s="1013">
        <v>72</v>
      </c>
      <c r="B48" s="1013" t="s">
        <v>7722</v>
      </c>
      <c r="C48" s="1013">
        <v>17982866</v>
      </c>
      <c r="D48" s="1013" t="s">
        <v>7723</v>
      </c>
      <c r="E48" s="1013" t="s">
        <v>7723</v>
      </c>
      <c r="F48" s="1013" t="s">
        <v>7723</v>
      </c>
      <c r="G48" s="1013" t="s">
        <v>7723</v>
      </c>
      <c r="H48" s="1013" t="s">
        <v>7723</v>
      </c>
      <c r="I48" s="1013" t="s">
        <v>7723</v>
      </c>
      <c r="J48" s="1013" t="s">
        <v>7723</v>
      </c>
      <c r="K48" s="1024">
        <v>44162</v>
      </c>
      <c r="L48" s="1023">
        <v>0.89375000000000004</v>
      </c>
      <c r="M48" s="1013" t="s">
        <v>8028</v>
      </c>
      <c r="N48" s="1013" t="s">
        <v>7744</v>
      </c>
      <c r="O48" s="1013">
        <v>101</v>
      </c>
      <c r="P48" s="1013">
        <v>208</v>
      </c>
      <c r="Q48" s="1013" t="s">
        <v>7723</v>
      </c>
      <c r="R48" s="1013" t="s">
        <v>7727</v>
      </c>
      <c r="S48" s="1013" t="s">
        <v>7724</v>
      </c>
      <c r="T48" s="1014" t="s">
        <v>7724</v>
      </c>
      <c r="U48" s="1014">
        <v>2</v>
      </c>
      <c r="V48" s="1014">
        <v>59</v>
      </c>
      <c r="W48" s="1014" t="s">
        <v>7724</v>
      </c>
      <c r="X48" s="1013">
        <v>1</v>
      </c>
      <c r="Y48" s="1013">
        <v>200</v>
      </c>
      <c r="Z48" s="1013" t="s">
        <v>7770</v>
      </c>
      <c r="AA48" s="1013" t="s">
        <v>7771</v>
      </c>
      <c r="AB48" s="1013" t="s">
        <v>7760</v>
      </c>
      <c r="AC48" s="1013" t="s">
        <v>7723</v>
      </c>
      <c r="AD48" s="1013" t="s">
        <v>7723</v>
      </c>
      <c r="AE48" s="1013">
        <v>60</v>
      </c>
      <c r="AF48" s="1013" t="s">
        <v>7723</v>
      </c>
      <c r="AG48" s="1013" t="s">
        <v>7723</v>
      </c>
      <c r="AH48" s="1013" t="s">
        <v>7724</v>
      </c>
      <c r="AI48" s="1013" t="s">
        <v>7723</v>
      </c>
      <c r="AJ48" s="1013">
        <v>19</v>
      </c>
      <c r="AK48" s="1013" t="s">
        <v>7724</v>
      </c>
      <c r="AL48" s="1013" t="s">
        <v>7724</v>
      </c>
      <c r="AM48" s="1013">
        <v>1</v>
      </c>
      <c r="AN48" s="1013" t="s">
        <v>7724</v>
      </c>
      <c r="AO48" s="1013" t="s">
        <v>7723</v>
      </c>
      <c r="AP48" s="1013" t="s">
        <v>7840</v>
      </c>
      <c r="AQ48" s="1013" t="s">
        <v>7726</v>
      </c>
      <c r="AR48" s="1013" t="s">
        <v>7724</v>
      </c>
      <c r="AS48" s="1013" t="s">
        <v>7724</v>
      </c>
      <c r="AT48" s="1013" t="s">
        <v>7724</v>
      </c>
      <c r="AU48" s="1013" t="s">
        <v>7724</v>
      </c>
      <c r="AV48" s="1013" t="s">
        <v>7724</v>
      </c>
      <c r="AW48" s="1013" t="s">
        <v>7724</v>
      </c>
      <c r="AX48" s="1013">
        <v>2</v>
      </c>
      <c r="AY48" s="1013">
        <v>4</v>
      </c>
      <c r="AZ48" s="1013">
        <v>4</v>
      </c>
      <c r="BA48" s="1013">
        <v>4</v>
      </c>
      <c r="BB48" s="1013">
        <v>1</v>
      </c>
      <c r="BC48" s="1013">
        <v>2</v>
      </c>
      <c r="BD48" s="1013">
        <v>20</v>
      </c>
      <c r="BE48" s="1023">
        <v>0.89930555555555558</v>
      </c>
      <c r="BF48" s="1013" t="s">
        <v>7736</v>
      </c>
      <c r="BG48" s="1023">
        <v>0.90486111111111112</v>
      </c>
      <c r="BH48" s="1024">
        <v>44162</v>
      </c>
      <c r="BI48" s="1013" t="s">
        <v>7727</v>
      </c>
      <c r="BJ48" s="1013" t="s">
        <v>7730</v>
      </c>
      <c r="BK48" s="1013">
        <v>2469</v>
      </c>
      <c r="BL48" s="1013" t="s">
        <v>7724</v>
      </c>
      <c r="BM48" s="1013" t="s">
        <v>7724</v>
      </c>
      <c r="BN48" s="1013">
        <v>113</v>
      </c>
      <c r="BO48" s="1013">
        <v>8</v>
      </c>
      <c r="BP48" s="1013">
        <v>7</v>
      </c>
      <c r="BQ48" s="1013">
        <v>2</v>
      </c>
      <c r="BR48" s="1013">
        <v>1</v>
      </c>
      <c r="BS48" s="1013">
        <v>45</v>
      </c>
      <c r="BT48" s="1013">
        <v>54</v>
      </c>
      <c r="BU48" s="1013">
        <v>1</v>
      </c>
      <c r="BV48" s="1013">
        <v>2</v>
      </c>
      <c r="BW48" s="1013">
        <v>2</v>
      </c>
      <c r="BX48" s="1013">
        <v>21</v>
      </c>
      <c r="BY48" s="1013">
        <v>21</v>
      </c>
      <c r="BZ48" s="1013">
        <v>101</v>
      </c>
      <c r="CA48" s="1013">
        <v>208</v>
      </c>
      <c r="CB48" s="1013">
        <v>29.732422</v>
      </c>
      <c r="CC48" s="1013">
        <v>-95.381771000000001</v>
      </c>
      <c r="CD48" s="1013" t="s">
        <v>8016</v>
      </c>
      <c r="CE48" s="1013">
        <v>69</v>
      </c>
      <c r="CF48" s="1013" t="s">
        <v>7724</v>
      </c>
      <c r="CG48" s="1013">
        <v>33.506</v>
      </c>
      <c r="CH48" s="1013" t="s">
        <v>8017</v>
      </c>
      <c r="CI48" s="1013" t="s">
        <v>7724</v>
      </c>
      <c r="CJ48" s="1013">
        <v>27</v>
      </c>
      <c r="CK48" s="1013">
        <v>13</v>
      </c>
      <c r="CL48" s="1013">
        <v>13.8</v>
      </c>
      <c r="CM48" s="1013">
        <v>128</v>
      </c>
      <c r="CN48" s="1013">
        <v>0.247</v>
      </c>
      <c r="CO48" s="1013" t="s">
        <v>8018</v>
      </c>
      <c r="CP48" s="1013">
        <v>288</v>
      </c>
      <c r="CQ48" s="1013" t="s">
        <v>7724</v>
      </c>
      <c r="CR48" s="1013" t="s">
        <v>8019</v>
      </c>
      <c r="CS48" s="1013" t="s">
        <v>7724</v>
      </c>
      <c r="CT48" s="1013" t="s">
        <v>7724</v>
      </c>
      <c r="CU48" s="1013" t="s">
        <v>7724</v>
      </c>
      <c r="CV48" s="1013" t="s">
        <v>7724</v>
      </c>
      <c r="CW48" s="1013" t="s">
        <v>7727</v>
      </c>
      <c r="CX48" s="1013" t="s">
        <v>7727</v>
      </c>
      <c r="CY48" s="1013" t="s">
        <v>7723</v>
      </c>
      <c r="CZ48" s="1013">
        <v>0</v>
      </c>
      <c r="DA48" s="1013">
        <v>9</v>
      </c>
      <c r="DB48" s="1013" t="s">
        <v>7727</v>
      </c>
      <c r="DC48" s="1013" t="s">
        <v>7759</v>
      </c>
      <c r="DD48" s="1013">
        <v>5</v>
      </c>
      <c r="DE48" s="1013" t="s">
        <v>7724</v>
      </c>
      <c r="DF48" s="1013">
        <v>20</v>
      </c>
      <c r="DG48" s="1013">
        <v>20</v>
      </c>
      <c r="DH48" s="1013">
        <v>5</v>
      </c>
      <c r="DI48" s="1013" t="s">
        <v>7724</v>
      </c>
      <c r="DJ48" s="1013">
        <v>8</v>
      </c>
      <c r="DK48" s="1013">
        <v>400</v>
      </c>
      <c r="DL48" s="1013">
        <v>138</v>
      </c>
      <c r="DM48" s="1013">
        <v>98</v>
      </c>
      <c r="DN48" s="1013">
        <v>1</v>
      </c>
      <c r="DO48" s="1013">
        <v>0</v>
      </c>
      <c r="DP48" s="1013">
        <v>0</v>
      </c>
      <c r="DQ48" s="1013">
        <v>1</v>
      </c>
      <c r="DR48" s="1013">
        <v>20</v>
      </c>
      <c r="DS48" s="1013">
        <v>5</v>
      </c>
      <c r="DT48" s="1013">
        <v>1</v>
      </c>
      <c r="DU48" s="1013">
        <v>20</v>
      </c>
      <c r="DV48" s="1013">
        <v>5</v>
      </c>
      <c r="DW48" s="1013">
        <v>7</v>
      </c>
      <c r="DX48" s="1013">
        <v>5</v>
      </c>
      <c r="DY48" s="1013">
        <v>4</v>
      </c>
      <c r="DZ48" s="1013">
        <v>1</v>
      </c>
      <c r="EA48" s="1013">
        <v>185410</v>
      </c>
      <c r="EB48" s="1013">
        <v>2019</v>
      </c>
      <c r="EC48" s="1013">
        <v>185410</v>
      </c>
      <c r="ED48" s="1013">
        <v>2.2999999999999998</v>
      </c>
      <c r="EE48" s="1013">
        <v>2.5</v>
      </c>
      <c r="EF48" s="1013">
        <v>4.8</v>
      </c>
      <c r="EG48" s="1013" t="s">
        <v>7724</v>
      </c>
      <c r="EH48" s="1013" t="s">
        <v>7724</v>
      </c>
      <c r="EI48" s="1013" t="s">
        <v>7724</v>
      </c>
      <c r="EJ48" s="1013" t="s">
        <v>7724</v>
      </c>
      <c r="EK48" s="1013" t="s">
        <v>7724</v>
      </c>
      <c r="EL48" s="1013" t="s">
        <v>7724</v>
      </c>
      <c r="EM48" s="1013" t="s">
        <v>7724</v>
      </c>
      <c r="EN48" s="1013" t="s">
        <v>7724</v>
      </c>
      <c r="EO48" s="1013" t="s">
        <v>7724</v>
      </c>
      <c r="EP48" s="1013" t="s">
        <v>7724</v>
      </c>
      <c r="EQ48" s="1013" t="s">
        <v>7724</v>
      </c>
      <c r="ER48" s="1013" t="s">
        <v>7724</v>
      </c>
      <c r="ES48" s="1013" t="s">
        <v>7724</v>
      </c>
      <c r="ET48" s="1013" t="s">
        <v>7724</v>
      </c>
      <c r="EU48" s="1013" t="s">
        <v>7724</v>
      </c>
      <c r="EV48" s="1013" t="s">
        <v>7724</v>
      </c>
      <c r="EW48" s="1013" t="s">
        <v>7724</v>
      </c>
      <c r="EX48" s="1013" t="s">
        <v>7724</v>
      </c>
      <c r="EY48" s="1013" t="s">
        <v>7724</v>
      </c>
      <c r="EZ48" s="1013" t="s">
        <v>7724</v>
      </c>
      <c r="FA48" s="1013" t="s">
        <v>7724</v>
      </c>
      <c r="FB48" s="1013" t="s">
        <v>7724</v>
      </c>
      <c r="FC48" s="1013" t="s">
        <v>7724</v>
      </c>
      <c r="FD48" s="1013" t="s">
        <v>7724</v>
      </c>
      <c r="FE48" s="1013" t="s">
        <v>7724</v>
      </c>
      <c r="FF48" s="1013" t="s">
        <v>7724</v>
      </c>
      <c r="FG48" s="1013">
        <v>0</v>
      </c>
      <c r="FH48" s="1013">
        <v>0</v>
      </c>
      <c r="FI48" s="1013">
        <v>0</v>
      </c>
      <c r="FJ48" s="1013">
        <v>0</v>
      </c>
      <c r="FK48" s="1013">
        <v>1</v>
      </c>
      <c r="FL48" s="1013">
        <v>0</v>
      </c>
      <c r="FM48" s="1013">
        <v>0</v>
      </c>
      <c r="FN48" s="1013">
        <v>15</v>
      </c>
      <c r="FO48" s="1013">
        <v>29</v>
      </c>
      <c r="FP48" s="1013">
        <v>6</v>
      </c>
      <c r="FQ48" s="1013" t="s">
        <v>7724</v>
      </c>
      <c r="FR48" s="1013" t="s">
        <v>7724</v>
      </c>
      <c r="FS48" s="1013" t="s">
        <v>7724</v>
      </c>
      <c r="FT48" s="1013" t="s">
        <v>7724</v>
      </c>
      <c r="FU48" s="1013" t="s">
        <v>7724</v>
      </c>
      <c r="FV48" s="1013" t="s">
        <v>7724</v>
      </c>
      <c r="FW48" s="1013" t="s">
        <v>7724</v>
      </c>
      <c r="FX48" s="1013" t="s">
        <v>7724</v>
      </c>
      <c r="FY48" s="1013" t="s">
        <v>7724</v>
      </c>
      <c r="FZ48" s="1013" t="s">
        <v>7724</v>
      </c>
      <c r="GA48" s="1013" t="s">
        <v>7724</v>
      </c>
      <c r="GB48" s="1013" t="s">
        <v>7724</v>
      </c>
      <c r="GC48" s="1013">
        <v>2020</v>
      </c>
      <c r="GD48" s="1013" t="s">
        <v>1407</v>
      </c>
      <c r="GE48" s="1013">
        <v>1</v>
      </c>
      <c r="GF48" s="1013" t="s">
        <v>1407</v>
      </c>
      <c r="GG48" s="1013" t="s">
        <v>1407</v>
      </c>
      <c r="GH48" s="1013">
        <v>20</v>
      </c>
      <c r="GI48" s="1013" t="s">
        <v>8006</v>
      </c>
      <c r="GJ48" s="1013" t="s">
        <v>8006</v>
      </c>
      <c r="GK48" s="1013" t="s">
        <v>8006</v>
      </c>
      <c r="GL48" s="1013" t="s">
        <v>8006</v>
      </c>
    </row>
    <row r="49" spans="1:194" hidden="1">
      <c r="A49" s="1013">
        <v>77</v>
      </c>
      <c r="B49" s="1013" t="s">
        <v>7722</v>
      </c>
      <c r="C49" s="1013">
        <v>16914729</v>
      </c>
      <c r="D49" s="1013" t="s">
        <v>7723</v>
      </c>
      <c r="E49" s="1013" t="s">
        <v>7723</v>
      </c>
      <c r="F49" s="1013" t="s">
        <v>7723</v>
      </c>
      <c r="G49" s="1013" t="s">
        <v>7723</v>
      </c>
      <c r="H49" s="1013" t="s">
        <v>7723</v>
      </c>
      <c r="I49" s="1013" t="s">
        <v>7723</v>
      </c>
      <c r="J49" s="1013" t="s">
        <v>7723</v>
      </c>
      <c r="K49" s="1024">
        <v>43512</v>
      </c>
      <c r="L49" s="1023">
        <v>0.62847222222222221</v>
      </c>
      <c r="M49" s="1013" t="s">
        <v>8029</v>
      </c>
      <c r="N49" s="1013" t="s">
        <v>7724</v>
      </c>
      <c r="O49" s="1013">
        <v>101</v>
      </c>
      <c r="P49" s="1013">
        <v>9999</v>
      </c>
      <c r="Q49" s="1013" t="s">
        <v>7727</v>
      </c>
      <c r="R49" s="1013" t="s">
        <v>7727</v>
      </c>
      <c r="S49" s="1013" t="s">
        <v>7724</v>
      </c>
      <c r="T49" s="1014" t="s">
        <v>7724</v>
      </c>
      <c r="U49" s="1014">
        <v>19</v>
      </c>
      <c r="V49" s="1014" t="s">
        <v>7724</v>
      </c>
      <c r="W49" s="1014" t="s">
        <v>7724</v>
      </c>
      <c r="X49" s="1013">
        <v>1</v>
      </c>
      <c r="Y49" s="1013">
        <v>100</v>
      </c>
      <c r="Z49" s="1013" t="s">
        <v>7770</v>
      </c>
      <c r="AA49" s="1013" t="s">
        <v>8030</v>
      </c>
      <c r="AB49" s="1013" t="s">
        <v>7726</v>
      </c>
      <c r="AC49" s="1013" t="s">
        <v>7723</v>
      </c>
      <c r="AD49" s="1013" t="s">
        <v>7723</v>
      </c>
      <c r="AE49" s="1013">
        <v>35</v>
      </c>
      <c r="AF49" s="1013" t="s">
        <v>7723</v>
      </c>
      <c r="AG49" s="1013" t="s">
        <v>7723</v>
      </c>
      <c r="AH49" s="1013" t="s">
        <v>7724</v>
      </c>
      <c r="AI49" s="1013" t="s">
        <v>7727</v>
      </c>
      <c r="AJ49" s="1013">
        <v>19</v>
      </c>
      <c r="AK49" s="1013" t="s">
        <v>7724</v>
      </c>
      <c r="AL49" s="1013" t="s">
        <v>7724</v>
      </c>
      <c r="AM49" s="1013">
        <v>1</v>
      </c>
      <c r="AN49" s="1013" t="s">
        <v>7724</v>
      </c>
      <c r="AO49" s="1013" t="s">
        <v>7724</v>
      </c>
      <c r="AP49" s="1013" t="s">
        <v>7728</v>
      </c>
      <c r="AQ49" s="1013" t="s">
        <v>7726</v>
      </c>
      <c r="AR49" s="1013" t="s">
        <v>7724</v>
      </c>
      <c r="AS49" s="1013" t="s">
        <v>7724</v>
      </c>
      <c r="AT49" s="1013" t="s">
        <v>7724</v>
      </c>
      <c r="AU49" s="1013" t="s">
        <v>7724</v>
      </c>
      <c r="AV49" s="1013" t="s">
        <v>7724</v>
      </c>
      <c r="AW49" s="1013" t="s">
        <v>7724</v>
      </c>
      <c r="AX49" s="1013">
        <v>11</v>
      </c>
      <c r="AY49" s="1013">
        <v>1</v>
      </c>
      <c r="AZ49" s="1013">
        <v>2</v>
      </c>
      <c r="BA49" s="1013">
        <v>1</v>
      </c>
      <c r="BB49" s="1013">
        <v>1</v>
      </c>
      <c r="BC49" s="1013">
        <v>1</v>
      </c>
      <c r="BD49" s="1013">
        <v>20</v>
      </c>
      <c r="BE49" s="1023">
        <v>0.6381944444444444</v>
      </c>
      <c r="BF49" s="1013" t="s">
        <v>7729</v>
      </c>
      <c r="BG49" s="1023">
        <v>0.65208333333333335</v>
      </c>
      <c r="BH49" s="1024">
        <v>43512</v>
      </c>
      <c r="BI49" s="1013" t="s">
        <v>7727</v>
      </c>
      <c r="BJ49" s="1013" t="s">
        <v>8031</v>
      </c>
      <c r="BK49" s="1013">
        <v>1419</v>
      </c>
      <c r="BL49" s="1013" t="s">
        <v>7724</v>
      </c>
      <c r="BM49" s="1013" t="s">
        <v>7724</v>
      </c>
      <c r="BN49" s="1013">
        <v>4</v>
      </c>
      <c r="BO49" s="1013">
        <v>8</v>
      </c>
      <c r="BP49" s="1013">
        <v>2</v>
      </c>
      <c r="BQ49" s="1013">
        <v>2</v>
      </c>
      <c r="BR49" s="1013">
        <v>23</v>
      </c>
      <c r="BS49" s="1013">
        <v>64</v>
      </c>
      <c r="BT49" s="1013">
        <v>54</v>
      </c>
      <c r="BU49" s="1013">
        <v>1</v>
      </c>
      <c r="BV49" s="1013">
        <v>5</v>
      </c>
      <c r="BW49" s="1013">
        <v>1</v>
      </c>
      <c r="BX49" s="1013">
        <v>21</v>
      </c>
      <c r="BY49" s="1013">
        <v>21</v>
      </c>
      <c r="BZ49" s="1013">
        <v>101</v>
      </c>
      <c r="CA49" s="1013">
        <v>208</v>
      </c>
      <c r="CB49" s="1013">
        <v>29.732419</v>
      </c>
      <c r="CC49" s="1013">
        <v>-95.381808000000007</v>
      </c>
      <c r="CD49" s="1013" t="s">
        <v>8016</v>
      </c>
      <c r="CE49" s="1013">
        <v>69</v>
      </c>
      <c r="CF49" s="1013" t="s">
        <v>7724</v>
      </c>
      <c r="CG49" s="1013">
        <v>33.503999999999998</v>
      </c>
      <c r="CH49" s="1013" t="s">
        <v>8017</v>
      </c>
      <c r="CI49" s="1013" t="s">
        <v>7724</v>
      </c>
      <c r="CJ49" s="1013">
        <v>27</v>
      </c>
      <c r="CK49" s="1013">
        <v>13</v>
      </c>
      <c r="CL49" s="1013">
        <v>13.798</v>
      </c>
      <c r="CM49" s="1013">
        <v>128</v>
      </c>
      <c r="CN49" s="1013">
        <v>0.245</v>
      </c>
      <c r="CO49" s="1013" t="s">
        <v>8018</v>
      </c>
      <c r="CP49" s="1013">
        <v>288</v>
      </c>
      <c r="CQ49" s="1013" t="s">
        <v>7724</v>
      </c>
      <c r="CR49" s="1013" t="s">
        <v>8019</v>
      </c>
      <c r="CS49" s="1013" t="s">
        <v>7724</v>
      </c>
      <c r="CT49" s="1013" t="s">
        <v>7724</v>
      </c>
      <c r="CU49" s="1013" t="s">
        <v>7724</v>
      </c>
      <c r="CV49" s="1013" t="s">
        <v>7724</v>
      </c>
      <c r="CW49" s="1013" t="s">
        <v>7727</v>
      </c>
      <c r="CX49" s="1013" t="s">
        <v>7727</v>
      </c>
      <c r="CY49" s="1013" t="s">
        <v>7723</v>
      </c>
      <c r="CZ49" s="1013">
        <v>5</v>
      </c>
      <c r="DA49" s="1013">
        <v>9</v>
      </c>
      <c r="DB49" s="1013" t="s">
        <v>7727</v>
      </c>
      <c r="DC49" s="1013" t="s">
        <v>7733</v>
      </c>
      <c r="DD49" s="1013">
        <v>5</v>
      </c>
      <c r="DE49" s="1013" t="s">
        <v>7724</v>
      </c>
      <c r="DF49" s="1013">
        <v>20</v>
      </c>
      <c r="DG49" s="1013">
        <v>20</v>
      </c>
      <c r="DH49" s="1013">
        <v>5</v>
      </c>
      <c r="DI49" s="1013" t="s">
        <v>7724</v>
      </c>
      <c r="DJ49" s="1013">
        <v>8</v>
      </c>
      <c r="DK49" s="1013">
        <v>400</v>
      </c>
      <c r="DL49" s="1013">
        <v>138</v>
      </c>
      <c r="DM49" s="1013">
        <v>98</v>
      </c>
      <c r="DN49" s="1013">
        <v>1</v>
      </c>
      <c r="DO49" s="1013">
        <v>0</v>
      </c>
      <c r="DP49" s="1013">
        <v>0</v>
      </c>
      <c r="DQ49" s="1013">
        <v>1</v>
      </c>
      <c r="DR49" s="1013">
        <v>20</v>
      </c>
      <c r="DS49" s="1013">
        <v>5</v>
      </c>
      <c r="DT49" s="1013">
        <v>1</v>
      </c>
      <c r="DU49" s="1013">
        <v>20</v>
      </c>
      <c r="DV49" s="1013">
        <v>5</v>
      </c>
      <c r="DW49" s="1013">
        <v>7</v>
      </c>
      <c r="DX49" s="1013">
        <v>5</v>
      </c>
      <c r="DY49" s="1013">
        <v>4</v>
      </c>
      <c r="DZ49" s="1013">
        <v>1</v>
      </c>
      <c r="EA49" s="1013">
        <v>185410</v>
      </c>
      <c r="EB49" s="1013">
        <v>2019</v>
      </c>
      <c r="EC49" s="1013">
        <v>185410</v>
      </c>
      <c r="ED49" s="1013">
        <v>2.2999999999999998</v>
      </c>
      <c r="EE49" s="1013">
        <v>2.5</v>
      </c>
      <c r="EF49" s="1013">
        <v>4.8</v>
      </c>
      <c r="EG49" s="1013" t="s">
        <v>7724</v>
      </c>
      <c r="EH49" s="1013" t="s">
        <v>7724</v>
      </c>
      <c r="EI49" s="1013" t="s">
        <v>7724</v>
      </c>
      <c r="EJ49" s="1013" t="s">
        <v>7724</v>
      </c>
      <c r="EK49" s="1013" t="s">
        <v>7724</v>
      </c>
      <c r="EL49" s="1013" t="s">
        <v>7724</v>
      </c>
      <c r="EM49" s="1013" t="s">
        <v>7724</v>
      </c>
      <c r="EN49" s="1013" t="s">
        <v>7724</v>
      </c>
      <c r="EO49" s="1013" t="s">
        <v>7724</v>
      </c>
      <c r="EP49" s="1013" t="s">
        <v>7724</v>
      </c>
      <c r="EQ49" s="1013" t="s">
        <v>7724</v>
      </c>
      <c r="ER49" s="1013" t="s">
        <v>7724</v>
      </c>
      <c r="ES49" s="1013" t="s">
        <v>7724</v>
      </c>
      <c r="ET49" s="1013" t="s">
        <v>7724</v>
      </c>
      <c r="EU49" s="1013" t="s">
        <v>7724</v>
      </c>
      <c r="EV49" s="1013" t="s">
        <v>7724</v>
      </c>
      <c r="EW49" s="1013" t="s">
        <v>7724</v>
      </c>
      <c r="EX49" s="1013" t="s">
        <v>7724</v>
      </c>
      <c r="EY49" s="1013" t="s">
        <v>7724</v>
      </c>
      <c r="EZ49" s="1013" t="s">
        <v>7724</v>
      </c>
      <c r="FA49" s="1013" t="s">
        <v>7724</v>
      </c>
      <c r="FB49" s="1013" t="s">
        <v>7724</v>
      </c>
      <c r="FC49" s="1013" t="s">
        <v>7724</v>
      </c>
      <c r="FD49" s="1013" t="s">
        <v>7724</v>
      </c>
      <c r="FE49" s="1013" t="s">
        <v>7724</v>
      </c>
      <c r="FF49" s="1013" t="s">
        <v>7724</v>
      </c>
      <c r="FG49" s="1013">
        <v>0</v>
      </c>
      <c r="FH49" s="1013">
        <v>0</v>
      </c>
      <c r="FI49" s="1013">
        <v>0</v>
      </c>
      <c r="FJ49" s="1013">
        <v>3</v>
      </c>
      <c r="FK49" s="1013">
        <v>0</v>
      </c>
      <c r="FL49" s="1013">
        <v>0</v>
      </c>
      <c r="FM49" s="1013">
        <v>0</v>
      </c>
      <c r="FN49" s="1013">
        <v>15</v>
      </c>
      <c r="FO49" s="1013">
        <v>5</v>
      </c>
      <c r="FP49" s="1013">
        <v>109</v>
      </c>
      <c r="FQ49" s="1013" t="s">
        <v>7724</v>
      </c>
      <c r="FR49" s="1013" t="s">
        <v>7724</v>
      </c>
      <c r="FS49" s="1013" t="s">
        <v>7724</v>
      </c>
      <c r="FT49" s="1013" t="s">
        <v>7724</v>
      </c>
      <c r="FU49" s="1013" t="s">
        <v>7724</v>
      </c>
      <c r="FV49" s="1013" t="s">
        <v>7724</v>
      </c>
      <c r="FW49" s="1013" t="s">
        <v>7724</v>
      </c>
      <c r="FX49" s="1013" t="s">
        <v>7724</v>
      </c>
      <c r="FY49" s="1013" t="s">
        <v>7724</v>
      </c>
      <c r="FZ49" s="1013" t="s">
        <v>7724</v>
      </c>
      <c r="GA49" s="1013" t="s">
        <v>7724</v>
      </c>
      <c r="GB49" s="1013" t="s">
        <v>7724</v>
      </c>
      <c r="GC49" s="1013">
        <v>2019</v>
      </c>
      <c r="GD49" s="1013" t="s">
        <v>1404</v>
      </c>
      <c r="GE49" s="1013">
        <v>2</v>
      </c>
      <c r="GF49" s="1013" t="s">
        <v>1407</v>
      </c>
      <c r="GG49" s="1013" t="s">
        <v>1407</v>
      </c>
      <c r="GH49" s="1013" t="s">
        <v>8032</v>
      </c>
      <c r="GI49" s="1013" t="s">
        <v>7974</v>
      </c>
      <c r="GJ49" s="1013" t="s">
        <v>7974</v>
      </c>
      <c r="GK49" s="1013" t="s">
        <v>7974</v>
      </c>
      <c r="GL49" s="1013" t="s">
        <v>7974</v>
      </c>
    </row>
    <row r="50" spans="1:194" hidden="1">
      <c r="A50" s="1013">
        <v>79</v>
      </c>
      <c r="B50" s="1013" t="s">
        <v>7722</v>
      </c>
      <c r="C50" s="1013">
        <v>16923253</v>
      </c>
      <c r="D50" s="1013" t="s">
        <v>7723</v>
      </c>
      <c r="E50" s="1013" t="s">
        <v>7723</v>
      </c>
      <c r="F50" s="1013" t="s">
        <v>7723</v>
      </c>
      <c r="G50" s="1013" t="s">
        <v>7723</v>
      </c>
      <c r="H50" s="1013" t="s">
        <v>7723</v>
      </c>
      <c r="I50" s="1013" t="s">
        <v>7723</v>
      </c>
      <c r="J50" s="1013" t="s">
        <v>7723</v>
      </c>
      <c r="K50" s="1024">
        <v>43522</v>
      </c>
      <c r="L50" s="1023">
        <v>0.3125</v>
      </c>
      <c r="M50" s="1013" t="s">
        <v>8033</v>
      </c>
      <c r="N50" s="1013" t="s">
        <v>7724</v>
      </c>
      <c r="O50" s="1013">
        <v>101</v>
      </c>
      <c r="P50" s="1013">
        <v>208</v>
      </c>
      <c r="Q50" s="1013" t="s">
        <v>7723</v>
      </c>
      <c r="R50" s="1013" t="s">
        <v>7727</v>
      </c>
      <c r="S50" s="1013" t="s">
        <v>7724</v>
      </c>
      <c r="T50" s="1014" t="s">
        <v>7724</v>
      </c>
      <c r="U50" s="1014">
        <v>19</v>
      </c>
      <c r="V50" s="1014" t="s">
        <v>7724</v>
      </c>
      <c r="W50" s="1014" t="s">
        <v>7724</v>
      </c>
      <c r="X50" s="1013">
        <v>1</v>
      </c>
      <c r="Y50" s="1013">
        <v>4300</v>
      </c>
      <c r="Z50" s="1013" t="s">
        <v>7724</v>
      </c>
      <c r="AA50" s="1013" t="s">
        <v>8034</v>
      </c>
      <c r="AB50" s="1013" t="s">
        <v>7735</v>
      </c>
      <c r="AC50" s="1013" t="s">
        <v>7723</v>
      </c>
      <c r="AD50" s="1013" t="s">
        <v>7723</v>
      </c>
      <c r="AE50" s="1013">
        <v>35</v>
      </c>
      <c r="AF50" s="1013" t="s">
        <v>7723</v>
      </c>
      <c r="AG50" s="1013" t="s">
        <v>7723</v>
      </c>
      <c r="AH50" s="1013" t="s">
        <v>7724</v>
      </c>
      <c r="AI50" s="1013" t="s">
        <v>7727</v>
      </c>
      <c r="AJ50" s="1013">
        <v>19</v>
      </c>
      <c r="AK50" s="1013" t="s">
        <v>7724</v>
      </c>
      <c r="AL50" s="1013" t="s">
        <v>7724</v>
      </c>
      <c r="AM50" s="1013">
        <v>1</v>
      </c>
      <c r="AN50" s="1013">
        <v>2400</v>
      </c>
      <c r="AO50" s="1013" t="s">
        <v>7724</v>
      </c>
      <c r="AP50" s="1013" t="s">
        <v>7725</v>
      </c>
      <c r="AQ50" s="1013" t="s">
        <v>7735</v>
      </c>
      <c r="AR50" s="1013" t="s">
        <v>7724</v>
      </c>
      <c r="AS50" s="1013" t="s">
        <v>7724</v>
      </c>
      <c r="AT50" s="1013" t="s">
        <v>7724</v>
      </c>
      <c r="AU50" s="1013" t="s">
        <v>7724</v>
      </c>
      <c r="AV50" s="1013" t="s">
        <v>7724</v>
      </c>
      <c r="AW50" s="1013" t="s">
        <v>7724</v>
      </c>
      <c r="AX50" s="1013">
        <v>2</v>
      </c>
      <c r="AY50" s="1013">
        <v>1</v>
      </c>
      <c r="AZ50" s="1013">
        <v>4</v>
      </c>
      <c r="BA50" s="1013">
        <v>1</v>
      </c>
      <c r="BB50" s="1013">
        <v>1</v>
      </c>
      <c r="BC50" s="1013">
        <v>2</v>
      </c>
      <c r="BD50" s="1013">
        <v>5</v>
      </c>
      <c r="BE50" s="1023">
        <v>0.31944444444444442</v>
      </c>
      <c r="BF50" s="1013" t="s">
        <v>7736</v>
      </c>
      <c r="BG50" s="1023">
        <v>0.32500000000000001</v>
      </c>
      <c r="BH50" s="1024">
        <v>43522</v>
      </c>
      <c r="BI50" s="1013" t="s">
        <v>7727</v>
      </c>
      <c r="BJ50" s="1013" t="s">
        <v>7730</v>
      </c>
      <c r="BK50" s="1013">
        <v>2469</v>
      </c>
      <c r="BL50" s="1013" t="s">
        <v>7724</v>
      </c>
      <c r="BM50" s="1013" t="s">
        <v>7724</v>
      </c>
      <c r="BN50" s="1013">
        <v>113</v>
      </c>
      <c r="BO50" s="1013">
        <v>8</v>
      </c>
      <c r="BP50" s="1013">
        <v>2</v>
      </c>
      <c r="BQ50" s="1013">
        <v>1</v>
      </c>
      <c r="BR50" s="1013">
        <v>10</v>
      </c>
      <c r="BS50" s="1013">
        <v>64</v>
      </c>
      <c r="BT50" s="1013">
        <v>3</v>
      </c>
      <c r="BU50" s="1013">
        <v>1</v>
      </c>
      <c r="BV50" s="1013">
        <v>5</v>
      </c>
      <c r="BW50" s="1013">
        <v>1</v>
      </c>
      <c r="BX50" s="1013">
        <v>21</v>
      </c>
      <c r="BY50" s="1013">
        <v>21</v>
      </c>
      <c r="BZ50" s="1013">
        <v>101</v>
      </c>
      <c r="CA50" s="1013">
        <v>208</v>
      </c>
      <c r="CB50" s="1013">
        <v>29.732531999999999</v>
      </c>
      <c r="CC50" s="1013">
        <v>-95.380368000000004</v>
      </c>
      <c r="CD50" s="1013" t="s">
        <v>8016</v>
      </c>
      <c r="CE50" s="1013">
        <v>69</v>
      </c>
      <c r="CF50" s="1013" t="s">
        <v>7724</v>
      </c>
      <c r="CG50" s="1013">
        <v>33.591000000000001</v>
      </c>
      <c r="CH50" s="1013" t="s">
        <v>8017</v>
      </c>
      <c r="CI50" s="1013" t="s">
        <v>7724</v>
      </c>
      <c r="CJ50" s="1013">
        <v>27</v>
      </c>
      <c r="CK50" s="1013">
        <v>13</v>
      </c>
      <c r="CL50" s="1013">
        <v>13.888</v>
      </c>
      <c r="CM50" s="1013">
        <v>128</v>
      </c>
      <c r="CN50" s="1013">
        <v>0.33200000000000002</v>
      </c>
      <c r="CO50" s="1013" t="s">
        <v>8018</v>
      </c>
      <c r="CP50" s="1013">
        <v>288</v>
      </c>
      <c r="CQ50" s="1013" t="s">
        <v>7724</v>
      </c>
      <c r="CR50" s="1013" t="s">
        <v>8019</v>
      </c>
      <c r="CS50" s="1013" t="s">
        <v>7724</v>
      </c>
      <c r="CT50" s="1013" t="s">
        <v>7724</v>
      </c>
      <c r="CU50" s="1013" t="s">
        <v>7724</v>
      </c>
      <c r="CV50" s="1013" t="s">
        <v>7724</v>
      </c>
      <c r="CW50" s="1013" t="s">
        <v>7727</v>
      </c>
      <c r="CX50" s="1013" t="s">
        <v>7727</v>
      </c>
      <c r="CY50" s="1013" t="s">
        <v>7723</v>
      </c>
      <c r="CZ50" s="1013">
        <v>3</v>
      </c>
      <c r="DA50" s="1013">
        <v>9</v>
      </c>
      <c r="DB50" s="1013" t="s">
        <v>7727</v>
      </c>
      <c r="DC50" s="1013" t="s">
        <v>7737</v>
      </c>
      <c r="DD50" s="1013">
        <v>5</v>
      </c>
      <c r="DE50" s="1013" t="s">
        <v>7724</v>
      </c>
      <c r="DF50" s="1013">
        <v>20</v>
      </c>
      <c r="DG50" s="1013">
        <v>20</v>
      </c>
      <c r="DH50" s="1013">
        <v>5</v>
      </c>
      <c r="DI50" s="1013" t="s">
        <v>7724</v>
      </c>
      <c r="DJ50" s="1013">
        <v>8</v>
      </c>
      <c r="DK50" s="1013">
        <v>400</v>
      </c>
      <c r="DL50" s="1013">
        <v>138</v>
      </c>
      <c r="DM50" s="1013">
        <v>98</v>
      </c>
      <c r="DN50" s="1013">
        <v>1</v>
      </c>
      <c r="DO50" s="1013">
        <v>0</v>
      </c>
      <c r="DP50" s="1013">
        <v>0</v>
      </c>
      <c r="DQ50" s="1013">
        <v>1</v>
      </c>
      <c r="DR50" s="1013">
        <v>20</v>
      </c>
      <c r="DS50" s="1013">
        <v>5</v>
      </c>
      <c r="DT50" s="1013">
        <v>1</v>
      </c>
      <c r="DU50" s="1013">
        <v>20</v>
      </c>
      <c r="DV50" s="1013">
        <v>5</v>
      </c>
      <c r="DW50" s="1013">
        <v>7</v>
      </c>
      <c r="DX50" s="1013">
        <v>5</v>
      </c>
      <c r="DY50" s="1013">
        <v>4</v>
      </c>
      <c r="DZ50" s="1013">
        <v>1</v>
      </c>
      <c r="EA50" s="1013">
        <v>185410</v>
      </c>
      <c r="EB50" s="1013">
        <v>2019</v>
      </c>
      <c r="EC50" s="1013">
        <v>185410</v>
      </c>
      <c r="ED50" s="1013">
        <v>2.2999999999999998</v>
      </c>
      <c r="EE50" s="1013">
        <v>2.5</v>
      </c>
      <c r="EF50" s="1013">
        <v>4.8</v>
      </c>
      <c r="EG50" s="1013" t="s">
        <v>7724</v>
      </c>
      <c r="EH50" s="1013" t="s">
        <v>7724</v>
      </c>
      <c r="EI50" s="1013" t="s">
        <v>7724</v>
      </c>
      <c r="EJ50" s="1013" t="s">
        <v>7724</v>
      </c>
      <c r="EK50" s="1013" t="s">
        <v>7724</v>
      </c>
      <c r="EL50" s="1013" t="s">
        <v>7724</v>
      </c>
      <c r="EM50" s="1013" t="s">
        <v>7724</v>
      </c>
      <c r="EN50" s="1013" t="s">
        <v>7724</v>
      </c>
      <c r="EO50" s="1013" t="s">
        <v>7724</v>
      </c>
      <c r="EP50" s="1013" t="s">
        <v>7724</v>
      </c>
      <c r="EQ50" s="1013" t="s">
        <v>7724</v>
      </c>
      <c r="ER50" s="1013" t="s">
        <v>7724</v>
      </c>
      <c r="ES50" s="1013" t="s">
        <v>7724</v>
      </c>
      <c r="ET50" s="1013" t="s">
        <v>7724</v>
      </c>
      <c r="EU50" s="1013" t="s">
        <v>7724</v>
      </c>
      <c r="EV50" s="1013" t="s">
        <v>7724</v>
      </c>
      <c r="EW50" s="1013" t="s">
        <v>7724</v>
      </c>
      <c r="EX50" s="1013" t="s">
        <v>7724</v>
      </c>
      <c r="EY50" s="1013" t="s">
        <v>7724</v>
      </c>
      <c r="EZ50" s="1013" t="s">
        <v>7724</v>
      </c>
      <c r="FA50" s="1013" t="s">
        <v>7724</v>
      </c>
      <c r="FB50" s="1013" t="s">
        <v>7724</v>
      </c>
      <c r="FC50" s="1013" t="s">
        <v>7724</v>
      </c>
      <c r="FD50" s="1013" t="s">
        <v>7724</v>
      </c>
      <c r="FE50" s="1013" t="s">
        <v>7724</v>
      </c>
      <c r="FF50" s="1013" t="s">
        <v>7724</v>
      </c>
      <c r="FG50" s="1013">
        <v>0</v>
      </c>
      <c r="FH50" s="1013">
        <v>0</v>
      </c>
      <c r="FI50" s="1013">
        <v>1</v>
      </c>
      <c r="FJ50" s="1013">
        <v>2</v>
      </c>
      <c r="FK50" s="1013">
        <v>0</v>
      </c>
      <c r="FL50" s="1013">
        <v>1</v>
      </c>
      <c r="FM50" s="1013">
        <v>0</v>
      </c>
      <c r="FN50" s="1013">
        <v>15</v>
      </c>
      <c r="FO50" s="1013">
        <v>29</v>
      </c>
      <c r="FP50" s="1013">
        <v>52</v>
      </c>
      <c r="FQ50" s="1013" t="s">
        <v>7724</v>
      </c>
      <c r="FR50" s="1013" t="s">
        <v>7724</v>
      </c>
      <c r="FS50" s="1013" t="s">
        <v>7724</v>
      </c>
      <c r="FT50" s="1013" t="s">
        <v>7724</v>
      </c>
      <c r="FU50" s="1013" t="s">
        <v>7724</v>
      </c>
      <c r="FV50" s="1013" t="s">
        <v>7724</v>
      </c>
      <c r="FW50" s="1013" t="s">
        <v>7724</v>
      </c>
      <c r="FX50" s="1013" t="s">
        <v>7724</v>
      </c>
      <c r="FY50" s="1013" t="s">
        <v>7724</v>
      </c>
      <c r="FZ50" s="1013" t="s">
        <v>7724</v>
      </c>
      <c r="GA50" s="1013" t="s">
        <v>7724</v>
      </c>
      <c r="GB50" s="1013" t="s">
        <v>7724</v>
      </c>
      <c r="GC50" s="1013">
        <v>2019</v>
      </c>
      <c r="GD50" s="1013" t="s">
        <v>1407</v>
      </c>
      <c r="GE50" s="1013">
        <v>2</v>
      </c>
      <c r="GF50" s="1013" t="s">
        <v>1407</v>
      </c>
      <c r="GG50" s="1013" t="s">
        <v>1407</v>
      </c>
      <c r="GH50" s="1013" t="s">
        <v>8035</v>
      </c>
      <c r="GI50" s="1013" t="s">
        <v>7974</v>
      </c>
      <c r="GJ50" s="1013" t="s">
        <v>7974</v>
      </c>
      <c r="GK50" s="1013" t="s">
        <v>7974</v>
      </c>
      <c r="GL50" s="1013" t="s">
        <v>7974</v>
      </c>
    </row>
    <row r="51" spans="1:194" hidden="1">
      <c r="A51" s="1013">
        <v>115</v>
      </c>
      <c r="B51" s="1013" t="s">
        <v>7722</v>
      </c>
      <c r="C51" s="1013">
        <v>17345473</v>
      </c>
      <c r="D51" s="1013" t="s">
        <v>7723</v>
      </c>
      <c r="E51" s="1013" t="s">
        <v>7723</v>
      </c>
      <c r="F51" s="1013" t="s">
        <v>7723</v>
      </c>
      <c r="G51" s="1013" t="s">
        <v>7723</v>
      </c>
      <c r="H51" s="1013" t="s">
        <v>7723</v>
      </c>
      <c r="I51" s="1013" t="s">
        <v>7723</v>
      </c>
      <c r="J51" s="1013" t="s">
        <v>7723</v>
      </c>
      <c r="K51" s="1024">
        <v>43751</v>
      </c>
      <c r="L51" s="1023">
        <v>0.63611111111111107</v>
      </c>
      <c r="M51" s="1013" t="s">
        <v>8036</v>
      </c>
      <c r="N51" s="1013" t="s">
        <v>8027</v>
      </c>
      <c r="O51" s="1013">
        <v>79</v>
      </c>
      <c r="P51" s="1013">
        <v>9999</v>
      </c>
      <c r="Q51" s="1013" t="s">
        <v>7727</v>
      </c>
      <c r="R51" s="1013" t="s">
        <v>7727</v>
      </c>
      <c r="S51" s="1013" t="s">
        <v>7724</v>
      </c>
      <c r="T51" s="1014" t="s">
        <v>7724</v>
      </c>
      <c r="U51" s="1014">
        <v>2</v>
      </c>
      <c r="V51" s="1014">
        <v>59</v>
      </c>
      <c r="W51" s="1014" t="s">
        <v>7724</v>
      </c>
      <c r="X51" s="1013">
        <v>2</v>
      </c>
      <c r="Y51" s="1013" t="s">
        <v>7724</v>
      </c>
      <c r="Z51" s="1013" t="s">
        <v>7724</v>
      </c>
      <c r="AA51" s="1013" t="s">
        <v>950</v>
      </c>
      <c r="AB51" s="1013" t="s">
        <v>7724</v>
      </c>
      <c r="AC51" s="1013" t="s">
        <v>7723</v>
      </c>
      <c r="AD51" s="1013" t="s">
        <v>7723</v>
      </c>
      <c r="AE51" s="1013">
        <v>50</v>
      </c>
      <c r="AF51" s="1013" t="s">
        <v>7723</v>
      </c>
      <c r="AG51" s="1013" t="s">
        <v>7723</v>
      </c>
      <c r="AH51" s="1013" t="s">
        <v>8037</v>
      </c>
      <c r="AI51" s="1013" t="s">
        <v>7727</v>
      </c>
      <c r="AJ51" s="1013">
        <v>19</v>
      </c>
      <c r="AK51" s="1013" t="s">
        <v>7724</v>
      </c>
      <c r="AL51" s="1013" t="s">
        <v>7724</v>
      </c>
      <c r="AM51" s="1013">
        <v>1</v>
      </c>
      <c r="AN51" s="1013" t="s">
        <v>7724</v>
      </c>
      <c r="AO51" s="1013" t="s">
        <v>7724</v>
      </c>
      <c r="AP51" s="1013" t="s">
        <v>8003</v>
      </c>
      <c r="AQ51" s="1013" t="s">
        <v>8004</v>
      </c>
      <c r="AR51" s="1013" t="s">
        <v>7724</v>
      </c>
      <c r="AS51" s="1013" t="s">
        <v>7724</v>
      </c>
      <c r="AT51" s="1013" t="s">
        <v>7724</v>
      </c>
      <c r="AU51" s="1013" t="s">
        <v>7724</v>
      </c>
      <c r="AV51" s="1013" t="s">
        <v>7724</v>
      </c>
      <c r="AW51" s="1013" t="s">
        <v>7724</v>
      </c>
      <c r="AX51" s="1013">
        <v>11</v>
      </c>
      <c r="AY51" s="1013">
        <v>1</v>
      </c>
      <c r="AZ51" s="1013">
        <v>4</v>
      </c>
      <c r="BA51" s="1013">
        <v>4</v>
      </c>
      <c r="BB51" s="1013">
        <v>1</v>
      </c>
      <c r="BC51" s="1013">
        <v>1</v>
      </c>
      <c r="BD51" s="1013">
        <v>5</v>
      </c>
      <c r="BE51" s="1023">
        <v>0.6381944444444444</v>
      </c>
      <c r="BF51" s="1013" t="s">
        <v>7736</v>
      </c>
      <c r="BG51" s="1023">
        <v>0.64652777777777781</v>
      </c>
      <c r="BH51" s="1024">
        <v>43751</v>
      </c>
      <c r="BI51" s="1013" t="s">
        <v>7727</v>
      </c>
      <c r="BJ51" s="1013" t="s">
        <v>8005</v>
      </c>
      <c r="BK51" s="1013">
        <v>1312</v>
      </c>
      <c r="BL51" s="1013" t="s">
        <v>7724</v>
      </c>
      <c r="BM51" s="1013" t="s">
        <v>7724</v>
      </c>
      <c r="BN51" s="1013">
        <v>18</v>
      </c>
      <c r="BO51" s="1013">
        <v>8</v>
      </c>
      <c r="BP51" s="1013">
        <v>2</v>
      </c>
      <c r="BQ51" s="1013">
        <v>1</v>
      </c>
      <c r="BR51" s="1013">
        <v>28</v>
      </c>
      <c r="BS51" s="1013">
        <v>64</v>
      </c>
      <c r="BT51" s="1013">
        <v>54</v>
      </c>
      <c r="BU51" s="1013">
        <v>2</v>
      </c>
      <c r="BV51" s="1013">
        <v>2</v>
      </c>
      <c r="BW51" s="1013">
        <v>1</v>
      </c>
      <c r="BX51" s="1013">
        <v>21</v>
      </c>
      <c r="BY51" s="1013">
        <v>21</v>
      </c>
      <c r="BZ51" s="1013">
        <v>101</v>
      </c>
      <c r="CA51" s="1013">
        <v>208</v>
      </c>
      <c r="CB51" s="1013">
        <v>29.732527000000001</v>
      </c>
      <c r="CC51" s="1013">
        <v>-95.380429000000007</v>
      </c>
      <c r="CD51" s="1013" t="s">
        <v>8016</v>
      </c>
      <c r="CE51" s="1013">
        <v>69</v>
      </c>
      <c r="CF51" s="1013" t="s">
        <v>7724</v>
      </c>
      <c r="CG51" s="1013">
        <v>33.587000000000003</v>
      </c>
      <c r="CH51" s="1013" t="s">
        <v>8017</v>
      </c>
      <c r="CI51" s="1013" t="s">
        <v>7724</v>
      </c>
      <c r="CJ51" s="1013">
        <v>27</v>
      </c>
      <c r="CK51" s="1013">
        <v>13</v>
      </c>
      <c r="CL51" s="1013">
        <v>13.885</v>
      </c>
      <c r="CM51" s="1013">
        <v>128</v>
      </c>
      <c r="CN51" s="1013">
        <v>0.32800000000000001</v>
      </c>
      <c r="CO51" s="1013" t="s">
        <v>8018</v>
      </c>
      <c r="CP51" s="1013">
        <v>288</v>
      </c>
      <c r="CQ51" s="1013" t="s">
        <v>7724</v>
      </c>
      <c r="CR51" s="1013" t="s">
        <v>8019</v>
      </c>
      <c r="CS51" s="1013" t="s">
        <v>7724</v>
      </c>
      <c r="CT51" s="1013" t="s">
        <v>7724</v>
      </c>
      <c r="CU51" s="1013" t="s">
        <v>7724</v>
      </c>
      <c r="CV51" s="1013" t="s">
        <v>7724</v>
      </c>
      <c r="CW51" s="1013" t="s">
        <v>7727</v>
      </c>
      <c r="CX51" s="1013" t="s">
        <v>7727</v>
      </c>
      <c r="CY51" s="1013" t="s">
        <v>7723</v>
      </c>
      <c r="CZ51" s="1013">
        <v>5</v>
      </c>
      <c r="DA51" s="1013">
        <v>9</v>
      </c>
      <c r="DB51" s="1013" t="s">
        <v>7727</v>
      </c>
      <c r="DC51" s="1013" t="s">
        <v>7747</v>
      </c>
      <c r="DD51" s="1013">
        <v>5</v>
      </c>
      <c r="DE51" s="1013" t="s">
        <v>7724</v>
      </c>
      <c r="DF51" s="1013">
        <v>20</v>
      </c>
      <c r="DG51" s="1013">
        <v>20</v>
      </c>
      <c r="DH51" s="1013">
        <v>5</v>
      </c>
      <c r="DI51" s="1013" t="s">
        <v>7724</v>
      </c>
      <c r="DJ51" s="1013">
        <v>8</v>
      </c>
      <c r="DK51" s="1013">
        <v>400</v>
      </c>
      <c r="DL51" s="1013">
        <v>138</v>
      </c>
      <c r="DM51" s="1013">
        <v>98</v>
      </c>
      <c r="DN51" s="1013">
        <v>1</v>
      </c>
      <c r="DO51" s="1013">
        <v>0</v>
      </c>
      <c r="DP51" s="1013">
        <v>0</v>
      </c>
      <c r="DQ51" s="1013">
        <v>1</v>
      </c>
      <c r="DR51" s="1013">
        <v>20</v>
      </c>
      <c r="DS51" s="1013">
        <v>5</v>
      </c>
      <c r="DT51" s="1013">
        <v>1</v>
      </c>
      <c r="DU51" s="1013">
        <v>20</v>
      </c>
      <c r="DV51" s="1013">
        <v>5</v>
      </c>
      <c r="DW51" s="1013">
        <v>7</v>
      </c>
      <c r="DX51" s="1013">
        <v>5</v>
      </c>
      <c r="DY51" s="1013">
        <v>4</v>
      </c>
      <c r="DZ51" s="1013">
        <v>1</v>
      </c>
      <c r="EA51" s="1013">
        <v>185410</v>
      </c>
      <c r="EB51" s="1013">
        <v>2019</v>
      </c>
      <c r="EC51" s="1013">
        <v>185410</v>
      </c>
      <c r="ED51" s="1013">
        <v>2.2999999999999998</v>
      </c>
      <c r="EE51" s="1013">
        <v>2.5</v>
      </c>
      <c r="EF51" s="1013">
        <v>4.8</v>
      </c>
      <c r="EG51" s="1013" t="s">
        <v>7724</v>
      </c>
      <c r="EH51" s="1013" t="s">
        <v>7724</v>
      </c>
      <c r="EI51" s="1013" t="s">
        <v>7724</v>
      </c>
      <c r="EJ51" s="1013" t="s">
        <v>7724</v>
      </c>
      <c r="EK51" s="1013" t="s">
        <v>7724</v>
      </c>
      <c r="EL51" s="1013" t="s">
        <v>7724</v>
      </c>
      <c r="EM51" s="1013" t="s">
        <v>7724</v>
      </c>
      <c r="EN51" s="1013" t="s">
        <v>7724</v>
      </c>
      <c r="EO51" s="1013" t="s">
        <v>7724</v>
      </c>
      <c r="EP51" s="1013" t="s">
        <v>7724</v>
      </c>
      <c r="EQ51" s="1013" t="s">
        <v>7724</v>
      </c>
      <c r="ER51" s="1013" t="s">
        <v>7724</v>
      </c>
      <c r="ES51" s="1013" t="s">
        <v>7724</v>
      </c>
      <c r="ET51" s="1013" t="s">
        <v>7724</v>
      </c>
      <c r="EU51" s="1013" t="s">
        <v>7724</v>
      </c>
      <c r="EV51" s="1013" t="s">
        <v>7724</v>
      </c>
      <c r="EW51" s="1013" t="s">
        <v>7724</v>
      </c>
      <c r="EX51" s="1013" t="s">
        <v>7724</v>
      </c>
      <c r="EY51" s="1013" t="s">
        <v>7724</v>
      </c>
      <c r="EZ51" s="1013" t="s">
        <v>7724</v>
      </c>
      <c r="FA51" s="1013" t="s">
        <v>7724</v>
      </c>
      <c r="FB51" s="1013" t="s">
        <v>7724</v>
      </c>
      <c r="FC51" s="1013" t="s">
        <v>7724</v>
      </c>
      <c r="FD51" s="1013" t="s">
        <v>7724</v>
      </c>
      <c r="FE51" s="1013" t="s">
        <v>7724</v>
      </c>
      <c r="FF51" s="1013" t="s">
        <v>7724</v>
      </c>
      <c r="FG51" s="1013">
        <v>0</v>
      </c>
      <c r="FH51" s="1013">
        <v>0</v>
      </c>
      <c r="FI51" s="1013">
        <v>0</v>
      </c>
      <c r="FJ51" s="1013">
        <v>2</v>
      </c>
      <c r="FK51" s="1013">
        <v>0</v>
      </c>
      <c r="FL51" s="1013">
        <v>0</v>
      </c>
      <c r="FM51" s="1013">
        <v>0</v>
      </c>
      <c r="FN51" s="1013">
        <v>15</v>
      </c>
      <c r="FO51" s="1013">
        <v>44</v>
      </c>
      <c r="FP51" s="1013">
        <v>1</v>
      </c>
      <c r="FQ51" s="1013" t="s">
        <v>7724</v>
      </c>
      <c r="FR51" s="1013" t="s">
        <v>7724</v>
      </c>
      <c r="FS51" s="1013" t="s">
        <v>7724</v>
      </c>
      <c r="FT51" s="1013" t="s">
        <v>7724</v>
      </c>
      <c r="FU51" s="1013" t="s">
        <v>7724</v>
      </c>
      <c r="FV51" s="1013" t="s">
        <v>7724</v>
      </c>
      <c r="FW51" s="1013" t="s">
        <v>7724</v>
      </c>
      <c r="FX51" s="1013" t="s">
        <v>7724</v>
      </c>
      <c r="FY51" s="1013" t="s">
        <v>7724</v>
      </c>
      <c r="FZ51" s="1013" t="s">
        <v>7724</v>
      </c>
      <c r="GA51" s="1013" t="s">
        <v>7724</v>
      </c>
      <c r="GB51" s="1013" t="s">
        <v>7724</v>
      </c>
      <c r="GC51" s="1013">
        <v>2019</v>
      </c>
      <c r="GD51" s="1013" t="s">
        <v>1404</v>
      </c>
      <c r="GE51" s="1013">
        <v>2</v>
      </c>
      <c r="GF51" s="1013" t="s">
        <v>1407</v>
      </c>
      <c r="GG51" s="1013" t="s">
        <v>1407</v>
      </c>
      <c r="GH51" s="1013" t="s">
        <v>7974</v>
      </c>
      <c r="GI51" s="1013" t="s">
        <v>7974</v>
      </c>
      <c r="GJ51" s="1013" t="s">
        <v>7974</v>
      </c>
      <c r="GK51" s="1013" t="s">
        <v>8038</v>
      </c>
      <c r="GL51" s="1013" t="s">
        <v>7974</v>
      </c>
    </row>
    <row r="52" spans="1:194" hidden="1">
      <c r="A52" s="1013">
        <v>132</v>
      </c>
      <c r="B52" s="1013" t="s">
        <v>7722</v>
      </c>
      <c r="C52" s="1013">
        <v>19596669</v>
      </c>
      <c r="D52" s="1013" t="s">
        <v>7723</v>
      </c>
      <c r="E52" s="1013" t="s">
        <v>7723</v>
      </c>
      <c r="F52" s="1013" t="s">
        <v>7723</v>
      </c>
      <c r="G52" s="1013" t="s">
        <v>7723</v>
      </c>
      <c r="H52" s="1013" t="s">
        <v>7723</v>
      </c>
      <c r="I52" s="1013" t="s">
        <v>7723</v>
      </c>
      <c r="J52" s="1013" t="s">
        <v>7723</v>
      </c>
      <c r="K52" s="1024">
        <v>45089</v>
      </c>
      <c r="L52" s="1023">
        <v>8.4722222222222227E-2</v>
      </c>
      <c r="M52" s="1013" t="s">
        <v>8039</v>
      </c>
      <c r="N52" s="1013" t="s">
        <v>7734</v>
      </c>
      <c r="O52" s="1013">
        <v>101</v>
      </c>
      <c r="P52" s="1013">
        <v>208</v>
      </c>
      <c r="Q52" s="1013" t="s">
        <v>7723</v>
      </c>
      <c r="R52" s="1013" t="s">
        <v>7727</v>
      </c>
      <c r="S52" s="1013" t="s">
        <v>7724</v>
      </c>
      <c r="T52" s="1014" t="s">
        <v>7724</v>
      </c>
      <c r="U52" s="1014">
        <v>2</v>
      </c>
      <c r="V52" s="1014">
        <v>59</v>
      </c>
      <c r="W52" s="1014" t="s">
        <v>7724</v>
      </c>
      <c r="X52" s="1013">
        <v>1</v>
      </c>
      <c r="Y52" s="1013">
        <v>400</v>
      </c>
      <c r="Z52" s="1013" t="s">
        <v>7770</v>
      </c>
      <c r="AA52" s="1013" t="s">
        <v>7771</v>
      </c>
      <c r="AB52" s="1013" t="s">
        <v>7760</v>
      </c>
      <c r="AC52" s="1013" t="s">
        <v>7723</v>
      </c>
      <c r="AD52" s="1013" t="s">
        <v>7723</v>
      </c>
      <c r="AE52" s="1013">
        <v>60</v>
      </c>
      <c r="AF52" s="1013" t="s">
        <v>7723</v>
      </c>
      <c r="AG52" s="1013" t="s">
        <v>7723</v>
      </c>
      <c r="AH52" s="1013" t="s">
        <v>7739</v>
      </c>
      <c r="AI52" s="1013" t="s">
        <v>7723</v>
      </c>
      <c r="AJ52" s="1013">
        <v>2</v>
      </c>
      <c r="AK52" s="1013">
        <v>59</v>
      </c>
      <c r="AL52" s="1013" t="s">
        <v>7724</v>
      </c>
      <c r="AM52" s="1013">
        <v>4</v>
      </c>
      <c r="AN52" s="1013" t="s">
        <v>7724</v>
      </c>
      <c r="AO52" s="1013" t="s">
        <v>7724</v>
      </c>
      <c r="AP52" s="1013" t="s">
        <v>8003</v>
      </c>
      <c r="AQ52" s="1013" t="s">
        <v>8040</v>
      </c>
      <c r="AR52" s="1013" t="s">
        <v>7724</v>
      </c>
      <c r="AS52" s="1013" t="s">
        <v>7724</v>
      </c>
      <c r="AT52" s="1013" t="s">
        <v>7724</v>
      </c>
      <c r="AU52" s="1013" t="s">
        <v>7724</v>
      </c>
      <c r="AV52" s="1013" t="s">
        <v>8041</v>
      </c>
      <c r="AW52" s="1013" t="s">
        <v>7724</v>
      </c>
      <c r="AX52" s="1013">
        <v>11</v>
      </c>
      <c r="AY52" s="1013">
        <v>4</v>
      </c>
      <c r="AZ52" s="1013">
        <v>0</v>
      </c>
      <c r="BA52" s="1013">
        <v>4</v>
      </c>
      <c r="BB52" s="1013">
        <v>2</v>
      </c>
      <c r="BC52" s="1013">
        <v>1</v>
      </c>
      <c r="BD52" s="1013">
        <v>20</v>
      </c>
      <c r="BE52" s="1023">
        <v>8.6805555555555552E-2</v>
      </c>
      <c r="BF52" s="1013" t="s">
        <v>7736</v>
      </c>
      <c r="BG52" s="1023">
        <v>9.7222222222222224E-2</v>
      </c>
      <c r="BH52" s="1024">
        <v>45089</v>
      </c>
      <c r="BI52" s="1013" t="s">
        <v>7727</v>
      </c>
      <c r="BJ52" s="1013" t="s">
        <v>7730</v>
      </c>
      <c r="BK52" s="1013">
        <v>2469</v>
      </c>
      <c r="BL52" s="1013" t="s">
        <v>7724</v>
      </c>
      <c r="BM52" s="1013" t="s">
        <v>7724</v>
      </c>
      <c r="BN52" s="1013">
        <v>113</v>
      </c>
      <c r="BO52" s="1013">
        <v>8</v>
      </c>
      <c r="BP52" s="1013">
        <v>2</v>
      </c>
      <c r="BQ52" s="1013">
        <v>2</v>
      </c>
      <c r="BR52" s="1013">
        <v>21</v>
      </c>
      <c r="BS52" s="1013">
        <v>58</v>
      </c>
      <c r="BT52" s="1013">
        <v>9</v>
      </c>
      <c r="BU52" s="1013">
        <v>1</v>
      </c>
      <c r="BV52" s="1013">
        <v>2</v>
      </c>
      <c r="BW52" s="1013">
        <v>1</v>
      </c>
      <c r="BX52" s="1013">
        <v>21</v>
      </c>
      <c r="BY52" s="1013">
        <v>21</v>
      </c>
      <c r="BZ52" s="1013">
        <v>101</v>
      </c>
      <c r="CA52" s="1013">
        <v>208</v>
      </c>
      <c r="CB52" s="1013">
        <v>29.732527999999999</v>
      </c>
      <c r="CC52" s="1013">
        <v>-95.380426</v>
      </c>
      <c r="CD52" s="1013" t="s">
        <v>8016</v>
      </c>
      <c r="CE52" s="1013">
        <v>69</v>
      </c>
      <c r="CF52" s="1013" t="s">
        <v>7724</v>
      </c>
      <c r="CG52" s="1013">
        <v>33.587000000000003</v>
      </c>
      <c r="CH52" s="1013" t="s">
        <v>8017</v>
      </c>
      <c r="CI52" s="1013" t="s">
        <v>7724</v>
      </c>
      <c r="CJ52" s="1013">
        <v>27</v>
      </c>
      <c r="CK52" s="1013">
        <v>13</v>
      </c>
      <c r="CL52" s="1013">
        <v>13.885</v>
      </c>
      <c r="CM52" s="1013">
        <v>128</v>
      </c>
      <c r="CN52" s="1013">
        <v>0.32800000000000001</v>
      </c>
      <c r="CO52" s="1013" t="s">
        <v>8018</v>
      </c>
      <c r="CP52" s="1013">
        <v>288</v>
      </c>
      <c r="CQ52" s="1013" t="s">
        <v>7724</v>
      </c>
      <c r="CR52" s="1013" t="s">
        <v>8019</v>
      </c>
      <c r="CS52" s="1013" t="s">
        <v>7724</v>
      </c>
      <c r="CT52" s="1013" t="s">
        <v>7724</v>
      </c>
      <c r="CU52" s="1013" t="s">
        <v>7724</v>
      </c>
      <c r="CV52" s="1013" t="s">
        <v>7724</v>
      </c>
      <c r="CW52" s="1013" t="s">
        <v>7727</v>
      </c>
      <c r="CX52" s="1013" t="s">
        <v>7727</v>
      </c>
      <c r="CY52" s="1013" t="s">
        <v>7723</v>
      </c>
      <c r="CZ52" s="1013">
        <v>3</v>
      </c>
      <c r="DA52" s="1013">
        <v>9</v>
      </c>
      <c r="DB52" s="1013" t="s">
        <v>7727</v>
      </c>
      <c r="DC52" s="1013" t="s">
        <v>7743</v>
      </c>
      <c r="DD52" s="1013">
        <v>5</v>
      </c>
      <c r="DE52" s="1013" t="s">
        <v>7724</v>
      </c>
      <c r="DF52" s="1013">
        <v>20</v>
      </c>
      <c r="DG52" s="1013">
        <v>20</v>
      </c>
      <c r="DH52" s="1013">
        <v>5</v>
      </c>
      <c r="DI52" s="1013" t="s">
        <v>7724</v>
      </c>
      <c r="DJ52" s="1013">
        <v>8</v>
      </c>
      <c r="DK52" s="1013">
        <v>400</v>
      </c>
      <c r="DL52" s="1013">
        <v>138</v>
      </c>
      <c r="DM52" s="1013">
        <v>98</v>
      </c>
      <c r="DN52" s="1013">
        <v>1</v>
      </c>
      <c r="DO52" s="1013">
        <v>0</v>
      </c>
      <c r="DP52" s="1013">
        <v>0</v>
      </c>
      <c r="DQ52" s="1013">
        <v>1</v>
      </c>
      <c r="DR52" s="1013">
        <v>20</v>
      </c>
      <c r="DS52" s="1013">
        <v>5</v>
      </c>
      <c r="DT52" s="1013">
        <v>1</v>
      </c>
      <c r="DU52" s="1013">
        <v>20</v>
      </c>
      <c r="DV52" s="1013">
        <v>5</v>
      </c>
      <c r="DW52" s="1013">
        <v>7</v>
      </c>
      <c r="DX52" s="1013">
        <v>5</v>
      </c>
      <c r="DY52" s="1013">
        <v>4</v>
      </c>
      <c r="DZ52" s="1013">
        <v>1</v>
      </c>
      <c r="EA52" s="1013">
        <v>185410</v>
      </c>
      <c r="EB52" s="1013">
        <v>2019</v>
      </c>
      <c r="EC52" s="1013">
        <v>185410</v>
      </c>
      <c r="ED52" s="1013">
        <v>2.2999999999999998</v>
      </c>
      <c r="EE52" s="1013">
        <v>2.5</v>
      </c>
      <c r="EF52" s="1013">
        <v>4.8</v>
      </c>
      <c r="EG52" s="1013" t="s">
        <v>7724</v>
      </c>
      <c r="EH52" s="1013" t="s">
        <v>7724</v>
      </c>
      <c r="EI52" s="1013" t="s">
        <v>7724</v>
      </c>
      <c r="EJ52" s="1013" t="s">
        <v>7724</v>
      </c>
      <c r="EK52" s="1013" t="s">
        <v>7724</v>
      </c>
      <c r="EL52" s="1013" t="s">
        <v>7724</v>
      </c>
      <c r="EM52" s="1013" t="s">
        <v>7724</v>
      </c>
      <c r="EN52" s="1013" t="s">
        <v>7724</v>
      </c>
      <c r="EO52" s="1013" t="s">
        <v>7724</v>
      </c>
      <c r="EP52" s="1013" t="s">
        <v>7724</v>
      </c>
      <c r="EQ52" s="1013" t="s">
        <v>7724</v>
      </c>
      <c r="ER52" s="1013" t="s">
        <v>7724</v>
      </c>
      <c r="ES52" s="1013" t="s">
        <v>7724</v>
      </c>
      <c r="ET52" s="1013" t="s">
        <v>7724</v>
      </c>
      <c r="EU52" s="1013" t="s">
        <v>7724</v>
      </c>
      <c r="EV52" s="1013" t="s">
        <v>7724</v>
      </c>
      <c r="EW52" s="1013" t="s">
        <v>7724</v>
      </c>
      <c r="EX52" s="1013" t="s">
        <v>7724</v>
      </c>
      <c r="EY52" s="1013" t="s">
        <v>7724</v>
      </c>
      <c r="EZ52" s="1013" t="s">
        <v>7724</v>
      </c>
      <c r="FA52" s="1013" t="s">
        <v>7724</v>
      </c>
      <c r="FB52" s="1013" t="s">
        <v>7724</v>
      </c>
      <c r="FC52" s="1013" t="s">
        <v>7724</v>
      </c>
      <c r="FD52" s="1013" t="s">
        <v>7724</v>
      </c>
      <c r="FE52" s="1013" t="s">
        <v>7724</v>
      </c>
      <c r="FF52" s="1013" t="s">
        <v>7724</v>
      </c>
      <c r="FG52" s="1013">
        <v>0</v>
      </c>
      <c r="FH52" s="1013">
        <v>0</v>
      </c>
      <c r="FI52" s="1013">
        <v>2</v>
      </c>
      <c r="FJ52" s="1013">
        <v>0</v>
      </c>
      <c r="FK52" s="1013">
        <v>1</v>
      </c>
      <c r="FL52" s="1013">
        <v>2</v>
      </c>
      <c r="FM52" s="1013">
        <v>0</v>
      </c>
      <c r="FN52" s="1013">
        <v>15</v>
      </c>
      <c r="FO52" s="1013">
        <v>29</v>
      </c>
      <c r="FP52" s="1013">
        <v>6</v>
      </c>
      <c r="FQ52" s="1013" t="s">
        <v>7724</v>
      </c>
      <c r="FR52" s="1013" t="s">
        <v>7724</v>
      </c>
      <c r="FS52" s="1013" t="s">
        <v>7724</v>
      </c>
      <c r="FT52" s="1013" t="s">
        <v>7723</v>
      </c>
      <c r="FU52" s="1013" t="s">
        <v>7723</v>
      </c>
      <c r="FV52" s="1013">
        <v>-1</v>
      </c>
      <c r="FW52" s="1023">
        <v>0.10972222222222222</v>
      </c>
      <c r="FX52" s="1023">
        <v>0.16111111111111112</v>
      </c>
      <c r="FY52" s="1024">
        <v>45089</v>
      </c>
      <c r="FZ52" s="1024">
        <v>45089</v>
      </c>
      <c r="GA52" s="1024">
        <v>45089</v>
      </c>
      <c r="GB52" s="1024">
        <v>45089</v>
      </c>
      <c r="GC52" s="1013">
        <v>2023</v>
      </c>
      <c r="GD52" s="1013" t="s">
        <v>1407</v>
      </c>
      <c r="GE52" s="1013">
        <v>2</v>
      </c>
      <c r="GF52" s="1013" t="s">
        <v>1407</v>
      </c>
      <c r="GG52" s="1013" t="s">
        <v>1407</v>
      </c>
      <c r="GH52" s="1013" t="s">
        <v>7995</v>
      </c>
      <c r="GI52" s="1013" t="s">
        <v>7974</v>
      </c>
      <c r="GJ52" s="1013" t="s">
        <v>7974</v>
      </c>
      <c r="GK52" s="1013" t="s">
        <v>7974</v>
      </c>
      <c r="GL52" s="1013" t="s">
        <v>7974</v>
      </c>
    </row>
    <row r="53" spans="1:194" hidden="1">
      <c r="A53" s="1013">
        <v>135</v>
      </c>
      <c r="B53" s="1013" t="s">
        <v>7722</v>
      </c>
      <c r="C53" s="1013">
        <v>19674412</v>
      </c>
      <c r="D53" s="1013" t="s">
        <v>7723</v>
      </c>
      <c r="E53" s="1013" t="s">
        <v>7727</v>
      </c>
      <c r="F53" s="1013" t="s">
        <v>7723</v>
      </c>
      <c r="G53" s="1013" t="s">
        <v>7723</v>
      </c>
      <c r="H53" s="1013" t="s">
        <v>7723</v>
      </c>
      <c r="I53" s="1013" t="s">
        <v>7723</v>
      </c>
      <c r="J53" s="1013" t="s">
        <v>7723</v>
      </c>
      <c r="K53" s="1024">
        <v>45133</v>
      </c>
      <c r="L53" s="1023">
        <v>0.46527777777777779</v>
      </c>
      <c r="M53" s="1013" t="s">
        <v>8042</v>
      </c>
      <c r="N53" s="1013" t="s">
        <v>7724</v>
      </c>
      <c r="O53" s="1013">
        <v>101</v>
      </c>
      <c r="P53" s="1013">
        <v>208</v>
      </c>
      <c r="Q53" s="1013" t="s">
        <v>7723</v>
      </c>
      <c r="R53" s="1013" t="s">
        <v>7727</v>
      </c>
      <c r="S53" s="1013" t="s">
        <v>7724</v>
      </c>
      <c r="T53" s="1014" t="s">
        <v>7724</v>
      </c>
      <c r="U53" s="1014">
        <v>2</v>
      </c>
      <c r="V53" s="1014">
        <v>59</v>
      </c>
      <c r="W53" s="1014" t="s">
        <v>7724</v>
      </c>
      <c r="X53" s="1013">
        <v>1</v>
      </c>
      <c r="Y53" s="1013">
        <v>666</v>
      </c>
      <c r="Z53" s="1013" t="s">
        <v>7770</v>
      </c>
      <c r="AA53" s="1013" t="s">
        <v>7771</v>
      </c>
      <c r="AB53" s="1013" t="s">
        <v>7760</v>
      </c>
      <c r="AC53" s="1013" t="s">
        <v>7723</v>
      </c>
      <c r="AD53" s="1013" t="s">
        <v>7723</v>
      </c>
      <c r="AE53" s="1013">
        <v>60</v>
      </c>
      <c r="AF53" s="1013" t="s">
        <v>7723</v>
      </c>
      <c r="AG53" s="1013" t="s">
        <v>7723</v>
      </c>
      <c r="AH53" s="1013" t="s">
        <v>7724</v>
      </c>
      <c r="AI53" s="1013" t="s">
        <v>7723</v>
      </c>
      <c r="AJ53" s="1013">
        <v>19</v>
      </c>
      <c r="AK53" s="1013" t="s">
        <v>7724</v>
      </c>
      <c r="AL53" s="1013" t="s">
        <v>7724</v>
      </c>
      <c r="AM53" s="1013">
        <v>1</v>
      </c>
      <c r="AN53" s="1013">
        <v>500</v>
      </c>
      <c r="AO53" s="1013" t="s">
        <v>7724</v>
      </c>
      <c r="AP53" s="1013" t="s">
        <v>8003</v>
      </c>
      <c r="AQ53" s="1013" t="s">
        <v>7724</v>
      </c>
      <c r="AR53" s="1013" t="s">
        <v>7724</v>
      </c>
      <c r="AS53" s="1013" t="s">
        <v>7724</v>
      </c>
      <c r="AT53" s="1013" t="s">
        <v>7724</v>
      </c>
      <c r="AU53" s="1013" t="s">
        <v>7724</v>
      </c>
      <c r="AV53" s="1013" t="s">
        <v>7724</v>
      </c>
      <c r="AW53" s="1013" t="s">
        <v>7724</v>
      </c>
      <c r="AX53" s="1013">
        <v>11</v>
      </c>
      <c r="AY53" s="1013">
        <v>1</v>
      </c>
      <c r="AZ53" s="1013">
        <v>0</v>
      </c>
      <c r="BA53" s="1013">
        <v>4</v>
      </c>
      <c r="BB53" s="1013">
        <v>1</v>
      </c>
      <c r="BC53" s="1013">
        <v>1</v>
      </c>
      <c r="BD53" s="1013">
        <v>1</v>
      </c>
      <c r="BE53" s="1023">
        <v>0.46597222222222223</v>
      </c>
      <c r="BF53" s="1013" t="s">
        <v>7736</v>
      </c>
      <c r="BG53" s="1023">
        <v>0.47430555555555554</v>
      </c>
      <c r="BH53" s="1024">
        <v>45133</v>
      </c>
      <c r="BI53" s="1013" t="s">
        <v>7727</v>
      </c>
      <c r="BJ53" s="1013" t="s">
        <v>7730</v>
      </c>
      <c r="BK53" s="1013">
        <v>2469</v>
      </c>
      <c r="BL53" s="1013" t="s">
        <v>7724</v>
      </c>
      <c r="BM53" s="1013" t="s">
        <v>7724</v>
      </c>
      <c r="BN53" s="1013">
        <v>113</v>
      </c>
      <c r="BO53" s="1013">
        <v>8</v>
      </c>
      <c r="BP53" s="1013">
        <v>2</v>
      </c>
      <c r="BQ53" s="1013">
        <v>2</v>
      </c>
      <c r="BR53" s="1013">
        <v>21</v>
      </c>
      <c r="BS53" s="1013">
        <v>64</v>
      </c>
      <c r="BT53" s="1013">
        <v>9</v>
      </c>
      <c r="BU53" s="1013">
        <v>3</v>
      </c>
      <c r="BV53" s="1013">
        <v>2</v>
      </c>
      <c r="BW53" s="1013">
        <v>1</v>
      </c>
      <c r="BX53" s="1013">
        <v>21</v>
      </c>
      <c r="BY53" s="1013">
        <v>21</v>
      </c>
      <c r="BZ53" s="1013">
        <v>101</v>
      </c>
      <c r="CA53" s="1013">
        <v>208</v>
      </c>
      <c r="CB53" s="1013">
        <v>29.732417000000002</v>
      </c>
      <c r="CC53" s="1013">
        <v>-95.381829999999994</v>
      </c>
      <c r="CD53" s="1013" t="s">
        <v>8016</v>
      </c>
      <c r="CE53" s="1013">
        <v>69</v>
      </c>
      <c r="CF53" s="1013" t="s">
        <v>7724</v>
      </c>
      <c r="CG53" s="1013">
        <v>33.502000000000002</v>
      </c>
      <c r="CH53" s="1013" t="s">
        <v>8017</v>
      </c>
      <c r="CI53" s="1013" t="s">
        <v>7724</v>
      </c>
      <c r="CJ53" s="1013">
        <v>27</v>
      </c>
      <c r="CK53" s="1013">
        <v>13</v>
      </c>
      <c r="CL53" s="1013">
        <v>13.797000000000001</v>
      </c>
      <c r="CM53" s="1013">
        <v>128</v>
      </c>
      <c r="CN53" s="1013">
        <v>0.24299999999999999</v>
      </c>
      <c r="CO53" s="1013" t="s">
        <v>8018</v>
      </c>
      <c r="CP53" s="1013">
        <v>288</v>
      </c>
      <c r="CQ53" s="1013" t="s">
        <v>7724</v>
      </c>
      <c r="CR53" s="1013" t="s">
        <v>8019</v>
      </c>
      <c r="CS53" s="1013" t="s">
        <v>7724</v>
      </c>
      <c r="CT53" s="1013" t="s">
        <v>7724</v>
      </c>
      <c r="CU53" s="1013" t="s">
        <v>7724</v>
      </c>
      <c r="CV53" s="1013" t="s">
        <v>7724</v>
      </c>
      <c r="CW53" s="1013" t="s">
        <v>7727</v>
      </c>
      <c r="CX53" s="1013" t="s">
        <v>7727</v>
      </c>
      <c r="CY53" s="1013" t="s">
        <v>7723</v>
      </c>
      <c r="CZ53" s="1013">
        <v>5</v>
      </c>
      <c r="DA53" s="1013">
        <v>9</v>
      </c>
      <c r="DB53" s="1013" t="s">
        <v>7727</v>
      </c>
      <c r="DC53" s="1013" t="s">
        <v>7756</v>
      </c>
      <c r="DD53" s="1013">
        <v>5</v>
      </c>
      <c r="DE53" s="1013" t="s">
        <v>7724</v>
      </c>
      <c r="DF53" s="1013">
        <v>20</v>
      </c>
      <c r="DG53" s="1013">
        <v>20</v>
      </c>
      <c r="DH53" s="1013">
        <v>5</v>
      </c>
      <c r="DI53" s="1013" t="s">
        <v>7724</v>
      </c>
      <c r="DJ53" s="1013">
        <v>8</v>
      </c>
      <c r="DK53" s="1013">
        <v>400</v>
      </c>
      <c r="DL53" s="1013">
        <v>138</v>
      </c>
      <c r="DM53" s="1013">
        <v>98</v>
      </c>
      <c r="DN53" s="1013">
        <v>1</v>
      </c>
      <c r="DO53" s="1013">
        <v>0</v>
      </c>
      <c r="DP53" s="1013">
        <v>0</v>
      </c>
      <c r="DQ53" s="1013">
        <v>1</v>
      </c>
      <c r="DR53" s="1013">
        <v>20</v>
      </c>
      <c r="DS53" s="1013">
        <v>5</v>
      </c>
      <c r="DT53" s="1013">
        <v>1</v>
      </c>
      <c r="DU53" s="1013">
        <v>20</v>
      </c>
      <c r="DV53" s="1013">
        <v>5</v>
      </c>
      <c r="DW53" s="1013">
        <v>7</v>
      </c>
      <c r="DX53" s="1013">
        <v>5</v>
      </c>
      <c r="DY53" s="1013">
        <v>4</v>
      </c>
      <c r="DZ53" s="1013">
        <v>1</v>
      </c>
      <c r="EA53" s="1013">
        <v>185410</v>
      </c>
      <c r="EB53" s="1013">
        <v>2019</v>
      </c>
      <c r="EC53" s="1013">
        <v>185410</v>
      </c>
      <c r="ED53" s="1013">
        <v>2.2999999999999998</v>
      </c>
      <c r="EE53" s="1013">
        <v>2.5</v>
      </c>
      <c r="EF53" s="1013">
        <v>4.8</v>
      </c>
      <c r="EG53" s="1013" t="s">
        <v>7724</v>
      </c>
      <c r="EH53" s="1013" t="s">
        <v>7724</v>
      </c>
      <c r="EI53" s="1013" t="s">
        <v>7724</v>
      </c>
      <c r="EJ53" s="1013" t="s">
        <v>7724</v>
      </c>
      <c r="EK53" s="1013" t="s">
        <v>7724</v>
      </c>
      <c r="EL53" s="1013" t="s">
        <v>7724</v>
      </c>
      <c r="EM53" s="1013" t="s">
        <v>7724</v>
      </c>
      <c r="EN53" s="1013" t="s">
        <v>7724</v>
      </c>
      <c r="EO53" s="1013" t="s">
        <v>7724</v>
      </c>
      <c r="EP53" s="1013" t="s">
        <v>7724</v>
      </c>
      <c r="EQ53" s="1013" t="s">
        <v>7724</v>
      </c>
      <c r="ER53" s="1013" t="s">
        <v>7724</v>
      </c>
      <c r="ES53" s="1013" t="s">
        <v>7724</v>
      </c>
      <c r="ET53" s="1013" t="s">
        <v>7724</v>
      </c>
      <c r="EU53" s="1013" t="s">
        <v>7724</v>
      </c>
      <c r="EV53" s="1013" t="s">
        <v>7724</v>
      </c>
      <c r="EW53" s="1013" t="s">
        <v>7724</v>
      </c>
      <c r="EX53" s="1013" t="s">
        <v>7724</v>
      </c>
      <c r="EY53" s="1013" t="s">
        <v>7724</v>
      </c>
      <c r="EZ53" s="1013" t="s">
        <v>7724</v>
      </c>
      <c r="FA53" s="1013" t="s">
        <v>7724</v>
      </c>
      <c r="FB53" s="1013" t="s">
        <v>7724</v>
      </c>
      <c r="FC53" s="1013" t="s">
        <v>7724</v>
      </c>
      <c r="FD53" s="1013" t="s">
        <v>7724</v>
      </c>
      <c r="FE53" s="1013" t="s">
        <v>7724</v>
      </c>
      <c r="FF53" s="1013" t="s">
        <v>7724</v>
      </c>
      <c r="FG53" s="1013">
        <v>0</v>
      </c>
      <c r="FH53" s="1013">
        <v>0</v>
      </c>
      <c r="FI53" s="1013">
        <v>0</v>
      </c>
      <c r="FJ53" s="1013">
        <v>3</v>
      </c>
      <c r="FK53" s="1013">
        <v>0</v>
      </c>
      <c r="FL53" s="1013">
        <v>0</v>
      </c>
      <c r="FM53" s="1013">
        <v>0</v>
      </c>
      <c r="FN53" s="1013">
        <v>15</v>
      </c>
      <c r="FO53" s="1013">
        <v>29</v>
      </c>
      <c r="FP53" s="1013">
        <v>6</v>
      </c>
      <c r="FQ53" s="1013" t="s">
        <v>7724</v>
      </c>
      <c r="FR53" s="1013" t="s">
        <v>7724</v>
      </c>
      <c r="FS53" s="1013" t="s">
        <v>7724</v>
      </c>
      <c r="FT53" s="1013" t="s">
        <v>7723</v>
      </c>
      <c r="FU53" s="1013" t="s">
        <v>7770</v>
      </c>
      <c r="FV53" s="1013">
        <v>-1</v>
      </c>
      <c r="FW53" s="1023">
        <v>0.48958333333333331</v>
      </c>
      <c r="FX53" s="1023">
        <v>0.51736111111111116</v>
      </c>
      <c r="FY53" s="1024">
        <v>45133</v>
      </c>
      <c r="FZ53" s="1024">
        <v>45133</v>
      </c>
      <c r="GA53" s="1024">
        <v>45133</v>
      </c>
      <c r="GB53" s="1024">
        <v>45133</v>
      </c>
      <c r="GC53" s="1013">
        <v>2023</v>
      </c>
      <c r="GD53" s="1013" t="s">
        <v>1404</v>
      </c>
      <c r="GE53" s="1013">
        <v>3</v>
      </c>
      <c r="GF53" s="1013" t="s">
        <v>1407</v>
      </c>
      <c r="GG53" s="1013" t="s">
        <v>1407</v>
      </c>
      <c r="GH53" s="1013" t="s">
        <v>8043</v>
      </c>
      <c r="GI53" s="1013" t="s">
        <v>7980</v>
      </c>
      <c r="GJ53" s="1013" t="s">
        <v>7980</v>
      </c>
      <c r="GK53" s="1013" t="s">
        <v>7980</v>
      </c>
      <c r="GL53" s="1013" t="s">
        <v>7980</v>
      </c>
    </row>
    <row r="54" spans="1:194" hidden="1">
      <c r="A54" s="1013">
        <v>148</v>
      </c>
      <c r="B54" s="1013" t="s">
        <v>7722</v>
      </c>
      <c r="C54" s="1013">
        <v>19427306</v>
      </c>
      <c r="D54" s="1013" t="s">
        <v>7723</v>
      </c>
      <c r="E54" s="1013" t="s">
        <v>7723</v>
      </c>
      <c r="F54" s="1013" t="s">
        <v>7723</v>
      </c>
      <c r="G54" s="1013" t="s">
        <v>7723</v>
      </c>
      <c r="H54" s="1013" t="s">
        <v>7723</v>
      </c>
      <c r="I54" s="1013" t="s">
        <v>7723</v>
      </c>
      <c r="J54" s="1013" t="s">
        <v>7723</v>
      </c>
      <c r="K54" s="1024">
        <v>44992</v>
      </c>
      <c r="L54" s="1023">
        <v>0.81319444444444444</v>
      </c>
      <c r="M54" s="1013" t="s">
        <v>8044</v>
      </c>
      <c r="N54" s="1013" t="s">
        <v>7744</v>
      </c>
      <c r="O54" s="1013">
        <v>101</v>
      </c>
      <c r="P54" s="1013">
        <v>208</v>
      </c>
      <c r="Q54" s="1013" t="s">
        <v>7723</v>
      </c>
      <c r="R54" s="1013" t="s">
        <v>7727</v>
      </c>
      <c r="S54" s="1013" t="s">
        <v>7724</v>
      </c>
      <c r="T54" s="1014" t="s">
        <v>7724</v>
      </c>
      <c r="U54" s="1014">
        <v>2</v>
      </c>
      <c r="V54" s="1014">
        <v>59</v>
      </c>
      <c r="W54" s="1014" t="s">
        <v>7724</v>
      </c>
      <c r="X54" s="1013">
        <v>1</v>
      </c>
      <c r="Y54" s="1013">
        <v>1000</v>
      </c>
      <c r="Z54" s="1013" t="s">
        <v>7770</v>
      </c>
      <c r="AA54" s="1013" t="s">
        <v>7771</v>
      </c>
      <c r="AB54" s="1013" t="s">
        <v>7760</v>
      </c>
      <c r="AC54" s="1013" t="s">
        <v>7723</v>
      </c>
      <c r="AD54" s="1013" t="s">
        <v>7723</v>
      </c>
      <c r="AE54" s="1013">
        <v>65</v>
      </c>
      <c r="AF54" s="1013" t="s">
        <v>7723</v>
      </c>
      <c r="AG54" s="1013" t="s">
        <v>7723</v>
      </c>
      <c r="AH54" s="1013" t="s">
        <v>7739</v>
      </c>
      <c r="AI54" s="1013" t="s">
        <v>7723</v>
      </c>
      <c r="AJ54" s="1013">
        <v>19</v>
      </c>
      <c r="AK54" s="1013" t="s">
        <v>7724</v>
      </c>
      <c r="AL54" s="1013" t="s">
        <v>7724</v>
      </c>
      <c r="AM54" s="1013">
        <v>1</v>
      </c>
      <c r="AN54" s="1013">
        <v>500</v>
      </c>
      <c r="AO54" s="1013" t="s">
        <v>7724</v>
      </c>
      <c r="AP54" s="1013" t="s">
        <v>8003</v>
      </c>
      <c r="AQ54" s="1013" t="s">
        <v>7735</v>
      </c>
      <c r="AR54" s="1013" t="s">
        <v>7724</v>
      </c>
      <c r="AS54" s="1013" t="s">
        <v>7724</v>
      </c>
      <c r="AT54" s="1013" t="s">
        <v>7724</v>
      </c>
      <c r="AU54" s="1013" t="s">
        <v>7724</v>
      </c>
      <c r="AV54" s="1013" t="s">
        <v>7724</v>
      </c>
      <c r="AW54" s="1013" t="s">
        <v>7724</v>
      </c>
      <c r="AX54" s="1013">
        <v>11</v>
      </c>
      <c r="AY54" s="1013">
        <v>3</v>
      </c>
      <c r="AZ54" s="1013">
        <v>98</v>
      </c>
      <c r="BA54" s="1013">
        <v>4</v>
      </c>
      <c r="BB54" s="1013">
        <v>6</v>
      </c>
      <c r="BC54" s="1013">
        <v>1</v>
      </c>
      <c r="BD54" s="1013">
        <v>20</v>
      </c>
      <c r="BE54" s="1023">
        <v>0.81944444444444442</v>
      </c>
      <c r="BF54" s="1013" t="s">
        <v>7736</v>
      </c>
      <c r="BG54" s="1023">
        <v>0.82499999999999996</v>
      </c>
      <c r="BH54" s="1024">
        <v>44992</v>
      </c>
      <c r="BI54" s="1013" t="s">
        <v>7727</v>
      </c>
      <c r="BJ54" s="1013" t="s">
        <v>7730</v>
      </c>
      <c r="BK54" s="1013">
        <v>2469</v>
      </c>
      <c r="BL54" s="1013" t="s">
        <v>7724</v>
      </c>
      <c r="BM54" s="1013" t="s">
        <v>7724</v>
      </c>
      <c r="BN54" s="1013">
        <v>113</v>
      </c>
      <c r="BO54" s="1013">
        <v>8</v>
      </c>
      <c r="BP54" s="1013">
        <v>2</v>
      </c>
      <c r="BQ54" s="1013">
        <v>1</v>
      </c>
      <c r="BR54" s="1013">
        <v>21</v>
      </c>
      <c r="BS54" s="1013">
        <v>64</v>
      </c>
      <c r="BT54" s="1013">
        <v>9</v>
      </c>
      <c r="BU54" s="1013">
        <v>1</v>
      </c>
      <c r="BV54" s="1013">
        <v>2</v>
      </c>
      <c r="BW54" s="1013">
        <v>1</v>
      </c>
      <c r="BX54" s="1013">
        <v>21</v>
      </c>
      <c r="BY54" s="1013">
        <v>21</v>
      </c>
      <c r="BZ54" s="1013">
        <v>101</v>
      </c>
      <c r="CA54" s="1013">
        <v>208</v>
      </c>
      <c r="CB54" s="1013">
        <v>29.732420000000001</v>
      </c>
      <c r="CC54" s="1013">
        <v>-95.381793000000002</v>
      </c>
      <c r="CD54" s="1013" t="s">
        <v>8016</v>
      </c>
      <c r="CE54" s="1013">
        <v>69</v>
      </c>
      <c r="CF54" s="1013" t="s">
        <v>7724</v>
      </c>
      <c r="CG54" s="1013">
        <v>33.505000000000003</v>
      </c>
      <c r="CH54" s="1013" t="s">
        <v>8017</v>
      </c>
      <c r="CI54" s="1013" t="s">
        <v>7724</v>
      </c>
      <c r="CJ54" s="1013">
        <v>27</v>
      </c>
      <c r="CK54" s="1013">
        <v>13</v>
      </c>
      <c r="CL54" s="1013">
        <v>13.798999999999999</v>
      </c>
      <c r="CM54" s="1013">
        <v>128</v>
      </c>
      <c r="CN54" s="1013">
        <v>0.246</v>
      </c>
      <c r="CO54" s="1013" t="s">
        <v>8018</v>
      </c>
      <c r="CP54" s="1013">
        <v>288</v>
      </c>
      <c r="CQ54" s="1013" t="s">
        <v>7724</v>
      </c>
      <c r="CR54" s="1013" t="s">
        <v>8019</v>
      </c>
      <c r="CS54" s="1013" t="s">
        <v>7724</v>
      </c>
      <c r="CT54" s="1013" t="s">
        <v>7724</v>
      </c>
      <c r="CU54" s="1013" t="s">
        <v>7724</v>
      </c>
      <c r="CV54" s="1013" t="s">
        <v>7724</v>
      </c>
      <c r="CW54" s="1013" t="s">
        <v>7727</v>
      </c>
      <c r="CX54" s="1013" t="s">
        <v>7727</v>
      </c>
      <c r="CY54" s="1013" t="s">
        <v>7723</v>
      </c>
      <c r="CZ54" s="1013">
        <v>5</v>
      </c>
      <c r="DA54" s="1013">
        <v>9</v>
      </c>
      <c r="DB54" s="1013" t="s">
        <v>7727</v>
      </c>
      <c r="DC54" s="1013" t="s">
        <v>7737</v>
      </c>
      <c r="DD54" s="1013">
        <v>5</v>
      </c>
      <c r="DE54" s="1013" t="s">
        <v>7724</v>
      </c>
      <c r="DF54" s="1013">
        <v>20</v>
      </c>
      <c r="DG54" s="1013">
        <v>20</v>
      </c>
      <c r="DH54" s="1013">
        <v>5</v>
      </c>
      <c r="DI54" s="1013" t="s">
        <v>7724</v>
      </c>
      <c r="DJ54" s="1013">
        <v>8</v>
      </c>
      <c r="DK54" s="1013">
        <v>400</v>
      </c>
      <c r="DL54" s="1013">
        <v>138</v>
      </c>
      <c r="DM54" s="1013">
        <v>98</v>
      </c>
      <c r="DN54" s="1013">
        <v>1</v>
      </c>
      <c r="DO54" s="1013">
        <v>0</v>
      </c>
      <c r="DP54" s="1013">
        <v>0</v>
      </c>
      <c r="DQ54" s="1013">
        <v>1</v>
      </c>
      <c r="DR54" s="1013">
        <v>20</v>
      </c>
      <c r="DS54" s="1013">
        <v>5</v>
      </c>
      <c r="DT54" s="1013">
        <v>1</v>
      </c>
      <c r="DU54" s="1013">
        <v>20</v>
      </c>
      <c r="DV54" s="1013">
        <v>5</v>
      </c>
      <c r="DW54" s="1013">
        <v>7</v>
      </c>
      <c r="DX54" s="1013">
        <v>5</v>
      </c>
      <c r="DY54" s="1013">
        <v>4</v>
      </c>
      <c r="DZ54" s="1013">
        <v>1</v>
      </c>
      <c r="EA54" s="1013">
        <v>185410</v>
      </c>
      <c r="EB54" s="1013">
        <v>2019</v>
      </c>
      <c r="EC54" s="1013">
        <v>185410</v>
      </c>
      <c r="ED54" s="1013">
        <v>2.2999999999999998</v>
      </c>
      <c r="EE54" s="1013">
        <v>2.5</v>
      </c>
      <c r="EF54" s="1013">
        <v>4.8</v>
      </c>
      <c r="EG54" s="1013" t="s">
        <v>7724</v>
      </c>
      <c r="EH54" s="1013" t="s">
        <v>7724</v>
      </c>
      <c r="EI54" s="1013" t="s">
        <v>7724</v>
      </c>
      <c r="EJ54" s="1013" t="s">
        <v>7724</v>
      </c>
      <c r="EK54" s="1013" t="s">
        <v>7724</v>
      </c>
      <c r="EL54" s="1013" t="s">
        <v>7724</v>
      </c>
      <c r="EM54" s="1013" t="s">
        <v>7724</v>
      </c>
      <c r="EN54" s="1013" t="s">
        <v>7724</v>
      </c>
      <c r="EO54" s="1013" t="s">
        <v>7724</v>
      </c>
      <c r="EP54" s="1013" t="s">
        <v>7724</v>
      </c>
      <c r="EQ54" s="1013" t="s">
        <v>7724</v>
      </c>
      <c r="ER54" s="1013" t="s">
        <v>7724</v>
      </c>
      <c r="ES54" s="1013" t="s">
        <v>7724</v>
      </c>
      <c r="ET54" s="1013" t="s">
        <v>7724</v>
      </c>
      <c r="EU54" s="1013" t="s">
        <v>7724</v>
      </c>
      <c r="EV54" s="1013" t="s">
        <v>7724</v>
      </c>
      <c r="EW54" s="1013" t="s">
        <v>7724</v>
      </c>
      <c r="EX54" s="1013" t="s">
        <v>7724</v>
      </c>
      <c r="EY54" s="1013" t="s">
        <v>7724</v>
      </c>
      <c r="EZ54" s="1013" t="s">
        <v>7724</v>
      </c>
      <c r="FA54" s="1013" t="s">
        <v>7724</v>
      </c>
      <c r="FB54" s="1013" t="s">
        <v>7724</v>
      </c>
      <c r="FC54" s="1013" t="s">
        <v>7724</v>
      </c>
      <c r="FD54" s="1013" t="s">
        <v>7724</v>
      </c>
      <c r="FE54" s="1013" t="s">
        <v>7724</v>
      </c>
      <c r="FF54" s="1013" t="s">
        <v>7724</v>
      </c>
      <c r="FG54" s="1013">
        <v>0</v>
      </c>
      <c r="FH54" s="1013">
        <v>0</v>
      </c>
      <c r="FI54" s="1013">
        <v>0</v>
      </c>
      <c r="FJ54" s="1013">
        <v>1</v>
      </c>
      <c r="FK54" s="1013">
        <v>1</v>
      </c>
      <c r="FL54" s="1013">
        <v>0</v>
      </c>
      <c r="FM54" s="1013">
        <v>0</v>
      </c>
      <c r="FN54" s="1013">
        <v>15</v>
      </c>
      <c r="FO54" s="1013">
        <v>29</v>
      </c>
      <c r="FP54" s="1013">
        <v>51</v>
      </c>
      <c r="FQ54" s="1013" t="s">
        <v>7724</v>
      </c>
      <c r="FR54" s="1013" t="s">
        <v>7724</v>
      </c>
      <c r="FS54" s="1013" t="s">
        <v>7724</v>
      </c>
      <c r="FT54" s="1013" t="s">
        <v>7724</v>
      </c>
      <c r="FU54" s="1013" t="s">
        <v>7724</v>
      </c>
      <c r="FV54" s="1013" t="s">
        <v>7724</v>
      </c>
      <c r="FW54" s="1013" t="s">
        <v>7724</v>
      </c>
      <c r="FX54" s="1013" t="s">
        <v>7724</v>
      </c>
      <c r="FY54" s="1013" t="s">
        <v>7724</v>
      </c>
      <c r="FZ54" s="1013" t="s">
        <v>7724</v>
      </c>
      <c r="GA54" s="1013" t="s">
        <v>7724</v>
      </c>
      <c r="GB54" s="1013" t="s">
        <v>7724</v>
      </c>
      <c r="GC54" s="1013">
        <v>2023</v>
      </c>
      <c r="GD54" s="1013" t="s">
        <v>1407</v>
      </c>
      <c r="GE54" s="1013">
        <v>2</v>
      </c>
      <c r="GF54" s="1013" t="s">
        <v>1407</v>
      </c>
      <c r="GG54" s="1013" t="s">
        <v>1407</v>
      </c>
      <c r="GH54" s="1013" t="s">
        <v>7995</v>
      </c>
      <c r="GI54" s="1013" t="s">
        <v>7974</v>
      </c>
      <c r="GJ54" s="1013" t="s">
        <v>7974</v>
      </c>
      <c r="GK54" s="1013" t="s">
        <v>7974</v>
      </c>
      <c r="GL54" s="1013" t="s">
        <v>7974</v>
      </c>
    </row>
    <row r="55" spans="1:194" hidden="1">
      <c r="A55" s="1013">
        <v>15</v>
      </c>
      <c r="B55" s="1013" t="s">
        <v>7722</v>
      </c>
      <c r="C55" s="1013">
        <v>19000898</v>
      </c>
      <c r="D55" s="1013" t="s">
        <v>7723</v>
      </c>
      <c r="E55" s="1013" t="s">
        <v>7723</v>
      </c>
      <c r="F55" s="1013" t="s">
        <v>7723</v>
      </c>
      <c r="G55" s="1013" t="s">
        <v>7723</v>
      </c>
      <c r="H55" s="1013" t="s">
        <v>7723</v>
      </c>
      <c r="I55" s="1013" t="s">
        <v>7723</v>
      </c>
      <c r="J55" s="1013" t="s">
        <v>7723</v>
      </c>
      <c r="K55" s="1024">
        <v>44749</v>
      </c>
      <c r="L55" s="1023">
        <v>0.6875</v>
      </c>
      <c r="M55" s="1013" t="s">
        <v>7873</v>
      </c>
      <c r="N55" s="1013" t="s">
        <v>7744</v>
      </c>
      <c r="O55" s="1013">
        <v>101</v>
      </c>
      <c r="P55" s="1013">
        <v>208</v>
      </c>
      <c r="Q55" s="1013" t="s">
        <v>7723</v>
      </c>
      <c r="R55" s="1013" t="s">
        <v>7727</v>
      </c>
      <c r="S55" s="1013" t="s">
        <v>7724</v>
      </c>
      <c r="T55" s="1014" t="s">
        <v>7724</v>
      </c>
      <c r="U55" s="1014">
        <v>19</v>
      </c>
      <c r="V55" s="1014" t="s">
        <v>7724</v>
      </c>
      <c r="W55" s="1014" t="s">
        <v>7724</v>
      </c>
      <c r="X55" s="1013">
        <v>1</v>
      </c>
      <c r="Y55" s="1013">
        <v>4300</v>
      </c>
      <c r="Z55" s="1013" t="s">
        <v>7724</v>
      </c>
      <c r="AA55" s="1013" t="s">
        <v>7725</v>
      </c>
      <c r="AB55" s="1013" t="s">
        <v>7735</v>
      </c>
      <c r="AC55" s="1013" t="s">
        <v>7723</v>
      </c>
      <c r="AD55" s="1013" t="s">
        <v>7723</v>
      </c>
      <c r="AE55" s="1013">
        <v>35</v>
      </c>
      <c r="AF55" s="1013" t="s">
        <v>7723</v>
      </c>
      <c r="AG55" s="1013" t="s">
        <v>7723</v>
      </c>
      <c r="AH55" s="1013" t="s">
        <v>7724</v>
      </c>
      <c r="AI55" s="1013" t="s">
        <v>7727</v>
      </c>
      <c r="AJ55" s="1013">
        <v>19</v>
      </c>
      <c r="AK55" s="1013" t="s">
        <v>7724</v>
      </c>
      <c r="AL55" s="1013" t="s">
        <v>7724</v>
      </c>
      <c r="AM55" s="1013">
        <v>1</v>
      </c>
      <c r="AN55" s="1013" t="s">
        <v>7724</v>
      </c>
      <c r="AO55" s="1013" t="s">
        <v>7724</v>
      </c>
      <c r="AP55" s="1013" t="s">
        <v>7728</v>
      </c>
      <c r="AQ55" s="1013" t="s">
        <v>7726</v>
      </c>
      <c r="AR55" s="1013" t="s">
        <v>7724</v>
      </c>
      <c r="AS55" s="1013" t="s">
        <v>7724</v>
      </c>
      <c r="AT55" s="1013" t="s">
        <v>7724</v>
      </c>
      <c r="AU55" s="1013" t="s">
        <v>7724</v>
      </c>
      <c r="AV55" s="1013" t="s">
        <v>7724</v>
      </c>
      <c r="AW55" s="1013" t="s">
        <v>7724</v>
      </c>
      <c r="AX55" s="1013">
        <v>2</v>
      </c>
      <c r="AY55" s="1013">
        <v>1</v>
      </c>
      <c r="AZ55" s="1013">
        <v>4</v>
      </c>
      <c r="BA55" s="1013">
        <v>2</v>
      </c>
      <c r="BB55" s="1013">
        <v>1</v>
      </c>
      <c r="BC55" s="1013">
        <v>2</v>
      </c>
      <c r="BD55" s="1013">
        <v>20</v>
      </c>
      <c r="BE55" s="1023">
        <v>0.84027777777777779</v>
      </c>
      <c r="BF55" s="1013" t="s">
        <v>7761</v>
      </c>
      <c r="BG55" s="1023">
        <v>0.84027777777777779</v>
      </c>
      <c r="BH55" s="1024">
        <v>44749</v>
      </c>
      <c r="BI55" s="1013" t="s">
        <v>7727</v>
      </c>
      <c r="BJ55" s="1013" t="s">
        <v>7730</v>
      </c>
      <c r="BK55" s="1013">
        <v>2469</v>
      </c>
      <c r="BL55" s="1013" t="s">
        <v>7724</v>
      </c>
      <c r="BM55" s="1013" t="s">
        <v>7724</v>
      </c>
      <c r="BN55" s="1013">
        <v>113</v>
      </c>
      <c r="BO55" s="1013">
        <v>8</v>
      </c>
      <c r="BP55" s="1013">
        <v>2</v>
      </c>
      <c r="BQ55" s="1013">
        <v>1</v>
      </c>
      <c r="BR55" s="1013">
        <v>10</v>
      </c>
      <c r="BS55" s="1013">
        <v>64</v>
      </c>
      <c r="BT55" s="1013">
        <v>54</v>
      </c>
      <c r="BU55" s="1013">
        <v>1</v>
      </c>
      <c r="BV55" s="1013">
        <v>5</v>
      </c>
      <c r="BW55" s="1013">
        <v>1</v>
      </c>
      <c r="BX55" s="1013">
        <v>21</v>
      </c>
      <c r="BY55" s="1013">
        <v>21</v>
      </c>
      <c r="BZ55" s="1013">
        <v>101</v>
      </c>
      <c r="CA55" s="1013">
        <v>208</v>
      </c>
      <c r="CB55" s="1013">
        <v>29.733094999999999</v>
      </c>
      <c r="CC55" s="1013">
        <v>-95.381282999999996</v>
      </c>
      <c r="CD55" s="1013" t="s">
        <v>7724</v>
      </c>
      <c r="CE55" s="1013" t="s">
        <v>7724</v>
      </c>
      <c r="CF55" s="1013" t="s">
        <v>7724</v>
      </c>
      <c r="CG55" s="1013" t="s">
        <v>7724</v>
      </c>
      <c r="CH55" s="1013" t="s">
        <v>7731</v>
      </c>
      <c r="CI55" s="1013">
        <v>1201</v>
      </c>
      <c r="CJ55" s="1013" t="s">
        <v>7724</v>
      </c>
      <c r="CK55" s="1013" t="s">
        <v>7724</v>
      </c>
      <c r="CL55" s="1013" t="s">
        <v>7724</v>
      </c>
      <c r="CM55" s="1013" t="s">
        <v>7724</v>
      </c>
      <c r="CN55" s="1013" t="s">
        <v>7724</v>
      </c>
      <c r="CO55" s="1013" t="s">
        <v>7724</v>
      </c>
      <c r="CP55" s="1013" t="s">
        <v>7724</v>
      </c>
      <c r="CQ55" s="1013" t="s">
        <v>7724</v>
      </c>
      <c r="CR55" s="1013" t="s">
        <v>7732</v>
      </c>
      <c r="CS55" s="1013" t="s">
        <v>7724</v>
      </c>
      <c r="CT55" s="1013" t="s">
        <v>7724</v>
      </c>
      <c r="CU55" s="1013" t="s">
        <v>7724</v>
      </c>
      <c r="CV55" s="1013" t="s">
        <v>7724</v>
      </c>
      <c r="CW55" s="1013" t="s">
        <v>7727</v>
      </c>
      <c r="CX55" s="1013" t="s">
        <v>7723</v>
      </c>
      <c r="CY55" s="1013" t="s">
        <v>7723</v>
      </c>
      <c r="CZ55" s="1013">
        <v>5</v>
      </c>
      <c r="DA55" s="1013">
        <v>9</v>
      </c>
      <c r="DB55" s="1013" t="s">
        <v>7727</v>
      </c>
      <c r="DC55" s="1013" t="s">
        <v>7740</v>
      </c>
      <c r="DD55" s="1013" t="s">
        <v>7724</v>
      </c>
      <c r="DE55" s="1013" t="s">
        <v>7724</v>
      </c>
      <c r="DF55" s="1013" t="s">
        <v>7724</v>
      </c>
      <c r="DG55" s="1013" t="s">
        <v>7724</v>
      </c>
      <c r="DH55" s="1013" t="s">
        <v>7724</v>
      </c>
      <c r="DI55" s="1013" t="s">
        <v>7724</v>
      </c>
      <c r="DJ55" s="1013" t="s">
        <v>7724</v>
      </c>
      <c r="DK55" s="1013" t="s">
        <v>7724</v>
      </c>
      <c r="DL55" s="1013" t="s">
        <v>7724</v>
      </c>
      <c r="DM55" s="1013" t="s">
        <v>7724</v>
      </c>
      <c r="DN55" s="1013" t="s">
        <v>7724</v>
      </c>
      <c r="DO55" s="1013" t="s">
        <v>7724</v>
      </c>
      <c r="DP55" s="1013" t="s">
        <v>7724</v>
      </c>
      <c r="DQ55" s="1013" t="s">
        <v>7724</v>
      </c>
      <c r="DR55" s="1013" t="s">
        <v>7724</v>
      </c>
      <c r="DS55" s="1013" t="s">
        <v>7724</v>
      </c>
      <c r="DT55" s="1013" t="s">
        <v>7724</v>
      </c>
      <c r="DU55" s="1013" t="s">
        <v>7724</v>
      </c>
      <c r="DV55" s="1013" t="s">
        <v>7724</v>
      </c>
      <c r="DW55" s="1013" t="s">
        <v>7724</v>
      </c>
      <c r="DX55" s="1013" t="s">
        <v>7724</v>
      </c>
      <c r="DY55" s="1013" t="s">
        <v>7724</v>
      </c>
      <c r="DZ55" s="1013" t="s">
        <v>7724</v>
      </c>
      <c r="EA55" s="1013" t="s">
        <v>7724</v>
      </c>
      <c r="EB55" s="1013" t="s">
        <v>7724</v>
      </c>
      <c r="EC55" s="1013" t="s">
        <v>7724</v>
      </c>
      <c r="ED55" s="1013" t="s">
        <v>7724</v>
      </c>
      <c r="EE55" s="1013" t="s">
        <v>7724</v>
      </c>
      <c r="EF55" s="1013" t="s">
        <v>7724</v>
      </c>
      <c r="EG55" s="1013" t="s">
        <v>7724</v>
      </c>
      <c r="EH55" s="1013" t="s">
        <v>7724</v>
      </c>
      <c r="EI55" s="1013" t="s">
        <v>7724</v>
      </c>
      <c r="EJ55" s="1013" t="s">
        <v>7724</v>
      </c>
      <c r="EK55" s="1013" t="s">
        <v>7724</v>
      </c>
      <c r="EL55" s="1013" t="s">
        <v>7724</v>
      </c>
      <c r="EM55" s="1013" t="s">
        <v>7724</v>
      </c>
      <c r="EN55" s="1013" t="s">
        <v>7724</v>
      </c>
      <c r="EO55" s="1013" t="s">
        <v>7724</v>
      </c>
      <c r="EP55" s="1013" t="s">
        <v>7724</v>
      </c>
      <c r="EQ55" s="1013" t="s">
        <v>7724</v>
      </c>
      <c r="ER55" s="1013" t="s">
        <v>7724</v>
      </c>
      <c r="ES55" s="1013" t="s">
        <v>7724</v>
      </c>
      <c r="ET55" s="1013" t="s">
        <v>7724</v>
      </c>
      <c r="EU55" s="1013" t="s">
        <v>7724</v>
      </c>
      <c r="EV55" s="1013" t="s">
        <v>7724</v>
      </c>
      <c r="EW55" s="1013" t="s">
        <v>7724</v>
      </c>
      <c r="EX55" s="1013" t="s">
        <v>7724</v>
      </c>
      <c r="EY55" s="1013" t="s">
        <v>7724</v>
      </c>
      <c r="EZ55" s="1013" t="s">
        <v>7724</v>
      </c>
      <c r="FA55" s="1013" t="s">
        <v>7724</v>
      </c>
      <c r="FB55" s="1013" t="s">
        <v>7724</v>
      </c>
      <c r="FC55" s="1013" t="s">
        <v>7724</v>
      </c>
      <c r="FD55" s="1013" t="s">
        <v>7724</v>
      </c>
      <c r="FE55" s="1013" t="s">
        <v>7724</v>
      </c>
      <c r="FF55" s="1013" t="s">
        <v>7724</v>
      </c>
      <c r="FG55" s="1013">
        <v>0</v>
      </c>
      <c r="FH55" s="1013">
        <v>0</v>
      </c>
      <c r="FI55" s="1013">
        <v>0</v>
      </c>
      <c r="FJ55" s="1013">
        <v>1</v>
      </c>
      <c r="FK55" s="1013">
        <v>1</v>
      </c>
      <c r="FL55" s="1013">
        <v>0</v>
      </c>
      <c r="FM55" s="1013">
        <v>0</v>
      </c>
      <c r="FN55" s="1013">
        <v>15</v>
      </c>
      <c r="FO55" s="1013">
        <v>29</v>
      </c>
      <c r="FP55" s="1013">
        <v>14</v>
      </c>
      <c r="FQ55" s="1013" t="s">
        <v>7724</v>
      </c>
      <c r="FR55" s="1013" t="s">
        <v>7724</v>
      </c>
      <c r="FS55" s="1013" t="s">
        <v>7724</v>
      </c>
      <c r="FT55" s="1013" t="s">
        <v>7724</v>
      </c>
      <c r="FU55" s="1013" t="s">
        <v>7724</v>
      </c>
      <c r="FV55" s="1013" t="s">
        <v>7724</v>
      </c>
      <c r="FW55" s="1013" t="s">
        <v>7724</v>
      </c>
      <c r="FX55" s="1013" t="s">
        <v>7724</v>
      </c>
      <c r="FY55" s="1013" t="s">
        <v>7724</v>
      </c>
      <c r="FZ55" s="1013" t="s">
        <v>7724</v>
      </c>
      <c r="GA55" s="1013" t="s">
        <v>7724</v>
      </c>
      <c r="GB55" s="1013" t="s">
        <v>7724</v>
      </c>
      <c r="GC55" s="1013">
        <v>2022</v>
      </c>
      <c r="GD55" s="1013" t="s">
        <v>1407</v>
      </c>
      <c r="GE55" s="1013">
        <v>2</v>
      </c>
      <c r="GF55" s="1013" t="s">
        <v>1407</v>
      </c>
      <c r="GG55" s="1013" t="s">
        <v>1407</v>
      </c>
      <c r="GH55" s="1013" t="s">
        <v>7985</v>
      </c>
      <c r="GI55" s="1013" t="s">
        <v>7974</v>
      </c>
      <c r="GJ55" s="1013" t="s">
        <v>7974</v>
      </c>
      <c r="GK55" s="1013" t="s">
        <v>7974</v>
      </c>
      <c r="GL55" s="1013" t="s">
        <v>7974</v>
      </c>
    </row>
    <row r="56" spans="1:194" hidden="1">
      <c r="A56" s="1013">
        <v>16</v>
      </c>
      <c r="B56" s="1013" t="s">
        <v>7722</v>
      </c>
      <c r="C56" s="1013">
        <v>19022556</v>
      </c>
      <c r="D56" s="1013" t="s">
        <v>7723</v>
      </c>
      <c r="E56" s="1013" t="s">
        <v>7723</v>
      </c>
      <c r="F56" s="1013" t="s">
        <v>7723</v>
      </c>
      <c r="G56" s="1013" t="s">
        <v>7723</v>
      </c>
      <c r="H56" s="1013" t="s">
        <v>7723</v>
      </c>
      <c r="I56" s="1013" t="s">
        <v>7723</v>
      </c>
      <c r="J56" s="1013" t="s">
        <v>7723</v>
      </c>
      <c r="K56" s="1024">
        <v>44758</v>
      </c>
      <c r="L56" s="1023">
        <v>0.68402777777777779</v>
      </c>
      <c r="M56" s="1013" t="s">
        <v>7874</v>
      </c>
      <c r="N56" s="1013" t="s">
        <v>7724</v>
      </c>
      <c r="O56" s="1013">
        <v>101</v>
      </c>
      <c r="P56" s="1013">
        <v>208</v>
      </c>
      <c r="Q56" s="1013" t="s">
        <v>7723</v>
      </c>
      <c r="R56" s="1013" t="s">
        <v>7727</v>
      </c>
      <c r="S56" s="1013" t="s">
        <v>7724</v>
      </c>
      <c r="T56" s="1014" t="s">
        <v>7724</v>
      </c>
      <c r="U56" s="1014">
        <v>19</v>
      </c>
      <c r="V56" s="1014" t="s">
        <v>7724</v>
      </c>
      <c r="W56" s="1014" t="s">
        <v>7724</v>
      </c>
      <c r="X56" s="1013">
        <v>1</v>
      </c>
      <c r="Y56" s="1013">
        <v>1100</v>
      </c>
      <c r="Z56" s="1013" t="s">
        <v>7790</v>
      </c>
      <c r="AA56" s="1013" t="s">
        <v>7725</v>
      </c>
      <c r="AB56" s="1013" t="s">
        <v>7726</v>
      </c>
      <c r="AC56" s="1013" t="s">
        <v>7723</v>
      </c>
      <c r="AD56" s="1013" t="s">
        <v>7723</v>
      </c>
      <c r="AE56" s="1013">
        <v>40</v>
      </c>
      <c r="AF56" s="1013" t="s">
        <v>7723</v>
      </c>
      <c r="AG56" s="1013" t="s">
        <v>7723</v>
      </c>
      <c r="AH56" s="1013" t="s">
        <v>7739</v>
      </c>
      <c r="AI56" s="1013" t="s">
        <v>7727</v>
      </c>
      <c r="AJ56" s="1013">
        <v>19</v>
      </c>
      <c r="AK56" s="1013" t="s">
        <v>7724</v>
      </c>
      <c r="AL56" s="1013" t="s">
        <v>7724</v>
      </c>
      <c r="AM56" s="1013">
        <v>1</v>
      </c>
      <c r="AN56" s="1013">
        <v>4400</v>
      </c>
      <c r="AO56" s="1013" t="s">
        <v>7723</v>
      </c>
      <c r="AP56" s="1013" t="s">
        <v>7728</v>
      </c>
      <c r="AQ56" s="1013" t="s">
        <v>7726</v>
      </c>
      <c r="AR56" s="1013" t="s">
        <v>7724</v>
      </c>
      <c r="AS56" s="1013" t="s">
        <v>7724</v>
      </c>
      <c r="AT56" s="1013" t="s">
        <v>7724</v>
      </c>
      <c r="AU56" s="1013" t="s">
        <v>7724</v>
      </c>
      <c r="AV56" s="1013" t="s">
        <v>7724</v>
      </c>
      <c r="AW56" s="1013" t="s">
        <v>7724</v>
      </c>
      <c r="AX56" s="1013">
        <v>11</v>
      </c>
      <c r="AY56" s="1013">
        <v>1</v>
      </c>
      <c r="AZ56" s="1013">
        <v>4</v>
      </c>
      <c r="BA56" s="1013">
        <v>4</v>
      </c>
      <c r="BB56" s="1013">
        <v>1</v>
      </c>
      <c r="BC56" s="1013">
        <v>1</v>
      </c>
      <c r="BD56" s="1013">
        <v>5</v>
      </c>
      <c r="BE56" s="1023">
        <v>0.7104166666666667</v>
      </c>
      <c r="BF56" s="1013" t="s">
        <v>7736</v>
      </c>
      <c r="BG56" s="1023">
        <v>0.71527777777777779</v>
      </c>
      <c r="BH56" s="1024">
        <v>44758</v>
      </c>
      <c r="BI56" s="1013" t="s">
        <v>7727</v>
      </c>
      <c r="BJ56" s="1013" t="s">
        <v>7730</v>
      </c>
      <c r="BK56" s="1013">
        <v>2469</v>
      </c>
      <c r="BL56" s="1013" t="s">
        <v>7724</v>
      </c>
      <c r="BM56" s="1013" t="s">
        <v>7724</v>
      </c>
      <c r="BN56" s="1013">
        <v>113</v>
      </c>
      <c r="BO56" s="1013">
        <v>8</v>
      </c>
      <c r="BP56" s="1013">
        <v>2</v>
      </c>
      <c r="BQ56" s="1013">
        <v>1</v>
      </c>
      <c r="BR56" s="1013">
        <v>10</v>
      </c>
      <c r="BS56" s="1013">
        <v>64</v>
      </c>
      <c r="BT56" s="1013">
        <v>54</v>
      </c>
      <c r="BU56" s="1013">
        <v>1</v>
      </c>
      <c r="BV56" s="1013">
        <v>5</v>
      </c>
      <c r="BW56" s="1013">
        <v>1</v>
      </c>
      <c r="BX56" s="1013">
        <v>21</v>
      </c>
      <c r="BY56" s="1013">
        <v>21</v>
      </c>
      <c r="BZ56" s="1013">
        <v>101</v>
      </c>
      <c r="CA56" s="1013">
        <v>208</v>
      </c>
      <c r="CB56" s="1013">
        <v>29.733094999999999</v>
      </c>
      <c r="CC56" s="1013">
        <v>-95.381282999999996</v>
      </c>
      <c r="CD56" s="1013" t="s">
        <v>7724</v>
      </c>
      <c r="CE56" s="1013" t="s">
        <v>7724</v>
      </c>
      <c r="CF56" s="1013" t="s">
        <v>7724</v>
      </c>
      <c r="CG56" s="1013" t="s">
        <v>7724</v>
      </c>
      <c r="CH56" s="1013" t="s">
        <v>7731</v>
      </c>
      <c r="CI56" s="1013">
        <v>1201</v>
      </c>
      <c r="CJ56" s="1013" t="s">
        <v>7724</v>
      </c>
      <c r="CK56" s="1013" t="s">
        <v>7724</v>
      </c>
      <c r="CL56" s="1013" t="s">
        <v>7724</v>
      </c>
      <c r="CM56" s="1013" t="s">
        <v>7724</v>
      </c>
      <c r="CN56" s="1013" t="s">
        <v>7724</v>
      </c>
      <c r="CO56" s="1013" t="s">
        <v>7724</v>
      </c>
      <c r="CP56" s="1013" t="s">
        <v>7724</v>
      </c>
      <c r="CQ56" s="1013" t="s">
        <v>7724</v>
      </c>
      <c r="CR56" s="1013" t="s">
        <v>7732</v>
      </c>
      <c r="CS56" s="1013" t="s">
        <v>7724</v>
      </c>
      <c r="CT56" s="1013" t="s">
        <v>7724</v>
      </c>
      <c r="CU56" s="1013" t="s">
        <v>7724</v>
      </c>
      <c r="CV56" s="1013" t="s">
        <v>7724</v>
      </c>
      <c r="CW56" s="1013" t="s">
        <v>7727</v>
      </c>
      <c r="CX56" s="1013" t="s">
        <v>7723</v>
      </c>
      <c r="CY56" s="1013" t="s">
        <v>7723</v>
      </c>
      <c r="CZ56" s="1013">
        <v>5</v>
      </c>
      <c r="DA56" s="1013">
        <v>9</v>
      </c>
      <c r="DB56" s="1013" t="s">
        <v>7727</v>
      </c>
      <c r="DC56" s="1013" t="s">
        <v>7733</v>
      </c>
      <c r="DD56" s="1013" t="s">
        <v>7724</v>
      </c>
      <c r="DE56" s="1013" t="s">
        <v>7724</v>
      </c>
      <c r="DF56" s="1013" t="s">
        <v>7724</v>
      </c>
      <c r="DG56" s="1013" t="s">
        <v>7724</v>
      </c>
      <c r="DH56" s="1013" t="s">
        <v>7724</v>
      </c>
      <c r="DI56" s="1013" t="s">
        <v>7724</v>
      </c>
      <c r="DJ56" s="1013" t="s">
        <v>7724</v>
      </c>
      <c r="DK56" s="1013" t="s">
        <v>7724</v>
      </c>
      <c r="DL56" s="1013" t="s">
        <v>7724</v>
      </c>
      <c r="DM56" s="1013" t="s">
        <v>7724</v>
      </c>
      <c r="DN56" s="1013" t="s">
        <v>7724</v>
      </c>
      <c r="DO56" s="1013" t="s">
        <v>7724</v>
      </c>
      <c r="DP56" s="1013" t="s">
        <v>7724</v>
      </c>
      <c r="DQ56" s="1013" t="s">
        <v>7724</v>
      </c>
      <c r="DR56" s="1013" t="s">
        <v>7724</v>
      </c>
      <c r="DS56" s="1013" t="s">
        <v>7724</v>
      </c>
      <c r="DT56" s="1013" t="s">
        <v>7724</v>
      </c>
      <c r="DU56" s="1013" t="s">
        <v>7724</v>
      </c>
      <c r="DV56" s="1013" t="s">
        <v>7724</v>
      </c>
      <c r="DW56" s="1013" t="s">
        <v>7724</v>
      </c>
      <c r="DX56" s="1013" t="s">
        <v>7724</v>
      </c>
      <c r="DY56" s="1013" t="s">
        <v>7724</v>
      </c>
      <c r="DZ56" s="1013" t="s">
        <v>7724</v>
      </c>
      <c r="EA56" s="1013" t="s">
        <v>7724</v>
      </c>
      <c r="EB56" s="1013" t="s">
        <v>7724</v>
      </c>
      <c r="EC56" s="1013" t="s">
        <v>7724</v>
      </c>
      <c r="ED56" s="1013" t="s">
        <v>7724</v>
      </c>
      <c r="EE56" s="1013" t="s">
        <v>7724</v>
      </c>
      <c r="EF56" s="1013" t="s">
        <v>7724</v>
      </c>
      <c r="EG56" s="1013" t="s">
        <v>7724</v>
      </c>
      <c r="EH56" s="1013" t="s">
        <v>7724</v>
      </c>
      <c r="EI56" s="1013" t="s">
        <v>7724</v>
      </c>
      <c r="EJ56" s="1013" t="s">
        <v>7724</v>
      </c>
      <c r="EK56" s="1013" t="s">
        <v>7724</v>
      </c>
      <c r="EL56" s="1013" t="s">
        <v>7724</v>
      </c>
      <c r="EM56" s="1013" t="s">
        <v>7724</v>
      </c>
      <c r="EN56" s="1013" t="s">
        <v>7724</v>
      </c>
      <c r="EO56" s="1013" t="s">
        <v>7724</v>
      </c>
      <c r="EP56" s="1013" t="s">
        <v>7724</v>
      </c>
      <c r="EQ56" s="1013" t="s">
        <v>7724</v>
      </c>
      <c r="ER56" s="1013" t="s">
        <v>7724</v>
      </c>
      <c r="ES56" s="1013" t="s">
        <v>7724</v>
      </c>
      <c r="ET56" s="1013" t="s">
        <v>7724</v>
      </c>
      <c r="EU56" s="1013" t="s">
        <v>7724</v>
      </c>
      <c r="EV56" s="1013" t="s">
        <v>7724</v>
      </c>
      <c r="EW56" s="1013" t="s">
        <v>7724</v>
      </c>
      <c r="EX56" s="1013" t="s">
        <v>7724</v>
      </c>
      <c r="EY56" s="1013" t="s">
        <v>7724</v>
      </c>
      <c r="EZ56" s="1013" t="s">
        <v>7724</v>
      </c>
      <c r="FA56" s="1013" t="s">
        <v>7724</v>
      </c>
      <c r="FB56" s="1013" t="s">
        <v>7724</v>
      </c>
      <c r="FC56" s="1013" t="s">
        <v>7724</v>
      </c>
      <c r="FD56" s="1013" t="s">
        <v>7724</v>
      </c>
      <c r="FE56" s="1013" t="s">
        <v>7724</v>
      </c>
      <c r="FF56" s="1013" t="s">
        <v>7724</v>
      </c>
      <c r="FG56" s="1013">
        <v>0</v>
      </c>
      <c r="FH56" s="1013">
        <v>0</v>
      </c>
      <c r="FI56" s="1013">
        <v>0</v>
      </c>
      <c r="FJ56" s="1013">
        <v>2</v>
      </c>
      <c r="FK56" s="1013">
        <v>0</v>
      </c>
      <c r="FL56" s="1013">
        <v>0</v>
      </c>
      <c r="FM56" s="1013">
        <v>0</v>
      </c>
      <c r="FN56" s="1013">
        <v>15</v>
      </c>
      <c r="FO56" s="1013">
        <v>29</v>
      </c>
      <c r="FP56" s="1013">
        <v>6</v>
      </c>
      <c r="FQ56" s="1013" t="s">
        <v>7724</v>
      </c>
      <c r="FR56" s="1013" t="s">
        <v>7724</v>
      </c>
      <c r="FS56" s="1013" t="s">
        <v>7724</v>
      </c>
      <c r="FT56" s="1013" t="s">
        <v>7724</v>
      </c>
      <c r="FU56" s="1013" t="s">
        <v>7724</v>
      </c>
      <c r="FV56" s="1013" t="s">
        <v>7724</v>
      </c>
      <c r="FW56" s="1013" t="s">
        <v>7724</v>
      </c>
      <c r="FX56" s="1013" t="s">
        <v>7724</v>
      </c>
      <c r="FY56" s="1013" t="s">
        <v>7724</v>
      </c>
      <c r="FZ56" s="1013" t="s">
        <v>7724</v>
      </c>
      <c r="GA56" s="1013" t="s">
        <v>7724</v>
      </c>
      <c r="GB56" s="1013" t="s">
        <v>7724</v>
      </c>
      <c r="GC56" s="1013">
        <v>2022</v>
      </c>
      <c r="GD56" s="1013" t="s">
        <v>1404</v>
      </c>
      <c r="GE56" s="1013">
        <v>2</v>
      </c>
      <c r="GF56" s="1013" t="s">
        <v>1407</v>
      </c>
      <c r="GG56" s="1013" t="s">
        <v>1407</v>
      </c>
      <c r="GH56" s="1013" t="s">
        <v>8045</v>
      </c>
      <c r="GI56" s="1013" t="s">
        <v>7974</v>
      </c>
      <c r="GJ56" s="1013" t="s">
        <v>7974</v>
      </c>
      <c r="GK56" s="1013" t="s">
        <v>7974</v>
      </c>
      <c r="GL56" s="1013" t="s">
        <v>7974</v>
      </c>
    </row>
    <row r="57" spans="1:194" hidden="1">
      <c r="A57" s="1013">
        <v>22</v>
      </c>
      <c r="B57" s="1013" t="s">
        <v>7722</v>
      </c>
      <c r="C57" s="1013">
        <v>19081751</v>
      </c>
      <c r="D57" s="1013" t="s">
        <v>7723</v>
      </c>
      <c r="E57" s="1013" t="s">
        <v>7723</v>
      </c>
      <c r="F57" s="1013" t="s">
        <v>7723</v>
      </c>
      <c r="G57" s="1013" t="s">
        <v>7723</v>
      </c>
      <c r="H57" s="1013" t="s">
        <v>7723</v>
      </c>
      <c r="I57" s="1013" t="s">
        <v>7723</v>
      </c>
      <c r="J57" s="1013" t="s">
        <v>7723</v>
      </c>
      <c r="K57" s="1024">
        <v>44798</v>
      </c>
      <c r="L57" s="1023">
        <v>0.32291666666666669</v>
      </c>
      <c r="M57" s="1013" t="s">
        <v>7878</v>
      </c>
      <c r="N57" s="1013" t="s">
        <v>7724</v>
      </c>
      <c r="O57" s="1013">
        <v>101</v>
      </c>
      <c r="P57" s="1013">
        <v>208</v>
      </c>
      <c r="Q57" s="1013" t="s">
        <v>7723</v>
      </c>
      <c r="R57" s="1013" t="s">
        <v>7727</v>
      </c>
      <c r="S57" s="1013" t="s">
        <v>7724</v>
      </c>
      <c r="T57" s="1014" t="s">
        <v>7724</v>
      </c>
      <c r="U57" s="1014">
        <v>19</v>
      </c>
      <c r="V57" s="1014" t="s">
        <v>7724</v>
      </c>
      <c r="W57" s="1014" t="s">
        <v>7724</v>
      </c>
      <c r="X57" s="1013">
        <v>1</v>
      </c>
      <c r="Y57" s="1013">
        <v>1100</v>
      </c>
      <c r="Z57" s="1013" t="s">
        <v>7724</v>
      </c>
      <c r="AA57" s="1013" t="s">
        <v>7757</v>
      </c>
      <c r="AB57" s="1013" t="s">
        <v>7726</v>
      </c>
      <c r="AC57" s="1013" t="s">
        <v>7723</v>
      </c>
      <c r="AD57" s="1013" t="s">
        <v>7723</v>
      </c>
      <c r="AE57" s="1013">
        <v>35</v>
      </c>
      <c r="AF57" s="1013" t="s">
        <v>7723</v>
      </c>
      <c r="AG57" s="1013" t="s">
        <v>7723</v>
      </c>
      <c r="AH57" s="1013" t="s">
        <v>7879</v>
      </c>
      <c r="AI57" s="1013" t="s">
        <v>7727</v>
      </c>
      <c r="AJ57" s="1013">
        <v>19</v>
      </c>
      <c r="AK57" s="1013" t="s">
        <v>7724</v>
      </c>
      <c r="AL57" s="1013" t="s">
        <v>7724</v>
      </c>
      <c r="AM57" s="1013">
        <v>1</v>
      </c>
      <c r="AN57" s="1013">
        <v>4600</v>
      </c>
      <c r="AO57" s="1013" t="s">
        <v>7724</v>
      </c>
      <c r="AP57" s="1013" t="s">
        <v>7728</v>
      </c>
      <c r="AQ57" s="1013" t="s">
        <v>7726</v>
      </c>
      <c r="AR57" s="1013" t="s">
        <v>7724</v>
      </c>
      <c r="AS57" s="1013" t="s">
        <v>7724</v>
      </c>
      <c r="AT57" s="1013" t="s">
        <v>7724</v>
      </c>
      <c r="AU57" s="1013" t="s">
        <v>7724</v>
      </c>
      <c r="AV57" s="1013" t="s">
        <v>7724</v>
      </c>
      <c r="AW57" s="1013" t="s">
        <v>7724</v>
      </c>
      <c r="AX57" s="1013">
        <v>11</v>
      </c>
      <c r="AY57" s="1013">
        <v>1</v>
      </c>
      <c r="AZ57" s="1013">
        <v>4</v>
      </c>
      <c r="BA57" s="1013">
        <v>2</v>
      </c>
      <c r="BB57" s="1013">
        <v>1</v>
      </c>
      <c r="BC57" s="1013">
        <v>1</v>
      </c>
      <c r="BD57" s="1013">
        <v>20</v>
      </c>
      <c r="BE57" s="1023">
        <v>0.32569444444444445</v>
      </c>
      <c r="BF57" s="1013" t="s">
        <v>7729</v>
      </c>
      <c r="BG57" s="1023">
        <v>0.32708333333333334</v>
      </c>
      <c r="BH57" s="1024">
        <v>44798</v>
      </c>
      <c r="BI57" s="1013" t="s">
        <v>7727</v>
      </c>
      <c r="BJ57" s="1013" t="s">
        <v>7730</v>
      </c>
      <c r="BK57" s="1013">
        <v>2469</v>
      </c>
      <c r="BL57" s="1013" t="s">
        <v>7724</v>
      </c>
      <c r="BM57" s="1013" t="s">
        <v>7724</v>
      </c>
      <c r="BN57" s="1013">
        <v>113</v>
      </c>
      <c r="BO57" s="1013">
        <v>8</v>
      </c>
      <c r="BP57" s="1013">
        <v>2</v>
      </c>
      <c r="BQ57" s="1013">
        <v>1</v>
      </c>
      <c r="BR57" s="1013">
        <v>10</v>
      </c>
      <c r="BS57" s="1013">
        <v>64</v>
      </c>
      <c r="BT57" s="1013">
        <v>54</v>
      </c>
      <c r="BU57" s="1013">
        <v>1</v>
      </c>
      <c r="BV57" s="1013">
        <v>5</v>
      </c>
      <c r="BW57" s="1013">
        <v>1</v>
      </c>
      <c r="BX57" s="1013">
        <v>21</v>
      </c>
      <c r="BY57" s="1013">
        <v>21</v>
      </c>
      <c r="BZ57" s="1013">
        <v>101</v>
      </c>
      <c r="CA57" s="1013">
        <v>208</v>
      </c>
      <c r="CB57" s="1013">
        <v>29.731224999999998</v>
      </c>
      <c r="CC57" s="1013">
        <v>-95.382762999999997</v>
      </c>
      <c r="CD57" s="1013" t="s">
        <v>7724</v>
      </c>
      <c r="CE57" s="1013" t="s">
        <v>7724</v>
      </c>
      <c r="CF57" s="1013" t="s">
        <v>7724</v>
      </c>
      <c r="CG57" s="1013" t="s">
        <v>7724</v>
      </c>
      <c r="CH57" s="1013" t="s">
        <v>7758</v>
      </c>
      <c r="CI57" s="1013">
        <v>1201</v>
      </c>
      <c r="CJ57" s="1013" t="s">
        <v>7724</v>
      </c>
      <c r="CK57" s="1013" t="s">
        <v>7724</v>
      </c>
      <c r="CL57" s="1013" t="s">
        <v>7724</v>
      </c>
      <c r="CM57" s="1013" t="s">
        <v>7724</v>
      </c>
      <c r="CN57" s="1013" t="s">
        <v>7724</v>
      </c>
      <c r="CO57" s="1013" t="s">
        <v>7724</v>
      </c>
      <c r="CP57" s="1013" t="s">
        <v>7724</v>
      </c>
      <c r="CQ57" s="1013" t="s">
        <v>7724</v>
      </c>
      <c r="CR57" s="1013" t="s">
        <v>7732</v>
      </c>
      <c r="CS57" s="1013" t="s">
        <v>7724</v>
      </c>
      <c r="CT57" s="1013" t="s">
        <v>7724</v>
      </c>
      <c r="CU57" s="1013" t="s">
        <v>7724</v>
      </c>
      <c r="CV57" s="1013" t="s">
        <v>7724</v>
      </c>
      <c r="CW57" s="1013" t="s">
        <v>7727</v>
      </c>
      <c r="CX57" s="1013" t="s">
        <v>7723</v>
      </c>
      <c r="CY57" s="1013" t="s">
        <v>7723</v>
      </c>
      <c r="CZ57" s="1013">
        <v>3</v>
      </c>
      <c r="DA57" s="1013">
        <v>9</v>
      </c>
      <c r="DB57" s="1013" t="s">
        <v>7727</v>
      </c>
      <c r="DC57" s="1013" t="s">
        <v>7740</v>
      </c>
      <c r="DD57" s="1013" t="s">
        <v>7724</v>
      </c>
      <c r="DE57" s="1013" t="s">
        <v>7724</v>
      </c>
      <c r="DF57" s="1013" t="s">
        <v>7724</v>
      </c>
      <c r="DG57" s="1013" t="s">
        <v>7724</v>
      </c>
      <c r="DH57" s="1013" t="s">
        <v>7724</v>
      </c>
      <c r="DI57" s="1013" t="s">
        <v>7724</v>
      </c>
      <c r="DJ57" s="1013" t="s">
        <v>7724</v>
      </c>
      <c r="DK57" s="1013" t="s">
        <v>7724</v>
      </c>
      <c r="DL57" s="1013" t="s">
        <v>7724</v>
      </c>
      <c r="DM57" s="1013" t="s">
        <v>7724</v>
      </c>
      <c r="DN57" s="1013" t="s">
        <v>7724</v>
      </c>
      <c r="DO57" s="1013" t="s">
        <v>7724</v>
      </c>
      <c r="DP57" s="1013" t="s">
        <v>7724</v>
      </c>
      <c r="DQ57" s="1013" t="s">
        <v>7724</v>
      </c>
      <c r="DR57" s="1013" t="s">
        <v>7724</v>
      </c>
      <c r="DS57" s="1013" t="s">
        <v>7724</v>
      </c>
      <c r="DT57" s="1013" t="s">
        <v>7724</v>
      </c>
      <c r="DU57" s="1013" t="s">
        <v>7724</v>
      </c>
      <c r="DV57" s="1013" t="s">
        <v>7724</v>
      </c>
      <c r="DW57" s="1013" t="s">
        <v>7724</v>
      </c>
      <c r="DX57" s="1013" t="s">
        <v>7724</v>
      </c>
      <c r="DY57" s="1013" t="s">
        <v>7724</v>
      </c>
      <c r="DZ57" s="1013" t="s">
        <v>7724</v>
      </c>
      <c r="EA57" s="1013" t="s">
        <v>7724</v>
      </c>
      <c r="EB57" s="1013" t="s">
        <v>7724</v>
      </c>
      <c r="EC57" s="1013" t="s">
        <v>7724</v>
      </c>
      <c r="ED57" s="1013" t="s">
        <v>7724</v>
      </c>
      <c r="EE57" s="1013" t="s">
        <v>7724</v>
      </c>
      <c r="EF57" s="1013" t="s">
        <v>7724</v>
      </c>
      <c r="EG57" s="1013" t="s">
        <v>7724</v>
      </c>
      <c r="EH57" s="1013" t="s">
        <v>7724</v>
      </c>
      <c r="EI57" s="1013" t="s">
        <v>7724</v>
      </c>
      <c r="EJ57" s="1013" t="s">
        <v>7724</v>
      </c>
      <c r="EK57" s="1013" t="s">
        <v>7724</v>
      </c>
      <c r="EL57" s="1013" t="s">
        <v>7724</v>
      </c>
      <c r="EM57" s="1013" t="s">
        <v>7724</v>
      </c>
      <c r="EN57" s="1013" t="s">
        <v>7724</v>
      </c>
      <c r="EO57" s="1013" t="s">
        <v>7724</v>
      </c>
      <c r="EP57" s="1013" t="s">
        <v>7724</v>
      </c>
      <c r="EQ57" s="1013" t="s">
        <v>7724</v>
      </c>
      <c r="ER57" s="1013" t="s">
        <v>7724</v>
      </c>
      <c r="ES57" s="1013" t="s">
        <v>7724</v>
      </c>
      <c r="ET57" s="1013" t="s">
        <v>7724</v>
      </c>
      <c r="EU57" s="1013" t="s">
        <v>7724</v>
      </c>
      <c r="EV57" s="1013" t="s">
        <v>7724</v>
      </c>
      <c r="EW57" s="1013" t="s">
        <v>7724</v>
      </c>
      <c r="EX57" s="1013" t="s">
        <v>7724</v>
      </c>
      <c r="EY57" s="1013" t="s">
        <v>7724</v>
      </c>
      <c r="EZ57" s="1013" t="s">
        <v>7724</v>
      </c>
      <c r="FA57" s="1013" t="s">
        <v>7724</v>
      </c>
      <c r="FB57" s="1013" t="s">
        <v>7724</v>
      </c>
      <c r="FC57" s="1013" t="s">
        <v>7724</v>
      </c>
      <c r="FD57" s="1013" t="s">
        <v>7724</v>
      </c>
      <c r="FE57" s="1013" t="s">
        <v>7724</v>
      </c>
      <c r="FF57" s="1013" t="s">
        <v>7724</v>
      </c>
      <c r="FG57" s="1013">
        <v>0</v>
      </c>
      <c r="FH57" s="1013">
        <v>0</v>
      </c>
      <c r="FI57" s="1013">
        <v>3</v>
      </c>
      <c r="FJ57" s="1013">
        <v>0</v>
      </c>
      <c r="FK57" s="1013">
        <v>0</v>
      </c>
      <c r="FL57" s="1013">
        <v>3</v>
      </c>
      <c r="FM57" s="1013">
        <v>0</v>
      </c>
      <c r="FN57" s="1013">
        <v>15</v>
      </c>
      <c r="FO57" s="1013">
        <v>29</v>
      </c>
      <c r="FP57" s="1013">
        <v>9</v>
      </c>
      <c r="FQ57" s="1013" t="s">
        <v>7724</v>
      </c>
      <c r="FR57" s="1013" t="s">
        <v>7724</v>
      </c>
      <c r="FS57" s="1013" t="s">
        <v>7724</v>
      </c>
      <c r="FT57" s="1013" t="s">
        <v>7724</v>
      </c>
      <c r="FU57" s="1013" t="s">
        <v>7724</v>
      </c>
      <c r="FV57" s="1013" t="s">
        <v>7724</v>
      </c>
      <c r="FW57" s="1013" t="s">
        <v>7724</v>
      </c>
      <c r="FX57" s="1013" t="s">
        <v>7724</v>
      </c>
      <c r="FY57" s="1013" t="s">
        <v>7724</v>
      </c>
      <c r="FZ57" s="1013" t="s">
        <v>7724</v>
      </c>
      <c r="GA57" s="1013" t="s">
        <v>7724</v>
      </c>
      <c r="GB57" s="1013" t="s">
        <v>7724</v>
      </c>
      <c r="GC57" s="1013">
        <v>2022</v>
      </c>
      <c r="GD57" s="1013" t="s">
        <v>1407</v>
      </c>
      <c r="GE57" s="1013">
        <v>2</v>
      </c>
      <c r="GF57" s="1013" t="s">
        <v>1407</v>
      </c>
      <c r="GG57" s="1013" t="s">
        <v>1407</v>
      </c>
      <c r="GH57" s="1013" t="s">
        <v>7976</v>
      </c>
      <c r="GI57" s="1013" t="s">
        <v>7974</v>
      </c>
      <c r="GJ57" s="1013" t="s">
        <v>7974</v>
      </c>
      <c r="GK57" s="1013" t="s">
        <v>7974</v>
      </c>
      <c r="GL57" s="1013" t="s">
        <v>7974</v>
      </c>
    </row>
    <row r="58" spans="1:194" hidden="1">
      <c r="A58" s="1013">
        <v>24</v>
      </c>
      <c r="B58" s="1013" t="s">
        <v>7722</v>
      </c>
      <c r="C58" s="1013">
        <v>19091523</v>
      </c>
      <c r="D58" s="1013" t="s">
        <v>7723</v>
      </c>
      <c r="E58" s="1013" t="s">
        <v>7723</v>
      </c>
      <c r="F58" s="1013" t="s">
        <v>7723</v>
      </c>
      <c r="G58" s="1013" t="s">
        <v>7723</v>
      </c>
      <c r="H58" s="1013" t="s">
        <v>7723</v>
      </c>
      <c r="I58" s="1013" t="s">
        <v>7723</v>
      </c>
      <c r="J58" s="1013" t="s">
        <v>7723</v>
      </c>
      <c r="K58" s="1024">
        <v>44802</v>
      </c>
      <c r="L58" s="1023">
        <v>0.34375</v>
      </c>
      <c r="M58" s="1013" t="s">
        <v>7882</v>
      </c>
      <c r="N58" s="1013" t="s">
        <v>7724</v>
      </c>
      <c r="O58" s="1013">
        <v>101</v>
      </c>
      <c r="P58" s="1013">
        <v>208</v>
      </c>
      <c r="Q58" s="1013" t="s">
        <v>7723</v>
      </c>
      <c r="R58" s="1013" t="s">
        <v>7727</v>
      </c>
      <c r="S58" s="1013" t="s">
        <v>7724</v>
      </c>
      <c r="T58" s="1014" t="s">
        <v>7724</v>
      </c>
      <c r="U58" s="1014">
        <v>19</v>
      </c>
      <c r="V58" s="1014" t="s">
        <v>7724</v>
      </c>
      <c r="W58" s="1014" t="s">
        <v>7724</v>
      </c>
      <c r="X58" s="1013">
        <v>1</v>
      </c>
      <c r="Y58" s="1013">
        <v>1100</v>
      </c>
      <c r="Z58" s="1013" t="s">
        <v>7724</v>
      </c>
      <c r="AA58" s="1013" t="s">
        <v>7757</v>
      </c>
      <c r="AB58" s="1013" t="s">
        <v>7726</v>
      </c>
      <c r="AC58" s="1013" t="s">
        <v>7723</v>
      </c>
      <c r="AD58" s="1013" t="s">
        <v>7723</v>
      </c>
      <c r="AE58" s="1013">
        <v>35</v>
      </c>
      <c r="AF58" s="1013" t="s">
        <v>7723</v>
      </c>
      <c r="AG58" s="1013" t="s">
        <v>7723</v>
      </c>
      <c r="AH58" s="1013" t="s">
        <v>7739</v>
      </c>
      <c r="AI58" s="1013" t="s">
        <v>7727</v>
      </c>
      <c r="AJ58" s="1013">
        <v>19</v>
      </c>
      <c r="AK58" s="1013" t="s">
        <v>7724</v>
      </c>
      <c r="AL58" s="1013" t="s">
        <v>7724</v>
      </c>
      <c r="AM58" s="1013">
        <v>1</v>
      </c>
      <c r="AN58" s="1013">
        <v>4700</v>
      </c>
      <c r="AO58" s="1013" t="s">
        <v>7724</v>
      </c>
      <c r="AP58" s="1013" t="s">
        <v>7728</v>
      </c>
      <c r="AQ58" s="1013" t="s">
        <v>7724</v>
      </c>
      <c r="AR58" s="1013" t="s">
        <v>7724</v>
      </c>
      <c r="AS58" s="1013" t="s">
        <v>7724</v>
      </c>
      <c r="AT58" s="1013" t="s">
        <v>7724</v>
      </c>
      <c r="AU58" s="1013" t="s">
        <v>7724</v>
      </c>
      <c r="AV58" s="1013" t="s">
        <v>7724</v>
      </c>
      <c r="AW58" s="1013" t="s">
        <v>7724</v>
      </c>
      <c r="AX58" s="1013">
        <v>2</v>
      </c>
      <c r="AY58" s="1013">
        <v>1</v>
      </c>
      <c r="AZ58" s="1013">
        <v>4</v>
      </c>
      <c r="BA58" s="1013">
        <v>4</v>
      </c>
      <c r="BB58" s="1013">
        <v>1</v>
      </c>
      <c r="BC58" s="1013">
        <v>2</v>
      </c>
      <c r="BD58" s="1013">
        <v>5</v>
      </c>
      <c r="BE58" s="1023">
        <v>0.34652777777777777</v>
      </c>
      <c r="BF58" s="1013" t="s">
        <v>7782</v>
      </c>
      <c r="BG58" s="1023">
        <v>0.35416666666666669</v>
      </c>
      <c r="BH58" s="1024">
        <v>44802</v>
      </c>
      <c r="BI58" s="1013" t="s">
        <v>7727</v>
      </c>
      <c r="BJ58" s="1013" t="s">
        <v>7730</v>
      </c>
      <c r="BK58" s="1013">
        <v>2469</v>
      </c>
      <c r="BL58" s="1013" t="s">
        <v>7724</v>
      </c>
      <c r="BM58" s="1013" t="s">
        <v>7724</v>
      </c>
      <c r="BN58" s="1013">
        <v>113</v>
      </c>
      <c r="BO58" s="1013">
        <v>8</v>
      </c>
      <c r="BP58" s="1013">
        <v>2</v>
      </c>
      <c r="BQ58" s="1013">
        <v>1</v>
      </c>
      <c r="BR58" s="1013">
        <v>10</v>
      </c>
      <c r="BS58" s="1013">
        <v>64</v>
      </c>
      <c r="BT58" s="1013">
        <v>54</v>
      </c>
      <c r="BU58" s="1013">
        <v>1</v>
      </c>
      <c r="BV58" s="1013">
        <v>5</v>
      </c>
      <c r="BW58" s="1013">
        <v>1</v>
      </c>
      <c r="BX58" s="1013">
        <v>21</v>
      </c>
      <c r="BY58" s="1013">
        <v>21</v>
      </c>
      <c r="BZ58" s="1013">
        <v>101</v>
      </c>
      <c r="CA58" s="1013">
        <v>208</v>
      </c>
      <c r="CB58" s="1013">
        <v>29.731224999999998</v>
      </c>
      <c r="CC58" s="1013">
        <v>-95.382762999999997</v>
      </c>
      <c r="CD58" s="1013" t="s">
        <v>7724</v>
      </c>
      <c r="CE58" s="1013" t="s">
        <v>7724</v>
      </c>
      <c r="CF58" s="1013" t="s">
        <v>7724</v>
      </c>
      <c r="CG58" s="1013" t="s">
        <v>7724</v>
      </c>
      <c r="CH58" s="1013" t="s">
        <v>7758</v>
      </c>
      <c r="CI58" s="1013">
        <v>1201</v>
      </c>
      <c r="CJ58" s="1013" t="s">
        <v>7724</v>
      </c>
      <c r="CK58" s="1013" t="s">
        <v>7724</v>
      </c>
      <c r="CL58" s="1013" t="s">
        <v>7724</v>
      </c>
      <c r="CM58" s="1013" t="s">
        <v>7724</v>
      </c>
      <c r="CN58" s="1013" t="s">
        <v>7724</v>
      </c>
      <c r="CO58" s="1013" t="s">
        <v>7724</v>
      </c>
      <c r="CP58" s="1013" t="s">
        <v>7724</v>
      </c>
      <c r="CQ58" s="1013" t="s">
        <v>7724</v>
      </c>
      <c r="CR58" s="1013" t="s">
        <v>7732</v>
      </c>
      <c r="CS58" s="1013" t="s">
        <v>7724</v>
      </c>
      <c r="CT58" s="1013" t="s">
        <v>7724</v>
      </c>
      <c r="CU58" s="1013" t="s">
        <v>7724</v>
      </c>
      <c r="CV58" s="1013" t="s">
        <v>7724</v>
      </c>
      <c r="CW58" s="1013" t="s">
        <v>7727</v>
      </c>
      <c r="CX58" s="1013" t="s">
        <v>7723</v>
      </c>
      <c r="CY58" s="1013" t="s">
        <v>7723</v>
      </c>
      <c r="CZ58" s="1013">
        <v>2</v>
      </c>
      <c r="DA58" s="1013">
        <v>9</v>
      </c>
      <c r="DB58" s="1013" t="s">
        <v>7727</v>
      </c>
      <c r="DC58" s="1013" t="s">
        <v>7743</v>
      </c>
      <c r="DD58" s="1013" t="s">
        <v>7724</v>
      </c>
      <c r="DE58" s="1013" t="s">
        <v>7724</v>
      </c>
      <c r="DF58" s="1013" t="s">
        <v>7724</v>
      </c>
      <c r="DG58" s="1013" t="s">
        <v>7724</v>
      </c>
      <c r="DH58" s="1013" t="s">
        <v>7724</v>
      </c>
      <c r="DI58" s="1013" t="s">
        <v>7724</v>
      </c>
      <c r="DJ58" s="1013" t="s">
        <v>7724</v>
      </c>
      <c r="DK58" s="1013" t="s">
        <v>7724</v>
      </c>
      <c r="DL58" s="1013" t="s">
        <v>7724</v>
      </c>
      <c r="DM58" s="1013" t="s">
        <v>7724</v>
      </c>
      <c r="DN58" s="1013" t="s">
        <v>7724</v>
      </c>
      <c r="DO58" s="1013" t="s">
        <v>7724</v>
      </c>
      <c r="DP58" s="1013" t="s">
        <v>7724</v>
      </c>
      <c r="DQ58" s="1013" t="s">
        <v>7724</v>
      </c>
      <c r="DR58" s="1013" t="s">
        <v>7724</v>
      </c>
      <c r="DS58" s="1013" t="s">
        <v>7724</v>
      </c>
      <c r="DT58" s="1013" t="s">
        <v>7724</v>
      </c>
      <c r="DU58" s="1013" t="s">
        <v>7724</v>
      </c>
      <c r="DV58" s="1013" t="s">
        <v>7724</v>
      </c>
      <c r="DW58" s="1013" t="s">
        <v>7724</v>
      </c>
      <c r="DX58" s="1013" t="s">
        <v>7724</v>
      </c>
      <c r="DY58" s="1013" t="s">
        <v>7724</v>
      </c>
      <c r="DZ58" s="1013" t="s">
        <v>7724</v>
      </c>
      <c r="EA58" s="1013" t="s">
        <v>7724</v>
      </c>
      <c r="EB58" s="1013" t="s">
        <v>7724</v>
      </c>
      <c r="EC58" s="1013" t="s">
        <v>7724</v>
      </c>
      <c r="ED58" s="1013" t="s">
        <v>7724</v>
      </c>
      <c r="EE58" s="1013" t="s">
        <v>7724</v>
      </c>
      <c r="EF58" s="1013" t="s">
        <v>7724</v>
      </c>
      <c r="EG58" s="1013" t="s">
        <v>7724</v>
      </c>
      <c r="EH58" s="1013" t="s">
        <v>7724</v>
      </c>
      <c r="EI58" s="1013" t="s">
        <v>7724</v>
      </c>
      <c r="EJ58" s="1013" t="s">
        <v>7724</v>
      </c>
      <c r="EK58" s="1013" t="s">
        <v>7724</v>
      </c>
      <c r="EL58" s="1013" t="s">
        <v>7724</v>
      </c>
      <c r="EM58" s="1013" t="s">
        <v>7724</v>
      </c>
      <c r="EN58" s="1013" t="s">
        <v>7724</v>
      </c>
      <c r="EO58" s="1013" t="s">
        <v>7724</v>
      </c>
      <c r="EP58" s="1013" t="s">
        <v>7724</v>
      </c>
      <c r="EQ58" s="1013" t="s">
        <v>7724</v>
      </c>
      <c r="ER58" s="1013" t="s">
        <v>7724</v>
      </c>
      <c r="ES58" s="1013" t="s">
        <v>7724</v>
      </c>
      <c r="ET58" s="1013" t="s">
        <v>7724</v>
      </c>
      <c r="EU58" s="1013" t="s">
        <v>7724</v>
      </c>
      <c r="EV58" s="1013" t="s">
        <v>7724</v>
      </c>
      <c r="EW58" s="1013" t="s">
        <v>7724</v>
      </c>
      <c r="EX58" s="1013" t="s">
        <v>7724</v>
      </c>
      <c r="EY58" s="1013" t="s">
        <v>7724</v>
      </c>
      <c r="EZ58" s="1013" t="s">
        <v>7724</v>
      </c>
      <c r="FA58" s="1013" t="s">
        <v>7724</v>
      </c>
      <c r="FB58" s="1013" t="s">
        <v>7724</v>
      </c>
      <c r="FC58" s="1013" t="s">
        <v>7724</v>
      </c>
      <c r="FD58" s="1013" t="s">
        <v>7724</v>
      </c>
      <c r="FE58" s="1013" t="s">
        <v>7724</v>
      </c>
      <c r="FF58" s="1013" t="s">
        <v>7724</v>
      </c>
      <c r="FG58" s="1013">
        <v>0</v>
      </c>
      <c r="FH58" s="1013">
        <v>2</v>
      </c>
      <c r="FI58" s="1013">
        <v>0</v>
      </c>
      <c r="FJ58" s="1013">
        <v>0</v>
      </c>
      <c r="FK58" s="1013">
        <v>0</v>
      </c>
      <c r="FL58" s="1013">
        <v>2</v>
      </c>
      <c r="FM58" s="1013">
        <v>0</v>
      </c>
      <c r="FN58" s="1013">
        <v>15</v>
      </c>
      <c r="FO58" s="1013">
        <v>29</v>
      </c>
      <c r="FP58" s="1013">
        <v>9</v>
      </c>
      <c r="FQ58" s="1013" t="s">
        <v>7724</v>
      </c>
      <c r="FR58" s="1013" t="s">
        <v>7724</v>
      </c>
      <c r="FS58" s="1013" t="s">
        <v>7724</v>
      </c>
      <c r="FT58" s="1013" t="s">
        <v>7724</v>
      </c>
      <c r="FU58" s="1013" t="s">
        <v>7724</v>
      </c>
      <c r="FV58" s="1013" t="s">
        <v>7724</v>
      </c>
      <c r="FW58" s="1013" t="s">
        <v>7724</v>
      </c>
      <c r="FX58" s="1013" t="s">
        <v>7724</v>
      </c>
      <c r="FY58" s="1013" t="s">
        <v>7724</v>
      </c>
      <c r="FZ58" s="1013" t="s">
        <v>7724</v>
      </c>
      <c r="GA58" s="1013" t="s">
        <v>7724</v>
      </c>
      <c r="GB58" s="1013" t="s">
        <v>7724</v>
      </c>
      <c r="GC58" s="1013">
        <v>2022</v>
      </c>
      <c r="GD58" s="1013" t="s">
        <v>1407</v>
      </c>
      <c r="GE58" s="1013">
        <v>2</v>
      </c>
      <c r="GF58" s="1013" t="s">
        <v>1407</v>
      </c>
      <c r="GG58" s="1013" t="s">
        <v>1407</v>
      </c>
      <c r="GH58" s="1013" t="s">
        <v>7987</v>
      </c>
      <c r="GI58" s="1013" t="s">
        <v>7974</v>
      </c>
      <c r="GJ58" s="1013" t="s">
        <v>7974</v>
      </c>
      <c r="GK58" s="1013" t="s">
        <v>7974</v>
      </c>
      <c r="GL58" s="1013" t="s">
        <v>7974</v>
      </c>
    </row>
    <row r="59" spans="1:194" hidden="1">
      <c r="A59" s="1013">
        <v>42</v>
      </c>
      <c r="B59" s="1013" t="s">
        <v>7722</v>
      </c>
      <c r="C59" s="1013">
        <v>17567470</v>
      </c>
      <c r="D59" s="1013" t="s">
        <v>7723</v>
      </c>
      <c r="E59" s="1013" t="s">
        <v>7727</v>
      </c>
      <c r="F59" s="1013" t="s">
        <v>7723</v>
      </c>
      <c r="G59" s="1013" t="s">
        <v>7723</v>
      </c>
      <c r="H59" s="1013" t="s">
        <v>7723</v>
      </c>
      <c r="I59" s="1013" t="s">
        <v>7723</v>
      </c>
      <c r="J59" s="1013" t="s">
        <v>7723</v>
      </c>
      <c r="K59" s="1024">
        <v>43873</v>
      </c>
      <c r="L59" s="1023">
        <v>0.74305555555555558</v>
      </c>
      <c r="M59" s="1013">
        <v>2000011151</v>
      </c>
      <c r="N59" s="1013" t="s">
        <v>7823</v>
      </c>
      <c r="O59" s="1013">
        <v>101</v>
      </c>
      <c r="P59" s="1013">
        <v>208</v>
      </c>
      <c r="Q59" s="1013" t="s">
        <v>7723</v>
      </c>
      <c r="R59" s="1013" t="s">
        <v>7727</v>
      </c>
      <c r="S59" s="1013" t="s">
        <v>7724</v>
      </c>
      <c r="T59" s="1014" t="s">
        <v>7724</v>
      </c>
      <c r="U59" s="1014">
        <v>19</v>
      </c>
      <c r="V59" s="1014" t="s">
        <v>7724</v>
      </c>
      <c r="W59" s="1014" t="s">
        <v>7724</v>
      </c>
      <c r="X59" s="1013">
        <v>1</v>
      </c>
      <c r="Y59" s="1013">
        <v>1200</v>
      </c>
      <c r="Z59" s="1013" t="s">
        <v>7724</v>
      </c>
      <c r="AA59" s="1013" t="s">
        <v>7725</v>
      </c>
      <c r="AB59" s="1013" t="s">
        <v>7735</v>
      </c>
      <c r="AC59" s="1013" t="s">
        <v>7723</v>
      </c>
      <c r="AD59" s="1013" t="s">
        <v>7723</v>
      </c>
      <c r="AE59" s="1013">
        <v>30</v>
      </c>
      <c r="AF59" s="1013" t="s">
        <v>7723</v>
      </c>
      <c r="AG59" s="1013" t="s">
        <v>7723</v>
      </c>
      <c r="AH59" s="1013" t="s">
        <v>7739</v>
      </c>
      <c r="AI59" s="1013" t="s">
        <v>7727</v>
      </c>
      <c r="AJ59" s="1013">
        <v>19</v>
      </c>
      <c r="AK59" s="1013" t="s">
        <v>7724</v>
      </c>
      <c r="AL59" s="1013" t="s">
        <v>7724</v>
      </c>
      <c r="AM59" s="1013">
        <v>1</v>
      </c>
      <c r="AN59" s="1013">
        <v>4300</v>
      </c>
      <c r="AO59" s="1013" t="s">
        <v>7724</v>
      </c>
      <c r="AP59" s="1013" t="s">
        <v>7728</v>
      </c>
      <c r="AQ59" s="1013" t="s">
        <v>7726</v>
      </c>
      <c r="AR59" s="1013" t="s">
        <v>7724</v>
      </c>
      <c r="AS59" s="1013" t="s">
        <v>7724</v>
      </c>
      <c r="AT59" s="1013" t="s">
        <v>7724</v>
      </c>
      <c r="AU59" s="1013" t="s">
        <v>7724</v>
      </c>
      <c r="AV59" s="1013" t="s">
        <v>7739</v>
      </c>
      <c r="AW59" s="1013" t="s">
        <v>7724</v>
      </c>
      <c r="AX59" s="1013">
        <v>11</v>
      </c>
      <c r="AY59" s="1013">
        <v>5</v>
      </c>
      <c r="AZ59" s="1013">
        <v>98</v>
      </c>
      <c r="BA59" s="1013">
        <v>1</v>
      </c>
      <c r="BB59" s="1013">
        <v>1</v>
      </c>
      <c r="BC59" s="1013">
        <v>1</v>
      </c>
      <c r="BD59" s="1013">
        <v>5</v>
      </c>
      <c r="BE59" s="1023">
        <v>0.76041666666666663</v>
      </c>
      <c r="BF59" s="1013" t="s">
        <v>7768</v>
      </c>
      <c r="BG59" s="1023">
        <v>0.77083333333333337</v>
      </c>
      <c r="BH59" s="1024">
        <v>43873</v>
      </c>
      <c r="BI59" s="1013" t="s">
        <v>7727</v>
      </c>
      <c r="BJ59" s="1013" t="s">
        <v>7769</v>
      </c>
      <c r="BK59" s="1013">
        <v>1775</v>
      </c>
      <c r="BL59" s="1013" t="s">
        <v>7724</v>
      </c>
      <c r="BM59" s="1013" t="s">
        <v>7724</v>
      </c>
      <c r="BN59" s="1013">
        <v>53</v>
      </c>
      <c r="BO59" s="1013">
        <v>8</v>
      </c>
      <c r="BP59" s="1013">
        <v>2</v>
      </c>
      <c r="BQ59" s="1013">
        <v>1</v>
      </c>
      <c r="BR59" s="1013">
        <v>23</v>
      </c>
      <c r="BS59" s="1013">
        <v>64</v>
      </c>
      <c r="BT59" s="1013">
        <v>54</v>
      </c>
      <c r="BU59" s="1013">
        <v>1</v>
      </c>
      <c r="BV59" s="1013">
        <v>5</v>
      </c>
      <c r="BW59" s="1013">
        <v>1</v>
      </c>
      <c r="BX59" s="1013">
        <v>21</v>
      </c>
      <c r="BY59" s="1013">
        <v>21</v>
      </c>
      <c r="BZ59" s="1013">
        <v>101</v>
      </c>
      <c r="CA59" s="1013">
        <v>208</v>
      </c>
      <c r="CB59" s="1013">
        <v>29.733094999999999</v>
      </c>
      <c r="CC59" s="1013">
        <v>-95.381282999999996</v>
      </c>
      <c r="CD59" s="1013" t="s">
        <v>7724</v>
      </c>
      <c r="CE59" s="1013" t="s">
        <v>7724</v>
      </c>
      <c r="CF59" s="1013" t="s">
        <v>7724</v>
      </c>
      <c r="CG59" s="1013" t="s">
        <v>7724</v>
      </c>
      <c r="CH59" s="1013" t="s">
        <v>7731</v>
      </c>
      <c r="CI59" s="1013">
        <v>1201</v>
      </c>
      <c r="CJ59" s="1013" t="s">
        <v>7724</v>
      </c>
      <c r="CK59" s="1013" t="s">
        <v>7724</v>
      </c>
      <c r="CL59" s="1013" t="s">
        <v>7724</v>
      </c>
      <c r="CM59" s="1013" t="s">
        <v>7724</v>
      </c>
      <c r="CN59" s="1013" t="s">
        <v>7724</v>
      </c>
      <c r="CO59" s="1013" t="s">
        <v>7724</v>
      </c>
      <c r="CP59" s="1013" t="s">
        <v>7724</v>
      </c>
      <c r="CQ59" s="1013" t="s">
        <v>7724</v>
      </c>
      <c r="CR59" s="1013" t="s">
        <v>7732</v>
      </c>
      <c r="CS59" s="1013" t="s">
        <v>7724</v>
      </c>
      <c r="CT59" s="1013" t="s">
        <v>7724</v>
      </c>
      <c r="CU59" s="1013" t="s">
        <v>7724</v>
      </c>
      <c r="CV59" s="1013" t="s">
        <v>7724</v>
      </c>
      <c r="CW59" s="1013" t="s">
        <v>7727</v>
      </c>
      <c r="CX59" s="1013" t="s">
        <v>7723</v>
      </c>
      <c r="CY59" s="1013" t="s">
        <v>7723</v>
      </c>
      <c r="CZ59" s="1013">
        <v>3</v>
      </c>
      <c r="DA59" s="1013">
        <v>9</v>
      </c>
      <c r="DB59" s="1013" t="s">
        <v>7727</v>
      </c>
      <c r="DC59" s="1013" t="s">
        <v>7756</v>
      </c>
      <c r="DD59" s="1013" t="s">
        <v>7724</v>
      </c>
      <c r="DE59" s="1013" t="s">
        <v>7724</v>
      </c>
      <c r="DF59" s="1013" t="s">
        <v>7724</v>
      </c>
      <c r="DG59" s="1013" t="s">
        <v>7724</v>
      </c>
      <c r="DH59" s="1013" t="s">
        <v>7724</v>
      </c>
      <c r="DI59" s="1013" t="s">
        <v>7724</v>
      </c>
      <c r="DJ59" s="1013" t="s">
        <v>7724</v>
      </c>
      <c r="DK59" s="1013" t="s">
        <v>7724</v>
      </c>
      <c r="DL59" s="1013" t="s">
        <v>7724</v>
      </c>
      <c r="DM59" s="1013" t="s">
        <v>7724</v>
      </c>
      <c r="DN59" s="1013" t="s">
        <v>7724</v>
      </c>
      <c r="DO59" s="1013" t="s">
        <v>7724</v>
      </c>
      <c r="DP59" s="1013" t="s">
        <v>7724</v>
      </c>
      <c r="DQ59" s="1013" t="s">
        <v>7724</v>
      </c>
      <c r="DR59" s="1013" t="s">
        <v>7724</v>
      </c>
      <c r="DS59" s="1013" t="s">
        <v>7724</v>
      </c>
      <c r="DT59" s="1013" t="s">
        <v>7724</v>
      </c>
      <c r="DU59" s="1013" t="s">
        <v>7724</v>
      </c>
      <c r="DV59" s="1013" t="s">
        <v>7724</v>
      </c>
      <c r="DW59" s="1013" t="s">
        <v>7724</v>
      </c>
      <c r="DX59" s="1013" t="s">
        <v>7724</v>
      </c>
      <c r="DY59" s="1013" t="s">
        <v>7724</v>
      </c>
      <c r="DZ59" s="1013" t="s">
        <v>7724</v>
      </c>
      <c r="EA59" s="1013" t="s">
        <v>7724</v>
      </c>
      <c r="EB59" s="1013" t="s">
        <v>7724</v>
      </c>
      <c r="EC59" s="1013" t="s">
        <v>7724</v>
      </c>
      <c r="ED59" s="1013" t="s">
        <v>7724</v>
      </c>
      <c r="EE59" s="1013" t="s">
        <v>7724</v>
      </c>
      <c r="EF59" s="1013" t="s">
        <v>7724</v>
      </c>
      <c r="EG59" s="1013" t="s">
        <v>7724</v>
      </c>
      <c r="EH59" s="1013" t="s">
        <v>7724</v>
      </c>
      <c r="EI59" s="1013" t="s">
        <v>7724</v>
      </c>
      <c r="EJ59" s="1013" t="s">
        <v>7724</v>
      </c>
      <c r="EK59" s="1013" t="s">
        <v>7724</v>
      </c>
      <c r="EL59" s="1013" t="s">
        <v>7724</v>
      </c>
      <c r="EM59" s="1013" t="s">
        <v>7724</v>
      </c>
      <c r="EN59" s="1013" t="s">
        <v>7724</v>
      </c>
      <c r="EO59" s="1013" t="s">
        <v>7724</v>
      </c>
      <c r="EP59" s="1013" t="s">
        <v>7724</v>
      </c>
      <c r="EQ59" s="1013" t="s">
        <v>7724</v>
      </c>
      <c r="ER59" s="1013" t="s">
        <v>7724</v>
      </c>
      <c r="ES59" s="1013" t="s">
        <v>7724</v>
      </c>
      <c r="ET59" s="1013" t="s">
        <v>7724</v>
      </c>
      <c r="EU59" s="1013" t="s">
        <v>7724</v>
      </c>
      <c r="EV59" s="1013" t="s">
        <v>7724</v>
      </c>
      <c r="EW59" s="1013" t="s">
        <v>7724</v>
      </c>
      <c r="EX59" s="1013" t="s">
        <v>7724</v>
      </c>
      <c r="EY59" s="1013" t="s">
        <v>7724</v>
      </c>
      <c r="EZ59" s="1013" t="s">
        <v>7724</v>
      </c>
      <c r="FA59" s="1013" t="s">
        <v>7724</v>
      </c>
      <c r="FB59" s="1013" t="s">
        <v>7724</v>
      </c>
      <c r="FC59" s="1013" t="s">
        <v>7724</v>
      </c>
      <c r="FD59" s="1013" t="s">
        <v>7724</v>
      </c>
      <c r="FE59" s="1013" t="s">
        <v>7724</v>
      </c>
      <c r="FF59" s="1013" t="s">
        <v>7724</v>
      </c>
      <c r="FG59" s="1013">
        <v>0</v>
      </c>
      <c r="FH59" s="1013">
        <v>0</v>
      </c>
      <c r="FI59" s="1013">
        <v>1</v>
      </c>
      <c r="FJ59" s="1013">
        <v>2</v>
      </c>
      <c r="FK59" s="1013">
        <v>0</v>
      </c>
      <c r="FL59" s="1013">
        <v>1</v>
      </c>
      <c r="FM59" s="1013">
        <v>0</v>
      </c>
      <c r="FN59" s="1013">
        <v>15</v>
      </c>
      <c r="FO59" s="1013">
        <v>35</v>
      </c>
      <c r="FP59" s="1013">
        <v>17</v>
      </c>
      <c r="FQ59" s="1013" t="s">
        <v>7724</v>
      </c>
      <c r="FR59" s="1013" t="s">
        <v>7724</v>
      </c>
      <c r="FS59" s="1013" t="s">
        <v>7724</v>
      </c>
      <c r="FT59" s="1013" t="s">
        <v>7724</v>
      </c>
      <c r="FU59" s="1013" t="s">
        <v>7724</v>
      </c>
      <c r="FV59" s="1013" t="s">
        <v>7724</v>
      </c>
      <c r="FW59" s="1013" t="s">
        <v>7724</v>
      </c>
      <c r="FX59" s="1013" t="s">
        <v>7724</v>
      </c>
      <c r="FY59" s="1013" t="s">
        <v>7724</v>
      </c>
      <c r="FZ59" s="1013" t="s">
        <v>7724</v>
      </c>
      <c r="GA59" s="1013" t="s">
        <v>7724</v>
      </c>
      <c r="GB59" s="1013" t="s">
        <v>7724</v>
      </c>
      <c r="GC59" s="1013">
        <v>2020</v>
      </c>
      <c r="GD59" s="1013" t="s">
        <v>1407</v>
      </c>
      <c r="GE59" s="1013">
        <v>2</v>
      </c>
      <c r="GF59" s="1013" t="s">
        <v>1407</v>
      </c>
      <c r="GG59" s="1013" t="s">
        <v>1407</v>
      </c>
      <c r="GH59" s="1013" t="s">
        <v>7973</v>
      </c>
      <c r="GI59" s="1013" t="s">
        <v>7974</v>
      </c>
      <c r="GJ59" s="1013" t="s">
        <v>7974</v>
      </c>
      <c r="GK59" s="1013" t="s">
        <v>7974</v>
      </c>
      <c r="GL59" s="1013" t="s">
        <v>7974</v>
      </c>
    </row>
    <row r="60" spans="1:194" hidden="1">
      <c r="A60" s="1013">
        <v>48</v>
      </c>
      <c r="B60" s="1013" t="s">
        <v>7722</v>
      </c>
      <c r="C60" s="1013">
        <v>17641326</v>
      </c>
      <c r="D60" s="1013" t="s">
        <v>7723</v>
      </c>
      <c r="E60" s="1013" t="s">
        <v>7723</v>
      </c>
      <c r="F60" s="1013" t="s">
        <v>7723</v>
      </c>
      <c r="G60" s="1013" t="s">
        <v>7723</v>
      </c>
      <c r="H60" s="1013" t="s">
        <v>7723</v>
      </c>
      <c r="I60" s="1013" t="s">
        <v>7723</v>
      </c>
      <c r="J60" s="1013" t="s">
        <v>7723</v>
      </c>
      <c r="K60" s="1024">
        <v>43918</v>
      </c>
      <c r="L60" s="1023">
        <v>0.83333333333333337</v>
      </c>
      <c r="M60" s="1013" t="s">
        <v>7741</v>
      </c>
      <c r="N60" s="1013" t="s">
        <v>7734</v>
      </c>
      <c r="O60" s="1013">
        <v>101</v>
      </c>
      <c r="P60" s="1013">
        <v>208</v>
      </c>
      <c r="Q60" s="1013" t="s">
        <v>7723</v>
      </c>
      <c r="R60" s="1013" t="s">
        <v>7723</v>
      </c>
      <c r="S60" s="1013" t="s">
        <v>7724</v>
      </c>
      <c r="T60" s="1014" t="s">
        <v>7724</v>
      </c>
      <c r="U60" s="1014">
        <v>19</v>
      </c>
      <c r="V60" s="1014" t="s">
        <v>7724</v>
      </c>
      <c r="W60" s="1014" t="s">
        <v>7724</v>
      </c>
      <c r="X60" s="1013">
        <v>1</v>
      </c>
      <c r="Y60" s="1013">
        <v>1200</v>
      </c>
      <c r="Z60" s="1013" t="s">
        <v>7724</v>
      </c>
      <c r="AA60" s="1013" t="s">
        <v>7725</v>
      </c>
      <c r="AB60" s="1013" t="s">
        <v>7735</v>
      </c>
      <c r="AC60" s="1013" t="s">
        <v>7723</v>
      </c>
      <c r="AD60" s="1013" t="s">
        <v>7723</v>
      </c>
      <c r="AE60" s="1013">
        <v>35</v>
      </c>
      <c r="AF60" s="1013" t="s">
        <v>7723</v>
      </c>
      <c r="AG60" s="1013" t="s">
        <v>7723</v>
      </c>
      <c r="AH60" s="1013" t="s">
        <v>7739</v>
      </c>
      <c r="AI60" s="1013" t="s">
        <v>7727</v>
      </c>
      <c r="AJ60" s="1013">
        <v>19</v>
      </c>
      <c r="AK60" s="1013" t="s">
        <v>7724</v>
      </c>
      <c r="AL60" s="1013" t="s">
        <v>7724</v>
      </c>
      <c r="AM60" s="1013">
        <v>1</v>
      </c>
      <c r="AN60" s="1013">
        <v>4400</v>
      </c>
      <c r="AO60" s="1013" t="s">
        <v>7724</v>
      </c>
      <c r="AP60" s="1013" t="s">
        <v>7728</v>
      </c>
      <c r="AQ60" s="1013" t="s">
        <v>7726</v>
      </c>
      <c r="AR60" s="1013" t="s">
        <v>7724</v>
      </c>
      <c r="AS60" s="1013" t="s">
        <v>7724</v>
      </c>
      <c r="AT60" s="1013" t="s">
        <v>7724</v>
      </c>
      <c r="AU60" s="1013" t="s">
        <v>7724</v>
      </c>
      <c r="AV60" s="1013" t="s">
        <v>7724</v>
      </c>
      <c r="AW60" s="1013" t="s">
        <v>7724</v>
      </c>
      <c r="AX60" s="1013">
        <v>12</v>
      </c>
      <c r="AY60" s="1013">
        <v>4</v>
      </c>
      <c r="AZ60" s="1013">
        <v>0</v>
      </c>
      <c r="BA60" s="1013">
        <v>1</v>
      </c>
      <c r="BB60" s="1013">
        <v>1</v>
      </c>
      <c r="BC60" s="1013">
        <v>1</v>
      </c>
      <c r="BD60" s="1013">
        <v>21</v>
      </c>
      <c r="BE60" s="1023">
        <v>0.89444444444444449</v>
      </c>
      <c r="BF60" s="1013" t="s">
        <v>7729</v>
      </c>
      <c r="BG60" s="1023">
        <v>0.89930555555555558</v>
      </c>
      <c r="BH60" s="1024">
        <v>43918</v>
      </c>
      <c r="BI60" s="1013" t="s">
        <v>7727</v>
      </c>
      <c r="BJ60" s="1013" t="s">
        <v>7730</v>
      </c>
      <c r="BK60" s="1013">
        <v>2469</v>
      </c>
      <c r="BL60" s="1013" t="s">
        <v>7724</v>
      </c>
      <c r="BM60" s="1013" t="s">
        <v>7724</v>
      </c>
      <c r="BN60" s="1013">
        <v>113</v>
      </c>
      <c r="BO60" s="1013">
        <v>8</v>
      </c>
      <c r="BP60" s="1013">
        <v>1</v>
      </c>
      <c r="BQ60" s="1013">
        <v>2</v>
      </c>
      <c r="BR60" s="1013">
        <v>1</v>
      </c>
      <c r="BS60" s="1013">
        <v>64</v>
      </c>
      <c r="BT60" s="1013">
        <v>54</v>
      </c>
      <c r="BU60" s="1013">
        <v>1</v>
      </c>
      <c r="BV60" s="1013">
        <v>5</v>
      </c>
      <c r="BW60" s="1013">
        <v>1</v>
      </c>
      <c r="BX60" s="1013">
        <v>21</v>
      </c>
      <c r="BY60" s="1013">
        <v>21</v>
      </c>
      <c r="BZ60" s="1013">
        <v>101</v>
      </c>
      <c r="CA60" s="1013">
        <v>208</v>
      </c>
      <c r="CB60" s="1013">
        <v>29.733094999999999</v>
      </c>
      <c r="CC60" s="1013">
        <v>-95.381282999999996</v>
      </c>
      <c r="CD60" s="1013" t="s">
        <v>7724</v>
      </c>
      <c r="CE60" s="1013" t="s">
        <v>7724</v>
      </c>
      <c r="CF60" s="1013" t="s">
        <v>7724</v>
      </c>
      <c r="CG60" s="1013" t="s">
        <v>7724</v>
      </c>
      <c r="CH60" s="1013" t="s">
        <v>7731</v>
      </c>
      <c r="CI60" s="1013">
        <v>1201</v>
      </c>
      <c r="CJ60" s="1013" t="s">
        <v>7724</v>
      </c>
      <c r="CK60" s="1013" t="s">
        <v>7724</v>
      </c>
      <c r="CL60" s="1013" t="s">
        <v>7724</v>
      </c>
      <c r="CM60" s="1013" t="s">
        <v>7724</v>
      </c>
      <c r="CN60" s="1013" t="s">
        <v>7724</v>
      </c>
      <c r="CO60" s="1013" t="s">
        <v>7724</v>
      </c>
      <c r="CP60" s="1013" t="s">
        <v>7724</v>
      </c>
      <c r="CQ60" s="1013" t="s">
        <v>7724</v>
      </c>
      <c r="CR60" s="1013" t="s">
        <v>7732</v>
      </c>
      <c r="CS60" s="1013" t="s">
        <v>7724</v>
      </c>
      <c r="CT60" s="1013" t="s">
        <v>7724</v>
      </c>
      <c r="CU60" s="1013" t="s">
        <v>7724</v>
      </c>
      <c r="CV60" s="1013" t="s">
        <v>7724</v>
      </c>
      <c r="CW60" s="1013" t="s">
        <v>7727</v>
      </c>
      <c r="CX60" s="1013" t="s">
        <v>7723</v>
      </c>
      <c r="CY60" s="1013" t="s">
        <v>7723</v>
      </c>
      <c r="CZ60" s="1013">
        <v>3</v>
      </c>
      <c r="DA60" s="1013">
        <v>9</v>
      </c>
      <c r="DB60" s="1013" t="s">
        <v>7727</v>
      </c>
      <c r="DC60" s="1013" t="s">
        <v>7733</v>
      </c>
      <c r="DD60" s="1013" t="s">
        <v>7724</v>
      </c>
      <c r="DE60" s="1013" t="s">
        <v>7724</v>
      </c>
      <c r="DF60" s="1013" t="s">
        <v>7724</v>
      </c>
      <c r="DG60" s="1013" t="s">
        <v>7724</v>
      </c>
      <c r="DH60" s="1013" t="s">
        <v>7724</v>
      </c>
      <c r="DI60" s="1013" t="s">
        <v>7724</v>
      </c>
      <c r="DJ60" s="1013" t="s">
        <v>7724</v>
      </c>
      <c r="DK60" s="1013" t="s">
        <v>7724</v>
      </c>
      <c r="DL60" s="1013" t="s">
        <v>7724</v>
      </c>
      <c r="DM60" s="1013" t="s">
        <v>7724</v>
      </c>
      <c r="DN60" s="1013" t="s">
        <v>7724</v>
      </c>
      <c r="DO60" s="1013" t="s">
        <v>7724</v>
      </c>
      <c r="DP60" s="1013" t="s">
        <v>7724</v>
      </c>
      <c r="DQ60" s="1013" t="s">
        <v>7724</v>
      </c>
      <c r="DR60" s="1013" t="s">
        <v>7724</v>
      </c>
      <c r="DS60" s="1013" t="s">
        <v>7724</v>
      </c>
      <c r="DT60" s="1013" t="s">
        <v>7724</v>
      </c>
      <c r="DU60" s="1013" t="s">
        <v>7724</v>
      </c>
      <c r="DV60" s="1013" t="s">
        <v>7724</v>
      </c>
      <c r="DW60" s="1013" t="s">
        <v>7724</v>
      </c>
      <c r="DX60" s="1013" t="s">
        <v>7724</v>
      </c>
      <c r="DY60" s="1013" t="s">
        <v>7724</v>
      </c>
      <c r="DZ60" s="1013" t="s">
        <v>7724</v>
      </c>
      <c r="EA60" s="1013" t="s">
        <v>7724</v>
      </c>
      <c r="EB60" s="1013" t="s">
        <v>7724</v>
      </c>
      <c r="EC60" s="1013" t="s">
        <v>7724</v>
      </c>
      <c r="ED60" s="1013" t="s">
        <v>7724</v>
      </c>
      <c r="EE60" s="1013" t="s">
        <v>7724</v>
      </c>
      <c r="EF60" s="1013" t="s">
        <v>7724</v>
      </c>
      <c r="EG60" s="1013" t="s">
        <v>7724</v>
      </c>
      <c r="EH60" s="1013" t="s">
        <v>7724</v>
      </c>
      <c r="EI60" s="1013" t="s">
        <v>7724</v>
      </c>
      <c r="EJ60" s="1013" t="s">
        <v>7724</v>
      </c>
      <c r="EK60" s="1013" t="s">
        <v>7724</v>
      </c>
      <c r="EL60" s="1013" t="s">
        <v>7724</v>
      </c>
      <c r="EM60" s="1013" t="s">
        <v>7724</v>
      </c>
      <c r="EN60" s="1013" t="s">
        <v>7724</v>
      </c>
      <c r="EO60" s="1013" t="s">
        <v>7724</v>
      </c>
      <c r="EP60" s="1013" t="s">
        <v>7724</v>
      </c>
      <c r="EQ60" s="1013" t="s">
        <v>7724</v>
      </c>
      <c r="ER60" s="1013" t="s">
        <v>7724</v>
      </c>
      <c r="ES60" s="1013" t="s">
        <v>7724</v>
      </c>
      <c r="ET60" s="1013" t="s">
        <v>7724</v>
      </c>
      <c r="EU60" s="1013" t="s">
        <v>7724</v>
      </c>
      <c r="EV60" s="1013" t="s">
        <v>7724</v>
      </c>
      <c r="EW60" s="1013" t="s">
        <v>7724</v>
      </c>
      <c r="EX60" s="1013" t="s">
        <v>7724</v>
      </c>
      <c r="EY60" s="1013" t="s">
        <v>7724</v>
      </c>
      <c r="EZ60" s="1013" t="s">
        <v>7724</v>
      </c>
      <c r="FA60" s="1013" t="s">
        <v>7724</v>
      </c>
      <c r="FB60" s="1013" t="s">
        <v>7724</v>
      </c>
      <c r="FC60" s="1013" t="s">
        <v>7724</v>
      </c>
      <c r="FD60" s="1013" t="s">
        <v>7724</v>
      </c>
      <c r="FE60" s="1013" t="s">
        <v>7724</v>
      </c>
      <c r="FF60" s="1013" t="s">
        <v>7724</v>
      </c>
      <c r="FG60" s="1013">
        <v>0</v>
      </c>
      <c r="FH60" s="1013">
        <v>0</v>
      </c>
      <c r="FI60" s="1013">
        <v>1</v>
      </c>
      <c r="FJ60" s="1013">
        <v>1</v>
      </c>
      <c r="FK60" s="1013">
        <v>0</v>
      </c>
      <c r="FL60" s="1013">
        <v>1</v>
      </c>
      <c r="FM60" s="1013">
        <v>0</v>
      </c>
      <c r="FN60" s="1013">
        <v>15</v>
      </c>
      <c r="FO60" s="1013">
        <v>29</v>
      </c>
      <c r="FP60" s="1013">
        <v>6</v>
      </c>
      <c r="FQ60" s="1013" t="s">
        <v>7724</v>
      </c>
      <c r="FR60" s="1013" t="s">
        <v>7724</v>
      </c>
      <c r="FS60" s="1013" t="s">
        <v>7724</v>
      </c>
      <c r="FT60" s="1013" t="s">
        <v>7724</v>
      </c>
      <c r="FU60" s="1013" t="s">
        <v>7724</v>
      </c>
      <c r="FV60" s="1013" t="s">
        <v>7724</v>
      </c>
      <c r="FW60" s="1013" t="s">
        <v>7724</v>
      </c>
      <c r="FX60" s="1013" t="s">
        <v>7724</v>
      </c>
      <c r="FY60" s="1013" t="s">
        <v>7724</v>
      </c>
      <c r="FZ60" s="1013" t="s">
        <v>7724</v>
      </c>
      <c r="GA60" s="1013" t="s">
        <v>7724</v>
      </c>
      <c r="GB60" s="1013" t="s">
        <v>7724</v>
      </c>
      <c r="GC60" s="1013">
        <v>2020</v>
      </c>
      <c r="GD60" s="1013" t="s">
        <v>1407</v>
      </c>
      <c r="GE60" s="1013">
        <v>2</v>
      </c>
      <c r="GF60" s="1013" t="s">
        <v>1404</v>
      </c>
      <c r="GG60" s="1013" t="s">
        <v>1407</v>
      </c>
      <c r="GH60" s="1013" t="s">
        <v>8023</v>
      </c>
      <c r="GI60" s="1013" t="s">
        <v>7974</v>
      </c>
      <c r="GJ60" s="1013" t="s">
        <v>7974</v>
      </c>
      <c r="GK60" s="1013" t="s">
        <v>7974</v>
      </c>
      <c r="GL60" s="1013" t="s">
        <v>7974</v>
      </c>
    </row>
    <row r="61" spans="1:194" hidden="1">
      <c r="A61" s="1013">
        <v>50</v>
      </c>
      <c r="B61" s="1013" t="s">
        <v>7722</v>
      </c>
      <c r="C61" s="1013">
        <v>17710017</v>
      </c>
      <c r="D61" s="1013" t="s">
        <v>7723</v>
      </c>
      <c r="E61" s="1013" t="s">
        <v>7723</v>
      </c>
      <c r="F61" s="1013" t="s">
        <v>7723</v>
      </c>
      <c r="G61" s="1013" t="s">
        <v>7723</v>
      </c>
      <c r="H61" s="1013" t="s">
        <v>7723</v>
      </c>
      <c r="I61" s="1013" t="s">
        <v>7723</v>
      </c>
      <c r="J61" s="1013" t="s">
        <v>7723</v>
      </c>
      <c r="K61" s="1024">
        <v>43984</v>
      </c>
      <c r="L61" s="1023">
        <v>0.81388888888888888</v>
      </c>
      <c r="M61" s="1013" t="s">
        <v>7827</v>
      </c>
      <c r="N61" s="1013" t="s">
        <v>7724</v>
      </c>
      <c r="O61" s="1013">
        <v>101</v>
      </c>
      <c r="P61" s="1013">
        <v>208</v>
      </c>
      <c r="Q61" s="1013" t="s">
        <v>7723</v>
      </c>
      <c r="R61" s="1013" t="s">
        <v>7727</v>
      </c>
      <c r="S61" s="1013" t="s">
        <v>7724</v>
      </c>
      <c r="T61" s="1014" t="s">
        <v>7724</v>
      </c>
      <c r="U61" s="1014">
        <v>19</v>
      </c>
      <c r="V61" s="1014" t="s">
        <v>7724</v>
      </c>
      <c r="W61" s="1014" t="s">
        <v>7724</v>
      </c>
      <c r="X61" s="1013">
        <v>1</v>
      </c>
      <c r="Y61" s="1013">
        <v>1200</v>
      </c>
      <c r="Z61" s="1013" t="s">
        <v>7724</v>
      </c>
      <c r="AA61" s="1013" t="s">
        <v>7725</v>
      </c>
      <c r="AB61" s="1013" t="s">
        <v>7726</v>
      </c>
      <c r="AC61" s="1013" t="s">
        <v>7723</v>
      </c>
      <c r="AD61" s="1013" t="s">
        <v>7723</v>
      </c>
      <c r="AE61" s="1013">
        <v>35</v>
      </c>
      <c r="AF61" s="1013" t="s">
        <v>7723</v>
      </c>
      <c r="AG61" s="1013" t="s">
        <v>7723</v>
      </c>
      <c r="AH61" s="1013" t="s">
        <v>7724</v>
      </c>
      <c r="AI61" s="1013" t="s">
        <v>7727</v>
      </c>
      <c r="AJ61" s="1013">
        <v>19</v>
      </c>
      <c r="AK61" s="1013" t="s">
        <v>7724</v>
      </c>
      <c r="AL61" s="1013" t="s">
        <v>7724</v>
      </c>
      <c r="AM61" s="1013">
        <v>1</v>
      </c>
      <c r="AN61" s="1013">
        <v>4300</v>
      </c>
      <c r="AO61" s="1013" t="s">
        <v>7724</v>
      </c>
      <c r="AP61" s="1013" t="s">
        <v>7728</v>
      </c>
      <c r="AQ61" s="1013" t="s">
        <v>7726</v>
      </c>
      <c r="AR61" s="1013" t="s">
        <v>7724</v>
      </c>
      <c r="AS61" s="1013" t="s">
        <v>7724</v>
      </c>
      <c r="AT61" s="1013" t="s">
        <v>7724</v>
      </c>
      <c r="AU61" s="1013" t="s">
        <v>7724</v>
      </c>
      <c r="AV61" s="1013" t="s">
        <v>7724</v>
      </c>
      <c r="AW61" s="1013" t="s">
        <v>7724</v>
      </c>
      <c r="AX61" s="1013">
        <v>11</v>
      </c>
      <c r="AY61" s="1013">
        <v>1</v>
      </c>
      <c r="AZ61" s="1013">
        <v>4</v>
      </c>
      <c r="BA61" s="1013">
        <v>2</v>
      </c>
      <c r="BB61" s="1013">
        <v>1</v>
      </c>
      <c r="BC61" s="1013">
        <v>1</v>
      </c>
      <c r="BD61" s="1013">
        <v>5</v>
      </c>
      <c r="BE61" s="1023">
        <v>0.81388888888888888</v>
      </c>
      <c r="BF61" s="1013" t="s">
        <v>7828</v>
      </c>
      <c r="BG61" s="1023">
        <v>0.81388888888888888</v>
      </c>
      <c r="BH61" s="1024">
        <v>43984</v>
      </c>
      <c r="BI61" s="1013" t="s">
        <v>7727</v>
      </c>
      <c r="BJ61" s="1013" t="s">
        <v>7730</v>
      </c>
      <c r="BK61" s="1013">
        <v>2469</v>
      </c>
      <c r="BL61" s="1013" t="s">
        <v>7724</v>
      </c>
      <c r="BM61" s="1013" t="s">
        <v>7724</v>
      </c>
      <c r="BN61" s="1013">
        <v>113</v>
      </c>
      <c r="BO61" s="1013">
        <v>8</v>
      </c>
      <c r="BP61" s="1013">
        <v>2</v>
      </c>
      <c r="BQ61" s="1013">
        <v>2</v>
      </c>
      <c r="BR61" s="1013">
        <v>22</v>
      </c>
      <c r="BS61" s="1013">
        <v>64</v>
      </c>
      <c r="BT61" s="1013">
        <v>38</v>
      </c>
      <c r="BU61" s="1013">
        <v>1</v>
      </c>
      <c r="BV61" s="1013">
        <v>5</v>
      </c>
      <c r="BW61" s="1013">
        <v>1</v>
      </c>
      <c r="BX61" s="1013">
        <v>21</v>
      </c>
      <c r="BY61" s="1013">
        <v>21</v>
      </c>
      <c r="BZ61" s="1013">
        <v>101</v>
      </c>
      <c r="CA61" s="1013">
        <v>208</v>
      </c>
      <c r="CB61" s="1013">
        <v>29.733094999999999</v>
      </c>
      <c r="CC61" s="1013">
        <v>-95.381282999999996</v>
      </c>
      <c r="CD61" s="1013" t="s">
        <v>7724</v>
      </c>
      <c r="CE61" s="1013" t="s">
        <v>7724</v>
      </c>
      <c r="CF61" s="1013" t="s">
        <v>7724</v>
      </c>
      <c r="CG61" s="1013" t="s">
        <v>7724</v>
      </c>
      <c r="CH61" s="1013" t="s">
        <v>7731</v>
      </c>
      <c r="CI61" s="1013">
        <v>1201</v>
      </c>
      <c r="CJ61" s="1013" t="s">
        <v>7724</v>
      </c>
      <c r="CK61" s="1013" t="s">
        <v>7724</v>
      </c>
      <c r="CL61" s="1013" t="s">
        <v>7724</v>
      </c>
      <c r="CM61" s="1013" t="s">
        <v>7724</v>
      </c>
      <c r="CN61" s="1013" t="s">
        <v>7724</v>
      </c>
      <c r="CO61" s="1013" t="s">
        <v>7724</v>
      </c>
      <c r="CP61" s="1013" t="s">
        <v>7724</v>
      </c>
      <c r="CQ61" s="1013" t="s">
        <v>7724</v>
      </c>
      <c r="CR61" s="1013" t="s">
        <v>7732</v>
      </c>
      <c r="CS61" s="1013" t="s">
        <v>7724</v>
      </c>
      <c r="CT61" s="1013" t="s">
        <v>7724</v>
      </c>
      <c r="CU61" s="1013" t="s">
        <v>7724</v>
      </c>
      <c r="CV61" s="1013" t="s">
        <v>7724</v>
      </c>
      <c r="CW61" s="1013" t="s">
        <v>7727</v>
      </c>
      <c r="CX61" s="1013" t="s">
        <v>7723</v>
      </c>
      <c r="CY61" s="1013" t="s">
        <v>7723</v>
      </c>
      <c r="CZ61" s="1013">
        <v>5</v>
      </c>
      <c r="DA61" s="1013">
        <v>9</v>
      </c>
      <c r="DB61" s="1013" t="s">
        <v>7727</v>
      </c>
      <c r="DC61" s="1013" t="s">
        <v>7737</v>
      </c>
      <c r="DD61" s="1013" t="s">
        <v>7724</v>
      </c>
      <c r="DE61" s="1013" t="s">
        <v>7724</v>
      </c>
      <c r="DF61" s="1013" t="s">
        <v>7724</v>
      </c>
      <c r="DG61" s="1013" t="s">
        <v>7724</v>
      </c>
      <c r="DH61" s="1013" t="s">
        <v>7724</v>
      </c>
      <c r="DI61" s="1013" t="s">
        <v>7724</v>
      </c>
      <c r="DJ61" s="1013" t="s">
        <v>7724</v>
      </c>
      <c r="DK61" s="1013" t="s">
        <v>7724</v>
      </c>
      <c r="DL61" s="1013" t="s">
        <v>7724</v>
      </c>
      <c r="DM61" s="1013" t="s">
        <v>7724</v>
      </c>
      <c r="DN61" s="1013" t="s">
        <v>7724</v>
      </c>
      <c r="DO61" s="1013" t="s">
        <v>7724</v>
      </c>
      <c r="DP61" s="1013" t="s">
        <v>7724</v>
      </c>
      <c r="DQ61" s="1013" t="s">
        <v>7724</v>
      </c>
      <c r="DR61" s="1013" t="s">
        <v>7724</v>
      </c>
      <c r="DS61" s="1013" t="s">
        <v>7724</v>
      </c>
      <c r="DT61" s="1013" t="s">
        <v>7724</v>
      </c>
      <c r="DU61" s="1013" t="s">
        <v>7724</v>
      </c>
      <c r="DV61" s="1013" t="s">
        <v>7724</v>
      </c>
      <c r="DW61" s="1013" t="s">
        <v>7724</v>
      </c>
      <c r="DX61" s="1013" t="s">
        <v>7724</v>
      </c>
      <c r="DY61" s="1013" t="s">
        <v>7724</v>
      </c>
      <c r="DZ61" s="1013" t="s">
        <v>7724</v>
      </c>
      <c r="EA61" s="1013" t="s">
        <v>7724</v>
      </c>
      <c r="EB61" s="1013" t="s">
        <v>7724</v>
      </c>
      <c r="EC61" s="1013" t="s">
        <v>7724</v>
      </c>
      <c r="ED61" s="1013" t="s">
        <v>7724</v>
      </c>
      <c r="EE61" s="1013" t="s">
        <v>7724</v>
      </c>
      <c r="EF61" s="1013" t="s">
        <v>7724</v>
      </c>
      <c r="EG61" s="1013" t="s">
        <v>7724</v>
      </c>
      <c r="EH61" s="1013" t="s">
        <v>7724</v>
      </c>
      <c r="EI61" s="1013" t="s">
        <v>7724</v>
      </c>
      <c r="EJ61" s="1013" t="s">
        <v>7724</v>
      </c>
      <c r="EK61" s="1013" t="s">
        <v>7724</v>
      </c>
      <c r="EL61" s="1013" t="s">
        <v>7724</v>
      </c>
      <c r="EM61" s="1013" t="s">
        <v>7724</v>
      </c>
      <c r="EN61" s="1013" t="s">
        <v>7724</v>
      </c>
      <c r="EO61" s="1013" t="s">
        <v>7724</v>
      </c>
      <c r="EP61" s="1013" t="s">
        <v>7724</v>
      </c>
      <c r="EQ61" s="1013" t="s">
        <v>7724</v>
      </c>
      <c r="ER61" s="1013" t="s">
        <v>7724</v>
      </c>
      <c r="ES61" s="1013" t="s">
        <v>7724</v>
      </c>
      <c r="ET61" s="1013" t="s">
        <v>7724</v>
      </c>
      <c r="EU61" s="1013" t="s">
        <v>7724</v>
      </c>
      <c r="EV61" s="1013" t="s">
        <v>7724</v>
      </c>
      <c r="EW61" s="1013" t="s">
        <v>7724</v>
      </c>
      <c r="EX61" s="1013" t="s">
        <v>7724</v>
      </c>
      <c r="EY61" s="1013" t="s">
        <v>7724</v>
      </c>
      <c r="EZ61" s="1013" t="s">
        <v>7724</v>
      </c>
      <c r="FA61" s="1013" t="s">
        <v>7724</v>
      </c>
      <c r="FB61" s="1013" t="s">
        <v>7724</v>
      </c>
      <c r="FC61" s="1013" t="s">
        <v>7724</v>
      </c>
      <c r="FD61" s="1013" t="s">
        <v>7724</v>
      </c>
      <c r="FE61" s="1013" t="s">
        <v>7724</v>
      </c>
      <c r="FF61" s="1013" t="s">
        <v>7724</v>
      </c>
      <c r="FG61" s="1013">
        <v>0</v>
      </c>
      <c r="FH61" s="1013">
        <v>0</v>
      </c>
      <c r="FI61" s="1013">
        <v>0</v>
      </c>
      <c r="FJ61" s="1013">
        <v>2</v>
      </c>
      <c r="FK61" s="1013">
        <v>0</v>
      </c>
      <c r="FL61" s="1013">
        <v>0</v>
      </c>
      <c r="FM61" s="1013">
        <v>0</v>
      </c>
      <c r="FN61" s="1013">
        <v>15</v>
      </c>
      <c r="FO61" s="1013">
        <v>29</v>
      </c>
      <c r="FP61" s="1013">
        <v>6</v>
      </c>
      <c r="FQ61" s="1013" t="s">
        <v>7724</v>
      </c>
      <c r="FR61" s="1013" t="s">
        <v>7724</v>
      </c>
      <c r="FS61" s="1013" t="s">
        <v>7724</v>
      </c>
      <c r="FT61" s="1013" t="s">
        <v>7724</v>
      </c>
      <c r="FU61" s="1013" t="s">
        <v>7724</v>
      </c>
      <c r="FV61" s="1013" t="s">
        <v>7724</v>
      </c>
      <c r="FW61" s="1013" t="s">
        <v>7724</v>
      </c>
      <c r="FX61" s="1013" t="s">
        <v>7724</v>
      </c>
      <c r="FY61" s="1013" t="s">
        <v>7724</v>
      </c>
      <c r="FZ61" s="1013" t="s">
        <v>7724</v>
      </c>
      <c r="GA61" s="1013" t="s">
        <v>7724</v>
      </c>
      <c r="GB61" s="1013" t="s">
        <v>7724</v>
      </c>
      <c r="GC61" s="1013">
        <v>2020</v>
      </c>
      <c r="GD61" s="1013" t="s">
        <v>1404</v>
      </c>
      <c r="GE61" s="1013">
        <v>2</v>
      </c>
      <c r="GF61" s="1013" t="s">
        <v>1407</v>
      </c>
      <c r="GG61" s="1013" t="s">
        <v>1407</v>
      </c>
      <c r="GH61" s="1013" t="s">
        <v>8023</v>
      </c>
      <c r="GI61" s="1013" t="s">
        <v>7974</v>
      </c>
      <c r="GJ61" s="1013" t="s">
        <v>7974</v>
      </c>
      <c r="GK61" s="1013" t="s">
        <v>7974</v>
      </c>
      <c r="GL61" s="1013" t="s">
        <v>7974</v>
      </c>
    </row>
    <row r="62" spans="1:194" hidden="1">
      <c r="A62" s="1013">
        <v>68</v>
      </c>
      <c r="B62" s="1013" t="s">
        <v>7722</v>
      </c>
      <c r="C62" s="1013">
        <v>17948000</v>
      </c>
      <c r="D62" s="1013" t="s">
        <v>7723</v>
      </c>
      <c r="E62" s="1013" t="s">
        <v>7723</v>
      </c>
      <c r="F62" s="1013" t="s">
        <v>7723</v>
      </c>
      <c r="G62" s="1013" t="s">
        <v>7723</v>
      </c>
      <c r="H62" s="1013" t="s">
        <v>7723</v>
      </c>
      <c r="I62" s="1013" t="s">
        <v>7723</v>
      </c>
      <c r="J62" s="1013" t="s">
        <v>7723</v>
      </c>
      <c r="K62" s="1024">
        <v>44121</v>
      </c>
      <c r="L62" s="1023">
        <v>0.58611111111111114</v>
      </c>
      <c r="M62" s="1013" t="s">
        <v>7844</v>
      </c>
      <c r="N62" s="1013" t="s">
        <v>7724</v>
      </c>
      <c r="O62" s="1013">
        <v>101</v>
      </c>
      <c r="P62" s="1013">
        <v>208</v>
      </c>
      <c r="Q62" s="1013" t="s">
        <v>7723</v>
      </c>
      <c r="R62" s="1013" t="s">
        <v>7727</v>
      </c>
      <c r="S62" s="1013" t="s">
        <v>7724</v>
      </c>
      <c r="T62" s="1014" t="s">
        <v>7724</v>
      </c>
      <c r="U62" s="1014">
        <v>19</v>
      </c>
      <c r="V62" s="1014" t="s">
        <v>7724</v>
      </c>
      <c r="W62" s="1014" t="s">
        <v>7724</v>
      </c>
      <c r="X62" s="1013">
        <v>1</v>
      </c>
      <c r="Y62" s="1013">
        <v>1200</v>
      </c>
      <c r="Z62" s="1013" t="s">
        <v>7724</v>
      </c>
      <c r="AA62" s="1013" t="s">
        <v>7725</v>
      </c>
      <c r="AB62" s="1013" t="s">
        <v>7726</v>
      </c>
      <c r="AC62" s="1013" t="s">
        <v>7723</v>
      </c>
      <c r="AD62" s="1013" t="s">
        <v>7723</v>
      </c>
      <c r="AE62" s="1013">
        <v>30</v>
      </c>
      <c r="AF62" s="1013" t="s">
        <v>7723</v>
      </c>
      <c r="AG62" s="1013" t="s">
        <v>7723</v>
      </c>
      <c r="AH62" s="1013" t="s">
        <v>7724</v>
      </c>
      <c r="AI62" s="1013" t="s">
        <v>7727</v>
      </c>
      <c r="AJ62" s="1013">
        <v>19</v>
      </c>
      <c r="AK62" s="1013" t="s">
        <v>7724</v>
      </c>
      <c r="AL62" s="1013" t="s">
        <v>7724</v>
      </c>
      <c r="AM62" s="1013">
        <v>1</v>
      </c>
      <c r="AN62" s="1013">
        <v>4200</v>
      </c>
      <c r="AO62" s="1013" t="s">
        <v>7724</v>
      </c>
      <c r="AP62" s="1013" t="s">
        <v>7728</v>
      </c>
      <c r="AQ62" s="1013" t="s">
        <v>7726</v>
      </c>
      <c r="AR62" s="1013" t="s">
        <v>7724</v>
      </c>
      <c r="AS62" s="1013" t="s">
        <v>7724</v>
      </c>
      <c r="AT62" s="1013" t="s">
        <v>7724</v>
      </c>
      <c r="AU62" s="1013" t="s">
        <v>7724</v>
      </c>
      <c r="AV62" s="1013" t="s">
        <v>7724</v>
      </c>
      <c r="AW62" s="1013" t="s">
        <v>7724</v>
      </c>
      <c r="AX62" s="1013">
        <v>12</v>
      </c>
      <c r="AY62" s="1013">
        <v>1</v>
      </c>
      <c r="AZ62" s="1013">
        <v>4</v>
      </c>
      <c r="BA62" s="1013">
        <v>4</v>
      </c>
      <c r="BB62" s="1013">
        <v>1</v>
      </c>
      <c r="BC62" s="1013">
        <v>1</v>
      </c>
      <c r="BD62" s="1013">
        <v>5</v>
      </c>
      <c r="BE62" s="1023">
        <v>0.58611111111111114</v>
      </c>
      <c r="BF62" s="1013" t="s">
        <v>7729</v>
      </c>
      <c r="BG62" s="1023">
        <v>0.62569444444444444</v>
      </c>
      <c r="BH62" s="1024">
        <v>44137</v>
      </c>
      <c r="BI62" s="1013" t="s">
        <v>7727</v>
      </c>
      <c r="BJ62" s="1013" t="s">
        <v>7730</v>
      </c>
      <c r="BK62" s="1013">
        <v>2469</v>
      </c>
      <c r="BL62" s="1013" t="s">
        <v>7724</v>
      </c>
      <c r="BM62" s="1013" t="s">
        <v>7724</v>
      </c>
      <c r="BN62" s="1013">
        <v>113</v>
      </c>
      <c r="BO62" s="1013">
        <v>8</v>
      </c>
      <c r="BP62" s="1013">
        <v>2</v>
      </c>
      <c r="BQ62" s="1013">
        <v>1</v>
      </c>
      <c r="BR62" s="1013">
        <v>13</v>
      </c>
      <c r="BS62" s="1013">
        <v>64</v>
      </c>
      <c r="BT62" s="1013">
        <v>54</v>
      </c>
      <c r="BU62" s="1013">
        <v>1</v>
      </c>
      <c r="BV62" s="1013">
        <v>5</v>
      </c>
      <c r="BW62" s="1013">
        <v>1</v>
      </c>
      <c r="BX62" s="1013">
        <v>21</v>
      </c>
      <c r="BY62" s="1013">
        <v>21</v>
      </c>
      <c r="BZ62" s="1013">
        <v>101</v>
      </c>
      <c r="CA62" s="1013">
        <v>208</v>
      </c>
      <c r="CB62" s="1013">
        <v>29.733094999999999</v>
      </c>
      <c r="CC62" s="1013">
        <v>-95.381282999999996</v>
      </c>
      <c r="CD62" s="1013" t="s">
        <v>7724</v>
      </c>
      <c r="CE62" s="1013" t="s">
        <v>7724</v>
      </c>
      <c r="CF62" s="1013" t="s">
        <v>7724</v>
      </c>
      <c r="CG62" s="1013" t="s">
        <v>7724</v>
      </c>
      <c r="CH62" s="1013" t="s">
        <v>7731</v>
      </c>
      <c r="CI62" s="1013">
        <v>1201</v>
      </c>
      <c r="CJ62" s="1013" t="s">
        <v>7724</v>
      </c>
      <c r="CK62" s="1013" t="s">
        <v>7724</v>
      </c>
      <c r="CL62" s="1013" t="s">
        <v>7724</v>
      </c>
      <c r="CM62" s="1013" t="s">
        <v>7724</v>
      </c>
      <c r="CN62" s="1013" t="s">
        <v>7724</v>
      </c>
      <c r="CO62" s="1013" t="s">
        <v>7724</v>
      </c>
      <c r="CP62" s="1013" t="s">
        <v>7724</v>
      </c>
      <c r="CQ62" s="1013" t="s">
        <v>7724</v>
      </c>
      <c r="CR62" s="1013" t="s">
        <v>7732</v>
      </c>
      <c r="CS62" s="1013" t="s">
        <v>7724</v>
      </c>
      <c r="CT62" s="1013" t="s">
        <v>7724</v>
      </c>
      <c r="CU62" s="1013" t="s">
        <v>7724</v>
      </c>
      <c r="CV62" s="1013" t="s">
        <v>7724</v>
      </c>
      <c r="CW62" s="1013" t="s">
        <v>7727</v>
      </c>
      <c r="CX62" s="1013" t="s">
        <v>7723</v>
      </c>
      <c r="CY62" s="1013" t="s">
        <v>7723</v>
      </c>
      <c r="CZ62" s="1013">
        <v>5</v>
      </c>
      <c r="DA62" s="1013">
        <v>9</v>
      </c>
      <c r="DB62" s="1013" t="s">
        <v>7727</v>
      </c>
      <c r="DC62" s="1013" t="s">
        <v>7733</v>
      </c>
      <c r="DD62" s="1013" t="s">
        <v>7724</v>
      </c>
      <c r="DE62" s="1013" t="s">
        <v>7724</v>
      </c>
      <c r="DF62" s="1013" t="s">
        <v>7724</v>
      </c>
      <c r="DG62" s="1013" t="s">
        <v>7724</v>
      </c>
      <c r="DH62" s="1013" t="s">
        <v>7724</v>
      </c>
      <c r="DI62" s="1013" t="s">
        <v>7724</v>
      </c>
      <c r="DJ62" s="1013" t="s">
        <v>7724</v>
      </c>
      <c r="DK62" s="1013" t="s">
        <v>7724</v>
      </c>
      <c r="DL62" s="1013" t="s">
        <v>7724</v>
      </c>
      <c r="DM62" s="1013" t="s">
        <v>7724</v>
      </c>
      <c r="DN62" s="1013" t="s">
        <v>7724</v>
      </c>
      <c r="DO62" s="1013" t="s">
        <v>7724</v>
      </c>
      <c r="DP62" s="1013" t="s">
        <v>7724</v>
      </c>
      <c r="DQ62" s="1013" t="s">
        <v>7724</v>
      </c>
      <c r="DR62" s="1013" t="s">
        <v>7724</v>
      </c>
      <c r="DS62" s="1013" t="s">
        <v>7724</v>
      </c>
      <c r="DT62" s="1013" t="s">
        <v>7724</v>
      </c>
      <c r="DU62" s="1013" t="s">
        <v>7724</v>
      </c>
      <c r="DV62" s="1013" t="s">
        <v>7724</v>
      </c>
      <c r="DW62" s="1013" t="s">
        <v>7724</v>
      </c>
      <c r="DX62" s="1013" t="s">
        <v>7724</v>
      </c>
      <c r="DY62" s="1013" t="s">
        <v>7724</v>
      </c>
      <c r="DZ62" s="1013" t="s">
        <v>7724</v>
      </c>
      <c r="EA62" s="1013" t="s">
        <v>7724</v>
      </c>
      <c r="EB62" s="1013" t="s">
        <v>7724</v>
      </c>
      <c r="EC62" s="1013" t="s">
        <v>7724</v>
      </c>
      <c r="ED62" s="1013" t="s">
        <v>7724</v>
      </c>
      <c r="EE62" s="1013" t="s">
        <v>7724</v>
      </c>
      <c r="EF62" s="1013" t="s">
        <v>7724</v>
      </c>
      <c r="EG62" s="1013" t="s">
        <v>7724</v>
      </c>
      <c r="EH62" s="1013" t="s">
        <v>7724</v>
      </c>
      <c r="EI62" s="1013" t="s">
        <v>7724</v>
      </c>
      <c r="EJ62" s="1013" t="s">
        <v>7724</v>
      </c>
      <c r="EK62" s="1013" t="s">
        <v>7724</v>
      </c>
      <c r="EL62" s="1013" t="s">
        <v>7724</v>
      </c>
      <c r="EM62" s="1013" t="s">
        <v>7724</v>
      </c>
      <c r="EN62" s="1013" t="s">
        <v>7724</v>
      </c>
      <c r="EO62" s="1013" t="s">
        <v>7724</v>
      </c>
      <c r="EP62" s="1013" t="s">
        <v>7724</v>
      </c>
      <c r="EQ62" s="1013" t="s">
        <v>7724</v>
      </c>
      <c r="ER62" s="1013" t="s">
        <v>7724</v>
      </c>
      <c r="ES62" s="1013" t="s">
        <v>7724</v>
      </c>
      <c r="ET62" s="1013" t="s">
        <v>7724</v>
      </c>
      <c r="EU62" s="1013" t="s">
        <v>7724</v>
      </c>
      <c r="EV62" s="1013" t="s">
        <v>7724</v>
      </c>
      <c r="EW62" s="1013" t="s">
        <v>7724</v>
      </c>
      <c r="EX62" s="1013" t="s">
        <v>7724</v>
      </c>
      <c r="EY62" s="1013" t="s">
        <v>7724</v>
      </c>
      <c r="EZ62" s="1013" t="s">
        <v>7724</v>
      </c>
      <c r="FA62" s="1013" t="s">
        <v>7724</v>
      </c>
      <c r="FB62" s="1013" t="s">
        <v>7724</v>
      </c>
      <c r="FC62" s="1013" t="s">
        <v>7724</v>
      </c>
      <c r="FD62" s="1013" t="s">
        <v>7724</v>
      </c>
      <c r="FE62" s="1013" t="s">
        <v>7724</v>
      </c>
      <c r="FF62" s="1013" t="s">
        <v>7724</v>
      </c>
      <c r="FG62" s="1013">
        <v>0</v>
      </c>
      <c r="FH62" s="1013">
        <v>0</v>
      </c>
      <c r="FI62" s="1013">
        <v>0</v>
      </c>
      <c r="FJ62" s="1013">
        <v>3</v>
      </c>
      <c r="FK62" s="1013">
        <v>0</v>
      </c>
      <c r="FL62" s="1013">
        <v>0</v>
      </c>
      <c r="FM62" s="1013">
        <v>0</v>
      </c>
      <c r="FN62" s="1013">
        <v>15</v>
      </c>
      <c r="FO62" s="1013">
        <v>29</v>
      </c>
      <c r="FP62" s="1013">
        <v>6</v>
      </c>
      <c r="FQ62" s="1013" t="s">
        <v>7724</v>
      </c>
      <c r="FR62" s="1013" t="s">
        <v>7724</v>
      </c>
      <c r="FS62" s="1013" t="s">
        <v>7724</v>
      </c>
      <c r="FT62" s="1013" t="s">
        <v>7724</v>
      </c>
      <c r="FU62" s="1013" t="s">
        <v>7724</v>
      </c>
      <c r="FV62" s="1013" t="s">
        <v>7724</v>
      </c>
      <c r="FW62" s="1013" t="s">
        <v>7724</v>
      </c>
      <c r="FX62" s="1013" t="s">
        <v>7724</v>
      </c>
      <c r="FY62" s="1013" t="s">
        <v>7724</v>
      </c>
      <c r="FZ62" s="1013" t="s">
        <v>7724</v>
      </c>
      <c r="GA62" s="1013" t="s">
        <v>7724</v>
      </c>
      <c r="GB62" s="1013" t="s">
        <v>7724</v>
      </c>
      <c r="GC62" s="1013">
        <v>2020</v>
      </c>
      <c r="GD62" s="1013" t="s">
        <v>1404</v>
      </c>
      <c r="GE62" s="1013">
        <v>2</v>
      </c>
      <c r="GF62" s="1013" t="s">
        <v>1407</v>
      </c>
      <c r="GG62" s="1013" t="s">
        <v>1407</v>
      </c>
      <c r="GH62" s="1013" t="s">
        <v>7989</v>
      </c>
      <c r="GI62" s="1013" t="s">
        <v>7974</v>
      </c>
      <c r="GJ62" s="1013" t="s">
        <v>7974</v>
      </c>
      <c r="GK62" s="1013" t="s">
        <v>8046</v>
      </c>
      <c r="GL62" s="1013" t="s">
        <v>7974</v>
      </c>
    </row>
    <row r="63" spans="1:194" hidden="1">
      <c r="A63" s="1013">
        <v>81</v>
      </c>
      <c r="B63" s="1013" t="s">
        <v>7722</v>
      </c>
      <c r="C63" s="1013">
        <v>16958207</v>
      </c>
      <c r="D63" s="1013" t="s">
        <v>7723</v>
      </c>
      <c r="E63" s="1013" t="s">
        <v>7723</v>
      </c>
      <c r="F63" s="1013" t="s">
        <v>7723</v>
      </c>
      <c r="G63" s="1013" t="s">
        <v>7723</v>
      </c>
      <c r="H63" s="1013" t="s">
        <v>7723</v>
      </c>
      <c r="I63" s="1013" t="s">
        <v>7723</v>
      </c>
      <c r="J63" s="1013" t="s">
        <v>7723</v>
      </c>
      <c r="K63" s="1024">
        <v>43543</v>
      </c>
      <c r="L63" s="1023">
        <v>0.4375</v>
      </c>
      <c r="M63" s="1013" t="s">
        <v>7775</v>
      </c>
      <c r="N63" s="1013" t="s">
        <v>7724</v>
      </c>
      <c r="O63" s="1013">
        <v>101</v>
      </c>
      <c r="P63" s="1013">
        <v>208</v>
      </c>
      <c r="Q63" s="1013" t="s">
        <v>7723</v>
      </c>
      <c r="R63" s="1013" t="s">
        <v>7727</v>
      </c>
      <c r="S63" s="1013" t="s">
        <v>7724</v>
      </c>
      <c r="T63" s="1014" t="s">
        <v>7724</v>
      </c>
      <c r="U63" s="1014">
        <v>19</v>
      </c>
      <c r="V63" s="1014" t="s">
        <v>7724</v>
      </c>
      <c r="W63" s="1014" t="s">
        <v>7724</v>
      </c>
      <c r="X63" s="1013">
        <v>1</v>
      </c>
      <c r="Y63" s="1013" t="s">
        <v>7724</v>
      </c>
      <c r="Z63" s="1013" t="s">
        <v>7724</v>
      </c>
      <c r="AA63" s="1013" t="s">
        <v>7757</v>
      </c>
      <c r="AB63" s="1013" t="s">
        <v>7726</v>
      </c>
      <c r="AC63" s="1013" t="s">
        <v>7723</v>
      </c>
      <c r="AD63" s="1013" t="s">
        <v>7723</v>
      </c>
      <c r="AE63" s="1013">
        <v>30</v>
      </c>
      <c r="AF63" s="1013" t="s">
        <v>7723</v>
      </c>
      <c r="AG63" s="1013" t="s">
        <v>7723</v>
      </c>
      <c r="AH63" s="1013" t="s">
        <v>7739</v>
      </c>
      <c r="AI63" s="1013" t="s">
        <v>7727</v>
      </c>
      <c r="AJ63" s="1013">
        <v>19</v>
      </c>
      <c r="AK63" s="1013" t="s">
        <v>7724</v>
      </c>
      <c r="AL63" s="1013" t="s">
        <v>7724</v>
      </c>
      <c r="AM63" s="1013">
        <v>1</v>
      </c>
      <c r="AN63" s="1013" t="s">
        <v>7724</v>
      </c>
      <c r="AO63" s="1013" t="s">
        <v>7724</v>
      </c>
      <c r="AP63" s="1013" t="s">
        <v>7728</v>
      </c>
      <c r="AQ63" s="1013" t="s">
        <v>7724</v>
      </c>
      <c r="AR63" s="1013" t="s">
        <v>7724</v>
      </c>
      <c r="AS63" s="1013" t="s">
        <v>7724</v>
      </c>
      <c r="AT63" s="1013" t="s">
        <v>7724</v>
      </c>
      <c r="AU63" s="1013" t="s">
        <v>7724</v>
      </c>
      <c r="AV63" s="1013" t="s">
        <v>7724</v>
      </c>
      <c r="AW63" s="1013" t="s">
        <v>7724</v>
      </c>
      <c r="AX63" s="1013">
        <v>12</v>
      </c>
      <c r="AY63" s="1013">
        <v>1</v>
      </c>
      <c r="AZ63" s="1013">
        <v>4</v>
      </c>
      <c r="BA63" s="1013">
        <v>1</v>
      </c>
      <c r="BB63" s="1013">
        <v>1</v>
      </c>
      <c r="BC63" s="1013">
        <v>1</v>
      </c>
      <c r="BD63" s="1013">
        <v>5</v>
      </c>
      <c r="BE63" s="1023">
        <v>0.45</v>
      </c>
      <c r="BF63" s="1013" t="s">
        <v>7776</v>
      </c>
      <c r="BG63" s="1023">
        <v>0.45</v>
      </c>
      <c r="BH63" s="1024">
        <v>43543</v>
      </c>
      <c r="BI63" s="1013" t="s">
        <v>7727</v>
      </c>
      <c r="BJ63" s="1013" t="s">
        <v>7730</v>
      </c>
      <c r="BK63" s="1013">
        <v>2469</v>
      </c>
      <c r="BL63" s="1013" t="s">
        <v>7724</v>
      </c>
      <c r="BM63" s="1013" t="s">
        <v>7724</v>
      </c>
      <c r="BN63" s="1013">
        <v>113</v>
      </c>
      <c r="BO63" s="1013">
        <v>8</v>
      </c>
      <c r="BP63" s="1013">
        <v>2</v>
      </c>
      <c r="BQ63" s="1013">
        <v>1</v>
      </c>
      <c r="BR63" s="1013">
        <v>10</v>
      </c>
      <c r="BS63" s="1013">
        <v>64</v>
      </c>
      <c r="BT63" s="1013">
        <v>54</v>
      </c>
      <c r="BU63" s="1013">
        <v>1</v>
      </c>
      <c r="BV63" s="1013">
        <v>5</v>
      </c>
      <c r="BW63" s="1013">
        <v>1</v>
      </c>
      <c r="BX63" s="1013">
        <v>21</v>
      </c>
      <c r="BY63" s="1013">
        <v>21</v>
      </c>
      <c r="BZ63" s="1013">
        <v>101</v>
      </c>
      <c r="CA63" s="1013">
        <v>208</v>
      </c>
      <c r="CB63" s="1013">
        <v>29.731224999999998</v>
      </c>
      <c r="CC63" s="1013">
        <v>-95.382762999999997</v>
      </c>
      <c r="CD63" s="1013" t="s">
        <v>7724</v>
      </c>
      <c r="CE63" s="1013" t="s">
        <v>7724</v>
      </c>
      <c r="CF63" s="1013" t="s">
        <v>7724</v>
      </c>
      <c r="CG63" s="1013" t="s">
        <v>7724</v>
      </c>
      <c r="CH63" s="1013" t="s">
        <v>7758</v>
      </c>
      <c r="CI63" s="1013">
        <v>1201</v>
      </c>
      <c r="CJ63" s="1013" t="s">
        <v>7724</v>
      </c>
      <c r="CK63" s="1013" t="s">
        <v>7724</v>
      </c>
      <c r="CL63" s="1013" t="s">
        <v>7724</v>
      </c>
      <c r="CM63" s="1013" t="s">
        <v>7724</v>
      </c>
      <c r="CN63" s="1013" t="s">
        <v>7724</v>
      </c>
      <c r="CO63" s="1013" t="s">
        <v>7724</v>
      </c>
      <c r="CP63" s="1013" t="s">
        <v>7724</v>
      </c>
      <c r="CQ63" s="1013" t="s">
        <v>7724</v>
      </c>
      <c r="CR63" s="1013" t="s">
        <v>7732</v>
      </c>
      <c r="CS63" s="1013" t="s">
        <v>7724</v>
      </c>
      <c r="CT63" s="1013" t="s">
        <v>7724</v>
      </c>
      <c r="CU63" s="1013" t="s">
        <v>7724</v>
      </c>
      <c r="CV63" s="1013" t="s">
        <v>7724</v>
      </c>
      <c r="CW63" s="1013" t="s">
        <v>7727</v>
      </c>
      <c r="CX63" s="1013" t="s">
        <v>7723</v>
      </c>
      <c r="CY63" s="1013" t="s">
        <v>7723</v>
      </c>
      <c r="CZ63" s="1013">
        <v>5</v>
      </c>
      <c r="DA63" s="1013">
        <v>9</v>
      </c>
      <c r="DB63" s="1013" t="s">
        <v>7727</v>
      </c>
      <c r="DC63" s="1013" t="s">
        <v>7737</v>
      </c>
      <c r="DD63" s="1013" t="s">
        <v>7724</v>
      </c>
      <c r="DE63" s="1013" t="s">
        <v>7724</v>
      </c>
      <c r="DF63" s="1013" t="s">
        <v>7724</v>
      </c>
      <c r="DG63" s="1013" t="s">
        <v>7724</v>
      </c>
      <c r="DH63" s="1013" t="s">
        <v>7724</v>
      </c>
      <c r="DI63" s="1013" t="s">
        <v>7724</v>
      </c>
      <c r="DJ63" s="1013" t="s">
        <v>7724</v>
      </c>
      <c r="DK63" s="1013" t="s">
        <v>7724</v>
      </c>
      <c r="DL63" s="1013" t="s">
        <v>7724</v>
      </c>
      <c r="DM63" s="1013" t="s">
        <v>7724</v>
      </c>
      <c r="DN63" s="1013" t="s">
        <v>7724</v>
      </c>
      <c r="DO63" s="1013" t="s">
        <v>7724</v>
      </c>
      <c r="DP63" s="1013" t="s">
        <v>7724</v>
      </c>
      <c r="DQ63" s="1013" t="s">
        <v>7724</v>
      </c>
      <c r="DR63" s="1013" t="s">
        <v>7724</v>
      </c>
      <c r="DS63" s="1013" t="s">
        <v>7724</v>
      </c>
      <c r="DT63" s="1013" t="s">
        <v>7724</v>
      </c>
      <c r="DU63" s="1013" t="s">
        <v>7724</v>
      </c>
      <c r="DV63" s="1013" t="s">
        <v>7724</v>
      </c>
      <c r="DW63" s="1013" t="s">
        <v>7724</v>
      </c>
      <c r="DX63" s="1013" t="s">
        <v>7724</v>
      </c>
      <c r="DY63" s="1013" t="s">
        <v>7724</v>
      </c>
      <c r="DZ63" s="1013" t="s">
        <v>7724</v>
      </c>
      <c r="EA63" s="1013" t="s">
        <v>7724</v>
      </c>
      <c r="EB63" s="1013" t="s">
        <v>7724</v>
      </c>
      <c r="EC63" s="1013" t="s">
        <v>7724</v>
      </c>
      <c r="ED63" s="1013" t="s">
        <v>7724</v>
      </c>
      <c r="EE63" s="1013" t="s">
        <v>7724</v>
      </c>
      <c r="EF63" s="1013" t="s">
        <v>7724</v>
      </c>
      <c r="EG63" s="1013" t="s">
        <v>7724</v>
      </c>
      <c r="EH63" s="1013" t="s">
        <v>7724</v>
      </c>
      <c r="EI63" s="1013" t="s">
        <v>7724</v>
      </c>
      <c r="EJ63" s="1013" t="s">
        <v>7724</v>
      </c>
      <c r="EK63" s="1013" t="s">
        <v>7724</v>
      </c>
      <c r="EL63" s="1013" t="s">
        <v>7724</v>
      </c>
      <c r="EM63" s="1013" t="s">
        <v>7724</v>
      </c>
      <c r="EN63" s="1013" t="s">
        <v>7724</v>
      </c>
      <c r="EO63" s="1013" t="s">
        <v>7724</v>
      </c>
      <c r="EP63" s="1013" t="s">
        <v>7724</v>
      </c>
      <c r="EQ63" s="1013" t="s">
        <v>7724</v>
      </c>
      <c r="ER63" s="1013" t="s">
        <v>7724</v>
      </c>
      <c r="ES63" s="1013" t="s">
        <v>7724</v>
      </c>
      <c r="ET63" s="1013" t="s">
        <v>7724</v>
      </c>
      <c r="EU63" s="1013" t="s">
        <v>7724</v>
      </c>
      <c r="EV63" s="1013" t="s">
        <v>7724</v>
      </c>
      <c r="EW63" s="1013" t="s">
        <v>7724</v>
      </c>
      <c r="EX63" s="1013" t="s">
        <v>7724</v>
      </c>
      <c r="EY63" s="1013" t="s">
        <v>7724</v>
      </c>
      <c r="EZ63" s="1013" t="s">
        <v>7724</v>
      </c>
      <c r="FA63" s="1013" t="s">
        <v>7724</v>
      </c>
      <c r="FB63" s="1013" t="s">
        <v>7724</v>
      </c>
      <c r="FC63" s="1013" t="s">
        <v>7724</v>
      </c>
      <c r="FD63" s="1013" t="s">
        <v>7724</v>
      </c>
      <c r="FE63" s="1013" t="s">
        <v>7724</v>
      </c>
      <c r="FF63" s="1013" t="s">
        <v>7724</v>
      </c>
      <c r="FG63" s="1013">
        <v>0</v>
      </c>
      <c r="FH63" s="1013">
        <v>0</v>
      </c>
      <c r="FI63" s="1013">
        <v>0</v>
      </c>
      <c r="FJ63" s="1013">
        <v>2</v>
      </c>
      <c r="FK63" s="1013">
        <v>0</v>
      </c>
      <c r="FL63" s="1013">
        <v>0</v>
      </c>
      <c r="FM63" s="1013">
        <v>0</v>
      </c>
      <c r="FN63" s="1013">
        <v>15</v>
      </c>
      <c r="FO63" s="1013">
        <v>29</v>
      </c>
      <c r="FP63" s="1013">
        <v>9</v>
      </c>
      <c r="FQ63" s="1013" t="s">
        <v>7724</v>
      </c>
      <c r="FR63" s="1013" t="s">
        <v>7724</v>
      </c>
      <c r="FS63" s="1013" t="s">
        <v>7724</v>
      </c>
      <c r="FT63" s="1013" t="s">
        <v>7724</v>
      </c>
      <c r="FU63" s="1013" t="s">
        <v>7724</v>
      </c>
      <c r="FV63" s="1013" t="s">
        <v>7724</v>
      </c>
      <c r="FW63" s="1013" t="s">
        <v>7724</v>
      </c>
      <c r="FX63" s="1013" t="s">
        <v>7724</v>
      </c>
      <c r="FY63" s="1013" t="s">
        <v>7724</v>
      </c>
      <c r="FZ63" s="1013" t="s">
        <v>7724</v>
      </c>
      <c r="GA63" s="1013" t="s">
        <v>7724</v>
      </c>
      <c r="GB63" s="1013" t="s">
        <v>7724</v>
      </c>
      <c r="GC63" s="1013">
        <v>2019</v>
      </c>
      <c r="GD63" s="1013" t="s">
        <v>1404</v>
      </c>
      <c r="GE63" s="1013">
        <v>2</v>
      </c>
      <c r="GF63" s="1013" t="s">
        <v>1407</v>
      </c>
      <c r="GG63" s="1013" t="s">
        <v>1407</v>
      </c>
      <c r="GH63" s="1013" t="s">
        <v>8047</v>
      </c>
      <c r="GI63" s="1013" t="s">
        <v>7974</v>
      </c>
      <c r="GJ63" s="1013" t="s">
        <v>7974</v>
      </c>
      <c r="GK63" s="1013" t="s">
        <v>7974</v>
      </c>
      <c r="GL63" s="1013" t="s">
        <v>7974</v>
      </c>
    </row>
    <row r="64" spans="1:194" hidden="1">
      <c r="A64" s="1013">
        <v>84</v>
      </c>
      <c r="B64" s="1013" t="s">
        <v>7722</v>
      </c>
      <c r="C64" s="1013">
        <v>16978652</v>
      </c>
      <c r="D64" s="1013" t="s">
        <v>7723</v>
      </c>
      <c r="E64" s="1013" t="s">
        <v>7723</v>
      </c>
      <c r="F64" s="1013" t="s">
        <v>7723</v>
      </c>
      <c r="G64" s="1013" t="s">
        <v>7723</v>
      </c>
      <c r="H64" s="1013" t="s">
        <v>7723</v>
      </c>
      <c r="I64" s="1013" t="s">
        <v>7723</v>
      </c>
      <c r="J64" s="1013" t="s">
        <v>7723</v>
      </c>
      <c r="K64" s="1024">
        <v>43552</v>
      </c>
      <c r="L64" s="1023">
        <v>0.47847222222222224</v>
      </c>
      <c r="M64" s="1013" t="s">
        <v>7738</v>
      </c>
      <c r="N64" s="1013" t="s">
        <v>7724</v>
      </c>
      <c r="O64" s="1013">
        <v>101</v>
      </c>
      <c r="P64" s="1013">
        <v>208</v>
      </c>
      <c r="Q64" s="1013" t="s">
        <v>7723</v>
      </c>
      <c r="R64" s="1013" t="s">
        <v>7723</v>
      </c>
      <c r="S64" s="1013" t="s">
        <v>7724</v>
      </c>
      <c r="T64" s="1014" t="s">
        <v>7724</v>
      </c>
      <c r="U64" s="1014">
        <v>19</v>
      </c>
      <c r="V64" s="1014" t="s">
        <v>7724</v>
      </c>
      <c r="W64" s="1014" t="s">
        <v>7724</v>
      </c>
      <c r="X64" s="1013">
        <v>1</v>
      </c>
      <c r="Y64" s="1013" t="s">
        <v>7724</v>
      </c>
      <c r="Z64" s="1013" t="s">
        <v>7724</v>
      </c>
      <c r="AA64" s="1013" t="s">
        <v>7725</v>
      </c>
      <c r="AB64" s="1013" t="s">
        <v>7724</v>
      </c>
      <c r="AC64" s="1013" t="s">
        <v>7723</v>
      </c>
      <c r="AD64" s="1013" t="s">
        <v>7723</v>
      </c>
      <c r="AE64" s="1013">
        <v>30</v>
      </c>
      <c r="AF64" s="1013" t="s">
        <v>7723</v>
      </c>
      <c r="AG64" s="1013" t="s">
        <v>7723</v>
      </c>
      <c r="AH64" s="1013" t="s">
        <v>7739</v>
      </c>
      <c r="AI64" s="1013" t="s">
        <v>7727</v>
      </c>
      <c r="AJ64" s="1013">
        <v>19</v>
      </c>
      <c r="AK64" s="1013" t="s">
        <v>7724</v>
      </c>
      <c r="AL64" s="1013" t="s">
        <v>7724</v>
      </c>
      <c r="AM64" s="1013">
        <v>1</v>
      </c>
      <c r="AN64" s="1013" t="s">
        <v>7724</v>
      </c>
      <c r="AO64" s="1013" t="s">
        <v>7724</v>
      </c>
      <c r="AP64" s="1013" t="s">
        <v>7728</v>
      </c>
      <c r="AQ64" s="1013" t="s">
        <v>7724</v>
      </c>
      <c r="AR64" s="1013" t="s">
        <v>7724</v>
      </c>
      <c r="AS64" s="1013" t="s">
        <v>7724</v>
      </c>
      <c r="AT64" s="1013" t="s">
        <v>7724</v>
      </c>
      <c r="AU64" s="1013" t="s">
        <v>7724</v>
      </c>
      <c r="AV64" s="1013" t="s">
        <v>7724</v>
      </c>
      <c r="AW64" s="1013" t="s">
        <v>7724</v>
      </c>
      <c r="AX64" s="1013">
        <v>11</v>
      </c>
      <c r="AY64" s="1013">
        <v>1</v>
      </c>
      <c r="AZ64" s="1013">
        <v>0</v>
      </c>
      <c r="BA64" s="1013">
        <v>1</v>
      </c>
      <c r="BB64" s="1013">
        <v>1</v>
      </c>
      <c r="BC64" s="1013">
        <v>1</v>
      </c>
      <c r="BD64" s="1013">
        <v>5</v>
      </c>
      <c r="BE64" s="1023">
        <v>0.4826388888888889</v>
      </c>
      <c r="BF64" s="1013" t="s">
        <v>7729</v>
      </c>
      <c r="BG64" s="1023">
        <v>0.48472222222222222</v>
      </c>
      <c r="BH64" s="1024">
        <v>43552</v>
      </c>
      <c r="BI64" s="1013" t="s">
        <v>7727</v>
      </c>
      <c r="BJ64" s="1013" t="s">
        <v>7730</v>
      </c>
      <c r="BK64" s="1013">
        <v>2469</v>
      </c>
      <c r="BL64" s="1013" t="s">
        <v>7724</v>
      </c>
      <c r="BM64" s="1013" t="s">
        <v>7724</v>
      </c>
      <c r="BN64" s="1013">
        <v>113</v>
      </c>
      <c r="BO64" s="1013">
        <v>8</v>
      </c>
      <c r="BP64" s="1013">
        <v>1</v>
      </c>
      <c r="BQ64" s="1013">
        <v>2</v>
      </c>
      <c r="BR64" s="1013">
        <v>3</v>
      </c>
      <c r="BS64" s="1013">
        <v>64</v>
      </c>
      <c r="BT64" s="1013">
        <v>54</v>
      </c>
      <c r="BU64" s="1013">
        <v>1</v>
      </c>
      <c r="BV64" s="1013">
        <v>5</v>
      </c>
      <c r="BW64" s="1013">
        <v>1</v>
      </c>
      <c r="BX64" s="1013">
        <v>21</v>
      </c>
      <c r="BY64" s="1013">
        <v>21</v>
      </c>
      <c r="BZ64" s="1013">
        <v>101</v>
      </c>
      <c r="CA64" s="1013">
        <v>208</v>
      </c>
      <c r="CB64" s="1013">
        <v>29.733094999999999</v>
      </c>
      <c r="CC64" s="1013">
        <v>-95.381282999999996</v>
      </c>
      <c r="CD64" s="1013" t="s">
        <v>7724</v>
      </c>
      <c r="CE64" s="1013" t="s">
        <v>7724</v>
      </c>
      <c r="CF64" s="1013" t="s">
        <v>7724</v>
      </c>
      <c r="CG64" s="1013" t="s">
        <v>7724</v>
      </c>
      <c r="CH64" s="1013" t="s">
        <v>7731</v>
      </c>
      <c r="CI64" s="1013">
        <v>1201</v>
      </c>
      <c r="CJ64" s="1013" t="s">
        <v>7724</v>
      </c>
      <c r="CK64" s="1013" t="s">
        <v>7724</v>
      </c>
      <c r="CL64" s="1013" t="s">
        <v>7724</v>
      </c>
      <c r="CM64" s="1013" t="s">
        <v>7724</v>
      </c>
      <c r="CN64" s="1013" t="s">
        <v>7724</v>
      </c>
      <c r="CO64" s="1013" t="s">
        <v>7724</v>
      </c>
      <c r="CP64" s="1013" t="s">
        <v>7724</v>
      </c>
      <c r="CQ64" s="1013" t="s">
        <v>7724</v>
      </c>
      <c r="CR64" s="1013" t="s">
        <v>7732</v>
      </c>
      <c r="CS64" s="1013" t="s">
        <v>7724</v>
      </c>
      <c r="CT64" s="1013" t="s">
        <v>7724</v>
      </c>
      <c r="CU64" s="1013" t="s">
        <v>7724</v>
      </c>
      <c r="CV64" s="1013" t="s">
        <v>7724</v>
      </c>
      <c r="CW64" s="1013" t="s">
        <v>7727</v>
      </c>
      <c r="CX64" s="1013" t="s">
        <v>7723</v>
      </c>
      <c r="CY64" s="1013" t="s">
        <v>7723</v>
      </c>
      <c r="CZ64" s="1013">
        <v>2</v>
      </c>
      <c r="DA64" s="1013">
        <v>9</v>
      </c>
      <c r="DB64" s="1013" t="s">
        <v>7727</v>
      </c>
      <c r="DC64" s="1013" t="s">
        <v>7740</v>
      </c>
      <c r="DD64" s="1013" t="s">
        <v>7724</v>
      </c>
      <c r="DE64" s="1013" t="s">
        <v>7724</v>
      </c>
      <c r="DF64" s="1013" t="s">
        <v>7724</v>
      </c>
      <c r="DG64" s="1013" t="s">
        <v>7724</v>
      </c>
      <c r="DH64" s="1013" t="s">
        <v>7724</v>
      </c>
      <c r="DI64" s="1013" t="s">
        <v>7724</v>
      </c>
      <c r="DJ64" s="1013" t="s">
        <v>7724</v>
      </c>
      <c r="DK64" s="1013" t="s">
        <v>7724</v>
      </c>
      <c r="DL64" s="1013" t="s">
        <v>7724</v>
      </c>
      <c r="DM64" s="1013" t="s">
        <v>7724</v>
      </c>
      <c r="DN64" s="1013" t="s">
        <v>7724</v>
      </c>
      <c r="DO64" s="1013" t="s">
        <v>7724</v>
      </c>
      <c r="DP64" s="1013" t="s">
        <v>7724</v>
      </c>
      <c r="DQ64" s="1013" t="s">
        <v>7724</v>
      </c>
      <c r="DR64" s="1013" t="s">
        <v>7724</v>
      </c>
      <c r="DS64" s="1013" t="s">
        <v>7724</v>
      </c>
      <c r="DT64" s="1013" t="s">
        <v>7724</v>
      </c>
      <c r="DU64" s="1013" t="s">
        <v>7724</v>
      </c>
      <c r="DV64" s="1013" t="s">
        <v>7724</v>
      </c>
      <c r="DW64" s="1013" t="s">
        <v>7724</v>
      </c>
      <c r="DX64" s="1013" t="s">
        <v>7724</v>
      </c>
      <c r="DY64" s="1013" t="s">
        <v>7724</v>
      </c>
      <c r="DZ64" s="1013" t="s">
        <v>7724</v>
      </c>
      <c r="EA64" s="1013" t="s">
        <v>7724</v>
      </c>
      <c r="EB64" s="1013" t="s">
        <v>7724</v>
      </c>
      <c r="EC64" s="1013" t="s">
        <v>7724</v>
      </c>
      <c r="ED64" s="1013" t="s">
        <v>7724</v>
      </c>
      <c r="EE64" s="1013" t="s">
        <v>7724</v>
      </c>
      <c r="EF64" s="1013" t="s">
        <v>7724</v>
      </c>
      <c r="EG64" s="1013" t="s">
        <v>7724</v>
      </c>
      <c r="EH64" s="1013" t="s">
        <v>7724</v>
      </c>
      <c r="EI64" s="1013" t="s">
        <v>7724</v>
      </c>
      <c r="EJ64" s="1013" t="s">
        <v>7724</v>
      </c>
      <c r="EK64" s="1013" t="s">
        <v>7724</v>
      </c>
      <c r="EL64" s="1013" t="s">
        <v>7724</v>
      </c>
      <c r="EM64" s="1013" t="s">
        <v>7724</v>
      </c>
      <c r="EN64" s="1013" t="s">
        <v>7724</v>
      </c>
      <c r="EO64" s="1013" t="s">
        <v>7724</v>
      </c>
      <c r="EP64" s="1013" t="s">
        <v>7724</v>
      </c>
      <c r="EQ64" s="1013" t="s">
        <v>7724</v>
      </c>
      <c r="ER64" s="1013" t="s">
        <v>7724</v>
      </c>
      <c r="ES64" s="1013" t="s">
        <v>7724</v>
      </c>
      <c r="ET64" s="1013" t="s">
        <v>7724</v>
      </c>
      <c r="EU64" s="1013" t="s">
        <v>7724</v>
      </c>
      <c r="EV64" s="1013" t="s">
        <v>7724</v>
      </c>
      <c r="EW64" s="1013" t="s">
        <v>7724</v>
      </c>
      <c r="EX64" s="1013" t="s">
        <v>7724</v>
      </c>
      <c r="EY64" s="1013" t="s">
        <v>7724</v>
      </c>
      <c r="EZ64" s="1013" t="s">
        <v>7724</v>
      </c>
      <c r="FA64" s="1013" t="s">
        <v>7724</v>
      </c>
      <c r="FB64" s="1013" t="s">
        <v>7724</v>
      </c>
      <c r="FC64" s="1013" t="s">
        <v>7724</v>
      </c>
      <c r="FD64" s="1013" t="s">
        <v>7724</v>
      </c>
      <c r="FE64" s="1013" t="s">
        <v>7724</v>
      </c>
      <c r="FF64" s="1013" t="s">
        <v>7724</v>
      </c>
      <c r="FG64" s="1013">
        <v>0</v>
      </c>
      <c r="FH64" s="1013">
        <v>1</v>
      </c>
      <c r="FI64" s="1013">
        <v>0</v>
      </c>
      <c r="FJ64" s="1013">
        <v>1</v>
      </c>
      <c r="FK64" s="1013">
        <v>0</v>
      </c>
      <c r="FL64" s="1013">
        <v>1</v>
      </c>
      <c r="FM64" s="1013">
        <v>0</v>
      </c>
      <c r="FN64" s="1013">
        <v>15</v>
      </c>
      <c r="FO64" s="1013">
        <v>29</v>
      </c>
      <c r="FP64" s="1013">
        <v>6</v>
      </c>
      <c r="FQ64" s="1013" t="s">
        <v>7724</v>
      </c>
      <c r="FR64" s="1013" t="s">
        <v>7724</v>
      </c>
      <c r="FS64" s="1013" t="s">
        <v>7724</v>
      </c>
      <c r="FT64" s="1013" t="s">
        <v>7724</v>
      </c>
      <c r="FU64" s="1013" t="s">
        <v>7724</v>
      </c>
      <c r="FV64" s="1013" t="s">
        <v>7724</v>
      </c>
      <c r="FW64" s="1013" t="s">
        <v>7724</v>
      </c>
      <c r="FX64" s="1013" t="s">
        <v>7724</v>
      </c>
      <c r="FY64" s="1013" t="s">
        <v>7724</v>
      </c>
      <c r="FZ64" s="1013" t="s">
        <v>7724</v>
      </c>
      <c r="GA64" s="1013" t="s">
        <v>7724</v>
      </c>
      <c r="GB64" s="1013" t="s">
        <v>7724</v>
      </c>
      <c r="GC64" s="1013">
        <v>2019</v>
      </c>
      <c r="GD64" s="1013" t="s">
        <v>1407</v>
      </c>
      <c r="GE64" s="1013">
        <v>2</v>
      </c>
      <c r="GF64" s="1013" t="s">
        <v>1404</v>
      </c>
      <c r="GG64" s="1013" t="s">
        <v>1407</v>
      </c>
      <c r="GH64" s="1013" t="s">
        <v>7974</v>
      </c>
      <c r="GI64" s="1013" t="s">
        <v>7974</v>
      </c>
      <c r="GJ64" s="1013" t="s">
        <v>7974</v>
      </c>
      <c r="GK64" s="1013" t="s">
        <v>8048</v>
      </c>
      <c r="GL64" s="1013" t="s">
        <v>7974</v>
      </c>
    </row>
    <row r="65" spans="1:194" hidden="1">
      <c r="A65" s="1013">
        <v>87</v>
      </c>
      <c r="B65" s="1013" t="s">
        <v>7722</v>
      </c>
      <c r="C65" s="1013">
        <v>17001782</v>
      </c>
      <c r="D65" s="1013" t="s">
        <v>7723</v>
      </c>
      <c r="E65" s="1013" t="s">
        <v>7723</v>
      </c>
      <c r="F65" s="1013" t="s">
        <v>7723</v>
      </c>
      <c r="G65" s="1013" t="s">
        <v>7723</v>
      </c>
      <c r="H65" s="1013" t="s">
        <v>7723</v>
      </c>
      <c r="I65" s="1013" t="s">
        <v>7723</v>
      </c>
      <c r="J65" s="1013" t="s">
        <v>7723</v>
      </c>
      <c r="K65" s="1024">
        <v>43564</v>
      </c>
      <c r="L65" s="1023">
        <v>0.70763888888888893</v>
      </c>
      <c r="M65" s="1013" t="s">
        <v>7785</v>
      </c>
      <c r="N65" s="1013" t="s">
        <v>7724</v>
      </c>
      <c r="O65" s="1013">
        <v>101</v>
      </c>
      <c r="P65" s="1013">
        <v>208</v>
      </c>
      <c r="Q65" s="1013" t="s">
        <v>7723</v>
      </c>
      <c r="R65" s="1013" t="s">
        <v>7727</v>
      </c>
      <c r="S65" s="1013" t="s">
        <v>7724</v>
      </c>
      <c r="T65" s="1014" t="s">
        <v>7724</v>
      </c>
      <c r="U65" s="1014">
        <v>19</v>
      </c>
      <c r="V65" s="1014" t="s">
        <v>7724</v>
      </c>
      <c r="W65" s="1014" t="s">
        <v>7724</v>
      </c>
      <c r="X65" s="1013">
        <v>1</v>
      </c>
      <c r="Y65" s="1013">
        <v>1200</v>
      </c>
      <c r="Z65" s="1013" t="s">
        <v>7724</v>
      </c>
      <c r="AA65" s="1013" t="s">
        <v>7757</v>
      </c>
      <c r="AB65" s="1013" t="s">
        <v>7726</v>
      </c>
      <c r="AC65" s="1013" t="s">
        <v>7723</v>
      </c>
      <c r="AD65" s="1013" t="s">
        <v>7723</v>
      </c>
      <c r="AE65" s="1013">
        <v>30</v>
      </c>
      <c r="AF65" s="1013" t="s">
        <v>7723</v>
      </c>
      <c r="AG65" s="1013" t="s">
        <v>7723</v>
      </c>
      <c r="AH65" s="1013" t="s">
        <v>7724</v>
      </c>
      <c r="AI65" s="1013" t="s">
        <v>7727</v>
      </c>
      <c r="AJ65" s="1013">
        <v>19</v>
      </c>
      <c r="AK65" s="1013" t="s">
        <v>7724</v>
      </c>
      <c r="AL65" s="1013" t="s">
        <v>7724</v>
      </c>
      <c r="AM65" s="1013">
        <v>1</v>
      </c>
      <c r="AN65" s="1013" t="s">
        <v>7724</v>
      </c>
      <c r="AO65" s="1013" t="s">
        <v>7724</v>
      </c>
      <c r="AP65" s="1013" t="s">
        <v>7728</v>
      </c>
      <c r="AQ65" s="1013" t="s">
        <v>7726</v>
      </c>
      <c r="AR65" s="1013" t="s">
        <v>7724</v>
      </c>
      <c r="AS65" s="1013" t="s">
        <v>7724</v>
      </c>
      <c r="AT65" s="1013" t="s">
        <v>7724</v>
      </c>
      <c r="AU65" s="1013" t="s">
        <v>7724</v>
      </c>
      <c r="AV65" s="1013" t="s">
        <v>7724</v>
      </c>
      <c r="AW65" s="1013" t="s">
        <v>7724</v>
      </c>
      <c r="AX65" s="1013">
        <v>11</v>
      </c>
      <c r="AY65" s="1013">
        <v>1</v>
      </c>
      <c r="AZ65" s="1013">
        <v>0</v>
      </c>
      <c r="BA65" s="1013">
        <v>4</v>
      </c>
      <c r="BB65" s="1013">
        <v>1</v>
      </c>
      <c r="BC65" s="1013">
        <v>1</v>
      </c>
      <c r="BD65" s="1013">
        <v>5</v>
      </c>
      <c r="BE65" s="1023">
        <v>0.71180555555555558</v>
      </c>
      <c r="BF65" s="1013" t="s">
        <v>7729</v>
      </c>
      <c r="BG65" s="1023">
        <v>0.71388888888888891</v>
      </c>
      <c r="BH65" s="1024">
        <v>43564</v>
      </c>
      <c r="BI65" s="1013" t="s">
        <v>7727</v>
      </c>
      <c r="BJ65" s="1013" t="s">
        <v>7730</v>
      </c>
      <c r="BK65" s="1013">
        <v>2469</v>
      </c>
      <c r="BL65" s="1013" t="s">
        <v>7724</v>
      </c>
      <c r="BM65" s="1013" t="s">
        <v>7724</v>
      </c>
      <c r="BN65" s="1013">
        <v>113</v>
      </c>
      <c r="BO65" s="1013">
        <v>8</v>
      </c>
      <c r="BP65" s="1013">
        <v>2</v>
      </c>
      <c r="BQ65" s="1013">
        <v>1</v>
      </c>
      <c r="BR65" s="1013">
        <v>21</v>
      </c>
      <c r="BS65" s="1013">
        <v>32</v>
      </c>
      <c r="BT65" s="1013">
        <v>9</v>
      </c>
      <c r="BU65" s="1013">
        <v>1</v>
      </c>
      <c r="BV65" s="1013">
        <v>5</v>
      </c>
      <c r="BW65" s="1013">
        <v>1</v>
      </c>
      <c r="BX65" s="1013">
        <v>21</v>
      </c>
      <c r="BY65" s="1013">
        <v>21</v>
      </c>
      <c r="BZ65" s="1013">
        <v>101</v>
      </c>
      <c r="CA65" s="1013">
        <v>208</v>
      </c>
      <c r="CB65" s="1013">
        <v>29.731224999999998</v>
      </c>
      <c r="CC65" s="1013">
        <v>-95.382762999999997</v>
      </c>
      <c r="CD65" s="1013" t="s">
        <v>7724</v>
      </c>
      <c r="CE65" s="1013" t="s">
        <v>7724</v>
      </c>
      <c r="CF65" s="1013" t="s">
        <v>7724</v>
      </c>
      <c r="CG65" s="1013" t="s">
        <v>7724</v>
      </c>
      <c r="CH65" s="1013" t="s">
        <v>7758</v>
      </c>
      <c r="CI65" s="1013">
        <v>1201</v>
      </c>
      <c r="CJ65" s="1013" t="s">
        <v>7724</v>
      </c>
      <c r="CK65" s="1013" t="s">
        <v>7724</v>
      </c>
      <c r="CL65" s="1013" t="s">
        <v>7724</v>
      </c>
      <c r="CM65" s="1013" t="s">
        <v>7724</v>
      </c>
      <c r="CN65" s="1013" t="s">
        <v>7724</v>
      </c>
      <c r="CO65" s="1013" t="s">
        <v>7724</v>
      </c>
      <c r="CP65" s="1013" t="s">
        <v>7724</v>
      </c>
      <c r="CQ65" s="1013" t="s">
        <v>7724</v>
      </c>
      <c r="CR65" s="1013" t="s">
        <v>7732</v>
      </c>
      <c r="CS65" s="1013" t="s">
        <v>7724</v>
      </c>
      <c r="CT65" s="1013" t="s">
        <v>7724</v>
      </c>
      <c r="CU65" s="1013" t="s">
        <v>7724</v>
      </c>
      <c r="CV65" s="1013" t="s">
        <v>7724</v>
      </c>
      <c r="CW65" s="1013" t="s">
        <v>7727</v>
      </c>
      <c r="CX65" s="1013" t="s">
        <v>7723</v>
      </c>
      <c r="CY65" s="1013" t="s">
        <v>7723</v>
      </c>
      <c r="CZ65" s="1013">
        <v>3</v>
      </c>
      <c r="DA65" s="1013">
        <v>9</v>
      </c>
      <c r="DB65" s="1013" t="s">
        <v>7727</v>
      </c>
      <c r="DC65" s="1013" t="s">
        <v>7737</v>
      </c>
      <c r="DD65" s="1013" t="s">
        <v>7724</v>
      </c>
      <c r="DE65" s="1013" t="s">
        <v>7724</v>
      </c>
      <c r="DF65" s="1013" t="s">
        <v>7724</v>
      </c>
      <c r="DG65" s="1013" t="s">
        <v>7724</v>
      </c>
      <c r="DH65" s="1013" t="s">
        <v>7724</v>
      </c>
      <c r="DI65" s="1013" t="s">
        <v>7724</v>
      </c>
      <c r="DJ65" s="1013" t="s">
        <v>7724</v>
      </c>
      <c r="DK65" s="1013" t="s">
        <v>7724</v>
      </c>
      <c r="DL65" s="1013" t="s">
        <v>7724</v>
      </c>
      <c r="DM65" s="1013" t="s">
        <v>7724</v>
      </c>
      <c r="DN65" s="1013" t="s">
        <v>7724</v>
      </c>
      <c r="DO65" s="1013" t="s">
        <v>7724</v>
      </c>
      <c r="DP65" s="1013" t="s">
        <v>7724</v>
      </c>
      <c r="DQ65" s="1013" t="s">
        <v>7724</v>
      </c>
      <c r="DR65" s="1013" t="s">
        <v>7724</v>
      </c>
      <c r="DS65" s="1013" t="s">
        <v>7724</v>
      </c>
      <c r="DT65" s="1013" t="s">
        <v>7724</v>
      </c>
      <c r="DU65" s="1013" t="s">
        <v>7724</v>
      </c>
      <c r="DV65" s="1013" t="s">
        <v>7724</v>
      </c>
      <c r="DW65" s="1013" t="s">
        <v>7724</v>
      </c>
      <c r="DX65" s="1013" t="s">
        <v>7724</v>
      </c>
      <c r="DY65" s="1013" t="s">
        <v>7724</v>
      </c>
      <c r="DZ65" s="1013" t="s">
        <v>7724</v>
      </c>
      <c r="EA65" s="1013" t="s">
        <v>7724</v>
      </c>
      <c r="EB65" s="1013" t="s">
        <v>7724</v>
      </c>
      <c r="EC65" s="1013" t="s">
        <v>7724</v>
      </c>
      <c r="ED65" s="1013" t="s">
        <v>7724</v>
      </c>
      <c r="EE65" s="1013" t="s">
        <v>7724</v>
      </c>
      <c r="EF65" s="1013" t="s">
        <v>7724</v>
      </c>
      <c r="EG65" s="1013" t="s">
        <v>7724</v>
      </c>
      <c r="EH65" s="1013" t="s">
        <v>7724</v>
      </c>
      <c r="EI65" s="1013" t="s">
        <v>7724</v>
      </c>
      <c r="EJ65" s="1013" t="s">
        <v>7724</v>
      </c>
      <c r="EK65" s="1013" t="s">
        <v>7724</v>
      </c>
      <c r="EL65" s="1013" t="s">
        <v>7724</v>
      </c>
      <c r="EM65" s="1013" t="s">
        <v>7724</v>
      </c>
      <c r="EN65" s="1013" t="s">
        <v>7724</v>
      </c>
      <c r="EO65" s="1013" t="s">
        <v>7724</v>
      </c>
      <c r="EP65" s="1013" t="s">
        <v>7724</v>
      </c>
      <c r="EQ65" s="1013" t="s">
        <v>7724</v>
      </c>
      <c r="ER65" s="1013" t="s">
        <v>7724</v>
      </c>
      <c r="ES65" s="1013" t="s">
        <v>7724</v>
      </c>
      <c r="ET65" s="1013" t="s">
        <v>7724</v>
      </c>
      <c r="EU65" s="1013" t="s">
        <v>7724</v>
      </c>
      <c r="EV65" s="1013" t="s">
        <v>7724</v>
      </c>
      <c r="EW65" s="1013" t="s">
        <v>7724</v>
      </c>
      <c r="EX65" s="1013" t="s">
        <v>7724</v>
      </c>
      <c r="EY65" s="1013" t="s">
        <v>7724</v>
      </c>
      <c r="EZ65" s="1013" t="s">
        <v>7724</v>
      </c>
      <c r="FA65" s="1013" t="s">
        <v>7724</v>
      </c>
      <c r="FB65" s="1013" t="s">
        <v>7724</v>
      </c>
      <c r="FC65" s="1013" t="s">
        <v>7724</v>
      </c>
      <c r="FD65" s="1013" t="s">
        <v>7724</v>
      </c>
      <c r="FE65" s="1013" t="s">
        <v>7724</v>
      </c>
      <c r="FF65" s="1013" t="s">
        <v>7724</v>
      </c>
      <c r="FG65" s="1013">
        <v>0</v>
      </c>
      <c r="FH65" s="1013">
        <v>0</v>
      </c>
      <c r="FI65" s="1013">
        <v>2</v>
      </c>
      <c r="FJ65" s="1013">
        <v>0</v>
      </c>
      <c r="FK65" s="1013">
        <v>0</v>
      </c>
      <c r="FL65" s="1013">
        <v>2</v>
      </c>
      <c r="FM65" s="1013">
        <v>0</v>
      </c>
      <c r="FN65" s="1013">
        <v>15</v>
      </c>
      <c r="FO65" s="1013">
        <v>29</v>
      </c>
      <c r="FP65" s="1013">
        <v>9</v>
      </c>
      <c r="FQ65" s="1013" t="s">
        <v>7724</v>
      </c>
      <c r="FR65" s="1013" t="s">
        <v>7724</v>
      </c>
      <c r="FS65" s="1013" t="s">
        <v>7724</v>
      </c>
      <c r="FT65" s="1013" t="s">
        <v>7724</v>
      </c>
      <c r="FU65" s="1013" t="s">
        <v>7724</v>
      </c>
      <c r="FV65" s="1013" t="s">
        <v>7724</v>
      </c>
      <c r="FW65" s="1013" t="s">
        <v>7724</v>
      </c>
      <c r="FX65" s="1013" t="s">
        <v>7724</v>
      </c>
      <c r="FY65" s="1013" t="s">
        <v>7724</v>
      </c>
      <c r="FZ65" s="1013" t="s">
        <v>7724</v>
      </c>
      <c r="GA65" s="1013" t="s">
        <v>7724</v>
      </c>
      <c r="GB65" s="1013" t="s">
        <v>7724</v>
      </c>
      <c r="GC65" s="1013">
        <v>2019</v>
      </c>
      <c r="GD65" s="1013" t="s">
        <v>1407</v>
      </c>
      <c r="GE65" s="1013">
        <v>2</v>
      </c>
      <c r="GF65" s="1013" t="s">
        <v>1407</v>
      </c>
      <c r="GG65" s="1013" t="s">
        <v>1407</v>
      </c>
      <c r="GH65" s="1013" t="s">
        <v>8049</v>
      </c>
      <c r="GI65" s="1013" t="s">
        <v>7974</v>
      </c>
      <c r="GJ65" s="1013" t="s">
        <v>7974</v>
      </c>
      <c r="GK65" s="1013" t="s">
        <v>7974</v>
      </c>
      <c r="GL65" s="1013" t="s">
        <v>7974</v>
      </c>
    </row>
    <row r="66" spans="1:194" hidden="1">
      <c r="A66" s="1013">
        <v>123</v>
      </c>
      <c r="B66" s="1013" t="s">
        <v>7722</v>
      </c>
      <c r="C66" s="1013">
        <v>17488850</v>
      </c>
      <c r="D66" s="1013" t="s">
        <v>7723</v>
      </c>
      <c r="E66" s="1013" t="s">
        <v>7723</v>
      </c>
      <c r="F66" s="1013" t="s">
        <v>7723</v>
      </c>
      <c r="G66" s="1013" t="s">
        <v>7723</v>
      </c>
      <c r="H66" s="1013" t="s">
        <v>7723</v>
      </c>
      <c r="I66" s="1013" t="s">
        <v>7723</v>
      </c>
      <c r="J66" s="1013" t="s">
        <v>7723</v>
      </c>
      <c r="K66" s="1024">
        <v>43820</v>
      </c>
      <c r="L66" s="1023">
        <v>0.54166666666666663</v>
      </c>
      <c r="M66" s="1013" t="s">
        <v>7819</v>
      </c>
      <c r="N66" s="1013" t="s">
        <v>7724</v>
      </c>
      <c r="O66" s="1013">
        <v>101</v>
      </c>
      <c r="P66" s="1013">
        <v>208</v>
      </c>
      <c r="Q66" s="1013" t="s">
        <v>7723</v>
      </c>
      <c r="R66" s="1013" t="s">
        <v>7727</v>
      </c>
      <c r="S66" s="1013" t="s">
        <v>7724</v>
      </c>
      <c r="T66" s="1014" t="s">
        <v>7724</v>
      </c>
      <c r="U66" s="1014">
        <v>19</v>
      </c>
      <c r="V66" s="1014" t="s">
        <v>7724</v>
      </c>
      <c r="W66" s="1014" t="s">
        <v>7724</v>
      </c>
      <c r="X66" s="1013">
        <v>1</v>
      </c>
      <c r="Y66" s="1013">
        <v>1200</v>
      </c>
      <c r="Z66" s="1013" t="s">
        <v>7724</v>
      </c>
      <c r="AA66" s="1013" t="s">
        <v>7757</v>
      </c>
      <c r="AB66" s="1013" t="s">
        <v>7726</v>
      </c>
      <c r="AC66" s="1013" t="s">
        <v>7723</v>
      </c>
      <c r="AD66" s="1013" t="s">
        <v>7723</v>
      </c>
      <c r="AE66" s="1013">
        <v>35</v>
      </c>
      <c r="AF66" s="1013" t="s">
        <v>7723</v>
      </c>
      <c r="AG66" s="1013" t="s">
        <v>7723</v>
      </c>
      <c r="AH66" s="1013" t="s">
        <v>7724</v>
      </c>
      <c r="AI66" s="1013" t="s">
        <v>7727</v>
      </c>
      <c r="AJ66" s="1013">
        <v>19</v>
      </c>
      <c r="AK66" s="1013" t="s">
        <v>7724</v>
      </c>
      <c r="AL66" s="1013" t="s">
        <v>7724</v>
      </c>
      <c r="AM66" s="1013">
        <v>1</v>
      </c>
      <c r="AN66" s="1013">
        <v>4700</v>
      </c>
      <c r="AO66" s="1013" t="s">
        <v>7724</v>
      </c>
      <c r="AP66" s="1013" t="s">
        <v>7728</v>
      </c>
      <c r="AQ66" s="1013" t="s">
        <v>7724</v>
      </c>
      <c r="AR66" s="1013" t="s">
        <v>7724</v>
      </c>
      <c r="AS66" s="1013" t="s">
        <v>7724</v>
      </c>
      <c r="AT66" s="1013" t="s">
        <v>7724</v>
      </c>
      <c r="AU66" s="1013" t="s">
        <v>7724</v>
      </c>
      <c r="AV66" s="1013" t="s">
        <v>7724</v>
      </c>
      <c r="AW66" s="1013" t="s">
        <v>7724</v>
      </c>
      <c r="AX66" s="1013">
        <v>11</v>
      </c>
      <c r="AY66" s="1013">
        <v>1</v>
      </c>
      <c r="AZ66" s="1013">
        <v>0</v>
      </c>
      <c r="BA66" s="1013">
        <v>1</v>
      </c>
      <c r="BB66" s="1013">
        <v>1</v>
      </c>
      <c r="BC66" s="1013">
        <v>1</v>
      </c>
      <c r="BD66" s="1013">
        <v>5</v>
      </c>
      <c r="BE66" s="1023">
        <v>0.5625</v>
      </c>
      <c r="BF66" s="1013" t="s">
        <v>7729</v>
      </c>
      <c r="BG66" s="1023">
        <v>0.57291666666666663</v>
      </c>
      <c r="BH66" s="1024">
        <v>43829</v>
      </c>
      <c r="BI66" s="1013" t="s">
        <v>7727</v>
      </c>
      <c r="BJ66" s="1013" t="s">
        <v>7730</v>
      </c>
      <c r="BK66" s="1013">
        <v>2469</v>
      </c>
      <c r="BL66" s="1013" t="s">
        <v>7724</v>
      </c>
      <c r="BM66" s="1013" t="s">
        <v>7724</v>
      </c>
      <c r="BN66" s="1013">
        <v>113</v>
      </c>
      <c r="BO66" s="1013">
        <v>8</v>
      </c>
      <c r="BP66" s="1013">
        <v>2</v>
      </c>
      <c r="BQ66" s="1013">
        <v>1</v>
      </c>
      <c r="BR66" s="1013">
        <v>10</v>
      </c>
      <c r="BS66" s="1013">
        <v>64</v>
      </c>
      <c r="BT66" s="1013">
        <v>54</v>
      </c>
      <c r="BU66" s="1013">
        <v>1</v>
      </c>
      <c r="BV66" s="1013">
        <v>5</v>
      </c>
      <c r="BW66" s="1013">
        <v>1</v>
      </c>
      <c r="BX66" s="1013">
        <v>21</v>
      </c>
      <c r="BY66" s="1013">
        <v>21</v>
      </c>
      <c r="BZ66" s="1013">
        <v>101</v>
      </c>
      <c r="CA66" s="1013">
        <v>208</v>
      </c>
      <c r="CB66" s="1013">
        <v>29.731224999999998</v>
      </c>
      <c r="CC66" s="1013">
        <v>-95.382762999999997</v>
      </c>
      <c r="CD66" s="1013" t="s">
        <v>7724</v>
      </c>
      <c r="CE66" s="1013" t="s">
        <v>7724</v>
      </c>
      <c r="CF66" s="1013" t="s">
        <v>7724</v>
      </c>
      <c r="CG66" s="1013" t="s">
        <v>7724</v>
      </c>
      <c r="CH66" s="1013" t="s">
        <v>7758</v>
      </c>
      <c r="CI66" s="1013">
        <v>1201</v>
      </c>
      <c r="CJ66" s="1013" t="s">
        <v>7724</v>
      </c>
      <c r="CK66" s="1013" t="s">
        <v>7724</v>
      </c>
      <c r="CL66" s="1013" t="s">
        <v>7724</v>
      </c>
      <c r="CM66" s="1013" t="s">
        <v>7724</v>
      </c>
      <c r="CN66" s="1013" t="s">
        <v>7724</v>
      </c>
      <c r="CO66" s="1013" t="s">
        <v>7724</v>
      </c>
      <c r="CP66" s="1013" t="s">
        <v>7724</v>
      </c>
      <c r="CQ66" s="1013" t="s">
        <v>7724</v>
      </c>
      <c r="CR66" s="1013" t="s">
        <v>7732</v>
      </c>
      <c r="CS66" s="1013" t="s">
        <v>7724</v>
      </c>
      <c r="CT66" s="1013" t="s">
        <v>7724</v>
      </c>
      <c r="CU66" s="1013" t="s">
        <v>7724</v>
      </c>
      <c r="CV66" s="1013" t="s">
        <v>7724</v>
      </c>
      <c r="CW66" s="1013" t="s">
        <v>7727</v>
      </c>
      <c r="CX66" s="1013" t="s">
        <v>7723</v>
      </c>
      <c r="CY66" s="1013" t="s">
        <v>7723</v>
      </c>
      <c r="CZ66" s="1013">
        <v>5</v>
      </c>
      <c r="DA66" s="1013">
        <v>9</v>
      </c>
      <c r="DB66" s="1013" t="s">
        <v>7727</v>
      </c>
      <c r="DC66" s="1013" t="s">
        <v>7733</v>
      </c>
      <c r="DD66" s="1013" t="s">
        <v>7724</v>
      </c>
      <c r="DE66" s="1013" t="s">
        <v>7724</v>
      </c>
      <c r="DF66" s="1013" t="s">
        <v>7724</v>
      </c>
      <c r="DG66" s="1013" t="s">
        <v>7724</v>
      </c>
      <c r="DH66" s="1013" t="s">
        <v>7724</v>
      </c>
      <c r="DI66" s="1013" t="s">
        <v>7724</v>
      </c>
      <c r="DJ66" s="1013" t="s">
        <v>7724</v>
      </c>
      <c r="DK66" s="1013" t="s">
        <v>7724</v>
      </c>
      <c r="DL66" s="1013" t="s">
        <v>7724</v>
      </c>
      <c r="DM66" s="1013" t="s">
        <v>7724</v>
      </c>
      <c r="DN66" s="1013" t="s">
        <v>7724</v>
      </c>
      <c r="DO66" s="1013" t="s">
        <v>7724</v>
      </c>
      <c r="DP66" s="1013" t="s">
        <v>7724</v>
      </c>
      <c r="DQ66" s="1013" t="s">
        <v>7724</v>
      </c>
      <c r="DR66" s="1013" t="s">
        <v>7724</v>
      </c>
      <c r="DS66" s="1013" t="s">
        <v>7724</v>
      </c>
      <c r="DT66" s="1013" t="s">
        <v>7724</v>
      </c>
      <c r="DU66" s="1013" t="s">
        <v>7724</v>
      </c>
      <c r="DV66" s="1013" t="s">
        <v>7724</v>
      </c>
      <c r="DW66" s="1013" t="s">
        <v>7724</v>
      </c>
      <c r="DX66" s="1013" t="s">
        <v>7724</v>
      </c>
      <c r="DY66" s="1013" t="s">
        <v>7724</v>
      </c>
      <c r="DZ66" s="1013" t="s">
        <v>7724</v>
      </c>
      <c r="EA66" s="1013" t="s">
        <v>7724</v>
      </c>
      <c r="EB66" s="1013" t="s">
        <v>7724</v>
      </c>
      <c r="EC66" s="1013" t="s">
        <v>7724</v>
      </c>
      <c r="ED66" s="1013" t="s">
        <v>7724</v>
      </c>
      <c r="EE66" s="1013" t="s">
        <v>7724</v>
      </c>
      <c r="EF66" s="1013" t="s">
        <v>7724</v>
      </c>
      <c r="EG66" s="1013" t="s">
        <v>7724</v>
      </c>
      <c r="EH66" s="1013" t="s">
        <v>7724</v>
      </c>
      <c r="EI66" s="1013" t="s">
        <v>7724</v>
      </c>
      <c r="EJ66" s="1013" t="s">
        <v>7724</v>
      </c>
      <c r="EK66" s="1013" t="s">
        <v>7724</v>
      </c>
      <c r="EL66" s="1013" t="s">
        <v>7724</v>
      </c>
      <c r="EM66" s="1013" t="s">
        <v>7724</v>
      </c>
      <c r="EN66" s="1013" t="s">
        <v>7724</v>
      </c>
      <c r="EO66" s="1013" t="s">
        <v>7724</v>
      </c>
      <c r="EP66" s="1013" t="s">
        <v>7724</v>
      </c>
      <c r="EQ66" s="1013" t="s">
        <v>7724</v>
      </c>
      <c r="ER66" s="1013" t="s">
        <v>7724</v>
      </c>
      <c r="ES66" s="1013" t="s">
        <v>7724</v>
      </c>
      <c r="ET66" s="1013" t="s">
        <v>7724</v>
      </c>
      <c r="EU66" s="1013" t="s">
        <v>7724</v>
      </c>
      <c r="EV66" s="1013" t="s">
        <v>7724</v>
      </c>
      <c r="EW66" s="1013" t="s">
        <v>7724</v>
      </c>
      <c r="EX66" s="1013" t="s">
        <v>7724</v>
      </c>
      <c r="EY66" s="1013" t="s">
        <v>7724</v>
      </c>
      <c r="EZ66" s="1013" t="s">
        <v>7724</v>
      </c>
      <c r="FA66" s="1013" t="s">
        <v>7724</v>
      </c>
      <c r="FB66" s="1013" t="s">
        <v>7724</v>
      </c>
      <c r="FC66" s="1013" t="s">
        <v>7724</v>
      </c>
      <c r="FD66" s="1013" t="s">
        <v>7724</v>
      </c>
      <c r="FE66" s="1013" t="s">
        <v>7724</v>
      </c>
      <c r="FF66" s="1013" t="s">
        <v>7724</v>
      </c>
      <c r="FG66" s="1013">
        <v>0</v>
      </c>
      <c r="FH66" s="1013">
        <v>0</v>
      </c>
      <c r="FI66" s="1013">
        <v>0</v>
      </c>
      <c r="FJ66" s="1013">
        <v>2</v>
      </c>
      <c r="FK66" s="1013">
        <v>0</v>
      </c>
      <c r="FL66" s="1013">
        <v>0</v>
      </c>
      <c r="FM66" s="1013">
        <v>0</v>
      </c>
      <c r="FN66" s="1013">
        <v>15</v>
      </c>
      <c r="FO66" s="1013">
        <v>29</v>
      </c>
      <c r="FP66" s="1013">
        <v>9</v>
      </c>
      <c r="FQ66" s="1013" t="s">
        <v>7724</v>
      </c>
      <c r="FR66" s="1013" t="s">
        <v>7724</v>
      </c>
      <c r="FS66" s="1013" t="s">
        <v>7724</v>
      </c>
      <c r="FT66" s="1013" t="s">
        <v>7724</v>
      </c>
      <c r="FU66" s="1013" t="s">
        <v>7724</v>
      </c>
      <c r="FV66" s="1013" t="s">
        <v>7724</v>
      </c>
      <c r="FW66" s="1013" t="s">
        <v>7724</v>
      </c>
      <c r="FX66" s="1013" t="s">
        <v>7724</v>
      </c>
      <c r="FY66" s="1013" t="s">
        <v>7724</v>
      </c>
      <c r="FZ66" s="1013" t="s">
        <v>7724</v>
      </c>
      <c r="GA66" s="1013" t="s">
        <v>7724</v>
      </c>
      <c r="GB66" s="1013" t="s">
        <v>7724</v>
      </c>
      <c r="GC66" s="1013">
        <v>2019</v>
      </c>
      <c r="GD66" s="1013" t="s">
        <v>1404</v>
      </c>
      <c r="GE66" s="1013">
        <v>2</v>
      </c>
      <c r="GF66" s="1013" t="s">
        <v>1407</v>
      </c>
      <c r="GG66" s="1013" t="s">
        <v>1407</v>
      </c>
      <c r="GH66" s="1013" t="s">
        <v>8050</v>
      </c>
      <c r="GI66" s="1013" t="s">
        <v>7974</v>
      </c>
      <c r="GJ66" s="1013" t="s">
        <v>7974</v>
      </c>
      <c r="GK66" s="1013" t="s">
        <v>7974</v>
      </c>
      <c r="GL66" s="1013" t="s">
        <v>7974</v>
      </c>
    </row>
    <row r="67" spans="1:194" hidden="1">
      <c r="A67" s="1013">
        <v>133</v>
      </c>
      <c r="B67" s="1013" t="s">
        <v>7722</v>
      </c>
      <c r="C67" s="1013">
        <v>19598870</v>
      </c>
      <c r="D67" s="1013" t="s">
        <v>7723</v>
      </c>
      <c r="E67" s="1013" t="s">
        <v>7723</v>
      </c>
      <c r="F67" s="1013" t="s">
        <v>7723</v>
      </c>
      <c r="G67" s="1013" t="s">
        <v>7723</v>
      </c>
      <c r="H67" s="1013" t="s">
        <v>7723</v>
      </c>
      <c r="I67" s="1013" t="s">
        <v>7723</v>
      </c>
      <c r="J67" s="1013" t="s">
        <v>7723</v>
      </c>
      <c r="K67" s="1024">
        <v>45087</v>
      </c>
      <c r="L67" s="1023">
        <v>9.0277777777777776E-2</v>
      </c>
      <c r="M67" s="1013" t="s">
        <v>8051</v>
      </c>
      <c r="N67" s="1013" t="s">
        <v>7724</v>
      </c>
      <c r="O67" s="1013">
        <v>101</v>
      </c>
      <c r="P67" s="1013">
        <v>208</v>
      </c>
      <c r="Q67" s="1013" t="s">
        <v>7723</v>
      </c>
      <c r="R67" s="1013" t="s">
        <v>7723</v>
      </c>
      <c r="S67" s="1013" t="s">
        <v>7724</v>
      </c>
      <c r="T67" s="1014" t="s">
        <v>7724</v>
      </c>
      <c r="U67" s="1014">
        <v>2</v>
      </c>
      <c r="V67" s="1014">
        <v>59</v>
      </c>
      <c r="W67" s="1014" t="s">
        <v>7724</v>
      </c>
      <c r="X67" s="1013">
        <v>1</v>
      </c>
      <c r="Y67" s="1013">
        <v>600</v>
      </c>
      <c r="Z67" s="1013" t="s">
        <v>7770</v>
      </c>
      <c r="AA67" s="1013" t="s">
        <v>7771</v>
      </c>
      <c r="AB67" s="1013" t="s">
        <v>7760</v>
      </c>
      <c r="AC67" s="1013" t="s">
        <v>7723</v>
      </c>
      <c r="AD67" s="1013" t="s">
        <v>7723</v>
      </c>
      <c r="AE67" s="1013">
        <v>60</v>
      </c>
      <c r="AF67" s="1013" t="s">
        <v>7723</v>
      </c>
      <c r="AG67" s="1013" t="s">
        <v>7723</v>
      </c>
      <c r="AH67" s="1013" t="s">
        <v>7739</v>
      </c>
      <c r="AI67" s="1013" t="s">
        <v>7723</v>
      </c>
      <c r="AJ67" s="1013">
        <v>19</v>
      </c>
      <c r="AK67" s="1013" t="s">
        <v>7724</v>
      </c>
      <c r="AL67" s="1013" t="s">
        <v>7724</v>
      </c>
      <c r="AM67" s="1013">
        <v>1</v>
      </c>
      <c r="AN67" s="1013">
        <v>4600</v>
      </c>
      <c r="AO67" s="1013" t="s">
        <v>7724</v>
      </c>
      <c r="AP67" s="1013" t="s">
        <v>7728</v>
      </c>
      <c r="AQ67" s="1013" t="s">
        <v>7726</v>
      </c>
      <c r="AR67" s="1013" t="s">
        <v>7724</v>
      </c>
      <c r="AS67" s="1013" t="s">
        <v>7724</v>
      </c>
      <c r="AT67" s="1013" t="s">
        <v>7724</v>
      </c>
      <c r="AU67" s="1013" t="s">
        <v>7724</v>
      </c>
      <c r="AV67" s="1013" t="s">
        <v>8052</v>
      </c>
      <c r="AW67" s="1013" t="s">
        <v>7724</v>
      </c>
      <c r="AX67" s="1013">
        <v>11</v>
      </c>
      <c r="AY67" s="1013">
        <v>4</v>
      </c>
      <c r="AZ67" s="1013">
        <v>2</v>
      </c>
      <c r="BA67" s="1013">
        <v>3</v>
      </c>
      <c r="BB67" s="1013">
        <v>1</v>
      </c>
      <c r="BC67" s="1013">
        <v>1</v>
      </c>
      <c r="BD67" s="1013">
        <v>20</v>
      </c>
      <c r="BE67" s="1023">
        <v>9.0277777777777776E-2</v>
      </c>
      <c r="BF67" s="1013" t="s">
        <v>7736</v>
      </c>
      <c r="BG67" s="1023">
        <v>9.0972222222222218E-2</v>
      </c>
      <c r="BH67" s="1024">
        <v>45088</v>
      </c>
      <c r="BI67" s="1013" t="s">
        <v>7727</v>
      </c>
      <c r="BJ67" s="1013" t="s">
        <v>7730</v>
      </c>
      <c r="BK67" s="1013">
        <v>2469</v>
      </c>
      <c r="BL67" s="1013" t="s">
        <v>7724</v>
      </c>
      <c r="BM67" s="1013" t="s">
        <v>7724</v>
      </c>
      <c r="BN67" s="1013">
        <v>113</v>
      </c>
      <c r="BO67" s="1013">
        <v>8</v>
      </c>
      <c r="BP67" s="1013">
        <v>2</v>
      </c>
      <c r="BQ67" s="1013">
        <v>2</v>
      </c>
      <c r="BR67" s="1013">
        <v>46</v>
      </c>
      <c r="BS67" s="1013">
        <v>64</v>
      </c>
      <c r="BT67" s="1013">
        <v>54</v>
      </c>
      <c r="BU67" s="1013">
        <v>1</v>
      </c>
      <c r="BV67" s="1013">
        <v>2</v>
      </c>
      <c r="BW67" s="1013">
        <v>1</v>
      </c>
      <c r="BX67" s="1013">
        <v>21</v>
      </c>
      <c r="BY67" s="1013">
        <v>21</v>
      </c>
      <c r="BZ67" s="1013">
        <v>101</v>
      </c>
      <c r="CA67" s="1013">
        <v>208</v>
      </c>
      <c r="CB67" s="1013">
        <v>29.732506000000001</v>
      </c>
      <c r="CC67" s="1013">
        <v>-95.380261000000004</v>
      </c>
      <c r="CD67" s="1013" t="s">
        <v>7724</v>
      </c>
      <c r="CE67" s="1013" t="s">
        <v>7724</v>
      </c>
      <c r="CF67" s="1013" t="s">
        <v>7724</v>
      </c>
      <c r="CG67" s="1013" t="s">
        <v>7724</v>
      </c>
      <c r="CH67" s="1013" t="s">
        <v>8053</v>
      </c>
      <c r="CI67" s="1013" t="s">
        <v>7724</v>
      </c>
      <c r="CJ67" s="1013" t="s">
        <v>7724</v>
      </c>
      <c r="CK67" s="1013" t="s">
        <v>7724</v>
      </c>
      <c r="CL67" s="1013" t="s">
        <v>7724</v>
      </c>
      <c r="CM67" s="1013" t="s">
        <v>7724</v>
      </c>
      <c r="CN67" s="1013" t="s">
        <v>7724</v>
      </c>
      <c r="CO67" s="1013" t="s">
        <v>7724</v>
      </c>
      <c r="CP67" s="1013" t="s">
        <v>7724</v>
      </c>
      <c r="CQ67" s="1013" t="s">
        <v>7724</v>
      </c>
      <c r="CR67" s="1013" t="s">
        <v>7732</v>
      </c>
      <c r="CS67" s="1013" t="s">
        <v>7724</v>
      </c>
      <c r="CT67" s="1013" t="s">
        <v>7724</v>
      </c>
      <c r="CU67" s="1013" t="s">
        <v>7724</v>
      </c>
      <c r="CV67" s="1013" t="s">
        <v>7724</v>
      </c>
      <c r="CW67" s="1013" t="s">
        <v>7727</v>
      </c>
      <c r="CX67" s="1013" t="s">
        <v>7723</v>
      </c>
      <c r="CY67" s="1013" t="s">
        <v>7723</v>
      </c>
      <c r="CZ67" s="1013">
        <v>2</v>
      </c>
      <c r="DA67" s="1013">
        <v>9</v>
      </c>
      <c r="DB67" s="1013" t="s">
        <v>7727</v>
      </c>
      <c r="DC67" s="1013" t="s">
        <v>7733</v>
      </c>
      <c r="DD67" s="1013" t="s">
        <v>7724</v>
      </c>
      <c r="DE67" s="1013" t="s">
        <v>7724</v>
      </c>
      <c r="DF67" s="1013" t="s">
        <v>7724</v>
      </c>
      <c r="DG67" s="1013" t="s">
        <v>7724</v>
      </c>
      <c r="DH67" s="1013" t="s">
        <v>7724</v>
      </c>
      <c r="DI67" s="1013" t="s">
        <v>7724</v>
      </c>
      <c r="DJ67" s="1013" t="s">
        <v>7724</v>
      </c>
      <c r="DK67" s="1013" t="s">
        <v>7724</v>
      </c>
      <c r="DL67" s="1013" t="s">
        <v>7724</v>
      </c>
      <c r="DM67" s="1013" t="s">
        <v>7724</v>
      </c>
      <c r="DN67" s="1013" t="s">
        <v>7724</v>
      </c>
      <c r="DO67" s="1013" t="s">
        <v>7724</v>
      </c>
      <c r="DP67" s="1013" t="s">
        <v>7724</v>
      </c>
      <c r="DQ67" s="1013" t="s">
        <v>7724</v>
      </c>
      <c r="DR67" s="1013" t="s">
        <v>7724</v>
      </c>
      <c r="DS67" s="1013" t="s">
        <v>7724</v>
      </c>
      <c r="DT67" s="1013" t="s">
        <v>7724</v>
      </c>
      <c r="DU67" s="1013" t="s">
        <v>7724</v>
      </c>
      <c r="DV67" s="1013" t="s">
        <v>7724</v>
      </c>
      <c r="DW67" s="1013" t="s">
        <v>7724</v>
      </c>
      <c r="DX67" s="1013" t="s">
        <v>7724</v>
      </c>
      <c r="DY67" s="1013" t="s">
        <v>7724</v>
      </c>
      <c r="DZ67" s="1013" t="s">
        <v>7724</v>
      </c>
      <c r="EA67" s="1013" t="s">
        <v>7724</v>
      </c>
      <c r="EB67" s="1013" t="s">
        <v>7724</v>
      </c>
      <c r="EC67" s="1013" t="s">
        <v>7724</v>
      </c>
      <c r="ED67" s="1013" t="s">
        <v>7724</v>
      </c>
      <c r="EE67" s="1013" t="s">
        <v>7724</v>
      </c>
      <c r="EF67" s="1013" t="s">
        <v>7724</v>
      </c>
      <c r="EG67" s="1013" t="s">
        <v>7724</v>
      </c>
      <c r="EH67" s="1013" t="s">
        <v>7724</v>
      </c>
      <c r="EI67" s="1013" t="s">
        <v>7724</v>
      </c>
      <c r="EJ67" s="1013" t="s">
        <v>7724</v>
      </c>
      <c r="EK67" s="1013" t="s">
        <v>7724</v>
      </c>
      <c r="EL67" s="1013" t="s">
        <v>7724</v>
      </c>
      <c r="EM67" s="1013" t="s">
        <v>7724</v>
      </c>
      <c r="EN67" s="1013" t="s">
        <v>7724</v>
      </c>
      <c r="EO67" s="1013" t="s">
        <v>7724</v>
      </c>
      <c r="EP67" s="1013" t="s">
        <v>7724</v>
      </c>
      <c r="EQ67" s="1013" t="s">
        <v>7724</v>
      </c>
      <c r="ER67" s="1013" t="s">
        <v>7724</v>
      </c>
      <c r="ES67" s="1013" t="s">
        <v>7724</v>
      </c>
      <c r="ET67" s="1013" t="s">
        <v>7724</v>
      </c>
      <c r="EU67" s="1013" t="s">
        <v>7724</v>
      </c>
      <c r="EV67" s="1013" t="s">
        <v>7724</v>
      </c>
      <c r="EW67" s="1013" t="s">
        <v>7724</v>
      </c>
      <c r="EX67" s="1013" t="s">
        <v>7724</v>
      </c>
      <c r="EY67" s="1013" t="s">
        <v>7724</v>
      </c>
      <c r="EZ67" s="1013" t="s">
        <v>7724</v>
      </c>
      <c r="FA67" s="1013" t="s">
        <v>7724</v>
      </c>
      <c r="FB67" s="1013" t="s">
        <v>7724</v>
      </c>
      <c r="FC67" s="1013" t="s">
        <v>7724</v>
      </c>
      <c r="FD67" s="1013" t="s">
        <v>7724</v>
      </c>
      <c r="FE67" s="1013" t="s">
        <v>7724</v>
      </c>
      <c r="FF67" s="1013" t="s">
        <v>7724</v>
      </c>
      <c r="FG67" s="1013">
        <v>0</v>
      </c>
      <c r="FH67" s="1013">
        <v>4</v>
      </c>
      <c r="FI67" s="1013">
        <v>0</v>
      </c>
      <c r="FJ67" s="1013">
        <v>0</v>
      </c>
      <c r="FK67" s="1013">
        <v>0</v>
      </c>
      <c r="FL67" s="1013">
        <v>4</v>
      </c>
      <c r="FM67" s="1013">
        <v>0</v>
      </c>
      <c r="FN67" s="1013">
        <v>15</v>
      </c>
      <c r="FO67" s="1013">
        <v>29</v>
      </c>
      <c r="FP67" s="1013">
        <v>6</v>
      </c>
      <c r="FQ67" s="1013" t="s">
        <v>7724</v>
      </c>
      <c r="FR67" s="1013" t="s">
        <v>7724</v>
      </c>
      <c r="FS67" s="1013" t="s">
        <v>7724</v>
      </c>
      <c r="FT67" s="1013" t="s">
        <v>7723</v>
      </c>
      <c r="FU67" s="1013" t="s">
        <v>7723</v>
      </c>
      <c r="FV67" s="1013">
        <v>-1</v>
      </c>
      <c r="FW67" s="1023">
        <v>0.1111111111111111</v>
      </c>
      <c r="FX67" s="1023">
        <v>0.1388888888888889</v>
      </c>
      <c r="FY67" s="1024">
        <v>45087</v>
      </c>
      <c r="FZ67" s="1024">
        <v>45087</v>
      </c>
      <c r="GA67" s="1024">
        <v>45087</v>
      </c>
      <c r="GB67" s="1024">
        <v>45087</v>
      </c>
      <c r="GC67" s="1013">
        <v>2023</v>
      </c>
      <c r="GD67" s="1013" t="s">
        <v>1407</v>
      </c>
      <c r="GE67" s="1013">
        <v>4</v>
      </c>
      <c r="GF67" s="1013" t="s">
        <v>1407</v>
      </c>
      <c r="GG67" s="1013" t="s">
        <v>1407</v>
      </c>
      <c r="GH67" s="1013" t="s">
        <v>8054</v>
      </c>
      <c r="GI67" s="1013" t="s">
        <v>8055</v>
      </c>
      <c r="GJ67" s="1013" t="s">
        <v>8055</v>
      </c>
      <c r="GK67" s="1013" t="s">
        <v>8055</v>
      </c>
      <c r="GL67" s="1013" t="s">
        <v>8055</v>
      </c>
    </row>
    <row r="68" spans="1:194" hidden="1">
      <c r="A68" s="1013">
        <v>136</v>
      </c>
      <c r="B68" s="1013" t="s">
        <v>7722</v>
      </c>
      <c r="C68" s="1013">
        <v>19690374</v>
      </c>
      <c r="D68" s="1013" t="s">
        <v>7723</v>
      </c>
      <c r="E68" s="1013" t="s">
        <v>7723</v>
      </c>
      <c r="F68" s="1013" t="s">
        <v>7723</v>
      </c>
      <c r="G68" s="1013" t="s">
        <v>7723</v>
      </c>
      <c r="H68" s="1013" t="s">
        <v>7723</v>
      </c>
      <c r="I68" s="1013" t="s">
        <v>7723</v>
      </c>
      <c r="J68" s="1013" t="s">
        <v>7723</v>
      </c>
      <c r="K68" s="1024">
        <v>45099</v>
      </c>
      <c r="L68" s="1023">
        <v>0.72430555555555554</v>
      </c>
      <c r="M68" s="1013" t="s">
        <v>8056</v>
      </c>
      <c r="N68" s="1013" t="s">
        <v>7724</v>
      </c>
      <c r="O68" s="1013">
        <v>101</v>
      </c>
      <c r="P68" s="1013">
        <v>208</v>
      </c>
      <c r="Q68" s="1013" t="s">
        <v>7723</v>
      </c>
      <c r="R68" s="1013" t="s">
        <v>7727</v>
      </c>
      <c r="S68" s="1013" t="s">
        <v>7724</v>
      </c>
      <c r="T68" s="1014" t="s">
        <v>7724</v>
      </c>
      <c r="U68" s="1014">
        <v>19</v>
      </c>
      <c r="V68" s="1014" t="s">
        <v>7724</v>
      </c>
      <c r="W68" s="1014" t="s">
        <v>7724</v>
      </c>
      <c r="X68" s="1013">
        <v>1</v>
      </c>
      <c r="Y68" s="1013">
        <v>1200</v>
      </c>
      <c r="Z68" s="1013" t="s">
        <v>7724</v>
      </c>
      <c r="AA68" s="1013" t="s">
        <v>7725</v>
      </c>
      <c r="AB68" s="1013" t="s">
        <v>7726</v>
      </c>
      <c r="AC68" s="1013" t="s">
        <v>7723</v>
      </c>
      <c r="AD68" s="1013" t="s">
        <v>7723</v>
      </c>
      <c r="AE68" s="1013">
        <v>30</v>
      </c>
      <c r="AF68" s="1013" t="s">
        <v>7723</v>
      </c>
      <c r="AG68" s="1013" t="s">
        <v>7723</v>
      </c>
      <c r="AH68" s="1013" t="s">
        <v>7739</v>
      </c>
      <c r="AI68" s="1013" t="s">
        <v>7727</v>
      </c>
      <c r="AJ68" s="1013">
        <v>19</v>
      </c>
      <c r="AK68" s="1013" t="s">
        <v>7724</v>
      </c>
      <c r="AL68" s="1013" t="s">
        <v>7724</v>
      </c>
      <c r="AM68" s="1013">
        <v>1</v>
      </c>
      <c r="AN68" s="1013">
        <v>4300</v>
      </c>
      <c r="AO68" s="1013" t="s">
        <v>7724</v>
      </c>
      <c r="AP68" s="1013" t="s">
        <v>7728</v>
      </c>
      <c r="AQ68" s="1013" t="s">
        <v>7726</v>
      </c>
      <c r="AR68" s="1013" t="s">
        <v>7724</v>
      </c>
      <c r="AS68" s="1013" t="s">
        <v>7724</v>
      </c>
      <c r="AT68" s="1013" t="s">
        <v>7724</v>
      </c>
      <c r="AU68" s="1013" t="s">
        <v>7724</v>
      </c>
      <c r="AV68" s="1013" t="s">
        <v>7739</v>
      </c>
      <c r="AW68" s="1013" t="s">
        <v>7724</v>
      </c>
      <c r="AX68" s="1013">
        <v>11</v>
      </c>
      <c r="AY68" s="1013">
        <v>1</v>
      </c>
      <c r="AZ68" s="1013">
        <v>4</v>
      </c>
      <c r="BA68" s="1013">
        <v>2</v>
      </c>
      <c r="BB68" s="1013">
        <v>1</v>
      </c>
      <c r="BC68" s="1013">
        <v>1</v>
      </c>
      <c r="BD68" s="1013">
        <v>5</v>
      </c>
      <c r="BE68" s="1023">
        <v>0.7368055555555556</v>
      </c>
      <c r="BF68" s="1013" t="s">
        <v>7736</v>
      </c>
      <c r="BG68" s="1023">
        <v>0.74236111111111114</v>
      </c>
      <c r="BH68" s="1024">
        <v>45099</v>
      </c>
      <c r="BI68" s="1013" t="s">
        <v>7727</v>
      </c>
      <c r="BJ68" s="1013" t="s">
        <v>7730</v>
      </c>
      <c r="BK68" s="1013">
        <v>2469</v>
      </c>
      <c r="BL68" s="1013" t="s">
        <v>7724</v>
      </c>
      <c r="BM68" s="1013" t="s">
        <v>7724</v>
      </c>
      <c r="BN68" s="1013">
        <v>113</v>
      </c>
      <c r="BO68" s="1013">
        <v>8</v>
      </c>
      <c r="BP68" s="1013">
        <v>2</v>
      </c>
      <c r="BQ68" s="1013">
        <v>2</v>
      </c>
      <c r="BR68" s="1013">
        <v>22</v>
      </c>
      <c r="BS68" s="1013">
        <v>64</v>
      </c>
      <c r="BT68" s="1013">
        <v>38</v>
      </c>
      <c r="BU68" s="1013">
        <v>1</v>
      </c>
      <c r="BV68" s="1013">
        <v>5</v>
      </c>
      <c r="BW68" s="1013">
        <v>1</v>
      </c>
      <c r="BX68" s="1013">
        <v>21</v>
      </c>
      <c r="BY68" s="1013">
        <v>21</v>
      </c>
      <c r="BZ68" s="1013">
        <v>101</v>
      </c>
      <c r="CA68" s="1013">
        <v>208</v>
      </c>
      <c r="CB68" s="1013">
        <v>29.733094999999999</v>
      </c>
      <c r="CC68" s="1013">
        <v>-95.381282999999996</v>
      </c>
      <c r="CD68" s="1013" t="s">
        <v>7724</v>
      </c>
      <c r="CE68" s="1013" t="s">
        <v>7724</v>
      </c>
      <c r="CF68" s="1013" t="s">
        <v>7724</v>
      </c>
      <c r="CG68" s="1013" t="s">
        <v>7724</v>
      </c>
      <c r="CH68" s="1013" t="s">
        <v>7731</v>
      </c>
      <c r="CI68" s="1013">
        <v>1201</v>
      </c>
      <c r="CJ68" s="1013" t="s">
        <v>7724</v>
      </c>
      <c r="CK68" s="1013" t="s">
        <v>7724</v>
      </c>
      <c r="CL68" s="1013" t="s">
        <v>7724</v>
      </c>
      <c r="CM68" s="1013" t="s">
        <v>7724</v>
      </c>
      <c r="CN68" s="1013" t="s">
        <v>7724</v>
      </c>
      <c r="CO68" s="1013" t="s">
        <v>7724</v>
      </c>
      <c r="CP68" s="1013" t="s">
        <v>7724</v>
      </c>
      <c r="CQ68" s="1013" t="s">
        <v>7724</v>
      </c>
      <c r="CR68" s="1013" t="s">
        <v>7732</v>
      </c>
      <c r="CS68" s="1013" t="s">
        <v>7724</v>
      </c>
      <c r="CT68" s="1013" t="s">
        <v>7724</v>
      </c>
      <c r="CU68" s="1013" t="s">
        <v>7724</v>
      </c>
      <c r="CV68" s="1013" t="s">
        <v>7724</v>
      </c>
      <c r="CW68" s="1013" t="s">
        <v>7727</v>
      </c>
      <c r="CX68" s="1013" t="s">
        <v>7723</v>
      </c>
      <c r="CY68" s="1013" t="s">
        <v>7723</v>
      </c>
      <c r="CZ68" s="1013">
        <v>5</v>
      </c>
      <c r="DA68" s="1013">
        <v>9</v>
      </c>
      <c r="DB68" s="1013" t="s">
        <v>7727</v>
      </c>
      <c r="DC68" s="1013" t="s">
        <v>7740</v>
      </c>
      <c r="DD68" s="1013" t="s">
        <v>7724</v>
      </c>
      <c r="DE68" s="1013" t="s">
        <v>7724</v>
      </c>
      <c r="DF68" s="1013" t="s">
        <v>7724</v>
      </c>
      <c r="DG68" s="1013" t="s">
        <v>7724</v>
      </c>
      <c r="DH68" s="1013" t="s">
        <v>7724</v>
      </c>
      <c r="DI68" s="1013" t="s">
        <v>7724</v>
      </c>
      <c r="DJ68" s="1013" t="s">
        <v>7724</v>
      </c>
      <c r="DK68" s="1013" t="s">
        <v>7724</v>
      </c>
      <c r="DL68" s="1013" t="s">
        <v>7724</v>
      </c>
      <c r="DM68" s="1013" t="s">
        <v>7724</v>
      </c>
      <c r="DN68" s="1013" t="s">
        <v>7724</v>
      </c>
      <c r="DO68" s="1013" t="s">
        <v>7724</v>
      </c>
      <c r="DP68" s="1013" t="s">
        <v>7724</v>
      </c>
      <c r="DQ68" s="1013" t="s">
        <v>7724</v>
      </c>
      <c r="DR68" s="1013" t="s">
        <v>7724</v>
      </c>
      <c r="DS68" s="1013" t="s">
        <v>7724</v>
      </c>
      <c r="DT68" s="1013" t="s">
        <v>7724</v>
      </c>
      <c r="DU68" s="1013" t="s">
        <v>7724</v>
      </c>
      <c r="DV68" s="1013" t="s">
        <v>7724</v>
      </c>
      <c r="DW68" s="1013" t="s">
        <v>7724</v>
      </c>
      <c r="DX68" s="1013" t="s">
        <v>7724</v>
      </c>
      <c r="DY68" s="1013" t="s">
        <v>7724</v>
      </c>
      <c r="DZ68" s="1013" t="s">
        <v>7724</v>
      </c>
      <c r="EA68" s="1013" t="s">
        <v>7724</v>
      </c>
      <c r="EB68" s="1013" t="s">
        <v>7724</v>
      </c>
      <c r="EC68" s="1013" t="s">
        <v>7724</v>
      </c>
      <c r="ED68" s="1013" t="s">
        <v>7724</v>
      </c>
      <c r="EE68" s="1013" t="s">
        <v>7724</v>
      </c>
      <c r="EF68" s="1013" t="s">
        <v>7724</v>
      </c>
      <c r="EG68" s="1013" t="s">
        <v>7724</v>
      </c>
      <c r="EH68" s="1013" t="s">
        <v>7724</v>
      </c>
      <c r="EI68" s="1013" t="s">
        <v>7724</v>
      </c>
      <c r="EJ68" s="1013" t="s">
        <v>7724</v>
      </c>
      <c r="EK68" s="1013" t="s">
        <v>7724</v>
      </c>
      <c r="EL68" s="1013" t="s">
        <v>7724</v>
      </c>
      <c r="EM68" s="1013" t="s">
        <v>7724</v>
      </c>
      <c r="EN68" s="1013" t="s">
        <v>7724</v>
      </c>
      <c r="EO68" s="1013" t="s">
        <v>7724</v>
      </c>
      <c r="EP68" s="1013" t="s">
        <v>7724</v>
      </c>
      <c r="EQ68" s="1013" t="s">
        <v>7724</v>
      </c>
      <c r="ER68" s="1013" t="s">
        <v>7724</v>
      </c>
      <c r="ES68" s="1013" t="s">
        <v>7724</v>
      </c>
      <c r="ET68" s="1013" t="s">
        <v>7724</v>
      </c>
      <c r="EU68" s="1013" t="s">
        <v>7724</v>
      </c>
      <c r="EV68" s="1013" t="s">
        <v>7724</v>
      </c>
      <c r="EW68" s="1013" t="s">
        <v>7724</v>
      </c>
      <c r="EX68" s="1013" t="s">
        <v>7724</v>
      </c>
      <c r="EY68" s="1013" t="s">
        <v>7724</v>
      </c>
      <c r="EZ68" s="1013" t="s">
        <v>7724</v>
      </c>
      <c r="FA68" s="1013" t="s">
        <v>7724</v>
      </c>
      <c r="FB68" s="1013" t="s">
        <v>7724</v>
      </c>
      <c r="FC68" s="1013" t="s">
        <v>7724</v>
      </c>
      <c r="FD68" s="1013" t="s">
        <v>7724</v>
      </c>
      <c r="FE68" s="1013" t="s">
        <v>7724</v>
      </c>
      <c r="FF68" s="1013" t="s">
        <v>7724</v>
      </c>
      <c r="FG68" s="1013">
        <v>0</v>
      </c>
      <c r="FH68" s="1013">
        <v>0</v>
      </c>
      <c r="FI68" s="1013">
        <v>0</v>
      </c>
      <c r="FJ68" s="1013">
        <v>2</v>
      </c>
      <c r="FK68" s="1013">
        <v>0</v>
      </c>
      <c r="FL68" s="1013">
        <v>0</v>
      </c>
      <c r="FM68" s="1013">
        <v>0</v>
      </c>
      <c r="FN68" s="1013">
        <v>15</v>
      </c>
      <c r="FO68" s="1013">
        <v>29</v>
      </c>
      <c r="FP68" s="1013">
        <v>6</v>
      </c>
      <c r="FQ68" s="1013" t="s">
        <v>7724</v>
      </c>
      <c r="FR68" s="1013" t="s">
        <v>7724</v>
      </c>
      <c r="FS68" s="1013" t="s">
        <v>7724</v>
      </c>
      <c r="FT68" s="1013" t="s">
        <v>7723</v>
      </c>
      <c r="FU68" s="1013" t="s">
        <v>7842</v>
      </c>
      <c r="FV68" s="1013">
        <v>30</v>
      </c>
      <c r="FW68" s="1023">
        <v>0.72430555555555554</v>
      </c>
      <c r="FX68" s="1023">
        <v>0.72430555555555554</v>
      </c>
      <c r="FY68" s="1024">
        <v>45099</v>
      </c>
      <c r="FZ68" s="1024">
        <v>45099</v>
      </c>
      <c r="GA68" s="1024">
        <v>45099</v>
      </c>
      <c r="GB68" s="1024">
        <v>45099</v>
      </c>
      <c r="GC68" s="1013">
        <v>2023</v>
      </c>
      <c r="GD68" s="1013" t="s">
        <v>1404</v>
      </c>
      <c r="GE68" s="1013">
        <v>2</v>
      </c>
      <c r="GF68" s="1013" t="s">
        <v>1407</v>
      </c>
      <c r="GG68" s="1013" t="s">
        <v>1407</v>
      </c>
      <c r="GH68" s="1013" t="s">
        <v>8023</v>
      </c>
      <c r="GI68" s="1013" t="s">
        <v>7974</v>
      </c>
      <c r="GJ68" s="1013" t="s">
        <v>7974</v>
      </c>
      <c r="GK68" s="1013" t="s">
        <v>7974</v>
      </c>
      <c r="GL68" s="1013" t="s">
        <v>7974</v>
      </c>
    </row>
    <row r="69" spans="1:194" hidden="1">
      <c r="A69" s="1013">
        <v>142</v>
      </c>
      <c r="B69" s="1013" t="s">
        <v>7722</v>
      </c>
      <c r="C69" s="1013">
        <v>19377478</v>
      </c>
      <c r="D69" s="1013" t="s">
        <v>7723</v>
      </c>
      <c r="E69" s="1013" t="s">
        <v>7723</v>
      </c>
      <c r="F69" s="1013" t="s">
        <v>7723</v>
      </c>
      <c r="G69" s="1013" t="s">
        <v>7723</v>
      </c>
      <c r="H69" s="1013" t="s">
        <v>7723</v>
      </c>
      <c r="I69" s="1013" t="s">
        <v>7723</v>
      </c>
      <c r="J69" s="1013" t="s">
        <v>7723</v>
      </c>
      <c r="K69" s="1024">
        <v>44961</v>
      </c>
      <c r="L69" s="1023">
        <v>0.58402777777777781</v>
      </c>
      <c r="M69" s="1013" t="s">
        <v>8057</v>
      </c>
      <c r="N69" s="1013" t="s">
        <v>7724</v>
      </c>
      <c r="O69" s="1013">
        <v>101</v>
      </c>
      <c r="P69" s="1013">
        <v>208</v>
      </c>
      <c r="Q69" s="1013" t="s">
        <v>7723</v>
      </c>
      <c r="R69" s="1013" t="s">
        <v>7727</v>
      </c>
      <c r="S69" s="1013" t="s">
        <v>7724</v>
      </c>
      <c r="T69" s="1014" t="s">
        <v>7724</v>
      </c>
      <c r="U69" s="1014">
        <v>19</v>
      </c>
      <c r="V69" s="1014" t="s">
        <v>7724</v>
      </c>
      <c r="W69" s="1014" t="s">
        <v>7724</v>
      </c>
      <c r="X69" s="1013">
        <v>1</v>
      </c>
      <c r="Y69" s="1013">
        <v>1100</v>
      </c>
      <c r="Z69" s="1013" t="s">
        <v>7724</v>
      </c>
      <c r="AA69" s="1013" t="s">
        <v>7725</v>
      </c>
      <c r="AB69" s="1013" t="s">
        <v>7726</v>
      </c>
      <c r="AC69" s="1013" t="s">
        <v>7723</v>
      </c>
      <c r="AD69" s="1013" t="s">
        <v>7723</v>
      </c>
      <c r="AE69" s="1013">
        <v>35</v>
      </c>
      <c r="AF69" s="1013" t="s">
        <v>7723</v>
      </c>
      <c r="AG69" s="1013" t="s">
        <v>7723</v>
      </c>
      <c r="AH69" s="1013" t="s">
        <v>7739</v>
      </c>
      <c r="AI69" s="1013" t="s">
        <v>7727</v>
      </c>
      <c r="AJ69" s="1013">
        <v>19</v>
      </c>
      <c r="AK69" s="1013" t="s">
        <v>7724</v>
      </c>
      <c r="AL69" s="1013" t="s">
        <v>7724</v>
      </c>
      <c r="AM69" s="1013">
        <v>1</v>
      </c>
      <c r="AN69" s="1013">
        <v>4400</v>
      </c>
      <c r="AO69" s="1013" t="s">
        <v>7724</v>
      </c>
      <c r="AP69" s="1013" t="s">
        <v>7728</v>
      </c>
      <c r="AQ69" s="1013" t="s">
        <v>7726</v>
      </c>
      <c r="AR69" s="1013" t="s">
        <v>7724</v>
      </c>
      <c r="AS69" s="1013" t="s">
        <v>7724</v>
      </c>
      <c r="AT69" s="1013" t="s">
        <v>7724</v>
      </c>
      <c r="AU69" s="1013" t="s">
        <v>7724</v>
      </c>
      <c r="AV69" s="1013" t="s">
        <v>7724</v>
      </c>
      <c r="AW69" s="1013" t="s">
        <v>7724</v>
      </c>
      <c r="AX69" s="1013">
        <v>11</v>
      </c>
      <c r="AY69" s="1013">
        <v>1</v>
      </c>
      <c r="AZ69" s="1013">
        <v>4</v>
      </c>
      <c r="BA69" s="1013">
        <v>1</v>
      </c>
      <c r="BB69" s="1013">
        <v>1</v>
      </c>
      <c r="BC69" s="1013">
        <v>1</v>
      </c>
      <c r="BD69" s="1013">
        <v>20</v>
      </c>
      <c r="BE69" s="1023">
        <v>0.58402777777777781</v>
      </c>
      <c r="BF69" s="1013" t="s">
        <v>8058</v>
      </c>
      <c r="BG69" s="1023">
        <v>0.58402777777777781</v>
      </c>
      <c r="BH69" s="1024">
        <v>44961</v>
      </c>
      <c r="BI69" s="1013" t="s">
        <v>7727</v>
      </c>
      <c r="BJ69" s="1013" t="s">
        <v>7730</v>
      </c>
      <c r="BK69" s="1013">
        <v>2469</v>
      </c>
      <c r="BL69" s="1013" t="s">
        <v>7724</v>
      </c>
      <c r="BM69" s="1013" t="s">
        <v>7724</v>
      </c>
      <c r="BN69" s="1013">
        <v>113</v>
      </c>
      <c r="BO69" s="1013">
        <v>8</v>
      </c>
      <c r="BP69" s="1013">
        <v>2</v>
      </c>
      <c r="BQ69" s="1013">
        <v>1</v>
      </c>
      <c r="BR69" s="1013">
        <v>10</v>
      </c>
      <c r="BS69" s="1013">
        <v>64</v>
      </c>
      <c r="BT69" s="1013">
        <v>54</v>
      </c>
      <c r="BU69" s="1013">
        <v>1</v>
      </c>
      <c r="BV69" s="1013">
        <v>5</v>
      </c>
      <c r="BW69" s="1013">
        <v>1</v>
      </c>
      <c r="BX69" s="1013">
        <v>21</v>
      </c>
      <c r="BY69" s="1013">
        <v>21</v>
      </c>
      <c r="BZ69" s="1013">
        <v>101</v>
      </c>
      <c r="CA69" s="1013">
        <v>208</v>
      </c>
      <c r="CB69" s="1013">
        <v>29.733094999999999</v>
      </c>
      <c r="CC69" s="1013">
        <v>-95.381282999999996</v>
      </c>
      <c r="CD69" s="1013" t="s">
        <v>7724</v>
      </c>
      <c r="CE69" s="1013" t="s">
        <v>7724</v>
      </c>
      <c r="CF69" s="1013" t="s">
        <v>7724</v>
      </c>
      <c r="CG69" s="1013" t="s">
        <v>7724</v>
      </c>
      <c r="CH69" s="1013" t="s">
        <v>7731</v>
      </c>
      <c r="CI69" s="1013">
        <v>1201</v>
      </c>
      <c r="CJ69" s="1013" t="s">
        <v>7724</v>
      </c>
      <c r="CK69" s="1013" t="s">
        <v>7724</v>
      </c>
      <c r="CL69" s="1013" t="s">
        <v>7724</v>
      </c>
      <c r="CM69" s="1013" t="s">
        <v>7724</v>
      </c>
      <c r="CN69" s="1013" t="s">
        <v>7724</v>
      </c>
      <c r="CO69" s="1013" t="s">
        <v>7724</v>
      </c>
      <c r="CP69" s="1013" t="s">
        <v>7724</v>
      </c>
      <c r="CQ69" s="1013" t="s">
        <v>7724</v>
      </c>
      <c r="CR69" s="1013" t="s">
        <v>7732</v>
      </c>
      <c r="CS69" s="1013" t="s">
        <v>7724</v>
      </c>
      <c r="CT69" s="1013" t="s">
        <v>7724</v>
      </c>
      <c r="CU69" s="1013" t="s">
        <v>7724</v>
      </c>
      <c r="CV69" s="1013" t="s">
        <v>7724</v>
      </c>
      <c r="CW69" s="1013" t="s">
        <v>7727</v>
      </c>
      <c r="CX69" s="1013" t="s">
        <v>7723</v>
      </c>
      <c r="CY69" s="1013" t="s">
        <v>7723</v>
      </c>
      <c r="CZ69" s="1013">
        <v>5</v>
      </c>
      <c r="DA69" s="1013">
        <v>9</v>
      </c>
      <c r="DB69" s="1013" t="s">
        <v>7727</v>
      </c>
      <c r="DC69" s="1013" t="s">
        <v>7733</v>
      </c>
      <c r="DD69" s="1013" t="s">
        <v>7724</v>
      </c>
      <c r="DE69" s="1013" t="s">
        <v>7724</v>
      </c>
      <c r="DF69" s="1013" t="s">
        <v>7724</v>
      </c>
      <c r="DG69" s="1013" t="s">
        <v>7724</v>
      </c>
      <c r="DH69" s="1013" t="s">
        <v>7724</v>
      </c>
      <c r="DI69" s="1013" t="s">
        <v>7724</v>
      </c>
      <c r="DJ69" s="1013" t="s">
        <v>7724</v>
      </c>
      <c r="DK69" s="1013" t="s">
        <v>7724</v>
      </c>
      <c r="DL69" s="1013" t="s">
        <v>7724</v>
      </c>
      <c r="DM69" s="1013" t="s">
        <v>7724</v>
      </c>
      <c r="DN69" s="1013" t="s">
        <v>7724</v>
      </c>
      <c r="DO69" s="1013" t="s">
        <v>7724</v>
      </c>
      <c r="DP69" s="1013" t="s">
        <v>7724</v>
      </c>
      <c r="DQ69" s="1013" t="s">
        <v>7724</v>
      </c>
      <c r="DR69" s="1013" t="s">
        <v>7724</v>
      </c>
      <c r="DS69" s="1013" t="s">
        <v>7724</v>
      </c>
      <c r="DT69" s="1013" t="s">
        <v>7724</v>
      </c>
      <c r="DU69" s="1013" t="s">
        <v>7724</v>
      </c>
      <c r="DV69" s="1013" t="s">
        <v>7724</v>
      </c>
      <c r="DW69" s="1013" t="s">
        <v>7724</v>
      </c>
      <c r="DX69" s="1013" t="s">
        <v>7724</v>
      </c>
      <c r="DY69" s="1013" t="s">
        <v>7724</v>
      </c>
      <c r="DZ69" s="1013" t="s">
        <v>7724</v>
      </c>
      <c r="EA69" s="1013" t="s">
        <v>7724</v>
      </c>
      <c r="EB69" s="1013" t="s">
        <v>7724</v>
      </c>
      <c r="EC69" s="1013" t="s">
        <v>7724</v>
      </c>
      <c r="ED69" s="1013" t="s">
        <v>7724</v>
      </c>
      <c r="EE69" s="1013" t="s">
        <v>7724</v>
      </c>
      <c r="EF69" s="1013" t="s">
        <v>7724</v>
      </c>
      <c r="EG69" s="1013" t="s">
        <v>7724</v>
      </c>
      <c r="EH69" s="1013" t="s">
        <v>7724</v>
      </c>
      <c r="EI69" s="1013" t="s">
        <v>7724</v>
      </c>
      <c r="EJ69" s="1013" t="s">
        <v>7724</v>
      </c>
      <c r="EK69" s="1013" t="s">
        <v>7724</v>
      </c>
      <c r="EL69" s="1013" t="s">
        <v>7724</v>
      </c>
      <c r="EM69" s="1013" t="s">
        <v>7724</v>
      </c>
      <c r="EN69" s="1013" t="s">
        <v>7724</v>
      </c>
      <c r="EO69" s="1013" t="s">
        <v>7724</v>
      </c>
      <c r="EP69" s="1013" t="s">
        <v>7724</v>
      </c>
      <c r="EQ69" s="1013" t="s">
        <v>7724</v>
      </c>
      <c r="ER69" s="1013" t="s">
        <v>7724</v>
      </c>
      <c r="ES69" s="1013" t="s">
        <v>7724</v>
      </c>
      <c r="ET69" s="1013" t="s">
        <v>7724</v>
      </c>
      <c r="EU69" s="1013" t="s">
        <v>7724</v>
      </c>
      <c r="EV69" s="1013" t="s">
        <v>7724</v>
      </c>
      <c r="EW69" s="1013" t="s">
        <v>7724</v>
      </c>
      <c r="EX69" s="1013" t="s">
        <v>7724</v>
      </c>
      <c r="EY69" s="1013" t="s">
        <v>7724</v>
      </c>
      <c r="EZ69" s="1013" t="s">
        <v>7724</v>
      </c>
      <c r="FA69" s="1013" t="s">
        <v>7724</v>
      </c>
      <c r="FB69" s="1013" t="s">
        <v>7724</v>
      </c>
      <c r="FC69" s="1013" t="s">
        <v>7724</v>
      </c>
      <c r="FD69" s="1013" t="s">
        <v>7724</v>
      </c>
      <c r="FE69" s="1013" t="s">
        <v>7724</v>
      </c>
      <c r="FF69" s="1013" t="s">
        <v>7724</v>
      </c>
      <c r="FG69" s="1013">
        <v>0</v>
      </c>
      <c r="FH69" s="1013">
        <v>0</v>
      </c>
      <c r="FI69" s="1013">
        <v>0</v>
      </c>
      <c r="FJ69" s="1013">
        <v>2</v>
      </c>
      <c r="FK69" s="1013">
        <v>0</v>
      </c>
      <c r="FL69" s="1013">
        <v>0</v>
      </c>
      <c r="FM69" s="1013">
        <v>0</v>
      </c>
      <c r="FN69" s="1013">
        <v>15</v>
      </c>
      <c r="FO69" s="1013">
        <v>29</v>
      </c>
      <c r="FP69" s="1013">
        <v>6</v>
      </c>
      <c r="FQ69" s="1013" t="s">
        <v>7724</v>
      </c>
      <c r="FR69" s="1013" t="s">
        <v>7724</v>
      </c>
      <c r="FS69" s="1013" t="s">
        <v>7724</v>
      </c>
      <c r="FT69" s="1013" t="s">
        <v>7724</v>
      </c>
      <c r="FU69" s="1013" t="s">
        <v>7724</v>
      </c>
      <c r="FV69" s="1013" t="s">
        <v>7724</v>
      </c>
      <c r="FW69" s="1013" t="s">
        <v>7724</v>
      </c>
      <c r="FX69" s="1013" t="s">
        <v>7724</v>
      </c>
      <c r="FY69" s="1013" t="s">
        <v>7724</v>
      </c>
      <c r="FZ69" s="1013" t="s">
        <v>7724</v>
      </c>
      <c r="GA69" s="1013" t="s">
        <v>7724</v>
      </c>
      <c r="GB69" s="1013" t="s">
        <v>7724</v>
      </c>
      <c r="GC69" s="1013">
        <v>2023</v>
      </c>
      <c r="GD69" s="1013" t="s">
        <v>1404</v>
      </c>
      <c r="GE69" s="1013">
        <v>2</v>
      </c>
      <c r="GF69" s="1013" t="s">
        <v>1407</v>
      </c>
      <c r="GG69" s="1013" t="s">
        <v>1407</v>
      </c>
      <c r="GH69" s="1013" t="s">
        <v>7976</v>
      </c>
      <c r="GI69" s="1013" t="s">
        <v>7974</v>
      </c>
      <c r="GJ69" s="1013" t="s">
        <v>7974</v>
      </c>
      <c r="GK69" s="1013" t="s">
        <v>7974</v>
      </c>
      <c r="GL69" s="1013" t="s">
        <v>7974</v>
      </c>
    </row>
    <row r="70" spans="1:194" hidden="1">
      <c r="A70" s="1013">
        <v>143</v>
      </c>
      <c r="B70" s="1013" t="s">
        <v>7722</v>
      </c>
      <c r="C70" s="1013">
        <v>19387733</v>
      </c>
      <c r="D70" s="1013" t="s">
        <v>7723</v>
      </c>
      <c r="E70" s="1013" t="s">
        <v>7723</v>
      </c>
      <c r="F70" s="1013" t="s">
        <v>7723</v>
      </c>
      <c r="G70" s="1013" t="s">
        <v>7723</v>
      </c>
      <c r="H70" s="1013" t="s">
        <v>7723</v>
      </c>
      <c r="I70" s="1013" t="s">
        <v>7723</v>
      </c>
      <c r="J70" s="1013" t="s">
        <v>7723</v>
      </c>
      <c r="K70" s="1024">
        <v>44963</v>
      </c>
      <c r="L70" s="1023">
        <v>0.78125</v>
      </c>
      <c r="M70" s="1013">
        <v>2300010799</v>
      </c>
      <c r="N70" s="1013" t="s">
        <v>8059</v>
      </c>
      <c r="O70" s="1013">
        <v>101</v>
      </c>
      <c r="P70" s="1013">
        <v>208</v>
      </c>
      <c r="Q70" s="1013" t="s">
        <v>7723</v>
      </c>
      <c r="R70" s="1013" t="s">
        <v>7727</v>
      </c>
      <c r="S70" s="1013" t="s">
        <v>7724</v>
      </c>
      <c r="T70" s="1014" t="s">
        <v>7724</v>
      </c>
      <c r="U70" s="1014">
        <v>19</v>
      </c>
      <c r="V70" s="1014" t="s">
        <v>7724</v>
      </c>
      <c r="W70" s="1014" t="s">
        <v>7724</v>
      </c>
      <c r="X70" s="1013">
        <v>1</v>
      </c>
      <c r="Y70" s="1013">
        <v>1200</v>
      </c>
      <c r="Z70" s="1013" t="s">
        <v>7724</v>
      </c>
      <c r="AA70" s="1013" t="s">
        <v>7725</v>
      </c>
      <c r="AB70" s="1013" t="s">
        <v>7735</v>
      </c>
      <c r="AC70" s="1013" t="s">
        <v>7723</v>
      </c>
      <c r="AD70" s="1013" t="s">
        <v>7723</v>
      </c>
      <c r="AE70" s="1013">
        <v>30</v>
      </c>
      <c r="AF70" s="1013" t="s">
        <v>7723</v>
      </c>
      <c r="AG70" s="1013" t="s">
        <v>7723</v>
      </c>
      <c r="AH70" s="1013" t="s">
        <v>7739</v>
      </c>
      <c r="AI70" s="1013" t="s">
        <v>7727</v>
      </c>
      <c r="AJ70" s="1013">
        <v>19</v>
      </c>
      <c r="AK70" s="1013" t="s">
        <v>7724</v>
      </c>
      <c r="AL70" s="1013" t="s">
        <v>7724</v>
      </c>
      <c r="AM70" s="1013">
        <v>1</v>
      </c>
      <c r="AN70" s="1013">
        <v>4300</v>
      </c>
      <c r="AO70" s="1013" t="s">
        <v>7724</v>
      </c>
      <c r="AP70" s="1013" t="s">
        <v>7728</v>
      </c>
      <c r="AQ70" s="1013" t="s">
        <v>7724</v>
      </c>
      <c r="AR70" s="1013" t="s">
        <v>7724</v>
      </c>
      <c r="AS70" s="1013" t="s">
        <v>7724</v>
      </c>
      <c r="AT70" s="1013" t="s">
        <v>7724</v>
      </c>
      <c r="AU70" s="1013" t="s">
        <v>7724</v>
      </c>
      <c r="AV70" s="1013" t="s">
        <v>7739</v>
      </c>
      <c r="AW70" s="1013" t="s">
        <v>7724</v>
      </c>
      <c r="AX70" s="1013">
        <v>11</v>
      </c>
      <c r="AY70" s="1013">
        <v>4</v>
      </c>
      <c r="AZ70" s="1013">
        <v>4</v>
      </c>
      <c r="BA70" s="1013">
        <v>4</v>
      </c>
      <c r="BB70" s="1013">
        <v>1</v>
      </c>
      <c r="BC70" s="1013">
        <v>1</v>
      </c>
      <c r="BD70" s="1013">
        <v>5</v>
      </c>
      <c r="BE70" s="1023">
        <v>0.78125</v>
      </c>
      <c r="BF70" s="1013" t="s">
        <v>7794</v>
      </c>
      <c r="BG70" s="1023">
        <v>0.78125</v>
      </c>
      <c r="BH70" s="1024">
        <v>44966</v>
      </c>
      <c r="BI70" s="1013" t="s">
        <v>7727</v>
      </c>
      <c r="BJ70" s="1013" t="s">
        <v>7769</v>
      </c>
      <c r="BK70" s="1013">
        <v>1775</v>
      </c>
      <c r="BL70" s="1013" t="s">
        <v>7724</v>
      </c>
      <c r="BM70" s="1013" t="s">
        <v>7724</v>
      </c>
      <c r="BN70" s="1013">
        <v>53</v>
      </c>
      <c r="BO70" s="1013">
        <v>8</v>
      </c>
      <c r="BP70" s="1013">
        <v>2</v>
      </c>
      <c r="BQ70" s="1013">
        <v>1</v>
      </c>
      <c r="BR70" s="1013">
        <v>34</v>
      </c>
      <c r="BS70" s="1013">
        <v>64</v>
      </c>
      <c r="BT70" s="1013">
        <v>54</v>
      </c>
      <c r="BU70" s="1013">
        <v>1</v>
      </c>
      <c r="BV70" s="1013">
        <v>5</v>
      </c>
      <c r="BW70" s="1013">
        <v>1</v>
      </c>
      <c r="BX70" s="1013">
        <v>21</v>
      </c>
      <c r="BY70" s="1013">
        <v>21</v>
      </c>
      <c r="BZ70" s="1013">
        <v>101</v>
      </c>
      <c r="CA70" s="1013">
        <v>208</v>
      </c>
      <c r="CB70" s="1013">
        <v>29.733094999999999</v>
      </c>
      <c r="CC70" s="1013">
        <v>-95.381282999999996</v>
      </c>
      <c r="CD70" s="1013" t="s">
        <v>7724</v>
      </c>
      <c r="CE70" s="1013" t="s">
        <v>7724</v>
      </c>
      <c r="CF70" s="1013" t="s">
        <v>7724</v>
      </c>
      <c r="CG70" s="1013" t="s">
        <v>7724</v>
      </c>
      <c r="CH70" s="1013" t="s">
        <v>7731</v>
      </c>
      <c r="CI70" s="1013">
        <v>1201</v>
      </c>
      <c r="CJ70" s="1013" t="s">
        <v>7724</v>
      </c>
      <c r="CK70" s="1013" t="s">
        <v>7724</v>
      </c>
      <c r="CL70" s="1013" t="s">
        <v>7724</v>
      </c>
      <c r="CM70" s="1013" t="s">
        <v>7724</v>
      </c>
      <c r="CN70" s="1013" t="s">
        <v>7724</v>
      </c>
      <c r="CO70" s="1013" t="s">
        <v>7724</v>
      </c>
      <c r="CP70" s="1013" t="s">
        <v>7724</v>
      </c>
      <c r="CQ70" s="1013" t="s">
        <v>7724</v>
      </c>
      <c r="CR70" s="1013" t="s">
        <v>7732</v>
      </c>
      <c r="CS70" s="1013" t="s">
        <v>7724</v>
      </c>
      <c r="CT70" s="1013" t="s">
        <v>7724</v>
      </c>
      <c r="CU70" s="1013" t="s">
        <v>7724</v>
      </c>
      <c r="CV70" s="1013" t="s">
        <v>7724</v>
      </c>
      <c r="CW70" s="1013" t="s">
        <v>7727</v>
      </c>
      <c r="CX70" s="1013" t="s">
        <v>7723</v>
      </c>
      <c r="CY70" s="1013" t="s">
        <v>7723</v>
      </c>
      <c r="CZ70" s="1013">
        <v>2</v>
      </c>
      <c r="DA70" s="1013">
        <v>9</v>
      </c>
      <c r="DB70" s="1013" t="s">
        <v>7727</v>
      </c>
      <c r="DC70" s="1013" t="s">
        <v>7743</v>
      </c>
      <c r="DD70" s="1013" t="s">
        <v>7724</v>
      </c>
      <c r="DE70" s="1013" t="s">
        <v>7724</v>
      </c>
      <c r="DF70" s="1013" t="s">
        <v>7724</v>
      </c>
      <c r="DG70" s="1013" t="s">
        <v>7724</v>
      </c>
      <c r="DH70" s="1013" t="s">
        <v>7724</v>
      </c>
      <c r="DI70" s="1013" t="s">
        <v>7724</v>
      </c>
      <c r="DJ70" s="1013" t="s">
        <v>7724</v>
      </c>
      <c r="DK70" s="1013" t="s">
        <v>7724</v>
      </c>
      <c r="DL70" s="1013" t="s">
        <v>7724</v>
      </c>
      <c r="DM70" s="1013" t="s">
        <v>7724</v>
      </c>
      <c r="DN70" s="1013" t="s">
        <v>7724</v>
      </c>
      <c r="DO70" s="1013" t="s">
        <v>7724</v>
      </c>
      <c r="DP70" s="1013" t="s">
        <v>7724</v>
      </c>
      <c r="DQ70" s="1013" t="s">
        <v>7724</v>
      </c>
      <c r="DR70" s="1013" t="s">
        <v>7724</v>
      </c>
      <c r="DS70" s="1013" t="s">
        <v>7724</v>
      </c>
      <c r="DT70" s="1013" t="s">
        <v>7724</v>
      </c>
      <c r="DU70" s="1013" t="s">
        <v>7724</v>
      </c>
      <c r="DV70" s="1013" t="s">
        <v>7724</v>
      </c>
      <c r="DW70" s="1013" t="s">
        <v>7724</v>
      </c>
      <c r="DX70" s="1013" t="s">
        <v>7724</v>
      </c>
      <c r="DY70" s="1013" t="s">
        <v>7724</v>
      </c>
      <c r="DZ70" s="1013" t="s">
        <v>7724</v>
      </c>
      <c r="EA70" s="1013" t="s">
        <v>7724</v>
      </c>
      <c r="EB70" s="1013" t="s">
        <v>7724</v>
      </c>
      <c r="EC70" s="1013" t="s">
        <v>7724</v>
      </c>
      <c r="ED70" s="1013" t="s">
        <v>7724</v>
      </c>
      <c r="EE70" s="1013" t="s">
        <v>7724</v>
      </c>
      <c r="EF70" s="1013" t="s">
        <v>7724</v>
      </c>
      <c r="EG70" s="1013" t="s">
        <v>7724</v>
      </c>
      <c r="EH70" s="1013" t="s">
        <v>7724</v>
      </c>
      <c r="EI70" s="1013" t="s">
        <v>7724</v>
      </c>
      <c r="EJ70" s="1013" t="s">
        <v>7724</v>
      </c>
      <c r="EK70" s="1013" t="s">
        <v>7724</v>
      </c>
      <c r="EL70" s="1013" t="s">
        <v>7724</v>
      </c>
      <c r="EM70" s="1013" t="s">
        <v>7724</v>
      </c>
      <c r="EN70" s="1013" t="s">
        <v>7724</v>
      </c>
      <c r="EO70" s="1013" t="s">
        <v>7724</v>
      </c>
      <c r="EP70" s="1013" t="s">
        <v>7724</v>
      </c>
      <c r="EQ70" s="1013" t="s">
        <v>7724</v>
      </c>
      <c r="ER70" s="1013" t="s">
        <v>7724</v>
      </c>
      <c r="ES70" s="1013" t="s">
        <v>7724</v>
      </c>
      <c r="ET70" s="1013" t="s">
        <v>7724</v>
      </c>
      <c r="EU70" s="1013" t="s">
        <v>7724</v>
      </c>
      <c r="EV70" s="1013" t="s">
        <v>7724</v>
      </c>
      <c r="EW70" s="1013" t="s">
        <v>7724</v>
      </c>
      <c r="EX70" s="1013" t="s">
        <v>7724</v>
      </c>
      <c r="EY70" s="1013" t="s">
        <v>7724</v>
      </c>
      <c r="EZ70" s="1013" t="s">
        <v>7724</v>
      </c>
      <c r="FA70" s="1013" t="s">
        <v>7724</v>
      </c>
      <c r="FB70" s="1013" t="s">
        <v>7724</v>
      </c>
      <c r="FC70" s="1013" t="s">
        <v>7724</v>
      </c>
      <c r="FD70" s="1013" t="s">
        <v>7724</v>
      </c>
      <c r="FE70" s="1013" t="s">
        <v>7724</v>
      </c>
      <c r="FF70" s="1013" t="s">
        <v>7724</v>
      </c>
      <c r="FG70" s="1013">
        <v>0</v>
      </c>
      <c r="FH70" s="1013">
        <v>1</v>
      </c>
      <c r="FI70" s="1013">
        <v>0</v>
      </c>
      <c r="FJ70" s="1013">
        <v>3</v>
      </c>
      <c r="FK70" s="1013">
        <v>0</v>
      </c>
      <c r="FL70" s="1013">
        <v>1</v>
      </c>
      <c r="FM70" s="1013">
        <v>0</v>
      </c>
      <c r="FN70" s="1013">
        <v>15</v>
      </c>
      <c r="FO70" s="1013">
        <v>35</v>
      </c>
      <c r="FP70" s="1013">
        <v>17</v>
      </c>
      <c r="FQ70" s="1013" t="s">
        <v>7724</v>
      </c>
      <c r="FR70" s="1013" t="s">
        <v>7724</v>
      </c>
      <c r="FS70" s="1013" t="s">
        <v>7724</v>
      </c>
      <c r="FT70" s="1013" t="s">
        <v>7724</v>
      </c>
      <c r="FU70" s="1013" t="s">
        <v>7724</v>
      </c>
      <c r="FV70" s="1013" t="s">
        <v>7724</v>
      </c>
      <c r="FW70" s="1013" t="s">
        <v>7724</v>
      </c>
      <c r="FX70" s="1013" t="s">
        <v>7724</v>
      </c>
      <c r="FY70" s="1013" t="s">
        <v>7724</v>
      </c>
      <c r="FZ70" s="1013" t="s">
        <v>7724</v>
      </c>
      <c r="GA70" s="1013" t="s">
        <v>7724</v>
      </c>
      <c r="GB70" s="1013" t="s">
        <v>7724</v>
      </c>
      <c r="GC70" s="1013">
        <v>2023</v>
      </c>
      <c r="GD70" s="1013" t="s">
        <v>1407</v>
      </c>
      <c r="GE70" s="1013">
        <v>2</v>
      </c>
      <c r="GF70" s="1013" t="s">
        <v>1407</v>
      </c>
      <c r="GG70" s="1013" t="s">
        <v>1407</v>
      </c>
      <c r="GH70" s="1013" t="s">
        <v>8060</v>
      </c>
      <c r="GI70" s="1013" t="s">
        <v>7974</v>
      </c>
      <c r="GJ70" s="1013" t="s">
        <v>7974</v>
      </c>
      <c r="GK70" s="1013" t="s">
        <v>7974</v>
      </c>
      <c r="GL70" s="1013" t="s">
        <v>7974</v>
      </c>
    </row>
    <row r="71" spans="1:194" hidden="1">
      <c r="A71" s="1013">
        <v>150</v>
      </c>
      <c r="B71" s="1013" t="s">
        <v>7722</v>
      </c>
      <c r="C71" s="1013">
        <v>19848235</v>
      </c>
      <c r="D71" s="1013" t="s">
        <v>7723</v>
      </c>
      <c r="E71" s="1013" t="s">
        <v>7723</v>
      </c>
      <c r="F71" s="1013" t="s">
        <v>7723</v>
      </c>
      <c r="G71" s="1013" t="s">
        <v>7723</v>
      </c>
      <c r="H71" s="1013" t="s">
        <v>7723</v>
      </c>
      <c r="I71" s="1013" t="s">
        <v>7723</v>
      </c>
      <c r="J71" s="1013" t="s">
        <v>7723</v>
      </c>
      <c r="K71" s="1024">
        <v>45227</v>
      </c>
      <c r="L71" s="1023">
        <v>0.17847222222222223</v>
      </c>
      <c r="M71" s="1013" t="s">
        <v>8061</v>
      </c>
      <c r="N71" s="1013" t="s">
        <v>7734</v>
      </c>
      <c r="O71" s="1013">
        <v>101</v>
      </c>
      <c r="P71" s="1013">
        <v>208</v>
      </c>
      <c r="Q71" s="1013" t="s">
        <v>7723</v>
      </c>
      <c r="R71" s="1013" t="s">
        <v>7727</v>
      </c>
      <c r="S71" s="1013" t="s">
        <v>7724</v>
      </c>
      <c r="T71" s="1014" t="s">
        <v>7724</v>
      </c>
      <c r="U71" s="1014">
        <v>19</v>
      </c>
      <c r="V71" s="1014" t="s">
        <v>7724</v>
      </c>
      <c r="W71" s="1014" t="s">
        <v>7724</v>
      </c>
      <c r="X71" s="1013">
        <v>1</v>
      </c>
      <c r="Y71" s="1013">
        <v>1200</v>
      </c>
      <c r="Z71" s="1013" t="s">
        <v>7724</v>
      </c>
      <c r="AA71" s="1013" t="s">
        <v>7757</v>
      </c>
      <c r="AB71" s="1013" t="s">
        <v>7726</v>
      </c>
      <c r="AC71" s="1013" t="s">
        <v>7723</v>
      </c>
      <c r="AD71" s="1013" t="s">
        <v>7723</v>
      </c>
      <c r="AE71" s="1013">
        <v>30</v>
      </c>
      <c r="AF71" s="1013" t="s">
        <v>7723</v>
      </c>
      <c r="AG71" s="1013" t="s">
        <v>7723</v>
      </c>
      <c r="AH71" s="1013" t="s">
        <v>7739</v>
      </c>
      <c r="AI71" s="1013" t="s">
        <v>7727</v>
      </c>
      <c r="AJ71" s="1013">
        <v>19</v>
      </c>
      <c r="AK71" s="1013" t="s">
        <v>7724</v>
      </c>
      <c r="AL71" s="1013" t="s">
        <v>7724</v>
      </c>
      <c r="AM71" s="1013">
        <v>1</v>
      </c>
      <c r="AN71" s="1013">
        <v>4700</v>
      </c>
      <c r="AO71" s="1013" t="s">
        <v>7724</v>
      </c>
      <c r="AP71" s="1013" t="s">
        <v>7728</v>
      </c>
      <c r="AQ71" s="1013" t="s">
        <v>7726</v>
      </c>
      <c r="AR71" s="1013" t="s">
        <v>7724</v>
      </c>
      <c r="AS71" s="1013" t="s">
        <v>7724</v>
      </c>
      <c r="AT71" s="1013" t="s">
        <v>7724</v>
      </c>
      <c r="AU71" s="1013" t="s">
        <v>7724</v>
      </c>
      <c r="AV71" s="1013" t="s">
        <v>7739</v>
      </c>
      <c r="AW71" s="1013" t="s">
        <v>7724</v>
      </c>
      <c r="AX71" s="1013">
        <v>11</v>
      </c>
      <c r="AY71" s="1013">
        <v>4</v>
      </c>
      <c r="AZ71" s="1013">
        <v>4</v>
      </c>
      <c r="BA71" s="1013">
        <v>1</v>
      </c>
      <c r="BB71" s="1013">
        <v>1</v>
      </c>
      <c r="BC71" s="1013">
        <v>1</v>
      </c>
      <c r="BD71" s="1013">
        <v>5</v>
      </c>
      <c r="BE71" s="1023">
        <v>0.17847222222222223</v>
      </c>
      <c r="BF71" s="1013" t="s">
        <v>7729</v>
      </c>
      <c r="BG71" s="1023">
        <v>0.18333333333333332</v>
      </c>
      <c r="BH71" s="1024">
        <v>45227</v>
      </c>
      <c r="BI71" s="1013" t="s">
        <v>7727</v>
      </c>
      <c r="BJ71" s="1013" t="s">
        <v>7730</v>
      </c>
      <c r="BK71" s="1013">
        <v>2469</v>
      </c>
      <c r="BL71" s="1013" t="s">
        <v>7724</v>
      </c>
      <c r="BM71" s="1013" t="s">
        <v>7724</v>
      </c>
      <c r="BN71" s="1013">
        <v>113</v>
      </c>
      <c r="BO71" s="1013">
        <v>8</v>
      </c>
      <c r="BP71" s="1013">
        <v>2</v>
      </c>
      <c r="BQ71" s="1013">
        <v>1</v>
      </c>
      <c r="BR71" s="1013">
        <v>10</v>
      </c>
      <c r="BS71" s="1013">
        <v>33</v>
      </c>
      <c r="BT71" s="1013">
        <v>54</v>
      </c>
      <c r="BU71" s="1013">
        <v>1</v>
      </c>
      <c r="BV71" s="1013">
        <v>5</v>
      </c>
      <c r="BW71" s="1013">
        <v>1</v>
      </c>
      <c r="BX71" s="1013">
        <v>21</v>
      </c>
      <c r="BY71" s="1013">
        <v>21</v>
      </c>
      <c r="BZ71" s="1013">
        <v>101</v>
      </c>
      <c r="CA71" s="1013">
        <v>208</v>
      </c>
      <c r="CB71" s="1013">
        <v>29.731224999999998</v>
      </c>
      <c r="CC71" s="1013">
        <v>-95.382762999999997</v>
      </c>
      <c r="CD71" s="1013" t="s">
        <v>7724</v>
      </c>
      <c r="CE71" s="1013" t="s">
        <v>7724</v>
      </c>
      <c r="CF71" s="1013" t="s">
        <v>7724</v>
      </c>
      <c r="CG71" s="1013" t="s">
        <v>7724</v>
      </c>
      <c r="CH71" s="1013" t="s">
        <v>7758</v>
      </c>
      <c r="CI71" s="1013">
        <v>1201</v>
      </c>
      <c r="CJ71" s="1013" t="s">
        <v>7724</v>
      </c>
      <c r="CK71" s="1013" t="s">
        <v>7724</v>
      </c>
      <c r="CL71" s="1013" t="s">
        <v>7724</v>
      </c>
      <c r="CM71" s="1013" t="s">
        <v>7724</v>
      </c>
      <c r="CN71" s="1013" t="s">
        <v>7724</v>
      </c>
      <c r="CO71" s="1013" t="s">
        <v>7724</v>
      </c>
      <c r="CP71" s="1013" t="s">
        <v>7724</v>
      </c>
      <c r="CQ71" s="1013" t="s">
        <v>7724</v>
      </c>
      <c r="CR71" s="1013" t="s">
        <v>7732</v>
      </c>
      <c r="CS71" s="1013" t="s">
        <v>7724</v>
      </c>
      <c r="CT71" s="1013" t="s">
        <v>7724</v>
      </c>
      <c r="CU71" s="1013" t="s">
        <v>7724</v>
      </c>
      <c r="CV71" s="1013" t="s">
        <v>7724</v>
      </c>
      <c r="CW71" s="1013" t="s">
        <v>7727</v>
      </c>
      <c r="CX71" s="1013" t="s">
        <v>7723</v>
      </c>
      <c r="CY71" s="1013" t="s">
        <v>7723</v>
      </c>
      <c r="CZ71" s="1013">
        <v>3</v>
      </c>
      <c r="DA71" s="1013">
        <v>9</v>
      </c>
      <c r="DB71" s="1013" t="s">
        <v>7727</v>
      </c>
      <c r="DC71" s="1013" t="s">
        <v>7733</v>
      </c>
      <c r="DD71" s="1013" t="s">
        <v>7724</v>
      </c>
      <c r="DE71" s="1013" t="s">
        <v>7724</v>
      </c>
      <c r="DF71" s="1013" t="s">
        <v>7724</v>
      </c>
      <c r="DG71" s="1013" t="s">
        <v>7724</v>
      </c>
      <c r="DH71" s="1013" t="s">
        <v>7724</v>
      </c>
      <c r="DI71" s="1013" t="s">
        <v>7724</v>
      </c>
      <c r="DJ71" s="1013" t="s">
        <v>7724</v>
      </c>
      <c r="DK71" s="1013" t="s">
        <v>7724</v>
      </c>
      <c r="DL71" s="1013" t="s">
        <v>7724</v>
      </c>
      <c r="DM71" s="1013" t="s">
        <v>7724</v>
      </c>
      <c r="DN71" s="1013" t="s">
        <v>7724</v>
      </c>
      <c r="DO71" s="1013" t="s">
        <v>7724</v>
      </c>
      <c r="DP71" s="1013" t="s">
        <v>7724</v>
      </c>
      <c r="DQ71" s="1013" t="s">
        <v>7724</v>
      </c>
      <c r="DR71" s="1013" t="s">
        <v>7724</v>
      </c>
      <c r="DS71" s="1013" t="s">
        <v>7724</v>
      </c>
      <c r="DT71" s="1013" t="s">
        <v>7724</v>
      </c>
      <c r="DU71" s="1013" t="s">
        <v>7724</v>
      </c>
      <c r="DV71" s="1013" t="s">
        <v>7724</v>
      </c>
      <c r="DW71" s="1013" t="s">
        <v>7724</v>
      </c>
      <c r="DX71" s="1013" t="s">
        <v>7724</v>
      </c>
      <c r="DY71" s="1013" t="s">
        <v>7724</v>
      </c>
      <c r="DZ71" s="1013" t="s">
        <v>7724</v>
      </c>
      <c r="EA71" s="1013" t="s">
        <v>7724</v>
      </c>
      <c r="EB71" s="1013" t="s">
        <v>7724</v>
      </c>
      <c r="EC71" s="1013" t="s">
        <v>7724</v>
      </c>
      <c r="ED71" s="1013" t="s">
        <v>7724</v>
      </c>
      <c r="EE71" s="1013" t="s">
        <v>7724</v>
      </c>
      <c r="EF71" s="1013" t="s">
        <v>7724</v>
      </c>
      <c r="EG71" s="1013" t="s">
        <v>7724</v>
      </c>
      <c r="EH71" s="1013" t="s">
        <v>7724</v>
      </c>
      <c r="EI71" s="1013" t="s">
        <v>7724</v>
      </c>
      <c r="EJ71" s="1013" t="s">
        <v>7724</v>
      </c>
      <c r="EK71" s="1013" t="s">
        <v>7724</v>
      </c>
      <c r="EL71" s="1013" t="s">
        <v>7724</v>
      </c>
      <c r="EM71" s="1013" t="s">
        <v>7724</v>
      </c>
      <c r="EN71" s="1013" t="s">
        <v>7724</v>
      </c>
      <c r="EO71" s="1013" t="s">
        <v>7724</v>
      </c>
      <c r="EP71" s="1013" t="s">
        <v>7724</v>
      </c>
      <c r="EQ71" s="1013" t="s">
        <v>7724</v>
      </c>
      <c r="ER71" s="1013" t="s">
        <v>7724</v>
      </c>
      <c r="ES71" s="1013" t="s">
        <v>7724</v>
      </c>
      <c r="ET71" s="1013" t="s">
        <v>7724</v>
      </c>
      <c r="EU71" s="1013" t="s">
        <v>7724</v>
      </c>
      <c r="EV71" s="1013" t="s">
        <v>7724</v>
      </c>
      <c r="EW71" s="1013" t="s">
        <v>7724</v>
      </c>
      <c r="EX71" s="1013" t="s">
        <v>7724</v>
      </c>
      <c r="EY71" s="1013" t="s">
        <v>7724</v>
      </c>
      <c r="EZ71" s="1013" t="s">
        <v>7724</v>
      </c>
      <c r="FA71" s="1013" t="s">
        <v>7724</v>
      </c>
      <c r="FB71" s="1013" t="s">
        <v>7724</v>
      </c>
      <c r="FC71" s="1013" t="s">
        <v>7724</v>
      </c>
      <c r="FD71" s="1013" t="s">
        <v>7724</v>
      </c>
      <c r="FE71" s="1013" t="s">
        <v>7724</v>
      </c>
      <c r="FF71" s="1013" t="s">
        <v>7724</v>
      </c>
      <c r="FG71" s="1013">
        <v>0</v>
      </c>
      <c r="FH71" s="1013">
        <v>0</v>
      </c>
      <c r="FI71" s="1013">
        <v>1</v>
      </c>
      <c r="FJ71" s="1013">
        <v>0</v>
      </c>
      <c r="FK71" s="1013">
        <v>1</v>
      </c>
      <c r="FL71" s="1013">
        <v>1</v>
      </c>
      <c r="FM71" s="1013">
        <v>0</v>
      </c>
      <c r="FN71" s="1013">
        <v>15</v>
      </c>
      <c r="FO71" s="1013">
        <v>29</v>
      </c>
      <c r="FP71" s="1013">
        <v>9</v>
      </c>
      <c r="FQ71" s="1013" t="s">
        <v>7724</v>
      </c>
      <c r="FR71" s="1013" t="s">
        <v>7724</v>
      </c>
      <c r="FS71" s="1013" t="s">
        <v>7724</v>
      </c>
      <c r="FT71" s="1013" t="s">
        <v>7723</v>
      </c>
      <c r="FU71" s="1013" t="s">
        <v>8062</v>
      </c>
      <c r="FV71" s="1013">
        <v>30</v>
      </c>
      <c r="FW71" s="1023">
        <v>0.20902777777777778</v>
      </c>
      <c r="FX71" s="1023">
        <v>0.21388888888888888</v>
      </c>
      <c r="FY71" s="1024">
        <v>45227</v>
      </c>
      <c r="FZ71" s="1024">
        <v>45227</v>
      </c>
      <c r="GA71" s="1024">
        <v>45227</v>
      </c>
      <c r="GB71" s="1024">
        <v>45227</v>
      </c>
      <c r="GC71" s="1013">
        <v>2023</v>
      </c>
      <c r="GD71" s="1013" t="s">
        <v>1407</v>
      </c>
      <c r="GE71" s="1013">
        <v>2</v>
      </c>
      <c r="GF71" s="1013" t="s">
        <v>1407</v>
      </c>
      <c r="GG71" s="1013" t="s">
        <v>1407</v>
      </c>
      <c r="GH71" s="1013" t="s">
        <v>7985</v>
      </c>
      <c r="GI71" s="1013" t="s">
        <v>7974</v>
      </c>
      <c r="GJ71" s="1013" t="s">
        <v>7974</v>
      </c>
      <c r="GK71" s="1013" t="s">
        <v>7974</v>
      </c>
      <c r="GL71" s="1013" t="s">
        <v>7974</v>
      </c>
    </row>
    <row r="72" spans="1:194" hidden="1">
      <c r="A72" s="1013">
        <v>167</v>
      </c>
      <c r="B72" s="1013" t="s">
        <v>7722</v>
      </c>
      <c r="C72" s="1013">
        <v>18177047</v>
      </c>
      <c r="D72" s="1013" t="s">
        <v>7723</v>
      </c>
      <c r="E72" s="1013" t="s">
        <v>7723</v>
      </c>
      <c r="F72" s="1013" t="s">
        <v>7723</v>
      </c>
      <c r="G72" s="1013" t="s">
        <v>7723</v>
      </c>
      <c r="H72" s="1013" t="s">
        <v>7723</v>
      </c>
      <c r="I72" s="1013" t="s">
        <v>7723</v>
      </c>
      <c r="J72" s="1013" t="s">
        <v>7723</v>
      </c>
      <c r="K72" s="1024">
        <v>44272</v>
      </c>
      <c r="L72" s="1023">
        <v>0.5</v>
      </c>
      <c r="M72" s="1013" t="s">
        <v>7849</v>
      </c>
      <c r="N72" s="1013" t="s">
        <v>7724</v>
      </c>
      <c r="O72" s="1013">
        <v>101</v>
      </c>
      <c r="P72" s="1013">
        <v>208</v>
      </c>
      <c r="Q72" s="1013" t="s">
        <v>7723</v>
      </c>
      <c r="R72" s="1013" t="s">
        <v>7727</v>
      </c>
      <c r="S72" s="1013" t="s">
        <v>7724</v>
      </c>
      <c r="T72" s="1014" t="s">
        <v>7724</v>
      </c>
      <c r="U72" s="1014">
        <v>19</v>
      </c>
      <c r="V72" s="1014" t="s">
        <v>7724</v>
      </c>
      <c r="W72" s="1014" t="s">
        <v>7724</v>
      </c>
      <c r="X72" s="1013">
        <v>1</v>
      </c>
      <c r="Y72" s="1013">
        <v>1000</v>
      </c>
      <c r="Z72" s="1013" t="s">
        <v>7724</v>
      </c>
      <c r="AA72" s="1013" t="s">
        <v>7757</v>
      </c>
      <c r="AB72" s="1013" t="s">
        <v>7726</v>
      </c>
      <c r="AC72" s="1013" t="s">
        <v>7723</v>
      </c>
      <c r="AD72" s="1013" t="s">
        <v>7723</v>
      </c>
      <c r="AE72" s="1013">
        <v>35</v>
      </c>
      <c r="AF72" s="1013" t="s">
        <v>7723</v>
      </c>
      <c r="AG72" s="1013" t="s">
        <v>7723</v>
      </c>
      <c r="AH72" s="1013" t="s">
        <v>7739</v>
      </c>
      <c r="AI72" s="1013" t="s">
        <v>7727</v>
      </c>
      <c r="AJ72" s="1013">
        <v>19</v>
      </c>
      <c r="AK72" s="1013" t="s">
        <v>7724</v>
      </c>
      <c r="AL72" s="1013" t="s">
        <v>7724</v>
      </c>
      <c r="AM72" s="1013">
        <v>1</v>
      </c>
      <c r="AN72" s="1013">
        <v>4700</v>
      </c>
      <c r="AO72" s="1013" t="s">
        <v>7724</v>
      </c>
      <c r="AP72" s="1013" t="s">
        <v>7728</v>
      </c>
      <c r="AQ72" s="1013" t="s">
        <v>7726</v>
      </c>
      <c r="AR72" s="1013" t="s">
        <v>7724</v>
      </c>
      <c r="AS72" s="1013" t="s">
        <v>7724</v>
      </c>
      <c r="AT72" s="1013" t="s">
        <v>7724</v>
      </c>
      <c r="AU72" s="1013" t="s">
        <v>7724</v>
      </c>
      <c r="AV72" s="1013" t="s">
        <v>7724</v>
      </c>
      <c r="AW72" s="1013" t="s">
        <v>7724</v>
      </c>
      <c r="AX72" s="1013">
        <v>11</v>
      </c>
      <c r="AY72" s="1013">
        <v>1</v>
      </c>
      <c r="AZ72" s="1013">
        <v>4</v>
      </c>
      <c r="BA72" s="1013">
        <v>4</v>
      </c>
      <c r="BB72" s="1013">
        <v>1</v>
      </c>
      <c r="BC72" s="1013">
        <v>1</v>
      </c>
      <c r="BD72" s="1013">
        <v>5</v>
      </c>
      <c r="BE72" s="1023">
        <v>0.74305555555555558</v>
      </c>
      <c r="BF72" s="1013" t="s">
        <v>7761</v>
      </c>
      <c r="BG72" s="1023">
        <v>0.74305555555555558</v>
      </c>
      <c r="BH72" s="1024">
        <v>44285</v>
      </c>
      <c r="BI72" s="1013" t="s">
        <v>7727</v>
      </c>
      <c r="BJ72" s="1013" t="s">
        <v>7730</v>
      </c>
      <c r="BK72" s="1013">
        <v>2469</v>
      </c>
      <c r="BL72" s="1013" t="s">
        <v>7724</v>
      </c>
      <c r="BM72" s="1013" t="s">
        <v>7724</v>
      </c>
      <c r="BN72" s="1013">
        <v>113</v>
      </c>
      <c r="BO72" s="1013">
        <v>8</v>
      </c>
      <c r="BP72" s="1013">
        <v>2</v>
      </c>
      <c r="BQ72" s="1013">
        <v>1</v>
      </c>
      <c r="BR72" s="1013">
        <v>10</v>
      </c>
      <c r="BS72" s="1013">
        <v>64</v>
      </c>
      <c r="BT72" s="1013">
        <v>54</v>
      </c>
      <c r="BU72" s="1013">
        <v>1</v>
      </c>
      <c r="BV72" s="1013">
        <v>5</v>
      </c>
      <c r="BW72" s="1013">
        <v>1</v>
      </c>
      <c r="BX72" s="1013">
        <v>21</v>
      </c>
      <c r="BY72" s="1013">
        <v>21</v>
      </c>
      <c r="BZ72" s="1013">
        <v>101</v>
      </c>
      <c r="CA72" s="1013">
        <v>208</v>
      </c>
      <c r="CB72" s="1013">
        <v>29.731224999999998</v>
      </c>
      <c r="CC72" s="1013">
        <v>-95.382762999999997</v>
      </c>
      <c r="CD72" s="1013" t="s">
        <v>7724</v>
      </c>
      <c r="CE72" s="1013" t="s">
        <v>7724</v>
      </c>
      <c r="CF72" s="1013" t="s">
        <v>7724</v>
      </c>
      <c r="CG72" s="1013" t="s">
        <v>7724</v>
      </c>
      <c r="CH72" s="1013" t="s">
        <v>7758</v>
      </c>
      <c r="CI72" s="1013">
        <v>1201</v>
      </c>
      <c r="CJ72" s="1013" t="s">
        <v>7724</v>
      </c>
      <c r="CK72" s="1013" t="s">
        <v>7724</v>
      </c>
      <c r="CL72" s="1013" t="s">
        <v>7724</v>
      </c>
      <c r="CM72" s="1013" t="s">
        <v>7724</v>
      </c>
      <c r="CN72" s="1013" t="s">
        <v>7724</v>
      </c>
      <c r="CO72" s="1013" t="s">
        <v>7724</v>
      </c>
      <c r="CP72" s="1013" t="s">
        <v>7724</v>
      </c>
      <c r="CQ72" s="1013" t="s">
        <v>7724</v>
      </c>
      <c r="CR72" s="1013" t="s">
        <v>7732</v>
      </c>
      <c r="CS72" s="1013" t="s">
        <v>7724</v>
      </c>
      <c r="CT72" s="1013" t="s">
        <v>7724</v>
      </c>
      <c r="CU72" s="1013" t="s">
        <v>7724</v>
      </c>
      <c r="CV72" s="1013" t="s">
        <v>7724</v>
      </c>
      <c r="CW72" s="1013" t="s">
        <v>7727</v>
      </c>
      <c r="CX72" s="1013" t="s">
        <v>7723</v>
      </c>
      <c r="CY72" s="1013" t="s">
        <v>7723</v>
      </c>
      <c r="CZ72" s="1013">
        <v>3</v>
      </c>
      <c r="DA72" s="1013">
        <v>9</v>
      </c>
      <c r="DB72" s="1013" t="s">
        <v>7727</v>
      </c>
      <c r="DC72" s="1013" t="s">
        <v>7756</v>
      </c>
      <c r="DD72" s="1013" t="s">
        <v>7724</v>
      </c>
      <c r="DE72" s="1013" t="s">
        <v>7724</v>
      </c>
      <c r="DF72" s="1013" t="s">
        <v>7724</v>
      </c>
      <c r="DG72" s="1013" t="s">
        <v>7724</v>
      </c>
      <c r="DH72" s="1013" t="s">
        <v>7724</v>
      </c>
      <c r="DI72" s="1013" t="s">
        <v>7724</v>
      </c>
      <c r="DJ72" s="1013" t="s">
        <v>7724</v>
      </c>
      <c r="DK72" s="1013" t="s">
        <v>7724</v>
      </c>
      <c r="DL72" s="1013" t="s">
        <v>7724</v>
      </c>
      <c r="DM72" s="1013" t="s">
        <v>7724</v>
      </c>
      <c r="DN72" s="1013" t="s">
        <v>7724</v>
      </c>
      <c r="DO72" s="1013" t="s">
        <v>7724</v>
      </c>
      <c r="DP72" s="1013" t="s">
        <v>7724</v>
      </c>
      <c r="DQ72" s="1013" t="s">
        <v>7724</v>
      </c>
      <c r="DR72" s="1013" t="s">
        <v>7724</v>
      </c>
      <c r="DS72" s="1013" t="s">
        <v>7724</v>
      </c>
      <c r="DT72" s="1013" t="s">
        <v>7724</v>
      </c>
      <c r="DU72" s="1013" t="s">
        <v>7724</v>
      </c>
      <c r="DV72" s="1013" t="s">
        <v>7724</v>
      </c>
      <c r="DW72" s="1013" t="s">
        <v>7724</v>
      </c>
      <c r="DX72" s="1013" t="s">
        <v>7724</v>
      </c>
      <c r="DY72" s="1013" t="s">
        <v>7724</v>
      </c>
      <c r="DZ72" s="1013" t="s">
        <v>7724</v>
      </c>
      <c r="EA72" s="1013" t="s">
        <v>7724</v>
      </c>
      <c r="EB72" s="1013" t="s">
        <v>7724</v>
      </c>
      <c r="EC72" s="1013" t="s">
        <v>7724</v>
      </c>
      <c r="ED72" s="1013" t="s">
        <v>7724</v>
      </c>
      <c r="EE72" s="1013" t="s">
        <v>7724</v>
      </c>
      <c r="EF72" s="1013" t="s">
        <v>7724</v>
      </c>
      <c r="EG72" s="1013" t="s">
        <v>7724</v>
      </c>
      <c r="EH72" s="1013" t="s">
        <v>7724</v>
      </c>
      <c r="EI72" s="1013" t="s">
        <v>7724</v>
      </c>
      <c r="EJ72" s="1013" t="s">
        <v>7724</v>
      </c>
      <c r="EK72" s="1013" t="s">
        <v>7724</v>
      </c>
      <c r="EL72" s="1013" t="s">
        <v>7724</v>
      </c>
      <c r="EM72" s="1013" t="s">
        <v>7724</v>
      </c>
      <c r="EN72" s="1013" t="s">
        <v>7724</v>
      </c>
      <c r="EO72" s="1013" t="s">
        <v>7724</v>
      </c>
      <c r="EP72" s="1013" t="s">
        <v>7724</v>
      </c>
      <c r="EQ72" s="1013" t="s">
        <v>7724</v>
      </c>
      <c r="ER72" s="1013" t="s">
        <v>7724</v>
      </c>
      <c r="ES72" s="1013" t="s">
        <v>7724</v>
      </c>
      <c r="ET72" s="1013" t="s">
        <v>7724</v>
      </c>
      <c r="EU72" s="1013" t="s">
        <v>7724</v>
      </c>
      <c r="EV72" s="1013" t="s">
        <v>7724</v>
      </c>
      <c r="EW72" s="1013" t="s">
        <v>7724</v>
      </c>
      <c r="EX72" s="1013" t="s">
        <v>7724</v>
      </c>
      <c r="EY72" s="1013" t="s">
        <v>7724</v>
      </c>
      <c r="EZ72" s="1013" t="s">
        <v>7724</v>
      </c>
      <c r="FA72" s="1013" t="s">
        <v>7724</v>
      </c>
      <c r="FB72" s="1013" t="s">
        <v>7724</v>
      </c>
      <c r="FC72" s="1013" t="s">
        <v>7724</v>
      </c>
      <c r="FD72" s="1013" t="s">
        <v>7724</v>
      </c>
      <c r="FE72" s="1013" t="s">
        <v>7724</v>
      </c>
      <c r="FF72" s="1013" t="s">
        <v>7724</v>
      </c>
      <c r="FG72" s="1013">
        <v>0</v>
      </c>
      <c r="FH72" s="1013">
        <v>0</v>
      </c>
      <c r="FI72" s="1013">
        <v>2</v>
      </c>
      <c r="FJ72" s="1013">
        <v>0</v>
      </c>
      <c r="FK72" s="1013">
        <v>1</v>
      </c>
      <c r="FL72" s="1013">
        <v>2</v>
      </c>
      <c r="FM72" s="1013">
        <v>0</v>
      </c>
      <c r="FN72" s="1013">
        <v>15</v>
      </c>
      <c r="FO72" s="1013">
        <v>29</v>
      </c>
      <c r="FP72" s="1013">
        <v>9</v>
      </c>
      <c r="FQ72" s="1013" t="s">
        <v>7724</v>
      </c>
      <c r="FR72" s="1013" t="s">
        <v>7724</v>
      </c>
      <c r="FS72" s="1013" t="s">
        <v>7724</v>
      </c>
      <c r="FT72" s="1013" t="s">
        <v>7724</v>
      </c>
      <c r="FU72" s="1013" t="s">
        <v>7724</v>
      </c>
      <c r="FV72" s="1013" t="s">
        <v>7724</v>
      </c>
      <c r="FW72" s="1013" t="s">
        <v>7724</v>
      </c>
      <c r="FX72" s="1013" t="s">
        <v>7724</v>
      </c>
      <c r="FY72" s="1013" t="s">
        <v>7724</v>
      </c>
      <c r="FZ72" s="1013" t="s">
        <v>7724</v>
      </c>
      <c r="GA72" s="1013" t="s">
        <v>7724</v>
      </c>
      <c r="GB72" s="1013" t="s">
        <v>7724</v>
      </c>
      <c r="GC72" s="1013">
        <v>2021</v>
      </c>
      <c r="GD72" s="1013" t="s">
        <v>1407</v>
      </c>
      <c r="GE72" s="1013">
        <v>2</v>
      </c>
      <c r="GF72" s="1013" t="s">
        <v>1407</v>
      </c>
      <c r="GG72" s="1013" t="s">
        <v>1407</v>
      </c>
      <c r="GH72" s="1013" t="s">
        <v>7974</v>
      </c>
      <c r="GI72" s="1013" t="s">
        <v>7974</v>
      </c>
      <c r="GJ72" s="1013" t="s">
        <v>7974</v>
      </c>
      <c r="GK72" s="1013" t="s">
        <v>7977</v>
      </c>
      <c r="GL72" s="1013" t="s">
        <v>7974</v>
      </c>
    </row>
    <row r="73" spans="1:194" hidden="1">
      <c r="A73" s="1013">
        <v>192</v>
      </c>
      <c r="B73" s="1013" t="s">
        <v>7722</v>
      </c>
      <c r="C73" s="1013">
        <v>18667688</v>
      </c>
      <c r="D73" s="1013" t="s">
        <v>7723</v>
      </c>
      <c r="E73" s="1013" t="s">
        <v>7723</v>
      </c>
      <c r="F73" s="1013" t="s">
        <v>7723</v>
      </c>
      <c r="G73" s="1013" t="s">
        <v>7723</v>
      </c>
      <c r="H73" s="1013" t="s">
        <v>7723</v>
      </c>
      <c r="I73" s="1013" t="s">
        <v>7723</v>
      </c>
      <c r="J73" s="1013" t="s">
        <v>7723</v>
      </c>
      <c r="K73" s="1024">
        <v>44548</v>
      </c>
      <c r="L73" s="1023">
        <v>0.75</v>
      </c>
      <c r="M73" s="1013" t="s">
        <v>7862</v>
      </c>
      <c r="N73" s="1013" t="s">
        <v>7744</v>
      </c>
      <c r="O73" s="1013">
        <v>101</v>
      </c>
      <c r="P73" s="1013">
        <v>208</v>
      </c>
      <c r="Q73" s="1013" t="s">
        <v>7723</v>
      </c>
      <c r="R73" s="1013" t="s">
        <v>7727</v>
      </c>
      <c r="S73" s="1013" t="s">
        <v>7724</v>
      </c>
      <c r="T73" s="1014" t="s">
        <v>7724</v>
      </c>
      <c r="U73" s="1014">
        <v>19</v>
      </c>
      <c r="V73" s="1014" t="s">
        <v>7724</v>
      </c>
      <c r="W73" s="1014" t="s">
        <v>7724</v>
      </c>
      <c r="X73" s="1013">
        <v>1</v>
      </c>
      <c r="Y73" s="1013">
        <v>1200</v>
      </c>
      <c r="Z73" s="1013" t="s">
        <v>7724</v>
      </c>
      <c r="AA73" s="1013" t="s">
        <v>7725</v>
      </c>
      <c r="AB73" s="1013" t="s">
        <v>7726</v>
      </c>
      <c r="AC73" s="1013" t="s">
        <v>7723</v>
      </c>
      <c r="AD73" s="1013" t="s">
        <v>7723</v>
      </c>
      <c r="AE73" s="1013">
        <v>35</v>
      </c>
      <c r="AF73" s="1013" t="s">
        <v>7723</v>
      </c>
      <c r="AG73" s="1013" t="s">
        <v>7723</v>
      </c>
      <c r="AH73" s="1013" t="s">
        <v>7779</v>
      </c>
      <c r="AI73" s="1013" t="s">
        <v>7727</v>
      </c>
      <c r="AJ73" s="1013">
        <v>19</v>
      </c>
      <c r="AK73" s="1013" t="s">
        <v>7724</v>
      </c>
      <c r="AL73" s="1013" t="s">
        <v>7724</v>
      </c>
      <c r="AM73" s="1013">
        <v>1</v>
      </c>
      <c r="AN73" s="1013" t="s">
        <v>7724</v>
      </c>
      <c r="AO73" s="1013" t="s">
        <v>7724</v>
      </c>
      <c r="AP73" s="1013" t="s">
        <v>7728</v>
      </c>
      <c r="AQ73" s="1013" t="s">
        <v>7726</v>
      </c>
      <c r="AR73" s="1013" t="s">
        <v>7724</v>
      </c>
      <c r="AS73" s="1013" t="s">
        <v>7724</v>
      </c>
      <c r="AT73" s="1013" t="s">
        <v>7724</v>
      </c>
      <c r="AU73" s="1013" t="s">
        <v>7724</v>
      </c>
      <c r="AV73" s="1013" t="s">
        <v>7724</v>
      </c>
      <c r="AW73" s="1013" t="s">
        <v>7724</v>
      </c>
      <c r="AX73" s="1013">
        <v>12</v>
      </c>
      <c r="AY73" s="1013">
        <v>4</v>
      </c>
      <c r="AZ73" s="1013">
        <v>4</v>
      </c>
      <c r="BA73" s="1013">
        <v>1</v>
      </c>
      <c r="BB73" s="1013">
        <v>1</v>
      </c>
      <c r="BC73" s="1013">
        <v>2</v>
      </c>
      <c r="BD73" s="1013">
        <v>5</v>
      </c>
      <c r="BE73" s="1023">
        <v>0.79166666666666663</v>
      </c>
      <c r="BF73" s="1013" t="s">
        <v>7761</v>
      </c>
      <c r="BG73" s="1023">
        <v>0.79166666666666663</v>
      </c>
      <c r="BH73" s="1024">
        <v>44548</v>
      </c>
      <c r="BI73" s="1013" t="s">
        <v>7727</v>
      </c>
      <c r="BJ73" s="1013" t="s">
        <v>7730</v>
      </c>
      <c r="BK73" s="1013">
        <v>2469</v>
      </c>
      <c r="BL73" s="1013" t="s">
        <v>7724</v>
      </c>
      <c r="BM73" s="1013" t="s">
        <v>7724</v>
      </c>
      <c r="BN73" s="1013">
        <v>113</v>
      </c>
      <c r="BO73" s="1013">
        <v>8</v>
      </c>
      <c r="BP73" s="1013">
        <v>2</v>
      </c>
      <c r="BQ73" s="1013">
        <v>1</v>
      </c>
      <c r="BR73" s="1013">
        <v>34</v>
      </c>
      <c r="BS73" s="1013">
        <v>64</v>
      </c>
      <c r="BT73" s="1013">
        <v>54</v>
      </c>
      <c r="BU73" s="1013">
        <v>1</v>
      </c>
      <c r="BV73" s="1013">
        <v>5</v>
      </c>
      <c r="BW73" s="1013">
        <v>1</v>
      </c>
      <c r="BX73" s="1013">
        <v>21</v>
      </c>
      <c r="BY73" s="1013">
        <v>21</v>
      </c>
      <c r="BZ73" s="1013">
        <v>101</v>
      </c>
      <c r="CA73" s="1013">
        <v>208</v>
      </c>
      <c r="CB73" s="1013">
        <v>29.733094999999999</v>
      </c>
      <c r="CC73" s="1013">
        <v>-95.381282999999996</v>
      </c>
      <c r="CD73" s="1013" t="s">
        <v>7724</v>
      </c>
      <c r="CE73" s="1013" t="s">
        <v>7724</v>
      </c>
      <c r="CF73" s="1013" t="s">
        <v>7724</v>
      </c>
      <c r="CG73" s="1013" t="s">
        <v>7724</v>
      </c>
      <c r="CH73" s="1013" t="s">
        <v>7731</v>
      </c>
      <c r="CI73" s="1013">
        <v>1201</v>
      </c>
      <c r="CJ73" s="1013" t="s">
        <v>7724</v>
      </c>
      <c r="CK73" s="1013" t="s">
        <v>7724</v>
      </c>
      <c r="CL73" s="1013" t="s">
        <v>7724</v>
      </c>
      <c r="CM73" s="1013" t="s">
        <v>7724</v>
      </c>
      <c r="CN73" s="1013" t="s">
        <v>7724</v>
      </c>
      <c r="CO73" s="1013" t="s">
        <v>7724</v>
      </c>
      <c r="CP73" s="1013" t="s">
        <v>7724</v>
      </c>
      <c r="CQ73" s="1013" t="s">
        <v>7724</v>
      </c>
      <c r="CR73" s="1013" t="s">
        <v>7732</v>
      </c>
      <c r="CS73" s="1013" t="s">
        <v>7724</v>
      </c>
      <c r="CT73" s="1013" t="s">
        <v>7724</v>
      </c>
      <c r="CU73" s="1013" t="s">
        <v>7724</v>
      </c>
      <c r="CV73" s="1013" t="s">
        <v>7724</v>
      </c>
      <c r="CW73" s="1013" t="s">
        <v>7727</v>
      </c>
      <c r="CX73" s="1013" t="s">
        <v>7723</v>
      </c>
      <c r="CY73" s="1013" t="s">
        <v>7723</v>
      </c>
      <c r="CZ73" s="1013">
        <v>5</v>
      </c>
      <c r="DA73" s="1013">
        <v>9</v>
      </c>
      <c r="DB73" s="1013" t="s">
        <v>7727</v>
      </c>
      <c r="DC73" s="1013" t="s">
        <v>7733</v>
      </c>
      <c r="DD73" s="1013" t="s">
        <v>7724</v>
      </c>
      <c r="DE73" s="1013" t="s">
        <v>7724</v>
      </c>
      <c r="DF73" s="1013" t="s">
        <v>7724</v>
      </c>
      <c r="DG73" s="1013" t="s">
        <v>7724</v>
      </c>
      <c r="DH73" s="1013" t="s">
        <v>7724</v>
      </c>
      <c r="DI73" s="1013" t="s">
        <v>7724</v>
      </c>
      <c r="DJ73" s="1013" t="s">
        <v>7724</v>
      </c>
      <c r="DK73" s="1013" t="s">
        <v>7724</v>
      </c>
      <c r="DL73" s="1013" t="s">
        <v>7724</v>
      </c>
      <c r="DM73" s="1013" t="s">
        <v>7724</v>
      </c>
      <c r="DN73" s="1013" t="s">
        <v>7724</v>
      </c>
      <c r="DO73" s="1013" t="s">
        <v>7724</v>
      </c>
      <c r="DP73" s="1013" t="s">
        <v>7724</v>
      </c>
      <c r="DQ73" s="1013" t="s">
        <v>7724</v>
      </c>
      <c r="DR73" s="1013" t="s">
        <v>7724</v>
      </c>
      <c r="DS73" s="1013" t="s">
        <v>7724</v>
      </c>
      <c r="DT73" s="1013" t="s">
        <v>7724</v>
      </c>
      <c r="DU73" s="1013" t="s">
        <v>7724</v>
      </c>
      <c r="DV73" s="1013" t="s">
        <v>7724</v>
      </c>
      <c r="DW73" s="1013" t="s">
        <v>7724</v>
      </c>
      <c r="DX73" s="1013" t="s">
        <v>7724</v>
      </c>
      <c r="DY73" s="1013" t="s">
        <v>7724</v>
      </c>
      <c r="DZ73" s="1013" t="s">
        <v>7724</v>
      </c>
      <c r="EA73" s="1013" t="s">
        <v>7724</v>
      </c>
      <c r="EB73" s="1013" t="s">
        <v>7724</v>
      </c>
      <c r="EC73" s="1013" t="s">
        <v>7724</v>
      </c>
      <c r="ED73" s="1013" t="s">
        <v>7724</v>
      </c>
      <c r="EE73" s="1013" t="s">
        <v>7724</v>
      </c>
      <c r="EF73" s="1013" t="s">
        <v>7724</v>
      </c>
      <c r="EG73" s="1013" t="s">
        <v>7724</v>
      </c>
      <c r="EH73" s="1013" t="s">
        <v>7724</v>
      </c>
      <c r="EI73" s="1013" t="s">
        <v>7724</v>
      </c>
      <c r="EJ73" s="1013" t="s">
        <v>7724</v>
      </c>
      <c r="EK73" s="1013" t="s">
        <v>7724</v>
      </c>
      <c r="EL73" s="1013" t="s">
        <v>7724</v>
      </c>
      <c r="EM73" s="1013" t="s">
        <v>7724</v>
      </c>
      <c r="EN73" s="1013" t="s">
        <v>7724</v>
      </c>
      <c r="EO73" s="1013" t="s">
        <v>7724</v>
      </c>
      <c r="EP73" s="1013" t="s">
        <v>7724</v>
      </c>
      <c r="EQ73" s="1013" t="s">
        <v>7724</v>
      </c>
      <c r="ER73" s="1013" t="s">
        <v>7724</v>
      </c>
      <c r="ES73" s="1013" t="s">
        <v>7724</v>
      </c>
      <c r="ET73" s="1013" t="s">
        <v>7724</v>
      </c>
      <c r="EU73" s="1013" t="s">
        <v>7724</v>
      </c>
      <c r="EV73" s="1013" t="s">
        <v>7724</v>
      </c>
      <c r="EW73" s="1013" t="s">
        <v>7724</v>
      </c>
      <c r="EX73" s="1013" t="s">
        <v>7724</v>
      </c>
      <c r="EY73" s="1013" t="s">
        <v>7724</v>
      </c>
      <c r="EZ73" s="1013" t="s">
        <v>7724</v>
      </c>
      <c r="FA73" s="1013" t="s">
        <v>7724</v>
      </c>
      <c r="FB73" s="1013" t="s">
        <v>7724</v>
      </c>
      <c r="FC73" s="1013" t="s">
        <v>7724</v>
      </c>
      <c r="FD73" s="1013" t="s">
        <v>7724</v>
      </c>
      <c r="FE73" s="1013" t="s">
        <v>7724</v>
      </c>
      <c r="FF73" s="1013" t="s">
        <v>7724</v>
      </c>
      <c r="FG73" s="1013">
        <v>0</v>
      </c>
      <c r="FH73" s="1013">
        <v>0</v>
      </c>
      <c r="FI73" s="1013">
        <v>0</v>
      </c>
      <c r="FJ73" s="1013">
        <v>1</v>
      </c>
      <c r="FK73" s="1013">
        <v>1</v>
      </c>
      <c r="FL73" s="1013">
        <v>0</v>
      </c>
      <c r="FM73" s="1013">
        <v>0</v>
      </c>
      <c r="FN73" s="1013">
        <v>15</v>
      </c>
      <c r="FO73" s="1013">
        <v>29</v>
      </c>
      <c r="FP73" s="1013">
        <v>6</v>
      </c>
      <c r="FQ73" s="1013" t="s">
        <v>7724</v>
      </c>
      <c r="FR73" s="1013" t="s">
        <v>7724</v>
      </c>
      <c r="FS73" s="1013" t="s">
        <v>7724</v>
      </c>
      <c r="FT73" s="1013" t="s">
        <v>7724</v>
      </c>
      <c r="FU73" s="1013" t="s">
        <v>7724</v>
      </c>
      <c r="FV73" s="1013" t="s">
        <v>7724</v>
      </c>
      <c r="FW73" s="1013" t="s">
        <v>7724</v>
      </c>
      <c r="FX73" s="1013" t="s">
        <v>7724</v>
      </c>
      <c r="FY73" s="1013" t="s">
        <v>7724</v>
      </c>
      <c r="FZ73" s="1013" t="s">
        <v>7724</v>
      </c>
      <c r="GA73" s="1013" t="s">
        <v>7724</v>
      </c>
      <c r="GB73" s="1013" t="s">
        <v>7724</v>
      </c>
      <c r="GC73" s="1013">
        <v>2021</v>
      </c>
      <c r="GD73" s="1013" t="s">
        <v>1407</v>
      </c>
      <c r="GE73" s="1013">
        <v>2</v>
      </c>
      <c r="GF73" s="1013" t="s">
        <v>1407</v>
      </c>
      <c r="GG73" s="1013" t="s">
        <v>1407</v>
      </c>
      <c r="GH73" s="1013" t="s">
        <v>8063</v>
      </c>
      <c r="GI73" s="1013" t="s">
        <v>7974</v>
      </c>
      <c r="GJ73" s="1013" t="s">
        <v>7974</v>
      </c>
      <c r="GK73" s="1013" t="s">
        <v>7974</v>
      </c>
      <c r="GL73" s="1013" t="s">
        <v>7974</v>
      </c>
    </row>
    <row r="74" spans="1:194" hidden="1">
      <c r="A74" s="1013">
        <v>6</v>
      </c>
      <c r="B74" s="1013" t="s">
        <v>7722</v>
      </c>
      <c r="C74" s="1013">
        <v>18840246</v>
      </c>
      <c r="D74" s="1013" t="s">
        <v>7723</v>
      </c>
      <c r="E74" s="1013" t="s">
        <v>7723</v>
      </c>
      <c r="F74" s="1013" t="s">
        <v>7723</v>
      </c>
      <c r="G74" s="1013" t="s">
        <v>7723</v>
      </c>
      <c r="H74" s="1013" t="s">
        <v>7723</v>
      </c>
      <c r="I74" s="1013" t="s">
        <v>7723</v>
      </c>
      <c r="J74" s="1013" t="s">
        <v>7723</v>
      </c>
      <c r="K74" s="1024">
        <v>44658</v>
      </c>
      <c r="L74" s="1023">
        <v>0.69027777777777777</v>
      </c>
      <c r="M74" s="1013" t="s">
        <v>7869</v>
      </c>
      <c r="N74" s="1013" t="s">
        <v>7724</v>
      </c>
      <c r="O74" s="1013">
        <v>101</v>
      </c>
      <c r="P74" s="1013">
        <v>208</v>
      </c>
      <c r="Q74" s="1013" t="s">
        <v>7723</v>
      </c>
      <c r="R74" s="1013" t="s">
        <v>7727</v>
      </c>
      <c r="S74" s="1013" t="s">
        <v>7724</v>
      </c>
      <c r="T74" s="1014" t="s">
        <v>7724</v>
      </c>
      <c r="U74" s="1014">
        <v>19</v>
      </c>
      <c r="V74" s="1014" t="s">
        <v>7724</v>
      </c>
      <c r="W74" s="1014" t="s">
        <v>7724</v>
      </c>
      <c r="X74" s="1013">
        <v>1</v>
      </c>
      <c r="Y74" s="1013">
        <v>1200</v>
      </c>
      <c r="Z74" s="1013" t="s">
        <v>7724</v>
      </c>
      <c r="AA74" s="1013" t="s">
        <v>7725</v>
      </c>
      <c r="AB74" s="1013" t="s">
        <v>7724</v>
      </c>
      <c r="AC74" s="1013" t="s">
        <v>7723</v>
      </c>
      <c r="AD74" s="1013" t="s">
        <v>7723</v>
      </c>
      <c r="AE74" s="1013">
        <v>30</v>
      </c>
      <c r="AF74" s="1013" t="s">
        <v>7723</v>
      </c>
      <c r="AG74" s="1013" t="s">
        <v>7723</v>
      </c>
      <c r="AH74" s="1013" t="s">
        <v>7724</v>
      </c>
      <c r="AI74" s="1013" t="s">
        <v>7727</v>
      </c>
      <c r="AJ74" s="1013">
        <v>19</v>
      </c>
      <c r="AK74" s="1013" t="s">
        <v>7724</v>
      </c>
      <c r="AL74" s="1013" t="s">
        <v>7724</v>
      </c>
      <c r="AM74" s="1013">
        <v>1</v>
      </c>
      <c r="AN74" s="1013">
        <v>4300</v>
      </c>
      <c r="AO74" s="1013" t="s">
        <v>7724</v>
      </c>
      <c r="AP74" s="1013" t="s">
        <v>7745</v>
      </c>
      <c r="AQ74" s="1013" t="s">
        <v>7724</v>
      </c>
      <c r="AR74" s="1013" t="s">
        <v>7724</v>
      </c>
      <c r="AS74" s="1013" t="s">
        <v>7724</v>
      </c>
      <c r="AT74" s="1013" t="s">
        <v>7724</v>
      </c>
      <c r="AU74" s="1013" t="s">
        <v>7724</v>
      </c>
      <c r="AV74" s="1013" t="s">
        <v>7724</v>
      </c>
      <c r="AW74" s="1013" t="s">
        <v>7724</v>
      </c>
      <c r="AX74" s="1013">
        <v>11</v>
      </c>
      <c r="AY74" s="1013">
        <v>1</v>
      </c>
      <c r="AZ74" s="1013">
        <v>2</v>
      </c>
      <c r="BA74" s="1013">
        <v>1</v>
      </c>
      <c r="BB74" s="1013">
        <v>1</v>
      </c>
      <c r="BC74" s="1013">
        <v>1</v>
      </c>
      <c r="BD74" s="1013">
        <v>8</v>
      </c>
      <c r="BE74" s="1023">
        <v>0.73611111111111116</v>
      </c>
      <c r="BF74" s="1013" t="s">
        <v>7736</v>
      </c>
      <c r="BG74" s="1023">
        <v>0.73888888888888893</v>
      </c>
      <c r="BH74" s="1024">
        <v>44658</v>
      </c>
      <c r="BI74" s="1013" t="s">
        <v>7727</v>
      </c>
      <c r="BJ74" s="1013" t="s">
        <v>7730</v>
      </c>
      <c r="BK74" s="1013">
        <v>2469</v>
      </c>
      <c r="BL74" s="1013" t="s">
        <v>7724</v>
      </c>
      <c r="BM74" s="1013" t="s">
        <v>7724</v>
      </c>
      <c r="BN74" s="1013">
        <v>113</v>
      </c>
      <c r="BO74" s="1013">
        <v>8</v>
      </c>
      <c r="BP74" s="1013">
        <v>2</v>
      </c>
      <c r="BQ74" s="1013">
        <v>1</v>
      </c>
      <c r="BR74" s="1013">
        <v>10</v>
      </c>
      <c r="BS74" s="1013">
        <v>64</v>
      </c>
      <c r="BT74" s="1013">
        <v>54</v>
      </c>
      <c r="BU74" s="1013">
        <v>1</v>
      </c>
      <c r="BV74" s="1013">
        <v>5</v>
      </c>
      <c r="BW74" s="1013">
        <v>1</v>
      </c>
      <c r="BX74" s="1013">
        <v>21</v>
      </c>
      <c r="BY74" s="1013">
        <v>21</v>
      </c>
      <c r="BZ74" s="1013">
        <v>101</v>
      </c>
      <c r="CA74" s="1013">
        <v>208</v>
      </c>
      <c r="CB74" s="1013">
        <v>29.732565000000001</v>
      </c>
      <c r="CC74" s="1013">
        <v>-95.380463000000006</v>
      </c>
      <c r="CD74" s="1013" t="s">
        <v>7724</v>
      </c>
      <c r="CE74" s="1013" t="s">
        <v>7724</v>
      </c>
      <c r="CF74" s="1013" t="s">
        <v>7724</v>
      </c>
      <c r="CG74" s="1013" t="s">
        <v>7724</v>
      </c>
      <c r="CH74" s="1013" t="s">
        <v>7731</v>
      </c>
      <c r="CI74" s="1013" t="s">
        <v>7724</v>
      </c>
      <c r="CJ74" s="1013" t="s">
        <v>7724</v>
      </c>
      <c r="CK74" s="1013" t="s">
        <v>7724</v>
      </c>
      <c r="CL74" s="1013" t="s">
        <v>7724</v>
      </c>
      <c r="CM74" s="1013" t="s">
        <v>7724</v>
      </c>
      <c r="CN74" s="1013" t="s">
        <v>7724</v>
      </c>
      <c r="CO74" s="1013" t="s">
        <v>7724</v>
      </c>
      <c r="CP74" s="1013" t="s">
        <v>7724</v>
      </c>
      <c r="CQ74" s="1013" t="s">
        <v>7724</v>
      </c>
      <c r="CR74" s="1013" t="s">
        <v>7746</v>
      </c>
      <c r="CS74" s="1013" t="s">
        <v>7724</v>
      </c>
      <c r="CT74" s="1013" t="s">
        <v>7724</v>
      </c>
      <c r="CU74" s="1013" t="s">
        <v>7724</v>
      </c>
      <c r="CV74" s="1013" t="s">
        <v>7724</v>
      </c>
      <c r="CW74" s="1013" t="s">
        <v>7727</v>
      </c>
      <c r="CX74" s="1013" t="s">
        <v>7723</v>
      </c>
      <c r="CY74" s="1013" t="s">
        <v>7723</v>
      </c>
      <c r="CZ74" s="1013">
        <v>5</v>
      </c>
      <c r="DA74" s="1013">
        <v>9</v>
      </c>
      <c r="DB74" s="1013" t="s">
        <v>7727</v>
      </c>
      <c r="DC74" s="1013" t="s">
        <v>7740</v>
      </c>
      <c r="DD74" s="1013" t="s">
        <v>7724</v>
      </c>
      <c r="DE74" s="1013" t="s">
        <v>7724</v>
      </c>
      <c r="DF74" s="1013" t="s">
        <v>7724</v>
      </c>
      <c r="DG74" s="1013" t="s">
        <v>7724</v>
      </c>
      <c r="DH74" s="1013" t="s">
        <v>7724</v>
      </c>
      <c r="DI74" s="1013" t="s">
        <v>7724</v>
      </c>
      <c r="DJ74" s="1013" t="s">
        <v>7724</v>
      </c>
      <c r="DK74" s="1013" t="s">
        <v>7724</v>
      </c>
      <c r="DL74" s="1013" t="s">
        <v>7724</v>
      </c>
      <c r="DM74" s="1013" t="s">
        <v>7724</v>
      </c>
      <c r="DN74" s="1013" t="s">
        <v>7724</v>
      </c>
      <c r="DO74" s="1013" t="s">
        <v>7724</v>
      </c>
      <c r="DP74" s="1013" t="s">
        <v>7724</v>
      </c>
      <c r="DQ74" s="1013" t="s">
        <v>7724</v>
      </c>
      <c r="DR74" s="1013" t="s">
        <v>7724</v>
      </c>
      <c r="DS74" s="1013" t="s">
        <v>7724</v>
      </c>
      <c r="DT74" s="1013" t="s">
        <v>7724</v>
      </c>
      <c r="DU74" s="1013" t="s">
        <v>7724</v>
      </c>
      <c r="DV74" s="1013" t="s">
        <v>7724</v>
      </c>
      <c r="DW74" s="1013" t="s">
        <v>7724</v>
      </c>
      <c r="DX74" s="1013" t="s">
        <v>7724</v>
      </c>
      <c r="DY74" s="1013" t="s">
        <v>7724</v>
      </c>
      <c r="DZ74" s="1013" t="s">
        <v>7724</v>
      </c>
      <c r="EA74" s="1013" t="s">
        <v>7724</v>
      </c>
      <c r="EB74" s="1013" t="s">
        <v>7724</v>
      </c>
      <c r="EC74" s="1013" t="s">
        <v>7724</v>
      </c>
      <c r="ED74" s="1013" t="s">
        <v>7724</v>
      </c>
      <c r="EE74" s="1013" t="s">
        <v>7724</v>
      </c>
      <c r="EF74" s="1013" t="s">
        <v>7724</v>
      </c>
      <c r="EG74" s="1013" t="s">
        <v>7724</v>
      </c>
      <c r="EH74" s="1013" t="s">
        <v>7724</v>
      </c>
      <c r="EI74" s="1013" t="s">
        <v>7724</v>
      </c>
      <c r="EJ74" s="1013" t="s">
        <v>7724</v>
      </c>
      <c r="EK74" s="1013" t="s">
        <v>7724</v>
      </c>
      <c r="EL74" s="1013" t="s">
        <v>7724</v>
      </c>
      <c r="EM74" s="1013" t="s">
        <v>7724</v>
      </c>
      <c r="EN74" s="1013" t="s">
        <v>7724</v>
      </c>
      <c r="EO74" s="1013" t="s">
        <v>7724</v>
      </c>
      <c r="EP74" s="1013" t="s">
        <v>7724</v>
      </c>
      <c r="EQ74" s="1013" t="s">
        <v>7724</v>
      </c>
      <c r="ER74" s="1013" t="s">
        <v>7724</v>
      </c>
      <c r="ES74" s="1013" t="s">
        <v>7724</v>
      </c>
      <c r="ET74" s="1013" t="s">
        <v>7724</v>
      </c>
      <c r="EU74" s="1013" t="s">
        <v>7724</v>
      </c>
      <c r="EV74" s="1013" t="s">
        <v>7724</v>
      </c>
      <c r="EW74" s="1013" t="s">
        <v>7724</v>
      </c>
      <c r="EX74" s="1013" t="s">
        <v>7724</v>
      </c>
      <c r="EY74" s="1013" t="s">
        <v>7724</v>
      </c>
      <c r="EZ74" s="1013" t="s">
        <v>7724</v>
      </c>
      <c r="FA74" s="1013" t="s">
        <v>7724</v>
      </c>
      <c r="FB74" s="1013" t="s">
        <v>7724</v>
      </c>
      <c r="FC74" s="1013" t="s">
        <v>7724</v>
      </c>
      <c r="FD74" s="1013" t="s">
        <v>7724</v>
      </c>
      <c r="FE74" s="1013" t="s">
        <v>7724</v>
      </c>
      <c r="FF74" s="1013" t="s">
        <v>7724</v>
      </c>
      <c r="FG74" s="1013">
        <v>0</v>
      </c>
      <c r="FH74" s="1013">
        <v>0</v>
      </c>
      <c r="FI74" s="1013">
        <v>0</v>
      </c>
      <c r="FJ74" s="1013">
        <v>2</v>
      </c>
      <c r="FK74" s="1013">
        <v>0</v>
      </c>
      <c r="FL74" s="1013">
        <v>0</v>
      </c>
      <c r="FM74" s="1013">
        <v>0</v>
      </c>
      <c r="FN74" s="1013">
        <v>15</v>
      </c>
      <c r="FO74" s="1013">
        <v>29</v>
      </c>
      <c r="FP74" s="1013">
        <v>6</v>
      </c>
      <c r="FQ74" s="1013" t="s">
        <v>7724</v>
      </c>
      <c r="FR74" s="1013" t="s">
        <v>7724</v>
      </c>
      <c r="FS74" s="1013" t="s">
        <v>7724</v>
      </c>
      <c r="FT74" s="1013" t="s">
        <v>7724</v>
      </c>
      <c r="FU74" s="1013" t="s">
        <v>7724</v>
      </c>
      <c r="FV74" s="1013" t="s">
        <v>7724</v>
      </c>
      <c r="FW74" s="1013" t="s">
        <v>7724</v>
      </c>
      <c r="FX74" s="1013" t="s">
        <v>7724</v>
      </c>
      <c r="FY74" s="1013" t="s">
        <v>7724</v>
      </c>
      <c r="FZ74" s="1013" t="s">
        <v>7724</v>
      </c>
      <c r="GA74" s="1013" t="s">
        <v>7724</v>
      </c>
      <c r="GB74" s="1013" t="s">
        <v>7724</v>
      </c>
      <c r="GC74" s="1013">
        <v>2022</v>
      </c>
      <c r="GD74" s="1013" t="s">
        <v>1404</v>
      </c>
      <c r="GE74" s="1013">
        <v>2</v>
      </c>
      <c r="GF74" s="1013" t="s">
        <v>1407</v>
      </c>
      <c r="GG74" s="1013" t="s">
        <v>1407</v>
      </c>
      <c r="GH74" s="1013" t="s">
        <v>7982</v>
      </c>
      <c r="GI74" s="1013" t="s">
        <v>7974</v>
      </c>
      <c r="GJ74" s="1013" t="s">
        <v>7974</v>
      </c>
      <c r="GK74" s="1013" t="s">
        <v>7974</v>
      </c>
      <c r="GL74" s="1013" t="s">
        <v>7974</v>
      </c>
    </row>
    <row r="75" spans="1:194" hidden="1">
      <c r="A75" s="1013">
        <v>31</v>
      </c>
      <c r="B75" s="1013" t="s">
        <v>7722</v>
      </c>
      <c r="C75" s="1013">
        <v>19222892</v>
      </c>
      <c r="D75" s="1013" t="s">
        <v>7723</v>
      </c>
      <c r="E75" s="1013" t="s">
        <v>7723</v>
      </c>
      <c r="F75" s="1013" t="s">
        <v>7723</v>
      </c>
      <c r="G75" s="1013" t="s">
        <v>7723</v>
      </c>
      <c r="H75" s="1013" t="s">
        <v>7723</v>
      </c>
      <c r="I75" s="1013" t="s">
        <v>7723</v>
      </c>
      <c r="J75" s="1013" t="s">
        <v>7723</v>
      </c>
      <c r="K75" s="1024">
        <v>44849</v>
      </c>
      <c r="L75" s="1023">
        <v>0.5444444444444444</v>
      </c>
      <c r="M75" s="1013" t="s">
        <v>7889</v>
      </c>
      <c r="N75" s="1013" t="s">
        <v>7724</v>
      </c>
      <c r="O75" s="1013">
        <v>101</v>
      </c>
      <c r="P75" s="1013">
        <v>208</v>
      </c>
      <c r="Q75" s="1013" t="s">
        <v>7723</v>
      </c>
      <c r="R75" s="1013" t="s">
        <v>7727</v>
      </c>
      <c r="S75" s="1013" t="s">
        <v>7724</v>
      </c>
      <c r="T75" s="1014" t="s">
        <v>7724</v>
      </c>
      <c r="U75" s="1014">
        <v>19</v>
      </c>
      <c r="V75" s="1014" t="s">
        <v>7724</v>
      </c>
      <c r="W75" s="1014" t="s">
        <v>7724</v>
      </c>
      <c r="X75" s="1013">
        <v>1</v>
      </c>
      <c r="Y75" s="1013">
        <v>1200</v>
      </c>
      <c r="Z75" s="1013" t="s">
        <v>7724</v>
      </c>
      <c r="AA75" s="1013" t="s">
        <v>7725</v>
      </c>
      <c r="AB75" s="1013" t="s">
        <v>7726</v>
      </c>
      <c r="AC75" s="1013" t="s">
        <v>7723</v>
      </c>
      <c r="AD75" s="1013" t="s">
        <v>7723</v>
      </c>
      <c r="AE75" s="1013">
        <v>40</v>
      </c>
      <c r="AF75" s="1013" t="s">
        <v>7723</v>
      </c>
      <c r="AG75" s="1013" t="s">
        <v>7723</v>
      </c>
      <c r="AH75" s="1013" t="s">
        <v>7739</v>
      </c>
      <c r="AI75" s="1013" t="s">
        <v>7727</v>
      </c>
      <c r="AJ75" s="1013">
        <v>19</v>
      </c>
      <c r="AK75" s="1013" t="s">
        <v>7724</v>
      </c>
      <c r="AL75" s="1013" t="s">
        <v>7724</v>
      </c>
      <c r="AM75" s="1013">
        <v>1</v>
      </c>
      <c r="AN75" s="1013">
        <v>4100</v>
      </c>
      <c r="AO75" s="1013" t="s">
        <v>7724</v>
      </c>
      <c r="AP75" s="1013" t="s">
        <v>7745</v>
      </c>
      <c r="AQ75" s="1013" t="s">
        <v>7726</v>
      </c>
      <c r="AR75" s="1013" t="s">
        <v>7724</v>
      </c>
      <c r="AS75" s="1013" t="s">
        <v>7724</v>
      </c>
      <c r="AT75" s="1013" t="s">
        <v>7724</v>
      </c>
      <c r="AU75" s="1013" t="s">
        <v>7724</v>
      </c>
      <c r="AV75" s="1013" t="s">
        <v>7724</v>
      </c>
      <c r="AW75" s="1013" t="s">
        <v>7724</v>
      </c>
      <c r="AX75" s="1013">
        <v>11</v>
      </c>
      <c r="AY75" s="1013">
        <v>1</v>
      </c>
      <c r="AZ75" s="1013">
        <v>4</v>
      </c>
      <c r="BA75" s="1013">
        <v>2</v>
      </c>
      <c r="BB75" s="1013">
        <v>1</v>
      </c>
      <c r="BC75" s="1013">
        <v>1</v>
      </c>
      <c r="BD75" s="1013">
        <v>8</v>
      </c>
      <c r="BE75" s="1023">
        <v>0.55763888888888891</v>
      </c>
      <c r="BF75" s="1013" t="s">
        <v>7736</v>
      </c>
      <c r="BG75" s="1023">
        <v>0.5625</v>
      </c>
      <c r="BH75" s="1024">
        <v>44874</v>
      </c>
      <c r="BI75" s="1013" t="s">
        <v>7727</v>
      </c>
      <c r="BJ75" s="1013" t="s">
        <v>7730</v>
      </c>
      <c r="BK75" s="1013">
        <v>2469</v>
      </c>
      <c r="BL75" s="1013" t="s">
        <v>7724</v>
      </c>
      <c r="BM75" s="1013" t="s">
        <v>7724</v>
      </c>
      <c r="BN75" s="1013">
        <v>113</v>
      </c>
      <c r="BO75" s="1013">
        <v>8</v>
      </c>
      <c r="BP75" s="1013">
        <v>2</v>
      </c>
      <c r="BQ75" s="1013">
        <v>1</v>
      </c>
      <c r="BR75" s="1013">
        <v>10</v>
      </c>
      <c r="BS75" s="1013">
        <v>64</v>
      </c>
      <c r="BT75" s="1013">
        <v>54</v>
      </c>
      <c r="BU75" s="1013">
        <v>1</v>
      </c>
      <c r="BV75" s="1013">
        <v>5</v>
      </c>
      <c r="BW75" s="1013">
        <v>1</v>
      </c>
      <c r="BX75" s="1013">
        <v>21</v>
      </c>
      <c r="BY75" s="1013">
        <v>21</v>
      </c>
      <c r="BZ75" s="1013">
        <v>101</v>
      </c>
      <c r="CA75" s="1013">
        <v>208</v>
      </c>
      <c r="CB75" s="1013">
        <v>29.732565000000001</v>
      </c>
      <c r="CC75" s="1013">
        <v>-95.380463000000006</v>
      </c>
      <c r="CD75" s="1013" t="s">
        <v>7724</v>
      </c>
      <c r="CE75" s="1013" t="s">
        <v>7724</v>
      </c>
      <c r="CF75" s="1013" t="s">
        <v>7724</v>
      </c>
      <c r="CG75" s="1013" t="s">
        <v>7724</v>
      </c>
      <c r="CH75" s="1013" t="s">
        <v>7731</v>
      </c>
      <c r="CI75" s="1013" t="s">
        <v>7724</v>
      </c>
      <c r="CJ75" s="1013" t="s">
        <v>7724</v>
      </c>
      <c r="CK75" s="1013" t="s">
        <v>7724</v>
      </c>
      <c r="CL75" s="1013" t="s">
        <v>7724</v>
      </c>
      <c r="CM75" s="1013" t="s">
        <v>7724</v>
      </c>
      <c r="CN75" s="1013" t="s">
        <v>7724</v>
      </c>
      <c r="CO75" s="1013" t="s">
        <v>7724</v>
      </c>
      <c r="CP75" s="1013" t="s">
        <v>7724</v>
      </c>
      <c r="CQ75" s="1013" t="s">
        <v>7724</v>
      </c>
      <c r="CR75" s="1013" t="s">
        <v>7746</v>
      </c>
      <c r="CS75" s="1013" t="s">
        <v>7724</v>
      </c>
      <c r="CT75" s="1013" t="s">
        <v>7724</v>
      </c>
      <c r="CU75" s="1013" t="s">
        <v>7724</v>
      </c>
      <c r="CV75" s="1013" t="s">
        <v>7724</v>
      </c>
      <c r="CW75" s="1013" t="s">
        <v>7727</v>
      </c>
      <c r="CX75" s="1013" t="s">
        <v>7723</v>
      </c>
      <c r="CY75" s="1013" t="s">
        <v>7723</v>
      </c>
      <c r="CZ75" s="1013">
        <v>5</v>
      </c>
      <c r="DA75" s="1013">
        <v>9</v>
      </c>
      <c r="DB75" s="1013" t="s">
        <v>7727</v>
      </c>
      <c r="DC75" s="1013" t="s">
        <v>7733</v>
      </c>
      <c r="DD75" s="1013" t="s">
        <v>7724</v>
      </c>
      <c r="DE75" s="1013" t="s">
        <v>7724</v>
      </c>
      <c r="DF75" s="1013" t="s">
        <v>7724</v>
      </c>
      <c r="DG75" s="1013" t="s">
        <v>7724</v>
      </c>
      <c r="DH75" s="1013" t="s">
        <v>7724</v>
      </c>
      <c r="DI75" s="1013" t="s">
        <v>7724</v>
      </c>
      <c r="DJ75" s="1013" t="s">
        <v>7724</v>
      </c>
      <c r="DK75" s="1013" t="s">
        <v>7724</v>
      </c>
      <c r="DL75" s="1013" t="s">
        <v>7724</v>
      </c>
      <c r="DM75" s="1013" t="s">
        <v>7724</v>
      </c>
      <c r="DN75" s="1013" t="s">
        <v>7724</v>
      </c>
      <c r="DO75" s="1013" t="s">
        <v>7724</v>
      </c>
      <c r="DP75" s="1013" t="s">
        <v>7724</v>
      </c>
      <c r="DQ75" s="1013" t="s">
        <v>7724</v>
      </c>
      <c r="DR75" s="1013" t="s">
        <v>7724</v>
      </c>
      <c r="DS75" s="1013" t="s">
        <v>7724</v>
      </c>
      <c r="DT75" s="1013" t="s">
        <v>7724</v>
      </c>
      <c r="DU75" s="1013" t="s">
        <v>7724</v>
      </c>
      <c r="DV75" s="1013" t="s">
        <v>7724</v>
      </c>
      <c r="DW75" s="1013" t="s">
        <v>7724</v>
      </c>
      <c r="DX75" s="1013" t="s">
        <v>7724</v>
      </c>
      <c r="DY75" s="1013" t="s">
        <v>7724</v>
      </c>
      <c r="DZ75" s="1013" t="s">
        <v>7724</v>
      </c>
      <c r="EA75" s="1013" t="s">
        <v>7724</v>
      </c>
      <c r="EB75" s="1013" t="s">
        <v>7724</v>
      </c>
      <c r="EC75" s="1013" t="s">
        <v>7724</v>
      </c>
      <c r="ED75" s="1013" t="s">
        <v>7724</v>
      </c>
      <c r="EE75" s="1013" t="s">
        <v>7724</v>
      </c>
      <c r="EF75" s="1013" t="s">
        <v>7724</v>
      </c>
      <c r="EG75" s="1013" t="s">
        <v>7724</v>
      </c>
      <c r="EH75" s="1013" t="s">
        <v>7724</v>
      </c>
      <c r="EI75" s="1013" t="s">
        <v>7724</v>
      </c>
      <c r="EJ75" s="1013" t="s">
        <v>7724</v>
      </c>
      <c r="EK75" s="1013" t="s">
        <v>7724</v>
      </c>
      <c r="EL75" s="1013" t="s">
        <v>7724</v>
      </c>
      <c r="EM75" s="1013" t="s">
        <v>7724</v>
      </c>
      <c r="EN75" s="1013" t="s">
        <v>7724</v>
      </c>
      <c r="EO75" s="1013" t="s">
        <v>7724</v>
      </c>
      <c r="EP75" s="1013" t="s">
        <v>7724</v>
      </c>
      <c r="EQ75" s="1013" t="s">
        <v>7724</v>
      </c>
      <c r="ER75" s="1013" t="s">
        <v>7724</v>
      </c>
      <c r="ES75" s="1013" t="s">
        <v>7724</v>
      </c>
      <c r="ET75" s="1013" t="s">
        <v>7724</v>
      </c>
      <c r="EU75" s="1013" t="s">
        <v>7724</v>
      </c>
      <c r="EV75" s="1013" t="s">
        <v>7724</v>
      </c>
      <c r="EW75" s="1013" t="s">
        <v>7724</v>
      </c>
      <c r="EX75" s="1013" t="s">
        <v>7724</v>
      </c>
      <c r="EY75" s="1013" t="s">
        <v>7724</v>
      </c>
      <c r="EZ75" s="1013" t="s">
        <v>7724</v>
      </c>
      <c r="FA75" s="1013" t="s">
        <v>7724</v>
      </c>
      <c r="FB75" s="1013" t="s">
        <v>7724</v>
      </c>
      <c r="FC75" s="1013" t="s">
        <v>7724</v>
      </c>
      <c r="FD75" s="1013" t="s">
        <v>7724</v>
      </c>
      <c r="FE75" s="1013" t="s">
        <v>7724</v>
      </c>
      <c r="FF75" s="1013" t="s">
        <v>7724</v>
      </c>
      <c r="FG75" s="1013">
        <v>0</v>
      </c>
      <c r="FH75" s="1013">
        <v>0</v>
      </c>
      <c r="FI75" s="1013">
        <v>0</v>
      </c>
      <c r="FJ75" s="1013">
        <v>3</v>
      </c>
      <c r="FK75" s="1013">
        <v>0</v>
      </c>
      <c r="FL75" s="1013">
        <v>0</v>
      </c>
      <c r="FM75" s="1013">
        <v>0</v>
      </c>
      <c r="FN75" s="1013">
        <v>15</v>
      </c>
      <c r="FO75" s="1013">
        <v>29</v>
      </c>
      <c r="FP75" s="1013">
        <v>6</v>
      </c>
      <c r="FQ75" s="1013" t="s">
        <v>7724</v>
      </c>
      <c r="FR75" s="1013" t="s">
        <v>7724</v>
      </c>
      <c r="FS75" s="1013" t="s">
        <v>7724</v>
      </c>
      <c r="FT75" s="1013" t="s">
        <v>7724</v>
      </c>
      <c r="FU75" s="1013" t="s">
        <v>7724</v>
      </c>
      <c r="FV75" s="1013" t="s">
        <v>7724</v>
      </c>
      <c r="FW75" s="1013" t="s">
        <v>7724</v>
      </c>
      <c r="FX75" s="1013" t="s">
        <v>7724</v>
      </c>
      <c r="FY75" s="1013" t="s">
        <v>7724</v>
      </c>
      <c r="FZ75" s="1013" t="s">
        <v>7724</v>
      </c>
      <c r="GA75" s="1013" t="s">
        <v>7724</v>
      </c>
      <c r="GB75" s="1013" t="s">
        <v>7724</v>
      </c>
      <c r="GC75" s="1013">
        <v>2022</v>
      </c>
      <c r="GD75" s="1013" t="s">
        <v>1404</v>
      </c>
      <c r="GE75" s="1013">
        <v>2</v>
      </c>
      <c r="GF75" s="1013" t="s">
        <v>1407</v>
      </c>
      <c r="GG75" s="1013" t="s">
        <v>1407</v>
      </c>
      <c r="GH75" s="1013" t="s">
        <v>7975</v>
      </c>
      <c r="GI75" s="1013" t="s">
        <v>7974</v>
      </c>
      <c r="GJ75" s="1013" t="s">
        <v>7974</v>
      </c>
      <c r="GK75" s="1013" t="s">
        <v>7974</v>
      </c>
      <c r="GL75" s="1013" t="s">
        <v>7974</v>
      </c>
    </row>
    <row r="76" spans="1:194" hidden="1">
      <c r="A76" s="1013">
        <v>34</v>
      </c>
      <c r="B76" s="1013" t="s">
        <v>7722</v>
      </c>
      <c r="C76" s="1013">
        <v>19272012</v>
      </c>
      <c r="D76" s="1013" t="s">
        <v>7723</v>
      </c>
      <c r="E76" s="1013" t="s">
        <v>7723</v>
      </c>
      <c r="F76" s="1013" t="s">
        <v>7723</v>
      </c>
      <c r="G76" s="1013" t="s">
        <v>7723</v>
      </c>
      <c r="H76" s="1013" t="s">
        <v>7723</v>
      </c>
      <c r="I76" s="1013" t="s">
        <v>7723</v>
      </c>
      <c r="J76" s="1013" t="s">
        <v>7723</v>
      </c>
      <c r="K76" s="1024">
        <v>44859</v>
      </c>
      <c r="L76" s="1023">
        <v>0.99583333333333335</v>
      </c>
      <c r="M76" s="1013" t="s">
        <v>7890</v>
      </c>
      <c r="N76" s="1013" t="s">
        <v>7724</v>
      </c>
      <c r="O76" s="1013">
        <v>101</v>
      </c>
      <c r="P76" s="1013">
        <v>208</v>
      </c>
      <c r="Q76" s="1013" t="s">
        <v>7723</v>
      </c>
      <c r="R76" s="1013" t="s">
        <v>7727</v>
      </c>
      <c r="S76" s="1013" t="s">
        <v>7724</v>
      </c>
      <c r="T76" s="1014" t="s">
        <v>7724</v>
      </c>
      <c r="U76" s="1014">
        <v>19</v>
      </c>
      <c r="V76" s="1014" t="s">
        <v>7724</v>
      </c>
      <c r="W76" s="1014" t="s">
        <v>7724</v>
      </c>
      <c r="X76" s="1013">
        <v>1</v>
      </c>
      <c r="Y76" s="1013">
        <v>1200</v>
      </c>
      <c r="Z76" s="1013" t="s">
        <v>7724</v>
      </c>
      <c r="AA76" s="1013" t="s">
        <v>7725</v>
      </c>
      <c r="AB76" s="1013" t="s">
        <v>7724</v>
      </c>
      <c r="AC76" s="1013" t="s">
        <v>7723</v>
      </c>
      <c r="AD76" s="1013" t="s">
        <v>7723</v>
      </c>
      <c r="AE76" s="1013">
        <v>30</v>
      </c>
      <c r="AF76" s="1013" t="s">
        <v>7723</v>
      </c>
      <c r="AG76" s="1013" t="s">
        <v>7723</v>
      </c>
      <c r="AH76" s="1013" t="s">
        <v>7724</v>
      </c>
      <c r="AI76" s="1013" t="s">
        <v>7727</v>
      </c>
      <c r="AJ76" s="1013">
        <v>19</v>
      </c>
      <c r="AK76" s="1013" t="s">
        <v>7724</v>
      </c>
      <c r="AL76" s="1013" t="s">
        <v>7724</v>
      </c>
      <c r="AM76" s="1013">
        <v>1</v>
      </c>
      <c r="AN76" s="1013">
        <v>4400</v>
      </c>
      <c r="AO76" s="1013" t="s">
        <v>7724</v>
      </c>
      <c r="AP76" s="1013" t="s">
        <v>7745</v>
      </c>
      <c r="AQ76" s="1013" t="s">
        <v>7726</v>
      </c>
      <c r="AR76" s="1013" t="s">
        <v>7724</v>
      </c>
      <c r="AS76" s="1013" t="s">
        <v>7724</v>
      </c>
      <c r="AT76" s="1013" t="s">
        <v>7724</v>
      </c>
      <c r="AU76" s="1013" t="s">
        <v>7724</v>
      </c>
      <c r="AV76" s="1013" t="s">
        <v>7724</v>
      </c>
      <c r="AW76" s="1013" t="s">
        <v>7724</v>
      </c>
      <c r="AX76" s="1013">
        <v>11</v>
      </c>
      <c r="AY76" s="1013">
        <v>4</v>
      </c>
      <c r="AZ76" s="1013">
        <v>4</v>
      </c>
      <c r="BA76" s="1013">
        <v>3</v>
      </c>
      <c r="BB76" s="1013">
        <v>1</v>
      </c>
      <c r="BC76" s="1013">
        <v>1</v>
      </c>
      <c r="BD76" s="1013">
        <v>5</v>
      </c>
      <c r="BE76" s="1023">
        <v>0.99652777777777779</v>
      </c>
      <c r="BF76" s="1013" t="s">
        <v>7891</v>
      </c>
      <c r="BG76" s="1023">
        <v>0.99652777777777779</v>
      </c>
      <c r="BH76" s="1024">
        <v>44860</v>
      </c>
      <c r="BI76" s="1013" t="s">
        <v>7727</v>
      </c>
      <c r="BJ76" s="1013" t="s">
        <v>7730</v>
      </c>
      <c r="BK76" s="1013">
        <v>2469</v>
      </c>
      <c r="BL76" s="1013" t="s">
        <v>7724</v>
      </c>
      <c r="BM76" s="1013" t="s">
        <v>7724</v>
      </c>
      <c r="BN76" s="1013">
        <v>113</v>
      </c>
      <c r="BO76" s="1013">
        <v>8</v>
      </c>
      <c r="BP76" s="1013">
        <v>2</v>
      </c>
      <c r="BQ76" s="1013">
        <v>1</v>
      </c>
      <c r="BR76" s="1013">
        <v>10</v>
      </c>
      <c r="BS76" s="1013">
        <v>64</v>
      </c>
      <c r="BT76" s="1013">
        <v>3</v>
      </c>
      <c r="BU76" s="1013">
        <v>1</v>
      </c>
      <c r="BV76" s="1013">
        <v>5</v>
      </c>
      <c r="BW76" s="1013">
        <v>1</v>
      </c>
      <c r="BX76" s="1013">
        <v>21</v>
      </c>
      <c r="BY76" s="1013">
        <v>21</v>
      </c>
      <c r="BZ76" s="1013">
        <v>101</v>
      </c>
      <c r="CA76" s="1013">
        <v>208</v>
      </c>
      <c r="CB76" s="1013">
        <v>29.732565000000001</v>
      </c>
      <c r="CC76" s="1013">
        <v>-95.380463000000006</v>
      </c>
      <c r="CD76" s="1013" t="s">
        <v>7724</v>
      </c>
      <c r="CE76" s="1013" t="s">
        <v>7724</v>
      </c>
      <c r="CF76" s="1013" t="s">
        <v>7724</v>
      </c>
      <c r="CG76" s="1013" t="s">
        <v>7724</v>
      </c>
      <c r="CH76" s="1013" t="s">
        <v>7731</v>
      </c>
      <c r="CI76" s="1013" t="s">
        <v>7724</v>
      </c>
      <c r="CJ76" s="1013" t="s">
        <v>7724</v>
      </c>
      <c r="CK76" s="1013" t="s">
        <v>7724</v>
      </c>
      <c r="CL76" s="1013" t="s">
        <v>7724</v>
      </c>
      <c r="CM76" s="1013" t="s">
        <v>7724</v>
      </c>
      <c r="CN76" s="1013" t="s">
        <v>7724</v>
      </c>
      <c r="CO76" s="1013" t="s">
        <v>7724</v>
      </c>
      <c r="CP76" s="1013" t="s">
        <v>7724</v>
      </c>
      <c r="CQ76" s="1013" t="s">
        <v>7724</v>
      </c>
      <c r="CR76" s="1013" t="s">
        <v>7746</v>
      </c>
      <c r="CS76" s="1013" t="s">
        <v>7724</v>
      </c>
      <c r="CT76" s="1013" t="s">
        <v>7724</v>
      </c>
      <c r="CU76" s="1013" t="s">
        <v>7724</v>
      </c>
      <c r="CV76" s="1013" t="s">
        <v>7724</v>
      </c>
      <c r="CW76" s="1013" t="s">
        <v>7727</v>
      </c>
      <c r="CX76" s="1013" t="s">
        <v>7723</v>
      </c>
      <c r="CY76" s="1013" t="s">
        <v>7723</v>
      </c>
      <c r="CZ76" s="1013">
        <v>5</v>
      </c>
      <c r="DA76" s="1013">
        <v>9</v>
      </c>
      <c r="DB76" s="1013" t="s">
        <v>7727</v>
      </c>
      <c r="DC76" s="1013" t="s">
        <v>7737</v>
      </c>
      <c r="DD76" s="1013" t="s">
        <v>7724</v>
      </c>
      <c r="DE76" s="1013" t="s">
        <v>7724</v>
      </c>
      <c r="DF76" s="1013" t="s">
        <v>7724</v>
      </c>
      <c r="DG76" s="1013" t="s">
        <v>7724</v>
      </c>
      <c r="DH76" s="1013" t="s">
        <v>7724</v>
      </c>
      <c r="DI76" s="1013" t="s">
        <v>7724</v>
      </c>
      <c r="DJ76" s="1013" t="s">
        <v>7724</v>
      </c>
      <c r="DK76" s="1013" t="s">
        <v>7724</v>
      </c>
      <c r="DL76" s="1013" t="s">
        <v>7724</v>
      </c>
      <c r="DM76" s="1013" t="s">
        <v>7724</v>
      </c>
      <c r="DN76" s="1013" t="s">
        <v>7724</v>
      </c>
      <c r="DO76" s="1013" t="s">
        <v>7724</v>
      </c>
      <c r="DP76" s="1013" t="s">
        <v>7724</v>
      </c>
      <c r="DQ76" s="1013" t="s">
        <v>7724</v>
      </c>
      <c r="DR76" s="1013" t="s">
        <v>7724</v>
      </c>
      <c r="DS76" s="1013" t="s">
        <v>7724</v>
      </c>
      <c r="DT76" s="1013" t="s">
        <v>7724</v>
      </c>
      <c r="DU76" s="1013" t="s">
        <v>7724</v>
      </c>
      <c r="DV76" s="1013" t="s">
        <v>7724</v>
      </c>
      <c r="DW76" s="1013" t="s">
        <v>7724</v>
      </c>
      <c r="DX76" s="1013" t="s">
        <v>7724</v>
      </c>
      <c r="DY76" s="1013" t="s">
        <v>7724</v>
      </c>
      <c r="DZ76" s="1013" t="s">
        <v>7724</v>
      </c>
      <c r="EA76" s="1013" t="s">
        <v>7724</v>
      </c>
      <c r="EB76" s="1013" t="s">
        <v>7724</v>
      </c>
      <c r="EC76" s="1013" t="s">
        <v>7724</v>
      </c>
      <c r="ED76" s="1013" t="s">
        <v>7724</v>
      </c>
      <c r="EE76" s="1013" t="s">
        <v>7724</v>
      </c>
      <c r="EF76" s="1013" t="s">
        <v>7724</v>
      </c>
      <c r="EG76" s="1013" t="s">
        <v>7724</v>
      </c>
      <c r="EH76" s="1013" t="s">
        <v>7724</v>
      </c>
      <c r="EI76" s="1013" t="s">
        <v>7724</v>
      </c>
      <c r="EJ76" s="1013" t="s">
        <v>7724</v>
      </c>
      <c r="EK76" s="1013" t="s">
        <v>7724</v>
      </c>
      <c r="EL76" s="1013" t="s">
        <v>7724</v>
      </c>
      <c r="EM76" s="1013" t="s">
        <v>7724</v>
      </c>
      <c r="EN76" s="1013" t="s">
        <v>7724</v>
      </c>
      <c r="EO76" s="1013" t="s">
        <v>7724</v>
      </c>
      <c r="EP76" s="1013" t="s">
        <v>7724</v>
      </c>
      <c r="EQ76" s="1013" t="s">
        <v>7724</v>
      </c>
      <c r="ER76" s="1013" t="s">
        <v>7724</v>
      </c>
      <c r="ES76" s="1013" t="s">
        <v>7724</v>
      </c>
      <c r="ET76" s="1013" t="s">
        <v>7724</v>
      </c>
      <c r="EU76" s="1013" t="s">
        <v>7724</v>
      </c>
      <c r="EV76" s="1013" t="s">
        <v>7724</v>
      </c>
      <c r="EW76" s="1013" t="s">
        <v>7724</v>
      </c>
      <c r="EX76" s="1013" t="s">
        <v>7724</v>
      </c>
      <c r="EY76" s="1013" t="s">
        <v>7724</v>
      </c>
      <c r="EZ76" s="1013" t="s">
        <v>7724</v>
      </c>
      <c r="FA76" s="1013" t="s">
        <v>7724</v>
      </c>
      <c r="FB76" s="1013" t="s">
        <v>7724</v>
      </c>
      <c r="FC76" s="1013" t="s">
        <v>7724</v>
      </c>
      <c r="FD76" s="1013" t="s">
        <v>7724</v>
      </c>
      <c r="FE76" s="1013" t="s">
        <v>7724</v>
      </c>
      <c r="FF76" s="1013" t="s">
        <v>7724</v>
      </c>
      <c r="FG76" s="1013">
        <v>0</v>
      </c>
      <c r="FH76" s="1013">
        <v>0</v>
      </c>
      <c r="FI76" s="1013">
        <v>0</v>
      </c>
      <c r="FJ76" s="1013">
        <v>2</v>
      </c>
      <c r="FK76" s="1013">
        <v>0</v>
      </c>
      <c r="FL76" s="1013">
        <v>0</v>
      </c>
      <c r="FM76" s="1013">
        <v>0</v>
      </c>
      <c r="FN76" s="1013">
        <v>15</v>
      </c>
      <c r="FO76" s="1013">
        <v>29</v>
      </c>
      <c r="FP76" s="1013">
        <v>6</v>
      </c>
      <c r="FQ76" s="1013" t="s">
        <v>7724</v>
      </c>
      <c r="FR76" s="1013" t="s">
        <v>7724</v>
      </c>
      <c r="FS76" s="1013" t="s">
        <v>7724</v>
      </c>
      <c r="FT76" s="1013" t="s">
        <v>7724</v>
      </c>
      <c r="FU76" s="1013" t="s">
        <v>7724</v>
      </c>
      <c r="FV76" s="1013" t="s">
        <v>7724</v>
      </c>
      <c r="FW76" s="1013" t="s">
        <v>7724</v>
      </c>
      <c r="FX76" s="1013" t="s">
        <v>7724</v>
      </c>
      <c r="FY76" s="1013" t="s">
        <v>7724</v>
      </c>
      <c r="FZ76" s="1013" t="s">
        <v>7724</v>
      </c>
      <c r="GA76" s="1013" t="s">
        <v>7724</v>
      </c>
      <c r="GB76" s="1013" t="s">
        <v>7724</v>
      </c>
      <c r="GC76" s="1013">
        <v>2022</v>
      </c>
      <c r="GD76" s="1013" t="s">
        <v>1404</v>
      </c>
      <c r="GE76" s="1013">
        <v>2</v>
      </c>
      <c r="GF76" s="1013" t="s">
        <v>1407</v>
      </c>
      <c r="GG76" s="1013" t="s">
        <v>1407</v>
      </c>
      <c r="GH76" s="1013" t="s">
        <v>8064</v>
      </c>
      <c r="GI76" s="1013" t="s">
        <v>7974</v>
      </c>
      <c r="GJ76" s="1013" t="s">
        <v>7974</v>
      </c>
      <c r="GK76" s="1013" t="s">
        <v>7974</v>
      </c>
      <c r="GL76" s="1013" t="s">
        <v>7974</v>
      </c>
    </row>
    <row r="77" spans="1:194" hidden="1">
      <c r="A77" s="1013">
        <v>51</v>
      </c>
      <c r="B77" s="1013" t="s">
        <v>7722</v>
      </c>
      <c r="C77" s="1013">
        <v>17736904</v>
      </c>
      <c r="D77" s="1013" t="s">
        <v>7723</v>
      </c>
      <c r="E77" s="1013" t="s">
        <v>7723</v>
      </c>
      <c r="F77" s="1013" t="s">
        <v>7723</v>
      </c>
      <c r="G77" s="1013" t="s">
        <v>7723</v>
      </c>
      <c r="H77" s="1013" t="s">
        <v>7723</v>
      </c>
      <c r="I77" s="1013" t="s">
        <v>7723</v>
      </c>
      <c r="J77" s="1013" t="s">
        <v>7723</v>
      </c>
      <c r="K77" s="1024">
        <v>43999</v>
      </c>
      <c r="L77" s="1023">
        <v>0.58194444444444449</v>
      </c>
      <c r="M77" s="1013" t="s">
        <v>7829</v>
      </c>
      <c r="N77" s="1013" t="s">
        <v>7724</v>
      </c>
      <c r="O77" s="1013">
        <v>101</v>
      </c>
      <c r="P77" s="1013">
        <v>208</v>
      </c>
      <c r="Q77" s="1013" t="s">
        <v>7723</v>
      </c>
      <c r="R77" s="1013" t="s">
        <v>7727</v>
      </c>
      <c r="S77" s="1013" t="s">
        <v>7724</v>
      </c>
      <c r="T77" s="1014" t="s">
        <v>7724</v>
      </c>
      <c r="U77" s="1014">
        <v>19</v>
      </c>
      <c r="V77" s="1014" t="s">
        <v>7724</v>
      </c>
      <c r="W77" s="1014" t="s">
        <v>7724</v>
      </c>
      <c r="X77" s="1013">
        <v>1</v>
      </c>
      <c r="Y77" s="1013">
        <v>1200</v>
      </c>
      <c r="Z77" s="1013" t="s">
        <v>7724</v>
      </c>
      <c r="AA77" s="1013" t="s">
        <v>7725</v>
      </c>
      <c r="AB77" s="1013" t="s">
        <v>7724</v>
      </c>
      <c r="AC77" s="1013" t="s">
        <v>7723</v>
      </c>
      <c r="AD77" s="1013" t="s">
        <v>7723</v>
      </c>
      <c r="AE77" s="1013">
        <v>40</v>
      </c>
      <c r="AF77" s="1013" t="s">
        <v>7723</v>
      </c>
      <c r="AG77" s="1013" t="s">
        <v>7723</v>
      </c>
      <c r="AH77" s="1013" t="s">
        <v>7830</v>
      </c>
      <c r="AI77" s="1013" t="s">
        <v>7727</v>
      </c>
      <c r="AJ77" s="1013">
        <v>19</v>
      </c>
      <c r="AK77" s="1013" t="s">
        <v>7724</v>
      </c>
      <c r="AL77" s="1013" t="s">
        <v>7724</v>
      </c>
      <c r="AM77" s="1013">
        <v>1</v>
      </c>
      <c r="AN77" s="1013">
        <v>2300</v>
      </c>
      <c r="AO77" s="1013" t="s">
        <v>7724</v>
      </c>
      <c r="AP77" s="1013" t="s">
        <v>7745</v>
      </c>
      <c r="AQ77" s="1013" t="s">
        <v>7726</v>
      </c>
      <c r="AR77" s="1013" t="s">
        <v>7724</v>
      </c>
      <c r="AS77" s="1013" t="s">
        <v>7724</v>
      </c>
      <c r="AT77" s="1013" t="s">
        <v>7724</v>
      </c>
      <c r="AU77" s="1013" t="s">
        <v>7724</v>
      </c>
      <c r="AV77" s="1013" t="s">
        <v>7724</v>
      </c>
      <c r="AW77" s="1013" t="s">
        <v>7724</v>
      </c>
      <c r="AX77" s="1013">
        <v>11</v>
      </c>
      <c r="AY77" s="1013">
        <v>1</v>
      </c>
      <c r="AZ77" s="1013">
        <v>4</v>
      </c>
      <c r="BA77" s="1013">
        <v>2</v>
      </c>
      <c r="BB77" s="1013">
        <v>1</v>
      </c>
      <c r="BC77" s="1013">
        <v>1</v>
      </c>
      <c r="BD77" s="1013">
        <v>8</v>
      </c>
      <c r="BE77" s="1023">
        <v>0.6</v>
      </c>
      <c r="BF77" s="1013" t="s">
        <v>7729</v>
      </c>
      <c r="BG77" s="1023">
        <v>0.60416666666666663</v>
      </c>
      <c r="BH77" s="1024">
        <v>43999</v>
      </c>
      <c r="BI77" s="1013" t="s">
        <v>7727</v>
      </c>
      <c r="BJ77" s="1013" t="s">
        <v>7730</v>
      </c>
      <c r="BK77" s="1013">
        <v>2469</v>
      </c>
      <c r="BL77" s="1013" t="s">
        <v>7724</v>
      </c>
      <c r="BM77" s="1013" t="s">
        <v>7724</v>
      </c>
      <c r="BN77" s="1013">
        <v>113</v>
      </c>
      <c r="BO77" s="1013">
        <v>8</v>
      </c>
      <c r="BP77" s="1013">
        <v>2</v>
      </c>
      <c r="BQ77" s="1013">
        <v>1</v>
      </c>
      <c r="BR77" s="1013">
        <v>10</v>
      </c>
      <c r="BS77" s="1013">
        <v>64</v>
      </c>
      <c r="BT77" s="1013">
        <v>54</v>
      </c>
      <c r="BU77" s="1013">
        <v>1</v>
      </c>
      <c r="BV77" s="1013">
        <v>5</v>
      </c>
      <c r="BW77" s="1013">
        <v>1</v>
      </c>
      <c r="BX77" s="1013">
        <v>21</v>
      </c>
      <c r="BY77" s="1013">
        <v>21</v>
      </c>
      <c r="BZ77" s="1013">
        <v>101</v>
      </c>
      <c r="CA77" s="1013">
        <v>208</v>
      </c>
      <c r="CB77" s="1013">
        <v>29.732565000000001</v>
      </c>
      <c r="CC77" s="1013">
        <v>-95.380463000000006</v>
      </c>
      <c r="CD77" s="1013" t="s">
        <v>7724</v>
      </c>
      <c r="CE77" s="1013" t="s">
        <v>7724</v>
      </c>
      <c r="CF77" s="1013" t="s">
        <v>7724</v>
      </c>
      <c r="CG77" s="1013" t="s">
        <v>7724</v>
      </c>
      <c r="CH77" s="1013" t="s">
        <v>7731</v>
      </c>
      <c r="CI77" s="1013" t="s">
        <v>7724</v>
      </c>
      <c r="CJ77" s="1013" t="s">
        <v>7724</v>
      </c>
      <c r="CK77" s="1013" t="s">
        <v>7724</v>
      </c>
      <c r="CL77" s="1013" t="s">
        <v>7724</v>
      </c>
      <c r="CM77" s="1013" t="s">
        <v>7724</v>
      </c>
      <c r="CN77" s="1013" t="s">
        <v>7724</v>
      </c>
      <c r="CO77" s="1013" t="s">
        <v>7724</v>
      </c>
      <c r="CP77" s="1013" t="s">
        <v>7724</v>
      </c>
      <c r="CQ77" s="1013" t="s">
        <v>7724</v>
      </c>
      <c r="CR77" s="1013" t="s">
        <v>7746</v>
      </c>
      <c r="CS77" s="1013" t="s">
        <v>7724</v>
      </c>
      <c r="CT77" s="1013" t="s">
        <v>7724</v>
      </c>
      <c r="CU77" s="1013" t="s">
        <v>7724</v>
      </c>
      <c r="CV77" s="1013" t="s">
        <v>7724</v>
      </c>
      <c r="CW77" s="1013" t="s">
        <v>7727</v>
      </c>
      <c r="CX77" s="1013" t="s">
        <v>7723</v>
      </c>
      <c r="CY77" s="1013" t="s">
        <v>7723</v>
      </c>
      <c r="CZ77" s="1013">
        <v>5</v>
      </c>
      <c r="DA77" s="1013">
        <v>9</v>
      </c>
      <c r="DB77" s="1013" t="s">
        <v>7727</v>
      </c>
      <c r="DC77" s="1013" t="s">
        <v>7756</v>
      </c>
      <c r="DD77" s="1013" t="s">
        <v>7724</v>
      </c>
      <c r="DE77" s="1013" t="s">
        <v>7724</v>
      </c>
      <c r="DF77" s="1013" t="s">
        <v>7724</v>
      </c>
      <c r="DG77" s="1013" t="s">
        <v>7724</v>
      </c>
      <c r="DH77" s="1013" t="s">
        <v>7724</v>
      </c>
      <c r="DI77" s="1013" t="s">
        <v>7724</v>
      </c>
      <c r="DJ77" s="1013" t="s">
        <v>7724</v>
      </c>
      <c r="DK77" s="1013" t="s">
        <v>7724</v>
      </c>
      <c r="DL77" s="1013" t="s">
        <v>7724</v>
      </c>
      <c r="DM77" s="1013" t="s">
        <v>7724</v>
      </c>
      <c r="DN77" s="1013" t="s">
        <v>7724</v>
      </c>
      <c r="DO77" s="1013" t="s">
        <v>7724</v>
      </c>
      <c r="DP77" s="1013" t="s">
        <v>7724</v>
      </c>
      <c r="DQ77" s="1013" t="s">
        <v>7724</v>
      </c>
      <c r="DR77" s="1013" t="s">
        <v>7724</v>
      </c>
      <c r="DS77" s="1013" t="s">
        <v>7724</v>
      </c>
      <c r="DT77" s="1013" t="s">
        <v>7724</v>
      </c>
      <c r="DU77" s="1013" t="s">
        <v>7724</v>
      </c>
      <c r="DV77" s="1013" t="s">
        <v>7724</v>
      </c>
      <c r="DW77" s="1013" t="s">
        <v>7724</v>
      </c>
      <c r="DX77" s="1013" t="s">
        <v>7724</v>
      </c>
      <c r="DY77" s="1013" t="s">
        <v>7724</v>
      </c>
      <c r="DZ77" s="1013" t="s">
        <v>7724</v>
      </c>
      <c r="EA77" s="1013" t="s">
        <v>7724</v>
      </c>
      <c r="EB77" s="1013" t="s">
        <v>7724</v>
      </c>
      <c r="EC77" s="1013" t="s">
        <v>7724</v>
      </c>
      <c r="ED77" s="1013" t="s">
        <v>7724</v>
      </c>
      <c r="EE77" s="1013" t="s">
        <v>7724</v>
      </c>
      <c r="EF77" s="1013" t="s">
        <v>7724</v>
      </c>
      <c r="EG77" s="1013" t="s">
        <v>7724</v>
      </c>
      <c r="EH77" s="1013" t="s">
        <v>7724</v>
      </c>
      <c r="EI77" s="1013" t="s">
        <v>7724</v>
      </c>
      <c r="EJ77" s="1013" t="s">
        <v>7724</v>
      </c>
      <c r="EK77" s="1013" t="s">
        <v>7724</v>
      </c>
      <c r="EL77" s="1013" t="s">
        <v>7724</v>
      </c>
      <c r="EM77" s="1013" t="s">
        <v>7724</v>
      </c>
      <c r="EN77" s="1013" t="s">
        <v>7724</v>
      </c>
      <c r="EO77" s="1013" t="s">
        <v>7724</v>
      </c>
      <c r="EP77" s="1013" t="s">
        <v>7724</v>
      </c>
      <c r="EQ77" s="1013" t="s">
        <v>7724</v>
      </c>
      <c r="ER77" s="1013" t="s">
        <v>7724</v>
      </c>
      <c r="ES77" s="1013" t="s">
        <v>7724</v>
      </c>
      <c r="ET77" s="1013" t="s">
        <v>7724</v>
      </c>
      <c r="EU77" s="1013" t="s">
        <v>7724</v>
      </c>
      <c r="EV77" s="1013" t="s">
        <v>7724</v>
      </c>
      <c r="EW77" s="1013" t="s">
        <v>7724</v>
      </c>
      <c r="EX77" s="1013" t="s">
        <v>7724</v>
      </c>
      <c r="EY77" s="1013" t="s">
        <v>7724</v>
      </c>
      <c r="EZ77" s="1013" t="s">
        <v>7724</v>
      </c>
      <c r="FA77" s="1013" t="s">
        <v>7724</v>
      </c>
      <c r="FB77" s="1013" t="s">
        <v>7724</v>
      </c>
      <c r="FC77" s="1013" t="s">
        <v>7724</v>
      </c>
      <c r="FD77" s="1013" t="s">
        <v>7724</v>
      </c>
      <c r="FE77" s="1013" t="s">
        <v>7724</v>
      </c>
      <c r="FF77" s="1013" t="s">
        <v>7724</v>
      </c>
      <c r="FG77" s="1013">
        <v>0</v>
      </c>
      <c r="FH77" s="1013">
        <v>0</v>
      </c>
      <c r="FI77" s="1013">
        <v>0</v>
      </c>
      <c r="FJ77" s="1013">
        <v>3</v>
      </c>
      <c r="FK77" s="1013">
        <v>0</v>
      </c>
      <c r="FL77" s="1013">
        <v>0</v>
      </c>
      <c r="FM77" s="1013">
        <v>0</v>
      </c>
      <c r="FN77" s="1013">
        <v>15</v>
      </c>
      <c r="FO77" s="1013">
        <v>29</v>
      </c>
      <c r="FP77" s="1013">
        <v>6</v>
      </c>
      <c r="FQ77" s="1013" t="s">
        <v>7724</v>
      </c>
      <c r="FR77" s="1013" t="s">
        <v>7724</v>
      </c>
      <c r="FS77" s="1013" t="s">
        <v>7724</v>
      </c>
      <c r="FT77" s="1013" t="s">
        <v>7724</v>
      </c>
      <c r="FU77" s="1013" t="s">
        <v>7724</v>
      </c>
      <c r="FV77" s="1013" t="s">
        <v>7724</v>
      </c>
      <c r="FW77" s="1013" t="s">
        <v>7724</v>
      </c>
      <c r="FX77" s="1013" t="s">
        <v>7724</v>
      </c>
      <c r="FY77" s="1013" t="s">
        <v>7724</v>
      </c>
      <c r="FZ77" s="1013" t="s">
        <v>7724</v>
      </c>
      <c r="GA77" s="1013" t="s">
        <v>7724</v>
      </c>
      <c r="GB77" s="1013" t="s">
        <v>7724</v>
      </c>
      <c r="GC77" s="1013">
        <v>2020</v>
      </c>
      <c r="GD77" s="1013" t="s">
        <v>1404</v>
      </c>
      <c r="GE77" s="1013">
        <v>2</v>
      </c>
      <c r="GF77" s="1013" t="s">
        <v>1407</v>
      </c>
      <c r="GG77" s="1013" t="s">
        <v>1407</v>
      </c>
      <c r="GH77" s="1013" t="s">
        <v>7975</v>
      </c>
      <c r="GI77" s="1013" t="s">
        <v>7974</v>
      </c>
      <c r="GJ77" s="1013" t="s">
        <v>7974</v>
      </c>
      <c r="GK77" s="1013" t="s">
        <v>7974</v>
      </c>
      <c r="GL77" s="1013" t="s">
        <v>7974</v>
      </c>
    </row>
    <row r="78" spans="1:194" hidden="1">
      <c r="A78" s="1013">
        <v>52</v>
      </c>
      <c r="B78" s="1013" t="s">
        <v>7722</v>
      </c>
      <c r="C78" s="1013">
        <v>17736951</v>
      </c>
      <c r="D78" s="1013" t="s">
        <v>7723</v>
      </c>
      <c r="E78" s="1013" t="s">
        <v>7723</v>
      </c>
      <c r="F78" s="1013" t="s">
        <v>7723</v>
      </c>
      <c r="G78" s="1013" t="s">
        <v>7723</v>
      </c>
      <c r="H78" s="1013" t="s">
        <v>7723</v>
      </c>
      <c r="I78" s="1013" t="s">
        <v>7723</v>
      </c>
      <c r="J78" s="1013" t="s">
        <v>7723</v>
      </c>
      <c r="K78" s="1024">
        <v>44000</v>
      </c>
      <c r="L78" s="1023">
        <v>0.5708333333333333</v>
      </c>
      <c r="M78" s="1013" t="s">
        <v>7831</v>
      </c>
      <c r="N78" s="1013" t="s">
        <v>7724</v>
      </c>
      <c r="O78" s="1013">
        <v>101</v>
      </c>
      <c r="P78" s="1013">
        <v>208</v>
      </c>
      <c r="Q78" s="1013" t="s">
        <v>7723</v>
      </c>
      <c r="R78" s="1013" t="s">
        <v>7727</v>
      </c>
      <c r="S78" s="1013" t="s">
        <v>7724</v>
      </c>
      <c r="T78" s="1014" t="s">
        <v>7724</v>
      </c>
      <c r="U78" s="1014">
        <v>19</v>
      </c>
      <c r="V78" s="1014" t="s">
        <v>7724</v>
      </c>
      <c r="W78" s="1014" t="s">
        <v>7724</v>
      </c>
      <c r="X78" s="1013">
        <v>1</v>
      </c>
      <c r="Y78" s="1013">
        <v>1200</v>
      </c>
      <c r="Z78" s="1013" t="s">
        <v>7724</v>
      </c>
      <c r="AA78" s="1013" t="s">
        <v>7725</v>
      </c>
      <c r="AB78" s="1013" t="s">
        <v>7724</v>
      </c>
      <c r="AC78" s="1013" t="s">
        <v>7723</v>
      </c>
      <c r="AD78" s="1013" t="s">
        <v>7723</v>
      </c>
      <c r="AE78" s="1013">
        <v>40</v>
      </c>
      <c r="AF78" s="1013" t="s">
        <v>7723</v>
      </c>
      <c r="AG78" s="1013" t="s">
        <v>7723</v>
      </c>
      <c r="AH78" s="1013" t="s">
        <v>7739</v>
      </c>
      <c r="AI78" s="1013" t="s">
        <v>7727</v>
      </c>
      <c r="AJ78" s="1013">
        <v>19</v>
      </c>
      <c r="AK78" s="1013" t="s">
        <v>7724</v>
      </c>
      <c r="AL78" s="1013" t="s">
        <v>7724</v>
      </c>
      <c r="AM78" s="1013">
        <v>1</v>
      </c>
      <c r="AN78" s="1013">
        <v>4300</v>
      </c>
      <c r="AO78" s="1013" t="s">
        <v>7724</v>
      </c>
      <c r="AP78" s="1013" t="s">
        <v>7745</v>
      </c>
      <c r="AQ78" s="1013" t="s">
        <v>7726</v>
      </c>
      <c r="AR78" s="1013" t="s">
        <v>7724</v>
      </c>
      <c r="AS78" s="1013" t="s">
        <v>7724</v>
      </c>
      <c r="AT78" s="1013" t="s">
        <v>7724</v>
      </c>
      <c r="AU78" s="1013" t="s">
        <v>7724</v>
      </c>
      <c r="AV78" s="1013" t="s">
        <v>7724</v>
      </c>
      <c r="AW78" s="1013" t="s">
        <v>7724</v>
      </c>
      <c r="AX78" s="1013">
        <v>11</v>
      </c>
      <c r="AY78" s="1013">
        <v>1</v>
      </c>
      <c r="AZ78" s="1013">
        <v>4</v>
      </c>
      <c r="BA78" s="1013">
        <v>2</v>
      </c>
      <c r="BB78" s="1013">
        <v>1</v>
      </c>
      <c r="BC78" s="1013">
        <v>1</v>
      </c>
      <c r="BD78" s="1013">
        <v>8</v>
      </c>
      <c r="BE78" s="1023">
        <v>0.59930555555555554</v>
      </c>
      <c r="BF78" s="1013" t="s">
        <v>7729</v>
      </c>
      <c r="BG78" s="1023">
        <v>0.60277777777777775</v>
      </c>
      <c r="BH78" s="1024">
        <v>44000</v>
      </c>
      <c r="BI78" s="1013" t="s">
        <v>7727</v>
      </c>
      <c r="BJ78" s="1013" t="s">
        <v>7730</v>
      </c>
      <c r="BK78" s="1013">
        <v>2469</v>
      </c>
      <c r="BL78" s="1013" t="s">
        <v>7724</v>
      </c>
      <c r="BM78" s="1013" t="s">
        <v>7724</v>
      </c>
      <c r="BN78" s="1013">
        <v>113</v>
      </c>
      <c r="BO78" s="1013">
        <v>8</v>
      </c>
      <c r="BP78" s="1013">
        <v>2</v>
      </c>
      <c r="BQ78" s="1013">
        <v>1</v>
      </c>
      <c r="BR78" s="1013">
        <v>10</v>
      </c>
      <c r="BS78" s="1013">
        <v>64</v>
      </c>
      <c r="BT78" s="1013">
        <v>54</v>
      </c>
      <c r="BU78" s="1013">
        <v>1</v>
      </c>
      <c r="BV78" s="1013">
        <v>5</v>
      </c>
      <c r="BW78" s="1013">
        <v>1</v>
      </c>
      <c r="BX78" s="1013">
        <v>21</v>
      </c>
      <c r="BY78" s="1013">
        <v>21</v>
      </c>
      <c r="BZ78" s="1013">
        <v>101</v>
      </c>
      <c r="CA78" s="1013">
        <v>208</v>
      </c>
      <c r="CB78" s="1013">
        <v>29.732565000000001</v>
      </c>
      <c r="CC78" s="1013">
        <v>-95.380463000000006</v>
      </c>
      <c r="CD78" s="1013" t="s">
        <v>7724</v>
      </c>
      <c r="CE78" s="1013" t="s">
        <v>7724</v>
      </c>
      <c r="CF78" s="1013" t="s">
        <v>7724</v>
      </c>
      <c r="CG78" s="1013" t="s">
        <v>7724</v>
      </c>
      <c r="CH78" s="1013" t="s">
        <v>7731</v>
      </c>
      <c r="CI78" s="1013" t="s">
        <v>7724</v>
      </c>
      <c r="CJ78" s="1013" t="s">
        <v>7724</v>
      </c>
      <c r="CK78" s="1013" t="s">
        <v>7724</v>
      </c>
      <c r="CL78" s="1013" t="s">
        <v>7724</v>
      </c>
      <c r="CM78" s="1013" t="s">
        <v>7724</v>
      </c>
      <c r="CN78" s="1013" t="s">
        <v>7724</v>
      </c>
      <c r="CO78" s="1013" t="s">
        <v>7724</v>
      </c>
      <c r="CP78" s="1013" t="s">
        <v>7724</v>
      </c>
      <c r="CQ78" s="1013" t="s">
        <v>7724</v>
      </c>
      <c r="CR78" s="1013" t="s">
        <v>7746</v>
      </c>
      <c r="CS78" s="1013" t="s">
        <v>7724</v>
      </c>
      <c r="CT78" s="1013" t="s">
        <v>7724</v>
      </c>
      <c r="CU78" s="1013" t="s">
        <v>7724</v>
      </c>
      <c r="CV78" s="1013" t="s">
        <v>7724</v>
      </c>
      <c r="CW78" s="1013" t="s">
        <v>7727</v>
      </c>
      <c r="CX78" s="1013" t="s">
        <v>7723</v>
      </c>
      <c r="CY78" s="1013" t="s">
        <v>7723</v>
      </c>
      <c r="CZ78" s="1013">
        <v>5</v>
      </c>
      <c r="DA78" s="1013">
        <v>9</v>
      </c>
      <c r="DB78" s="1013" t="s">
        <v>7727</v>
      </c>
      <c r="DC78" s="1013" t="s">
        <v>7740</v>
      </c>
      <c r="DD78" s="1013" t="s">
        <v>7724</v>
      </c>
      <c r="DE78" s="1013" t="s">
        <v>7724</v>
      </c>
      <c r="DF78" s="1013" t="s">
        <v>7724</v>
      </c>
      <c r="DG78" s="1013" t="s">
        <v>7724</v>
      </c>
      <c r="DH78" s="1013" t="s">
        <v>7724</v>
      </c>
      <c r="DI78" s="1013" t="s">
        <v>7724</v>
      </c>
      <c r="DJ78" s="1013" t="s">
        <v>7724</v>
      </c>
      <c r="DK78" s="1013" t="s">
        <v>7724</v>
      </c>
      <c r="DL78" s="1013" t="s">
        <v>7724</v>
      </c>
      <c r="DM78" s="1013" t="s">
        <v>7724</v>
      </c>
      <c r="DN78" s="1013" t="s">
        <v>7724</v>
      </c>
      <c r="DO78" s="1013" t="s">
        <v>7724</v>
      </c>
      <c r="DP78" s="1013" t="s">
        <v>7724</v>
      </c>
      <c r="DQ78" s="1013" t="s">
        <v>7724</v>
      </c>
      <c r="DR78" s="1013" t="s">
        <v>7724</v>
      </c>
      <c r="DS78" s="1013" t="s">
        <v>7724</v>
      </c>
      <c r="DT78" s="1013" t="s">
        <v>7724</v>
      </c>
      <c r="DU78" s="1013" t="s">
        <v>7724</v>
      </c>
      <c r="DV78" s="1013" t="s">
        <v>7724</v>
      </c>
      <c r="DW78" s="1013" t="s">
        <v>7724</v>
      </c>
      <c r="DX78" s="1013" t="s">
        <v>7724</v>
      </c>
      <c r="DY78" s="1013" t="s">
        <v>7724</v>
      </c>
      <c r="DZ78" s="1013" t="s">
        <v>7724</v>
      </c>
      <c r="EA78" s="1013" t="s">
        <v>7724</v>
      </c>
      <c r="EB78" s="1013" t="s">
        <v>7724</v>
      </c>
      <c r="EC78" s="1013" t="s">
        <v>7724</v>
      </c>
      <c r="ED78" s="1013" t="s">
        <v>7724</v>
      </c>
      <c r="EE78" s="1013" t="s">
        <v>7724</v>
      </c>
      <c r="EF78" s="1013" t="s">
        <v>7724</v>
      </c>
      <c r="EG78" s="1013" t="s">
        <v>7724</v>
      </c>
      <c r="EH78" s="1013" t="s">
        <v>7724</v>
      </c>
      <c r="EI78" s="1013" t="s">
        <v>7724</v>
      </c>
      <c r="EJ78" s="1013" t="s">
        <v>7724</v>
      </c>
      <c r="EK78" s="1013" t="s">
        <v>7724</v>
      </c>
      <c r="EL78" s="1013" t="s">
        <v>7724</v>
      </c>
      <c r="EM78" s="1013" t="s">
        <v>7724</v>
      </c>
      <c r="EN78" s="1013" t="s">
        <v>7724</v>
      </c>
      <c r="EO78" s="1013" t="s">
        <v>7724</v>
      </c>
      <c r="EP78" s="1013" t="s">
        <v>7724</v>
      </c>
      <c r="EQ78" s="1013" t="s">
        <v>7724</v>
      </c>
      <c r="ER78" s="1013" t="s">
        <v>7724</v>
      </c>
      <c r="ES78" s="1013" t="s">
        <v>7724</v>
      </c>
      <c r="ET78" s="1013" t="s">
        <v>7724</v>
      </c>
      <c r="EU78" s="1013" t="s">
        <v>7724</v>
      </c>
      <c r="EV78" s="1013" t="s">
        <v>7724</v>
      </c>
      <c r="EW78" s="1013" t="s">
        <v>7724</v>
      </c>
      <c r="EX78" s="1013" t="s">
        <v>7724</v>
      </c>
      <c r="EY78" s="1013" t="s">
        <v>7724</v>
      </c>
      <c r="EZ78" s="1013" t="s">
        <v>7724</v>
      </c>
      <c r="FA78" s="1013" t="s">
        <v>7724</v>
      </c>
      <c r="FB78" s="1013" t="s">
        <v>7724</v>
      </c>
      <c r="FC78" s="1013" t="s">
        <v>7724</v>
      </c>
      <c r="FD78" s="1013" t="s">
        <v>7724</v>
      </c>
      <c r="FE78" s="1013" t="s">
        <v>7724</v>
      </c>
      <c r="FF78" s="1013" t="s">
        <v>7724</v>
      </c>
      <c r="FG78" s="1013">
        <v>0</v>
      </c>
      <c r="FH78" s="1013">
        <v>0</v>
      </c>
      <c r="FI78" s="1013">
        <v>0</v>
      </c>
      <c r="FJ78" s="1013">
        <v>2</v>
      </c>
      <c r="FK78" s="1013">
        <v>0</v>
      </c>
      <c r="FL78" s="1013">
        <v>0</v>
      </c>
      <c r="FM78" s="1013">
        <v>0</v>
      </c>
      <c r="FN78" s="1013">
        <v>15</v>
      </c>
      <c r="FO78" s="1013">
        <v>29</v>
      </c>
      <c r="FP78" s="1013">
        <v>6</v>
      </c>
      <c r="FQ78" s="1013" t="s">
        <v>7724</v>
      </c>
      <c r="FR78" s="1013" t="s">
        <v>7724</v>
      </c>
      <c r="FS78" s="1013" t="s">
        <v>7724</v>
      </c>
      <c r="FT78" s="1013" t="s">
        <v>7724</v>
      </c>
      <c r="FU78" s="1013" t="s">
        <v>7724</v>
      </c>
      <c r="FV78" s="1013" t="s">
        <v>7724</v>
      </c>
      <c r="FW78" s="1013" t="s">
        <v>7724</v>
      </c>
      <c r="FX78" s="1013" t="s">
        <v>7724</v>
      </c>
      <c r="FY78" s="1013" t="s">
        <v>7724</v>
      </c>
      <c r="FZ78" s="1013" t="s">
        <v>7724</v>
      </c>
      <c r="GA78" s="1013" t="s">
        <v>7724</v>
      </c>
      <c r="GB78" s="1013" t="s">
        <v>7724</v>
      </c>
      <c r="GC78" s="1013">
        <v>2020</v>
      </c>
      <c r="GD78" s="1013" t="s">
        <v>1404</v>
      </c>
      <c r="GE78" s="1013">
        <v>2</v>
      </c>
      <c r="GF78" s="1013" t="s">
        <v>1407</v>
      </c>
      <c r="GG78" s="1013" t="s">
        <v>1407</v>
      </c>
      <c r="GH78" s="1013" t="s">
        <v>7975</v>
      </c>
      <c r="GI78" s="1013" t="s">
        <v>7974</v>
      </c>
      <c r="GJ78" s="1013" t="s">
        <v>7974</v>
      </c>
      <c r="GK78" s="1013" t="s">
        <v>7974</v>
      </c>
      <c r="GL78" s="1013" t="s">
        <v>7974</v>
      </c>
    </row>
    <row r="79" spans="1:194" hidden="1">
      <c r="A79" s="1013">
        <v>78</v>
      </c>
      <c r="B79" s="1013" t="s">
        <v>7722</v>
      </c>
      <c r="C79" s="1013">
        <v>16922005</v>
      </c>
      <c r="D79" s="1013" t="s">
        <v>7723</v>
      </c>
      <c r="E79" s="1013" t="s">
        <v>7723</v>
      </c>
      <c r="F79" s="1013" t="s">
        <v>7723</v>
      </c>
      <c r="G79" s="1013" t="s">
        <v>7723</v>
      </c>
      <c r="H79" s="1013" t="s">
        <v>7723</v>
      </c>
      <c r="I79" s="1013" t="s">
        <v>7723</v>
      </c>
      <c r="J79" s="1013" t="s">
        <v>7723</v>
      </c>
      <c r="K79" s="1024">
        <v>43522</v>
      </c>
      <c r="L79" s="1023">
        <v>0.71458333333333335</v>
      </c>
      <c r="M79" s="1013" t="s">
        <v>7773</v>
      </c>
      <c r="N79" s="1013" t="s">
        <v>7724</v>
      </c>
      <c r="O79" s="1013">
        <v>101</v>
      </c>
      <c r="P79" s="1013">
        <v>208</v>
      </c>
      <c r="Q79" s="1013" t="s">
        <v>7723</v>
      </c>
      <c r="R79" s="1013" t="s">
        <v>7727</v>
      </c>
      <c r="S79" s="1013" t="s">
        <v>7724</v>
      </c>
      <c r="T79" s="1014" t="s">
        <v>7724</v>
      </c>
      <c r="U79" s="1014">
        <v>19</v>
      </c>
      <c r="V79" s="1014" t="s">
        <v>7724</v>
      </c>
      <c r="W79" s="1014" t="s">
        <v>7724</v>
      </c>
      <c r="X79" s="1013">
        <v>1</v>
      </c>
      <c r="Y79" s="1013">
        <v>1300</v>
      </c>
      <c r="Z79" s="1013" t="s">
        <v>7724</v>
      </c>
      <c r="AA79" s="1013" t="s">
        <v>7725</v>
      </c>
      <c r="AB79" s="1013" t="s">
        <v>7726</v>
      </c>
      <c r="AC79" s="1013" t="s">
        <v>7723</v>
      </c>
      <c r="AD79" s="1013" t="s">
        <v>7723</v>
      </c>
      <c r="AE79" s="1013">
        <v>30</v>
      </c>
      <c r="AF79" s="1013" t="s">
        <v>7723</v>
      </c>
      <c r="AG79" s="1013" t="s">
        <v>7723</v>
      </c>
      <c r="AH79" s="1013" t="s">
        <v>7724</v>
      </c>
      <c r="AI79" s="1013" t="s">
        <v>7727</v>
      </c>
      <c r="AJ79" s="1013">
        <v>19</v>
      </c>
      <c r="AK79" s="1013" t="s">
        <v>7724</v>
      </c>
      <c r="AL79" s="1013" t="s">
        <v>7724</v>
      </c>
      <c r="AM79" s="1013">
        <v>1</v>
      </c>
      <c r="AN79" s="1013" t="s">
        <v>7724</v>
      </c>
      <c r="AO79" s="1013" t="s">
        <v>7724</v>
      </c>
      <c r="AP79" s="1013" t="s">
        <v>7745</v>
      </c>
      <c r="AQ79" s="1013" t="s">
        <v>7726</v>
      </c>
      <c r="AR79" s="1013" t="s">
        <v>7724</v>
      </c>
      <c r="AS79" s="1013" t="s">
        <v>7724</v>
      </c>
      <c r="AT79" s="1013" t="s">
        <v>7724</v>
      </c>
      <c r="AU79" s="1013" t="s">
        <v>7724</v>
      </c>
      <c r="AV79" s="1013" t="s">
        <v>7724</v>
      </c>
      <c r="AW79" s="1013" t="s">
        <v>7724</v>
      </c>
      <c r="AX79" s="1013">
        <v>2</v>
      </c>
      <c r="AY79" s="1013">
        <v>1</v>
      </c>
      <c r="AZ79" s="1013">
        <v>0</v>
      </c>
      <c r="BA79" s="1013">
        <v>1</v>
      </c>
      <c r="BB79" s="1013">
        <v>1</v>
      </c>
      <c r="BC79" s="1013">
        <v>2</v>
      </c>
      <c r="BD79" s="1013">
        <v>8</v>
      </c>
      <c r="BE79" s="1023">
        <v>0.71736111111111112</v>
      </c>
      <c r="BF79" s="1013" t="s">
        <v>7736</v>
      </c>
      <c r="BG79" s="1023">
        <v>0.72222222222222221</v>
      </c>
      <c r="BH79" s="1024">
        <v>43522</v>
      </c>
      <c r="BI79" s="1013" t="s">
        <v>7727</v>
      </c>
      <c r="BJ79" s="1013" t="s">
        <v>7730</v>
      </c>
      <c r="BK79" s="1013">
        <v>2469</v>
      </c>
      <c r="BL79" s="1013" t="s">
        <v>7724</v>
      </c>
      <c r="BM79" s="1013" t="s">
        <v>7724</v>
      </c>
      <c r="BN79" s="1013">
        <v>113</v>
      </c>
      <c r="BO79" s="1013">
        <v>8</v>
      </c>
      <c r="BP79" s="1013">
        <v>2</v>
      </c>
      <c r="BQ79" s="1013">
        <v>1</v>
      </c>
      <c r="BR79" s="1013">
        <v>10</v>
      </c>
      <c r="BS79" s="1013">
        <v>64</v>
      </c>
      <c r="BT79" s="1013">
        <v>54</v>
      </c>
      <c r="BU79" s="1013">
        <v>1</v>
      </c>
      <c r="BV79" s="1013">
        <v>5</v>
      </c>
      <c r="BW79" s="1013">
        <v>1</v>
      </c>
      <c r="BX79" s="1013">
        <v>21</v>
      </c>
      <c r="BY79" s="1013">
        <v>21</v>
      </c>
      <c r="BZ79" s="1013">
        <v>101</v>
      </c>
      <c r="CA79" s="1013">
        <v>208</v>
      </c>
      <c r="CB79" s="1013">
        <v>29.732565000000001</v>
      </c>
      <c r="CC79" s="1013">
        <v>-95.380463000000006</v>
      </c>
      <c r="CD79" s="1013" t="s">
        <v>7724</v>
      </c>
      <c r="CE79" s="1013" t="s">
        <v>7724</v>
      </c>
      <c r="CF79" s="1013" t="s">
        <v>7724</v>
      </c>
      <c r="CG79" s="1013" t="s">
        <v>7724</v>
      </c>
      <c r="CH79" s="1013" t="s">
        <v>7731</v>
      </c>
      <c r="CI79" s="1013" t="s">
        <v>7724</v>
      </c>
      <c r="CJ79" s="1013" t="s">
        <v>7724</v>
      </c>
      <c r="CK79" s="1013" t="s">
        <v>7724</v>
      </c>
      <c r="CL79" s="1013" t="s">
        <v>7724</v>
      </c>
      <c r="CM79" s="1013" t="s">
        <v>7724</v>
      </c>
      <c r="CN79" s="1013" t="s">
        <v>7724</v>
      </c>
      <c r="CO79" s="1013" t="s">
        <v>7724</v>
      </c>
      <c r="CP79" s="1013" t="s">
        <v>7724</v>
      </c>
      <c r="CQ79" s="1013" t="s">
        <v>7724</v>
      </c>
      <c r="CR79" s="1013" t="s">
        <v>7746</v>
      </c>
      <c r="CS79" s="1013" t="s">
        <v>7724</v>
      </c>
      <c r="CT79" s="1013" t="s">
        <v>7724</v>
      </c>
      <c r="CU79" s="1013" t="s">
        <v>7724</v>
      </c>
      <c r="CV79" s="1013" t="s">
        <v>7724</v>
      </c>
      <c r="CW79" s="1013" t="s">
        <v>7727</v>
      </c>
      <c r="CX79" s="1013" t="s">
        <v>7723</v>
      </c>
      <c r="CY79" s="1013" t="s">
        <v>7723</v>
      </c>
      <c r="CZ79" s="1013">
        <v>2</v>
      </c>
      <c r="DA79" s="1013">
        <v>9</v>
      </c>
      <c r="DB79" s="1013" t="s">
        <v>7727</v>
      </c>
      <c r="DC79" s="1013" t="s">
        <v>7737</v>
      </c>
      <c r="DD79" s="1013" t="s">
        <v>7724</v>
      </c>
      <c r="DE79" s="1013" t="s">
        <v>7724</v>
      </c>
      <c r="DF79" s="1013" t="s">
        <v>7724</v>
      </c>
      <c r="DG79" s="1013" t="s">
        <v>7724</v>
      </c>
      <c r="DH79" s="1013" t="s">
        <v>7724</v>
      </c>
      <c r="DI79" s="1013" t="s">
        <v>7724</v>
      </c>
      <c r="DJ79" s="1013" t="s">
        <v>7724</v>
      </c>
      <c r="DK79" s="1013" t="s">
        <v>7724</v>
      </c>
      <c r="DL79" s="1013" t="s">
        <v>7724</v>
      </c>
      <c r="DM79" s="1013" t="s">
        <v>7724</v>
      </c>
      <c r="DN79" s="1013" t="s">
        <v>7724</v>
      </c>
      <c r="DO79" s="1013" t="s">
        <v>7724</v>
      </c>
      <c r="DP79" s="1013" t="s">
        <v>7724</v>
      </c>
      <c r="DQ79" s="1013" t="s">
        <v>7724</v>
      </c>
      <c r="DR79" s="1013" t="s">
        <v>7724</v>
      </c>
      <c r="DS79" s="1013" t="s">
        <v>7724</v>
      </c>
      <c r="DT79" s="1013" t="s">
        <v>7724</v>
      </c>
      <c r="DU79" s="1013" t="s">
        <v>7724</v>
      </c>
      <c r="DV79" s="1013" t="s">
        <v>7724</v>
      </c>
      <c r="DW79" s="1013" t="s">
        <v>7724</v>
      </c>
      <c r="DX79" s="1013" t="s">
        <v>7724</v>
      </c>
      <c r="DY79" s="1013" t="s">
        <v>7724</v>
      </c>
      <c r="DZ79" s="1013" t="s">
        <v>7724</v>
      </c>
      <c r="EA79" s="1013" t="s">
        <v>7724</v>
      </c>
      <c r="EB79" s="1013" t="s">
        <v>7724</v>
      </c>
      <c r="EC79" s="1013" t="s">
        <v>7724</v>
      </c>
      <c r="ED79" s="1013" t="s">
        <v>7724</v>
      </c>
      <c r="EE79" s="1013" t="s">
        <v>7724</v>
      </c>
      <c r="EF79" s="1013" t="s">
        <v>7724</v>
      </c>
      <c r="EG79" s="1013" t="s">
        <v>7724</v>
      </c>
      <c r="EH79" s="1013" t="s">
        <v>7724</v>
      </c>
      <c r="EI79" s="1013" t="s">
        <v>7724</v>
      </c>
      <c r="EJ79" s="1013" t="s">
        <v>7724</v>
      </c>
      <c r="EK79" s="1013" t="s">
        <v>7724</v>
      </c>
      <c r="EL79" s="1013" t="s">
        <v>7724</v>
      </c>
      <c r="EM79" s="1013" t="s">
        <v>7724</v>
      </c>
      <c r="EN79" s="1013" t="s">
        <v>7724</v>
      </c>
      <c r="EO79" s="1013" t="s">
        <v>7724</v>
      </c>
      <c r="EP79" s="1013" t="s">
        <v>7724</v>
      </c>
      <c r="EQ79" s="1013" t="s">
        <v>7724</v>
      </c>
      <c r="ER79" s="1013" t="s">
        <v>7724</v>
      </c>
      <c r="ES79" s="1013" t="s">
        <v>7724</v>
      </c>
      <c r="ET79" s="1013" t="s">
        <v>7724</v>
      </c>
      <c r="EU79" s="1013" t="s">
        <v>7724</v>
      </c>
      <c r="EV79" s="1013" t="s">
        <v>7724</v>
      </c>
      <c r="EW79" s="1013" t="s">
        <v>7724</v>
      </c>
      <c r="EX79" s="1013" t="s">
        <v>7724</v>
      </c>
      <c r="EY79" s="1013" t="s">
        <v>7724</v>
      </c>
      <c r="EZ79" s="1013" t="s">
        <v>7724</v>
      </c>
      <c r="FA79" s="1013" t="s">
        <v>7724</v>
      </c>
      <c r="FB79" s="1013" t="s">
        <v>7724</v>
      </c>
      <c r="FC79" s="1013" t="s">
        <v>7724</v>
      </c>
      <c r="FD79" s="1013" t="s">
        <v>7724</v>
      </c>
      <c r="FE79" s="1013" t="s">
        <v>7724</v>
      </c>
      <c r="FF79" s="1013" t="s">
        <v>7724</v>
      </c>
      <c r="FG79" s="1013">
        <v>0</v>
      </c>
      <c r="FH79" s="1013">
        <v>1</v>
      </c>
      <c r="FI79" s="1013">
        <v>0</v>
      </c>
      <c r="FJ79" s="1013">
        <v>2</v>
      </c>
      <c r="FK79" s="1013">
        <v>0</v>
      </c>
      <c r="FL79" s="1013">
        <v>1</v>
      </c>
      <c r="FM79" s="1013">
        <v>0</v>
      </c>
      <c r="FN79" s="1013">
        <v>15</v>
      </c>
      <c r="FO79" s="1013">
        <v>29</v>
      </c>
      <c r="FP79" s="1013">
        <v>6</v>
      </c>
      <c r="FQ79" s="1013" t="s">
        <v>7724</v>
      </c>
      <c r="FR79" s="1013" t="s">
        <v>7724</v>
      </c>
      <c r="FS79" s="1013" t="s">
        <v>7724</v>
      </c>
      <c r="FT79" s="1013" t="s">
        <v>7724</v>
      </c>
      <c r="FU79" s="1013" t="s">
        <v>7724</v>
      </c>
      <c r="FV79" s="1013" t="s">
        <v>7724</v>
      </c>
      <c r="FW79" s="1013" t="s">
        <v>7724</v>
      </c>
      <c r="FX79" s="1013" t="s">
        <v>7724</v>
      </c>
      <c r="FY79" s="1013" t="s">
        <v>7724</v>
      </c>
      <c r="FZ79" s="1013" t="s">
        <v>7724</v>
      </c>
      <c r="GA79" s="1013" t="s">
        <v>7724</v>
      </c>
      <c r="GB79" s="1013" t="s">
        <v>7724</v>
      </c>
      <c r="GC79" s="1013">
        <v>2019</v>
      </c>
      <c r="GD79" s="1013" t="s">
        <v>1407</v>
      </c>
      <c r="GE79" s="1013">
        <v>2</v>
      </c>
      <c r="GF79" s="1013" t="s">
        <v>1407</v>
      </c>
      <c r="GG79" s="1013" t="s">
        <v>1407</v>
      </c>
      <c r="GH79" s="1013" t="s">
        <v>7982</v>
      </c>
      <c r="GI79" s="1013" t="s">
        <v>7974</v>
      </c>
      <c r="GJ79" s="1013" t="s">
        <v>7974</v>
      </c>
      <c r="GK79" s="1013" t="s">
        <v>8065</v>
      </c>
      <c r="GL79" s="1013" t="s">
        <v>7974</v>
      </c>
    </row>
    <row r="80" spans="1:194" hidden="1">
      <c r="A80" s="1013">
        <v>82</v>
      </c>
      <c r="B80" s="1013" t="s">
        <v>7722</v>
      </c>
      <c r="C80" s="1013">
        <v>16964967</v>
      </c>
      <c r="D80" s="1013" t="s">
        <v>7723</v>
      </c>
      <c r="E80" s="1013" t="s">
        <v>7723</v>
      </c>
      <c r="F80" s="1013" t="s">
        <v>7723</v>
      </c>
      <c r="G80" s="1013" t="s">
        <v>7723</v>
      </c>
      <c r="H80" s="1013" t="s">
        <v>7723</v>
      </c>
      <c r="I80" s="1013" t="s">
        <v>7723</v>
      </c>
      <c r="J80" s="1013" t="s">
        <v>7723</v>
      </c>
      <c r="K80" s="1024">
        <v>43544</v>
      </c>
      <c r="L80" s="1023">
        <v>0.68888888888888888</v>
      </c>
      <c r="M80" s="1013" t="s">
        <v>7777</v>
      </c>
      <c r="N80" s="1013" t="s">
        <v>7724</v>
      </c>
      <c r="O80" s="1013">
        <v>101</v>
      </c>
      <c r="P80" s="1013">
        <v>208</v>
      </c>
      <c r="Q80" s="1013" t="s">
        <v>7723</v>
      </c>
      <c r="R80" s="1013" t="s">
        <v>7727</v>
      </c>
      <c r="S80" s="1013" t="s">
        <v>7724</v>
      </c>
      <c r="T80" s="1014" t="s">
        <v>7724</v>
      </c>
      <c r="U80" s="1014">
        <v>19</v>
      </c>
      <c r="V80" s="1014" t="s">
        <v>7724</v>
      </c>
      <c r="W80" s="1014" t="s">
        <v>7724</v>
      </c>
      <c r="X80" s="1013">
        <v>1</v>
      </c>
      <c r="Y80" s="1013">
        <v>1300</v>
      </c>
      <c r="Z80" s="1013" t="s">
        <v>7724</v>
      </c>
      <c r="AA80" s="1013" t="s">
        <v>7725</v>
      </c>
      <c r="AB80" s="1013" t="s">
        <v>7724</v>
      </c>
      <c r="AC80" s="1013" t="s">
        <v>7723</v>
      </c>
      <c r="AD80" s="1013" t="s">
        <v>7723</v>
      </c>
      <c r="AE80" s="1013">
        <v>40</v>
      </c>
      <c r="AF80" s="1013" t="s">
        <v>7723</v>
      </c>
      <c r="AG80" s="1013" t="s">
        <v>7723</v>
      </c>
      <c r="AH80" s="1013" t="s">
        <v>7724</v>
      </c>
      <c r="AI80" s="1013" t="s">
        <v>7727</v>
      </c>
      <c r="AJ80" s="1013">
        <v>19</v>
      </c>
      <c r="AK80" s="1013" t="s">
        <v>7724</v>
      </c>
      <c r="AL80" s="1013" t="s">
        <v>7724</v>
      </c>
      <c r="AM80" s="1013">
        <v>1</v>
      </c>
      <c r="AN80" s="1013">
        <v>4400</v>
      </c>
      <c r="AO80" s="1013" t="s">
        <v>7724</v>
      </c>
      <c r="AP80" s="1013" t="s">
        <v>7745</v>
      </c>
      <c r="AQ80" s="1013" t="s">
        <v>7726</v>
      </c>
      <c r="AR80" s="1013" t="s">
        <v>7724</v>
      </c>
      <c r="AS80" s="1013" t="s">
        <v>7724</v>
      </c>
      <c r="AT80" s="1013" t="s">
        <v>7724</v>
      </c>
      <c r="AU80" s="1013" t="s">
        <v>7724</v>
      </c>
      <c r="AV80" s="1013" t="s">
        <v>7724</v>
      </c>
      <c r="AW80" s="1013" t="s">
        <v>7724</v>
      </c>
      <c r="AX80" s="1013">
        <v>11</v>
      </c>
      <c r="AY80" s="1013">
        <v>1</v>
      </c>
      <c r="AZ80" s="1013">
        <v>0</v>
      </c>
      <c r="BA80" s="1013">
        <v>3</v>
      </c>
      <c r="BB80" s="1013">
        <v>1</v>
      </c>
      <c r="BC80" s="1013">
        <v>1</v>
      </c>
      <c r="BD80" s="1013">
        <v>8</v>
      </c>
      <c r="BE80" s="1023">
        <v>0.69722222222222219</v>
      </c>
      <c r="BF80" s="1013" t="s">
        <v>7729</v>
      </c>
      <c r="BG80" s="1023">
        <v>0.69722222222222219</v>
      </c>
      <c r="BH80" s="1024">
        <v>43544</v>
      </c>
      <c r="BI80" s="1013" t="s">
        <v>7727</v>
      </c>
      <c r="BJ80" s="1013" t="s">
        <v>7730</v>
      </c>
      <c r="BK80" s="1013">
        <v>2469</v>
      </c>
      <c r="BL80" s="1013" t="s">
        <v>7724</v>
      </c>
      <c r="BM80" s="1013" t="s">
        <v>7724</v>
      </c>
      <c r="BN80" s="1013">
        <v>113</v>
      </c>
      <c r="BO80" s="1013">
        <v>8</v>
      </c>
      <c r="BP80" s="1013">
        <v>2</v>
      </c>
      <c r="BQ80" s="1013">
        <v>1</v>
      </c>
      <c r="BR80" s="1013">
        <v>10</v>
      </c>
      <c r="BS80" s="1013">
        <v>64</v>
      </c>
      <c r="BT80" s="1013">
        <v>54</v>
      </c>
      <c r="BU80" s="1013">
        <v>1</v>
      </c>
      <c r="BV80" s="1013">
        <v>5</v>
      </c>
      <c r="BW80" s="1013">
        <v>1</v>
      </c>
      <c r="BX80" s="1013">
        <v>21</v>
      </c>
      <c r="BY80" s="1013">
        <v>21</v>
      </c>
      <c r="BZ80" s="1013">
        <v>101</v>
      </c>
      <c r="CA80" s="1013">
        <v>208</v>
      </c>
      <c r="CB80" s="1013">
        <v>29.732565000000001</v>
      </c>
      <c r="CC80" s="1013">
        <v>-95.380463000000006</v>
      </c>
      <c r="CD80" s="1013" t="s">
        <v>7724</v>
      </c>
      <c r="CE80" s="1013" t="s">
        <v>7724</v>
      </c>
      <c r="CF80" s="1013" t="s">
        <v>7724</v>
      </c>
      <c r="CG80" s="1013" t="s">
        <v>7724</v>
      </c>
      <c r="CH80" s="1013" t="s">
        <v>7731</v>
      </c>
      <c r="CI80" s="1013" t="s">
        <v>7724</v>
      </c>
      <c r="CJ80" s="1013" t="s">
        <v>7724</v>
      </c>
      <c r="CK80" s="1013" t="s">
        <v>7724</v>
      </c>
      <c r="CL80" s="1013" t="s">
        <v>7724</v>
      </c>
      <c r="CM80" s="1013" t="s">
        <v>7724</v>
      </c>
      <c r="CN80" s="1013" t="s">
        <v>7724</v>
      </c>
      <c r="CO80" s="1013" t="s">
        <v>7724</v>
      </c>
      <c r="CP80" s="1013" t="s">
        <v>7724</v>
      </c>
      <c r="CQ80" s="1013" t="s">
        <v>7724</v>
      </c>
      <c r="CR80" s="1013" t="s">
        <v>7746</v>
      </c>
      <c r="CS80" s="1013" t="s">
        <v>7724</v>
      </c>
      <c r="CT80" s="1013" t="s">
        <v>7724</v>
      </c>
      <c r="CU80" s="1013" t="s">
        <v>7724</v>
      </c>
      <c r="CV80" s="1013" t="s">
        <v>7724</v>
      </c>
      <c r="CW80" s="1013" t="s">
        <v>7727</v>
      </c>
      <c r="CX80" s="1013" t="s">
        <v>7723</v>
      </c>
      <c r="CY80" s="1013" t="s">
        <v>7723</v>
      </c>
      <c r="CZ80" s="1013">
        <v>5</v>
      </c>
      <c r="DA80" s="1013">
        <v>9</v>
      </c>
      <c r="DB80" s="1013" t="s">
        <v>7727</v>
      </c>
      <c r="DC80" s="1013" t="s">
        <v>7756</v>
      </c>
      <c r="DD80" s="1013" t="s">
        <v>7724</v>
      </c>
      <c r="DE80" s="1013" t="s">
        <v>7724</v>
      </c>
      <c r="DF80" s="1013" t="s">
        <v>7724</v>
      </c>
      <c r="DG80" s="1013" t="s">
        <v>7724</v>
      </c>
      <c r="DH80" s="1013" t="s">
        <v>7724</v>
      </c>
      <c r="DI80" s="1013" t="s">
        <v>7724</v>
      </c>
      <c r="DJ80" s="1013" t="s">
        <v>7724</v>
      </c>
      <c r="DK80" s="1013" t="s">
        <v>7724</v>
      </c>
      <c r="DL80" s="1013" t="s">
        <v>7724</v>
      </c>
      <c r="DM80" s="1013" t="s">
        <v>7724</v>
      </c>
      <c r="DN80" s="1013" t="s">
        <v>7724</v>
      </c>
      <c r="DO80" s="1013" t="s">
        <v>7724</v>
      </c>
      <c r="DP80" s="1013" t="s">
        <v>7724</v>
      </c>
      <c r="DQ80" s="1013" t="s">
        <v>7724</v>
      </c>
      <c r="DR80" s="1013" t="s">
        <v>7724</v>
      </c>
      <c r="DS80" s="1013" t="s">
        <v>7724</v>
      </c>
      <c r="DT80" s="1013" t="s">
        <v>7724</v>
      </c>
      <c r="DU80" s="1013" t="s">
        <v>7724</v>
      </c>
      <c r="DV80" s="1013" t="s">
        <v>7724</v>
      </c>
      <c r="DW80" s="1013" t="s">
        <v>7724</v>
      </c>
      <c r="DX80" s="1013" t="s">
        <v>7724</v>
      </c>
      <c r="DY80" s="1013" t="s">
        <v>7724</v>
      </c>
      <c r="DZ80" s="1013" t="s">
        <v>7724</v>
      </c>
      <c r="EA80" s="1013" t="s">
        <v>7724</v>
      </c>
      <c r="EB80" s="1013" t="s">
        <v>7724</v>
      </c>
      <c r="EC80" s="1013" t="s">
        <v>7724</v>
      </c>
      <c r="ED80" s="1013" t="s">
        <v>7724</v>
      </c>
      <c r="EE80" s="1013" t="s">
        <v>7724</v>
      </c>
      <c r="EF80" s="1013" t="s">
        <v>7724</v>
      </c>
      <c r="EG80" s="1013" t="s">
        <v>7724</v>
      </c>
      <c r="EH80" s="1013" t="s">
        <v>7724</v>
      </c>
      <c r="EI80" s="1013" t="s">
        <v>7724</v>
      </c>
      <c r="EJ80" s="1013" t="s">
        <v>7724</v>
      </c>
      <c r="EK80" s="1013" t="s">
        <v>7724</v>
      </c>
      <c r="EL80" s="1013" t="s">
        <v>7724</v>
      </c>
      <c r="EM80" s="1013" t="s">
        <v>7724</v>
      </c>
      <c r="EN80" s="1013" t="s">
        <v>7724</v>
      </c>
      <c r="EO80" s="1013" t="s">
        <v>7724</v>
      </c>
      <c r="EP80" s="1013" t="s">
        <v>7724</v>
      </c>
      <c r="EQ80" s="1013" t="s">
        <v>7724</v>
      </c>
      <c r="ER80" s="1013" t="s">
        <v>7724</v>
      </c>
      <c r="ES80" s="1013" t="s">
        <v>7724</v>
      </c>
      <c r="ET80" s="1013" t="s">
        <v>7724</v>
      </c>
      <c r="EU80" s="1013" t="s">
        <v>7724</v>
      </c>
      <c r="EV80" s="1013" t="s">
        <v>7724</v>
      </c>
      <c r="EW80" s="1013" t="s">
        <v>7724</v>
      </c>
      <c r="EX80" s="1013" t="s">
        <v>7724</v>
      </c>
      <c r="EY80" s="1013" t="s">
        <v>7724</v>
      </c>
      <c r="EZ80" s="1013" t="s">
        <v>7724</v>
      </c>
      <c r="FA80" s="1013" t="s">
        <v>7724</v>
      </c>
      <c r="FB80" s="1013" t="s">
        <v>7724</v>
      </c>
      <c r="FC80" s="1013" t="s">
        <v>7724</v>
      </c>
      <c r="FD80" s="1013" t="s">
        <v>7724</v>
      </c>
      <c r="FE80" s="1013" t="s">
        <v>7724</v>
      </c>
      <c r="FF80" s="1013" t="s">
        <v>7724</v>
      </c>
      <c r="FG80" s="1013">
        <v>0</v>
      </c>
      <c r="FH80" s="1013">
        <v>0</v>
      </c>
      <c r="FI80" s="1013">
        <v>0</v>
      </c>
      <c r="FJ80" s="1013">
        <v>3</v>
      </c>
      <c r="FK80" s="1013">
        <v>0</v>
      </c>
      <c r="FL80" s="1013">
        <v>0</v>
      </c>
      <c r="FM80" s="1013">
        <v>0</v>
      </c>
      <c r="FN80" s="1013">
        <v>15</v>
      </c>
      <c r="FO80" s="1013">
        <v>29</v>
      </c>
      <c r="FP80" s="1013">
        <v>9</v>
      </c>
      <c r="FQ80" s="1013" t="s">
        <v>7724</v>
      </c>
      <c r="FR80" s="1013" t="s">
        <v>7724</v>
      </c>
      <c r="FS80" s="1013" t="s">
        <v>7724</v>
      </c>
      <c r="FT80" s="1013" t="s">
        <v>7724</v>
      </c>
      <c r="FU80" s="1013" t="s">
        <v>7724</v>
      </c>
      <c r="FV80" s="1013" t="s">
        <v>7724</v>
      </c>
      <c r="FW80" s="1013" t="s">
        <v>7724</v>
      </c>
      <c r="FX80" s="1013" t="s">
        <v>7724</v>
      </c>
      <c r="FY80" s="1013" t="s">
        <v>7724</v>
      </c>
      <c r="FZ80" s="1013" t="s">
        <v>7724</v>
      </c>
      <c r="GA80" s="1013" t="s">
        <v>7724</v>
      </c>
      <c r="GB80" s="1013" t="s">
        <v>7724</v>
      </c>
      <c r="GC80" s="1013">
        <v>2019</v>
      </c>
      <c r="GD80" s="1013" t="s">
        <v>1404</v>
      </c>
      <c r="GE80" s="1013">
        <v>3</v>
      </c>
      <c r="GF80" s="1013" t="s">
        <v>1407</v>
      </c>
      <c r="GG80" s="1013" t="s">
        <v>1407</v>
      </c>
      <c r="GH80" s="1013" t="s">
        <v>8066</v>
      </c>
      <c r="GI80" s="1013" t="s">
        <v>7980</v>
      </c>
      <c r="GJ80" s="1013" t="s">
        <v>7980</v>
      </c>
      <c r="GK80" s="1013" t="s">
        <v>7980</v>
      </c>
      <c r="GL80" s="1013" t="s">
        <v>7980</v>
      </c>
    </row>
    <row r="81" spans="1:194" hidden="1">
      <c r="A81" s="1013">
        <v>93</v>
      </c>
      <c r="B81" s="1013" t="s">
        <v>7722</v>
      </c>
      <c r="C81" s="1013">
        <v>17047986</v>
      </c>
      <c r="D81" s="1013" t="s">
        <v>7723</v>
      </c>
      <c r="E81" s="1013" t="s">
        <v>7723</v>
      </c>
      <c r="F81" s="1013" t="s">
        <v>7723</v>
      </c>
      <c r="G81" s="1013" t="s">
        <v>7723</v>
      </c>
      <c r="H81" s="1013" t="s">
        <v>7723</v>
      </c>
      <c r="I81" s="1013" t="s">
        <v>7723</v>
      </c>
      <c r="J81" s="1013" t="s">
        <v>7723</v>
      </c>
      <c r="K81" s="1024">
        <v>43587</v>
      </c>
      <c r="L81" s="1023">
        <v>0.72499999999999998</v>
      </c>
      <c r="M81" s="1013" t="s">
        <v>7796</v>
      </c>
      <c r="N81" s="1013" t="s">
        <v>7724</v>
      </c>
      <c r="O81" s="1013">
        <v>101</v>
      </c>
      <c r="P81" s="1013">
        <v>208</v>
      </c>
      <c r="Q81" s="1013" t="s">
        <v>7723</v>
      </c>
      <c r="R81" s="1013" t="s">
        <v>7727</v>
      </c>
      <c r="S81" s="1013" t="s">
        <v>7724</v>
      </c>
      <c r="T81" s="1014" t="s">
        <v>7724</v>
      </c>
      <c r="U81" s="1014">
        <v>19</v>
      </c>
      <c r="V81" s="1014" t="s">
        <v>7724</v>
      </c>
      <c r="W81" s="1014" t="s">
        <v>7724</v>
      </c>
      <c r="X81" s="1013">
        <v>1</v>
      </c>
      <c r="Y81" s="1013">
        <v>1200</v>
      </c>
      <c r="Z81" s="1013" t="s">
        <v>7724</v>
      </c>
      <c r="AA81" s="1013" t="s">
        <v>7725</v>
      </c>
      <c r="AB81" s="1013" t="s">
        <v>7726</v>
      </c>
      <c r="AC81" s="1013" t="s">
        <v>7723</v>
      </c>
      <c r="AD81" s="1013" t="s">
        <v>7723</v>
      </c>
      <c r="AE81" s="1013">
        <v>35</v>
      </c>
      <c r="AF81" s="1013" t="s">
        <v>7723</v>
      </c>
      <c r="AG81" s="1013" t="s">
        <v>7723</v>
      </c>
      <c r="AH81" s="1013" t="s">
        <v>7724</v>
      </c>
      <c r="AI81" s="1013" t="s">
        <v>7727</v>
      </c>
      <c r="AJ81" s="1013">
        <v>19</v>
      </c>
      <c r="AK81" s="1013" t="s">
        <v>7724</v>
      </c>
      <c r="AL81" s="1013" t="s">
        <v>7724</v>
      </c>
      <c r="AM81" s="1013">
        <v>1</v>
      </c>
      <c r="AN81" s="1013">
        <v>4300</v>
      </c>
      <c r="AO81" s="1013" t="s">
        <v>7724</v>
      </c>
      <c r="AP81" s="1013" t="s">
        <v>7745</v>
      </c>
      <c r="AQ81" s="1013" t="s">
        <v>7726</v>
      </c>
      <c r="AR81" s="1013" t="s">
        <v>7724</v>
      </c>
      <c r="AS81" s="1013" t="s">
        <v>7724</v>
      </c>
      <c r="AT81" s="1013" t="s">
        <v>7724</v>
      </c>
      <c r="AU81" s="1013" t="s">
        <v>7724</v>
      </c>
      <c r="AV81" s="1013" t="s">
        <v>7724</v>
      </c>
      <c r="AW81" s="1013" t="s">
        <v>7724</v>
      </c>
      <c r="AX81" s="1013">
        <v>11</v>
      </c>
      <c r="AY81" s="1013">
        <v>1</v>
      </c>
      <c r="AZ81" s="1013">
        <v>0</v>
      </c>
      <c r="BA81" s="1013">
        <v>4</v>
      </c>
      <c r="BB81" s="1013">
        <v>1</v>
      </c>
      <c r="BC81" s="1013">
        <v>1</v>
      </c>
      <c r="BD81" s="1013">
        <v>20</v>
      </c>
      <c r="BE81" s="1023">
        <v>0.72569444444444442</v>
      </c>
      <c r="BF81" s="1013" t="s">
        <v>7729</v>
      </c>
      <c r="BG81" s="1023">
        <v>0.73472222222222228</v>
      </c>
      <c r="BH81" s="1024">
        <v>43587</v>
      </c>
      <c r="BI81" s="1013" t="s">
        <v>7727</v>
      </c>
      <c r="BJ81" s="1013" t="s">
        <v>7730</v>
      </c>
      <c r="BK81" s="1013">
        <v>2469</v>
      </c>
      <c r="BL81" s="1013" t="s">
        <v>7724</v>
      </c>
      <c r="BM81" s="1013" t="s">
        <v>7724</v>
      </c>
      <c r="BN81" s="1013">
        <v>113</v>
      </c>
      <c r="BO81" s="1013">
        <v>8</v>
      </c>
      <c r="BP81" s="1013">
        <v>2</v>
      </c>
      <c r="BQ81" s="1013">
        <v>1</v>
      </c>
      <c r="BR81" s="1013">
        <v>10</v>
      </c>
      <c r="BS81" s="1013">
        <v>64</v>
      </c>
      <c r="BT81" s="1013">
        <v>54</v>
      </c>
      <c r="BU81" s="1013">
        <v>1</v>
      </c>
      <c r="BV81" s="1013">
        <v>5</v>
      </c>
      <c r="BW81" s="1013">
        <v>1</v>
      </c>
      <c r="BX81" s="1013">
        <v>21</v>
      </c>
      <c r="BY81" s="1013">
        <v>21</v>
      </c>
      <c r="BZ81" s="1013">
        <v>101</v>
      </c>
      <c r="CA81" s="1013">
        <v>208</v>
      </c>
      <c r="CB81" s="1013">
        <v>29.732565000000001</v>
      </c>
      <c r="CC81" s="1013">
        <v>-95.380463000000006</v>
      </c>
      <c r="CD81" s="1013" t="s">
        <v>7724</v>
      </c>
      <c r="CE81" s="1013" t="s">
        <v>7724</v>
      </c>
      <c r="CF81" s="1013" t="s">
        <v>7724</v>
      </c>
      <c r="CG81" s="1013" t="s">
        <v>7724</v>
      </c>
      <c r="CH81" s="1013" t="s">
        <v>7731</v>
      </c>
      <c r="CI81" s="1013" t="s">
        <v>7724</v>
      </c>
      <c r="CJ81" s="1013" t="s">
        <v>7724</v>
      </c>
      <c r="CK81" s="1013" t="s">
        <v>7724</v>
      </c>
      <c r="CL81" s="1013" t="s">
        <v>7724</v>
      </c>
      <c r="CM81" s="1013" t="s">
        <v>7724</v>
      </c>
      <c r="CN81" s="1013" t="s">
        <v>7724</v>
      </c>
      <c r="CO81" s="1013" t="s">
        <v>7724</v>
      </c>
      <c r="CP81" s="1013" t="s">
        <v>7724</v>
      </c>
      <c r="CQ81" s="1013" t="s">
        <v>7724</v>
      </c>
      <c r="CR81" s="1013" t="s">
        <v>7746</v>
      </c>
      <c r="CS81" s="1013" t="s">
        <v>7724</v>
      </c>
      <c r="CT81" s="1013" t="s">
        <v>7724</v>
      </c>
      <c r="CU81" s="1013" t="s">
        <v>7724</v>
      </c>
      <c r="CV81" s="1013" t="s">
        <v>7724</v>
      </c>
      <c r="CW81" s="1013" t="s">
        <v>7727</v>
      </c>
      <c r="CX81" s="1013" t="s">
        <v>7723</v>
      </c>
      <c r="CY81" s="1013" t="s">
        <v>7723</v>
      </c>
      <c r="CZ81" s="1013">
        <v>5</v>
      </c>
      <c r="DA81" s="1013">
        <v>9</v>
      </c>
      <c r="DB81" s="1013" t="s">
        <v>7727</v>
      </c>
      <c r="DC81" s="1013" t="s">
        <v>7740</v>
      </c>
      <c r="DD81" s="1013" t="s">
        <v>7724</v>
      </c>
      <c r="DE81" s="1013" t="s">
        <v>7724</v>
      </c>
      <c r="DF81" s="1013" t="s">
        <v>7724</v>
      </c>
      <c r="DG81" s="1013" t="s">
        <v>7724</v>
      </c>
      <c r="DH81" s="1013" t="s">
        <v>7724</v>
      </c>
      <c r="DI81" s="1013" t="s">
        <v>7724</v>
      </c>
      <c r="DJ81" s="1013" t="s">
        <v>7724</v>
      </c>
      <c r="DK81" s="1013" t="s">
        <v>7724</v>
      </c>
      <c r="DL81" s="1013" t="s">
        <v>7724</v>
      </c>
      <c r="DM81" s="1013" t="s">
        <v>7724</v>
      </c>
      <c r="DN81" s="1013" t="s">
        <v>7724</v>
      </c>
      <c r="DO81" s="1013" t="s">
        <v>7724</v>
      </c>
      <c r="DP81" s="1013" t="s">
        <v>7724</v>
      </c>
      <c r="DQ81" s="1013" t="s">
        <v>7724</v>
      </c>
      <c r="DR81" s="1013" t="s">
        <v>7724</v>
      </c>
      <c r="DS81" s="1013" t="s">
        <v>7724</v>
      </c>
      <c r="DT81" s="1013" t="s">
        <v>7724</v>
      </c>
      <c r="DU81" s="1013" t="s">
        <v>7724</v>
      </c>
      <c r="DV81" s="1013" t="s">
        <v>7724</v>
      </c>
      <c r="DW81" s="1013" t="s">
        <v>7724</v>
      </c>
      <c r="DX81" s="1013" t="s">
        <v>7724</v>
      </c>
      <c r="DY81" s="1013" t="s">
        <v>7724</v>
      </c>
      <c r="DZ81" s="1013" t="s">
        <v>7724</v>
      </c>
      <c r="EA81" s="1013" t="s">
        <v>7724</v>
      </c>
      <c r="EB81" s="1013" t="s">
        <v>7724</v>
      </c>
      <c r="EC81" s="1013" t="s">
        <v>7724</v>
      </c>
      <c r="ED81" s="1013" t="s">
        <v>7724</v>
      </c>
      <c r="EE81" s="1013" t="s">
        <v>7724</v>
      </c>
      <c r="EF81" s="1013" t="s">
        <v>7724</v>
      </c>
      <c r="EG81" s="1013" t="s">
        <v>7724</v>
      </c>
      <c r="EH81" s="1013" t="s">
        <v>7724</v>
      </c>
      <c r="EI81" s="1013" t="s">
        <v>7724</v>
      </c>
      <c r="EJ81" s="1013" t="s">
        <v>7724</v>
      </c>
      <c r="EK81" s="1013" t="s">
        <v>7724</v>
      </c>
      <c r="EL81" s="1013" t="s">
        <v>7724</v>
      </c>
      <c r="EM81" s="1013" t="s">
        <v>7724</v>
      </c>
      <c r="EN81" s="1013" t="s">
        <v>7724</v>
      </c>
      <c r="EO81" s="1013" t="s">
        <v>7724</v>
      </c>
      <c r="EP81" s="1013" t="s">
        <v>7724</v>
      </c>
      <c r="EQ81" s="1013" t="s">
        <v>7724</v>
      </c>
      <c r="ER81" s="1013" t="s">
        <v>7724</v>
      </c>
      <c r="ES81" s="1013" t="s">
        <v>7724</v>
      </c>
      <c r="ET81" s="1013" t="s">
        <v>7724</v>
      </c>
      <c r="EU81" s="1013" t="s">
        <v>7724</v>
      </c>
      <c r="EV81" s="1013" t="s">
        <v>7724</v>
      </c>
      <c r="EW81" s="1013" t="s">
        <v>7724</v>
      </c>
      <c r="EX81" s="1013" t="s">
        <v>7724</v>
      </c>
      <c r="EY81" s="1013" t="s">
        <v>7724</v>
      </c>
      <c r="EZ81" s="1013" t="s">
        <v>7724</v>
      </c>
      <c r="FA81" s="1013" t="s">
        <v>7724</v>
      </c>
      <c r="FB81" s="1013" t="s">
        <v>7724</v>
      </c>
      <c r="FC81" s="1013" t="s">
        <v>7724</v>
      </c>
      <c r="FD81" s="1013" t="s">
        <v>7724</v>
      </c>
      <c r="FE81" s="1013" t="s">
        <v>7724</v>
      </c>
      <c r="FF81" s="1013" t="s">
        <v>7724</v>
      </c>
      <c r="FG81" s="1013">
        <v>0</v>
      </c>
      <c r="FH81" s="1013">
        <v>0</v>
      </c>
      <c r="FI81" s="1013">
        <v>0</v>
      </c>
      <c r="FJ81" s="1013">
        <v>4</v>
      </c>
      <c r="FK81" s="1013">
        <v>0</v>
      </c>
      <c r="FL81" s="1013">
        <v>0</v>
      </c>
      <c r="FM81" s="1013">
        <v>0</v>
      </c>
      <c r="FN81" s="1013">
        <v>15</v>
      </c>
      <c r="FO81" s="1013">
        <v>29</v>
      </c>
      <c r="FP81" s="1013">
        <v>6</v>
      </c>
      <c r="FQ81" s="1013" t="s">
        <v>7724</v>
      </c>
      <c r="FR81" s="1013" t="s">
        <v>7724</v>
      </c>
      <c r="FS81" s="1013" t="s">
        <v>7724</v>
      </c>
      <c r="FT81" s="1013" t="s">
        <v>7724</v>
      </c>
      <c r="FU81" s="1013" t="s">
        <v>7724</v>
      </c>
      <c r="FV81" s="1013" t="s">
        <v>7724</v>
      </c>
      <c r="FW81" s="1013" t="s">
        <v>7724</v>
      </c>
      <c r="FX81" s="1013" t="s">
        <v>7724</v>
      </c>
      <c r="FY81" s="1013" t="s">
        <v>7724</v>
      </c>
      <c r="FZ81" s="1013" t="s">
        <v>7724</v>
      </c>
      <c r="GA81" s="1013" t="s">
        <v>7724</v>
      </c>
      <c r="GB81" s="1013" t="s">
        <v>7724</v>
      </c>
      <c r="GC81" s="1013">
        <v>2019</v>
      </c>
      <c r="GD81" s="1013" t="s">
        <v>1404</v>
      </c>
      <c r="GE81" s="1013">
        <v>2</v>
      </c>
      <c r="GF81" s="1013" t="s">
        <v>1407</v>
      </c>
      <c r="GG81" s="1013" t="s">
        <v>1407</v>
      </c>
      <c r="GH81" s="1013" t="s">
        <v>7982</v>
      </c>
      <c r="GI81" s="1013" t="s">
        <v>7974</v>
      </c>
      <c r="GJ81" s="1013" t="s">
        <v>7974</v>
      </c>
      <c r="GK81" s="1013" t="s">
        <v>7974</v>
      </c>
      <c r="GL81" s="1013" t="s">
        <v>7974</v>
      </c>
    </row>
    <row r="82" spans="1:194" hidden="1">
      <c r="A82" s="1013">
        <v>96</v>
      </c>
      <c r="B82" s="1013" t="s">
        <v>7722</v>
      </c>
      <c r="C82" s="1013">
        <v>17079427</v>
      </c>
      <c r="D82" s="1013" t="s">
        <v>7723</v>
      </c>
      <c r="E82" s="1013" t="s">
        <v>7723</v>
      </c>
      <c r="F82" s="1013" t="s">
        <v>7723</v>
      </c>
      <c r="G82" s="1013" t="s">
        <v>7723</v>
      </c>
      <c r="H82" s="1013" t="s">
        <v>7723</v>
      </c>
      <c r="I82" s="1013" t="s">
        <v>7723</v>
      </c>
      <c r="J82" s="1013" t="s">
        <v>7723</v>
      </c>
      <c r="K82" s="1024">
        <v>43601</v>
      </c>
      <c r="L82" s="1023">
        <v>0.61875000000000002</v>
      </c>
      <c r="M82" s="1013" t="s">
        <v>7799</v>
      </c>
      <c r="N82" s="1013" t="s">
        <v>7724</v>
      </c>
      <c r="O82" s="1013">
        <v>101</v>
      </c>
      <c r="P82" s="1013">
        <v>208</v>
      </c>
      <c r="Q82" s="1013" t="s">
        <v>7723</v>
      </c>
      <c r="R82" s="1013" t="s">
        <v>7727</v>
      </c>
      <c r="S82" s="1013" t="s">
        <v>7724</v>
      </c>
      <c r="T82" s="1014" t="s">
        <v>7724</v>
      </c>
      <c r="U82" s="1014">
        <v>19</v>
      </c>
      <c r="V82" s="1014" t="s">
        <v>7724</v>
      </c>
      <c r="W82" s="1014" t="s">
        <v>7724</v>
      </c>
      <c r="X82" s="1013">
        <v>1</v>
      </c>
      <c r="Y82" s="1013">
        <v>1100</v>
      </c>
      <c r="Z82" s="1013" t="s">
        <v>7724</v>
      </c>
      <c r="AA82" s="1013" t="s">
        <v>7725</v>
      </c>
      <c r="AB82" s="1013" t="s">
        <v>7726</v>
      </c>
      <c r="AC82" s="1013" t="s">
        <v>7723</v>
      </c>
      <c r="AD82" s="1013" t="s">
        <v>7723</v>
      </c>
      <c r="AE82" s="1013">
        <v>30</v>
      </c>
      <c r="AF82" s="1013" t="s">
        <v>7723</v>
      </c>
      <c r="AG82" s="1013" t="s">
        <v>7723</v>
      </c>
      <c r="AH82" s="1013" t="s">
        <v>7724</v>
      </c>
      <c r="AI82" s="1013" t="s">
        <v>7727</v>
      </c>
      <c r="AJ82" s="1013">
        <v>19</v>
      </c>
      <c r="AK82" s="1013" t="s">
        <v>7724</v>
      </c>
      <c r="AL82" s="1013" t="s">
        <v>7724</v>
      </c>
      <c r="AM82" s="1013">
        <v>1</v>
      </c>
      <c r="AN82" s="1013">
        <v>4300</v>
      </c>
      <c r="AO82" s="1013" t="s">
        <v>7724</v>
      </c>
      <c r="AP82" s="1013" t="s">
        <v>7745</v>
      </c>
      <c r="AQ82" s="1013" t="s">
        <v>7726</v>
      </c>
      <c r="AR82" s="1013" t="s">
        <v>7724</v>
      </c>
      <c r="AS82" s="1013" t="s">
        <v>7724</v>
      </c>
      <c r="AT82" s="1013" t="s">
        <v>7724</v>
      </c>
      <c r="AU82" s="1013" t="s">
        <v>7724</v>
      </c>
      <c r="AV82" s="1013" t="s">
        <v>7724</v>
      </c>
      <c r="AW82" s="1013" t="s">
        <v>7724</v>
      </c>
      <c r="AX82" s="1013">
        <v>11</v>
      </c>
      <c r="AY82" s="1013">
        <v>1</v>
      </c>
      <c r="AZ82" s="1013">
        <v>0</v>
      </c>
      <c r="BA82" s="1013">
        <v>2</v>
      </c>
      <c r="BB82" s="1013">
        <v>1</v>
      </c>
      <c r="BC82" s="1013">
        <v>1</v>
      </c>
      <c r="BD82" s="1013">
        <v>8</v>
      </c>
      <c r="BE82" s="1023">
        <v>0.67291666666666672</v>
      </c>
      <c r="BF82" s="1013" t="s">
        <v>7782</v>
      </c>
      <c r="BG82" s="1023">
        <v>0.67500000000000004</v>
      </c>
      <c r="BH82" s="1024">
        <v>43601</v>
      </c>
      <c r="BI82" s="1013" t="s">
        <v>7727</v>
      </c>
      <c r="BJ82" s="1013" t="s">
        <v>7730</v>
      </c>
      <c r="BK82" s="1013">
        <v>2469</v>
      </c>
      <c r="BL82" s="1013" t="s">
        <v>7724</v>
      </c>
      <c r="BM82" s="1013" t="s">
        <v>7724</v>
      </c>
      <c r="BN82" s="1013">
        <v>113</v>
      </c>
      <c r="BO82" s="1013">
        <v>8</v>
      </c>
      <c r="BP82" s="1013">
        <v>2</v>
      </c>
      <c r="BQ82" s="1013">
        <v>1</v>
      </c>
      <c r="BR82" s="1013">
        <v>34</v>
      </c>
      <c r="BS82" s="1013">
        <v>64</v>
      </c>
      <c r="BT82" s="1013">
        <v>3</v>
      </c>
      <c r="BU82" s="1013">
        <v>1</v>
      </c>
      <c r="BV82" s="1013">
        <v>5</v>
      </c>
      <c r="BW82" s="1013">
        <v>1</v>
      </c>
      <c r="BX82" s="1013">
        <v>21</v>
      </c>
      <c r="BY82" s="1013">
        <v>21</v>
      </c>
      <c r="BZ82" s="1013">
        <v>101</v>
      </c>
      <c r="CA82" s="1013">
        <v>208</v>
      </c>
      <c r="CB82" s="1013">
        <v>29.732565000000001</v>
      </c>
      <c r="CC82" s="1013">
        <v>-95.380463000000006</v>
      </c>
      <c r="CD82" s="1013" t="s">
        <v>7724</v>
      </c>
      <c r="CE82" s="1013" t="s">
        <v>7724</v>
      </c>
      <c r="CF82" s="1013" t="s">
        <v>7724</v>
      </c>
      <c r="CG82" s="1013" t="s">
        <v>7724</v>
      </c>
      <c r="CH82" s="1013" t="s">
        <v>7731</v>
      </c>
      <c r="CI82" s="1013" t="s">
        <v>7724</v>
      </c>
      <c r="CJ82" s="1013" t="s">
        <v>7724</v>
      </c>
      <c r="CK82" s="1013" t="s">
        <v>7724</v>
      </c>
      <c r="CL82" s="1013" t="s">
        <v>7724</v>
      </c>
      <c r="CM82" s="1013" t="s">
        <v>7724</v>
      </c>
      <c r="CN82" s="1013" t="s">
        <v>7724</v>
      </c>
      <c r="CO82" s="1013" t="s">
        <v>7724</v>
      </c>
      <c r="CP82" s="1013" t="s">
        <v>7724</v>
      </c>
      <c r="CQ82" s="1013" t="s">
        <v>7724</v>
      </c>
      <c r="CR82" s="1013" t="s">
        <v>7746</v>
      </c>
      <c r="CS82" s="1013" t="s">
        <v>7724</v>
      </c>
      <c r="CT82" s="1013" t="s">
        <v>7724</v>
      </c>
      <c r="CU82" s="1013" t="s">
        <v>7724</v>
      </c>
      <c r="CV82" s="1013" t="s">
        <v>7724</v>
      </c>
      <c r="CW82" s="1013" t="s">
        <v>7727</v>
      </c>
      <c r="CX82" s="1013" t="s">
        <v>7723</v>
      </c>
      <c r="CY82" s="1013" t="s">
        <v>7723</v>
      </c>
      <c r="CZ82" s="1013">
        <v>5</v>
      </c>
      <c r="DA82" s="1013">
        <v>9</v>
      </c>
      <c r="DB82" s="1013" t="s">
        <v>7727</v>
      </c>
      <c r="DC82" s="1013" t="s">
        <v>7740</v>
      </c>
      <c r="DD82" s="1013" t="s">
        <v>7724</v>
      </c>
      <c r="DE82" s="1013" t="s">
        <v>7724</v>
      </c>
      <c r="DF82" s="1013" t="s">
        <v>7724</v>
      </c>
      <c r="DG82" s="1013" t="s">
        <v>7724</v>
      </c>
      <c r="DH82" s="1013" t="s">
        <v>7724</v>
      </c>
      <c r="DI82" s="1013" t="s">
        <v>7724</v>
      </c>
      <c r="DJ82" s="1013" t="s">
        <v>7724</v>
      </c>
      <c r="DK82" s="1013" t="s">
        <v>7724</v>
      </c>
      <c r="DL82" s="1013" t="s">
        <v>7724</v>
      </c>
      <c r="DM82" s="1013" t="s">
        <v>7724</v>
      </c>
      <c r="DN82" s="1013" t="s">
        <v>7724</v>
      </c>
      <c r="DO82" s="1013" t="s">
        <v>7724</v>
      </c>
      <c r="DP82" s="1013" t="s">
        <v>7724</v>
      </c>
      <c r="DQ82" s="1013" t="s">
        <v>7724</v>
      </c>
      <c r="DR82" s="1013" t="s">
        <v>7724</v>
      </c>
      <c r="DS82" s="1013" t="s">
        <v>7724</v>
      </c>
      <c r="DT82" s="1013" t="s">
        <v>7724</v>
      </c>
      <c r="DU82" s="1013" t="s">
        <v>7724</v>
      </c>
      <c r="DV82" s="1013" t="s">
        <v>7724</v>
      </c>
      <c r="DW82" s="1013" t="s">
        <v>7724</v>
      </c>
      <c r="DX82" s="1013" t="s">
        <v>7724</v>
      </c>
      <c r="DY82" s="1013" t="s">
        <v>7724</v>
      </c>
      <c r="DZ82" s="1013" t="s">
        <v>7724</v>
      </c>
      <c r="EA82" s="1013" t="s">
        <v>7724</v>
      </c>
      <c r="EB82" s="1013" t="s">
        <v>7724</v>
      </c>
      <c r="EC82" s="1013" t="s">
        <v>7724</v>
      </c>
      <c r="ED82" s="1013" t="s">
        <v>7724</v>
      </c>
      <c r="EE82" s="1013" t="s">
        <v>7724</v>
      </c>
      <c r="EF82" s="1013" t="s">
        <v>7724</v>
      </c>
      <c r="EG82" s="1013" t="s">
        <v>7724</v>
      </c>
      <c r="EH82" s="1013" t="s">
        <v>7724</v>
      </c>
      <c r="EI82" s="1013" t="s">
        <v>7724</v>
      </c>
      <c r="EJ82" s="1013" t="s">
        <v>7724</v>
      </c>
      <c r="EK82" s="1013" t="s">
        <v>7724</v>
      </c>
      <c r="EL82" s="1013" t="s">
        <v>7724</v>
      </c>
      <c r="EM82" s="1013" t="s">
        <v>7724</v>
      </c>
      <c r="EN82" s="1013" t="s">
        <v>7724</v>
      </c>
      <c r="EO82" s="1013" t="s">
        <v>7724</v>
      </c>
      <c r="EP82" s="1013" t="s">
        <v>7724</v>
      </c>
      <c r="EQ82" s="1013" t="s">
        <v>7724</v>
      </c>
      <c r="ER82" s="1013" t="s">
        <v>7724</v>
      </c>
      <c r="ES82" s="1013" t="s">
        <v>7724</v>
      </c>
      <c r="ET82" s="1013" t="s">
        <v>7724</v>
      </c>
      <c r="EU82" s="1013" t="s">
        <v>7724</v>
      </c>
      <c r="EV82" s="1013" t="s">
        <v>7724</v>
      </c>
      <c r="EW82" s="1013" t="s">
        <v>7724</v>
      </c>
      <c r="EX82" s="1013" t="s">
        <v>7724</v>
      </c>
      <c r="EY82" s="1013" t="s">
        <v>7724</v>
      </c>
      <c r="EZ82" s="1013" t="s">
        <v>7724</v>
      </c>
      <c r="FA82" s="1013" t="s">
        <v>7724</v>
      </c>
      <c r="FB82" s="1013" t="s">
        <v>7724</v>
      </c>
      <c r="FC82" s="1013" t="s">
        <v>7724</v>
      </c>
      <c r="FD82" s="1013" t="s">
        <v>7724</v>
      </c>
      <c r="FE82" s="1013" t="s">
        <v>7724</v>
      </c>
      <c r="FF82" s="1013" t="s">
        <v>7724</v>
      </c>
      <c r="FG82" s="1013">
        <v>0</v>
      </c>
      <c r="FH82" s="1013">
        <v>0</v>
      </c>
      <c r="FI82" s="1013">
        <v>0</v>
      </c>
      <c r="FJ82" s="1013">
        <v>3</v>
      </c>
      <c r="FK82" s="1013">
        <v>0</v>
      </c>
      <c r="FL82" s="1013">
        <v>0</v>
      </c>
      <c r="FM82" s="1013">
        <v>0</v>
      </c>
      <c r="FN82" s="1013">
        <v>15</v>
      </c>
      <c r="FO82" s="1013">
        <v>29</v>
      </c>
      <c r="FP82" s="1013">
        <v>6</v>
      </c>
      <c r="FQ82" s="1013" t="s">
        <v>7724</v>
      </c>
      <c r="FR82" s="1013" t="s">
        <v>7724</v>
      </c>
      <c r="FS82" s="1013" t="s">
        <v>7724</v>
      </c>
      <c r="FT82" s="1013" t="s">
        <v>7724</v>
      </c>
      <c r="FU82" s="1013" t="s">
        <v>7724</v>
      </c>
      <c r="FV82" s="1013" t="s">
        <v>7724</v>
      </c>
      <c r="FW82" s="1013" t="s">
        <v>7724</v>
      </c>
      <c r="FX82" s="1013" t="s">
        <v>7724</v>
      </c>
      <c r="FY82" s="1013" t="s">
        <v>7724</v>
      </c>
      <c r="FZ82" s="1013" t="s">
        <v>7724</v>
      </c>
      <c r="GA82" s="1013" t="s">
        <v>7724</v>
      </c>
      <c r="GB82" s="1013" t="s">
        <v>7724</v>
      </c>
      <c r="GC82" s="1013">
        <v>2019</v>
      </c>
      <c r="GD82" s="1013" t="s">
        <v>1404</v>
      </c>
      <c r="GE82" s="1013">
        <v>2</v>
      </c>
      <c r="GF82" s="1013" t="s">
        <v>1407</v>
      </c>
      <c r="GG82" s="1013" t="s">
        <v>1407</v>
      </c>
      <c r="GH82" s="1013" t="s">
        <v>8067</v>
      </c>
      <c r="GI82" s="1013" t="s">
        <v>7974</v>
      </c>
      <c r="GJ82" s="1013" t="s">
        <v>7974</v>
      </c>
      <c r="GK82" s="1013" t="s">
        <v>8068</v>
      </c>
      <c r="GL82" s="1013" t="s">
        <v>7974</v>
      </c>
    </row>
    <row r="83" spans="1:194" hidden="1">
      <c r="A83" s="1013">
        <v>102</v>
      </c>
      <c r="B83" s="1013" t="s">
        <v>7722</v>
      </c>
      <c r="C83" s="1013">
        <v>17184594</v>
      </c>
      <c r="D83" s="1013" t="s">
        <v>7723</v>
      </c>
      <c r="E83" s="1013" t="s">
        <v>7723</v>
      </c>
      <c r="F83" s="1013" t="s">
        <v>7723</v>
      </c>
      <c r="G83" s="1013" t="s">
        <v>7723</v>
      </c>
      <c r="H83" s="1013" t="s">
        <v>7723</v>
      </c>
      <c r="I83" s="1013" t="s">
        <v>7723</v>
      </c>
      <c r="J83" s="1013" t="s">
        <v>7723</v>
      </c>
      <c r="K83" s="1024">
        <v>43663</v>
      </c>
      <c r="L83" s="1023">
        <v>0.71736111111111112</v>
      </c>
      <c r="M83" s="1013" t="s">
        <v>7802</v>
      </c>
      <c r="N83" s="1013" t="s">
        <v>7724</v>
      </c>
      <c r="O83" s="1013">
        <v>101</v>
      </c>
      <c r="P83" s="1013">
        <v>208</v>
      </c>
      <c r="Q83" s="1013" t="s">
        <v>7723</v>
      </c>
      <c r="R83" s="1013" t="s">
        <v>7727</v>
      </c>
      <c r="S83" s="1013" t="s">
        <v>7724</v>
      </c>
      <c r="T83" s="1014" t="s">
        <v>7724</v>
      </c>
      <c r="U83" s="1014">
        <v>19</v>
      </c>
      <c r="V83" s="1014" t="s">
        <v>7724</v>
      </c>
      <c r="W83" s="1014" t="s">
        <v>7724</v>
      </c>
      <c r="X83" s="1013">
        <v>1</v>
      </c>
      <c r="Y83" s="1013">
        <v>1400</v>
      </c>
      <c r="Z83" s="1013" t="s">
        <v>7724</v>
      </c>
      <c r="AA83" s="1013" t="s">
        <v>7725</v>
      </c>
      <c r="AB83" s="1013" t="s">
        <v>7724</v>
      </c>
      <c r="AC83" s="1013" t="s">
        <v>7723</v>
      </c>
      <c r="AD83" s="1013" t="s">
        <v>7723</v>
      </c>
      <c r="AE83" s="1013">
        <v>40</v>
      </c>
      <c r="AF83" s="1013" t="s">
        <v>7723</v>
      </c>
      <c r="AG83" s="1013" t="s">
        <v>7723</v>
      </c>
      <c r="AH83" s="1013" t="s">
        <v>7724</v>
      </c>
      <c r="AI83" s="1013" t="s">
        <v>7727</v>
      </c>
      <c r="AJ83" s="1013">
        <v>19</v>
      </c>
      <c r="AK83" s="1013" t="s">
        <v>7724</v>
      </c>
      <c r="AL83" s="1013" t="s">
        <v>7724</v>
      </c>
      <c r="AM83" s="1013">
        <v>1</v>
      </c>
      <c r="AN83" s="1013">
        <v>4400</v>
      </c>
      <c r="AO83" s="1013" t="s">
        <v>7724</v>
      </c>
      <c r="AP83" s="1013" t="s">
        <v>7745</v>
      </c>
      <c r="AQ83" s="1013" t="s">
        <v>7726</v>
      </c>
      <c r="AR83" s="1013" t="s">
        <v>7724</v>
      </c>
      <c r="AS83" s="1013" t="s">
        <v>7724</v>
      </c>
      <c r="AT83" s="1013" t="s">
        <v>7724</v>
      </c>
      <c r="AU83" s="1013" t="s">
        <v>7724</v>
      </c>
      <c r="AV83" s="1013" t="s">
        <v>7724</v>
      </c>
      <c r="AW83" s="1013" t="s">
        <v>7724</v>
      </c>
      <c r="AX83" s="1013">
        <v>11</v>
      </c>
      <c r="AY83" s="1013">
        <v>1</v>
      </c>
      <c r="AZ83" s="1013">
        <v>6</v>
      </c>
      <c r="BA83" s="1013">
        <v>2</v>
      </c>
      <c r="BB83" s="1013">
        <v>1</v>
      </c>
      <c r="BC83" s="1013">
        <v>1</v>
      </c>
      <c r="BD83" s="1013">
        <v>8</v>
      </c>
      <c r="BE83" s="1023">
        <v>0.71736111111111112</v>
      </c>
      <c r="BF83" s="1013" t="s">
        <v>7736</v>
      </c>
      <c r="BG83" s="1023">
        <v>0.71736111111111112</v>
      </c>
      <c r="BH83" s="1024">
        <v>43663</v>
      </c>
      <c r="BI83" s="1013" t="s">
        <v>7727</v>
      </c>
      <c r="BJ83" s="1013" t="s">
        <v>7730</v>
      </c>
      <c r="BK83" s="1013">
        <v>2469</v>
      </c>
      <c r="BL83" s="1013" t="s">
        <v>7724</v>
      </c>
      <c r="BM83" s="1013" t="s">
        <v>7724</v>
      </c>
      <c r="BN83" s="1013">
        <v>113</v>
      </c>
      <c r="BO83" s="1013">
        <v>8</v>
      </c>
      <c r="BP83" s="1013">
        <v>2</v>
      </c>
      <c r="BQ83" s="1013">
        <v>1</v>
      </c>
      <c r="BR83" s="1013">
        <v>23</v>
      </c>
      <c r="BS83" s="1013">
        <v>64</v>
      </c>
      <c r="BT83" s="1013">
        <v>54</v>
      </c>
      <c r="BU83" s="1013">
        <v>1</v>
      </c>
      <c r="BV83" s="1013">
        <v>5</v>
      </c>
      <c r="BW83" s="1013">
        <v>1</v>
      </c>
      <c r="BX83" s="1013">
        <v>21</v>
      </c>
      <c r="BY83" s="1013">
        <v>21</v>
      </c>
      <c r="BZ83" s="1013">
        <v>101</v>
      </c>
      <c r="CA83" s="1013">
        <v>208</v>
      </c>
      <c r="CB83" s="1013">
        <v>29.732565000000001</v>
      </c>
      <c r="CC83" s="1013">
        <v>-95.380463000000006</v>
      </c>
      <c r="CD83" s="1013" t="s">
        <v>7724</v>
      </c>
      <c r="CE83" s="1013" t="s">
        <v>7724</v>
      </c>
      <c r="CF83" s="1013" t="s">
        <v>7724</v>
      </c>
      <c r="CG83" s="1013" t="s">
        <v>7724</v>
      </c>
      <c r="CH83" s="1013" t="s">
        <v>7731</v>
      </c>
      <c r="CI83" s="1013" t="s">
        <v>7724</v>
      </c>
      <c r="CJ83" s="1013" t="s">
        <v>7724</v>
      </c>
      <c r="CK83" s="1013" t="s">
        <v>7724</v>
      </c>
      <c r="CL83" s="1013" t="s">
        <v>7724</v>
      </c>
      <c r="CM83" s="1013" t="s">
        <v>7724</v>
      </c>
      <c r="CN83" s="1013" t="s">
        <v>7724</v>
      </c>
      <c r="CO83" s="1013" t="s">
        <v>7724</v>
      </c>
      <c r="CP83" s="1013" t="s">
        <v>7724</v>
      </c>
      <c r="CQ83" s="1013" t="s">
        <v>7724</v>
      </c>
      <c r="CR83" s="1013" t="s">
        <v>7746</v>
      </c>
      <c r="CS83" s="1013" t="s">
        <v>7724</v>
      </c>
      <c r="CT83" s="1013" t="s">
        <v>7724</v>
      </c>
      <c r="CU83" s="1013" t="s">
        <v>7724</v>
      </c>
      <c r="CV83" s="1013" t="s">
        <v>7724</v>
      </c>
      <c r="CW83" s="1013" t="s">
        <v>7727</v>
      </c>
      <c r="CX83" s="1013" t="s">
        <v>7723</v>
      </c>
      <c r="CY83" s="1013" t="s">
        <v>7723</v>
      </c>
      <c r="CZ83" s="1013">
        <v>5</v>
      </c>
      <c r="DA83" s="1013">
        <v>9</v>
      </c>
      <c r="DB83" s="1013" t="s">
        <v>7727</v>
      </c>
      <c r="DC83" s="1013" t="s">
        <v>7756</v>
      </c>
      <c r="DD83" s="1013" t="s">
        <v>7724</v>
      </c>
      <c r="DE83" s="1013" t="s">
        <v>7724</v>
      </c>
      <c r="DF83" s="1013" t="s">
        <v>7724</v>
      </c>
      <c r="DG83" s="1013" t="s">
        <v>7724</v>
      </c>
      <c r="DH83" s="1013" t="s">
        <v>7724</v>
      </c>
      <c r="DI83" s="1013" t="s">
        <v>7724</v>
      </c>
      <c r="DJ83" s="1013" t="s">
        <v>7724</v>
      </c>
      <c r="DK83" s="1013" t="s">
        <v>7724</v>
      </c>
      <c r="DL83" s="1013" t="s">
        <v>7724</v>
      </c>
      <c r="DM83" s="1013" t="s">
        <v>7724</v>
      </c>
      <c r="DN83" s="1013" t="s">
        <v>7724</v>
      </c>
      <c r="DO83" s="1013" t="s">
        <v>7724</v>
      </c>
      <c r="DP83" s="1013" t="s">
        <v>7724</v>
      </c>
      <c r="DQ83" s="1013" t="s">
        <v>7724</v>
      </c>
      <c r="DR83" s="1013" t="s">
        <v>7724</v>
      </c>
      <c r="DS83" s="1013" t="s">
        <v>7724</v>
      </c>
      <c r="DT83" s="1013" t="s">
        <v>7724</v>
      </c>
      <c r="DU83" s="1013" t="s">
        <v>7724</v>
      </c>
      <c r="DV83" s="1013" t="s">
        <v>7724</v>
      </c>
      <c r="DW83" s="1013" t="s">
        <v>7724</v>
      </c>
      <c r="DX83" s="1013" t="s">
        <v>7724</v>
      </c>
      <c r="DY83" s="1013" t="s">
        <v>7724</v>
      </c>
      <c r="DZ83" s="1013" t="s">
        <v>7724</v>
      </c>
      <c r="EA83" s="1013" t="s">
        <v>7724</v>
      </c>
      <c r="EB83" s="1013" t="s">
        <v>7724</v>
      </c>
      <c r="EC83" s="1013" t="s">
        <v>7724</v>
      </c>
      <c r="ED83" s="1013" t="s">
        <v>7724</v>
      </c>
      <c r="EE83" s="1013" t="s">
        <v>7724</v>
      </c>
      <c r="EF83" s="1013" t="s">
        <v>7724</v>
      </c>
      <c r="EG83" s="1013" t="s">
        <v>7724</v>
      </c>
      <c r="EH83" s="1013" t="s">
        <v>7724</v>
      </c>
      <c r="EI83" s="1013" t="s">
        <v>7724</v>
      </c>
      <c r="EJ83" s="1013" t="s">
        <v>7724</v>
      </c>
      <c r="EK83" s="1013" t="s">
        <v>7724</v>
      </c>
      <c r="EL83" s="1013" t="s">
        <v>7724</v>
      </c>
      <c r="EM83" s="1013" t="s">
        <v>7724</v>
      </c>
      <c r="EN83" s="1013" t="s">
        <v>7724</v>
      </c>
      <c r="EO83" s="1013" t="s">
        <v>7724</v>
      </c>
      <c r="EP83" s="1013" t="s">
        <v>7724</v>
      </c>
      <c r="EQ83" s="1013" t="s">
        <v>7724</v>
      </c>
      <c r="ER83" s="1013" t="s">
        <v>7724</v>
      </c>
      <c r="ES83" s="1013" t="s">
        <v>7724</v>
      </c>
      <c r="ET83" s="1013" t="s">
        <v>7724</v>
      </c>
      <c r="EU83" s="1013" t="s">
        <v>7724</v>
      </c>
      <c r="EV83" s="1013" t="s">
        <v>7724</v>
      </c>
      <c r="EW83" s="1013" t="s">
        <v>7724</v>
      </c>
      <c r="EX83" s="1013" t="s">
        <v>7724</v>
      </c>
      <c r="EY83" s="1013" t="s">
        <v>7724</v>
      </c>
      <c r="EZ83" s="1013" t="s">
        <v>7724</v>
      </c>
      <c r="FA83" s="1013" t="s">
        <v>7724</v>
      </c>
      <c r="FB83" s="1013" t="s">
        <v>7724</v>
      </c>
      <c r="FC83" s="1013" t="s">
        <v>7724</v>
      </c>
      <c r="FD83" s="1013" t="s">
        <v>7724</v>
      </c>
      <c r="FE83" s="1013" t="s">
        <v>7724</v>
      </c>
      <c r="FF83" s="1013" t="s">
        <v>7724</v>
      </c>
      <c r="FG83" s="1013">
        <v>0</v>
      </c>
      <c r="FH83" s="1013">
        <v>0</v>
      </c>
      <c r="FI83" s="1013">
        <v>0</v>
      </c>
      <c r="FJ83" s="1013">
        <v>3</v>
      </c>
      <c r="FK83" s="1013">
        <v>0</v>
      </c>
      <c r="FL83" s="1013">
        <v>0</v>
      </c>
      <c r="FM83" s="1013">
        <v>0</v>
      </c>
      <c r="FN83" s="1013">
        <v>15</v>
      </c>
      <c r="FO83" s="1013">
        <v>29</v>
      </c>
      <c r="FP83" s="1013">
        <v>9</v>
      </c>
      <c r="FQ83" s="1013" t="s">
        <v>7724</v>
      </c>
      <c r="FR83" s="1013" t="s">
        <v>7724</v>
      </c>
      <c r="FS83" s="1013" t="s">
        <v>7724</v>
      </c>
      <c r="FT83" s="1013" t="s">
        <v>7724</v>
      </c>
      <c r="FU83" s="1013" t="s">
        <v>7724</v>
      </c>
      <c r="FV83" s="1013" t="s">
        <v>7724</v>
      </c>
      <c r="FW83" s="1013" t="s">
        <v>7724</v>
      </c>
      <c r="FX83" s="1013" t="s">
        <v>7724</v>
      </c>
      <c r="FY83" s="1013" t="s">
        <v>7724</v>
      </c>
      <c r="FZ83" s="1013" t="s">
        <v>7724</v>
      </c>
      <c r="GA83" s="1013" t="s">
        <v>7724</v>
      </c>
      <c r="GB83" s="1013" t="s">
        <v>7724</v>
      </c>
      <c r="GC83" s="1013">
        <v>2019</v>
      </c>
      <c r="GD83" s="1013" t="s">
        <v>1404</v>
      </c>
      <c r="GE83" s="1013">
        <v>2</v>
      </c>
      <c r="GF83" s="1013" t="s">
        <v>1407</v>
      </c>
      <c r="GG83" s="1013" t="s">
        <v>1407</v>
      </c>
      <c r="GH83" s="1013" t="s">
        <v>8069</v>
      </c>
      <c r="GI83" s="1013" t="s">
        <v>7974</v>
      </c>
      <c r="GJ83" s="1013" t="s">
        <v>7974</v>
      </c>
      <c r="GK83" s="1013" t="s">
        <v>7974</v>
      </c>
      <c r="GL83" s="1013" t="s">
        <v>7974</v>
      </c>
    </row>
    <row r="84" spans="1:194" hidden="1">
      <c r="A84" s="1013">
        <v>120</v>
      </c>
      <c r="B84" s="1013" t="s">
        <v>7722</v>
      </c>
      <c r="C84" s="1013">
        <v>17419346</v>
      </c>
      <c r="D84" s="1013" t="s">
        <v>7723</v>
      </c>
      <c r="E84" s="1013" t="s">
        <v>7723</v>
      </c>
      <c r="F84" s="1013" t="s">
        <v>7723</v>
      </c>
      <c r="G84" s="1013" t="s">
        <v>7723</v>
      </c>
      <c r="H84" s="1013" t="s">
        <v>7723</v>
      </c>
      <c r="I84" s="1013" t="s">
        <v>7723</v>
      </c>
      <c r="J84" s="1013" t="s">
        <v>7723</v>
      </c>
      <c r="K84" s="1024">
        <v>43791</v>
      </c>
      <c r="L84" s="1023">
        <v>0.38541666666666669</v>
      </c>
      <c r="M84" s="1013" t="s">
        <v>7816</v>
      </c>
      <c r="N84" s="1013" t="s">
        <v>7724</v>
      </c>
      <c r="O84" s="1013">
        <v>101</v>
      </c>
      <c r="P84" s="1013">
        <v>208</v>
      </c>
      <c r="Q84" s="1013" t="s">
        <v>7723</v>
      </c>
      <c r="R84" s="1013" t="s">
        <v>7727</v>
      </c>
      <c r="S84" s="1013" t="s">
        <v>7724</v>
      </c>
      <c r="T84" s="1014" t="s">
        <v>7724</v>
      </c>
      <c r="U84" s="1014">
        <v>19</v>
      </c>
      <c r="V84" s="1014" t="s">
        <v>7724</v>
      </c>
      <c r="W84" s="1014" t="s">
        <v>7724</v>
      </c>
      <c r="X84" s="1013">
        <v>1</v>
      </c>
      <c r="Y84" s="1013">
        <v>1200</v>
      </c>
      <c r="Z84" s="1013" t="s">
        <v>7724</v>
      </c>
      <c r="AA84" s="1013" t="s">
        <v>7725</v>
      </c>
      <c r="AB84" s="1013" t="s">
        <v>7726</v>
      </c>
      <c r="AC84" s="1013" t="s">
        <v>7723</v>
      </c>
      <c r="AD84" s="1013" t="s">
        <v>7723</v>
      </c>
      <c r="AE84" s="1013">
        <v>35</v>
      </c>
      <c r="AF84" s="1013" t="s">
        <v>7723</v>
      </c>
      <c r="AG84" s="1013" t="s">
        <v>7723</v>
      </c>
      <c r="AH84" s="1013" t="s">
        <v>7817</v>
      </c>
      <c r="AI84" s="1013" t="s">
        <v>7727</v>
      </c>
      <c r="AJ84" s="1013">
        <v>19</v>
      </c>
      <c r="AK84" s="1013" t="s">
        <v>7724</v>
      </c>
      <c r="AL84" s="1013" t="s">
        <v>7724</v>
      </c>
      <c r="AM84" s="1013">
        <v>1</v>
      </c>
      <c r="AN84" s="1013">
        <v>4300</v>
      </c>
      <c r="AO84" s="1013" t="s">
        <v>7724</v>
      </c>
      <c r="AP84" s="1013" t="s">
        <v>7745</v>
      </c>
      <c r="AQ84" s="1013" t="s">
        <v>7726</v>
      </c>
      <c r="AR84" s="1013" t="s">
        <v>7724</v>
      </c>
      <c r="AS84" s="1013" t="s">
        <v>7724</v>
      </c>
      <c r="AT84" s="1013" t="s">
        <v>7724</v>
      </c>
      <c r="AU84" s="1013" t="s">
        <v>7724</v>
      </c>
      <c r="AV84" s="1013" t="s">
        <v>7724</v>
      </c>
      <c r="AW84" s="1013" t="s">
        <v>7724</v>
      </c>
      <c r="AX84" s="1013">
        <v>11</v>
      </c>
      <c r="AY84" s="1013">
        <v>1</v>
      </c>
      <c r="AZ84" s="1013">
        <v>4</v>
      </c>
      <c r="BA84" s="1013">
        <v>2</v>
      </c>
      <c r="BB84" s="1013">
        <v>1</v>
      </c>
      <c r="BC84" s="1013">
        <v>1</v>
      </c>
      <c r="BD84" s="1013">
        <v>8</v>
      </c>
      <c r="BE84" s="1023">
        <v>0.39583333333333331</v>
      </c>
      <c r="BF84" s="1013" t="s">
        <v>7736</v>
      </c>
      <c r="BG84" s="1023">
        <v>0.39652777777777776</v>
      </c>
      <c r="BH84" s="1024">
        <v>43791</v>
      </c>
      <c r="BI84" s="1013" t="s">
        <v>7727</v>
      </c>
      <c r="BJ84" s="1013" t="s">
        <v>7730</v>
      </c>
      <c r="BK84" s="1013">
        <v>2469</v>
      </c>
      <c r="BL84" s="1013" t="s">
        <v>7724</v>
      </c>
      <c r="BM84" s="1013" t="s">
        <v>7724</v>
      </c>
      <c r="BN84" s="1013">
        <v>113</v>
      </c>
      <c r="BO84" s="1013">
        <v>8</v>
      </c>
      <c r="BP84" s="1013">
        <v>2</v>
      </c>
      <c r="BQ84" s="1013">
        <v>1</v>
      </c>
      <c r="BR84" s="1013">
        <v>10</v>
      </c>
      <c r="BS84" s="1013">
        <v>64</v>
      </c>
      <c r="BT84" s="1013">
        <v>54</v>
      </c>
      <c r="BU84" s="1013">
        <v>1</v>
      </c>
      <c r="BV84" s="1013">
        <v>5</v>
      </c>
      <c r="BW84" s="1013">
        <v>1</v>
      </c>
      <c r="BX84" s="1013">
        <v>21</v>
      </c>
      <c r="BY84" s="1013">
        <v>21</v>
      </c>
      <c r="BZ84" s="1013">
        <v>101</v>
      </c>
      <c r="CA84" s="1013">
        <v>208</v>
      </c>
      <c r="CB84" s="1013">
        <v>29.732565000000001</v>
      </c>
      <c r="CC84" s="1013">
        <v>-95.380463000000006</v>
      </c>
      <c r="CD84" s="1013" t="s">
        <v>7724</v>
      </c>
      <c r="CE84" s="1013" t="s">
        <v>7724</v>
      </c>
      <c r="CF84" s="1013" t="s">
        <v>7724</v>
      </c>
      <c r="CG84" s="1013" t="s">
        <v>7724</v>
      </c>
      <c r="CH84" s="1013" t="s">
        <v>7731</v>
      </c>
      <c r="CI84" s="1013" t="s">
        <v>7724</v>
      </c>
      <c r="CJ84" s="1013" t="s">
        <v>7724</v>
      </c>
      <c r="CK84" s="1013" t="s">
        <v>7724</v>
      </c>
      <c r="CL84" s="1013" t="s">
        <v>7724</v>
      </c>
      <c r="CM84" s="1013" t="s">
        <v>7724</v>
      </c>
      <c r="CN84" s="1013" t="s">
        <v>7724</v>
      </c>
      <c r="CO84" s="1013" t="s">
        <v>7724</v>
      </c>
      <c r="CP84" s="1013" t="s">
        <v>7724</v>
      </c>
      <c r="CQ84" s="1013" t="s">
        <v>7724</v>
      </c>
      <c r="CR84" s="1013" t="s">
        <v>7746</v>
      </c>
      <c r="CS84" s="1013" t="s">
        <v>7724</v>
      </c>
      <c r="CT84" s="1013" t="s">
        <v>7724</v>
      </c>
      <c r="CU84" s="1013" t="s">
        <v>7724</v>
      </c>
      <c r="CV84" s="1013" t="s">
        <v>7724</v>
      </c>
      <c r="CW84" s="1013" t="s">
        <v>7727</v>
      </c>
      <c r="CX84" s="1013" t="s">
        <v>7723</v>
      </c>
      <c r="CY84" s="1013" t="s">
        <v>7723</v>
      </c>
      <c r="CZ84" s="1013">
        <v>5</v>
      </c>
      <c r="DA84" s="1013">
        <v>9</v>
      </c>
      <c r="DB84" s="1013" t="s">
        <v>7727</v>
      </c>
      <c r="DC84" s="1013" t="s">
        <v>7759</v>
      </c>
      <c r="DD84" s="1013" t="s">
        <v>7724</v>
      </c>
      <c r="DE84" s="1013" t="s">
        <v>7724</v>
      </c>
      <c r="DF84" s="1013" t="s">
        <v>7724</v>
      </c>
      <c r="DG84" s="1013" t="s">
        <v>7724</v>
      </c>
      <c r="DH84" s="1013" t="s">
        <v>7724</v>
      </c>
      <c r="DI84" s="1013" t="s">
        <v>7724</v>
      </c>
      <c r="DJ84" s="1013" t="s">
        <v>7724</v>
      </c>
      <c r="DK84" s="1013" t="s">
        <v>7724</v>
      </c>
      <c r="DL84" s="1013" t="s">
        <v>7724</v>
      </c>
      <c r="DM84" s="1013" t="s">
        <v>7724</v>
      </c>
      <c r="DN84" s="1013" t="s">
        <v>7724</v>
      </c>
      <c r="DO84" s="1013" t="s">
        <v>7724</v>
      </c>
      <c r="DP84" s="1013" t="s">
        <v>7724</v>
      </c>
      <c r="DQ84" s="1013" t="s">
        <v>7724</v>
      </c>
      <c r="DR84" s="1013" t="s">
        <v>7724</v>
      </c>
      <c r="DS84" s="1013" t="s">
        <v>7724</v>
      </c>
      <c r="DT84" s="1013" t="s">
        <v>7724</v>
      </c>
      <c r="DU84" s="1013" t="s">
        <v>7724</v>
      </c>
      <c r="DV84" s="1013" t="s">
        <v>7724</v>
      </c>
      <c r="DW84" s="1013" t="s">
        <v>7724</v>
      </c>
      <c r="DX84" s="1013" t="s">
        <v>7724</v>
      </c>
      <c r="DY84" s="1013" t="s">
        <v>7724</v>
      </c>
      <c r="DZ84" s="1013" t="s">
        <v>7724</v>
      </c>
      <c r="EA84" s="1013" t="s">
        <v>7724</v>
      </c>
      <c r="EB84" s="1013" t="s">
        <v>7724</v>
      </c>
      <c r="EC84" s="1013" t="s">
        <v>7724</v>
      </c>
      <c r="ED84" s="1013" t="s">
        <v>7724</v>
      </c>
      <c r="EE84" s="1013" t="s">
        <v>7724</v>
      </c>
      <c r="EF84" s="1013" t="s">
        <v>7724</v>
      </c>
      <c r="EG84" s="1013" t="s">
        <v>7724</v>
      </c>
      <c r="EH84" s="1013" t="s">
        <v>7724</v>
      </c>
      <c r="EI84" s="1013" t="s">
        <v>7724</v>
      </c>
      <c r="EJ84" s="1013" t="s">
        <v>7724</v>
      </c>
      <c r="EK84" s="1013" t="s">
        <v>7724</v>
      </c>
      <c r="EL84" s="1013" t="s">
        <v>7724</v>
      </c>
      <c r="EM84" s="1013" t="s">
        <v>7724</v>
      </c>
      <c r="EN84" s="1013" t="s">
        <v>7724</v>
      </c>
      <c r="EO84" s="1013" t="s">
        <v>7724</v>
      </c>
      <c r="EP84" s="1013" t="s">
        <v>7724</v>
      </c>
      <c r="EQ84" s="1013" t="s">
        <v>7724</v>
      </c>
      <c r="ER84" s="1013" t="s">
        <v>7724</v>
      </c>
      <c r="ES84" s="1013" t="s">
        <v>7724</v>
      </c>
      <c r="ET84" s="1013" t="s">
        <v>7724</v>
      </c>
      <c r="EU84" s="1013" t="s">
        <v>7724</v>
      </c>
      <c r="EV84" s="1013" t="s">
        <v>7724</v>
      </c>
      <c r="EW84" s="1013" t="s">
        <v>7724</v>
      </c>
      <c r="EX84" s="1013" t="s">
        <v>7724</v>
      </c>
      <c r="EY84" s="1013" t="s">
        <v>7724</v>
      </c>
      <c r="EZ84" s="1013" t="s">
        <v>7724</v>
      </c>
      <c r="FA84" s="1013" t="s">
        <v>7724</v>
      </c>
      <c r="FB84" s="1013" t="s">
        <v>7724</v>
      </c>
      <c r="FC84" s="1013" t="s">
        <v>7724</v>
      </c>
      <c r="FD84" s="1013" t="s">
        <v>7724</v>
      </c>
      <c r="FE84" s="1013" t="s">
        <v>7724</v>
      </c>
      <c r="FF84" s="1013" t="s">
        <v>7724</v>
      </c>
      <c r="FG84" s="1013">
        <v>0</v>
      </c>
      <c r="FH84" s="1013">
        <v>0</v>
      </c>
      <c r="FI84" s="1013">
        <v>0</v>
      </c>
      <c r="FJ84" s="1013">
        <v>2</v>
      </c>
      <c r="FK84" s="1013">
        <v>0</v>
      </c>
      <c r="FL84" s="1013">
        <v>0</v>
      </c>
      <c r="FM84" s="1013">
        <v>0</v>
      </c>
      <c r="FN84" s="1013">
        <v>15</v>
      </c>
      <c r="FO84" s="1013">
        <v>29</v>
      </c>
      <c r="FP84" s="1013">
        <v>6</v>
      </c>
      <c r="FQ84" s="1013" t="s">
        <v>7724</v>
      </c>
      <c r="FR84" s="1013" t="s">
        <v>7724</v>
      </c>
      <c r="FS84" s="1013" t="s">
        <v>7724</v>
      </c>
      <c r="FT84" s="1013" t="s">
        <v>7724</v>
      </c>
      <c r="FU84" s="1013" t="s">
        <v>7724</v>
      </c>
      <c r="FV84" s="1013" t="s">
        <v>7724</v>
      </c>
      <c r="FW84" s="1013" t="s">
        <v>7724</v>
      </c>
      <c r="FX84" s="1013" t="s">
        <v>7724</v>
      </c>
      <c r="FY84" s="1013" t="s">
        <v>7724</v>
      </c>
      <c r="FZ84" s="1013" t="s">
        <v>7724</v>
      </c>
      <c r="GA84" s="1013" t="s">
        <v>7724</v>
      </c>
      <c r="GB84" s="1013" t="s">
        <v>7724</v>
      </c>
      <c r="GC84" s="1013">
        <v>2019</v>
      </c>
      <c r="GD84" s="1013" t="s">
        <v>1404</v>
      </c>
      <c r="GE84" s="1013">
        <v>2</v>
      </c>
      <c r="GF84" s="1013" t="s">
        <v>1407</v>
      </c>
      <c r="GG84" s="1013" t="s">
        <v>1407</v>
      </c>
      <c r="GH84" s="1013" t="s">
        <v>7982</v>
      </c>
      <c r="GI84" s="1013" t="s">
        <v>7974</v>
      </c>
      <c r="GJ84" s="1013" t="s">
        <v>7974</v>
      </c>
      <c r="GK84" s="1013" t="s">
        <v>7974</v>
      </c>
      <c r="GL84" s="1013" t="s">
        <v>7974</v>
      </c>
    </row>
    <row r="85" spans="1:194" hidden="1">
      <c r="A85" s="1013">
        <v>126</v>
      </c>
      <c r="B85" s="1013" t="s">
        <v>7722</v>
      </c>
      <c r="C85" s="1013">
        <v>19542230</v>
      </c>
      <c r="D85" s="1013" t="s">
        <v>7723</v>
      </c>
      <c r="E85" s="1013" t="s">
        <v>7723</v>
      </c>
      <c r="F85" s="1013" t="s">
        <v>7723</v>
      </c>
      <c r="G85" s="1013" t="s">
        <v>7723</v>
      </c>
      <c r="H85" s="1013" t="s">
        <v>7723</v>
      </c>
      <c r="I85" s="1013" t="s">
        <v>7723</v>
      </c>
      <c r="J85" s="1013" t="s">
        <v>7723</v>
      </c>
      <c r="K85" s="1024">
        <v>45053</v>
      </c>
      <c r="L85" s="1023">
        <v>0.61458333333333337</v>
      </c>
      <c r="M85" s="1013" t="s">
        <v>8070</v>
      </c>
      <c r="N85" s="1013" t="s">
        <v>7744</v>
      </c>
      <c r="O85" s="1013">
        <v>101</v>
      </c>
      <c r="P85" s="1013">
        <v>208</v>
      </c>
      <c r="Q85" s="1013" t="s">
        <v>7723</v>
      </c>
      <c r="R85" s="1013" t="s">
        <v>7727</v>
      </c>
      <c r="S85" s="1013" t="s">
        <v>7724</v>
      </c>
      <c r="T85" s="1014" t="s">
        <v>7724</v>
      </c>
      <c r="U85" s="1014">
        <v>19</v>
      </c>
      <c r="V85" s="1014" t="s">
        <v>7724</v>
      </c>
      <c r="W85" s="1014" t="s">
        <v>7724</v>
      </c>
      <c r="X85" s="1013">
        <v>1</v>
      </c>
      <c r="Y85" s="1013">
        <v>1300</v>
      </c>
      <c r="Z85" s="1013" t="s">
        <v>7724</v>
      </c>
      <c r="AA85" s="1013" t="s">
        <v>7725</v>
      </c>
      <c r="AB85" s="1013" t="s">
        <v>7735</v>
      </c>
      <c r="AC85" s="1013" t="s">
        <v>7723</v>
      </c>
      <c r="AD85" s="1013" t="s">
        <v>7723</v>
      </c>
      <c r="AE85" s="1013">
        <v>35</v>
      </c>
      <c r="AF85" s="1013" t="s">
        <v>7723</v>
      </c>
      <c r="AG85" s="1013" t="s">
        <v>7723</v>
      </c>
      <c r="AH85" s="1013" t="s">
        <v>7739</v>
      </c>
      <c r="AI85" s="1013" t="s">
        <v>7723</v>
      </c>
      <c r="AJ85" s="1013">
        <v>19</v>
      </c>
      <c r="AK85" s="1013" t="s">
        <v>7724</v>
      </c>
      <c r="AL85" s="1013" t="s">
        <v>7724</v>
      </c>
      <c r="AM85" s="1013">
        <v>1</v>
      </c>
      <c r="AN85" s="1013">
        <v>4300</v>
      </c>
      <c r="AO85" s="1013" t="s">
        <v>7724</v>
      </c>
      <c r="AP85" s="1013" t="s">
        <v>7745</v>
      </c>
      <c r="AQ85" s="1013" t="s">
        <v>7726</v>
      </c>
      <c r="AR85" s="1013" t="s">
        <v>7724</v>
      </c>
      <c r="AS85" s="1013" t="s">
        <v>7724</v>
      </c>
      <c r="AT85" s="1013" t="s">
        <v>7724</v>
      </c>
      <c r="AU85" s="1013" t="s">
        <v>7724</v>
      </c>
      <c r="AV85" s="1013" t="s">
        <v>7739</v>
      </c>
      <c r="AW85" s="1013" t="s">
        <v>7724</v>
      </c>
      <c r="AX85" s="1013">
        <v>11</v>
      </c>
      <c r="AY85" s="1013">
        <v>1</v>
      </c>
      <c r="AZ85" s="1013">
        <v>4</v>
      </c>
      <c r="BA85" s="1013">
        <v>98</v>
      </c>
      <c r="BB85" s="1013">
        <v>1</v>
      </c>
      <c r="BC85" s="1013">
        <v>1</v>
      </c>
      <c r="BD85" s="1013">
        <v>20</v>
      </c>
      <c r="BE85" s="1023">
        <v>0.61458333333333337</v>
      </c>
      <c r="BF85" s="1013" t="s">
        <v>7843</v>
      </c>
      <c r="BG85" s="1023">
        <v>0.61805555555555558</v>
      </c>
      <c r="BH85" s="1024">
        <v>45060</v>
      </c>
      <c r="BI85" s="1013" t="s">
        <v>7727</v>
      </c>
      <c r="BJ85" s="1013" t="s">
        <v>7730</v>
      </c>
      <c r="BK85" s="1013">
        <v>2469</v>
      </c>
      <c r="BL85" s="1013" t="s">
        <v>7724</v>
      </c>
      <c r="BM85" s="1013" t="s">
        <v>7724</v>
      </c>
      <c r="BN85" s="1013">
        <v>113</v>
      </c>
      <c r="BO85" s="1013">
        <v>8</v>
      </c>
      <c r="BP85" s="1013">
        <v>2</v>
      </c>
      <c r="BQ85" s="1013">
        <v>2</v>
      </c>
      <c r="BR85" s="1013">
        <v>23</v>
      </c>
      <c r="BS85" s="1013">
        <v>64</v>
      </c>
      <c r="BT85" s="1013">
        <v>54</v>
      </c>
      <c r="BU85" s="1013">
        <v>1</v>
      </c>
      <c r="BV85" s="1013">
        <v>5</v>
      </c>
      <c r="BW85" s="1013">
        <v>1</v>
      </c>
      <c r="BX85" s="1013">
        <v>21</v>
      </c>
      <c r="BY85" s="1013">
        <v>21</v>
      </c>
      <c r="BZ85" s="1013">
        <v>101</v>
      </c>
      <c r="CA85" s="1013">
        <v>208</v>
      </c>
      <c r="CB85" s="1013">
        <v>29.732637</v>
      </c>
      <c r="CC85" s="1013">
        <v>-95.380596999999995</v>
      </c>
      <c r="CD85" s="1013" t="s">
        <v>7724</v>
      </c>
      <c r="CE85" s="1013" t="s">
        <v>7724</v>
      </c>
      <c r="CF85" s="1013" t="s">
        <v>7724</v>
      </c>
      <c r="CG85" s="1013" t="s">
        <v>7724</v>
      </c>
      <c r="CH85" s="1013" t="s">
        <v>7731</v>
      </c>
      <c r="CI85" s="1013">
        <v>1284</v>
      </c>
      <c r="CJ85" s="1013" t="s">
        <v>7724</v>
      </c>
      <c r="CK85" s="1013" t="s">
        <v>7724</v>
      </c>
      <c r="CL85" s="1013" t="s">
        <v>7724</v>
      </c>
      <c r="CM85" s="1013" t="s">
        <v>7724</v>
      </c>
      <c r="CN85" s="1013" t="s">
        <v>7724</v>
      </c>
      <c r="CO85" s="1013" t="s">
        <v>7724</v>
      </c>
      <c r="CP85" s="1013" t="s">
        <v>7724</v>
      </c>
      <c r="CQ85" s="1013" t="s">
        <v>7724</v>
      </c>
      <c r="CR85" s="1013" t="s">
        <v>7746</v>
      </c>
      <c r="CS85" s="1013" t="s">
        <v>7724</v>
      </c>
      <c r="CT85" s="1013" t="s">
        <v>7724</v>
      </c>
      <c r="CU85" s="1013" t="s">
        <v>7724</v>
      </c>
      <c r="CV85" s="1013" t="s">
        <v>7724</v>
      </c>
      <c r="CW85" s="1013" t="s">
        <v>7727</v>
      </c>
      <c r="CX85" s="1013" t="s">
        <v>7723</v>
      </c>
      <c r="CY85" s="1013" t="s">
        <v>7723</v>
      </c>
      <c r="CZ85" s="1013">
        <v>5</v>
      </c>
      <c r="DA85" s="1013">
        <v>9</v>
      </c>
      <c r="DB85" s="1013" t="s">
        <v>7727</v>
      </c>
      <c r="DC85" s="1013" t="s">
        <v>7747</v>
      </c>
      <c r="DD85" s="1013" t="s">
        <v>7724</v>
      </c>
      <c r="DE85" s="1013" t="s">
        <v>7724</v>
      </c>
      <c r="DF85" s="1013" t="s">
        <v>7724</v>
      </c>
      <c r="DG85" s="1013" t="s">
        <v>7724</v>
      </c>
      <c r="DH85" s="1013" t="s">
        <v>7724</v>
      </c>
      <c r="DI85" s="1013" t="s">
        <v>7724</v>
      </c>
      <c r="DJ85" s="1013" t="s">
        <v>7724</v>
      </c>
      <c r="DK85" s="1013" t="s">
        <v>7724</v>
      </c>
      <c r="DL85" s="1013" t="s">
        <v>7724</v>
      </c>
      <c r="DM85" s="1013" t="s">
        <v>7724</v>
      </c>
      <c r="DN85" s="1013" t="s">
        <v>7724</v>
      </c>
      <c r="DO85" s="1013" t="s">
        <v>7724</v>
      </c>
      <c r="DP85" s="1013" t="s">
        <v>7724</v>
      </c>
      <c r="DQ85" s="1013" t="s">
        <v>7724</v>
      </c>
      <c r="DR85" s="1013" t="s">
        <v>7724</v>
      </c>
      <c r="DS85" s="1013" t="s">
        <v>7724</v>
      </c>
      <c r="DT85" s="1013" t="s">
        <v>7724</v>
      </c>
      <c r="DU85" s="1013" t="s">
        <v>7724</v>
      </c>
      <c r="DV85" s="1013" t="s">
        <v>7724</v>
      </c>
      <c r="DW85" s="1013" t="s">
        <v>7724</v>
      </c>
      <c r="DX85" s="1013" t="s">
        <v>7724</v>
      </c>
      <c r="DY85" s="1013" t="s">
        <v>7724</v>
      </c>
      <c r="DZ85" s="1013" t="s">
        <v>7724</v>
      </c>
      <c r="EA85" s="1013" t="s">
        <v>7724</v>
      </c>
      <c r="EB85" s="1013" t="s">
        <v>7724</v>
      </c>
      <c r="EC85" s="1013" t="s">
        <v>7724</v>
      </c>
      <c r="ED85" s="1013" t="s">
        <v>7724</v>
      </c>
      <c r="EE85" s="1013" t="s">
        <v>7724</v>
      </c>
      <c r="EF85" s="1013" t="s">
        <v>7724</v>
      </c>
      <c r="EG85" s="1013" t="s">
        <v>7724</v>
      </c>
      <c r="EH85" s="1013" t="s">
        <v>7724</v>
      </c>
      <c r="EI85" s="1013" t="s">
        <v>7724</v>
      </c>
      <c r="EJ85" s="1013" t="s">
        <v>7724</v>
      </c>
      <c r="EK85" s="1013" t="s">
        <v>7724</v>
      </c>
      <c r="EL85" s="1013" t="s">
        <v>7724</v>
      </c>
      <c r="EM85" s="1013" t="s">
        <v>7724</v>
      </c>
      <c r="EN85" s="1013" t="s">
        <v>7724</v>
      </c>
      <c r="EO85" s="1013" t="s">
        <v>7724</v>
      </c>
      <c r="EP85" s="1013" t="s">
        <v>7724</v>
      </c>
      <c r="EQ85" s="1013" t="s">
        <v>7724</v>
      </c>
      <c r="ER85" s="1013" t="s">
        <v>7724</v>
      </c>
      <c r="ES85" s="1013" t="s">
        <v>7724</v>
      </c>
      <c r="ET85" s="1013" t="s">
        <v>7724</v>
      </c>
      <c r="EU85" s="1013" t="s">
        <v>7724</v>
      </c>
      <c r="EV85" s="1013" t="s">
        <v>7724</v>
      </c>
      <c r="EW85" s="1013" t="s">
        <v>7724</v>
      </c>
      <c r="EX85" s="1013" t="s">
        <v>7724</v>
      </c>
      <c r="EY85" s="1013" t="s">
        <v>7724</v>
      </c>
      <c r="EZ85" s="1013" t="s">
        <v>7724</v>
      </c>
      <c r="FA85" s="1013" t="s">
        <v>7724</v>
      </c>
      <c r="FB85" s="1013" t="s">
        <v>7724</v>
      </c>
      <c r="FC85" s="1013" t="s">
        <v>7724</v>
      </c>
      <c r="FD85" s="1013" t="s">
        <v>7724</v>
      </c>
      <c r="FE85" s="1013" t="s">
        <v>7724</v>
      </c>
      <c r="FF85" s="1013" t="s">
        <v>7724</v>
      </c>
      <c r="FG85" s="1013">
        <v>0</v>
      </c>
      <c r="FH85" s="1013">
        <v>0</v>
      </c>
      <c r="FI85" s="1013">
        <v>0</v>
      </c>
      <c r="FJ85" s="1013">
        <v>2</v>
      </c>
      <c r="FK85" s="1013">
        <v>1</v>
      </c>
      <c r="FL85" s="1013">
        <v>0</v>
      </c>
      <c r="FM85" s="1013">
        <v>0</v>
      </c>
      <c r="FN85" s="1013">
        <v>15</v>
      </c>
      <c r="FO85" s="1013">
        <v>29</v>
      </c>
      <c r="FP85" s="1013">
        <v>9</v>
      </c>
      <c r="FQ85" s="1013" t="s">
        <v>7724</v>
      </c>
      <c r="FR85" s="1013" t="s">
        <v>7724</v>
      </c>
      <c r="FS85" s="1013" t="s">
        <v>7724</v>
      </c>
      <c r="FT85" s="1013" t="s">
        <v>7723</v>
      </c>
      <c r="FU85" s="1013" t="s">
        <v>7842</v>
      </c>
      <c r="FV85" s="1013">
        <v>-1</v>
      </c>
      <c r="FW85" s="1023">
        <v>0.62152777777777779</v>
      </c>
      <c r="FX85" s="1023">
        <v>0.625</v>
      </c>
      <c r="FY85" s="1024">
        <v>45053</v>
      </c>
      <c r="FZ85" s="1024">
        <v>45053</v>
      </c>
      <c r="GA85" s="1024">
        <v>45053</v>
      </c>
      <c r="GB85" s="1024">
        <v>45053</v>
      </c>
      <c r="GC85" s="1013">
        <v>2023</v>
      </c>
      <c r="GD85" s="1013" t="s">
        <v>1407</v>
      </c>
      <c r="GE85" s="1013">
        <v>3</v>
      </c>
      <c r="GF85" s="1013" t="s">
        <v>1407</v>
      </c>
      <c r="GG85" s="1013" t="s">
        <v>1407</v>
      </c>
      <c r="GH85" s="1013" t="s">
        <v>8071</v>
      </c>
      <c r="GI85" s="1013" t="s">
        <v>7980</v>
      </c>
      <c r="GJ85" s="1013" t="s">
        <v>7980</v>
      </c>
      <c r="GK85" s="1013" t="s">
        <v>7980</v>
      </c>
      <c r="GL85" s="1013" t="s">
        <v>7980</v>
      </c>
    </row>
    <row r="86" spans="1:194" hidden="1">
      <c r="A86" s="1013">
        <v>141</v>
      </c>
      <c r="B86" s="1013" t="s">
        <v>7722</v>
      </c>
      <c r="C86" s="1013">
        <v>19353712</v>
      </c>
      <c r="D86" s="1013" t="s">
        <v>7723</v>
      </c>
      <c r="E86" s="1013" t="s">
        <v>7723</v>
      </c>
      <c r="F86" s="1013" t="s">
        <v>7723</v>
      </c>
      <c r="G86" s="1013" t="s">
        <v>7723</v>
      </c>
      <c r="H86" s="1013" t="s">
        <v>7723</v>
      </c>
      <c r="I86" s="1013" t="s">
        <v>7723</v>
      </c>
      <c r="J86" s="1013" t="s">
        <v>7723</v>
      </c>
      <c r="K86" s="1024">
        <v>44949</v>
      </c>
      <c r="L86" s="1023">
        <v>0.7368055555555556</v>
      </c>
      <c r="M86" s="1013" t="s">
        <v>8072</v>
      </c>
      <c r="N86" s="1013" t="s">
        <v>7724</v>
      </c>
      <c r="O86" s="1013">
        <v>101</v>
      </c>
      <c r="P86" s="1013">
        <v>208</v>
      </c>
      <c r="Q86" s="1013" t="s">
        <v>7723</v>
      </c>
      <c r="R86" s="1013" t="s">
        <v>7727</v>
      </c>
      <c r="S86" s="1013" t="s">
        <v>7724</v>
      </c>
      <c r="T86" s="1014" t="s">
        <v>7724</v>
      </c>
      <c r="U86" s="1014">
        <v>19</v>
      </c>
      <c r="V86" s="1014" t="s">
        <v>7724</v>
      </c>
      <c r="W86" s="1014" t="s">
        <v>7724</v>
      </c>
      <c r="X86" s="1013">
        <v>1</v>
      </c>
      <c r="Y86" s="1013">
        <v>1300</v>
      </c>
      <c r="Z86" s="1013" t="s">
        <v>7724</v>
      </c>
      <c r="AA86" s="1013" t="s">
        <v>7725</v>
      </c>
      <c r="AB86" s="1013" t="s">
        <v>7724</v>
      </c>
      <c r="AC86" s="1013" t="s">
        <v>7723</v>
      </c>
      <c r="AD86" s="1013" t="s">
        <v>7723</v>
      </c>
      <c r="AE86" s="1013">
        <v>30</v>
      </c>
      <c r="AF86" s="1013" t="s">
        <v>7723</v>
      </c>
      <c r="AG86" s="1013" t="s">
        <v>7723</v>
      </c>
      <c r="AH86" s="1013" t="s">
        <v>7724</v>
      </c>
      <c r="AI86" s="1013" t="s">
        <v>7727</v>
      </c>
      <c r="AJ86" s="1013">
        <v>19</v>
      </c>
      <c r="AK86" s="1013" t="s">
        <v>7724</v>
      </c>
      <c r="AL86" s="1013" t="s">
        <v>7724</v>
      </c>
      <c r="AM86" s="1013">
        <v>1</v>
      </c>
      <c r="AN86" s="1013">
        <v>4400</v>
      </c>
      <c r="AO86" s="1013" t="s">
        <v>7724</v>
      </c>
      <c r="AP86" s="1013" t="s">
        <v>7745</v>
      </c>
      <c r="AQ86" s="1013" t="s">
        <v>7724</v>
      </c>
      <c r="AR86" s="1013" t="s">
        <v>7724</v>
      </c>
      <c r="AS86" s="1013" t="s">
        <v>7724</v>
      </c>
      <c r="AT86" s="1013" t="s">
        <v>7724</v>
      </c>
      <c r="AU86" s="1013" t="s">
        <v>7724</v>
      </c>
      <c r="AV86" s="1013" t="s">
        <v>7724</v>
      </c>
      <c r="AW86" s="1013" t="s">
        <v>7724</v>
      </c>
      <c r="AX86" s="1013">
        <v>11</v>
      </c>
      <c r="AY86" s="1013">
        <v>1</v>
      </c>
      <c r="AZ86" s="1013">
        <v>2</v>
      </c>
      <c r="BA86" s="1013">
        <v>1</v>
      </c>
      <c r="BB86" s="1013">
        <v>1</v>
      </c>
      <c r="BC86" s="1013">
        <v>1</v>
      </c>
      <c r="BD86" s="1013">
        <v>8</v>
      </c>
      <c r="BE86" s="1023">
        <v>0.73750000000000004</v>
      </c>
      <c r="BF86" s="1013" t="s">
        <v>7736</v>
      </c>
      <c r="BG86" s="1023">
        <v>0.7416666666666667</v>
      </c>
      <c r="BH86" s="1024">
        <v>44950</v>
      </c>
      <c r="BI86" s="1013" t="s">
        <v>7727</v>
      </c>
      <c r="BJ86" s="1013" t="s">
        <v>7730</v>
      </c>
      <c r="BK86" s="1013">
        <v>2469</v>
      </c>
      <c r="BL86" s="1013" t="s">
        <v>7724</v>
      </c>
      <c r="BM86" s="1013" t="s">
        <v>7724</v>
      </c>
      <c r="BN86" s="1013">
        <v>113</v>
      </c>
      <c r="BO86" s="1013">
        <v>8</v>
      </c>
      <c r="BP86" s="1013">
        <v>2</v>
      </c>
      <c r="BQ86" s="1013">
        <v>1</v>
      </c>
      <c r="BR86" s="1013">
        <v>10</v>
      </c>
      <c r="BS86" s="1013">
        <v>64</v>
      </c>
      <c r="BT86" s="1013">
        <v>54</v>
      </c>
      <c r="BU86" s="1013">
        <v>1</v>
      </c>
      <c r="BV86" s="1013">
        <v>5</v>
      </c>
      <c r="BW86" s="1013">
        <v>1</v>
      </c>
      <c r="BX86" s="1013">
        <v>21</v>
      </c>
      <c r="BY86" s="1013">
        <v>21</v>
      </c>
      <c r="BZ86" s="1013">
        <v>101</v>
      </c>
      <c r="CA86" s="1013">
        <v>208</v>
      </c>
      <c r="CB86" s="1013">
        <v>29.732565000000001</v>
      </c>
      <c r="CC86" s="1013">
        <v>-95.380463000000006</v>
      </c>
      <c r="CD86" s="1013" t="s">
        <v>7724</v>
      </c>
      <c r="CE86" s="1013" t="s">
        <v>7724</v>
      </c>
      <c r="CF86" s="1013" t="s">
        <v>7724</v>
      </c>
      <c r="CG86" s="1013" t="s">
        <v>7724</v>
      </c>
      <c r="CH86" s="1013" t="s">
        <v>7731</v>
      </c>
      <c r="CI86" s="1013" t="s">
        <v>7724</v>
      </c>
      <c r="CJ86" s="1013" t="s">
        <v>7724</v>
      </c>
      <c r="CK86" s="1013" t="s">
        <v>7724</v>
      </c>
      <c r="CL86" s="1013" t="s">
        <v>7724</v>
      </c>
      <c r="CM86" s="1013" t="s">
        <v>7724</v>
      </c>
      <c r="CN86" s="1013" t="s">
        <v>7724</v>
      </c>
      <c r="CO86" s="1013" t="s">
        <v>7724</v>
      </c>
      <c r="CP86" s="1013" t="s">
        <v>7724</v>
      </c>
      <c r="CQ86" s="1013" t="s">
        <v>7724</v>
      </c>
      <c r="CR86" s="1013" t="s">
        <v>7746</v>
      </c>
      <c r="CS86" s="1013" t="s">
        <v>7724</v>
      </c>
      <c r="CT86" s="1013" t="s">
        <v>7724</v>
      </c>
      <c r="CU86" s="1013" t="s">
        <v>7724</v>
      </c>
      <c r="CV86" s="1013" t="s">
        <v>7724</v>
      </c>
      <c r="CW86" s="1013" t="s">
        <v>7727</v>
      </c>
      <c r="CX86" s="1013" t="s">
        <v>7723</v>
      </c>
      <c r="CY86" s="1013" t="s">
        <v>7723</v>
      </c>
      <c r="CZ86" s="1013">
        <v>5</v>
      </c>
      <c r="DA86" s="1013">
        <v>9</v>
      </c>
      <c r="DB86" s="1013" t="s">
        <v>7727</v>
      </c>
      <c r="DC86" s="1013" t="s">
        <v>7743</v>
      </c>
      <c r="DD86" s="1013" t="s">
        <v>7724</v>
      </c>
      <c r="DE86" s="1013" t="s">
        <v>7724</v>
      </c>
      <c r="DF86" s="1013" t="s">
        <v>7724</v>
      </c>
      <c r="DG86" s="1013" t="s">
        <v>7724</v>
      </c>
      <c r="DH86" s="1013" t="s">
        <v>7724</v>
      </c>
      <c r="DI86" s="1013" t="s">
        <v>7724</v>
      </c>
      <c r="DJ86" s="1013" t="s">
        <v>7724</v>
      </c>
      <c r="DK86" s="1013" t="s">
        <v>7724</v>
      </c>
      <c r="DL86" s="1013" t="s">
        <v>7724</v>
      </c>
      <c r="DM86" s="1013" t="s">
        <v>7724</v>
      </c>
      <c r="DN86" s="1013" t="s">
        <v>7724</v>
      </c>
      <c r="DO86" s="1013" t="s">
        <v>7724</v>
      </c>
      <c r="DP86" s="1013" t="s">
        <v>7724</v>
      </c>
      <c r="DQ86" s="1013" t="s">
        <v>7724</v>
      </c>
      <c r="DR86" s="1013" t="s">
        <v>7724</v>
      </c>
      <c r="DS86" s="1013" t="s">
        <v>7724</v>
      </c>
      <c r="DT86" s="1013" t="s">
        <v>7724</v>
      </c>
      <c r="DU86" s="1013" t="s">
        <v>7724</v>
      </c>
      <c r="DV86" s="1013" t="s">
        <v>7724</v>
      </c>
      <c r="DW86" s="1013" t="s">
        <v>7724</v>
      </c>
      <c r="DX86" s="1013" t="s">
        <v>7724</v>
      </c>
      <c r="DY86" s="1013" t="s">
        <v>7724</v>
      </c>
      <c r="DZ86" s="1013" t="s">
        <v>7724</v>
      </c>
      <c r="EA86" s="1013" t="s">
        <v>7724</v>
      </c>
      <c r="EB86" s="1013" t="s">
        <v>7724</v>
      </c>
      <c r="EC86" s="1013" t="s">
        <v>7724</v>
      </c>
      <c r="ED86" s="1013" t="s">
        <v>7724</v>
      </c>
      <c r="EE86" s="1013" t="s">
        <v>7724</v>
      </c>
      <c r="EF86" s="1013" t="s">
        <v>7724</v>
      </c>
      <c r="EG86" s="1013" t="s">
        <v>7724</v>
      </c>
      <c r="EH86" s="1013" t="s">
        <v>7724</v>
      </c>
      <c r="EI86" s="1013" t="s">
        <v>7724</v>
      </c>
      <c r="EJ86" s="1013" t="s">
        <v>7724</v>
      </c>
      <c r="EK86" s="1013" t="s">
        <v>7724</v>
      </c>
      <c r="EL86" s="1013" t="s">
        <v>7724</v>
      </c>
      <c r="EM86" s="1013" t="s">
        <v>7724</v>
      </c>
      <c r="EN86" s="1013" t="s">
        <v>7724</v>
      </c>
      <c r="EO86" s="1013" t="s">
        <v>7724</v>
      </c>
      <c r="EP86" s="1013" t="s">
        <v>7724</v>
      </c>
      <c r="EQ86" s="1013" t="s">
        <v>7724</v>
      </c>
      <c r="ER86" s="1013" t="s">
        <v>7724</v>
      </c>
      <c r="ES86" s="1013" t="s">
        <v>7724</v>
      </c>
      <c r="ET86" s="1013" t="s">
        <v>7724</v>
      </c>
      <c r="EU86" s="1013" t="s">
        <v>7724</v>
      </c>
      <c r="EV86" s="1013" t="s">
        <v>7724</v>
      </c>
      <c r="EW86" s="1013" t="s">
        <v>7724</v>
      </c>
      <c r="EX86" s="1013" t="s">
        <v>7724</v>
      </c>
      <c r="EY86" s="1013" t="s">
        <v>7724</v>
      </c>
      <c r="EZ86" s="1013" t="s">
        <v>7724</v>
      </c>
      <c r="FA86" s="1013" t="s">
        <v>7724</v>
      </c>
      <c r="FB86" s="1013" t="s">
        <v>7724</v>
      </c>
      <c r="FC86" s="1013" t="s">
        <v>7724</v>
      </c>
      <c r="FD86" s="1013" t="s">
        <v>7724</v>
      </c>
      <c r="FE86" s="1013" t="s">
        <v>7724</v>
      </c>
      <c r="FF86" s="1013" t="s">
        <v>7724</v>
      </c>
      <c r="FG86" s="1013">
        <v>0</v>
      </c>
      <c r="FH86" s="1013">
        <v>0</v>
      </c>
      <c r="FI86" s="1013">
        <v>0</v>
      </c>
      <c r="FJ86" s="1013">
        <v>2</v>
      </c>
      <c r="FK86" s="1013">
        <v>0</v>
      </c>
      <c r="FL86" s="1013">
        <v>0</v>
      </c>
      <c r="FM86" s="1013">
        <v>0</v>
      </c>
      <c r="FN86" s="1013">
        <v>15</v>
      </c>
      <c r="FO86" s="1013">
        <v>29</v>
      </c>
      <c r="FP86" s="1013">
        <v>9</v>
      </c>
      <c r="FQ86" s="1013" t="s">
        <v>7724</v>
      </c>
      <c r="FR86" s="1013" t="s">
        <v>7724</v>
      </c>
      <c r="FS86" s="1013" t="s">
        <v>7724</v>
      </c>
      <c r="FT86" s="1013" t="s">
        <v>7724</v>
      </c>
      <c r="FU86" s="1013" t="s">
        <v>7724</v>
      </c>
      <c r="FV86" s="1013" t="s">
        <v>7724</v>
      </c>
      <c r="FW86" s="1013" t="s">
        <v>7724</v>
      </c>
      <c r="FX86" s="1013" t="s">
        <v>7724</v>
      </c>
      <c r="FY86" s="1013" t="s">
        <v>7724</v>
      </c>
      <c r="FZ86" s="1013" t="s">
        <v>7724</v>
      </c>
      <c r="GA86" s="1013" t="s">
        <v>7724</v>
      </c>
      <c r="GB86" s="1013" t="s">
        <v>7724</v>
      </c>
      <c r="GC86" s="1013">
        <v>2023</v>
      </c>
      <c r="GD86" s="1013" t="s">
        <v>1404</v>
      </c>
      <c r="GE86" s="1013">
        <v>2</v>
      </c>
      <c r="GF86" s="1013" t="s">
        <v>1407</v>
      </c>
      <c r="GG86" s="1013" t="s">
        <v>1407</v>
      </c>
      <c r="GH86" s="1013" t="s">
        <v>7982</v>
      </c>
      <c r="GI86" s="1013" t="s">
        <v>7974</v>
      </c>
      <c r="GJ86" s="1013" t="s">
        <v>7974</v>
      </c>
      <c r="GK86" s="1013" t="s">
        <v>7974</v>
      </c>
      <c r="GL86" s="1013" t="s">
        <v>7974</v>
      </c>
    </row>
    <row r="87" spans="1:194" hidden="1">
      <c r="A87" s="1013">
        <v>153</v>
      </c>
      <c r="B87" s="1013" t="s">
        <v>7722</v>
      </c>
      <c r="C87" s="1013">
        <v>19871937</v>
      </c>
      <c r="D87" s="1013" t="s">
        <v>7723</v>
      </c>
      <c r="E87" s="1013" t="s">
        <v>7723</v>
      </c>
      <c r="F87" s="1013" t="s">
        <v>7723</v>
      </c>
      <c r="G87" s="1013" t="s">
        <v>7723</v>
      </c>
      <c r="H87" s="1013" t="s">
        <v>7723</v>
      </c>
      <c r="I87" s="1013" t="s">
        <v>7723</v>
      </c>
      <c r="J87" s="1013" t="s">
        <v>7723</v>
      </c>
      <c r="K87" s="1024">
        <v>45238</v>
      </c>
      <c r="L87" s="1023">
        <v>0.3527777777777778</v>
      </c>
      <c r="M87" s="1013" t="s">
        <v>8073</v>
      </c>
      <c r="N87" s="1013" t="s">
        <v>7724</v>
      </c>
      <c r="O87" s="1013">
        <v>101</v>
      </c>
      <c r="P87" s="1013">
        <v>208</v>
      </c>
      <c r="Q87" s="1013" t="s">
        <v>7723</v>
      </c>
      <c r="R87" s="1013" t="s">
        <v>7727</v>
      </c>
      <c r="S87" s="1013" t="s">
        <v>7724</v>
      </c>
      <c r="T87" s="1014" t="s">
        <v>7724</v>
      </c>
      <c r="U87" s="1014">
        <v>19</v>
      </c>
      <c r="V87" s="1014" t="s">
        <v>7724</v>
      </c>
      <c r="W87" s="1014" t="s">
        <v>7724</v>
      </c>
      <c r="X87" s="1013">
        <v>1</v>
      </c>
      <c r="Y87" s="1013">
        <v>1200</v>
      </c>
      <c r="Z87" s="1013" t="s">
        <v>7724</v>
      </c>
      <c r="AA87" s="1013" t="s">
        <v>7725</v>
      </c>
      <c r="AB87" s="1013" t="s">
        <v>7724</v>
      </c>
      <c r="AC87" s="1013" t="s">
        <v>7723</v>
      </c>
      <c r="AD87" s="1013" t="s">
        <v>7723</v>
      </c>
      <c r="AE87" s="1013">
        <v>30</v>
      </c>
      <c r="AF87" s="1013" t="s">
        <v>7723</v>
      </c>
      <c r="AG87" s="1013" t="s">
        <v>7723</v>
      </c>
      <c r="AH87" s="1013" t="s">
        <v>7724</v>
      </c>
      <c r="AI87" s="1013" t="s">
        <v>7727</v>
      </c>
      <c r="AJ87" s="1013">
        <v>19</v>
      </c>
      <c r="AK87" s="1013" t="s">
        <v>7724</v>
      </c>
      <c r="AL87" s="1013" t="s">
        <v>7724</v>
      </c>
      <c r="AM87" s="1013">
        <v>1</v>
      </c>
      <c r="AN87" s="1013">
        <v>4300</v>
      </c>
      <c r="AO87" s="1013" t="s">
        <v>7724</v>
      </c>
      <c r="AP87" s="1013" t="s">
        <v>7745</v>
      </c>
      <c r="AQ87" s="1013" t="s">
        <v>7724</v>
      </c>
      <c r="AR87" s="1013" t="s">
        <v>7724</v>
      </c>
      <c r="AS87" s="1013" t="s">
        <v>7724</v>
      </c>
      <c r="AT87" s="1013" t="s">
        <v>7724</v>
      </c>
      <c r="AU87" s="1013" t="s">
        <v>7724</v>
      </c>
      <c r="AV87" s="1013" t="s">
        <v>7724</v>
      </c>
      <c r="AW87" s="1013" t="s">
        <v>7724</v>
      </c>
      <c r="AX87" s="1013">
        <v>11</v>
      </c>
      <c r="AY87" s="1013">
        <v>1</v>
      </c>
      <c r="AZ87" s="1013">
        <v>2</v>
      </c>
      <c r="BA87" s="1013">
        <v>1</v>
      </c>
      <c r="BB87" s="1013">
        <v>1</v>
      </c>
      <c r="BC87" s="1013">
        <v>1</v>
      </c>
      <c r="BD87" s="1013">
        <v>8</v>
      </c>
      <c r="BE87" s="1023">
        <v>0.35902777777777778</v>
      </c>
      <c r="BF87" s="1013" t="s">
        <v>7736</v>
      </c>
      <c r="BG87" s="1023">
        <v>0.36458333333333331</v>
      </c>
      <c r="BH87" s="1024">
        <v>45246</v>
      </c>
      <c r="BI87" s="1013" t="s">
        <v>7727</v>
      </c>
      <c r="BJ87" s="1013" t="s">
        <v>7730</v>
      </c>
      <c r="BK87" s="1013">
        <v>2469</v>
      </c>
      <c r="BL87" s="1013" t="s">
        <v>7724</v>
      </c>
      <c r="BM87" s="1013" t="s">
        <v>7724</v>
      </c>
      <c r="BN87" s="1013">
        <v>113</v>
      </c>
      <c r="BO87" s="1013">
        <v>8</v>
      </c>
      <c r="BP87" s="1013">
        <v>2</v>
      </c>
      <c r="BQ87" s="1013">
        <v>1</v>
      </c>
      <c r="BR87" s="1013">
        <v>10</v>
      </c>
      <c r="BS87" s="1013">
        <v>64</v>
      </c>
      <c r="BT87" s="1013">
        <v>54</v>
      </c>
      <c r="BU87" s="1013">
        <v>1</v>
      </c>
      <c r="BV87" s="1013">
        <v>5</v>
      </c>
      <c r="BW87" s="1013">
        <v>1</v>
      </c>
      <c r="BX87" s="1013">
        <v>21</v>
      </c>
      <c r="BY87" s="1013">
        <v>21</v>
      </c>
      <c r="BZ87" s="1013">
        <v>101</v>
      </c>
      <c r="CA87" s="1013">
        <v>208</v>
      </c>
      <c r="CB87" s="1013">
        <v>29.732565000000001</v>
      </c>
      <c r="CC87" s="1013">
        <v>-95.380463000000006</v>
      </c>
      <c r="CD87" s="1013" t="s">
        <v>7724</v>
      </c>
      <c r="CE87" s="1013" t="s">
        <v>7724</v>
      </c>
      <c r="CF87" s="1013" t="s">
        <v>7724</v>
      </c>
      <c r="CG87" s="1013" t="s">
        <v>7724</v>
      </c>
      <c r="CH87" s="1013" t="s">
        <v>7731</v>
      </c>
      <c r="CI87" s="1013" t="s">
        <v>7724</v>
      </c>
      <c r="CJ87" s="1013" t="s">
        <v>7724</v>
      </c>
      <c r="CK87" s="1013" t="s">
        <v>7724</v>
      </c>
      <c r="CL87" s="1013" t="s">
        <v>7724</v>
      </c>
      <c r="CM87" s="1013" t="s">
        <v>7724</v>
      </c>
      <c r="CN87" s="1013" t="s">
        <v>7724</v>
      </c>
      <c r="CO87" s="1013" t="s">
        <v>7724</v>
      </c>
      <c r="CP87" s="1013" t="s">
        <v>7724</v>
      </c>
      <c r="CQ87" s="1013" t="s">
        <v>7724</v>
      </c>
      <c r="CR87" s="1013" t="s">
        <v>7746</v>
      </c>
      <c r="CS87" s="1013" t="s">
        <v>7724</v>
      </c>
      <c r="CT87" s="1013" t="s">
        <v>7724</v>
      </c>
      <c r="CU87" s="1013" t="s">
        <v>7724</v>
      </c>
      <c r="CV87" s="1013" t="s">
        <v>7724</v>
      </c>
      <c r="CW87" s="1013" t="s">
        <v>7727</v>
      </c>
      <c r="CX87" s="1013" t="s">
        <v>7723</v>
      </c>
      <c r="CY87" s="1013" t="s">
        <v>7723</v>
      </c>
      <c r="CZ87" s="1013">
        <v>5</v>
      </c>
      <c r="DA87" s="1013">
        <v>9</v>
      </c>
      <c r="DB87" s="1013" t="s">
        <v>7727</v>
      </c>
      <c r="DC87" s="1013" t="s">
        <v>7756</v>
      </c>
      <c r="DD87" s="1013" t="s">
        <v>7724</v>
      </c>
      <c r="DE87" s="1013" t="s">
        <v>7724</v>
      </c>
      <c r="DF87" s="1013" t="s">
        <v>7724</v>
      </c>
      <c r="DG87" s="1013" t="s">
        <v>7724</v>
      </c>
      <c r="DH87" s="1013" t="s">
        <v>7724</v>
      </c>
      <c r="DI87" s="1013" t="s">
        <v>7724</v>
      </c>
      <c r="DJ87" s="1013" t="s">
        <v>7724</v>
      </c>
      <c r="DK87" s="1013" t="s">
        <v>7724</v>
      </c>
      <c r="DL87" s="1013" t="s">
        <v>7724</v>
      </c>
      <c r="DM87" s="1013" t="s">
        <v>7724</v>
      </c>
      <c r="DN87" s="1013" t="s">
        <v>7724</v>
      </c>
      <c r="DO87" s="1013" t="s">
        <v>7724</v>
      </c>
      <c r="DP87" s="1013" t="s">
        <v>7724</v>
      </c>
      <c r="DQ87" s="1013" t="s">
        <v>7724</v>
      </c>
      <c r="DR87" s="1013" t="s">
        <v>7724</v>
      </c>
      <c r="DS87" s="1013" t="s">
        <v>7724</v>
      </c>
      <c r="DT87" s="1013" t="s">
        <v>7724</v>
      </c>
      <c r="DU87" s="1013" t="s">
        <v>7724</v>
      </c>
      <c r="DV87" s="1013" t="s">
        <v>7724</v>
      </c>
      <c r="DW87" s="1013" t="s">
        <v>7724</v>
      </c>
      <c r="DX87" s="1013" t="s">
        <v>7724</v>
      </c>
      <c r="DY87" s="1013" t="s">
        <v>7724</v>
      </c>
      <c r="DZ87" s="1013" t="s">
        <v>7724</v>
      </c>
      <c r="EA87" s="1013" t="s">
        <v>7724</v>
      </c>
      <c r="EB87" s="1013" t="s">
        <v>7724</v>
      </c>
      <c r="EC87" s="1013" t="s">
        <v>7724</v>
      </c>
      <c r="ED87" s="1013" t="s">
        <v>7724</v>
      </c>
      <c r="EE87" s="1013" t="s">
        <v>7724</v>
      </c>
      <c r="EF87" s="1013" t="s">
        <v>7724</v>
      </c>
      <c r="EG87" s="1013" t="s">
        <v>7724</v>
      </c>
      <c r="EH87" s="1013" t="s">
        <v>7724</v>
      </c>
      <c r="EI87" s="1013" t="s">
        <v>7724</v>
      </c>
      <c r="EJ87" s="1013" t="s">
        <v>7724</v>
      </c>
      <c r="EK87" s="1013" t="s">
        <v>7724</v>
      </c>
      <c r="EL87" s="1013" t="s">
        <v>7724</v>
      </c>
      <c r="EM87" s="1013" t="s">
        <v>7724</v>
      </c>
      <c r="EN87" s="1013" t="s">
        <v>7724</v>
      </c>
      <c r="EO87" s="1013" t="s">
        <v>7724</v>
      </c>
      <c r="EP87" s="1013" t="s">
        <v>7724</v>
      </c>
      <c r="EQ87" s="1013" t="s">
        <v>7724</v>
      </c>
      <c r="ER87" s="1013" t="s">
        <v>7724</v>
      </c>
      <c r="ES87" s="1013" t="s">
        <v>7724</v>
      </c>
      <c r="ET87" s="1013" t="s">
        <v>7724</v>
      </c>
      <c r="EU87" s="1013" t="s">
        <v>7724</v>
      </c>
      <c r="EV87" s="1013" t="s">
        <v>7724</v>
      </c>
      <c r="EW87" s="1013" t="s">
        <v>7724</v>
      </c>
      <c r="EX87" s="1013" t="s">
        <v>7724</v>
      </c>
      <c r="EY87" s="1013" t="s">
        <v>7724</v>
      </c>
      <c r="EZ87" s="1013" t="s">
        <v>7724</v>
      </c>
      <c r="FA87" s="1013" t="s">
        <v>7724</v>
      </c>
      <c r="FB87" s="1013" t="s">
        <v>7724</v>
      </c>
      <c r="FC87" s="1013" t="s">
        <v>7724</v>
      </c>
      <c r="FD87" s="1013" t="s">
        <v>7724</v>
      </c>
      <c r="FE87" s="1013" t="s">
        <v>7724</v>
      </c>
      <c r="FF87" s="1013" t="s">
        <v>7724</v>
      </c>
      <c r="FG87" s="1013">
        <v>0</v>
      </c>
      <c r="FH87" s="1013">
        <v>0</v>
      </c>
      <c r="FI87" s="1013">
        <v>0</v>
      </c>
      <c r="FJ87" s="1013">
        <v>2</v>
      </c>
      <c r="FK87" s="1013">
        <v>0</v>
      </c>
      <c r="FL87" s="1013">
        <v>0</v>
      </c>
      <c r="FM87" s="1013">
        <v>0</v>
      </c>
      <c r="FN87" s="1013">
        <v>15</v>
      </c>
      <c r="FO87" s="1013">
        <v>29</v>
      </c>
      <c r="FP87" s="1013">
        <v>6</v>
      </c>
      <c r="FQ87" s="1013" t="s">
        <v>7724</v>
      </c>
      <c r="FR87" s="1013" t="s">
        <v>7724</v>
      </c>
      <c r="FS87" s="1013" t="s">
        <v>7724</v>
      </c>
      <c r="FT87" s="1013" t="s">
        <v>7723</v>
      </c>
      <c r="FU87" s="1013" t="s">
        <v>7790</v>
      </c>
      <c r="FV87" s="1013">
        <v>30</v>
      </c>
      <c r="FW87" s="1023">
        <v>0.36805555555555558</v>
      </c>
      <c r="FX87" s="1023">
        <v>0.39444444444444443</v>
      </c>
      <c r="FY87" s="1024">
        <v>45238</v>
      </c>
      <c r="FZ87" s="1024">
        <v>45238</v>
      </c>
      <c r="GA87" s="1024">
        <v>45238</v>
      </c>
      <c r="GB87" s="1024">
        <v>45238</v>
      </c>
      <c r="GC87" s="1013">
        <v>2023</v>
      </c>
      <c r="GD87" s="1013" t="s">
        <v>1404</v>
      </c>
      <c r="GE87" s="1013">
        <v>2</v>
      </c>
      <c r="GF87" s="1013" t="s">
        <v>1407</v>
      </c>
      <c r="GG87" s="1013" t="s">
        <v>1407</v>
      </c>
      <c r="GH87" s="1013" t="s">
        <v>7975</v>
      </c>
      <c r="GI87" s="1013" t="s">
        <v>7974</v>
      </c>
      <c r="GJ87" s="1013" t="s">
        <v>7974</v>
      </c>
      <c r="GK87" s="1013" t="s">
        <v>7974</v>
      </c>
      <c r="GL87" s="1013" t="s">
        <v>7974</v>
      </c>
    </row>
    <row r="88" spans="1:194" hidden="1">
      <c r="A88" s="1013">
        <v>168</v>
      </c>
      <c r="B88" s="1013" t="s">
        <v>7722</v>
      </c>
      <c r="C88" s="1013">
        <v>18177351</v>
      </c>
      <c r="D88" s="1013" t="s">
        <v>7723</v>
      </c>
      <c r="E88" s="1013" t="s">
        <v>7723</v>
      </c>
      <c r="F88" s="1013" t="s">
        <v>7723</v>
      </c>
      <c r="G88" s="1013" t="s">
        <v>7723</v>
      </c>
      <c r="H88" s="1013" t="s">
        <v>7723</v>
      </c>
      <c r="I88" s="1013" t="s">
        <v>7723</v>
      </c>
      <c r="J88" s="1013" t="s">
        <v>7723</v>
      </c>
      <c r="K88" s="1024">
        <v>44283</v>
      </c>
      <c r="L88" s="1023">
        <v>0.70138888888888884</v>
      </c>
      <c r="M88" s="1013" t="s">
        <v>7850</v>
      </c>
      <c r="N88" s="1013" t="s">
        <v>7744</v>
      </c>
      <c r="O88" s="1013">
        <v>101</v>
      </c>
      <c r="P88" s="1013">
        <v>208</v>
      </c>
      <c r="Q88" s="1013" t="s">
        <v>7723</v>
      </c>
      <c r="R88" s="1013" t="s">
        <v>7727</v>
      </c>
      <c r="S88" s="1013" t="s">
        <v>7724</v>
      </c>
      <c r="T88" s="1014" t="s">
        <v>7724</v>
      </c>
      <c r="U88" s="1014">
        <v>19</v>
      </c>
      <c r="V88" s="1014" t="s">
        <v>7724</v>
      </c>
      <c r="W88" s="1014" t="s">
        <v>7724</v>
      </c>
      <c r="X88" s="1013">
        <v>1</v>
      </c>
      <c r="Y88" s="1013">
        <v>1200</v>
      </c>
      <c r="Z88" s="1013" t="s">
        <v>7790</v>
      </c>
      <c r="AA88" s="1013" t="s">
        <v>7725</v>
      </c>
      <c r="AB88" s="1013" t="s">
        <v>7835</v>
      </c>
      <c r="AC88" s="1013" t="s">
        <v>7723</v>
      </c>
      <c r="AD88" s="1013" t="s">
        <v>7723</v>
      </c>
      <c r="AE88" s="1013">
        <v>40</v>
      </c>
      <c r="AF88" s="1013" t="s">
        <v>7723</v>
      </c>
      <c r="AG88" s="1013" t="s">
        <v>7723</v>
      </c>
      <c r="AH88" s="1013" t="s">
        <v>7724</v>
      </c>
      <c r="AI88" s="1013" t="s">
        <v>7727</v>
      </c>
      <c r="AJ88" s="1013">
        <v>19</v>
      </c>
      <c r="AK88" s="1013" t="s">
        <v>7724</v>
      </c>
      <c r="AL88" s="1013" t="s">
        <v>7724</v>
      </c>
      <c r="AM88" s="1013">
        <v>1</v>
      </c>
      <c r="AN88" s="1013">
        <v>4300</v>
      </c>
      <c r="AO88" s="1013" t="s">
        <v>7770</v>
      </c>
      <c r="AP88" s="1013" t="s">
        <v>7745</v>
      </c>
      <c r="AQ88" s="1013" t="s">
        <v>7835</v>
      </c>
      <c r="AR88" s="1013" t="s">
        <v>7724</v>
      </c>
      <c r="AS88" s="1013" t="s">
        <v>7724</v>
      </c>
      <c r="AT88" s="1013" t="s">
        <v>7724</v>
      </c>
      <c r="AU88" s="1013" t="s">
        <v>7724</v>
      </c>
      <c r="AV88" s="1013" t="s">
        <v>7724</v>
      </c>
      <c r="AW88" s="1013" t="s">
        <v>7724</v>
      </c>
      <c r="AX88" s="1013">
        <v>12</v>
      </c>
      <c r="AY88" s="1013">
        <v>1</v>
      </c>
      <c r="AZ88" s="1013">
        <v>2</v>
      </c>
      <c r="BA88" s="1013">
        <v>1</v>
      </c>
      <c r="BB88" s="1013">
        <v>1</v>
      </c>
      <c r="BC88" s="1013">
        <v>2</v>
      </c>
      <c r="BD88" s="1013">
        <v>8</v>
      </c>
      <c r="BE88" s="1023">
        <v>0.72986111111111107</v>
      </c>
      <c r="BF88" s="1013" t="s">
        <v>7736</v>
      </c>
      <c r="BG88" s="1023">
        <v>0.72986111111111107</v>
      </c>
      <c r="BH88" s="1024">
        <v>44283</v>
      </c>
      <c r="BI88" s="1013" t="s">
        <v>7727</v>
      </c>
      <c r="BJ88" s="1013" t="s">
        <v>7730</v>
      </c>
      <c r="BK88" s="1013">
        <v>2469</v>
      </c>
      <c r="BL88" s="1013" t="s">
        <v>7724</v>
      </c>
      <c r="BM88" s="1013" t="s">
        <v>7724</v>
      </c>
      <c r="BN88" s="1013">
        <v>113</v>
      </c>
      <c r="BO88" s="1013">
        <v>8</v>
      </c>
      <c r="BP88" s="1013">
        <v>2</v>
      </c>
      <c r="BQ88" s="1013">
        <v>1</v>
      </c>
      <c r="BR88" s="1013">
        <v>10</v>
      </c>
      <c r="BS88" s="1013">
        <v>64</v>
      </c>
      <c r="BT88" s="1013">
        <v>54</v>
      </c>
      <c r="BU88" s="1013">
        <v>1</v>
      </c>
      <c r="BV88" s="1013">
        <v>5</v>
      </c>
      <c r="BW88" s="1013">
        <v>1</v>
      </c>
      <c r="BX88" s="1013">
        <v>21</v>
      </c>
      <c r="BY88" s="1013">
        <v>21</v>
      </c>
      <c r="BZ88" s="1013">
        <v>101</v>
      </c>
      <c r="CA88" s="1013">
        <v>208</v>
      </c>
      <c r="CB88" s="1013">
        <v>29.732565000000001</v>
      </c>
      <c r="CC88" s="1013">
        <v>-95.380463000000006</v>
      </c>
      <c r="CD88" s="1013" t="s">
        <v>7724</v>
      </c>
      <c r="CE88" s="1013" t="s">
        <v>7724</v>
      </c>
      <c r="CF88" s="1013" t="s">
        <v>7724</v>
      </c>
      <c r="CG88" s="1013" t="s">
        <v>7724</v>
      </c>
      <c r="CH88" s="1013" t="s">
        <v>7731</v>
      </c>
      <c r="CI88" s="1013" t="s">
        <v>7724</v>
      </c>
      <c r="CJ88" s="1013" t="s">
        <v>7724</v>
      </c>
      <c r="CK88" s="1013" t="s">
        <v>7724</v>
      </c>
      <c r="CL88" s="1013" t="s">
        <v>7724</v>
      </c>
      <c r="CM88" s="1013" t="s">
        <v>7724</v>
      </c>
      <c r="CN88" s="1013" t="s">
        <v>7724</v>
      </c>
      <c r="CO88" s="1013" t="s">
        <v>7724</v>
      </c>
      <c r="CP88" s="1013" t="s">
        <v>7724</v>
      </c>
      <c r="CQ88" s="1013" t="s">
        <v>7724</v>
      </c>
      <c r="CR88" s="1013" t="s">
        <v>7746</v>
      </c>
      <c r="CS88" s="1013" t="s">
        <v>7724</v>
      </c>
      <c r="CT88" s="1013" t="s">
        <v>7724</v>
      </c>
      <c r="CU88" s="1013" t="s">
        <v>7724</v>
      </c>
      <c r="CV88" s="1013" t="s">
        <v>7724</v>
      </c>
      <c r="CW88" s="1013" t="s">
        <v>7727</v>
      </c>
      <c r="CX88" s="1013" t="s">
        <v>7723</v>
      </c>
      <c r="CY88" s="1013" t="s">
        <v>7723</v>
      </c>
      <c r="CZ88" s="1013">
        <v>5</v>
      </c>
      <c r="DA88" s="1013">
        <v>9</v>
      </c>
      <c r="DB88" s="1013" t="s">
        <v>7727</v>
      </c>
      <c r="DC88" s="1013" t="s">
        <v>7747</v>
      </c>
      <c r="DD88" s="1013" t="s">
        <v>7724</v>
      </c>
      <c r="DE88" s="1013" t="s">
        <v>7724</v>
      </c>
      <c r="DF88" s="1013" t="s">
        <v>7724</v>
      </c>
      <c r="DG88" s="1013" t="s">
        <v>7724</v>
      </c>
      <c r="DH88" s="1013" t="s">
        <v>7724</v>
      </c>
      <c r="DI88" s="1013" t="s">
        <v>7724</v>
      </c>
      <c r="DJ88" s="1013" t="s">
        <v>7724</v>
      </c>
      <c r="DK88" s="1013" t="s">
        <v>7724</v>
      </c>
      <c r="DL88" s="1013" t="s">
        <v>7724</v>
      </c>
      <c r="DM88" s="1013" t="s">
        <v>7724</v>
      </c>
      <c r="DN88" s="1013" t="s">
        <v>7724</v>
      </c>
      <c r="DO88" s="1013" t="s">
        <v>7724</v>
      </c>
      <c r="DP88" s="1013" t="s">
        <v>7724</v>
      </c>
      <c r="DQ88" s="1013" t="s">
        <v>7724</v>
      </c>
      <c r="DR88" s="1013" t="s">
        <v>7724</v>
      </c>
      <c r="DS88" s="1013" t="s">
        <v>7724</v>
      </c>
      <c r="DT88" s="1013" t="s">
        <v>7724</v>
      </c>
      <c r="DU88" s="1013" t="s">
        <v>7724</v>
      </c>
      <c r="DV88" s="1013" t="s">
        <v>7724</v>
      </c>
      <c r="DW88" s="1013" t="s">
        <v>7724</v>
      </c>
      <c r="DX88" s="1013" t="s">
        <v>7724</v>
      </c>
      <c r="DY88" s="1013" t="s">
        <v>7724</v>
      </c>
      <c r="DZ88" s="1013" t="s">
        <v>7724</v>
      </c>
      <c r="EA88" s="1013" t="s">
        <v>7724</v>
      </c>
      <c r="EB88" s="1013" t="s">
        <v>7724</v>
      </c>
      <c r="EC88" s="1013" t="s">
        <v>7724</v>
      </c>
      <c r="ED88" s="1013" t="s">
        <v>7724</v>
      </c>
      <c r="EE88" s="1013" t="s">
        <v>7724</v>
      </c>
      <c r="EF88" s="1013" t="s">
        <v>7724</v>
      </c>
      <c r="EG88" s="1013" t="s">
        <v>7724</v>
      </c>
      <c r="EH88" s="1013" t="s">
        <v>7724</v>
      </c>
      <c r="EI88" s="1013" t="s">
        <v>7724</v>
      </c>
      <c r="EJ88" s="1013" t="s">
        <v>7724</v>
      </c>
      <c r="EK88" s="1013" t="s">
        <v>7724</v>
      </c>
      <c r="EL88" s="1013" t="s">
        <v>7724</v>
      </c>
      <c r="EM88" s="1013" t="s">
        <v>7724</v>
      </c>
      <c r="EN88" s="1013" t="s">
        <v>7724</v>
      </c>
      <c r="EO88" s="1013" t="s">
        <v>7724</v>
      </c>
      <c r="EP88" s="1013" t="s">
        <v>7724</v>
      </c>
      <c r="EQ88" s="1013" t="s">
        <v>7724</v>
      </c>
      <c r="ER88" s="1013" t="s">
        <v>7724</v>
      </c>
      <c r="ES88" s="1013" t="s">
        <v>7724</v>
      </c>
      <c r="ET88" s="1013" t="s">
        <v>7724</v>
      </c>
      <c r="EU88" s="1013" t="s">
        <v>7724</v>
      </c>
      <c r="EV88" s="1013" t="s">
        <v>7724</v>
      </c>
      <c r="EW88" s="1013" t="s">
        <v>7724</v>
      </c>
      <c r="EX88" s="1013" t="s">
        <v>7724</v>
      </c>
      <c r="EY88" s="1013" t="s">
        <v>7724</v>
      </c>
      <c r="EZ88" s="1013" t="s">
        <v>7724</v>
      </c>
      <c r="FA88" s="1013" t="s">
        <v>7724</v>
      </c>
      <c r="FB88" s="1013" t="s">
        <v>7724</v>
      </c>
      <c r="FC88" s="1013" t="s">
        <v>7724</v>
      </c>
      <c r="FD88" s="1013" t="s">
        <v>7724</v>
      </c>
      <c r="FE88" s="1013" t="s">
        <v>7724</v>
      </c>
      <c r="FF88" s="1013" t="s">
        <v>7724</v>
      </c>
      <c r="FG88" s="1013">
        <v>0</v>
      </c>
      <c r="FH88" s="1013">
        <v>0</v>
      </c>
      <c r="FI88" s="1013">
        <v>0</v>
      </c>
      <c r="FJ88" s="1013">
        <v>1</v>
      </c>
      <c r="FK88" s="1013">
        <v>1</v>
      </c>
      <c r="FL88" s="1013">
        <v>0</v>
      </c>
      <c r="FM88" s="1013">
        <v>0</v>
      </c>
      <c r="FN88" s="1013">
        <v>15</v>
      </c>
      <c r="FO88" s="1013">
        <v>29</v>
      </c>
      <c r="FP88" s="1013">
        <v>6</v>
      </c>
      <c r="FQ88" s="1013" t="s">
        <v>7724</v>
      </c>
      <c r="FR88" s="1013" t="s">
        <v>7724</v>
      </c>
      <c r="FS88" s="1013" t="s">
        <v>7724</v>
      </c>
      <c r="FT88" s="1013" t="s">
        <v>7724</v>
      </c>
      <c r="FU88" s="1013" t="s">
        <v>7724</v>
      </c>
      <c r="FV88" s="1013" t="s">
        <v>7724</v>
      </c>
      <c r="FW88" s="1013" t="s">
        <v>7724</v>
      </c>
      <c r="FX88" s="1013" t="s">
        <v>7724</v>
      </c>
      <c r="FY88" s="1013" t="s">
        <v>7724</v>
      </c>
      <c r="FZ88" s="1013" t="s">
        <v>7724</v>
      </c>
      <c r="GA88" s="1013" t="s">
        <v>7724</v>
      </c>
      <c r="GB88" s="1013" t="s">
        <v>7724</v>
      </c>
      <c r="GC88" s="1013">
        <v>2021</v>
      </c>
      <c r="GD88" s="1013" t="s">
        <v>1407</v>
      </c>
      <c r="GE88" s="1013">
        <v>2</v>
      </c>
      <c r="GF88" s="1013" t="s">
        <v>1407</v>
      </c>
      <c r="GG88" s="1013" t="s">
        <v>1407</v>
      </c>
      <c r="GH88" s="1013" t="s">
        <v>7975</v>
      </c>
      <c r="GI88" s="1013" t="s">
        <v>7974</v>
      </c>
      <c r="GJ88" s="1013" t="s">
        <v>7974</v>
      </c>
      <c r="GK88" s="1013" t="s">
        <v>7974</v>
      </c>
      <c r="GL88" s="1013" t="s">
        <v>7974</v>
      </c>
    </row>
    <row r="89" spans="1:194" hidden="1">
      <c r="A89" s="1013">
        <v>178</v>
      </c>
      <c r="B89" s="1013" t="s">
        <v>7722</v>
      </c>
      <c r="C89" s="1013">
        <v>18384976</v>
      </c>
      <c r="D89" s="1013" t="s">
        <v>7723</v>
      </c>
      <c r="E89" s="1013" t="s">
        <v>7723</v>
      </c>
      <c r="F89" s="1013" t="s">
        <v>7723</v>
      </c>
      <c r="G89" s="1013" t="s">
        <v>7723</v>
      </c>
      <c r="H89" s="1013" t="s">
        <v>7723</v>
      </c>
      <c r="I89" s="1013" t="s">
        <v>7723</v>
      </c>
      <c r="J89" s="1013" t="s">
        <v>7723</v>
      </c>
      <c r="K89" s="1024">
        <v>44399</v>
      </c>
      <c r="L89" s="1023">
        <v>0.8569444444444444</v>
      </c>
      <c r="M89" s="1013" t="s">
        <v>7854</v>
      </c>
      <c r="N89" s="1013" t="s">
        <v>7724</v>
      </c>
      <c r="O89" s="1013">
        <v>101</v>
      </c>
      <c r="P89" s="1013">
        <v>208</v>
      </c>
      <c r="Q89" s="1013" t="s">
        <v>7723</v>
      </c>
      <c r="R89" s="1013" t="s">
        <v>7727</v>
      </c>
      <c r="S89" s="1013" t="s">
        <v>7724</v>
      </c>
      <c r="T89" s="1014" t="s">
        <v>7724</v>
      </c>
      <c r="U89" s="1014">
        <v>19</v>
      </c>
      <c r="V89" s="1014" t="s">
        <v>7724</v>
      </c>
      <c r="W89" s="1014" t="s">
        <v>7724</v>
      </c>
      <c r="X89" s="1013">
        <v>1</v>
      </c>
      <c r="Y89" s="1013">
        <v>1200</v>
      </c>
      <c r="Z89" s="1013" t="s">
        <v>7724</v>
      </c>
      <c r="AA89" s="1013" t="s">
        <v>7725</v>
      </c>
      <c r="AB89" s="1013" t="s">
        <v>7724</v>
      </c>
      <c r="AC89" s="1013" t="s">
        <v>7723</v>
      </c>
      <c r="AD89" s="1013" t="s">
        <v>7723</v>
      </c>
      <c r="AE89" s="1013">
        <v>30</v>
      </c>
      <c r="AF89" s="1013" t="s">
        <v>7723</v>
      </c>
      <c r="AG89" s="1013" t="s">
        <v>7723</v>
      </c>
      <c r="AH89" s="1013" t="s">
        <v>7724</v>
      </c>
      <c r="AI89" s="1013" t="s">
        <v>7727</v>
      </c>
      <c r="AJ89" s="1013">
        <v>19</v>
      </c>
      <c r="AK89" s="1013" t="s">
        <v>7724</v>
      </c>
      <c r="AL89" s="1013" t="s">
        <v>7724</v>
      </c>
      <c r="AM89" s="1013">
        <v>1</v>
      </c>
      <c r="AN89" s="1013">
        <v>4300</v>
      </c>
      <c r="AO89" s="1013" t="s">
        <v>7724</v>
      </c>
      <c r="AP89" s="1013" t="s">
        <v>7745</v>
      </c>
      <c r="AQ89" s="1013" t="s">
        <v>7724</v>
      </c>
      <c r="AR89" s="1013" t="s">
        <v>7724</v>
      </c>
      <c r="AS89" s="1013" t="s">
        <v>7724</v>
      </c>
      <c r="AT89" s="1013" t="s">
        <v>7724</v>
      </c>
      <c r="AU89" s="1013" t="s">
        <v>7724</v>
      </c>
      <c r="AV89" s="1013" t="s">
        <v>7724</v>
      </c>
      <c r="AW89" s="1013" t="s">
        <v>7724</v>
      </c>
      <c r="AX89" s="1013">
        <v>11</v>
      </c>
      <c r="AY89" s="1013">
        <v>4</v>
      </c>
      <c r="AZ89" s="1013">
        <v>2</v>
      </c>
      <c r="BA89" s="1013">
        <v>1</v>
      </c>
      <c r="BB89" s="1013">
        <v>1</v>
      </c>
      <c r="BC89" s="1013">
        <v>1</v>
      </c>
      <c r="BD89" s="1013">
        <v>8</v>
      </c>
      <c r="BE89" s="1023">
        <v>0.85902777777777772</v>
      </c>
      <c r="BF89" s="1013" t="s">
        <v>7736</v>
      </c>
      <c r="BG89" s="1023">
        <v>0.86250000000000004</v>
      </c>
      <c r="BH89" s="1024">
        <v>44399</v>
      </c>
      <c r="BI89" s="1013" t="s">
        <v>7727</v>
      </c>
      <c r="BJ89" s="1013" t="s">
        <v>7730</v>
      </c>
      <c r="BK89" s="1013">
        <v>2469</v>
      </c>
      <c r="BL89" s="1013" t="s">
        <v>7724</v>
      </c>
      <c r="BM89" s="1013" t="s">
        <v>7724</v>
      </c>
      <c r="BN89" s="1013">
        <v>113</v>
      </c>
      <c r="BO89" s="1013">
        <v>8</v>
      </c>
      <c r="BP89" s="1013">
        <v>2</v>
      </c>
      <c r="BQ89" s="1013">
        <v>1</v>
      </c>
      <c r="BR89" s="1013">
        <v>10</v>
      </c>
      <c r="BS89" s="1013">
        <v>64</v>
      </c>
      <c r="BT89" s="1013">
        <v>54</v>
      </c>
      <c r="BU89" s="1013">
        <v>1</v>
      </c>
      <c r="BV89" s="1013">
        <v>5</v>
      </c>
      <c r="BW89" s="1013">
        <v>1</v>
      </c>
      <c r="BX89" s="1013">
        <v>21</v>
      </c>
      <c r="BY89" s="1013">
        <v>21</v>
      </c>
      <c r="BZ89" s="1013">
        <v>101</v>
      </c>
      <c r="CA89" s="1013">
        <v>208</v>
      </c>
      <c r="CB89" s="1013">
        <v>29.732565000000001</v>
      </c>
      <c r="CC89" s="1013">
        <v>-95.380463000000006</v>
      </c>
      <c r="CD89" s="1013" t="s">
        <v>7724</v>
      </c>
      <c r="CE89" s="1013" t="s">
        <v>7724</v>
      </c>
      <c r="CF89" s="1013" t="s">
        <v>7724</v>
      </c>
      <c r="CG89" s="1013" t="s">
        <v>7724</v>
      </c>
      <c r="CH89" s="1013" t="s">
        <v>7731</v>
      </c>
      <c r="CI89" s="1013" t="s">
        <v>7724</v>
      </c>
      <c r="CJ89" s="1013" t="s">
        <v>7724</v>
      </c>
      <c r="CK89" s="1013" t="s">
        <v>7724</v>
      </c>
      <c r="CL89" s="1013" t="s">
        <v>7724</v>
      </c>
      <c r="CM89" s="1013" t="s">
        <v>7724</v>
      </c>
      <c r="CN89" s="1013" t="s">
        <v>7724</v>
      </c>
      <c r="CO89" s="1013" t="s">
        <v>7724</v>
      </c>
      <c r="CP89" s="1013" t="s">
        <v>7724</v>
      </c>
      <c r="CQ89" s="1013" t="s">
        <v>7724</v>
      </c>
      <c r="CR89" s="1013" t="s">
        <v>7746</v>
      </c>
      <c r="CS89" s="1013" t="s">
        <v>7724</v>
      </c>
      <c r="CT89" s="1013" t="s">
        <v>7724</v>
      </c>
      <c r="CU89" s="1013" t="s">
        <v>7724</v>
      </c>
      <c r="CV89" s="1013" t="s">
        <v>7724</v>
      </c>
      <c r="CW89" s="1013" t="s">
        <v>7727</v>
      </c>
      <c r="CX89" s="1013" t="s">
        <v>7723</v>
      </c>
      <c r="CY89" s="1013" t="s">
        <v>7723</v>
      </c>
      <c r="CZ89" s="1013">
        <v>5</v>
      </c>
      <c r="DA89" s="1013">
        <v>9</v>
      </c>
      <c r="DB89" s="1013" t="s">
        <v>7727</v>
      </c>
      <c r="DC89" s="1013" t="s">
        <v>7740</v>
      </c>
      <c r="DD89" s="1013" t="s">
        <v>7724</v>
      </c>
      <c r="DE89" s="1013" t="s">
        <v>7724</v>
      </c>
      <c r="DF89" s="1013" t="s">
        <v>7724</v>
      </c>
      <c r="DG89" s="1013" t="s">
        <v>7724</v>
      </c>
      <c r="DH89" s="1013" t="s">
        <v>7724</v>
      </c>
      <c r="DI89" s="1013" t="s">
        <v>7724</v>
      </c>
      <c r="DJ89" s="1013" t="s">
        <v>7724</v>
      </c>
      <c r="DK89" s="1013" t="s">
        <v>7724</v>
      </c>
      <c r="DL89" s="1013" t="s">
        <v>7724</v>
      </c>
      <c r="DM89" s="1013" t="s">
        <v>7724</v>
      </c>
      <c r="DN89" s="1013" t="s">
        <v>7724</v>
      </c>
      <c r="DO89" s="1013" t="s">
        <v>7724</v>
      </c>
      <c r="DP89" s="1013" t="s">
        <v>7724</v>
      </c>
      <c r="DQ89" s="1013" t="s">
        <v>7724</v>
      </c>
      <c r="DR89" s="1013" t="s">
        <v>7724</v>
      </c>
      <c r="DS89" s="1013" t="s">
        <v>7724</v>
      </c>
      <c r="DT89" s="1013" t="s">
        <v>7724</v>
      </c>
      <c r="DU89" s="1013" t="s">
        <v>7724</v>
      </c>
      <c r="DV89" s="1013" t="s">
        <v>7724</v>
      </c>
      <c r="DW89" s="1013" t="s">
        <v>7724</v>
      </c>
      <c r="DX89" s="1013" t="s">
        <v>7724</v>
      </c>
      <c r="DY89" s="1013" t="s">
        <v>7724</v>
      </c>
      <c r="DZ89" s="1013" t="s">
        <v>7724</v>
      </c>
      <c r="EA89" s="1013" t="s">
        <v>7724</v>
      </c>
      <c r="EB89" s="1013" t="s">
        <v>7724</v>
      </c>
      <c r="EC89" s="1013" t="s">
        <v>7724</v>
      </c>
      <c r="ED89" s="1013" t="s">
        <v>7724</v>
      </c>
      <c r="EE89" s="1013" t="s">
        <v>7724</v>
      </c>
      <c r="EF89" s="1013" t="s">
        <v>7724</v>
      </c>
      <c r="EG89" s="1013" t="s">
        <v>7724</v>
      </c>
      <c r="EH89" s="1013" t="s">
        <v>7724</v>
      </c>
      <c r="EI89" s="1013" t="s">
        <v>7724</v>
      </c>
      <c r="EJ89" s="1013" t="s">
        <v>7724</v>
      </c>
      <c r="EK89" s="1013" t="s">
        <v>7724</v>
      </c>
      <c r="EL89" s="1013" t="s">
        <v>7724</v>
      </c>
      <c r="EM89" s="1013" t="s">
        <v>7724</v>
      </c>
      <c r="EN89" s="1013" t="s">
        <v>7724</v>
      </c>
      <c r="EO89" s="1013" t="s">
        <v>7724</v>
      </c>
      <c r="EP89" s="1013" t="s">
        <v>7724</v>
      </c>
      <c r="EQ89" s="1013" t="s">
        <v>7724</v>
      </c>
      <c r="ER89" s="1013" t="s">
        <v>7724</v>
      </c>
      <c r="ES89" s="1013" t="s">
        <v>7724</v>
      </c>
      <c r="ET89" s="1013" t="s">
        <v>7724</v>
      </c>
      <c r="EU89" s="1013" t="s">
        <v>7724</v>
      </c>
      <c r="EV89" s="1013" t="s">
        <v>7724</v>
      </c>
      <c r="EW89" s="1013" t="s">
        <v>7724</v>
      </c>
      <c r="EX89" s="1013" t="s">
        <v>7724</v>
      </c>
      <c r="EY89" s="1013" t="s">
        <v>7724</v>
      </c>
      <c r="EZ89" s="1013" t="s">
        <v>7724</v>
      </c>
      <c r="FA89" s="1013" t="s">
        <v>7724</v>
      </c>
      <c r="FB89" s="1013" t="s">
        <v>7724</v>
      </c>
      <c r="FC89" s="1013" t="s">
        <v>7724</v>
      </c>
      <c r="FD89" s="1013" t="s">
        <v>7724</v>
      </c>
      <c r="FE89" s="1013" t="s">
        <v>7724</v>
      </c>
      <c r="FF89" s="1013" t="s">
        <v>7724</v>
      </c>
      <c r="FG89" s="1013">
        <v>0</v>
      </c>
      <c r="FH89" s="1013">
        <v>0</v>
      </c>
      <c r="FI89" s="1013">
        <v>0</v>
      </c>
      <c r="FJ89" s="1013">
        <v>4</v>
      </c>
      <c r="FK89" s="1013">
        <v>0</v>
      </c>
      <c r="FL89" s="1013">
        <v>0</v>
      </c>
      <c r="FM89" s="1013">
        <v>0</v>
      </c>
      <c r="FN89" s="1013">
        <v>15</v>
      </c>
      <c r="FO89" s="1013">
        <v>29</v>
      </c>
      <c r="FP89" s="1013">
        <v>6</v>
      </c>
      <c r="FQ89" s="1013" t="s">
        <v>7724</v>
      </c>
      <c r="FR89" s="1013" t="s">
        <v>7724</v>
      </c>
      <c r="FS89" s="1013" t="s">
        <v>7724</v>
      </c>
      <c r="FT89" s="1013" t="s">
        <v>7724</v>
      </c>
      <c r="FU89" s="1013" t="s">
        <v>7724</v>
      </c>
      <c r="FV89" s="1013" t="s">
        <v>7724</v>
      </c>
      <c r="FW89" s="1013" t="s">
        <v>7724</v>
      </c>
      <c r="FX89" s="1013" t="s">
        <v>7724</v>
      </c>
      <c r="FY89" s="1013" t="s">
        <v>7724</v>
      </c>
      <c r="FZ89" s="1013" t="s">
        <v>7724</v>
      </c>
      <c r="GA89" s="1013" t="s">
        <v>7724</v>
      </c>
      <c r="GB89" s="1013" t="s">
        <v>7724</v>
      </c>
      <c r="GC89" s="1013">
        <v>2021</v>
      </c>
      <c r="GD89" s="1013" t="s">
        <v>1404</v>
      </c>
      <c r="GE89" s="1013">
        <v>2</v>
      </c>
      <c r="GF89" s="1013" t="s">
        <v>1407</v>
      </c>
      <c r="GG89" s="1013" t="s">
        <v>1407</v>
      </c>
      <c r="GH89" s="1013" t="s">
        <v>7975</v>
      </c>
      <c r="GI89" s="1013" t="s">
        <v>7974</v>
      </c>
      <c r="GJ89" s="1013" t="s">
        <v>7974</v>
      </c>
      <c r="GK89" s="1013" t="s">
        <v>7974</v>
      </c>
      <c r="GL89" s="1013" t="s">
        <v>7974</v>
      </c>
    </row>
    <row r="90" spans="1:194" hidden="1">
      <c r="A90" s="1013">
        <v>179</v>
      </c>
      <c r="B90" s="1013" t="s">
        <v>7722</v>
      </c>
      <c r="C90" s="1013">
        <v>18390680</v>
      </c>
      <c r="D90" s="1013" t="s">
        <v>7723</v>
      </c>
      <c r="E90" s="1013" t="s">
        <v>7723</v>
      </c>
      <c r="F90" s="1013" t="s">
        <v>7723</v>
      </c>
      <c r="G90" s="1013" t="s">
        <v>7723</v>
      </c>
      <c r="H90" s="1013" t="s">
        <v>7723</v>
      </c>
      <c r="I90" s="1013" t="s">
        <v>7723</v>
      </c>
      <c r="J90" s="1013" t="s">
        <v>7723</v>
      </c>
      <c r="K90" s="1024">
        <v>44404</v>
      </c>
      <c r="L90" s="1023">
        <v>0.60555555555555551</v>
      </c>
      <c r="M90" s="1013" t="s">
        <v>7855</v>
      </c>
      <c r="N90" s="1013" t="s">
        <v>7724</v>
      </c>
      <c r="O90" s="1013">
        <v>101</v>
      </c>
      <c r="P90" s="1013">
        <v>208</v>
      </c>
      <c r="Q90" s="1013" t="s">
        <v>7723</v>
      </c>
      <c r="R90" s="1013" t="s">
        <v>7727</v>
      </c>
      <c r="S90" s="1013" t="s">
        <v>7724</v>
      </c>
      <c r="T90" s="1014" t="s">
        <v>7724</v>
      </c>
      <c r="U90" s="1014">
        <v>19</v>
      </c>
      <c r="V90" s="1014" t="s">
        <v>7724</v>
      </c>
      <c r="W90" s="1014" t="s">
        <v>7724</v>
      </c>
      <c r="X90" s="1013">
        <v>1</v>
      </c>
      <c r="Y90" s="1013">
        <v>1200</v>
      </c>
      <c r="Z90" s="1013" t="s">
        <v>7724</v>
      </c>
      <c r="AA90" s="1013" t="s">
        <v>7725</v>
      </c>
      <c r="AB90" s="1013" t="s">
        <v>7724</v>
      </c>
      <c r="AC90" s="1013" t="s">
        <v>7723</v>
      </c>
      <c r="AD90" s="1013" t="s">
        <v>7723</v>
      </c>
      <c r="AE90" s="1013">
        <v>30</v>
      </c>
      <c r="AF90" s="1013" t="s">
        <v>7723</v>
      </c>
      <c r="AG90" s="1013" t="s">
        <v>7723</v>
      </c>
      <c r="AH90" s="1013" t="s">
        <v>7739</v>
      </c>
      <c r="AI90" s="1013" t="s">
        <v>7727</v>
      </c>
      <c r="AJ90" s="1013">
        <v>19</v>
      </c>
      <c r="AK90" s="1013" t="s">
        <v>7724</v>
      </c>
      <c r="AL90" s="1013" t="s">
        <v>7724</v>
      </c>
      <c r="AM90" s="1013">
        <v>1</v>
      </c>
      <c r="AN90" s="1013">
        <v>4300</v>
      </c>
      <c r="AO90" s="1013" t="s">
        <v>7724</v>
      </c>
      <c r="AP90" s="1013" t="s">
        <v>7745</v>
      </c>
      <c r="AQ90" s="1013" t="s">
        <v>7724</v>
      </c>
      <c r="AR90" s="1013" t="s">
        <v>7724</v>
      </c>
      <c r="AS90" s="1013" t="s">
        <v>7724</v>
      </c>
      <c r="AT90" s="1013" t="s">
        <v>7724</v>
      </c>
      <c r="AU90" s="1013" t="s">
        <v>7724</v>
      </c>
      <c r="AV90" s="1013" t="s">
        <v>7724</v>
      </c>
      <c r="AW90" s="1013" t="s">
        <v>7724</v>
      </c>
      <c r="AX90" s="1013">
        <v>11</v>
      </c>
      <c r="AY90" s="1013">
        <v>1</v>
      </c>
      <c r="AZ90" s="1013">
        <v>4</v>
      </c>
      <c r="BA90" s="1013">
        <v>1</v>
      </c>
      <c r="BB90" s="1013">
        <v>1</v>
      </c>
      <c r="BC90" s="1013">
        <v>1</v>
      </c>
      <c r="BD90" s="1013">
        <v>1</v>
      </c>
      <c r="BE90" s="1023">
        <v>0.60555555555555551</v>
      </c>
      <c r="BF90" s="1013" t="s">
        <v>7736</v>
      </c>
      <c r="BG90" s="1023">
        <v>0.61111111111111116</v>
      </c>
      <c r="BH90" s="1024">
        <v>44405</v>
      </c>
      <c r="BI90" s="1013" t="s">
        <v>7727</v>
      </c>
      <c r="BJ90" s="1013" t="s">
        <v>7730</v>
      </c>
      <c r="BK90" s="1013">
        <v>2469</v>
      </c>
      <c r="BL90" s="1013" t="s">
        <v>7724</v>
      </c>
      <c r="BM90" s="1013" t="s">
        <v>7724</v>
      </c>
      <c r="BN90" s="1013">
        <v>113</v>
      </c>
      <c r="BO90" s="1013">
        <v>8</v>
      </c>
      <c r="BP90" s="1013">
        <v>2</v>
      </c>
      <c r="BQ90" s="1013">
        <v>1</v>
      </c>
      <c r="BR90" s="1013">
        <v>10</v>
      </c>
      <c r="BS90" s="1013">
        <v>64</v>
      </c>
      <c r="BT90" s="1013">
        <v>54</v>
      </c>
      <c r="BU90" s="1013">
        <v>1</v>
      </c>
      <c r="BV90" s="1013">
        <v>5</v>
      </c>
      <c r="BW90" s="1013">
        <v>1</v>
      </c>
      <c r="BX90" s="1013">
        <v>21</v>
      </c>
      <c r="BY90" s="1013">
        <v>21</v>
      </c>
      <c r="BZ90" s="1013">
        <v>101</v>
      </c>
      <c r="CA90" s="1013">
        <v>208</v>
      </c>
      <c r="CB90" s="1013">
        <v>29.732565000000001</v>
      </c>
      <c r="CC90" s="1013">
        <v>-95.380463000000006</v>
      </c>
      <c r="CD90" s="1013" t="s">
        <v>7724</v>
      </c>
      <c r="CE90" s="1013" t="s">
        <v>7724</v>
      </c>
      <c r="CF90" s="1013" t="s">
        <v>7724</v>
      </c>
      <c r="CG90" s="1013" t="s">
        <v>7724</v>
      </c>
      <c r="CH90" s="1013" t="s">
        <v>7731</v>
      </c>
      <c r="CI90" s="1013" t="s">
        <v>7724</v>
      </c>
      <c r="CJ90" s="1013" t="s">
        <v>7724</v>
      </c>
      <c r="CK90" s="1013" t="s">
        <v>7724</v>
      </c>
      <c r="CL90" s="1013" t="s">
        <v>7724</v>
      </c>
      <c r="CM90" s="1013" t="s">
        <v>7724</v>
      </c>
      <c r="CN90" s="1013" t="s">
        <v>7724</v>
      </c>
      <c r="CO90" s="1013" t="s">
        <v>7724</v>
      </c>
      <c r="CP90" s="1013" t="s">
        <v>7724</v>
      </c>
      <c r="CQ90" s="1013" t="s">
        <v>7724</v>
      </c>
      <c r="CR90" s="1013" t="s">
        <v>7746</v>
      </c>
      <c r="CS90" s="1013" t="s">
        <v>7724</v>
      </c>
      <c r="CT90" s="1013" t="s">
        <v>7724</v>
      </c>
      <c r="CU90" s="1013" t="s">
        <v>7724</v>
      </c>
      <c r="CV90" s="1013" t="s">
        <v>7724</v>
      </c>
      <c r="CW90" s="1013" t="s">
        <v>7727</v>
      </c>
      <c r="CX90" s="1013" t="s">
        <v>7723</v>
      </c>
      <c r="CY90" s="1013" t="s">
        <v>7723</v>
      </c>
      <c r="CZ90" s="1013">
        <v>3</v>
      </c>
      <c r="DA90" s="1013">
        <v>9</v>
      </c>
      <c r="DB90" s="1013" t="s">
        <v>7727</v>
      </c>
      <c r="DC90" s="1013" t="s">
        <v>7737</v>
      </c>
      <c r="DD90" s="1013" t="s">
        <v>7724</v>
      </c>
      <c r="DE90" s="1013" t="s">
        <v>7724</v>
      </c>
      <c r="DF90" s="1013" t="s">
        <v>7724</v>
      </c>
      <c r="DG90" s="1013" t="s">
        <v>7724</v>
      </c>
      <c r="DH90" s="1013" t="s">
        <v>7724</v>
      </c>
      <c r="DI90" s="1013" t="s">
        <v>7724</v>
      </c>
      <c r="DJ90" s="1013" t="s">
        <v>7724</v>
      </c>
      <c r="DK90" s="1013" t="s">
        <v>7724</v>
      </c>
      <c r="DL90" s="1013" t="s">
        <v>7724</v>
      </c>
      <c r="DM90" s="1013" t="s">
        <v>7724</v>
      </c>
      <c r="DN90" s="1013" t="s">
        <v>7724</v>
      </c>
      <c r="DO90" s="1013" t="s">
        <v>7724</v>
      </c>
      <c r="DP90" s="1013" t="s">
        <v>7724</v>
      </c>
      <c r="DQ90" s="1013" t="s">
        <v>7724</v>
      </c>
      <c r="DR90" s="1013" t="s">
        <v>7724</v>
      </c>
      <c r="DS90" s="1013" t="s">
        <v>7724</v>
      </c>
      <c r="DT90" s="1013" t="s">
        <v>7724</v>
      </c>
      <c r="DU90" s="1013" t="s">
        <v>7724</v>
      </c>
      <c r="DV90" s="1013" t="s">
        <v>7724</v>
      </c>
      <c r="DW90" s="1013" t="s">
        <v>7724</v>
      </c>
      <c r="DX90" s="1013" t="s">
        <v>7724</v>
      </c>
      <c r="DY90" s="1013" t="s">
        <v>7724</v>
      </c>
      <c r="DZ90" s="1013" t="s">
        <v>7724</v>
      </c>
      <c r="EA90" s="1013" t="s">
        <v>7724</v>
      </c>
      <c r="EB90" s="1013" t="s">
        <v>7724</v>
      </c>
      <c r="EC90" s="1013" t="s">
        <v>7724</v>
      </c>
      <c r="ED90" s="1013" t="s">
        <v>7724</v>
      </c>
      <c r="EE90" s="1013" t="s">
        <v>7724</v>
      </c>
      <c r="EF90" s="1013" t="s">
        <v>7724</v>
      </c>
      <c r="EG90" s="1013" t="s">
        <v>7724</v>
      </c>
      <c r="EH90" s="1013" t="s">
        <v>7724</v>
      </c>
      <c r="EI90" s="1013" t="s">
        <v>7724</v>
      </c>
      <c r="EJ90" s="1013" t="s">
        <v>7724</v>
      </c>
      <c r="EK90" s="1013" t="s">
        <v>7724</v>
      </c>
      <c r="EL90" s="1013" t="s">
        <v>7724</v>
      </c>
      <c r="EM90" s="1013" t="s">
        <v>7724</v>
      </c>
      <c r="EN90" s="1013" t="s">
        <v>7724</v>
      </c>
      <c r="EO90" s="1013" t="s">
        <v>7724</v>
      </c>
      <c r="EP90" s="1013" t="s">
        <v>7724</v>
      </c>
      <c r="EQ90" s="1013" t="s">
        <v>7724</v>
      </c>
      <c r="ER90" s="1013" t="s">
        <v>7724</v>
      </c>
      <c r="ES90" s="1013" t="s">
        <v>7724</v>
      </c>
      <c r="ET90" s="1013" t="s">
        <v>7724</v>
      </c>
      <c r="EU90" s="1013" t="s">
        <v>7724</v>
      </c>
      <c r="EV90" s="1013" t="s">
        <v>7724</v>
      </c>
      <c r="EW90" s="1013" t="s">
        <v>7724</v>
      </c>
      <c r="EX90" s="1013" t="s">
        <v>7724</v>
      </c>
      <c r="EY90" s="1013" t="s">
        <v>7724</v>
      </c>
      <c r="EZ90" s="1013" t="s">
        <v>7724</v>
      </c>
      <c r="FA90" s="1013" t="s">
        <v>7724</v>
      </c>
      <c r="FB90" s="1013" t="s">
        <v>7724</v>
      </c>
      <c r="FC90" s="1013" t="s">
        <v>7724</v>
      </c>
      <c r="FD90" s="1013" t="s">
        <v>7724</v>
      </c>
      <c r="FE90" s="1013" t="s">
        <v>7724</v>
      </c>
      <c r="FF90" s="1013" t="s">
        <v>7724</v>
      </c>
      <c r="FG90" s="1013">
        <v>0</v>
      </c>
      <c r="FH90" s="1013">
        <v>0</v>
      </c>
      <c r="FI90" s="1013">
        <v>1</v>
      </c>
      <c r="FJ90" s="1013">
        <v>3</v>
      </c>
      <c r="FK90" s="1013">
        <v>0</v>
      </c>
      <c r="FL90" s="1013">
        <v>1</v>
      </c>
      <c r="FM90" s="1013">
        <v>0</v>
      </c>
      <c r="FN90" s="1013">
        <v>15</v>
      </c>
      <c r="FO90" s="1013">
        <v>29</v>
      </c>
      <c r="FP90" s="1013">
        <v>6</v>
      </c>
      <c r="FQ90" s="1013" t="s">
        <v>7724</v>
      </c>
      <c r="FR90" s="1013" t="s">
        <v>7724</v>
      </c>
      <c r="FS90" s="1013" t="s">
        <v>7724</v>
      </c>
      <c r="FT90" s="1013" t="s">
        <v>7724</v>
      </c>
      <c r="FU90" s="1013" t="s">
        <v>7724</v>
      </c>
      <c r="FV90" s="1013" t="s">
        <v>7724</v>
      </c>
      <c r="FW90" s="1013" t="s">
        <v>7724</v>
      </c>
      <c r="FX90" s="1013" t="s">
        <v>7724</v>
      </c>
      <c r="FY90" s="1013" t="s">
        <v>7724</v>
      </c>
      <c r="FZ90" s="1013" t="s">
        <v>7724</v>
      </c>
      <c r="GA90" s="1013" t="s">
        <v>7724</v>
      </c>
      <c r="GB90" s="1013" t="s">
        <v>7724</v>
      </c>
      <c r="GC90" s="1013">
        <v>2021</v>
      </c>
      <c r="GD90" s="1013" t="s">
        <v>1407</v>
      </c>
      <c r="GE90" s="1013">
        <v>2</v>
      </c>
      <c r="GF90" s="1013" t="s">
        <v>1407</v>
      </c>
      <c r="GG90" s="1013" t="s">
        <v>1407</v>
      </c>
      <c r="GH90" s="1013" t="s">
        <v>7982</v>
      </c>
      <c r="GI90" s="1013" t="s">
        <v>7974</v>
      </c>
      <c r="GJ90" s="1013" t="s">
        <v>7974</v>
      </c>
      <c r="GK90" s="1013" t="s">
        <v>7974</v>
      </c>
      <c r="GL90" s="1013" t="s">
        <v>7974</v>
      </c>
    </row>
    <row r="91" spans="1:194" hidden="1">
      <c r="A91" s="1013">
        <v>2</v>
      </c>
      <c r="B91" s="1013" t="s">
        <v>7722</v>
      </c>
      <c r="C91" s="1013">
        <v>18689099</v>
      </c>
      <c r="D91" s="1013" t="s">
        <v>7723</v>
      </c>
      <c r="E91" s="1013" t="s">
        <v>7723</v>
      </c>
      <c r="F91" s="1013" t="s">
        <v>7723</v>
      </c>
      <c r="G91" s="1013" t="s">
        <v>7723</v>
      </c>
      <c r="H91" s="1013" t="s">
        <v>7723</v>
      </c>
      <c r="I91" s="1013" t="s">
        <v>7723</v>
      </c>
      <c r="J91" s="1013" t="s">
        <v>7723</v>
      </c>
      <c r="K91" s="1024">
        <v>44569</v>
      </c>
      <c r="L91" s="1023">
        <v>0.65347222222222223</v>
      </c>
      <c r="M91" s="1013" t="s">
        <v>7864</v>
      </c>
      <c r="N91" s="1013" t="s">
        <v>7724</v>
      </c>
      <c r="O91" s="1013">
        <v>101</v>
      </c>
      <c r="P91" s="1013">
        <v>208</v>
      </c>
      <c r="Q91" s="1013" t="s">
        <v>7723</v>
      </c>
      <c r="R91" s="1013" t="s">
        <v>7727</v>
      </c>
      <c r="S91" s="1013" t="s">
        <v>7724</v>
      </c>
      <c r="T91" s="1014" t="s">
        <v>7724</v>
      </c>
      <c r="U91" s="1014">
        <v>19</v>
      </c>
      <c r="V91" s="1014" t="s">
        <v>7724</v>
      </c>
      <c r="W91" s="1014" t="s">
        <v>7724</v>
      </c>
      <c r="X91" s="1013">
        <v>1</v>
      </c>
      <c r="Y91" s="1013">
        <v>4700</v>
      </c>
      <c r="Z91" s="1013" t="s">
        <v>7724</v>
      </c>
      <c r="AA91" s="1013" t="s">
        <v>7728</v>
      </c>
      <c r="AB91" s="1013" t="s">
        <v>7724</v>
      </c>
      <c r="AC91" s="1013" t="s">
        <v>7723</v>
      </c>
      <c r="AD91" s="1013" t="s">
        <v>7723</v>
      </c>
      <c r="AE91" s="1013">
        <v>40</v>
      </c>
      <c r="AF91" s="1013" t="s">
        <v>7723</v>
      </c>
      <c r="AG91" s="1013" t="s">
        <v>7723</v>
      </c>
      <c r="AH91" s="1013" t="s">
        <v>7724</v>
      </c>
      <c r="AI91" s="1013" t="s">
        <v>7727</v>
      </c>
      <c r="AJ91" s="1013">
        <v>19</v>
      </c>
      <c r="AK91" s="1013" t="s">
        <v>7724</v>
      </c>
      <c r="AL91" s="1013" t="s">
        <v>7724</v>
      </c>
      <c r="AM91" s="1013">
        <v>1</v>
      </c>
      <c r="AN91" s="1013" t="s">
        <v>7724</v>
      </c>
      <c r="AO91" s="1013" t="s">
        <v>7724</v>
      </c>
      <c r="AP91" s="1013" t="s">
        <v>7757</v>
      </c>
      <c r="AQ91" s="1013" t="s">
        <v>7726</v>
      </c>
      <c r="AR91" s="1013" t="s">
        <v>7724</v>
      </c>
      <c r="AS91" s="1013" t="s">
        <v>7724</v>
      </c>
      <c r="AT91" s="1013" t="s">
        <v>7724</v>
      </c>
      <c r="AU91" s="1013" t="s">
        <v>7724</v>
      </c>
      <c r="AV91" s="1013" t="s">
        <v>7724</v>
      </c>
      <c r="AW91" s="1013" t="s">
        <v>7724</v>
      </c>
      <c r="AX91" s="1013">
        <v>2</v>
      </c>
      <c r="AY91" s="1013">
        <v>1</v>
      </c>
      <c r="AZ91" s="1013">
        <v>4</v>
      </c>
      <c r="BA91" s="1013">
        <v>4</v>
      </c>
      <c r="BB91" s="1013">
        <v>1</v>
      </c>
      <c r="BC91" s="1013">
        <v>2</v>
      </c>
      <c r="BD91" s="1013">
        <v>5</v>
      </c>
      <c r="BE91" s="1023">
        <v>0.65347222222222223</v>
      </c>
      <c r="BF91" s="1013" t="s">
        <v>7865</v>
      </c>
      <c r="BG91" s="1023">
        <v>0.65347222222222223</v>
      </c>
      <c r="BH91" s="1024">
        <v>44569</v>
      </c>
      <c r="BI91" s="1013" t="s">
        <v>7727</v>
      </c>
      <c r="BJ91" s="1013" t="s">
        <v>7730</v>
      </c>
      <c r="BK91" s="1013">
        <v>2469</v>
      </c>
      <c r="BL91" s="1013" t="s">
        <v>7724</v>
      </c>
      <c r="BM91" s="1013" t="s">
        <v>7724</v>
      </c>
      <c r="BN91" s="1013">
        <v>113</v>
      </c>
      <c r="BO91" s="1013">
        <v>8</v>
      </c>
      <c r="BP91" s="1013">
        <v>2</v>
      </c>
      <c r="BQ91" s="1013">
        <v>1</v>
      </c>
      <c r="BR91" s="1013">
        <v>10</v>
      </c>
      <c r="BS91" s="1013">
        <v>64</v>
      </c>
      <c r="BT91" s="1013">
        <v>3</v>
      </c>
      <c r="BU91" s="1013">
        <v>1</v>
      </c>
      <c r="BV91" s="1013">
        <v>5</v>
      </c>
      <c r="BW91" s="1013">
        <v>1</v>
      </c>
      <c r="BX91" s="1013">
        <v>21</v>
      </c>
      <c r="BY91" s="1013">
        <v>21</v>
      </c>
      <c r="BZ91" s="1013">
        <v>101</v>
      </c>
      <c r="CA91" s="1013">
        <v>208</v>
      </c>
      <c r="CB91" s="1013">
        <v>29.731224999999998</v>
      </c>
      <c r="CC91" s="1013">
        <v>-95.382762999999997</v>
      </c>
      <c r="CD91" s="1013" t="s">
        <v>7724</v>
      </c>
      <c r="CE91" s="1013" t="s">
        <v>7724</v>
      </c>
      <c r="CF91" s="1013" t="s">
        <v>7724</v>
      </c>
      <c r="CG91" s="1013" t="s">
        <v>7724</v>
      </c>
      <c r="CH91" s="1013" t="s">
        <v>7732</v>
      </c>
      <c r="CI91" s="1013">
        <v>4701</v>
      </c>
      <c r="CJ91" s="1013" t="s">
        <v>7724</v>
      </c>
      <c r="CK91" s="1013" t="s">
        <v>7724</v>
      </c>
      <c r="CL91" s="1013" t="s">
        <v>7724</v>
      </c>
      <c r="CM91" s="1013" t="s">
        <v>7724</v>
      </c>
      <c r="CN91" s="1013" t="s">
        <v>7724</v>
      </c>
      <c r="CO91" s="1013" t="s">
        <v>7724</v>
      </c>
      <c r="CP91" s="1013" t="s">
        <v>7724</v>
      </c>
      <c r="CQ91" s="1013" t="s">
        <v>7724</v>
      </c>
      <c r="CR91" s="1013" t="s">
        <v>7758</v>
      </c>
      <c r="CS91" s="1013" t="s">
        <v>7724</v>
      </c>
      <c r="CT91" s="1013" t="s">
        <v>7724</v>
      </c>
      <c r="CU91" s="1013" t="s">
        <v>7724</v>
      </c>
      <c r="CV91" s="1013" t="s">
        <v>7724</v>
      </c>
      <c r="CW91" s="1013" t="s">
        <v>7727</v>
      </c>
      <c r="CX91" s="1013" t="s">
        <v>7723</v>
      </c>
      <c r="CY91" s="1013" t="s">
        <v>7723</v>
      </c>
      <c r="CZ91" s="1013">
        <v>5</v>
      </c>
      <c r="DA91" s="1013">
        <v>9</v>
      </c>
      <c r="DB91" s="1013" t="s">
        <v>7727</v>
      </c>
      <c r="DC91" s="1013" t="s">
        <v>7733</v>
      </c>
      <c r="DD91" s="1013" t="s">
        <v>7724</v>
      </c>
      <c r="DE91" s="1013" t="s">
        <v>7724</v>
      </c>
      <c r="DF91" s="1013" t="s">
        <v>7724</v>
      </c>
      <c r="DG91" s="1013" t="s">
        <v>7724</v>
      </c>
      <c r="DH91" s="1013" t="s">
        <v>7724</v>
      </c>
      <c r="DI91" s="1013" t="s">
        <v>7724</v>
      </c>
      <c r="DJ91" s="1013" t="s">
        <v>7724</v>
      </c>
      <c r="DK91" s="1013" t="s">
        <v>7724</v>
      </c>
      <c r="DL91" s="1013" t="s">
        <v>7724</v>
      </c>
      <c r="DM91" s="1013" t="s">
        <v>7724</v>
      </c>
      <c r="DN91" s="1013" t="s">
        <v>7724</v>
      </c>
      <c r="DO91" s="1013" t="s">
        <v>7724</v>
      </c>
      <c r="DP91" s="1013" t="s">
        <v>7724</v>
      </c>
      <c r="DQ91" s="1013" t="s">
        <v>7724</v>
      </c>
      <c r="DR91" s="1013" t="s">
        <v>7724</v>
      </c>
      <c r="DS91" s="1013" t="s">
        <v>7724</v>
      </c>
      <c r="DT91" s="1013" t="s">
        <v>7724</v>
      </c>
      <c r="DU91" s="1013" t="s">
        <v>7724</v>
      </c>
      <c r="DV91" s="1013" t="s">
        <v>7724</v>
      </c>
      <c r="DW91" s="1013" t="s">
        <v>7724</v>
      </c>
      <c r="DX91" s="1013" t="s">
        <v>7724</v>
      </c>
      <c r="DY91" s="1013" t="s">
        <v>7724</v>
      </c>
      <c r="DZ91" s="1013" t="s">
        <v>7724</v>
      </c>
      <c r="EA91" s="1013" t="s">
        <v>7724</v>
      </c>
      <c r="EB91" s="1013" t="s">
        <v>7724</v>
      </c>
      <c r="EC91" s="1013" t="s">
        <v>7724</v>
      </c>
      <c r="ED91" s="1013" t="s">
        <v>7724</v>
      </c>
      <c r="EE91" s="1013" t="s">
        <v>7724</v>
      </c>
      <c r="EF91" s="1013" t="s">
        <v>7724</v>
      </c>
      <c r="EG91" s="1013" t="s">
        <v>7724</v>
      </c>
      <c r="EH91" s="1013" t="s">
        <v>7724</v>
      </c>
      <c r="EI91" s="1013" t="s">
        <v>7724</v>
      </c>
      <c r="EJ91" s="1013" t="s">
        <v>7724</v>
      </c>
      <c r="EK91" s="1013" t="s">
        <v>7724</v>
      </c>
      <c r="EL91" s="1013" t="s">
        <v>7724</v>
      </c>
      <c r="EM91" s="1013" t="s">
        <v>7724</v>
      </c>
      <c r="EN91" s="1013" t="s">
        <v>7724</v>
      </c>
      <c r="EO91" s="1013" t="s">
        <v>7724</v>
      </c>
      <c r="EP91" s="1013" t="s">
        <v>7724</v>
      </c>
      <c r="EQ91" s="1013" t="s">
        <v>7724</v>
      </c>
      <c r="ER91" s="1013" t="s">
        <v>7724</v>
      </c>
      <c r="ES91" s="1013" t="s">
        <v>7724</v>
      </c>
      <c r="ET91" s="1013" t="s">
        <v>7724</v>
      </c>
      <c r="EU91" s="1013" t="s">
        <v>7724</v>
      </c>
      <c r="EV91" s="1013" t="s">
        <v>7724</v>
      </c>
      <c r="EW91" s="1013" t="s">
        <v>7724</v>
      </c>
      <c r="EX91" s="1013" t="s">
        <v>7724</v>
      </c>
      <c r="EY91" s="1013" t="s">
        <v>7724</v>
      </c>
      <c r="EZ91" s="1013" t="s">
        <v>7724</v>
      </c>
      <c r="FA91" s="1013" t="s">
        <v>7724</v>
      </c>
      <c r="FB91" s="1013" t="s">
        <v>7724</v>
      </c>
      <c r="FC91" s="1013" t="s">
        <v>7724</v>
      </c>
      <c r="FD91" s="1013" t="s">
        <v>7724</v>
      </c>
      <c r="FE91" s="1013" t="s">
        <v>7724</v>
      </c>
      <c r="FF91" s="1013" t="s">
        <v>7724</v>
      </c>
      <c r="FG91" s="1013">
        <v>0</v>
      </c>
      <c r="FH91" s="1013">
        <v>0</v>
      </c>
      <c r="FI91" s="1013">
        <v>0</v>
      </c>
      <c r="FJ91" s="1013">
        <v>4</v>
      </c>
      <c r="FK91" s="1013">
        <v>0</v>
      </c>
      <c r="FL91" s="1013">
        <v>0</v>
      </c>
      <c r="FM91" s="1013">
        <v>0</v>
      </c>
      <c r="FN91" s="1013">
        <v>15</v>
      </c>
      <c r="FO91" s="1013">
        <v>29</v>
      </c>
      <c r="FP91" s="1013">
        <v>9</v>
      </c>
      <c r="FQ91" s="1013" t="s">
        <v>7724</v>
      </c>
      <c r="FR91" s="1013" t="s">
        <v>7724</v>
      </c>
      <c r="FS91" s="1013" t="s">
        <v>7724</v>
      </c>
      <c r="FT91" s="1013" t="s">
        <v>7724</v>
      </c>
      <c r="FU91" s="1013" t="s">
        <v>7724</v>
      </c>
      <c r="FV91" s="1013" t="s">
        <v>7724</v>
      </c>
      <c r="FW91" s="1013" t="s">
        <v>7724</v>
      </c>
      <c r="FX91" s="1013" t="s">
        <v>7724</v>
      </c>
      <c r="FY91" s="1013" t="s">
        <v>7724</v>
      </c>
      <c r="FZ91" s="1013" t="s">
        <v>7724</v>
      </c>
      <c r="GA91" s="1013" t="s">
        <v>7724</v>
      </c>
      <c r="GB91" s="1013" t="s">
        <v>7724</v>
      </c>
      <c r="GC91" s="1013">
        <v>2022</v>
      </c>
      <c r="GD91" s="1013" t="s">
        <v>1404</v>
      </c>
      <c r="GE91" s="1013">
        <v>2</v>
      </c>
      <c r="GF91" s="1013" t="s">
        <v>1407</v>
      </c>
      <c r="GG91" s="1013" t="s">
        <v>1407</v>
      </c>
      <c r="GH91" s="1013" t="s">
        <v>8074</v>
      </c>
      <c r="GI91" s="1013" t="s">
        <v>8075</v>
      </c>
      <c r="GJ91" s="1013" t="s">
        <v>7974</v>
      </c>
      <c r="GK91" s="1013" t="s">
        <v>7974</v>
      </c>
      <c r="GL91" s="1013" t="s">
        <v>7974</v>
      </c>
    </row>
    <row r="92" spans="1:194" hidden="1">
      <c r="A92" s="1013">
        <v>21</v>
      </c>
      <c r="B92" s="1013" t="s">
        <v>7722</v>
      </c>
      <c r="C92" s="1013">
        <v>19081724</v>
      </c>
      <c r="D92" s="1013" t="s">
        <v>7723</v>
      </c>
      <c r="E92" s="1013" t="s">
        <v>7723</v>
      </c>
      <c r="F92" s="1013" t="s">
        <v>7723</v>
      </c>
      <c r="G92" s="1013" t="s">
        <v>7723</v>
      </c>
      <c r="H92" s="1013" t="s">
        <v>7723</v>
      </c>
      <c r="I92" s="1013" t="s">
        <v>7723</v>
      </c>
      <c r="J92" s="1013" t="s">
        <v>7723</v>
      </c>
      <c r="K92" s="1024">
        <v>44796</v>
      </c>
      <c r="L92" s="1023">
        <v>0.52777777777777779</v>
      </c>
      <c r="M92" s="1013" t="s">
        <v>7877</v>
      </c>
      <c r="N92" s="1013" t="s">
        <v>7724</v>
      </c>
      <c r="O92" s="1013">
        <v>101</v>
      </c>
      <c r="P92" s="1013">
        <v>208</v>
      </c>
      <c r="Q92" s="1013" t="s">
        <v>7723</v>
      </c>
      <c r="R92" s="1013" t="s">
        <v>7727</v>
      </c>
      <c r="S92" s="1013" t="s">
        <v>7724</v>
      </c>
      <c r="T92" s="1014" t="s">
        <v>7724</v>
      </c>
      <c r="U92" s="1014">
        <v>19</v>
      </c>
      <c r="V92" s="1014" t="s">
        <v>7724</v>
      </c>
      <c r="W92" s="1014" t="s">
        <v>7724</v>
      </c>
      <c r="X92" s="1013">
        <v>1</v>
      </c>
      <c r="Y92" s="1013">
        <v>4600</v>
      </c>
      <c r="Z92" s="1013" t="s">
        <v>7724</v>
      </c>
      <c r="AA92" s="1013" t="s">
        <v>7728</v>
      </c>
      <c r="AB92" s="1013" t="s">
        <v>7724</v>
      </c>
      <c r="AC92" s="1013" t="s">
        <v>7723</v>
      </c>
      <c r="AD92" s="1013" t="s">
        <v>7723</v>
      </c>
      <c r="AE92" s="1013">
        <v>35</v>
      </c>
      <c r="AF92" s="1013" t="s">
        <v>7723</v>
      </c>
      <c r="AG92" s="1013" t="s">
        <v>7723</v>
      </c>
      <c r="AH92" s="1013" t="s">
        <v>7739</v>
      </c>
      <c r="AI92" s="1013" t="s">
        <v>7727</v>
      </c>
      <c r="AJ92" s="1013">
        <v>19</v>
      </c>
      <c r="AK92" s="1013" t="s">
        <v>7724</v>
      </c>
      <c r="AL92" s="1013" t="s">
        <v>7724</v>
      </c>
      <c r="AM92" s="1013">
        <v>1</v>
      </c>
      <c r="AN92" s="1013">
        <v>1100</v>
      </c>
      <c r="AO92" s="1013" t="s">
        <v>7724</v>
      </c>
      <c r="AP92" s="1013" t="s">
        <v>7757</v>
      </c>
      <c r="AQ92" s="1013" t="s">
        <v>7726</v>
      </c>
      <c r="AR92" s="1013" t="s">
        <v>7724</v>
      </c>
      <c r="AS92" s="1013" t="s">
        <v>7724</v>
      </c>
      <c r="AT92" s="1013" t="s">
        <v>7724</v>
      </c>
      <c r="AU92" s="1013" t="s">
        <v>7724</v>
      </c>
      <c r="AV92" s="1013" t="s">
        <v>7724</v>
      </c>
      <c r="AW92" s="1013" t="s">
        <v>7724</v>
      </c>
      <c r="AX92" s="1013">
        <v>11</v>
      </c>
      <c r="AY92" s="1013">
        <v>1</v>
      </c>
      <c r="AZ92" s="1013">
        <v>4</v>
      </c>
      <c r="BA92" s="1013">
        <v>4</v>
      </c>
      <c r="BB92" s="1013">
        <v>1</v>
      </c>
      <c r="BC92" s="1013">
        <v>1</v>
      </c>
      <c r="BD92" s="1013">
        <v>20</v>
      </c>
      <c r="BE92" s="1023">
        <v>0.53333333333333333</v>
      </c>
      <c r="BF92" s="1013" t="s">
        <v>7729</v>
      </c>
      <c r="BG92" s="1023">
        <v>0.54027777777777775</v>
      </c>
      <c r="BH92" s="1024">
        <v>44797</v>
      </c>
      <c r="BI92" s="1013" t="s">
        <v>7727</v>
      </c>
      <c r="BJ92" s="1013" t="s">
        <v>7730</v>
      </c>
      <c r="BK92" s="1013">
        <v>2469</v>
      </c>
      <c r="BL92" s="1013" t="s">
        <v>7724</v>
      </c>
      <c r="BM92" s="1013" t="s">
        <v>7724</v>
      </c>
      <c r="BN92" s="1013">
        <v>113</v>
      </c>
      <c r="BO92" s="1013">
        <v>8</v>
      </c>
      <c r="BP92" s="1013">
        <v>2</v>
      </c>
      <c r="BQ92" s="1013">
        <v>1</v>
      </c>
      <c r="BR92" s="1013">
        <v>24</v>
      </c>
      <c r="BS92" s="1013">
        <v>64</v>
      </c>
      <c r="BT92" s="1013">
        <v>54</v>
      </c>
      <c r="BU92" s="1013">
        <v>1</v>
      </c>
      <c r="BV92" s="1013">
        <v>5</v>
      </c>
      <c r="BW92" s="1013">
        <v>1</v>
      </c>
      <c r="BX92" s="1013">
        <v>21</v>
      </c>
      <c r="BY92" s="1013">
        <v>21</v>
      </c>
      <c r="BZ92" s="1013">
        <v>101</v>
      </c>
      <c r="CA92" s="1013">
        <v>208</v>
      </c>
      <c r="CB92" s="1013">
        <v>29.731224999999998</v>
      </c>
      <c r="CC92" s="1013">
        <v>-95.382762999999997</v>
      </c>
      <c r="CD92" s="1013" t="s">
        <v>7724</v>
      </c>
      <c r="CE92" s="1013" t="s">
        <v>7724</v>
      </c>
      <c r="CF92" s="1013" t="s">
        <v>7724</v>
      </c>
      <c r="CG92" s="1013" t="s">
        <v>7724</v>
      </c>
      <c r="CH92" s="1013" t="s">
        <v>7732</v>
      </c>
      <c r="CI92" s="1013">
        <v>4701</v>
      </c>
      <c r="CJ92" s="1013" t="s">
        <v>7724</v>
      </c>
      <c r="CK92" s="1013" t="s">
        <v>7724</v>
      </c>
      <c r="CL92" s="1013" t="s">
        <v>7724</v>
      </c>
      <c r="CM92" s="1013" t="s">
        <v>7724</v>
      </c>
      <c r="CN92" s="1013" t="s">
        <v>7724</v>
      </c>
      <c r="CO92" s="1013" t="s">
        <v>7724</v>
      </c>
      <c r="CP92" s="1013" t="s">
        <v>7724</v>
      </c>
      <c r="CQ92" s="1013" t="s">
        <v>7724</v>
      </c>
      <c r="CR92" s="1013" t="s">
        <v>7758</v>
      </c>
      <c r="CS92" s="1013" t="s">
        <v>7724</v>
      </c>
      <c r="CT92" s="1013" t="s">
        <v>7724</v>
      </c>
      <c r="CU92" s="1013" t="s">
        <v>7724</v>
      </c>
      <c r="CV92" s="1013" t="s">
        <v>7724</v>
      </c>
      <c r="CW92" s="1013" t="s">
        <v>7727</v>
      </c>
      <c r="CX92" s="1013" t="s">
        <v>7723</v>
      </c>
      <c r="CY92" s="1013" t="s">
        <v>7723</v>
      </c>
      <c r="CZ92" s="1013">
        <v>3</v>
      </c>
      <c r="DA92" s="1013">
        <v>9</v>
      </c>
      <c r="DB92" s="1013" t="s">
        <v>7727</v>
      </c>
      <c r="DC92" s="1013" t="s">
        <v>7737</v>
      </c>
      <c r="DD92" s="1013" t="s">
        <v>7724</v>
      </c>
      <c r="DE92" s="1013" t="s">
        <v>7724</v>
      </c>
      <c r="DF92" s="1013" t="s">
        <v>7724</v>
      </c>
      <c r="DG92" s="1013" t="s">
        <v>7724</v>
      </c>
      <c r="DH92" s="1013" t="s">
        <v>7724</v>
      </c>
      <c r="DI92" s="1013" t="s">
        <v>7724</v>
      </c>
      <c r="DJ92" s="1013" t="s">
        <v>7724</v>
      </c>
      <c r="DK92" s="1013" t="s">
        <v>7724</v>
      </c>
      <c r="DL92" s="1013" t="s">
        <v>7724</v>
      </c>
      <c r="DM92" s="1013" t="s">
        <v>7724</v>
      </c>
      <c r="DN92" s="1013" t="s">
        <v>7724</v>
      </c>
      <c r="DO92" s="1013" t="s">
        <v>7724</v>
      </c>
      <c r="DP92" s="1013" t="s">
        <v>7724</v>
      </c>
      <c r="DQ92" s="1013" t="s">
        <v>7724</v>
      </c>
      <c r="DR92" s="1013" t="s">
        <v>7724</v>
      </c>
      <c r="DS92" s="1013" t="s">
        <v>7724</v>
      </c>
      <c r="DT92" s="1013" t="s">
        <v>7724</v>
      </c>
      <c r="DU92" s="1013" t="s">
        <v>7724</v>
      </c>
      <c r="DV92" s="1013" t="s">
        <v>7724</v>
      </c>
      <c r="DW92" s="1013" t="s">
        <v>7724</v>
      </c>
      <c r="DX92" s="1013" t="s">
        <v>7724</v>
      </c>
      <c r="DY92" s="1013" t="s">
        <v>7724</v>
      </c>
      <c r="DZ92" s="1013" t="s">
        <v>7724</v>
      </c>
      <c r="EA92" s="1013" t="s">
        <v>7724</v>
      </c>
      <c r="EB92" s="1013" t="s">
        <v>7724</v>
      </c>
      <c r="EC92" s="1013" t="s">
        <v>7724</v>
      </c>
      <c r="ED92" s="1013" t="s">
        <v>7724</v>
      </c>
      <c r="EE92" s="1013" t="s">
        <v>7724</v>
      </c>
      <c r="EF92" s="1013" t="s">
        <v>7724</v>
      </c>
      <c r="EG92" s="1013" t="s">
        <v>7724</v>
      </c>
      <c r="EH92" s="1013" t="s">
        <v>7724</v>
      </c>
      <c r="EI92" s="1013" t="s">
        <v>7724</v>
      </c>
      <c r="EJ92" s="1013" t="s">
        <v>7724</v>
      </c>
      <c r="EK92" s="1013" t="s">
        <v>7724</v>
      </c>
      <c r="EL92" s="1013" t="s">
        <v>7724</v>
      </c>
      <c r="EM92" s="1013" t="s">
        <v>7724</v>
      </c>
      <c r="EN92" s="1013" t="s">
        <v>7724</v>
      </c>
      <c r="EO92" s="1013" t="s">
        <v>7724</v>
      </c>
      <c r="EP92" s="1013" t="s">
        <v>7724</v>
      </c>
      <c r="EQ92" s="1013" t="s">
        <v>7724</v>
      </c>
      <c r="ER92" s="1013" t="s">
        <v>7724</v>
      </c>
      <c r="ES92" s="1013" t="s">
        <v>7724</v>
      </c>
      <c r="ET92" s="1013" t="s">
        <v>7724</v>
      </c>
      <c r="EU92" s="1013" t="s">
        <v>7724</v>
      </c>
      <c r="EV92" s="1013" t="s">
        <v>7724</v>
      </c>
      <c r="EW92" s="1013" t="s">
        <v>7724</v>
      </c>
      <c r="EX92" s="1013" t="s">
        <v>7724</v>
      </c>
      <c r="EY92" s="1013" t="s">
        <v>7724</v>
      </c>
      <c r="EZ92" s="1013" t="s">
        <v>7724</v>
      </c>
      <c r="FA92" s="1013" t="s">
        <v>7724</v>
      </c>
      <c r="FB92" s="1013" t="s">
        <v>7724</v>
      </c>
      <c r="FC92" s="1013" t="s">
        <v>7724</v>
      </c>
      <c r="FD92" s="1013" t="s">
        <v>7724</v>
      </c>
      <c r="FE92" s="1013" t="s">
        <v>7724</v>
      </c>
      <c r="FF92" s="1013" t="s">
        <v>7724</v>
      </c>
      <c r="FG92" s="1013">
        <v>0</v>
      </c>
      <c r="FH92" s="1013">
        <v>0</v>
      </c>
      <c r="FI92" s="1013">
        <v>1</v>
      </c>
      <c r="FJ92" s="1013">
        <v>1</v>
      </c>
      <c r="FK92" s="1013">
        <v>0</v>
      </c>
      <c r="FL92" s="1013">
        <v>1</v>
      </c>
      <c r="FM92" s="1013">
        <v>0</v>
      </c>
      <c r="FN92" s="1013">
        <v>15</v>
      </c>
      <c r="FO92" s="1013">
        <v>29</v>
      </c>
      <c r="FP92" s="1013">
        <v>9</v>
      </c>
      <c r="FQ92" s="1013" t="s">
        <v>7724</v>
      </c>
      <c r="FR92" s="1013" t="s">
        <v>7724</v>
      </c>
      <c r="FS92" s="1013" t="s">
        <v>7724</v>
      </c>
      <c r="FT92" s="1013" t="s">
        <v>7724</v>
      </c>
      <c r="FU92" s="1013" t="s">
        <v>7724</v>
      </c>
      <c r="FV92" s="1013" t="s">
        <v>7724</v>
      </c>
      <c r="FW92" s="1013" t="s">
        <v>7724</v>
      </c>
      <c r="FX92" s="1013" t="s">
        <v>7724</v>
      </c>
      <c r="FY92" s="1013" t="s">
        <v>7724</v>
      </c>
      <c r="FZ92" s="1013" t="s">
        <v>7724</v>
      </c>
      <c r="GA92" s="1013" t="s">
        <v>7724</v>
      </c>
      <c r="GB92" s="1013" t="s">
        <v>7724</v>
      </c>
      <c r="GC92" s="1013">
        <v>2022</v>
      </c>
      <c r="GD92" s="1013" t="s">
        <v>1407</v>
      </c>
      <c r="GE92" s="1013">
        <v>2</v>
      </c>
      <c r="GF92" s="1013" t="s">
        <v>1407</v>
      </c>
      <c r="GG92" s="1013" t="s">
        <v>1407</v>
      </c>
      <c r="GH92" s="1013" t="s">
        <v>7978</v>
      </c>
      <c r="GI92" s="1013" t="s">
        <v>7974</v>
      </c>
      <c r="GJ92" s="1013" t="s">
        <v>7974</v>
      </c>
      <c r="GK92" s="1013" t="s">
        <v>7974</v>
      </c>
      <c r="GL92" s="1013" t="s">
        <v>7974</v>
      </c>
    </row>
    <row r="93" spans="1:194" hidden="1">
      <c r="A93" s="1013">
        <v>23</v>
      </c>
      <c r="B93" s="1013" t="s">
        <v>7722</v>
      </c>
      <c r="C93" s="1013">
        <v>19082019</v>
      </c>
      <c r="D93" s="1013" t="s">
        <v>7723</v>
      </c>
      <c r="E93" s="1013" t="s">
        <v>7723</v>
      </c>
      <c r="F93" s="1013" t="s">
        <v>7723</v>
      </c>
      <c r="G93" s="1013" t="s">
        <v>7723</v>
      </c>
      <c r="H93" s="1013" t="s">
        <v>7723</v>
      </c>
      <c r="I93" s="1013" t="s">
        <v>7723</v>
      </c>
      <c r="J93" s="1013" t="s">
        <v>7723</v>
      </c>
      <c r="K93" s="1024">
        <v>44798</v>
      </c>
      <c r="L93" s="1023">
        <v>0.6875</v>
      </c>
      <c r="M93" s="1013" t="s">
        <v>7880</v>
      </c>
      <c r="N93" s="1013" t="s">
        <v>7724</v>
      </c>
      <c r="O93" s="1013">
        <v>101</v>
      </c>
      <c r="P93" s="1013">
        <v>208</v>
      </c>
      <c r="Q93" s="1013" t="s">
        <v>7723</v>
      </c>
      <c r="R93" s="1013" t="s">
        <v>7727</v>
      </c>
      <c r="S93" s="1013" t="s">
        <v>7724</v>
      </c>
      <c r="T93" s="1014" t="s">
        <v>7724</v>
      </c>
      <c r="U93" s="1014">
        <v>19</v>
      </c>
      <c r="V93" s="1014" t="s">
        <v>7724</v>
      </c>
      <c r="W93" s="1014" t="s">
        <v>7724</v>
      </c>
      <c r="X93" s="1013">
        <v>1</v>
      </c>
      <c r="Y93" s="1013">
        <v>4700</v>
      </c>
      <c r="Z93" s="1013" t="s">
        <v>7724</v>
      </c>
      <c r="AA93" s="1013" t="s">
        <v>7728</v>
      </c>
      <c r="AB93" s="1013" t="s">
        <v>7724</v>
      </c>
      <c r="AC93" s="1013" t="s">
        <v>7723</v>
      </c>
      <c r="AD93" s="1013" t="s">
        <v>7723</v>
      </c>
      <c r="AE93" s="1013">
        <v>35</v>
      </c>
      <c r="AF93" s="1013" t="s">
        <v>7723</v>
      </c>
      <c r="AG93" s="1013" t="s">
        <v>7723</v>
      </c>
      <c r="AH93" s="1013" t="s">
        <v>7739</v>
      </c>
      <c r="AI93" s="1013" t="s">
        <v>7727</v>
      </c>
      <c r="AJ93" s="1013">
        <v>19</v>
      </c>
      <c r="AK93" s="1013" t="s">
        <v>7724</v>
      </c>
      <c r="AL93" s="1013" t="s">
        <v>7724</v>
      </c>
      <c r="AM93" s="1013">
        <v>1</v>
      </c>
      <c r="AN93" s="1013">
        <v>1200</v>
      </c>
      <c r="AO93" s="1013" t="s">
        <v>7724</v>
      </c>
      <c r="AP93" s="1013" t="s">
        <v>7757</v>
      </c>
      <c r="AQ93" s="1013" t="s">
        <v>7726</v>
      </c>
      <c r="AR93" s="1013" t="s">
        <v>7724</v>
      </c>
      <c r="AS93" s="1013" t="s">
        <v>7724</v>
      </c>
      <c r="AT93" s="1013" t="s">
        <v>7724</v>
      </c>
      <c r="AU93" s="1013" t="s">
        <v>7724</v>
      </c>
      <c r="AV93" s="1013" t="s">
        <v>7724</v>
      </c>
      <c r="AW93" s="1013" t="s">
        <v>7724</v>
      </c>
      <c r="AX93" s="1013">
        <v>11</v>
      </c>
      <c r="AY93" s="1013">
        <v>1</v>
      </c>
      <c r="AZ93" s="1013">
        <v>2</v>
      </c>
      <c r="BA93" s="1013">
        <v>4</v>
      </c>
      <c r="BB93" s="1013">
        <v>1</v>
      </c>
      <c r="BC93" s="1013">
        <v>1</v>
      </c>
      <c r="BD93" s="1013">
        <v>20</v>
      </c>
      <c r="BE93" s="1023">
        <v>0.67361111111111116</v>
      </c>
      <c r="BF93" s="1013" t="s">
        <v>7881</v>
      </c>
      <c r="BG93" s="1023">
        <v>0.67361111111111116</v>
      </c>
      <c r="BH93" s="1024">
        <v>44799</v>
      </c>
      <c r="BI93" s="1013" t="s">
        <v>7727</v>
      </c>
      <c r="BJ93" s="1013" t="s">
        <v>7730</v>
      </c>
      <c r="BK93" s="1013">
        <v>2469</v>
      </c>
      <c r="BL93" s="1013" t="s">
        <v>7724</v>
      </c>
      <c r="BM93" s="1013" t="s">
        <v>7724</v>
      </c>
      <c r="BN93" s="1013">
        <v>113</v>
      </c>
      <c r="BO93" s="1013">
        <v>8</v>
      </c>
      <c r="BP93" s="1013">
        <v>2</v>
      </c>
      <c r="BQ93" s="1013">
        <v>1</v>
      </c>
      <c r="BR93" s="1013">
        <v>20</v>
      </c>
      <c r="BS93" s="1013">
        <v>64</v>
      </c>
      <c r="BT93" s="1013">
        <v>42</v>
      </c>
      <c r="BU93" s="1013">
        <v>1</v>
      </c>
      <c r="BV93" s="1013">
        <v>5</v>
      </c>
      <c r="BW93" s="1013">
        <v>1</v>
      </c>
      <c r="BX93" s="1013">
        <v>21</v>
      </c>
      <c r="BY93" s="1013">
        <v>21</v>
      </c>
      <c r="BZ93" s="1013">
        <v>101</v>
      </c>
      <c r="CA93" s="1013">
        <v>208</v>
      </c>
      <c r="CB93" s="1013">
        <v>29.731224999999998</v>
      </c>
      <c r="CC93" s="1013">
        <v>-95.382762999999997</v>
      </c>
      <c r="CD93" s="1013" t="s">
        <v>7724</v>
      </c>
      <c r="CE93" s="1013" t="s">
        <v>7724</v>
      </c>
      <c r="CF93" s="1013" t="s">
        <v>7724</v>
      </c>
      <c r="CG93" s="1013" t="s">
        <v>7724</v>
      </c>
      <c r="CH93" s="1013" t="s">
        <v>7732</v>
      </c>
      <c r="CI93" s="1013">
        <v>4701</v>
      </c>
      <c r="CJ93" s="1013" t="s">
        <v>7724</v>
      </c>
      <c r="CK93" s="1013" t="s">
        <v>7724</v>
      </c>
      <c r="CL93" s="1013" t="s">
        <v>7724</v>
      </c>
      <c r="CM93" s="1013" t="s">
        <v>7724</v>
      </c>
      <c r="CN93" s="1013" t="s">
        <v>7724</v>
      </c>
      <c r="CO93" s="1013" t="s">
        <v>7724</v>
      </c>
      <c r="CP93" s="1013" t="s">
        <v>7724</v>
      </c>
      <c r="CQ93" s="1013" t="s">
        <v>7724</v>
      </c>
      <c r="CR93" s="1013" t="s">
        <v>7758</v>
      </c>
      <c r="CS93" s="1013" t="s">
        <v>7724</v>
      </c>
      <c r="CT93" s="1013" t="s">
        <v>7724</v>
      </c>
      <c r="CU93" s="1013" t="s">
        <v>7724</v>
      </c>
      <c r="CV93" s="1013" t="s">
        <v>7724</v>
      </c>
      <c r="CW93" s="1013" t="s">
        <v>7727</v>
      </c>
      <c r="CX93" s="1013" t="s">
        <v>7723</v>
      </c>
      <c r="CY93" s="1013" t="s">
        <v>7723</v>
      </c>
      <c r="CZ93" s="1013">
        <v>3</v>
      </c>
      <c r="DA93" s="1013">
        <v>9</v>
      </c>
      <c r="DB93" s="1013" t="s">
        <v>7727</v>
      </c>
      <c r="DC93" s="1013" t="s">
        <v>7740</v>
      </c>
      <c r="DD93" s="1013" t="s">
        <v>7724</v>
      </c>
      <c r="DE93" s="1013" t="s">
        <v>7724</v>
      </c>
      <c r="DF93" s="1013" t="s">
        <v>7724</v>
      </c>
      <c r="DG93" s="1013" t="s">
        <v>7724</v>
      </c>
      <c r="DH93" s="1013" t="s">
        <v>7724</v>
      </c>
      <c r="DI93" s="1013" t="s">
        <v>7724</v>
      </c>
      <c r="DJ93" s="1013" t="s">
        <v>7724</v>
      </c>
      <c r="DK93" s="1013" t="s">
        <v>7724</v>
      </c>
      <c r="DL93" s="1013" t="s">
        <v>7724</v>
      </c>
      <c r="DM93" s="1013" t="s">
        <v>7724</v>
      </c>
      <c r="DN93" s="1013" t="s">
        <v>7724</v>
      </c>
      <c r="DO93" s="1013" t="s">
        <v>7724</v>
      </c>
      <c r="DP93" s="1013" t="s">
        <v>7724</v>
      </c>
      <c r="DQ93" s="1013" t="s">
        <v>7724</v>
      </c>
      <c r="DR93" s="1013" t="s">
        <v>7724</v>
      </c>
      <c r="DS93" s="1013" t="s">
        <v>7724</v>
      </c>
      <c r="DT93" s="1013" t="s">
        <v>7724</v>
      </c>
      <c r="DU93" s="1013" t="s">
        <v>7724</v>
      </c>
      <c r="DV93" s="1013" t="s">
        <v>7724</v>
      </c>
      <c r="DW93" s="1013" t="s">
        <v>7724</v>
      </c>
      <c r="DX93" s="1013" t="s">
        <v>7724</v>
      </c>
      <c r="DY93" s="1013" t="s">
        <v>7724</v>
      </c>
      <c r="DZ93" s="1013" t="s">
        <v>7724</v>
      </c>
      <c r="EA93" s="1013" t="s">
        <v>7724</v>
      </c>
      <c r="EB93" s="1013" t="s">
        <v>7724</v>
      </c>
      <c r="EC93" s="1013" t="s">
        <v>7724</v>
      </c>
      <c r="ED93" s="1013" t="s">
        <v>7724</v>
      </c>
      <c r="EE93" s="1013" t="s">
        <v>7724</v>
      </c>
      <c r="EF93" s="1013" t="s">
        <v>7724</v>
      </c>
      <c r="EG93" s="1013" t="s">
        <v>7724</v>
      </c>
      <c r="EH93" s="1013" t="s">
        <v>7724</v>
      </c>
      <c r="EI93" s="1013" t="s">
        <v>7724</v>
      </c>
      <c r="EJ93" s="1013" t="s">
        <v>7724</v>
      </c>
      <c r="EK93" s="1013" t="s">
        <v>7724</v>
      </c>
      <c r="EL93" s="1013" t="s">
        <v>7724</v>
      </c>
      <c r="EM93" s="1013" t="s">
        <v>7724</v>
      </c>
      <c r="EN93" s="1013" t="s">
        <v>7724</v>
      </c>
      <c r="EO93" s="1013" t="s">
        <v>7724</v>
      </c>
      <c r="EP93" s="1013" t="s">
        <v>7724</v>
      </c>
      <c r="EQ93" s="1013" t="s">
        <v>7724</v>
      </c>
      <c r="ER93" s="1013" t="s">
        <v>7724</v>
      </c>
      <c r="ES93" s="1013" t="s">
        <v>7724</v>
      </c>
      <c r="ET93" s="1013" t="s">
        <v>7724</v>
      </c>
      <c r="EU93" s="1013" t="s">
        <v>7724</v>
      </c>
      <c r="EV93" s="1013" t="s">
        <v>7724</v>
      </c>
      <c r="EW93" s="1013" t="s">
        <v>7724</v>
      </c>
      <c r="EX93" s="1013" t="s">
        <v>7724</v>
      </c>
      <c r="EY93" s="1013" t="s">
        <v>7724</v>
      </c>
      <c r="EZ93" s="1013" t="s">
        <v>7724</v>
      </c>
      <c r="FA93" s="1013" t="s">
        <v>7724</v>
      </c>
      <c r="FB93" s="1013" t="s">
        <v>7724</v>
      </c>
      <c r="FC93" s="1013" t="s">
        <v>7724</v>
      </c>
      <c r="FD93" s="1013" t="s">
        <v>7724</v>
      </c>
      <c r="FE93" s="1013" t="s">
        <v>7724</v>
      </c>
      <c r="FF93" s="1013" t="s">
        <v>7724</v>
      </c>
      <c r="FG93" s="1013">
        <v>0</v>
      </c>
      <c r="FH93" s="1013">
        <v>0</v>
      </c>
      <c r="FI93" s="1013">
        <v>1</v>
      </c>
      <c r="FJ93" s="1013">
        <v>2</v>
      </c>
      <c r="FK93" s="1013">
        <v>1</v>
      </c>
      <c r="FL93" s="1013">
        <v>1</v>
      </c>
      <c r="FM93" s="1013">
        <v>0</v>
      </c>
      <c r="FN93" s="1013">
        <v>15</v>
      </c>
      <c r="FO93" s="1013">
        <v>29</v>
      </c>
      <c r="FP93" s="1013">
        <v>9</v>
      </c>
      <c r="FQ93" s="1013" t="s">
        <v>7724</v>
      </c>
      <c r="FR93" s="1013" t="s">
        <v>7724</v>
      </c>
      <c r="FS93" s="1013" t="s">
        <v>7724</v>
      </c>
      <c r="FT93" s="1013" t="s">
        <v>7724</v>
      </c>
      <c r="FU93" s="1013" t="s">
        <v>7724</v>
      </c>
      <c r="FV93" s="1013" t="s">
        <v>7724</v>
      </c>
      <c r="FW93" s="1013" t="s">
        <v>7724</v>
      </c>
      <c r="FX93" s="1013" t="s">
        <v>7724</v>
      </c>
      <c r="FY93" s="1013" t="s">
        <v>7724</v>
      </c>
      <c r="FZ93" s="1013" t="s">
        <v>7724</v>
      </c>
      <c r="GA93" s="1013" t="s">
        <v>7724</v>
      </c>
      <c r="GB93" s="1013" t="s">
        <v>7724</v>
      </c>
      <c r="GC93" s="1013">
        <v>2022</v>
      </c>
      <c r="GD93" s="1013" t="s">
        <v>1407</v>
      </c>
      <c r="GE93" s="1013">
        <v>2</v>
      </c>
      <c r="GF93" s="1013" t="s">
        <v>1407</v>
      </c>
      <c r="GG93" s="1013" t="s">
        <v>1407</v>
      </c>
      <c r="GH93" s="1013" t="s">
        <v>8023</v>
      </c>
      <c r="GI93" s="1013" t="s">
        <v>7974</v>
      </c>
      <c r="GJ93" s="1013" t="s">
        <v>7974</v>
      </c>
      <c r="GK93" s="1013" t="s">
        <v>7974</v>
      </c>
      <c r="GL93" s="1013" t="s">
        <v>7974</v>
      </c>
    </row>
    <row r="94" spans="1:194" hidden="1">
      <c r="A94" s="1013">
        <v>25</v>
      </c>
      <c r="B94" s="1013" t="s">
        <v>7722</v>
      </c>
      <c r="C94" s="1013">
        <v>19100383</v>
      </c>
      <c r="D94" s="1013" t="s">
        <v>7723</v>
      </c>
      <c r="E94" s="1013" t="s">
        <v>7723</v>
      </c>
      <c r="F94" s="1013" t="s">
        <v>7723</v>
      </c>
      <c r="G94" s="1013" t="s">
        <v>7723</v>
      </c>
      <c r="H94" s="1013" t="s">
        <v>7723</v>
      </c>
      <c r="I94" s="1013" t="s">
        <v>7723</v>
      </c>
      <c r="J94" s="1013" t="s">
        <v>7723</v>
      </c>
      <c r="K94" s="1024">
        <v>44811</v>
      </c>
      <c r="L94" s="1023">
        <v>0.73402777777777772</v>
      </c>
      <c r="M94" s="1013" t="s">
        <v>7883</v>
      </c>
      <c r="N94" s="1013" t="s">
        <v>7724</v>
      </c>
      <c r="O94" s="1013">
        <v>101</v>
      </c>
      <c r="P94" s="1013">
        <v>208</v>
      </c>
      <c r="Q94" s="1013" t="s">
        <v>7723</v>
      </c>
      <c r="R94" s="1013" t="s">
        <v>7727</v>
      </c>
      <c r="S94" s="1013" t="s">
        <v>7724</v>
      </c>
      <c r="T94" s="1014" t="s">
        <v>7724</v>
      </c>
      <c r="U94" s="1014">
        <v>19</v>
      </c>
      <c r="V94" s="1014" t="s">
        <v>7724</v>
      </c>
      <c r="W94" s="1014" t="s">
        <v>7724</v>
      </c>
      <c r="X94" s="1013">
        <v>1</v>
      </c>
      <c r="Y94" s="1013">
        <v>4700</v>
      </c>
      <c r="Z94" s="1013" t="s">
        <v>7724</v>
      </c>
      <c r="AA94" s="1013" t="s">
        <v>7728</v>
      </c>
      <c r="AB94" s="1013" t="s">
        <v>7724</v>
      </c>
      <c r="AC94" s="1013" t="s">
        <v>7723</v>
      </c>
      <c r="AD94" s="1013" t="s">
        <v>7723</v>
      </c>
      <c r="AE94" s="1013">
        <v>35</v>
      </c>
      <c r="AF94" s="1013" t="s">
        <v>7723</v>
      </c>
      <c r="AG94" s="1013" t="s">
        <v>7723</v>
      </c>
      <c r="AH94" s="1013" t="s">
        <v>7724</v>
      </c>
      <c r="AI94" s="1013" t="s">
        <v>7727</v>
      </c>
      <c r="AJ94" s="1013">
        <v>19</v>
      </c>
      <c r="AK94" s="1013" t="s">
        <v>7724</v>
      </c>
      <c r="AL94" s="1013" t="s">
        <v>7724</v>
      </c>
      <c r="AM94" s="1013">
        <v>1</v>
      </c>
      <c r="AN94" s="1013">
        <v>1200</v>
      </c>
      <c r="AO94" s="1013" t="s">
        <v>7724</v>
      </c>
      <c r="AP94" s="1013" t="s">
        <v>7884</v>
      </c>
      <c r="AQ94" s="1013" t="s">
        <v>7724</v>
      </c>
      <c r="AR94" s="1013" t="s">
        <v>7724</v>
      </c>
      <c r="AS94" s="1013" t="s">
        <v>7724</v>
      </c>
      <c r="AT94" s="1013" t="s">
        <v>7724</v>
      </c>
      <c r="AU94" s="1013" t="s">
        <v>7724</v>
      </c>
      <c r="AV94" s="1013" t="s">
        <v>7724</v>
      </c>
      <c r="AW94" s="1013" t="s">
        <v>7724</v>
      </c>
      <c r="AX94" s="1013">
        <v>2</v>
      </c>
      <c r="AY94" s="1013">
        <v>1</v>
      </c>
      <c r="AZ94" s="1013">
        <v>2</v>
      </c>
      <c r="BA94" s="1013">
        <v>4</v>
      </c>
      <c r="BB94" s="1013">
        <v>1</v>
      </c>
      <c r="BC94" s="1013">
        <v>2</v>
      </c>
      <c r="BD94" s="1013">
        <v>2</v>
      </c>
      <c r="BE94" s="1023">
        <v>0.73541666666666672</v>
      </c>
      <c r="BF94" s="1013" t="s">
        <v>7736</v>
      </c>
      <c r="BG94" s="1023">
        <v>0.73819444444444449</v>
      </c>
      <c r="BH94" s="1024">
        <v>44811</v>
      </c>
      <c r="BI94" s="1013" t="s">
        <v>7727</v>
      </c>
      <c r="BJ94" s="1013" t="s">
        <v>7730</v>
      </c>
      <c r="BK94" s="1013">
        <v>2469</v>
      </c>
      <c r="BL94" s="1013" t="s">
        <v>7724</v>
      </c>
      <c r="BM94" s="1013" t="s">
        <v>7724</v>
      </c>
      <c r="BN94" s="1013">
        <v>113</v>
      </c>
      <c r="BO94" s="1013">
        <v>8</v>
      </c>
      <c r="BP94" s="1013">
        <v>2</v>
      </c>
      <c r="BQ94" s="1013">
        <v>1</v>
      </c>
      <c r="BR94" s="1013">
        <v>10</v>
      </c>
      <c r="BS94" s="1013">
        <v>64</v>
      </c>
      <c r="BT94" s="1013">
        <v>54</v>
      </c>
      <c r="BU94" s="1013">
        <v>1</v>
      </c>
      <c r="BV94" s="1013">
        <v>5</v>
      </c>
      <c r="BW94" s="1013">
        <v>1</v>
      </c>
      <c r="BX94" s="1013">
        <v>21</v>
      </c>
      <c r="BY94" s="1013">
        <v>21</v>
      </c>
      <c r="BZ94" s="1013">
        <v>101</v>
      </c>
      <c r="CA94" s="1013">
        <v>208</v>
      </c>
      <c r="CB94" s="1013">
        <v>29.731224999999998</v>
      </c>
      <c r="CC94" s="1013">
        <v>-95.382762999999997</v>
      </c>
      <c r="CD94" s="1013" t="s">
        <v>7724</v>
      </c>
      <c r="CE94" s="1013" t="s">
        <v>7724</v>
      </c>
      <c r="CF94" s="1013" t="s">
        <v>7724</v>
      </c>
      <c r="CG94" s="1013" t="s">
        <v>7724</v>
      </c>
      <c r="CH94" s="1013" t="s">
        <v>7732</v>
      </c>
      <c r="CI94" s="1013">
        <v>4701</v>
      </c>
      <c r="CJ94" s="1013" t="s">
        <v>7724</v>
      </c>
      <c r="CK94" s="1013" t="s">
        <v>7724</v>
      </c>
      <c r="CL94" s="1013" t="s">
        <v>7724</v>
      </c>
      <c r="CM94" s="1013" t="s">
        <v>7724</v>
      </c>
      <c r="CN94" s="1013" t="s">
        <v>7724</v>
      </c>
      <c r="CO94" s="1013" t="s">
        <v>7724</v>
      </c>
      <c r="CP94" s="1013" t="s">
        <v>7724</v>
      </c>
      <c r="CQ94" s="1013" t="s">
        <v>7724</v>
      </c>
      <c r="CR94" s="1013" t="s">
        <v>7758</v>
      </c>
      <c r="CS94" s="1013" t="s">
        <v>7724</v>
      </c>
      <c r="CT94" s="1013" t="s">
        <v>7724</v>
      </c>
      <c r="CU94" s="1013" t="s">
        <v>7724</v>
      </c>
      <c r="CV94" s="1013" t="s">
        <v>7724</v>
      </c>
      <c r="CW94" s="1013" t="s">
        <v>7727</v>
      </c>
      <c r="CX94" s="1013" t="s">
        <v>7723</v>
      </c>
      <c r="CY94" s="1013" t="s">
        <v>7723</v>
      </c>
      <c r="CZ94" s="1013">
        <v>5</v>
      </c>
      <c r="DA94" s="1013">
        <v>9</v>
      </c>
      <c r="DB94" s="1013" t="s">
        <v>7727</v>
      </c>
      <c r="DC94" s="1013" t="s">
        <v>7756</v>
      </c>
      <c r="DD94" s="1013" t="s">
        <v>7724</v>
      </c>
      <c r="DE94" s="1013" t="s">
        <v>7724</v>
      </c>
      <c r="DF94" s="1013" t="s">
        <v>7724</v>
      </c>
      <c r="DG94" s="1013" t="s">
        <v>7724</v>
      </c>
      <c r="DH94" s="1013" t="s">
        <v>7724</v>
      </c>
      <c r="DI94" s="1013" t="s">
        <v>7724</v>
      </c>
      <c r="DJ94" s="1013" t="s">
        <v>7724</v>
      </c>
      <c r="DK94" s="1013" t="s">
        <v>7724</v>
      </c>
      <c r="DL94" s="1013" t="s">
        <v>7724</v>
      </c>
      <c r="DM94" s="1013" t="s">
        <v>7724</v>
      </c>
      <c r="DN94" s="1013" t="s">
        <v>7724</v>
      </c>
      <c r="DO94" s="1013" t="s">
        <v>7724</v>
      </c>
      <c r="DP94" s="1013" t="s">
        <v>7724</v>
      </c>
      <c r="DQ94" s="1013" t="s">
        <v>7724</v>
      </c>
      <c r="DR94" s="1013" t="s">
        <v>7724</v>
      </c>
      <c r="DS94" s="1013" t="s">
        <v>7724</v>
      </c>
      <c r="DT94" s="1013" t="s">
        <v>7724</v>
      </c>
      <c r="DU94" s="1013" t="s">
        <v>7724</v>
      </c>
      <c r="DV94" s="1013" t="s">
        <v>7724</v>
      </c>
      <c r="DW94" s="1013" t="s">
        <v>7724</v>
      </c>
      <c r="DX94" s="1013" t="s">
        <v>7724</v>
      </c>
      <c r="DY94" s="1013" t="s">
        <v>7724</v>
      </c>
      <c r="DZ94" s="1013" t="s">
        <v>7724</v>
      </c>
      <c r="EA94" s="1013" t="s">
        <v>7724</v>
      </c>
      <c r="EB94" s="1013" t="s">
        <v>7724</v>
      </c>
      <c r="EC94" s="1013" t="s">
        <v>7724</v>
      </c>
      <c r="ED94" s="1013" t="s">
        <v>7724</v>
      </c>
      <c r="EE94" s="1013" t="s">
        <v>7724</v>
      </c>
      <c r="EF94" s="1013" t="s">
        <v>7724</v>
      </c>
      <c r="EG94" s="1013" t="s">
        <v>7724</v>
      </c>
      <c r="EH94" s="1013" t="s">
        <v>7724</v>
      </c>
      <c r="EI94" s="1013" t="s">
        <v>7724</v>
      </c>
      <c r="EJ94" s="1013" t="s">
        <v>7724</v>
      </c>
      <c r="EK94" s="1013" t="s">
        <v>7724</v>
      </c>
      <c r="EL94" s="1013" t="s">
        <v>7724</v>
      </c>
      <c r="EM94" s="1013" t="s">
        <v>7724</v>
      </c>
      <c r="EN94" s="1013" t="s">
        <v>7724</v>
      </c>
      <c r="EO94" s="1013" t="s">
        <v>7724</v>
      </c>
      <c r="EP94" s="1013" t="s">
        <v>7724</v>
      </c>
      <c r="EQ94" s="1013" t="s">
        <v>7724</v>
      </c>
      <c r="ER94" s="1013" t="s">
        <v>7724</v>
      </c>
      <c r="ES94" s="1013" t="s">
        <v>7724</v>
      </c>
      <c r="ET94" s="1013" t="s">
        <v>7724</v>
      </c>
      <c r="EU94" s="1013" t="s">
        <v>7724</v>
      </c>
      <c r="EV94" s="1013" t="s">
        <v>7724</v>
      </c>
      <c r="EW94" s="1013" t="s">
        <v>7724</v>
      </c>
      <c r="EX94" s="1013" t="s">
        <v>7724</v>
      </c>
      <c r="EY94" s="1013" t="s">
        <v>7724</v>
      </c>
      <c r="EZ94" s="1013" t="s">
        <v>7724</v>
      </c>
      <c r="FA94" s="1013" t="s">
        <v>7724</v>
      </c>
      <c r="FB94" s="1013" t="s">
        <v>7724</v>
      </c>
      <c r="FC94" s="1013" t="s">
        <v>7724</v>
      </c>
      <c r="FD94" s="1013" t="s">
        <v>7724</v>
      </c>
      <c r="FE94" s="1013" t="s">
        <v>7724</v>
      </c>
      <c r="FF94" s="1013" t="s">
        <v>7724</v>
      </c>
      <c r="FG94" s="1013">
        <v>0</v>
      </c>
      <c r="FH94" s="1013">
        <v>0</v>
      </c>
      <c r="FI94" s="1013">
        <v>0</v>
      </c>
      <c r="FJ94" s="1013">
        <v>3</v>
      </c>
      <c r="FK94" s="1013">
        <v>0</v>
      </c>
      <c r="FL94" s="1013">
        <v>0</v>
      </c>
      <c r="FM94" s="1013">
        <v>0</v>
      </c>
      <c r="FN94" s="1013">
        <v>15</v>
      </c>
      <c r="FO94" s="1013">
        <v>29</v>
      </c>
      <c r="FP94" s="1013">
        <v>9</v>
      </c>
      <c r="FQ94" s="1013" t="s">
        <v>7724</v>
      </c>
      <c r="FR94" s="1013" t="s">
        <v>7724</v>
      </c>
      <c r="FS94" s="1013" t="s">
        <v>7724</v>
      </c>
      <c r="FT94" s="1013" t="s">
        <v>7724</v>
      </c>
      <c r="FU94" s="1013" t="s">
        <v>7724</v>
      </c>
      <c r="FV94" s="1013" t="s">
        <v>7724</v>
      </c>
      <c r="FW94" s="1013" t="s">
        <v>7724</v>
      </c>
      <c r="FX94" s="1013" t="s">
        <v>7724</v>
      </c>
      <c r="FY94" s="1013" t="s">
        <v>7724</v>
      </c>
      <c r="FZ94" s="1013" t="s">
        <v>7724</v>
      </c>
      <c r="GA94" s="1013" t="s">
        <v>7724</v>
      </c>
      <c r="GB94" s="1013" t="s">
        <v>7724</v>
      </c>
      <c r="GC94" s="1013">
        <v>2022</v>
      </c>
      <c r="GD94" s="1013" t="s">
        <v>1404</v>
      </c>
      <c r="GE94" s="1013">
        <v>2</v>
      </c>
      <c r="GF94" s="1013" t="s">
        <v>1407</v>
      </c>
      <c r="GG94" s="1013" t="s">
        <v>1407</v>
      </c>
      <c r="GH94" s="1013" t="s">
        <v>8023</v>
      </c>
      <c r="GI94" s="1013" t="s">
        <v>7974</v>
      </c>
      <c r="GJ94" s="1013" t="s">
        <v>7974</v>
      </c>
      <c r="GK94" s="1013" t="s">
        <v>7974</v>
      </c>
      <c r="GL94" s="1013" t="s">
        <v>7974</v>
      </c>
    </row>
    <row r="95" spans="1:194" hidden="1">
      <c r="A95" s="1013">
        <v>28</v>
      </c>
      <c r="B95" s="1013" t="s">
        <v>7722</v>
      </c>
      <c r="C95" s="1013">
        <v>19143248</v>
      </c>
      <c r="D95" s="1013" t="s">
        <v>7723</v>
      </c>
      <c r="E95" s="1013" t="s">
        <v>7723</v>
      </c>
      <c r="F95" s="1013" t="s">
        <v>7723</v>
      </c>
      <c r="G95" s="1013" t="s">
        <v>7723</v>
      </c>
      <c r="H95" s="1013" t="s">
        <v>7723</v>
      </c>
      <c r="I95" s="1013" t="s">
        <v>7723</v>
      </c>
      <c r="J95" s="1013" t="s">
        <v>7723</v>
      </c>
      <c r="K95" s="1024">
        <v>44833</v>
      </c>
      <c r="L95" s="1023">
        <v>0.77013888888888893</v>
      </c>
      <c r="M95" s="1013" t="s">
        <v>7886</v>
      </c>
      <c r="N95" s="1013" t="s">
        <v>7724</v>
      </c>
      <c r="O95" s="1013">
        <v>101</v>
      </c>
      <c r="P95" s="1013">
        <v>208</v>
      </c>
      <c r="Q95" s="1013" t="s">
        <v>7723</v>
      </c>
      <c r="R95" s="1013" t="s">
        <v>7727</v>
      </c>
      <c r="S95" s="1013" t="s">
        <v>7724</v>
      </c>
      <c r="T95" s="1014" t="s">
        <v>7724</v>
      </c>
      <c r="U95" s="1014">
        <v>19</v>
      </c>
      <c r="V95" s="1014" t="s">
        <v>7724</v>
      </c>
      <c r="W95" s="1014" t="s">
        <v>7724</v>
      </c>
      <c r="X95" s="1013">
        <v>1</v>
      </c>
      <c r="Y95" s="1013">
        <v>4700</v>
      </c>
      <c r="Z95" s="1013" t="s">
        <v>7724</v>
      </c>
      <c r="AA95" s="1013" t="s">
        <v>7728</v>
      </c>
      <c r="AB95" s="1013" t="s">
        <v>7724</v>
      </c>
      <c r="AC95" s="1013" t="s">
        <v>7723</v>
      </c>
      <c r="AD95" s="1013" t="s">
        <v>7723</v>
      </c>
      <c r="AE95" s="1013">
        <v>35</v>
      </c>
      <c r="AF95" s="1013" t="s">
        <v>7723</v>
      </c>
      <c r="AG95" s="1013" t="s">
        <v>7723</v>
      </c>
      <c r="AH95" s="1013" t="s">
        <v>7724</v>
      </c>
      <c r="AI95" s="1013" t="s">
        <v>7727</v>
      </c>
      <c r="AJ95" s="1013">
        <v>19</v>
      </c>
      <c r="AK95" s="1013" t="s">
        <v>7724</v>
      </c>
      <c r="AL95" s="1013" t="s">
        <v>7724</v>
      </c>
      <c r="AM95" s="1013">
        <v>1</v>
      </c>
      <c r="AN95" s="1013">
        <v>1200</v>
      </c>
      <c r="AO95" s="1013" t="s">
        <v>7724</v>
      </c>
      <c r="AP95" s="1013" t="s">
        <v>7757</v>
      </c>
      <c r="AQ95" s="1013" t="s">
        <v>7724</v>
      </c>
      <c r="AR95" s="1013" t="s">
        <v>7724</v>
      </c>
      <c r="AS95" s="1013" t="s">
        <v>7724</v>
      </c>
      <c r="AT95" s="1013" t="s">
        <v>7724</v>
      </c>
      <c r="AU95" s="1013" t="s">
        <v>7724</v>
      </c>
      <c r="AV95" s="1013" t="s">
        <v>7724</v>
      </c>
      <c r="AW95" s="1013" t="s">
        <v>7724</v>
      </c>
      <c r="AX95" s="1013">
        <v>11</v>
      </c>
      <c r="AY95" s="1013">
        <v>1</v>
      </c>
      <c r="AZ95" s="1013">
        <v>2</v>
      </c>
      <c r="BA95" s="1013">
        <v>4</v>
      </c>
      <c r="BB95" s="1013">
        <v>1</v>
      </c>
      <c r="BC95" s="1013">
        <v>1</v>
      </c>
      <c r="BD95" s="1013">
        <v>5</v>
      </c>
      <c r="BE95" s="1023">
        <v>0.80069444444444449</v>
      </c>
      <c r="BF95" s="1013" t="s">
        <v>7736</v>
      </c>
      <c r="BG95" s="1023">
        <v>0.80277777777777781</v>
      </c>
      <c r="BH95" s="1024">
        <v>44833</v>
      </c>
      <c r="BI95" s="1013" t="s">
        <v>7727</v>
      </c>
      <c r="BJ95" s="1013" t="s">
        <v>7730</v>
      </c>
      <c r="BK95" s="1013">
        <v>2469</v>
      </c>
      <c r="BL95" s="1013" t="s">
        <v>7724</v>
      </c>
      <c r="BM95" s="1013" t="s">
        <v>7724</v>
      </c>
      <c r="BN95" s="1013">
        <v>113</v>
      </c>
      <c r="BO95" s="1013">
        <v>8</v>
      </c>
      <c r="BP95" s="1013">
        <v>2</v>
      </c>
      <c r="BQ95" s="1013">
        <v>1</v>
      </c>
      <c r="BR95" s="1013">
        <v>23</v>
      </c>
      <c r="BS95" s="1013">
        <v>64</v>
      </c>
      <c r="BT95" s="1013">
        <v>54</v>
      </c>
      <c r="BU95" s="1013">
        <v>1</v>
      </c>
      <c r="BV95" s="1013">
        <v>5</v>
      </c>
      <c r="BW95" s="1013">
        <v>1</v>
      </c>
      <c r="BX95" s="1013">
        <v>21</v>
      </c>
      <c r="BY95" s="1013">
        <v>21</v>
      </c>
      <c r="BZ95" s="1013">
        <v>101</v>
      </c>
      <c r="CA95" s="1013">
        <v>208</v>
      </c>
      <c r="CB95" s="1013">
        <v>29.731224999999998</v>
      </c>
      <c r="CC95" s="1013">
        <v>-95.382762999999997</v>
      </c>
      <c r="CD95" s="1013" t="s">
        <v>7724</v>
      </c>
      <c r="CE95" s="1013" t="s">
        <v>7724</v>
      </c>
      <c r="CF95" s="1013" t="s">
        <v>7724</v>
      </c>
      <c r="CG95" s="1013" t="s">
        <v>7724</v>
      </c>
      <c r="CH95" s="1013" t="s">
        <v>7732</v>
      </c>
      <c r="CI95" s="1013">
        <v>4701</v>
      </c>
      <c r="CJ95" s="1013" t="s">
        <v>7724</v>
      </c>
      <c r="CK95" s="1013" t="s">
        <v>7724</v>
      </c>
      <c r="CL95" s="1013" t="s">
        <v>7724</v>
      </c>
      <c r="CM95" s="1013" t="s">
        <v>7724</v>
      </c>
      <c r="CN95" s="1013" t="s">
        <v>7724</v>
      </c>
      <c r="CO95" s="1013" t="s">
        <v>7724</v>
      </c>
      <c r="CP95" s="1013" t="s">
        <v>7724</v>
      </c>
      <c r="CQ95" s="1013" t="s">
        <v>7724</v>
      </c>
      <c r="CR95" s="1013" t="s">
        <v>7758</v>
      </c>
      <c r="CS95" s="1013" t="s">
        <v>7724</v>
      </c>
      <c r="CT95" s="1013" t="s">
        <v>7724</v>
      </c>
      <c r="CU95" s="1013" t="s">
        <v>7724</v>
      </c>
      <c r="CV95" s="1013" t="s">
        <v>7724</v>
      </c>
      <c r="CW95" s="1013" t="s">
        <v>7727</v>
      </c>
      <c r="CX95" s="1013" t="s">
        <v>7723</v>
      </c>
      <c r="CY95" s="1013" t="s">
        <v>7723</v>
      </c>
      <c r="CZ95" s="1013">
        <v>5</v>
      </c>
      <c r="DA95" s="1013">
        <v>9</v>
      </c>
      <c r="DB95" s="1013" t="s">
        <v>7727</v>
      </c>
      <c r="DC95" s="1013" t="s">
        <v>7740</v>
      </c>
      <c r="DD95" s="1013" t="s">
        <v>7724</v>
      </c>
      <c r="DE95" s="1013" t="s">
        <v>7724</v>
      </c>
      <c r="DF95" s="1013" t="s">
        <v>7724</v>
      </c>
      <c r="DG95" s="1013" t="s">
        <v>7724</v>
      </c>
      <c r="DH95" s="1013" t="s">
        <v>7724</v>
      </c>
      <c r="DI95" s="1013" t="s">
        <v>7724</v>
      </c>
      <c r="DJ95" s="1013" t="s">
        <v>7724</v>
      </c>
      <c r="DK95" s="1013" t="s">
        <v>7724</v>
      </c>
      <c r="DL95" s="1013" t="s">
        <v>7724</v>
      </c>
      <c r="DM95" s="1013" t="s">
        <v>7724</v>
      </c>
      <c r="DN95" s="1013" t="s">
        <v>7724</v>
      </c>
      <c r="DO95" s="1013" t="s">
        <v>7724</v>
      </c>
      <c r="DP95" s="1013" t="s">
        <v>7724</v>
      </c>
      <c r="DQ95" s="1013" t="s">
        <v>7724</v>
      </c>
      <c r="DR95" s="1013" t="s">
        <v>7724</v>
      </c>
      <c r="DS95" s="1013" t="s">
        <v>7724</v>
      </c>
      <c r="DT95" s="1013" t="s">
        <v>7724</v>
      </c>
      <c r="DU95" s="1013" t="s">
        <v>7724</v>
      </c>
      <c r="DV95" s="1013" t="s">
        <v>7724</v>
      </c>
      <c r="DW95" s="1013" t="s">
        <v>7724</v>
      </c>
      <c r="DX95" s="1013" t="s">
        <v>7724</v>
      </c>
      <c r="DY95" s="1013" t="s">
        <v>7724</v>
      </c>
      <c r="DZ95" s="1013" t="s">
        <v>7724</v>
      </c>
      <c r="EA95" s="1013" t="s">
        <v>7724</v>
      </c>
      <c r="EB95" s="1013" t="s">
        <v>7724</v>
      </c>
      <c r="EC95" s="1013" t="s">
        <v>7724</v>
      </c>
      <c r="ED95" s="1013" t="s">
        <v>7724</v>
      </c>
      <c r="EE95" s="1013" t="s">
        <v>7724</v>
      </c>
      <c r="EF95" s="1013" t="s">
        <v>7724</v>
      </c>
      <c r="EG95" s="1013" t="s">
        <v>7724</v>
      </c>
      <c r="EH95" s="1013" t="s">
        <v>7724</v>
      </c>
      <c r="EI95" s="1013" t="s">
        <v>7724</v>
      </c>
      <c r="EJ95" s="1013" t="s">
        <v>7724</v>
      </c>
      <c r="EK95" s="1013" t="s">
        <v>7724</v>
      </c>
      <c r="EL95" s="1013" t="s">
        <v>7724</v>
      </c>
      <c r="EM95" s="1013" t="s">
        <v>7724</v>
      </c>
      <c r="EN95" s="1013" t="s">
        <v>7724</v>
      </c>
      <c r="EO95" s="1013" t="s">
        <v>7724</v>
      </c>
      <c r="EP95" s="1013" t="s">
        <v>7724</v>
      </c>
      <c r="EQ95" s="1013" t="s">
        <v>7724</v>
      </c>
      <c r="ER95" s="1013" t="s">
        <v>7724</v>
      </c>
      <c r="ES95" s="1013" t="s">
        <v>7724</v>
      </c>
      <c r="ET95" s="1013" t="s">
        <v>7724</v>
      </c>
      <c r="EU95" s="1013" t="s">
        <v>7724</v>
      </c>
      <c r="EV95" s="1013" t="s">
        <v>7724</v>
      </c>
      <c r="EW95" s="1013" t="s">
        <v>7724</v>
      </c>
      <c r="EX95" s="1013" t="s">
        <v>7724</v>
      </c>
      <c r="EY95" s="1013" t="s">
        <v>7724</v>
      </c>
      <c r="EZ95" s="1013" t="s">
        <v>7724</v>
      </c>
      <c r="FA95" s="1013" t="s">
        <v>7724</v>
      </c>
      <c r="FB95" s="1013" t="s">
        <v>7724</v>
      </c>
      <c r="FC95" s="1013" t="s">
        <v>7724</v>
      </c>
      <c r="FD95" s="1013" t="s">
        <v>7724</v>
      </c>
      <c r="FE95" s="1013" t="s">
        <v>7724</v>
      </c>
      <c r="FF95" s="1013" t="s">
        <v>7724</v>
      </c>
      <c r="FG95" s="1013">
        <v>0</v>
      </c>
      <c r="FH95" s="1013">
        <v>0</v>
      </c>
      <c r="FI95" s="1013">
        <v>0</v>
      </c>
      <c r="FJ95" s="1013">
        <v>3</v>
      </c>
      <c r="FK95" s="1013">
        <v>0</v>
      </c>
      <c r="FL95" s="1013">
        <v>0</v>
      </c>
      <c r="FM95" s="1013">
        <v>0</v>
      </c>
      <c r="FN95" s="1013">
        <v>15</v>
      </c>
      <c r="FO95" s="1013">
        <v>29</v>
      </c>
      <c r="FP95" s="1013">
        <v>9</v>
      </c>
      <c r="FQ95" s="1013" t="s">
        <v>7724</v>
      </c>
      <c r="FR95" s="1013" t="s">
        <v>7724</v>
      </c>
      <c r="FS95" s="1013" t="s">
        <v>7724</v>
      </c>
      <c r="FT95" s="1013" t="s">
        <v>7724</v>
      </c>
      <c r="FU95" s="1013" t="s">
        <v>7724</v>
      </c>
      <c r="FV95" s="1013" t="s">
        <v>7724</v>
      </c>
      <c r="FW95" s="1013" t="s">
        <v>7724</v>
      </c>
      <c r="FX95" s="1013" t="s">
        <v>7724</v>
      </c>
      <c r="FY95" s="1013" t="s">
        <v>7724</v>
      </c>
      <c r="FZ95" s="1013" t="s">
        <v>7724</v>
      </c>
      <c r="GA95" s="1013" t="s">
        <v>7724</v>
      </c>
      <c r="GB95" s="1013" t="s">
        <v>7724</v>
      </c>
      <c r="GC95" s="1013">
        <v>2022</v>
      </c>
      <c r="GD95" s="1013" t="s">
        <v>1404</v>
      </c>
      <c r="GE95" s="1013">
        <v>2</v>
      </c>
      <c r="GF95" s="1013" t="s">
        <v>1407</v>
      </c>
      <c r="GG95" s="1013" t="s">
        <v>1407</v>
      </c>
      <c r="GH95" s="1013" t="s">
        <v>7973</v>
      </c>
      <c r="GI95" s="1013" t="s">
        <v>7974</v>
      </c>
      <c r="GJ95" s="1013" t="s">
        <v>7974</v>
      </c>
      <c r="GK95" s="1013" t="s">
        <v>7974</v>
      </c>
      <c r="GL95" s="1013" t="s">
        <v>7974</v>
      </c>
    </row>
    <row r="96" spans="1:194" hidden="1">
      <c r="A96" s="1013">
        <v>41</v>
      </c>
      <c r="B96" s="1013" t="s">
        <v>7722</v>
      </c>
      <c r="C96" s="1013">
        <v>17538792</v>
      </c>
      <c r="D96" s="1013" t="s">
        <v>7723</v>
      </c>
      <c r="E96" s="1013" t="s">
        <v>7723</v>
      </c>
      <c r="F96" s="1013" t="s">
        <v>7723</v>
      </c>
      <c r="G96" s="1013" t="s">
        <v>7723</v>
      </c>
      <c r="H96" s="1013" t="s">
        <v>7723</v>
      </c>
      <c r="I96" s="1013" t="s">
        <v>7723</v>
      </c>
      <c r="J96" s="1013" t="s">
        <v>7723</v>
      </c>
      <c r="K96" s="1024">
        <v>43858</v>
      </c>
      <c r="L96" s="1023">
        <v>0.51041666666666663</v>
      </c>
      <c r="M96" s="1013" t="s">
        <v>7821</v>
      </c>
      <c r="N96" s="1013" t="s">
        <v>7724</v>
      </c>
      <c r="O96" s="1013">
        <v>101</v>
      </c>
      <c r="P96" s="1013">
        <v>208</v>
      </c>
      <c r="Q96" s="1013" t="s">
        <v>7723</v>
      </c>
      <c r="R96" s="1013" t="s">
        <v>7727</v>
      </c>
      <c r="S96" s="1013" t="s">
        <v>7724</v>
      </c>
      <c r="T96" s="1014" t="s">
        <v>7724</v>
      </c>
      <c r="U96" s="1014">
        <v>19</v>
      </c>
      <c r="V96" s="1014" t="s">
        <v>7724</v>
      </c>
      <c r="W96" s="1014" t="s">
        <v>7724</v>
      </c>
      <c r="X96" s="1013">
        <v>1</v>
      </c>
      <c r="Y96" s="1013">
        <v>4600</v>
      </c>
      <c r="Z96" s="1013" t="s">
        <v>7724</v>
      </c>
      <c r="AA96" s="1013" t="s">
        <v>7728</v>
      </c>
      <c r="AB96" s="1013" t="s">
        <v>7726</v>
      </c>
      <c r="AC96" s="1013" t="s">
        <v>7723</v>
      </c>
      <c r="AD96" s="1013" t="s">
        <v>7723</v>
      </c>
      <c r="AE96" s="1013">
        <v>35</v>
      </c>
      <c r="AF96" s="1013" t="s">
        <v>7723</v>
      </c>
      <c r="AG96" s="1013" t="s">
        <v>7723</v>
      </c>
      <c r="AH96" s="1013" t="s">
        <v>7822</v>
      </c>
      <c r="AI96" s="1013" t="s">
        <v>7727</v>
      </c>
      <c r="AJ96" s="1013">
        <v>19</v>
      </c>
      <c r="AK96" s="1013" t="s">
        <v>7724</v>
      </c>
      <c r="AL96" s="1013" t="s">
        <v>7724</v>
      </c>
      <c r="AM96" s="1013">
        <v>1</v>
      </c>
      <c r="AN96" s="1013">
        <v>1200</v>
      </c>
      <c r="AO96" s="1013" t="s">
        <v>7724</v>
      </c>
      <c r="AP96" s="1013" t="s">
        <v>7757</v>
      </c>
      <c r="AQ96" s="1013" t="s">
        <v>7726</v>
      </c>
      <c r="AR96" s="1013" t="s">
        <v>7724</v>
      </c>
      <c r="AS96" s="1013" t="s">
        <v>7724</v>
      </c>
      <c r="AT96" s="1013" t="s">
        <v>7724</v>
      </c>
      <c r="AU96" s="1013" t="s">
        <v>7724</v>
      </c>
      <c r="AV96" s="1013" t="s">
        <v>7724</v>
      </c>
      <c r="AW96" s="1013" t="s">
        <v>7724</v>
      </c>
      <c r="AX96" s="1013">
        <v>2</v>
      </c>
      <c r="AY96" s="1013">
        <v>1</v>
      </c>
      <c r="AZ96" s="1013">
        <v>0</v>
      </c>
      <c r="BA96" s="1013">
        <v>98</v>
      </c>
      <c r="BB96" s="1013">
        <v>1</v>
      </c>
      <c r="BC96" s="1013">
        <v>2</v>
      </c>
      <c r="BD96" s="1013">
        <v>5</v>
      </c>
      <c r="BE96" s="1023">
        <v>0.51041666666666663</v>
      </c>
      <c r="BF96" s="1013" t="s">
        <v>7794</v>
      </c>
      <c r="BG96" s="1023">
        <v>0.51041666666666663</v>
      </c>
      <c r="BH96" s="1024">
        <v>43858</v>
      </c>
      <c r="BI96" s="1013" t="s">
        <v>7727</v>
      </c>
      <c r="BJ96" s="1013" t="s">
        <v>7730</v>
      </c>
      <c r="BK96" s="1013">
        <v>2469</v>
      </c>
      <c r="BL96" s="1013" t="s">
        <v>7724</v>
      </c>
      <c r="BM96" s="1013" t="s">
        <v>7724</v>
      </c>
      <c r="BN96" s="1013">
        <v>113</v>
      </c>
      <c r="BO96" s="1013">
        <v>8</v>
      </c>
      <c r="BP96" s="1013">
        <v>2</v>
      </c>
      <c r="BQ96" s="1013">
        <v>1</v>
      </c>
      <c r="BR96" s="1013">
        <v>24</v>
      </c>
      <c r="BS96" s="1013">
        <v>29</v>
      </c>
      <c r="BT96" s="1013">
        <v>54</v>
      </c>
      <c r="BU96" s="1013">
        <v>1</v>
      </c>
      <c r="BV96" s="1013">
        <v>5</v>
      </c>
      <c r="BW96" s="1013">
        <v>1</v>
      </c>
      <c r="BX96" s="1013">
        <v>21</v>
      </c>
      <c r="BY96" s="1013">
        <v>21</v>
      </c>
      <c r="BZ96" s="1013">
        <v>101</v>
      </c>
      <c r="CA96" s="1013">
        <v>208</v>
      </c>
      <c r="CB96" s="1013">
        <v>29.731224999999998</v>
      </c>
      <c r="CC96" s="1013">
        <v>-95.382762999999997</v>
      </c>
      <c r="CD96" s="1013" t="s">
        <v>7724</v>
      </c>
      <c r="CE96" s="1013" t="s">
        <v>7724</v>
      </c>
      <c r="CF96" s="1013" t="s">
        <v>7724</v>
      </c>
      <c r="CG96" s="1013" t="s">
        <v>7724</v>
      </c>
      <c r="CH96" s="1013" t="s">
        <v>7732</v>
      </c>
      <c r="CI96" s="1013">
        <v>4701</v>
      </c>
      <c r="CJ96" s="1013" t="s">
        <v>7724</v>
      </c>
      <c r="CK96" s="1013" t="s">
        <v>7724</v>
      </c>
      <c r="CL96" s="1013" t="s">
        <v>7724</v>
      </c>
      <c r="CM96" s="1013" t="s">
        <v>7724</v>
      </c>
      <c r="CN96" s="1013" t="s">
        <v>7724</v>
      </c>
      <c r="CO96" s="1013" t="s">
        <v>7724</v>
      </c>
      <c r="CP96" s="1013" t="s">
        <v>7724</v>
      </c>
      <c r="CQ96" s="1013" t="s">
        <v>7724</v>
      </c>
      <c r="CR96" s="1013" t="s">
        <v>7758</v>
      </c>
      <c r="CS96" s="1013" t="s">
        <v>7724</v>
      </c>
      <c r="CT96" s="1013" t="s">
        <v>7724</v>
      </c>
      <c r="CU96" s="1013" t="s">
        <v>7724</v>
      </c>
      <c r="CV96" s="1013" t="s">
        <v>7724</v>
      </c>
      <c r="CW96" s="1013" t="s">
        <v>7727</v>
      </c>
      <c r="CX96" s="1013" t="s">
        <v>7723</v>
      </c>
      <c r="CY96" s="1013" t="s">
        <v>7723</v>
      </c>
      <c r="CZ96" s="1013">
        <v>3</v>
      </c>
      <c r="DA96" s="1013">
        <v>9</v>
      </c>
      <c r="DB96" s="1013" t="s">
        <v>7727</v>
      </c>
      <c r="DC96" s="1013" t="s">
        <v>7737</v>
      </c>
      <c r="DD96" s="1013" t="s">
        <v>7724</v>
      </c>
      <c r="DE96" s="1013" t="s">
        <v>7724</v>
      </c>
      <c r="DF96" s="1013" t="s">
        <v>7724</v>
      </c>
      <c r="DG96" s="1013" t="s">
        <v>7724</v>
      </c>
      <c r="DH96" s="1013" t="s">
        <v>7724</v>
      </c>
      <c r="DI96" s="1013" t="s">
        <v>7724</v>
      </c>
      <c r="DJ96" s="1013" t="s">
        <v>7724</v>
      </c>
      <c r="DK96" s="1013" t="s">
        <v>7724</v>
      </c>
      <c r="DL96" s="1013" t="s">
        <v>7724</v>
      </c>
      <c r="DM96" s="1013" t="s">
        <v>7724</v>
      </c>
      <c r="DN96" s="1013" t="s">
        <v>7724</v>
      </c>
      <c r="DO96" s="1013" t="s">
        <v>7724</v>
      </c>
      <c r="DP96" s="1013" t="s">
        <v>7724</v>
      </c>
      <c r="DQ96" s="1013" t="s">
        <v>7724</v>
      </c>
      <c r="DR96" s="1013" t="s">
        <v>7724</v>
      </c>
      <c r="DS96" s="1013" t="s">
        <v>7724</v>
      </c>
      <c r="DT96" s="1013" t="s">
        <v>7724</v>
      </c>
      <c r="DU96" s="1013" t="s">
        <v>7724</v>
      </c>
      <c r="DV96" s="1013" t="s">
        <v>7724</v>
      </c>
      <c r="DW96" s="1013" t="s">
        <v>7724</v>
      </c>
      <c r="DX96" s="1013" t="s">
        <v>7724</v>
      </c>
      <c r="DY96" s="1013" t="s">
        <v>7724</v>
      </c>
      <c r="DZ96" s="1013" t="s">
        <v>7724</v>
      </c>
      <c r="EA96" s="1013" t="s">
        <v>7724</v>
      </c>
      <c r="EB96" s="1013" t="s">
        <v>7724</v>
      </c>
      <c r="EC96" s="1013" t="s">
        <v>7724</v>
      </c>
      <c r="ED96" s="1013" t="s">
        <v>7724</v>
      </c>
      <c r="EE96" s="1013" t="s">
        <v>7724</v>
      </c>
      <c r="EF96" s="1013" t="s">
        <v>7724</v>
      </c>
      <c r="EG96" s="1013" t="s">
        <v>7724</v>
      </c>
      <c r="EH96" s="1013" t="s">
        <v>7724</v>
      </c>
      <c r="EI96" s="1013" t="s">
        <v>7724</v>
      </c>
      <c r="EJ96" s="1013" t="s">
        <v>7724</v>
      </c>
      <c r="EK96" s="1013" t="s">
        <v>7724</v>
      </c>
      <c r="EL96" s="1013" t="s">
        <v>7724</v>
      </c>
      <c r="EM96" s="1013" t="s">
        <v>7724</v>
      </c>
      <c r="EN96" s="1013" t="s">
        <v>7724</v>
      </c>
      <c r="EO96" s="1013" t="s">
        <v>7724</v>
      </c>
      <c r="EP96" s="1013" t="s">
        <v>7724</v>
      </c>
      <c r="EQ96" s="1013" t="s">
        <v>7724</v>
      </c>
      <c r="ER96" s="1013" t="s">
        <v>7724</v>
      </c>
      <c r="ES96" s="1013" t="s">
        <v>7724</v>
      </c>
      <c r="ET96" s="1013" t="s">
        <v>7724</v>
      </c>
      <c r="EU96" s="1013" t="s">
        <v>7724</v>
      </c>
      <c r="EV96" s="1013" t="s">
        <v>7724</v>
      </c>
      <c r="EW96" s="1013" t="s">
        <v>7724</v>
      </c>
      <c r="EX96" s="1013" t="s">
        <v>7724</v>
      </c>
      <c r="EY96" s="1013" t="s">
        <v>7724</v>
      </c>
      <c r="EZ96" s="1013" t="s">
        <v>7724</v>
      </c>
      <c r="FA96" s="1013" t="s">
        <v>7724</v>
      </c>
      <c r="FB96" s="1013" t="s">
        <v>7724</v>
      </c>
      <c r="FC96" s="1013" t="s">
        <v>7724</v>
      </c>
      <c r="FD96" s="1013" t="s">
        <v>7724</v>
      </c>
      <c r="FE96" s="1013" t="s">
        <v>7724</v>
      </c>
      <c r="FF96" s="1013" t="s">
        <v>7724</v>
      </c>
      <c r="FG96" s="1013">
        <v>0</v>
      </c>
      <c r="FH96" s="1013">
        <v>0</v>
      </c>
      <c r="FI96" s="1013">
        <v>1</v>
      </c>
      <c r="FJ96" s="1013">
        <v>1</v>
      </c>
      <c r="FK96" s="1013">
        <v>0</v>
      </c>
      <c r="FL96" s="1013">
        <v>1</v>
      </c>
      <c r="FM96" s="1013">
        <v>0</v>
      </c>
      <c r="FN96" s="1013">
        <v>15</v>
      </c>
      <c r="FO96" s="1013">
        <v>29</v>
      </c>
      <c r="FP96" s="1013">
        <v>9</v>
      </c>
      <c r="FQ96" s="1013" t="s">
        <v>7724</v>
      </c>
      <c r="FR96" s="1013" t="s">
        <v>7724</v>
      </c>
      <c r="FS96" s="1013" t="s">
        <v>7724</v>
      </c>
      <c r="FT96" s="1013" t="s">
        <v>7724</v>
      </c>
      <c r="FU96" s="1013" t="s">
        <v>7724</v>
      </c>
      <c r="FV96" s="1013" t="s">
        <v>7724</v>
      </c>
      <c r="FW96" s="1013" t="s">
        <v>7724</v>
      </c>
      <c r="FX96" s="1013" t="s">
        <v>7724</v>
      </c>
      <c r="FY96" s="1013" t="s">
        <v>7724</v>
      </c>
      <c r="FZ96" s="1013" t="s">
        <v>7724</v>
      </c>
      <c r="GA96" s="1013" t="s">
        <v>7724</v>
      </c>
      <c r="GB96" s="1013" t="s">
        <v>7724</v>
      </c>
      <c r="GC96" s="1013">
        <v>2020</v>
      </c>
      <c r="GD96" s="1013" t="s">
        <v>1407</v>
      </c>
      <c r="GE96" s="1013">
        <v>2</v>
      </c>
      <c r="GF96" s="1013" t="s">
        <v>1407</v>
      </c>
      <c r="GG96" s="1013" t="s">
        <v>1407</v>
      </c>
      <c r="GH96" s="1013" t="s">
        <v>7978</v>
      </c>
      <c r="GI96" s="1013" t="s">
        <v>7974</v>
      </c>
      <c r="GJ96" s="1013" t="s">
        <v>7974</v>
      </c>
      <c r="GK96" s="1013" t="s">
        <v>7974</v>
      </c>
      <c r="GL96" s="1013" t="s">
        <v>7974</v>
      </c>
    </row>
    <row r="97" spans="1:194" hidden="1">
      <c r="A97" s="1013">
        <v>44</v>
      </c>
      <c r="B97" s="1013" t="s">
        <v>7722</v>
      </c>
      <c r="C97" s="1013">
        <v>17587079</v>
      </c>
      <c r="D97" s="1013" t="s">
        <v>7723</v>
      </c>
      <c r="E97" s="1013" t="s">
        <v>7723</v>
      </c>
      <c r="F97" s="1013" t="s">
        <v>7723</v>
      </c>
      <c r="G97" s="1013" t="s">
        <v>7723</v>
      </c>
      <c r="H97" s="1013" t="s">
        <v>7723</v>
      </c>
      <c r="I97" s="1013" t="s">
        <v>7723</v>
      </c>
      <c r="J97" s="1013" t="s">
        <v>7723</v>
      </c>
      <c r="K97" s="1024">
        <v>43884</v>
      </c>
      <c r="L97" s="1023">
        <v>0.60902777777777772</v>
      </c>
      <c r="M97" s="1013" t="s">
        <v>7824</v>
      </c>
      <c r="N97" s="1013" t="s">
        <v>7724</v>
      </c>
      <c r="O97" s="1013">
        <v>101</v>
      </c>
      <c r="P97" s="1013">
        <v>208</v>
      </c>
      <c r="Q97" s="1013" t="s">
        <v>7723</v>
      </c>
      <c r="R97" s="1013" t="s">
        <v>7727</v>
      </c>
      <c r="S97" s="1013" t="s">
        <v>7724</v>
      </c>
      <c r="T97" s="1014" t="s">
        <v>7724</v>
      </c>
      <c r="U97" s="1014">
        <v>19</v>
      </c>
      <c r="V97" s="1014" t="s">
        <v>7724</v>
      </c>
      <c r="W97" s="1014" t="s">
        <v>7724</v>
      </c>
      <c r="X97" s="1013">
        <v>1</v>
      </c>
      <c r="Y97" s="1013">
        <v>4700</v>
      </c>
      <c r="Z97" s="1013" t="s">
        <v>7724</v>
      </c>
      <c r="AA97" s="1013" t="s">
        <v>7728</v>
      </c>
      <c r="AB97" s="1013" t="s">
        <v>7724</v>
      </c>
      <c r="AC97" s="1013" t="s">
        <v>7723</v>
      </c>
      <c r="AD97" s="1013" t="s">
        <v>7723</v>
      </c>
      <c r="AE97" s="1013">
        <v>30</v>
      </c>
      <c r="AF97" s="1013" t="s">
        <v>7723</v>
      </c>
      <c r="AG97" s="1013" t="s">
        <v>7723</v>
      </c>
      <c r="AH97" s="1013" t="s">
        <v>7724</v>
      </c>
      <c r="AI97" s="1013" t="s">
        <v>7727</v>
      </c>
      <c r="AJ97" s="1013">
        <v>19</v>
      </c>
      <c r="AK97" s="1013" t="s">
        <v>7724</v>
      </c>
      <c r="AL97" s="1013" t="s">
        <v>7724</v>
      </c>
      <c r="AM97" s="1013">
        <v>1</v>
      </c>
      <c r="AN97" s="1013">
        <v>1200</v>
      </c>
      <c r="AO97" s="1013" t="s">
        <v>7724</v>
      </c>
      <c r="AP97" s="1013" t="s">
        <v>7757</v>
      </c>
      <c r="AQ97" s="1013" t="s">
        <v>7726</v>
      </c>
      <c r="AR97" s="1013" t="s">
        <v>7724</v>
      </c>
      <c r="AS97" s="1013" t="s">
        <v>7724</v>
      </c>
      <c r="AT97" s="1013" t="s">
        <v>7724</v>
      </c>
      <c r="AU97" s="1013" t="s">
        <v>7724</v>
      </c>
      <c r="AV97" s="1013" t="s">
        <v>7724</v>
      </c>
      <c r="AW97" s="1013" t="s">
        <v>7724</v>
      </c>
      <c r="AX97" s="1013">
        <v>12</v>
      </c>
      <c r="AY97" s="1013">
        <v>1</v>
      </c>
      <c r="AZ97" s="1013">
        <v>0</v>
      </c>
      <c r="BA97" s="1013">
        <v>2</v>
      </c>
      <c r="BB97" s="1013">
        <v>1</v>
      </c>
      <c r="BC97" s="1013">
        <v>1</v>
      </c>
      <c r="BD97" s="1013">
        <v>5</v>
      </c>
      <c r="BE97" s="1023">
        <v>0.60902777777777772</v>
      </c>
      <c r="BF97" s="1013" t="s">
        <v>7736</v>
      </c>
      <c r="BG97" s="1023">
        <v>0.6118055555555556</v>
      </c>
      <c r="BH97" s="1024">
        <v>43884</v>
      </c>
      <c r="BI97" s="1013" t="s">
        <v>7727</v>
      </c>
      <c r="BJ97" s="1013" t="s">
        <v>7730</v>
      </c>
      <c r="BK97" s="1013">
        <v>2469</v>
      </c>
      <c r="BL97" s="1013" t="s">
        <v>7724</v>
      </c>
      <c r="BM97" s="1013" t="s">
        <v>7724</v>
      </c>
      <c r="BN97" s="1013">
        <v>113</v>
      </c>
      <c r="BO97" s="1013">
        <v>8</v>
      </c>
      <c r="BP97" s="1013">
        <v>2</v>
      </c>
      <c r="BQ97" s="1013">
        <v>1</v>
      </c>
      <c r="BR97" s="1013">
        <v>10</v>
      </c>
      <c r="BS97" s="1013">
        <v>64</v>
      </c>
      <c r="BT97" s="1013">
        <v>54</v>
      </c>
      <c r="BU97" s="1013">
        <v>1</v>
      </c>
      <c r="BV97" s="1013">
        <v>5</v>
      </c>
      <c r="BW97" s="1013">
        <v>1</v>
      </c>
      <c r="BX97" s="1013">
        <v>21</v>
      </c>
      <c r="BY97" s="1013">
        <v>21</v>
      </c>
      <c r="BZ97" s="1013">
        <v>101</v>
      </c>
      <c r="CA97" s="1013">
        <v>208</v>
      </c>
      <c r="CB97" s="1013">
        <v>29.731224999999998</v>
      </c>
      <c r="CC97" s="1013">
        <v>-95.382762999999997</v>
      </c>
      <c r="CD97" s="1013" t="s">
        <v>7724</v>
      </c>
      <c r="CE97" s="1013" t="s">
        <v>7724</v>
      </c>
      <c r="CF97" s="1013" t="s">
        <v>7724</v>
      </c>
      <c r="CG97" s="1013" t="s">
        <v>7724</v>
      </c>
      <c r="CH97" s="1013" t="s">
        <v>7732</v>
      </c>
      <c r="CI97" s="1013">
        <v>4701</v>
      </c>
      <c r="CJ97" s="1013" t="s">
        <v>7724</v>
      </c>
      <c r="CK97" s="1013" t="s">
        <v>7724</v>
      </c>
      <c r="CL97" s="1013" t="s">
        <v>7724</v>
      </c>
      <c r="CM97" s="1013" t="s">
        <v>7724</v>
      </c>
      <c r="CN97" s="1013" t="s">
        <v>7724</v>
      </c>
      <c r="CO97" s="1013" t="s">
        <v>7724</v>
      </c>
      <c r="CP97" s="1013" t="s">
        <v>7724</v>
      </c>
      <c r="CQ97" s="1013" t="s">
        <v>7724</v>
      </c>
      <c r="CR97" s="1013" t="s">
        <v>7758</v>
      </c>
      <c r="CS97" s="1013" t="s">
        <v>7724</v>
      </c>
      <c r="CT97" s="1013" t="s">
        <v>7724</v>
      </c>
      <c r="CU97" s="1013" t="s">
        <v>7724</v>
      </c>
      <c r="CV97" s="1013" t="s">
        <v>7724</v>
      </c>
      <c r="CW97" s="1013" t="s">
        <v>7727</v>
      </c>
      <c r="CX97" s="1013" t="s">
        <v>7723</v>
      </c>
      <c r="CY97" s="1013" t="s">
        <v>7723</v>
      </c>
      <c r="CZ97" s="1013">
        <v>5</v>
      </c>
      <c r="DA97" s="1013">
        <v>9</v>
      </c>
      <c r="DB97" s="1013" t="s">
        <v>7727</v>
      </c>
      <c r="DC97" s="1013" t="s">
        <v>7747</v>
      </c>
      <c r="DD97" s="1013" t="s">
        <v>7724</v>
      </c>
      <c r="DE97" s="1013" t="s">
        <v>7724</v>
      </c>
      <c r="DF97" s="1013" t="s">
        <v>7724</v>
      </c>
      <c r="DG97" s="1013" t="s">
        <v>7724</v>
      </c>
      <c r="DH97" s="1013" t="s">
        <v>7724</v>
      </c>
      <c r="DI97" s="1013" t="s">
        <v>7724</v>
      </c>
      <c r="DJ97" s="1013" t="s">
        <v>7724</v>
      </c>
      <c r="DK97" s="1013" t="s">
        <v>7724</v>
      </c>
      <c r="DL97" s="1013" t="s">
        <v>7724</v>
      </c>
      <c r="DM97" s="1013" t="s">
        <v>7724</v>
      </c>
      <c r="DN97" s="1013" t="s">
        <v>7724</v>
      </c>
      <c r="DO97" s="1013" t="s">
        <v>7724</v>
      </c>
      <c r="DP97" s="1013" t="s">
        <v>7724</v>
      </c>
      <c r="DQ97" s="1013" t="s">
        <v>7724</v>
      </c>
      <c r="DR97" s="1013" t="s">
        <v>7724</v>
      </c>
      <c r="DS97" s="1013" t="s">
        <v>7724</v>
      </c>
      <c r="DT97" s="1013" t="s">
        <v>7724</v>
      </c>
      <c r="DU97" s="1013" t="s">
        <v>7724</v>
      </c>
      <c r="DV97" s="1013" t="s">
        <v>7724</v>
      </c>
      <c r="DW97" s="1013" t="s">
        <v>7724</v>
      </c>
      <c r="DX97" s="1013" t="s">
        <v>7724</v>
      </c>
      <c r="DY97" s="1013" t="s">
        <v>7724</v>
      </c>
      <c r="DZ97" s="1013" t="s">
        <v>7724</v>
      </c>
      <c r="EA97" s="1013" t="s">
        <v>7724</v>
      </c>
      <c r="EB97" s="1013" t="s">
        <v>7724</v>
      </c>
      <c r="EC97" s="1013" t="s">
        <v>7724</v>
      </c>
      <c r="ED97" s="1013" t="s">
        <v>7724</v>
      </c>
      <c r="EE97" s="1013" t="s">
        <v>7724</v>
      </c>
      <c r="EF97" s="1013" t="s">
        <v>7724</v>
      </c>
      <c r="EG97" s="1013" t="s">
        <v>7724</v>
      </c>
      <c r="EH97" s="1013" t="s">
        <v>7724</v>
      </c>
      <c r="EI97" s="1013" t="s">
        <v>7724</v>
      </c>
      <c r="EJ97" s="1013" t="s">
        <v>7724</v>
      </c>
      <c r="EK97" s="1013" t="s">
        <v>7724</v>
      </c>
      <c r="EL97" s="1013" t="s">
        <v>7724</v>
      </c>
      <c r="EM97" s="1013" t="s">
        <v>7724</v>
      </c>
      <c r="EN97" s="1013" t="s">
        <v>7724</v>
      </c>
      <c r="EO97" s="1013" t="s">
        <v>7724</v>
      </c>
      <c r="EP97" s="1013" t="s">
        <v>7724</v>
      </c>
      <c r="EQ97" s="1013" t="s">
        <v>7724</v>
      </c>
      <c r="ER97" s="1013" t="s">
        <v>7724</v>
      </c>
      <c r="ES97" s="1013" t="s">
        <v>7724</v>
      </c>
      <c r="ET97" s="1013" t="s">
        <v>7724</v>
      </c>
      <c r="EU97" s="1013" t="s">
        <v>7724</v>
      </c>
      <c r="EV97" s="1013" t="s">
        <v>7724</v>
      </c>
      <c r="EW97" s="1013" t="s">
        <v>7724</v>
      </c>
      <c r="EX97" s="1013" t="s">
        <v>7724</v>
      </c>
      <c r="EY97" s="1013" t="s">
        <v>7724</v>
      </c>
      <c r="EZ97" s="1013" t="s">
        <v>7724</v>
      </c>
      <c r="FA97" s="1013" t="s">
        <v>7724</v>
      </c>
      <c r="FB97" s="1013" t="s">
        <v>7724</v>
      </c>
      <c r="FC97" s="1013" t="s">
        <v>7724</v>
      </c>
      <c r="FD97" s="1013" t="s">
        <v>7724</v>
      </c>
      <c r="FE97" s="1013" t="s">
        <v>7724</v>
      </c>
      <c r="FF97" s="1013" t="s">
        <v>7724</v>
      </c>
      <c r="FG97" s="1013">
        <v>0</v>
      </c>
      <c r="FH97" s="1013">
        <v>0</v>
      </c>
      <c r="FI97" s="1013">
        <v>0</v>
      </c>
      <c r="FJ97" s="1013">
        <v>3</v>
      </c>
      <c r="FK97" s="1013">
        <v>0</v>
      </c>
      <c r="FL97" s="1013">
        <v>0</v>
      </c>
      <c r="FM97" s="1013">
        <v>0</v>
      </c>
      <c r="FN97" s="1013">
        <v>15</v>
      </c>
      <c r="FO97" s="1013">
        <v>29</v>
      </c>
      <c r="FP97" s="1013">
        <v>9</v>
      </c>
      <c r="FQ97" s="1013" t="s">
        <v>7724</v>
      </c>
      <c r="FR97" s="1013" t="s">
        <v>7724</v>
      </c>
      <c r="FS97" s="1013" t="s">
        <v>7724</v>
      </c>
      <c r="FT97" s="1013" t="s">
        <v>7724</v>
      </c>
      <c r="FU97" s="1013" t="s">
        <v>7724</v>
      </c>
      <c r="FV97" s="1013" t="s">
        <v>7724</v>
      </c>
      <c r="FW97" s="1013" t="s">
        <v>7724</v>
      </c>
      <c r="FX97" s="1013" t="s">
        <v>7724</v>
      </c>
      <c r="FY97" s="1013" t="s">
        <v>7724</v>
      </c>
      <c r="FZ97" s="1013" t="s">
        <v>7724</v>
      </c>
      <c r="GA97" s="1013" t="s">
        <v>7724</v>
      </c>
      <c r="GB97" s="1013" t="s">
        <v>7724</v>
      </c>
      <c r="GC97" s="1013">
        <v>2020</v>
      </c>
      <c r="GD97" s="1013" t="s">
        <v>1404</v>
      </c>
      <c r="GE97" s="1013">
        <v>2</v>
      </c>
      <c r="GF97" s="1013" t="s">
        <v>1407</v>
      </c>
      <c r="GG97" s="1013" t="s">
        <v>1407</v>
      </c>
      <c r="GH97" s="1013" t="s">
        <v>7985</v>
      </c>
      <c r="GI97" s="1013" t="s">
        <v>7974</v>
      </c>
      <c r="GJ97" s="1013" t="s">
        <v>7974</v>
      </c>
      <c r="GK97" s="1013" t="s">
        <v>7974</v>
      </c>
      <c r="GL97" s="1013" t="s">
        <v>7974</v>
      </c>
    </row>
    <row r="98" spans="1:194" hidden="1">
      <c r="A98" s="1013">
        <v>53</v>
      </c>
      <c r="B98" s="1013" t="s">
        <v>7722</v>
      </c>
      <c r="C98" s="1013">
        <v>17749893</v>
      </c>
      <c r="D98" s="1013" t="s">
        <v>7723</v>
      </c>
      <c r="E98" s="1013" t="s">
        <v>7723</v>
      </c>
      <c r="F98" s="1013" t="s">
        <v>7723</v>
      </c>
      <c r="G98" s="1013" t="s">
        <v>7723</v>
      </c>
      <c r="H98" s="1013" t="s">
        <v>7723</v>
      </c>
      <c r="I98" s="1013" t="s">
        <v>7723</v>
      </c>
      <c r="J98" s="1013" t="s">
        <v>7723</v>
      </c>
      <c r="K98" s="1024">
        <v>44008</v>
      </c>
      <c r="L98" s="1023">
        <v>0.45833333333333331</v>
      </c>
      <c r="M98" s="1013" t="s">
        <v>7832</v>
      </c>
      <c r="N98" s="1013" t="s">
        <v>7744</v>
      </c>
      <c r="O98" s="1013">
        <v>101</v>
      </c>
      <c r="P98" s="1013">
        <v>208</v>
      </c>
      <c r="Q98" s="1013" t="s">
        <v>7723</v>
      </c>
      <c r="R98" s="1013" t="s">
        <v>7727</v>
      </c>
      <c r="S98" s="1013" t="s">
        <v>7724</v>
      </c>
      <c r="T98" s="1014" t="s">
        <v>7724</v>
      </c>
      <c r="U98" s="1014">
        <v>19</v>
      </c>
      <c r="V98" s="1014" t="s">
        <v>7724</v>
      </c>
      <c r="W98" s="1014" t="s">
        <v>7724</v>
      </c>
      <c r="X98" s="1013">
        <v>1</v>
      </c>
      <c r="Y98" s="1013">
        <v>4700</v>
      </c>
      <c r="Z98" s="1013" t="s">
        <v>7724</v>
      </c>
      <c r="AA98" s="1013" t="s">
        <v>7728</v>
      </c>
      <c r="AB98" s="1013" t="s">
        <v>7726</v>
      </c>
      <c r="AC98" s="1013" t="s">
        <v>7723</v>
      </c>
      <c r="AD98" s="1013" t="s">
        <v>7723</v>
      </c>
      <c r="AE98" s="1013">
        <v>35</v>
      </c>
      <c r="AF98" s="1013" t="s">
        <v>7723</v>
      </c>
      <c r="AG98" s="1013" t="s">
        <v>7723</v>
      </c>
      <c r="AH98" s="1013" t="s">
        <v>7724</v>
      </c>
      <c r="AI98" s="1013" t="s">
        <v>7727</v>
      </c>
      <c r="AJ98" s="1013">
        <v>19</v>
      </c>
      <c r="AK98" s="1013" t="s">
        <v>7724</v>
      </c>
      <c r="AL98" s="1013" t="s">
        <v>7724</v>
      </c>
      <c r="AM98" s="1013">
        <v>1</v>
      </c>
      <c r="AN98" s="1013" t="s">
        <v>7724</v>
      </c>
      <c r="AO98" s="1013" t="s">
        <v>7724</v>
      </c>
      <c r="AP98" s="1013" t="s">
        <v>7757</v>
      </c>
      <c r="AQ98" s="1013" t="s">
        <v>7726</v>
      </c>
      <c r="AR98" s="1013" t="s">
        <v>7724</v>
      </c>
      <c r="AS98" s="1013" t="s">
        <v>7724</v>
      </c>
      <c r="AT98" s="1013" t="s">
        <v>7724</v>
      </c>
      <c r="AU98" s="1013" t="s">
        <v>7724</v>
      </c>
      <c r="AV98" s="1013" t="s">
        <v>7724</v>
      </c>
      <c r="AW98" s="1013" t="s">
        <v>7724</v>
      </c>
      <c r="AX98" s="1013">
        <v>11</v>
      </c>
      <c r="AY98" s="1013">
        <v>1</v>
      </c>
      <c r="AZ98" s="1013">
        <v>2</v>
      </c>
      <c r="BA98" s="1013">
        <v>4</v>
      </c>
      <c r="BB98" s="1013">
        <v>1</v>
      </c>
      <c r="BC98" s="1013">
        <v>1</v>
      </c>
      <c r="BD98" s="1013">
        <v>5</v>
      </c>
      <c r="BE98" s="1023">
        <v>0.77777777777777779</v>
      </c>
      <c r="BF98" s="1013" t="s">
        <v>7761</v>
      </c>
      <c r="BG98" s="1023">
        <v>0.77777777777777779</v>
      </c>
      <c r="BH98" s="1024">
        <v>44011</v>
      </c>
      <c r="BI98" s="1013" t="s">
        <v>7727</v>
      </c>
      <c r="BJ98" s="1013" t="s">
        <v>7730</v>
      </c>
      <c r="BK98" s="1013">
        <v>2469</v>
      </c>
      <c r="BL98" s="1013" t="s">
        <v>7724</v>
      </c>
      <c r="BM98" s="1013" t="s">
        <v>7724</v>
      </c>
      <c r="BN98" s="1013">
        <v>113</v>
      </c>
      <c r="BO98" s="1013">
        <v>8</v>
      </c>
      <c r="BP98" s="1013">
        <v>2</v>
      </c>
      <c r="BQ98" s="1013">
        <v>2</v>
      </c>
      <c r="BR98" s="1013">
        <v>21</v>
      </c>
      <c r="BS98" s="1013">
        <v>64</v>
      </c>
      <c r="BT98" s="1013">
        <v>54</v>
      </c>
      <c r="BU98" s="1013">
        <v>1</v>
      </c>
      <c r="BV98" s="1013">
        <v>5</v>
      </c>
      <c r="BW98" s="1013">
        <v>1</v>
      </c>
      <c r="BX98" s="1013">
        <v>21</v>
      </c>
      <c r="BY98" s="1013">
        <v>21</v>
      </c>
      <c r="BZ98" s="1013">
        <v>101</v>
      </c>
      <c r="CA98" s="1013">
        <v>208</v>
      </c>
      <c r="CB98" s="1013">
        <v>29.731224999999998</v>
      </c>
      <c r="CC98" s="1013">
        <v>-95.382762999999997</v>
      </c>
      <c r="CD98" s="1013" t="s">
        <v>7724</v>
      </c>
      <c r="CE98" s="1013" t="s">
        <v>7724</v>
      </c>
      <c r="CF98" s="1013" t="s">
        <v>7724</v>
      </c>
      <c r="CG98" s="1013" t="s">
        <v>7724</v>
      </c>
      <c r="CH98" s="1013" t="s">
        <v>7732</v>
      </c>
      <c r="CI98" s="1013">
        <v>4701</v>
      </c>
      <c r="CJ98" s="1013" t="s">
        <v>7724</v>
      </c>
      <c r="CK98" s="1013" t="s">
        <v>7724</v>
      </c>
      <c r="CL98" s="1013" t="s">
        <v>7724</v>
      </c>
      <c r="CM98" s="1013" t="s">
        <v>7724</v>
      </c>
      <c r="CN98" s="1013" t="s">
        <v>7724</v>
      </c>
      <c r="CO98" s="1013" t="s">
        <v>7724</v>
      </c>
      <c r="CP98" s="1013" t="s">
        <v>7724</v>
      </c>
      <c r="CQ98" s="1013" t="s">
        <v>7724</v>
      </c>
      <c r="CR98" s="1013" t="s">
        <v>7758</v>
      </c>
      <c r="CS98" s="1013" t="s">
        <v>7724</v>
      </c>
      <c r="CT98" s="1013" t="s">
        <v>7724</v>
      </c>
      <c r="CU98" s="1013" t="s">
        <v>7724</v>
      </c>
      <c r="CV98" s="1013" t="s">
        <v>7724</v>
      </c>
      <c r="CW98" s="1013" t="s">
        <v>7727</v>
      </c>
      <c r="CX98" s="1013" t="s">
        <v>7723</v>
      </c>
      <c r="CY98" s="1013" t="s">
        <v>7723</v>
      </c>
      <c r="CZ98" s="1013">
        <v>3</v>
      </c>
      <c r="DA98" s="1013">
        <v>9</v>
      </c>
      <c r="DB98" s="1013" t="s">
        <v>7727</v>
      </c>
      <c r="DC98" s="1013" t="s">
        <v>7759</v>
      </c>
      <c r="DD98" s="1013" t="s">
        <v>7724</v>
      </c>
      <c r="DE98" s="1013" t="s">
        <v>7724</v>
      </c>
      <c r="DF98" s="1013" t="s">
        <v>7724</v>
      </c>
      <c r="DG98" s="1013" t="s">
        <v>7724</v>
      </c>
      <c r="DH98" s="1013" t="s">
        <v>7724</v>
      </c>
      <c r="DI98" s="1013" t="s">
        <v>7724</v>
      </c>
      <c r="DJ98" s="1013" t="s">
        <v>7724</v>
      </c>
      <c r="DK98" s="1013" t="s">
        <v>7724</v>
      </c>
      <c r="DL98" s="1013" t="s">
        <v>7724</v>
      </c>
      <c r="DM98" s="1013" t="s">
        <v>7724</v>
      </c>
      <c r="DN98" s="1013" t="s">
        <v>7724</v>
      </c>
      <c r="DO98" s="1013" t="s">
        <v>7724</v>
      </c>
      <c r="DP98" s="1013" t="s">
        <v>7724</v>
      </c>
      <c r="DQ98" s="1013" t="s">
        <v>7724</v>
      </c>
      <c r="DR98" s="1013" t="s">
        <v>7724</v>
      </c>
      <c r="DS98" s="1013" t="s">
        <v>7724</v>
      </c>
      <c r="DT98" s="1013" t="s">
        <v>7724</v>
      </c>
      <c r="DU98" s="1013" t="s">
        <v>7724</v>
      </c>
      <c r="DV98" s="1013" t="s">
        <v>7724</v>
      </c>
      <c r="DW98" s="1013" t="s">
        <v>7724</v>
      </c>
      <c r="DX98" s="1013" t="s">
        <v>7724</v>
      </c>
      <c r="DY98" s="1013" t="s">
        <v>7724</v>
      </c>
      <c r="DZ98" s="1013" t="s">
        <v>7724</v>
      </c>
      <c r="EA98" s="1013" t="s">
        <v>7724</v>
      </c>
      <c r="EB98" s="1013" t="s">
        <v>7724</v>
      </c>
      <c r="EC98" s="1013" t="s">
        <v>7724</v>
      </c>
      <c r="ED98" s="1013" t="s">
        <v>7724</v>
      </c>
      <c r="EE98" s="1013" t="s">
        <v>7724</v>
      </c>
      <c r="EF98" s="1013" t="s">
        <v>7724</v>
      </c>
      <c r="EG98" s="1013" t="s">
        <v>7724</v>
      </c>
      <c r="EH98" s="1013" t="s">
        <v>7724</v>
      </c>
      <c r="EI98" s="1013" t="s">
        <v>7724</v>
      </c>
      <c r="EJ98" s="1013" t="s">
        <v>7724</v>
      </c>
      <c r="EK98" s="1013" t="s">
        <v>7724</v>
      </c>
      <c r="EL98" s="1013" t="s">
        <v>7724</v>
      </c>
      <c r="EM98" s="1013" t="s">
        <v>7724</v>
      </c>
      <c r="EN98" s="1013" t="s">
        <v>7724</v>
      </c>
      <c r="EO98" s="1013" t="s">
        <v>7724</v>
      </c>
      <c r="EP98" s="1013" t="s">
        <v>7724</v>
      </c>
      <c r="EQ98" s="1013" t="s">
        <v>7724</v>
      </c>
      <c r="ER98" s="1013" t="s">
        <v>7724</v>
      </c>
      <c r="ES98" s="1013" t="s">
        <v>7724</v>
      </c>
      <c r="ET98" s="1013" t="s">
        <v>7724</v>
      </c>
      <c r="EU98" s="1013" t="s">
        <v>7724</v>
      </c>
      <c r="EV98" s="1013" t="s">
        <v>7724</v>
      </c>
      <c r="EW98" s="1013" t="s">
        <v>7724</v>
      </c>
      <c r="EX98" s="1013" t="s">
        <v>7724</v>
      </c>
      <c r="EY98" s="1013" t="s">
        <v>7724</v>
      </c>
      <c r="EZ98" s="1013" t="s">
        <v>7724</v>
      </c>
      <c r="FA98" s="1013" t="s">
        <v>7724</v>
      </c>
      <c r="FB98" s="1013" t="s">
        <v>7724</v>
      </c>
      <c r="FC98" s="1013" t="s">
        <v>7724</v>
      </c>
      <c r="FD98" s="1013" t="s">
        <v>7724</v>
      </c>
      <c r="FE98" s="1013" t="s">
        <v>7724</v>
      </c>
      <c r="FF98" s="1013" t="s">
        <v>7724</v>
      </c>
      <c r="FG98" s="1013">
        <v>0</v>
      </c>
      <c r="FH98" s="1013">
        <v>0</v>
      </c>
      <c r="FI98" s="1013">
        <v>1</v>
      </c>
      <c r="FJ98" s="1013">
        <v>0</v>
      </c>
      <c r="FK98" s="1013">
        <v>1</v>
      </c>
      <c r="FL98" s="1013">
        <v>1</v>
      </c>
      <c r="FM98" s="1013">
        <v>0</v>
      </c>
      <c r="FN98" s="1013">
        <v>15</v>
      </c>
      <c r="FO98" s="1013">
        <v>29</v>
      </c>
      <c r="FP98" s="1013">
        <v>9</v>
      </c>
      <c r="FQ98" s="1013" t="s">
        <v>7724</v>
      </c>
      <c r="FR98" s="1013" t="s">
        <v>7724</v>
      </c>
      <c r="FS98" s="1013" t="s">
        <v>7724</v>
      </c>
      <c r="FT98" s="1013" t="s">
        <v>7724</v>
      </c>
      <c r="FU98" s="1013" t="s">
        <v>7724</v>
      </c>
      <c r="FV98" s="1013" t="s">
        <v>7724</v>
      </c>
      <c r="FW98" s="1013" t="s">
        <v>7724</v>
      </c>
      <c r="FX98" s="1013" t="s">
        <v>7724</v>
      </c>
      <c r="FY98" s="1013" t="s">
        <v>7724</v>
      </c>
      <c r="FZ98" s="1013" t="s">
        <v>7724</v>
      </c>
      <c r="GA98" s="1013" t="s">
        <v>7724</v>
      </c>
      <c r="GB98" s="1013" t="s">
        <v>7724</v>
      </c>
      <c r="GC98" s="1013">
        <v>2020</v>
      </c>
      <c r="GD98" s="1013" t="s">
        <v>1407</v>
      </c>
      <c r="GE98" s="1013">
        <v>2</v>
      </c>
      <c r="GF98" s="1013" t="s">
        <v>1407</v>
      </c>
      <c r="GG98" s="1013" t="s">
        <v>1407</v>
      </c>
      <c r="GH98" s="1013" t="s">
        <v>8067</v>
      </c>
      <c r="GI98" s="1013" t="s">
        <v>7974</v>
      </c>
      <c r="GJ98" s="1013" t="s">
        <v>7974</v>
      </c>
      <c r="GK98" s="1013" t="s">
        <v>8076</v>
      </c>
      <c r="GL98" s="1013" t="s">
        <v>7974</v>
      </c>
    </row>
    <row r="99" spans="1:194" hidden="1">
      <c r="A99" s="1013">
        <v>63</v>
      </c>
      <c r="B99" s="1013" t="s">
        <v>7722</v>
      </c>
      <c r="C99" s="1013">
        <v>17906385</v>
      </c>
      <c r="D99" s="1013" t="s">
        <v>7723</v>
      </c>
      <c r="E99" s="1013" t="s">
        <v>7723</v>
      </c>
      <c r="F99" s="1013" t="s">
        <v>7723</v>
      </c>
      <c r="G99" s="1013" t="s">
        <v>7723</v>
      </c>
      <c r="H99" s="1013" t="s">
        <v>7723</v>
      </c>
      <c r="I99" s="1013" t="s">
        <v>7723</v>
      </c>
      <c r="J99" s="1013" t="s">
        <v>7723</v>
      </c>
      <c r="K99" s="1024">
        <v>44112</v>
      </c>
      <c r="L99" s="1023">
        <v>0.61319444444444449</v>
      </c>
      <c r="M99" s="1013" t="s">
        <v>7838</v>
      </c>
      <c r="N99" s="1013" t="s">
        <v>7724</v>
      </c>
      <c r="O99" s="1013">
        <v>101</v>
      </c>
      <c r="P99" s="1013">
        <v>208</v>
      </c>
      <c r="Q99" s="1013" t="s">
        <v>7723</v>
      </c>
      <c r="R99" s="1013" t="s">
        <v>7727</v>
      </c>
      <c r="S99" s="1013" t="s">
        <v>7724</v>
      </c>
      <c r="T99" s="1014" t="s">
        <v>7724</v>
      </c>
      <c r="U99" s="1014">
        <v>19</v>
      </c>
      <c r="V99" s="1014" t="s">
        <v>7724</v>
      </c>
      <c r="W99" s="1014" t="s">
        <v>7724</v>
      </c>
      <c r="X99" s="1013">
        <v>1</v>
      </c>
      <c r="Y99" s="1013">
        <v>4700</v>
      </c>
      <c r="Z99" s="1013" t="s">
        <v>7724</v>
      </c>
      <c r="AA99" s="1013" t="s">
        <v>7728</v>
      </c>
      <c r="AB99" s="1013" t="s">
        <v>7724</v>
      </c>
      <c r="AC99" s="1013" t="s">
        <v>7723</v>
      </c>
      <c r="AD99" s="1013" t="s">
        <v>7723</v>
      </c>
      <c r="AE99" s="1013">
        <v>45</v>
      </c>
      <c r="AF99" s="1013" t="s">
        <v>7723</v>
      </c>
      <c r="AG99" s="1013" t="s">
        <v>7723</v>
      </c>
      <c r="AH99" s="1013" t="s">
        <v>7724</v>
      </c>
      <c r="AI99" s="1013" t="s">
        <v>7727</v>
      </c>
      <c r="AJ99" s="1013">
        <v>19</v>
      </c>
      <c r="AK99" s="1013" t="s">
        <v>7724</v>
      </c>
      <c r="AL99" s="1013" t="s">
        <v>7724</v>
      </c>
      <c r="AM99" s="1013">
        <v>1</v>
      </c>
      <c r="AN99" s="1013">
        <v>1200</v>
      </c>
      <c r="AO99" s="1013" t="s">
        <v>7724</v>
      </c>
      <c r="AP99" s="1013" t="s">
        <v>7757</v>
      </c>
      <c r="AQ99" s="1013" t="s">
        <v>7726</v>
      </c>
      <c r="AR99" s="1013" t="s">
        <v>7724</v>
      </c>
      <c r="AS99" s="1013" t="s">
        <v>7724</v>
      </c>
      <c r="AT99" s="1013" t="s">
        <v>7724</v>
      </c>
      <c r="AU99" s="1013" t="s">
        <v>7724</v>
      </c>
      <c r="AV99" s="1013" t="s">
        <v>7724</v>
      </c>
      <c r="AW99" s="1013" t="s">
        <v>7724</v>
      </c>
      <c r="AX99" s="1013">
        <v>2</v>
      </c>
      <c r="AY99" s="1013">
        <v>1</v>
      </c>
      <c r="AZ99" s="1013">
        <v>6</v>
      </c>
      <c r="BA99" s="1013">
        <v>4</v>
      </c>
      <c r="BB99" s="1013">
        <v>1</v>
      </c>
      <c r="BC99" s="1013">
        <v>2</v>
      </c>
      <c r="BD99" s="1013">
        <v>5</v>
      </c>
      <c r="BE99" s="1023">
        <v>0.61319444444444449</v>
      </c>
      <c r="BF99" s="1013" t="s">
        <v>7736</v>
      </c>
      <c r="BG99" s="1023">
        <v>0.62569444444444444</v>
      </c>
      <c r="BH99" s="1024">
        <v>44112</v>
      </c>
      <c r="BI99" s="1013" t="s">
        <v>7727</v>
      </c>
      <c r="BJ99" s="1013" t="s">
        <v>7730</v>
      </c>
      <c r="BK99" s="1013">
        <v>2469</v>
      </c>
      <c r="BL99" s="1013" t="s">
        <v>7724</v>
      </c>
      <c r="BM99" s="1013" t="s">
        <v>7724</v>
      </c>
      <c r="BN99" s="1013">
        <v>113</v>
      </c>
      <c r="BO99" s="1013">
        <v>8</v>
      </c>
      <c r="BP99" s="1013">
        <v>2</v>
      </c>
      <c r="BQ99" s="1013">
        <v>1</v>
      </c>
      <c r="BR99" s="1013">
        <v>21</v>
      </c>
      <c r="BS99" s="1013">
        <v>64</v>
      </c>
      <c r="BT99" s="1013">
        <v>9</v>
      </c>
      <c r="BU99" s="1013">
        <v>1</v>
      </c>
      <c r="BV99" s="1013">
        <v>5</v>
      </c>
      <c r="BW99" s="1013">
        <v>1</v>
      </c>
      <c r="BX99" s="1013">
        <v>21</v>
      </c>
      <c r="BY99" s="1013">
        <v>21</v>
      </c>
      <c r="BZ99" s="1013">
        <v>101</v>
      </c>
      <c r="CA99" s="1013">
        <v>208</v>
      </c>
      <c r="CB99" s="1013">
        <v>29.731224999999998</v>
      </c>
      <c r="CC99" s="1013">
        <v>-95.382762999999997</v>
      </c>
      <c r="CD99" s="1013" t="s">
        <v>7724</v>
      </c>
      <c r="CE99" s="1013" t="s">
        <v>7724</v>
      </c>
      <c r="CF99" s="1013" t="s">
        <v>7724</v>
      </c>
      <c r="CG99" s="1013" t="s">
        <v>7724</v>
      </c>
      <c r="CH99" s="1013" t="s">
        <v>7732</v>
      </c>
      <c r="CI99" s="1013">
        <v>4701</v>
      </c>
      <c r="CJ99" s="1013" t="s">
        <v>7724</v>
      </c>
      <c r="CK99" s="1013" t="s">
        <v>7724</v>
      </c>
      <c r="CL99" s="1013" t="s">
        <v>7724</v>
      </c>
      <c r="CM99" s="1013" t="s">
        <v>7724</v>
      </c>
      <c r="CN99" s="1013" t="s">
        <v>7724</v>
      </c>
      <c r="CO99" s="1013" t="s">
        <v>7724</v>
      </c>
      <c r="CP99" s="1013" t="s">
        <v>7724</v>
      </c>
      <c r="CQ99" s="1013" t="s">
        <v>7724</v>
      </c>
      <c r="CR99" s="1013" t="s">
        <v>7758</v>
      </c>
      <c r="CS99" s="1013" t="s">
        <v>7724</v>
      </c>
      <c r="CT99" s="1013" t="s">
        <v>7724</v>
      </c>
      <c r="CU99" s="1013" t="s">
        <v>7724</v>
      </c>
      <c r="CV99" s="1013" t="s">
        <v>7724</v>
      </c>
      <c r="CW99" s="1013" t="s">
        <v>7727</v>
      </c>
      <c r="CX99" s="1013" t="s">
        <v>7723</v>
      </c>
      <c r="CY99" s="1013" t="s">
        <v>7723</v>
      </c>
      <c r="CZ99" s="1013">
        <v>3</v>
      </c>
      <c r="DA99" s="1013">
        <v>9</v>
      </c>
      <c r="DB99" s="1013" t="s">
        <v>7727</v>
      </c>
      <c r="DC99" s="1013" t="s">
        <v>7740</v>
      </c>
      <c r="DD99" s="1013" t="s">
        <v>7724</v>
      </c>
      <c r="DE99" s="1013" t="s">
        <v>7724</v>
      </c>
      <c r="DF99" s="1013" t="s">
        <v>7724</v>
      </c>
      <c r="DG99" s="1013" t="s">
        <v>7724</v>
      </c>
      <c r="DH99" s="1013" t="s">
        <v>7724</v>
      </c>
      <c r="DI99" s="1013" t="s">
        <v>7724</v>
      </c>
      <c r="DJ99" s="1013" t="s">
        <v>7724</v>
      </c>
      <c r="DK99" s="1013" t="s">
        <v>7724</v>
      </c>
      <c r="DL99" s="1013" t="s">
        <v>7724</v>
      </c>
      <c r="DM99" s="1013" t="s">
        <v>7724</v>
      </c>
      <c r="DN99" s="1013" t="s">
        <v>7724</v>
      </c>
      <c r="DO99" s="1013" t="s">
        <v>7724</v>
      </c>
      <c r="DP99" s="1013" t="s">
        <v>7724</v>
      </c>
      <c r="DQ99" s="1013" t="s">
        <v>7724</v>
      </c>
      <c r="DR99" s="1013" t="s">
        <v>7724</v>
      </c>
      <c r="DS99" s="1013" t="s">
        <v>7724</v>
      </c>
      <c r="DT99" s="1013" t="s">
        <v>7724</v>
      </c>
      <c r="DU99" s="1013" t="s">
        <v>7724</v>
      </c>
      <c r="DV99" s="1013" t="s">
        <v>7724</v>
      </c>
      <c r="DW99" s="1013" t="s">
        <v>7724</v>
      </c>
      <c r="DX99" s="1013" t="s">
        <v>7724</v>
      </c>
      <c r="DY99" s="1013" t="s">
        <v>7724</v>
      </c>
      <c r="DZ99" s="1013" t="s">
        <v>7724</v>
      </c>
      <c r="EA99" s="1013" t="s">
        <v>7724</v>
      </c>
      <c r="EB99" s="1013" t="s">
        <v>7724</v>
      </c>
      <c r="EC99" s="1013" t="s">
        <v>7724</v>
      </c>
      <c r="ED99" s="1013" t="s">
        <v>7724</v>
      </c>
      <c r="EE99" s="1013" t="s">
        <v>7724</v>
      </c>
      <c r="EF99" s="1013" t="s">
        <v>7724</v>
      </c>
      <c r="EG99" s="1013" t="s">
        <v>7724</v>
      </c>
      <c r="EH99" s="1013" t="s">
        <v>7724</v>
      </c>
      <c r="EI99" s="1013" t="s">
        <v>7724</v>
      </c>
      <c r="EJ99" s="1013" t="s">
        <v>7724</v>
      </c>
      <c r="EK99" s="1013" t="s">
        <v>7724</v>
      </c>
      <c r="EL99" s="1013" t="s">
        <v>7724</v>
      </c>
      <c r="EM99" s="1013" t="s">
        <v>7724</v>
      </c>
      <c r="EN99" s="1013" t="s">
        <v>7724</v>
      </c>
      <c r="EO99" s="1013" t="s">
        <v>7724</v>
      </c>
      <c r="EP99" s="1013" t="s">
        <v>7724</v>
      </c>
      <c r="EQ99" s="1013" t="s">
        <v>7724</v>
      </c>
      <c r="ER99" s="1013" t="s">
        <v>7724</v>
      </c>
      <c r="ES99" s="1013" t="s">
        <v>7724</v>
      </c>
      <c r="ET99" s="1013" t="s">
        <v>7724</v>
      </c>
      <c r="EU99" s="1013" t="s">
        <v>7724</v>
      </c>
      <c r="EV99" s="1013" t="s">
        <v>7724</v>
      </c>
      <c r="EW99" s="1013" t="s">
        <v>7724</v>
      </c>
      <c r="EX99" s="1013" t="s">
        <v>7724</v>
      </c>
      <c r="EY99" s="1013" t="s">
        <v>7724</v>
      </c>
      <c r="EZ99" s="1013" t="s">
        <v>7724</v>
      </c>
      <c r="FA99" s="1013" t="s">
        <v>7724</v>
      </c>
      <c r="FB99" s="1013" t="s">
        <v>7724</v>
      </c>
      <c r="FC99" s="1013" t="s">
        <v>7724</v>
      </c>
      <c r="FD99" s="1013" t="s">
        <v>7724</v>
      </c>
      <c r="FE99" s="1013" t="s">
        <v>7724</v>
      </c>
      <c r="FF99" s="1013" t="s">
        <v>7724</v>
      </c>
      <c r="FG99" s="1013">
        <v>0</v>
      </c>
      <c r="FH99" s="1013">
        <v>0</v>
      </c>
      <c r="FI99" s="1013">
        <v>1</v>
      </c>
      <c r="FJ99" s="1013">
        <v>4</v>
      </c>
      <c r="FK99" s="1013">
        <v>0</v>
      </c>
      <c r="FL99" s="1013">
        <v>1</v>
      </c>
      <c r="FM99" s="1013">
        <v>0</v>
      </c>
      <c r="FN99" s="1013">
        <v>15</v>
      </c>
      <c r="FO99" s="1013">
        <v>29</v>
      </c>
      <c r="FP99" s="1013">
        <v>9</v>
      </c>
      <c r="FQ99" s="1013" t="s">
        <v>7724</v>
      </c>
      <c r="FR99" s="1013" t="s">
        <v>7724</v>
      </c>
      <c r="FS99" s="1013" t="s">
        <v>7724</v>
      </c>
      <c r="FT99" s="1013" t="s">
        <v>7724</v>
      </c>
      <c r="FU99" s="1013" t="s">
        <v>7724</v>
      </c>
      <c r="FV99" s="1013" t="s">
        <v>7724</v>
      </c>
      <c r="FW99" s="1013" t="s">
        <v>7724</v>
      </c>
      <c r="FX99" s="1013" t="s">
        <v>7724</v>
      </c>
      <c r="FY99" s="1013" t="s">
        <v>7724</v>
      </c>
      <c r="FZ99" s="1013" t="s">
        <v>7724</v>
      </c>
      <c r="GA99" s="1013" t="s">
        <v>7724</v>
      </c>
      <c r="GB99" s="1013" t="s">
        <v>7724</v>
      </c>
      <c r="GC99" s="1013">
        <v>2020</v>
      </c>
      <c r="GD99" s="1013" t="s">
        <v>1407</v>
      </c>
      <c r="GE99" s="1013">
        <v>3</v>
      </c>
      <c r="GF99" s="1013" t="s">
        <v>1407</v>
      </c>
      <c r="GG99" s="1013" t="s">
        <v>1407</v>
      </c>
      <c r="GH99" s="1013" t="s">
        <v>8043</v>
      </c>
      <c r="GI99" s="1013" t="s">
        <v>7980</v>
      </c>
      <c r="GJ99" s="1013" t="s">
        <v>7980</v>
      </c>
      <c r="GK99" s="1013" t="s">
        <v>7980</v>
      </c>
      <c r="GL99" s="1013" t="s">
        <v>7980</v>
      </c>
    </row>
    <row r="100" spans="1:194" hidden="1">
      <c r="A100" s="1013">
        <v>80</v>
      </c>
      <c r="B100" s="1013" t="s">
        <v>7722</v>
      </c>
      <c r="C100" s="1013">
        <v>16945557</v>
      </c>
      <c r="D100" s="1013" t="s">
        <v>7723</v>
      </c>
      <c r="E100" s="1013" t="s">
        <v>7723</v>
      </c>
      <c r="F100" s="1013" t="s">
        <v>7723</v>
      </c>
      <c r="G100" s="1013" t="s">
        <v>7723</v>
      </c>
      <c r="H100" s="1013" t="s">
        <v>7723</v>
      </c>
      <c r="I100" s="1013" t="s">
        <v>7723</v>
      </c>
      <c r="J100" s="1013" t="s">
        <v>7723</v>
      </c>
      <c r="K100" s="1024">
        <v>43533</v>
      </c>
      <c r="L100" s="1023">
        <v>0.64930555555555558</v>
      </c>
      <c r="M100" s="1013">
        <v>1900013865</v>
      </c>
      <c r="N100" s="1013" t="s">
        <v>7774</v>
      </c>
      <c r="O100" s="1013">
        <v>101</v>
      </c>
      <c r="P100" s="1013">
        <v>208</v>
      </c>
      <c r="Q100" s="1013" t="s">
        <v>7723</v>
      </c>
      <c r="R100" s="1013" t="s">
        <v>7727</v>
      </c>
      <c r="S100" s="1013" t="s">
        <v>7724</v>
      </c>
      <c r="T100" s="1014" t="s">
        <v>7724</v>
      </c>
      <c r="U100" s="1014">
        <v>19</v>
      </c>
      <c r="V100" s="1014" t="s">
        <v>7724</v>
      </c>
      <c r="W100" s="1014" t="s">
        <v>7724</v>
      </c>
      <c r="X100" s="1013">
        <v>1</v>
      </c>
      <c r="Y100" s="1013">
        <v>4700</v>
      </c>
      <c r="Z100" s="1013" t="s">
        <v>7724</v>
      </c>
      <c r="AA100" s="1013" t="s">
        <v>7728</v>
      </c>
      <c r="AB100" s="1013" t="s">
        <v>7726</v>
      </c>
      <c r="AC100" s="1013" t="s">
        <v>7723</v>
      </c>
      <c r="AD100" s="1013" t="s">
        <v>7723</v>
      </c>
      <c r="AE100" s="1013">
        <v>35</v>
      </c>
      <c r="AF100" s="1013" t="s">
        <v>7723</v>
      </c>
      <c r="AG100" s="1013" t="s">
        <v>7723</v>
      </c>
      <c r="AH100" s="1013" t="s">
        <v>7739</v>
      </c>
      <c r="AI100" s="1013" t="s">
        <v>7727</v>
      </c>
      <c r="AJ100" s="1013">
        <v>19</v>
      </c>
      <c r="AK100" s="1013" t="s">
        <v>7724</v>
      </c>
      <c r="AL100" s="1013" t="s">
        <v>7724</v>
      </c>
      <c r="AM100" s="1013">
        <v>1</v>
      </c>
      <c r="AN100" s="1013">
        <v>1100</v>
      </c>
      <c r="AO100" s="1013" t="s">
        <v>7724</v>
      </c>
      <c r="AP100" s="1013" t="s">
        <v>7757</v>
      </c>
      <c r="AQ100" s="1013" t="s">
        <v>7726</v>
      </c>
      <c r="AR100" s="1013" t="s">
        <v>7724</v>
      </c>
      <c r="AS100" s="1013" t="s">
        <v>7724</v>
      </c>
      <c r="AT100" s="1013" t="s">
        <v>7724</v>
      </c>
      <c r="AU100" s="1013" t="s">
        <v>7724</v>
      </c>
      <c r="AV100" s="1013" t="s">
        <v>7739</v>
      </c>
      <c r="AW100" s="1013" t="s">
        <v>7724</v>
      </c>
      <c r="AX100" s="1013">
        <v>11</v>
      </c>
      <c r="AY100" s="1013">
        <v>1</v>
      </c>
      <c r="AZ100" s="1013">
        <v>98</v>
      </c>
      <c r="BA100" s="1013">
        <v>4</v>
      </c>
      <c r="BB100" s="1013">
        <v>1</v>
      </c>
      <c r="BC100" s="1013">
        <v>1</v>
      </c>
      <c r="BD100" s="1013">
        <v>5</v>
      </c>
      <c r="BE100" s="1023">
        <v>0.65138888888888891</v>
      </c>
      <c r="BF100" s="1013" t="s">
        <v>7768</v>
      </c>
      <c r="BG100" s="1023">
        <v>0.66597222222222219</v>
      </c>
      <c r="BH100" s="1024">
        <v>43533</v>
      </c>
      <c r="BI100" s="1013" t="s">
        <v>7727</v>
      </c>
      <c r="BJ100" s="1013" t="s">
        <v>7769</v>
      </c>
      <c r="BK100" s="1013">
        <v>1775</v>
      </c>
      <c r="BL100" s="1013" t="s">
        <v>7724</v>
      </c>
      <c r="BM100" s="1013" t="s">
        <v>7724</v>
      </c>
      <c r="BN100" s="1013">
        <v>53</v>
      </c>
      <c r="BO100" s="1013">
        <v>8</v>
      </c>
      <c r="BP100" s="1013">
        <v>2</v>
      </c>
      <c r="BQ100" s="1013">
        <v>1</v>
      </c>
      <c r="BR100" s="1013">
        <v>24</v>
      </c>
      <c r="BS100" s="1013">
        <v>64</v>
      </c>
      <c r="BT100" s="1013">
        <v>54</v>
      </c>
      <c r="BU100" s="1013">
        <v>1</v>
      </c>
      <c r="BV100" s="1013">
        <v>5</v>
      </c>
      <c r="BW100" s="1013">
        <v>1</v>
      </c>
      <c r="BX100" s="1013">
        <v>21</v>
      </c>
      <c r="BY100" s="1013">
        <v>21</v>
      </c>
      <c r="BZ100" s="1013">
        <v>101</v>
      </c>
      <c r="CA100" s="1013">
        <v>208</v>
      </c>
      <c r="CB100" s="1013">
        <v>29.731224999999998</v>
      </c>
      <c r="CC100" s="1013">
        <v>-95.382762999999997</v>
      </c>
      <c r="CD100" s="1013" t="s">
        <v>7724</v>
      </c>
      <c r="CE100" s="1013" t="s">
        <v>7724</v>
      </c>
      <c r="CF100" s="1013" t="s">
        <v>7724</v>
      </c>
      <c r="CG100" s="1013" t="s">
        <v>7724</v>
      </c>
      <c r="CH100" s="1013" t="s">
        <v>7732</v>
      </c>
      <c r="CI100" s="1013">
        <v>4701</v>
      </c>
      <c r="CJ100" s="1013" t="s">
        <v>7724</v>
      </c>
      <c r="CK100" s="1013" t="s">
        <v>7724</v>
      </c>
      <c r="CL100" s="1013" t="s">
        <v>7724</v>
      </c>
      <c r="CM100" s="1013" t="s">
        <v>7724</v>
      </c>
      <c r="CN100" s="1013" t="s">
        <v>7724</v>
      </c>
      <c r="CO100" s="1013" t="s">
        <v>7724</v>
      </c>
      <c r="CP100" s="1013" t="s">
        <v>7724</v>
      </c>
      <c r="CQ100" s="1013" t="s">
        <v>7724</v>
      </c>
      <c r="CR100" s="1013" t="s">
        <v>7758</v>
      </c>
      <c r="CS100" s="1013" t="s">
        <v>7724</v>
      </c>
      <c r="CT100" s="1013" t="s">
        <v>7724</v>
      </c>
      <c r="CU100" s="1013" t="s">
        <v>7724</v>
      </c>
      <c r="CV100" s="1013" t="s">
        <v>7724</v>
      </c>
      <c r="CW100" s="1013" t="s">
        <v>7727</v>
      </c>
      <c r="CX100" s="1013" t="s">
        <v>7723</v>
      </c>
      <c r="CY100" s="1013" t="s">
        <v>7723</v>
      </c>
      <c r="CZ100" s="1013">
        <v>5</v>
      </c>
      <c r="DA100" s="1013">
        <v>9</v>
      </c>
      <c r="DB100" s="1013" t="s">
        <v>7727</v>
      </c>
      <c r="DC100" s="1013" t="s">
        <v>7733</v>
      </c>
      <c r="DD100" s="1013" t="s">
        <v>7724</v>
      </c>
      <c r="DE100" s="1013" t="s">
        <v>7724</v>
      </c>
      <c r="DF100" s="1013" t="s">
        <v>7724</v>
      </c>
      <c r="DG100" s="1013" t="s">
        <v>7724</v>
      </c>
      <c r="DH100" s="1013" t="s">
        <v>7724</v>
      </c>
      <c r="DI100" s="1013" t="s">
        <v>7724</v>
      </c>
      <c r="DJ100" s="1013" t="s">
        <v>7724</v>
      </c>
      <c r="DK100" s="1013" t="s">
        <v>7724</v>
      </c>
      <c r="DL100" s="1013" t="s">
        <v>7724</v>
      </c>
      <c r="DM100" s="1013" t="s">
        <v>7724</v>
      </c>
      <c r="DN100" s="1013" t="s">
        <v>7724</v>
      </c>
      <c r="DO100" s="1013" t="s">
        <v>7724</v>
      </c>
      <c r="DP100" s="1013" t="s">
        <v>7724</v>
      </c>
      <c r="DQ100" s="1013" t="s">
        <v>7724</v>
      </c>
      <c r="DR100" s="1013" t="s">
        <v>7724</v>
      </c>
      <c r="DS100" s="1013" t="s">
        <v>7724</v>
      </c>
      <c r="DT100" s="1013" t="s">
        <v>7724</v>
      </c>
      <c r="DU100" s="1013" t="s">
        <v>7724</v>
      </c>
      <c r="DV100" s="1013" t="s">
        <v>7724</v>
      </c>
      <c r="DW100" s="1013" t="s">
        <v>7724</v>
      </c>
      <c r="DX100" s="1013" t="s">
        <v>7724</v>
      </c>
      <c r="DY100" s="1013" t="s">
        <v>7724</v>
      </c>
      <c r="DZ100" s="1013" t="s">
        <v>7724</v>
      </c>
      <c r="EA100" s="1013" t="s">
        <v>7724</v>
      </c>
      <c r="EB100" s="1013" t="s">
        <v>7724</v>
      </c>
      <c r="EC100" s="1013" t="s">
        <v>7724</v>
      </c>
      <c r="ED100" s="1013" t="s">
        <v>7724</v>
      </c>
      <c r="EE100" s="1013" t="s">
        <v>7724</v>
      </c>
      <c r="EF100" s="1013" t="s">
        <v>7724</v>
      </c>
      <c r="EG100" s="1013" t="s">
        <v>7724</v>
      </c>
      <c r="EH100" s="1013" t="s">
        <v>7724</v>
      </c>
      <c r="EI100" s="1013" t="s">
        <v>7724</v>
      </c>
      <c r="EJ100" s="1013" t="s">
        <v>7724</v>
      </c>
      <c r="EK100" s="1013" t="s">
        <v>7724</v>
      </c>
      <c r="EL100" s="1013" t="s">
        <v>7724</v>
      </c>
      <c r="EM100" s="1013" t="s">
        <v>7724</v>
      </c>
      <c r="EN100" s="1013" t="s">
        <v>7724</v>
      </c>
      <c r="EO100" s="1013" t="s">
        <v>7724</v>
      </c>
      <c r="EP100" s="1013" t="s">
        <v>7724</v>
      </c>
      <c r="EQ100" s="1013" t="s">
        <v>7724</v>
      </c>
      <c r="ER100" s="1013" t="s">
        <v>7724</v>
      </c>
      <c r="ES100" s="1013" t="s">
        <v>7724</v>
      </c>
      <c r="ET100" s="1013" t="s">
        <v>7724</v>
      </c>
      <c r="EU100" s="1013" t="s">
        <v>7724</v>
      </c>
      <c r="EV100" s="1013" t="s">
        <v>7724</v>
      </c>
      <c r="EW100" s="1013" t="s">
        <v>7724</v>
      </c>
      <c r="EX100" s="1013" t="s">
        <v>7724</v>
      </c>
      <c r="EY100" s="1013" t="s">
        <v>7724</v>
      </c>
      <c r="EZ100" s="1013" t="s">
        <v>7724</v>
      </c>
      <c r="FA100" s="1013" t="s">
        <v>7724</v>
      </c>
      <c r="FB100" s="1013" t="s">
        <v>7724</v>
      </c>
      <c r="FC100" s="1013" t="s">
        <v>7724</v>
      </c>
      <c r="FD100" s="1013" t="s">
        <v>7724</v>
      </c>
      <c r="FE100" s="1013" t="s">
        <v>7724</v>
      </c>
      <c r="FF100" s="1013" t="s">
        <v>7724</v>
      </c>
      <c r="FG100" s="1013">
        <v>0</v>
      </c>
      <c r="FH100" s="1013">
        <v>0</v>
      </c>
      <c r="FI100" s="1013">
        <v>0</v>
      </c>
      <c r="FJ100" s="1013">
        <v>4</v>
      </c>
      <c r="FK100" s="1013">
        <v>0</v>
      </c>
      <c r="FL100" s="1013">
        <v>0</v>
      </c>
      <c r="FM100" s="1013">
        <v>0</v>
      </c>
      <c r="FN100" s="1013">
        <v>15</v>
      </c>
      <c r="FO100" s="1013">
        <v>35</v>
      </c>
      <c r="FP100" s="1013">
        <v>17</v>
      </c>
      <c r="FQ100" s="1013" t="s">
        <v>7724</v>
      </c>
      <c r="FR100" s="1013" t="s">
        <v>7724</v>
      </c>
      <c r="FS100" s="1013" t="s">
        <v>7724</v>
      </c>
      <c r="FT100" s="1013" t="s">
        <v>7724</v>
      </c>
      <c r="FU100" s="1013" t="s">
        <v>7724</v>
      </c>
      <c r="FV100" s="1013" t="s">
        <v>7724</v>
      </c>
      <c r="FW100" s="1013" t="s">
        <v>7724</v>
      </c>
      <c r="FX100" s="1013" t="s">
        <v>7724</v>
      </c>
      <c r="FY100" s="1013" t="s">
        <v>7724</v>
      </c>
      <c r="FZ100" s="1013" t="s">
        <v>7724</v>
      </c>
      <c r="GA100" s="1013" t="s">
        <v>7724</v>
      </c>
      <c r="GB100" s="1013" t="s">
        <v>7724</v>
      </c>
      <c r="GC100" s="1013">
        <v>2019</v>
      </c>
      <c r="GD100" s="1013" t="s">
        <v>1404</v>
      </c>
      <c r="GE100" s="1013">
        <v>2</v>
      </c>
      <c r="GF100" s="1013" t="s">
        <v>1407</v>
      </c>
      <c r="GG100" s="1013" t="s">
        <v>1407</v>
      </c>
      <c r="GH100" s="1013" t="s">
        <v>7978</v>
      </c>
      <c r="GI100" s="1013" t="s">
        <v>7974</v>
      </c>
      <c r="GJ100" s="1013" t="s">
        <v>7974</v>
      </c>
      <c r="GK100" s="1013" t="s">
        <v>7974</v>
      </c>
      <c r="GL100" s="1013" t="s">
        <v>7974</v>
      </c>
    </row>
    <row r="101" spans="1:194" hidden="1">
      <c r="A101" s="1013">
        <v>83</v>
      </c>
      <c r="B101" s="1013" t="s">
        <v>7722</v>
      </c>
      <c r="C101" s="1013">
        <v>16976316</v>
      </c>
      <c r="D101" s="1013" t="s">
        <v>7723</v>
      </c>
      <c r="E101" s="1013" t="s">
        <v>7723</v>
      </c>
      <c r="F101" s="1013" t="s">
        <v>7723</v>
      </c>
      <c r="G101" s="1013" t="s">
        <v>7723</v>
      </c>
      <c r="H101" s="1013" t="s">
        <v>7723</v>
      </c>
      <c r="I101" s="1013" t="s">
        <v>7723</v>
      </c>
      <c r="J101" s="1013" t="s">
        <v>7723</v>
      </c>
      <c r="K101" s="1024">
        <v>43550</v>
      </c>
      <c r="L101" s="1023">
        <v>0.73124999999999996</v>
      </c>
      <c r="M101" s="1013" t="s">
        <v>7778</v>
      </c>
      <c r="N101" s="1013" t="s">
        <v>7724</v>
      </c>
      <c r="O101" s="1013">
        <v>101</v>
      </c>
      <c r="P101" s="1013">
        <v>208</v>
      </c>
      <c r="Q101" s="1013" t="s">
        <v>7723</v>
      </c>
      <c r="R101" s="1013" t="s">
        <v>7727</v>
      </c>
      <c r="S101" s="1013" t="s">
        <v>7724</v>
      </c>
      <c r="T101" s="1014" t="s">
        <v>7724</v>
      </c>
      <c r="U101" s="1014">
        <v>19</v>
      </c>
      <c r="V101" s="1014" t="s">
        <v>7724</v>
      </c>
      <c r="W101" s="1014" t="s">
        <v>7724</v>
      </c>
      <c r="X101" s="1013">
        <v>1</v>
      </c>
      <c r="Y101" s="1013">
        <v>4600</v>
      </c>
      <c r="Z101" s="1013" t="s">
        <v>7724</v>
      </c>
      <c r="AA101" s="1013" t="s">
        <v>7728</v>
      </c>
      <c r="AB101" s="1013" t="s">
        <v>7726</v>
      </c>
      <c r="AC101" s="1013" t="s">
        <v>7723</v>
      </c>
      <c r="AD101" s="1013" t="s">
        <v>7723</v>
      </c>
      <c r="AE101" s="1013">
        <v>35</v>
      </c>
      <c r="AF101" s="1013" t="s">
        <v>7723</v>
      </c>
      <c r="AG101" s="1013" t="s">
        <v>7723</v>
      </c>
      <c r="AH101" s="1013" t="s">
        <v>7779</v>
      </c>
      <c r="AI101" s="1013" t="s">
        <v>7727</v>
      </c>
      <c r="AJ101" s="1013">
        <v>19</v>
      </c>
      <c r="AK101" s="1013" t="s">
        <v>7724</v>
      </c>
      <c r="AL101" s="1013" t="s">
        <v>7724</v>
      </c>
      <c r="AM101" s="1013">
        <v>1</v>
      </c>
      <c r="AN101" s="1013">
        <v>1200</v>
      </c>
      <c r="AO101" s="1013" t="s">
        <v>7724</v>
      </c>
      <c r="AP101" s="1013" t="s">
        <v>7757</v>
      </c>
      <c r="AQ101" s="1013" t="s">
        <v>7726</v>
      </c>
      <c r="AR101" s="1013" t="s">
        <v>7724</v>
      </c>
      <c r="AS101" s="1013" t="s">
        <v>7724</v>
      </c>
      <c r="AT101" s="1013" t="s">
        <v>7724</v>
      </c>
      <c r="AU101" s="1013" t="s">
        <v>7724</v>
      </c>
      <c r="AV101" s="1013" t="s">
        <v>7724</v>
      </c>
      <c r="AW101" s="1013" t="s">
        <v>7724</v>
      </c>
      <c r="AX101" s="1013">
        <v>11</v>
      </c>
      <c r="AY101" s="1013">
        <v>1</v>
      </c>
      <c r="AZ101" s="1013">
        <v>0</v>
      </c>
      <c r="BA101" s="1013">
        <v>1</v>
      </c>
      <c r="BB101" s="1013">
        <v>1</v>
      </c>
      <c r="BC101" s="1013">
        <v>1</v>
      </c>
      <c r="BD101" s="1013">
        <v>5</v>
      </c>
      <c r="BE101" s="1023">
        <v>0.73819444444444449</v>
      </c>
      <c r="BF101" s="1013" t="s">
        <v>7780</v>
      </c>
      <c r="BG101" s="1023">
        <v>0.74305555555555558</v>
      </c>
      <c r="BH101" s="1024">
        <v>43550</v>
      </c>
      <c r="BI101" s="1013" t="s">
        <v>7727</v>
      </c>
      <c r="BJ101" s="1013" t="s">
        <v>7730</v>
      </c>
      <c r="BK101" s="1013">
        <v>2469</v>
      </c>
      <c r="BL101" s="1013" t="s">
        <v>7724</v>
      </c>
      <c r="BM101" s="1013" t="s">
        <v>7724</v>
      </c>
      <c r="BN101" s="1013">
        <v>113</v>
      </c>
      <c r="BO101" s="1013">
        <v>8</v>
      </c>
      <c r="BP101" s="1013">
        <v>2</v>
      </c>
      <c r="BQ101" s="1013">
        <v>1</v>
      </c>
      <c r="BR101" s="1013">
        <v>23</v>
      </c>
      <c r="BS101" s="1013">
        <v>64</v>
      </c>
      <c r="BT101" s="1013">
        <v>7</v>
      </c>
      <c r="BU101" s="1013">
        <v>1</v>
      </c>
      <c r="BV101" s="1013">
        <v>5</v>
      </c>
      <c r="BW101" s="1013">
        <v>1</v>
      </c>
      <c r="BX101" s="1013">
        <v>21</v>
      </c>
      <c r="BY101" s="1013">
        <v>21</v>
      </c>
      <c r="BZ101" s="1013">
        <v>101</v>
      </c>
      <c r="CA101" s="1013">
        <v>208</v>
      </c>
      <c r="CB101" s="1013">
        <v>29.731224999999998</v>
      </c>
      <c r="CC101" s="1013">
        <v>-95.382762999999997</v>
      </c>
      <c r="CD101" s="1013" t="s">
        <v>7724</v>
      </c>
      <c r="CE101" s="1013" t="s">
        <v>7724</v>
      </c>
      <c r="CF101" s="1013" t="s">
        <v>7724</v>
      </c>
      <c r="CG101" s="1013" t="s">
        <v>7724</v>
      </c>
      <c r="CH101" s="1013" t="s">
        <v>7732</v>
      </c>
      <c r="CI101" s="1013">
        <v>4701</v>
      </c>
      <c r="CJ101" s="1013" t="s">
        <v>7724</v>
      </c>
      <c r="CK101" s="1013" t="s">
        <v>7724</v>
      </c>
      <c r="CL101" s="1013" t="s">
        <v>7724</v>
      </c>
      <c r="CM101" s="1013" t="s">
        <v>7724</v>
      </c>
      <c r="CN101" s="1013" t="s">
        <v>7724</v>
      </c>
      <c r="CO101" s="1013" t="s">
        <v>7724</v>
      </c>
      <c r="CP101" s="1013" t="s">
        <v>7724</v>
      </c>
      <c r="CQ101" s="1013" t="s">
        <v>7724</v>
      </c>
      <c r="CR101" s="1013" t="s">
        <v>7758</v>
      </c>
      <c r="CS101" s="1013" t="s">
        <v>7724</v>
      </c>
      <c r="CT101" s="1013" t="s">
        <v>7724</v>
      </c>
      <c r="CU101" s="1013" t="s">
        <v>7724</v>
      </c>
      <c r="CV101" s="1013" t="s">
        <v>7724</v>
      </c>
      <c r="CW101" s="1013" t="s">
        <v>7727</v>
      </c>
      <c r="CX101" s="1013" t="s">
        <v>7723</v>
      </c>
      <c r="CY101" s="1013" t="s">
        <v>7723</v>
      </c>
      <c r="CZ101" s="1013">
        <v>3</v>
      </c>
      <c r="DA101" s="1013">
        <v>9</v>
      </c>
      <c r="DB101" s="1013" t="s">
        <v>7727</v>
      </c>
      <c r="DC101" s="1013" t="s">
        <v>7737</v>
      </c>
      <c r="DD101" s="1013" t="s">
        <v>7724</v>
      </c>
      <c r="DE101" s="1013" t="s">
        <v>7724</v>
      </c>
      <c r="DF101" s="1013" t="s">
        <v>7724</v>
      </c>
      <c r="DG101" s="1013" t="s">
        <v>7724</v>
      </c>
      <c r="DH101" s="1013" t="s">
        <v>7724</v>
      </c>
      <c r="DI101" s="1013" t="s">
        <v>7724</v>
      </c>
      <c r="DJ101" s="1013" t="s">
        <v>7724</v>
      </c>
      <c r="DK101" s="1013" t="s">
        <v>7724</v>
      </c>
      <c r="DL101" s="1013" t="s">
        <v>7724</v>
      </c>
      <c r="DM101" s="1013" t="s">
        <v>7724</v>
      </c>
      <c r="DN101" s="1013" t="s">
        <v>7724</v>
      </c>
      <c r="DO101" s="1013" t="s">
        <v>7724</v>
      </c>
      <c r="DP101" s="1013" t="s">
        <v>7724</v>
      </c>
      <c r="DQ101" s="1013" t="s">
        <v>7724</v>
      </c>
      <c r="DR101" s="1013" t="s">
        <v>7724</v>
      </c>
      <c r="DS101" s="1013" t="s">
        <v>7724</v>
      </c>
      <c r="DT101" s="1013" t="s">
        <v>7724</v>
      </c>
      <c r="DU101" s="1013" t="s">
        <v>7724</v>
      </c>
      <c r="DV101" s="1013" t="s">
        <v>7724</v>
      </c>
      <c r="DW101" s="1013" t="s">
        <v>7724</v>
      </c>
      <c r="DX101" s="1013" t="s">
        <v>7724</v>
      </c>
      <c r="DY101" s="1013" t="s">
        <v>7724</v>
      </c>
      <c r="DZ101" s="1013" t="s">
        <v>7724</v>
      </c>
      <c r="EA101" s="1013" t="s">
        <v>7724</v>
      </c>
      <c r="EB101" s="1013" t="s">
        <v>7724</v>
      </c>
      <c r="EC101" s="1013" t="s">
        <v>7724</v>
      </c>
      <c r="ED101" s="1013" t="s">
        <v>7724</v>
      </c>
      <c r="EE101" s="1013" t="s">
        <v>7724</v>
      </c>
      <c r="EF101" s="1013" t="s">
        <v>7724</v>
      </c>
      <c r="EG101" s="1013" t="s">
        <v>7724</v>
      </c>
      <c r="EH101" s="1013" t="s">
        <v>7724</v>
      </c>
      <c r="EI101" s="1013" t="s">
        <v>7724</v>
      </c>
      <c r="EJ101" s="1013" t="s">
        <v>7724</v>
      </c>
      <c r="EK101" s="1013" t="s">
        <v>7724</v>
      </c>
      <c r="EL101" s="1013" t="s">
        <v>7724</v>
      </c>
      <c r="EM101" s="1013" t="s">
        <v>7724</v>
      </c>
      <c r="EN101" s="1013" t="s">
        <v>7724</v>
      </c>
      <c r="EO101" s="1013" t="s">
        <v>7724</v>
      </c>
      <c r="EP101" s="1013" t="s">
        <v>7724</v>
      </c>
      <c r="EQ101" s="1013" t="s">
        <v>7724</v>
      </c>
      <c r="ER101" s="1013" t="s">
        <v>7724</v>
      </c>
      <c r="ES101" s="1013" t="s">
        <v>7724</v>
      </c>
      <c r="ET101" s="1013" t="s">
        <v>7724</v>
      </c>
      <c r="EU101" s="1013" t="s">
        <v>7724</v>
      </c>
      <c r="EV101" s="1013" t="s">
        <v>7724</v>
      </c>
      <c r="EW101" s="1013" t="s">
        <v>7724</v>
      </c>
      <c r="EX101" s="1013" t="s">
        <v>7724</v>
      </c>
      <c r="EY101" s="1013" t="s">
        <v>7724</v>
      </c>
      <c r="EZ101" s="1013" t="s">
        <v>7724</v>
      </c>
      <c r="FA101" s="1013" t="s">
        <v>7724</v>
      </c>
      <c r="FB101" s="1013" t="s">
        <v>7724</v>
      </c>
      <c r="FC101" s="1013" t="s">
        <v>7724</v>
      </c>
      <c r="FD101" s="1013" t="s">
        <v>7724</v>
      </c>
      <c r="FE101" s="1013" t="s">
        <v>7724</v>
      </c>
      <c r="FF101" s="1013" t="s">
        <v>7724</v>
      </c>
      <c r="FG101" s="1013">
        <v>0</v>
      </c>
      <c r="FH101" s="1013">
        <v>0</v>
      </c>
      <c r="FI101" s="1013">
        <v>1</v>
      </c>
      <c r="FJ101" s="1013">
        <v>1</v>
      </c>
      <c r="FK101" s="1013">
        <v>0</v>
      </c>
      <c r="FL101" s="1013">
        <v>1</v>
      </c>
      <c r="FM101" s="1013">
        <v>0</v>
      </c>
      <c r="FN101" s="1013">
        <v>15</v>
      </c>
      <c r="FO101" s="1013">
        <v>29</v>
      </c>
      <c r="FP101" s="1013">
        <v>9</v>
      </c>
      <c r="FQ101" s="1013" t="s">
        <v>7724</v>
      </c>
      <c r="FR101" s="1013" t="s">
        <v>7724</v>
      </c>
      <c r="FS101" s="1013" t="s">
        <v>7724</v>
      </c>
      <c r="FT101" s="1013" t="s">
        <v>7724</v>
      </c>
      <c r="FU101" s="1013" t="s">
        <v>7724</v>
      </c>
      <c r="FV101" s="1013" t="s">
        <v>7724</v>
      </c>
      <c r="FW101" s="1013" t="s">
        <v>7724</v>
      </c>
      <c r="FX101" s="1013" t="s">
        <v>7724</v>
      </c>
      <c r="FY101" s="1013" t="s">
        <v>7724</v>
      </c>
      <c r="FZ101" s="1013" t="s">
        <v>7724</v>
      </c>
      <c r="GA101" s="1013" t="s">
        <v>7724</v>
      </c>
      <c r="GB101" s="1013" t="s">
        <v>7724</v>
      </c>
      <c r="GC101" s="1013">
        <v>2019</v>
      </c>
      <c r="GD101" s="1013" t="s">
        <v>1407</v>
      </c>
      <c r="GE101" s="1013">
        <v>2</v>
      </c>
      <c r="GF101" s="1013" t="s">
        <v>1407</v>
      </c>
      <c r="GG101" s="1013" t="s">
        <v>1407</v>
      </c>
      <c r="GH101" s="1013" t="s">
        <v>7989</v>
      </c>
      <c r="GI101" s="1013" t="s">
        <v>7974</v>
      </c>
      <c r="GJ101" s="1013" t="s">
        <v>7974</v>
      </c>
      <c r="GK101" s="1013" t="s">
        <v>8077</v>
      </c>
      <c r="GL101" s="1013" t="s">
        <v>7974</v>
      </c>
    </row>
    <row r="102" spans="1:194" hidden="1">
      <c r="A102" s="1013">
        <v>89</v>
      </c>
      <c r="B102" s="1013" t="s">
        <v>7722</v>
      </c>
      <c r="C102" s="1013">
        <v>17023020</v>
      </c>
      <c r="D102" s="1013" t="s">
        <v>7723</v>
      </c>
      <c r="E102" s="1013" t="s">
        <v>7723</v>
      </c>
      <c r="F102" s="1013" t="s">
        <v>7723</v>
      </c>
      <c r="G102" s="1013" t="s">
        <v>7723</v>
      </c>
      <c r="H102" s="1013" t="s">
        <v>7723</v>
      </c>
      <c r="I102" s="1013" t="s">
        <v>7723</v>
      </c>
      <c r="J102" s="1013" t="s">
        <v>7723</v>
      </c>
      <c r="K102" s="1024">
        <v>43575</v>
      </c>
      <c r="L102" s="1023">
        <v>0.83819444444444446</v>
      </c>
      <c r="M102" s="1013" t="s">
        <v>7788</v>
      </c>
      <c r="N102" s="1013" t="s">
        <v>7744</v>
      </c>
      <c r="O102" s="1013">
        <v>101</v>
      </c>
      <c r="P102" s="1013">
        <v>208</v>
      </c>
      <c r="Q102" s="1013" t="s">
        <v>7723</v>
      </c>
      <c r="R102" s="1013" t="s">
        <v>7727</v>
      </c>
      <c r="S102" s="1013" t="s">
        <v>7724</v>
      </c>
      <c r="T102" s="1014" t="s">
        <v>7724</v>
      </c>
      <c r="U102" s="1014">
        <v>19</v>
      </c>
      <c r="V102" s="1014" t="s">
        <v>7724</v>
      </c>
      <c r="W102" s="1014" t="s">
        <v>7724</v>
      </c>
      <c r="X102" s="1013">
        <v>1</v>
      </c>
      <c r="Y102" s="1013">
        <v>4500</v>
      </c>
      <c r="Z102" s="1013" t="s">
        <v>7723</v>
      </c>
      <c r="AA102" s="1013" t="s">
        <v>7728</v>
      </c>
      <c r="AB102" s="1013" t="s">
        <v>7726</v>
      </c>
      <c r="AC102" s="1013" t="s">
        <v>7723</v>
      </c>
      <c r="AD102" s="1013" t="s">
        <v>7723</v>
      </c>
      <c r="AE102" s="1013">
        <v>35</v>
      </c>
      <c r="AF102" s="1013" t="s">
        <v>7723</v>
      </c>
      <c r="AG102" s="1013" t="s">
        <v>7723</v>
      </c>
      <c r="AH102" s="1013" t="s">
        <v>7789</v>
      </c>
      <c r="AI102" s="1013" t="s">
        <v>7727</v>
      </c>
      <c r="AJ102" s="1013">
        <v>19</v>
      </c>
      <c r="AK102" s="1013" t="s">
        <v>7724</v>
      </c>
      <c r="AL102" s="1013" t="s">
        <v>7724</v>
      </c>
      <c r="AM102" s="1013">
        <v>1</v>
      </c>
      <c r="AN102" s="1013">
        <v>1200</v>
      </c>
      <c r="AO102" s="1013" t="s">
        <v>7790</v>
      </c>
      <c r="AP102" s="1013" t="s">
        <v>7757</v>
      </c>
      <c r="AQ102" s="1013" t="s">
        <v>7726</v>
      </c>
      <c r="AR102" s="1013" t="s">
        <v>7724</v>
      </c>
      <c r="AS102" s="1013" t="s">
        <v>7724</v>
      </c>
      <c r="AT102" s="1013" t="s">
        <v>7724</v>
      </c>
      <c r="AU102" s="1013" t="s">
        <v>7724</v>
      </c>
      <c r="AV102" s="1013" t="s">
        <v>7724</v>
      </c>
      <c r="AW102" s="1013" t="s">
        <v>7724</v>
      </c>
      <c r="AX102" s="1013">
        <v>11</v>
      </c>
      <c r="AY102" s="1013">
        <v>1</v>
      </c>
      <c r="AZ102" s="1013">
        <v>0</v>
      </c>
      <c r="BA102" s="1013">
        <v>2</v>
      </c>
      <c r="BB102" s="1013">
        <v>1</v>
      </c>
      <c r="BC102" s="1013">
        <v>1</v>
      </c>
      <c r="BD102" s="1013">
        <v>20</v>
      </c>
      <c r="BE102" s="1023">
        <v>0.83819444444444446</v>
      </c>
      <c r="BF102" s="1013" t="s">
        <v>7729</v>
      </c>
      <c r="BG102" s="1023">
        <v>0.83819444444444446</v>
      </c>
      <c r="BH102" s="1024">
        <v>43575</v>
      </c>
      <c r="BI102" s="1013" t="s">
        <v>7727</v>
      </c>
      <c r="BJ102" s="1013" t="s">
        <v>7730</v>
      </c>
      <c r="BK102" s="1013">
        <v>2469</v>
      </c>
      <c r="BL102" s="1013" t="s">
        <v>7724</v>
      </c>
      <c r="BM102" s="1013" t="s">
        <v>7724</v>
      </c>
      <c r="BN102" s="1013">
        <v>113</v>
      </c>
      <c r="BO102" s="1013">
        <v>8</v>
      </c>
      <c r="BP102" s="1013">
        <v>2</v>
      </c>
      <c r="BQ102" s="1013">
        <v>1</v>
      </c>
      <c r="BR102" s="1013">
        <v>10</v>
      </c>
      <c r="BS102" s="1013">
        <v>64</v>
      </c>
      <c r="BT102" s="1013">
        <v>54</v>
      </c>
      <c r="BU102" s="1013">
        <v>1</v>
      </c>
      <c r="BV102" s="1013">
        <v>5</v>
      </c>
      <c r="BW102" s="1013">
        <v>1</v>
      </c>
      <c r="BX102" s="1013">
        <v>21</v>
      </c>
      <c r="BY102" s="1013">
        <v>21</v>
      </c>
      <c r="BZ102" s="1013">
        <v>101</v>
      </c>
      <c r="CA102" s="1013">
        <v>208</v>
      </c>
      <c r="CB102" s="1013">
        <v>29.731224999999998</v>
      </c>
      <c r="CC102" s="1013">
        <v>-95.382762999999997</v>
      </c>
      <c r="CD102" s="1013" t="s">
        <v>7724</v>
      </c>
      <c r="CE102" s="1013" t="s">
        <v>7724</v>
      </c>
      <c r="CF102" s="1013" t="s">
        <v>7724</v>
      </c>
      <c r="CG102" s="1013" t="s">
        <v>7724</v>
      </c>
      <c r="CH102" s="1013" t="s">
        <v>7732</v>
      </c>
      <c r="CI102" s="1013">
        <v>4701</v>
      </c>
      <c r="CJ102" s="1013" t="s">
        <v>7724</v>
      </c>
      <c r="CK102" s="1013" t="s">
        <v>7724</v>
      </c>
      <c r="CL102" s="1013" t="s">
        <v>7724</v>
      </c>
      <c r="CM102" s="1013" t="s">
        <v>7724</v>
      </c>
      <c r="CN102" s="1013" t="s">
        <v>7724</v>
      </c>
      <c r="CO102" s="1013" t="s">
        <v>7724</v>
      </c>
      <c r="CP102" s="1013" t="s">
        <v>7724</v>
      </c>
      <c r="CQ102" s="1013" t="s">
        <v>7724</v>
      </c>
      <c r="CR102" s="1013" t="s">
        <v>7758</v>
      </c>
      <c r="CS102" s="1013" t="s">
        <v>7724</v>
      </c>
      <c r="CT102" s="1013" t="s">
        <v>7724</v>
      </c>
      <c r="CU102" s="1013" t="s">
        <v>7724</v>
      </c>
      <c r="CV102" s="1013" t="s">
        <v>7724</v>
      </c>
      <c r="CW102" s="1013" t="s">
        <v>7727</v>
      </c>
      <c r="CX102" s="1013" t="s">
        <v>7723</v>
      </c>
      <c r="CY102" s="1013" t="s">
        <v>7723</v>
      </c>
      <c r="CZ102" s="1013">
        <v>5</v>
      </c>
      <c r="DA102" s="1013">
        <v>9</v>
      </c>
      <c r="DB102" s="1013" t="s">
        <v>7727</v>
      </c>
      <c r="DC102" s="1013" t="s">
        <v>7733</v>
      </c>
      <c r="DD102" s="1013" t="s">
        <v>7724</v>
      </c>
      <c r="DE102" s="1013" t="s">
        <v>7724</v>
      </c>
      <c r="DF102" s="1013" t="s">
        <v>7724</v>
      </c>
      <c r="DG102" s="1013" t="s">
        <v>7724</v>
      </c>
      <c r="DH102" s="1013" t="s">
        <v>7724</v>
      </c>
      <c r="DI102" s="1013" t="s">
        <v>7724</v>
      </c>
      <c r="DJ102" s="1013" t="s">
        <v>7724</v>
      </c>
      <c r="DK102" s="1013" t="s">
        <v>7724</v>
      </c>
      <c r="DL102" s="1013" t="s">
        <v>7724</v>
      </c>
      <c r="DM102" s="1013" t="s">
        <v>7724</v>
      </c>
      <c r="DN102" s="1013" t="s">
        <v>7724</v>
      </c>
      <c r="DO102" s="1013" t="s">
        <v>7724</v>
      </c>
      <c r="DP102" s="1013" t="s">
        <v>7724</v>
      </c>
      <c r="DQ102" s="1013" t="s">
        <v>7724</v>
      </c>
      <c r="DR102" s="1013" t="s">
        <v>7724</v>
      </c>
      <c r="DS102" s="1013" t="s">
        <v>7724</v>
      </c>
      <c r="DT102" s="1013" t="s">
        <v>7724</v>
      </c>
      <c r="DU102" s="1013" t="s">
        <v>7724</v>
      </c>
      <c r="DV102" s="1013" t="s">
        <v>7724</v>
      </c>
      <c r="DW102" s="1013" t="s">
        <v>7724</v>
      </c>
      <c r="DX102" s="1013" t="s">
        <v>7724</v>
      </c>
      <c r="DY102" s="1013" t="s">
        <v>7724</v>
      </c>
      <c r="DZ102" s="1013" t="s">
        <v>7724</v>
      </c>
      <c r="EA102" s="1013" t="s">
        <v>7724</v>
      </c>
      <c r="EB102" s="1013" t="s">
        <v>7724</v>
      </c>
      <c r="EC102" s="1013" t="s">
        <v>7724</v>
      </c>
      <c r="ED102" s="1013" t="s">
        <v>7724</v>
      </c>
      <c r="EE102" s="1013" t="s">
        <v>7724</v>
      </c>
      <c r="EF102" s="1013" t="s">
        <v>7724</v>
      </c>
      <c r="EG102" s="1013" t="s">
        <v>7724</v>
      </c>
      <c r="EH102" s="1013" t="s">
        <v>7724</v>
      </c>
      <c r="EI102" s="1013" t="s">
        <v>7724</v>
      </c>
      <c r="EJ102" s="1013" t="s">
        <v>7724</v>
      </c>
      <c r="EK102" s="1013" t="s">
        <v>7724</v>
      </c>
      <c r="EL102" s="1013" t="s">
        <v>7724</v>
      </c>
      <c r="EM102" s="1013" t="s">
        <v>7724</v>
      </c>
      <c r="EN102" s="1013" t="s">
        <v>7724</v>
      </c>
      <c r="EO102" s="1013" t="s">
        <v>7724</v>
      </c>
      <c r="EP102" s="1013" t="s">
        <v>7724</v>
      </c>
      <c r="EQ102" s="1013" t="s">
        <v>7724</v>
      </c>
      <c r="ER102" s="1013" t="s">
        <v>7724</v>
      </c>
      <c r="ES102" s="1013" t="s">
        <v>7724</v>
      </c>
      <c r="ET102" s="1013" t="s">
        <v>7724</v>
      </c>
      <c r="EU102" s="1013" t="s">
        <v>7724</v>
      </c>
      <c r="EV102" s="1013" t="s">
        <v>7724</v>
      </c>
      <c r="EW102" s="1013" t="s">
        <v>7724</v>
      </c>
      <c r="EX102" s="1013" t="s">
        <v>7724</v>
      </c>
      <c r="EY102" s="1013" t="s">
        <v>7724</v>
      </c>
      <c r="EZ102" s="1013" t="s">
        <v>7724</v>
      </c>
      <c r="FA102" s="1013" t="s">
        <v>7724</v>
      </c>
      <c r="FB102" s="1013" t="s">
        <v>7724</v>
      </c>
      <c r="FC102" s="1013" t="s">
        <v>7724</v>
      </c>
      <c r="FD102" s="1013" t="s">
        <v>7724</v>
      </c>
      <c r="FE102" s="1013" t="s">
        <v>7724</v>
      </c>
      <c r="FF102" s="1013" t="s">
        <v>7724</v>
      </c>
      <c r="FG102" s="1013">
        <v>0</v>
      </c>
      <c r="FH102" s="1013">
        <v>0</v>
      </c>
      <c r="FI102" s="1013">
        <v>0</v>
      </c>
      <c r="FJ102" s="1013">
        <v>1</v>
      </c>
      <c r="FK102" s="1013">
        <v>1</v>
      </c>
      <c r="FL102" s="1013">
        <v>0</v>
      </c>
      <c r="FM102" s="1013">
        <v>0</v>
      </c>
      <c r="FN102" s="1013">
        <v>15</v>
      </c>
      <c r="FO102" s="1013">
        <v>29</v>
      </c>
      <c r="FP102" s="1013">
        <v>9</v>
      </c>
      <c r="FQ102" s="1013" t="s">
        <v>7724</v>
      </c>
      <c r="FR102" s="1013" t="s">
        <v>7724</v>
      </c>
      <c r="FS102" s="1013" t="s">
        <v>7724</v>
      </c>
      <c r="FT102" s="1013" t="s">
        <v>7724</v>
      </c>
      <c r="FU102" s="1013" t="s">
        <v>7724</v>
      </c>
      <c r="FV102" s="1013" t="s">
        <v>7724</v>
      </c>
      <c r="FW102" s="1013" t="s">
        <v>7724</v>
      </c>
      <c r="FX102" s="1013" t="s">
        <v>7724</v>
      </c>
      <c r="FY102" s="1013" t="s">
        <v>7724</v>
      </c>
      <c r="FZ102" s="1013" t="s">
        <v>7724</v>
      </c>
      <c r="GA102" s="1013" t="s">
        <v>7724</v>
      </c>
      <c r="GB102" s="1013" t="s">
        <v>7724</v>
      </c>
      <c r="GC102" s="1013">
        <v>2019</v>
      </c>
      <c r="GD102" s="1013" t="s">
        <v>1407</v>
      </c>
      <c r="GE102" s="1013">
        <v>2</v>
      </c>
      <c r="GF102" s="1013" t="s">
        <v>1407</v>
      </c>
      <c r="GG102" s="1013" t="s">
        <v>1407</v>
      </c>
      <c r="GH102" s="1013" t="s">
        <v>8067</v>
      </c>
      <c r="GI102" s="1013" t="s">
        <v>7974</v>
      </c>
      <c r="GJ102" s="1013" t="s">
        <v>7974</v>
      </c>
      <c r="GK102" s="1013" t="s">
        <v>8078</v>
      </c>
      <c r="GL102" s="1013" t="s">
        <v>7974</v>
      </c>
    </row>
    <row r="103" spans="1:194" hidden="1">
      <c r="A103" s="1013">
        <v>91</v>
      </c>
      <c r="B103" s="1013" t="s">
        <v>7722</v>
      </c>
      <c r="C103" s="1013">
        <v>17030407</v>
      </c>
      <c r="D103" s="1013" t="s">
        <v>7723</v>
      </c>
      <c r="E103" s="1013" t="s">
        <v>7723</v>
      </c>
      <c r="F103" s="1013" t="s">
        <v>7723</v>
      </c>
      <c r="G103" s="1013" t="s">
        <v>7723</v>
      </c>
      <c r="H103" s="1013" t="s">
        <v>7723</v>
      </c>
      <c r="I103" s="1013" t="s">
        <v>7723</v>
      </c>
      <c r="J103" s="1013" t="s">
        <v>7723</v>
      </c>
      <c r="K103" s="1024">
        <v>43566</v>
      </c>
      <c r="L103" s="1023">
        <v>0.60416666666666663</v>
      </c>
      <c r="M103" s="1013" t="s">
        <v>7792</v>
      </c>
      <c r="N103" s="1013" t="s">
        <v>7724</v>
      </c>
      <c r="O103" s="1013">
        <v>101</v>
      </c>
      <c r="P103" s="1013">
        <v>208</v>
      </c>
      <c r="Q103" s="1013" t="s">
        <v>7723</v>
      </c>
      <c r="R103" s="1013" t="s">
        <v>7727</v>
      </c>
      <c r="S103" s="1013" t="s">
        <v>7724</v>
      </c>
      <c r="T103" s="1014" t="s">
        <v>7724</v>
      </c>
      <c r="U103" s="1014">
        <v>19</v>
      </c>
      <c r="V103" s="1014" t="s">
        <v>7724</v>
      </c>
      <c r="W103" s="1014" t="s">
        <v>7724</v>
      </c>
      <c r="X103" s="1013">
        <v>1</v>
      </c>
      <c r="Y103" s="1013">
        <v>4500</v>
      </c>
      <c r="Z103" s="1013" t="s">
        <v>7724</v>
      </c>
      <c r="AA103" s="1013" t="s">
        <v>7728</v>
      </c>
      <c r="AB103" s="1013" t="s">
        <v>7726</v>
      </c>
      <c r="AC103" s="1013" t="s">
        <v>7723</v>
      </c>
      <c r="AD103" s="1013" t="s">
        <v>7723</v>
      </c>
      <c r="AE103" s="1013">
        <v>40</v>
      </c>
      <c r="AF103" s="1013" t="s">
        <v>7723</v>
      </c>
      <c r="AG103" s="1013" t="s">
        <v>7723</v>
      </c>
      <c r="AH103" s="1013" t="s">
        <v>7724</v>
      </c>
      <c r="AI103" s="1013" t="s">
        <v>7727</v>
      </c>
      <c r="AJ103" s="1013">
        <v>19</v>
      </c>
      <c r="AK103" s="1013" t="s">
        <v>7724</v>
      </c>
      <c r="AL103" s="1013" t="s">
        <v>7724</v>
      </c>
      <c r="AM103" s="1013">
        <v>1</v>
      </c>
      <c r="AN103" s="1013">
        <v>4200</v>
      </c>
      <c r="AO103" s="1013" t="s">
        <v>7724</v>
      </c>
      <c r="AP103" s="1013" t="s">
        <v>7757</v>
      </c>
      <c r="AQ103" s="1013" t="s">
        <v>7726</v>
      </c>
      <c r="AR103" s="1013" t="s">
        <v>7724</v>
      </c>
      <c r="AS103" s="1013" t="s">
        <v>7724</v>
      </c>
      <c r="AT103" s="1013" t="s">
        <v>7724</v>
      </c>
      <c r="AU103" s="1013" t="s">
        <v>7724</v>
      </c>
      <c r="AV103" s="1013" t="s">
        <v>7724</v>
      </c>
      <c r="AW103" s="1013" t="s">
        <v>7724</v>
      </c>
      <c r="AX103" s="1013">
        <v>11</v>
      </c>
      <c r="AY103" s="1013">
        <v>1</v>
      </c>
      <c r="AZ103" s="1013">
        <v>2</v>
      </c>
      <c r="BA103" s="1013">
        <v>4</v>
      </c>
      <c r="BB103" s="1013">
        <v>1</v>
      </c>
      <c r="BC103" s="1013">
        <v>1</v>
      </c>
      <c r="BD103" s="1013">
        <v>5</v>
      </c>
      <c r="BE103" s="1023">
        <v>0.61597222222222225</v>
      </c>
      <c r="BF103" s="1013" t="s">
        <v>7793</v>
      </c>
      <c r="BG103" s="1023">
        <v>0.62291666666666667</v>
      </c>
      <c r="BH103" s="1024">
        <v>43571</v>
      </c>
      <c r="BI103" s="1013" t="s">
        <v>7727</v>
      </c>
      <c r="BJ103" s="1013" t="s">
        <v>7730</v>
      </c>
      <c r="BK103" s="1013">
        <v>2469</v>
      </c>
      <c r="BL103" s="1013" t="s">
        <v>7724</v>
      </c>
      <c r="BM103" s="1013" t="s">
        <v>7724</v>
      </c>
      <c r="BN103" s="1013">
        <v>113</v>
      </c>
      <c r="BO103" s="1013">
        <v>8</v>
      </c>
      <c r="BP103" s="1013">
        <v>2</v>
      </c>
      <c r="BQ103" s="1013">
        <v>1</v>
      </c>
      <c r="BR103" s="1013">
        <v>10</v>
      </c>
      <c r="BS103" s="1013">
        <v>64</v>
      </c>
      <c r="BT103" s="1013">
        <v>54</v>
      </c>
      <c r="BU103" s="1013">
        <v>1</v>
      </c>
      <c r="BV103" s="1013">
        <v>5</v>
      </c>
      <c r="BW103" s="1013">
        <v>1</v>
      </c>
      <c r="BX103" s="1013">
        <v>21</v>
      </c>
      <c r="BY103" s="1013">
        <v>21</v>
      </c>
      <c r="BZ103" s="1013">
        <v>101</v>
      </c>
      <c r="CA103" s="1013">
        <v>208</v>
      </c>
      <c r="CB103" s="1013">
        <v>29.731224999999998</v>
      </c>
      <c r="CC103" s="1013">
        <v>-95.382762999999997</v>
      </c>
      <c r="CD103" s="1013" t="s">
        <v>7724</v>
      </c>
      <c r="CE103" s="1013" t="s">
        <v>7724</v>
      </c>
      <c r="CF103" s="1013" t="s">
        <v>7724</v>
      </c>
      <c r="CG103" s="1013" t="s">
        <v>7724</v>
      </c>
      <c r="CH103" s="1013" t="s">
        <v>7732</v>
      </c>
      <c r="CI103" s="1013">
        <v>4701</v>
      </c>
      <c r="CJ103" s="1013" t="s">
        <v>7724</v>
      </c>
      <c r="CK103" s="1013" t="s">
        <v>7724</v>
      </c>
      <c r="CL103" s="1013" t="s">
        <v>7724</v>
      </c>
      <c r="CM103" s="1013" t="s">
        <v>7724</v>
      </c>
      <c r="CN103" s="1013" t="s">
        <v>7724</v>
      </c>
      <c r="CO103" s="1013" t="s">
        <v>7724</v>
      </c>
      <c r="CP103" s="1013" t="s">
        <v>7724</v>
      </c>
      <c r="CQ103" s="1013" t="s">
        <v>7724</v>
      </c>
      <c r="CR103" s="1013" t="s">
        <v>7758</v>
      </c>
      <c r="CS103" s="1013" t="s">
        <v>7724</v>
      </c>
      <c r="CT103" s="1013" t="s">
        <v>7724</v>
      </c>
      <c r="CU103" s="1013" t="s">
        <v>7724</v>
      </c>
      <c r="CV103" s="1013" t="s">
        <v>7724</v>
      </c>
      <c r="CW103" s="1013" t="s">
        <v>7727</v>
      </c>
      <c r="CX103" s="1013" t="s">
        <v>7723</v>
      </c>
      <c r="CY103" s="1013" t="s">
        <v>7723</v>
      </c>
      <c r="CZ103" s="1013">
        <v>3</v>
      </c>
      <c r="DA103" s="1013">
        <v>9</v>
      </c>
      <c r="DB103" s="1013" t="s">
        <v>7727</v>
      </c>
      <c r="DC103" s="1013" t="s">
        <v>7740</v>
      </c>
      <c r="DD103" s="1013" t="s">
        <v>7724</v>
      </c>
      <c r="DE103" s="1013" t="s">
        <v>7724</v>
      </c>
      <c r="DF103" s="1013" t="s">
        <v>7724</v>
      </c>
      <c r="DG103" s="1013" t="s">
        <v>7724</v>
      </c>
      <c r="DH103" s="1013" t="s">
        <v>7724</v>
      </c>
      <c r="DI103" s="1013" t="s">
        <v>7724</v>
      </c>
      <c r="DJ103" s="1013" t="s">
        <v>7724</v>
      </c>
      <c r="DK103" s="1013" t="s">
        <v>7724</v>
      </c>
      <c r="DL103" s="1013" t="s">
        <v>7724</v>
      </c>
      <c r="DM103" s="1013" t="s">
        <v>7724</v>
      </c>
      <c r="DN103" s="1013" t="s">
        <v>7724</v>
      </c>
      <c r="DO103" s="1013" t="s">
        <v>7724</v>
      </c>
      <c r="DP103" s="1013" t="s">
        <v>7724</v>
      </c>
      <c r="DQ103" s="1013" t="s">
        <v>7724</v>
      </c>
      <c r="DR103" s="1013" t="s">
        <v>7724</v>
      </c>
      <c r="DS103" s="1013" t="s">
        <v>7724</v>
      </c>
      <c r="DT103" s="1013" t="s">
        <v>7724</v>
      </c>
      <c r="DU103" s="1013" t="s">
        <v>7724</v>
      </c>
      <c r="DV103" s="1013" t="s">
        <v>7724</v>
      </c>
      <c r="DW103" s="1013" t="s">
        <v>7724</v>
      </c>
      <c r="DX103" s="1013" t="s">
        <v>7724</v>
      </c>
      <c r="DY103" s="1013" t="s">
        <v>7724</v>
      </c>
      <c r="DZ103" s="1013" t="s">
        <v>7724</v>
      </c>
      <c r="EA103" s="1013" t="s">
        <v>7724</v>
      </c>
      <c r="EB103" s="1013" t="s">
        <v>7724</v>
      </c>
      <c r="EC103" s="1013" t="s">
        <v>7724</v>
      </c>
      <c r="ED103" s="1013" t="s">
        <v>7724</v>
      </c>
      <c r="EE103" s="1013" t="s">
        <v>7724</v>
      </c>
      <c r="EF103" s="1013" t="s">
        <v>7724</v>
      </c>
      <c r="EG103" s="1013" t="s">
        <v>7724</v>
      </c>
      <c r="EH103" s="1013" t="s">
        <v>7724</v>
      </c>
      <c r="EI103" s="1013" t="s">
        <v>7724</v>
      </c>
      <c r="EJ103" s="1013" t="s">
        <v>7724</v>
      </c>
      <c r="EK103" s="1013" t="s">
        <v>7724</v>
      </c>
      <c r="EL103" s="1013" t="s">
        <v>7724</v>
      </c>
      <c r="EM103" s="1013" t="s">
        <v>7724</v>
      </c>
      <c r="EN103" s="1013" t="s">
        <v>7724</v>
      </c>
      <c r="EO103" s="1013" t="s">
        <v>7724</v>
      </c>
      <c r="EP103" s="1013" t="s">
        <v>7724</v>
      </c>
      <c r="EQ103" s="1013" t="s">
        <v>7724</v>
      </c>
      <c r="ER103" s="1013" t="s">
        <v>7724</v>
      </c>
      <c r="ES103" s="1013" t="s">
        <v>7724</v>
      </c>
      <c r="ET103" s="1013" t="s">
        <v>7724</v>
      </c>
      <c r="EU103" s="1013" t="s">
        <v>7724</v>
      </c>
      <c r="EV103" s="1013" t="s">
        <v>7724</v>
      </c>
      <c r="EW103" s="1013" t="s">
        <v>7724</v>
      </c>
      <c r="EX103" s="1013" t="s">
        <v>7724</v>
      </c>
      <c r="EY103" s="1013" t="s">
        <v>7724</v>
      </c>
      <c r="EZ103" s="1013" t="s">
        <v>7724</v>
      </c>
      <c r="FA103" s="1013" t="s">
        <v>7724</v>
      </c>
      <c r="FB103" s="1013" t="s">
        <v>7724</v>
      </c>
      <c r="FC103" s="1013" t="s">
        <v>7724</v>
      </c>
      <c r="FD103" s="1013" t="s">
        <v>7724</v>
      </c>
      <c r="FE103" s="1013" t="s">
        <v>7724</v>
      </c>
      <c r="FF103" s="1013" t="s">
        <v>7724</v>
      </c>
      <c r="FG103" s="1013">
        <v>0</v>
      </c>
      <c r="FH103" s="1013">
        <v>0</v>
      </c>
      <c r="FI103" s="1013">
        <v>4</v>
      </c>
      <c r="FJ103" s="1013">
        <v>1</v>
      </c>
      <c r="FK103" s="1013">
        <v>0</v>
      </c>
      <c r="FL103" s="1013">
        <v>4</v>
      </c>
      <c r="FM103" s="1013">
        <v>0</v>
      </c>
      <c r="FN103" s="1013">
        <v>15</v>
      </c>
      <c r="FO103" s="1013">
        <v>29</v>
      </c>
      <c r="FP103" s="1013">
        <v>9</v>
      </c>
      <c r="FQ103" s="1013" t="s">
        <v>7724</v>
      </c>
      <c r="FR103" s="1013" t="s">
        <v>7724</v>
      </c>
      <c r="FS103" s="1013" t="s">
        <v>7724</v>
      </c>
      <c r="FT103" s="1013" t="s">
        <v>7724</v>
      </c>
      <c r="FU103" s="1013" t="s">
        <v>7724</v>
      </c>
      <c r="FV103" s="1013" t="s">
        <v>7724</v>
      </c>
      <c r="FW103" s="1013" t="s">
        <v>7724</v>
      </c>
      <c r="FX103" s="1013" t="s">
        <v>7724</v>
      </c>
      <c r="FY103" s="1013" t="s">
        <v>7724</v>
      </c>
      <c r="FZ103" s="1013" t="s">
        <v>7724</v>
      </c>
      <c r="GA103" s="1013" t="s">
        <v>7724</v>
      </c>
      <c r="GB103" s="1013" t="s">
        <v>7724</v>
      </c>
      <c r="GC103" s="1013">
        <v>2019</v>
      </c>
      <c r="GD103" s="1013" t="s">
        <v>1407</v>
      </c>
      <c r="GE103" s="1013">
        <v>2</v>
      </c>
      <c r="GF103" s="1013" t="s">
        <v>1407</v>
      </c>
      <c r="GG103" s="1013" t="s">
        <v>1407</v>
      </c>
      <c r="GH103" s="1013" t="s">
        <v>7985</v>
      </c>
      <c r="GI103" s="1013" t="s">
        <v>7974</v>
      </c>
      <c r="GJ103" s="1013" t="s">
        <v>7974</v>
      </c>
      <c r="GK103" s="1013" t="s">
        <v>7974</v>
      </c>
      <c r="GL103" s="1013" t="s">
        <v>7974</v>
      </c>
    </row>
    <row r="104" spans="1:194" hidden="1">
      <c r="A104" s="1013">
        <v>108</v>
      </c>
      <c r="B104" s="1013" t="s">
        <v>7722</v>
      </c>
      <c r="C104" s="1013">
        <v>17228316</v>
      </c>
      <c r="D104" s="1013" t="s">
        <v>7723</v>
      </c>
      <c r="E104" s="1013" t="s">
        <v>7723</v>
      </c>
      <c r="F104" s="1013" t="s">
        <v>7723</v>
      </c>
      <c r="G104" s="1013" t="s">
        <v>7723</v>
      </c>
      <c r="H104" s="1013" t="s">
        <v>7723</v>
      </c>
      <c r="I104" s="1013" t="s">
        <v>7723</v>
      </c>
      <c r="J104" s="1013" t="s">
        <v>7723</v>
      </c>
      <c r="K104" s="1024">
        <v>43684</v>
      </c>
      <c r="L104" s="1023">
        <v>0.25694444444444442</v>
      </c>
      <c r="M104" s="1013" t="s">
        <v>7807</v>
      </c>
      <c r="N104" s="1013" t="s">
        <v>7724</v>
      </c>
      <c r="O104" s="1013">
        <v>101</v>
      </c>
      <c r="P104" s="1013">
        <v>208</v>
      </c>
      <c r="Q104" s="1013" t="s">
        <v>7723</v>
      </c>
      <c r="R104" s="1013" t="s">
        <v>7727</v>
      </c>
      <c r="S104" s="1013" t="s">
        <v>7724</v>
      </c>
      <c r="T104" s="1014" t="s">
        <v>7724</v>
      </c>
      <c r="U104" s="1014">
        <v>19</v>
      </c>
      <c r="V104" s="1014" t="s">
        <v>7724</v>
      </c>
      <c r="W104" s="1014" t="s">
        <v>7724</v>
      </c>
      <c r="X104" s="1013">
        <v>1</v>
      </c>
      <c r="Y104" s="1013">
        <v>4700</v>
      </c>
      <c r="Z104" s="1013" t="s">
        <v>7724</v>
      </c>
      <c r="AA104" s="1013" t="s">
        <v>7728</v>
      </c>
      <c r="AB104" s="1013" t="s">
        <v>7726</v>
      </c>
      <c r="AC104" s="1013" t="s">
        <v>7723</v>
      </c>
      <c r="AD104" s="1013" t="s">
        <v>7723</v>
      </c>
      <c r="AE104" s="1013">
        <v>35</v>
      </c>
      <c r="AF104" s="1013" t="s">
        <v>7723</v>
      </c>
      <c r="AG104" s="1013" t="s">
        <v>7723</v>
      </c>
      <c r="AH104" s="1013" t="s">
        <v>7739</v>
      </c>
      <c r="AI104" s="1013" t="s">
        <v>7727</v>
      </c>
      <c r="AJ104" s="1013">
        <v>19</v>
      </c>
      <c r="AK104" s="1013" t="s">
        <v>7724</v>
      </c>
      <c r="AL104" s="1013" t="s">
        <v>7724</v>
      </c>
      <c r="AM104" s="1013">
        <v>1</v>
      </c>
      <c r="AN104" s="1013">
        <v>1200</v>
      </c>
      <c r="AO104" s="1013" t="s">
        <v>7724</v>
      </c>
      <c r="AP104" s="1013" t="s">
        <v>7757</v>
      </c>
      <c r="AQ104" s="1013" t="s">
        <v>7726</v>
      </c>
      <c r="AR104" s="1013" t="s">
        <v>7724</v>
      </c>
      <c r="AS104" s="1013" t="s">
        <v>7724</v>
      </c>
      <c r="AT104" s="1013" t="s">
        <v>7724</v>
      </c>
      <c r="AU104" s="1013" t="s">
        <v>7724</v>
      </c>
      <c r="AV104" s="1013" t="s">
        <v>7724</v>
      </c>
      <c r="AW104" s="1013" t="s">
        <v>7724</v>
      </c>
      <c r="AX104" s="1013">
        <v>11</v>
      </c>
      <c r="AY104" s="1013">
        <v>4</v>
      </c>
      <c r="AZ104" s="1013">
        <v>4</v>
      </c>
      <c r="BA104" s="1013">
        <v>2</v>
      </c>
      <c r="BB104" s="1013">
        <v>1</v>
      </c>
      <c r="BC104" s="1013">
        <v>1</v>
      </c>
      <c r="BD104" s="1013">
        <v>17</v>
      </c>
      <c r="BE104" s="1023">
        <v>0.26527777777777778</v>
      </c>
      <c r="BF104" s="1013" t="s">
        <v>7729</v>
      </c>
      <c r="BG104" s="1023">
        <v>0.27500000000000002</v>
      </c>
      <c r="BH104" s="1024">
        <v>43684</v>
      </c>
      <c r="BI104" s="1013" t="s">
        <v>7727</v>
      </c>
      <c r="BJ104" s="1013" t="s">
        <v>7730</v>
      </c>
      <c r="BK104" s="1013">
        <v>2469</v>
      </c>
      <c r="BL104" s="1013" t="s">
        <v>7724</v>
      </c>
      <c r="BM104" s="1013" t="s">
        <v>7724</v>
      </c>
      <c r="BN104" s="1013">
        <v>113</v>
      </c>
      <c r="BO104" s="1013">
        <v>8</v>
      </c>
      <c r="BP104" s="1013">
        <v>2</v>
      </c>
      <c r="BQ104" s="1013">
        <v>1</v>
      </c>
      <c r="BR104" s="1013">
        <v>10</v>
      </c>
      <c r="BS104" s="1013">
        <v>64</v>
      </c>
      <c r="BT104" s="1013">
        <v>54</v>
      </c>
      <c r="BU104" s="1013">
        <v>1</v>
      </c>
      <c r="BV104" s="1013">
        <v>5</v>
      </c>
      <c r="BW104" s="1013">
        <v>1</v>
      </c>
      <c r="BX104" s="1013">
        <v>21</v>
      </c>
      <c r="BY104" s="1013">
        <v>21</v>
      </c>
      <c r="BZ104" s="1013">
        <v>101</v>
      </c>
      <c r="CA104" s="1013">
        <v>208</v>
      </c>
      <c r="CB104" s="1013">
        <v>29.731224999999998</v>
      </c>
      <c r="CC104" s="1013">
        <v>-95.382762999999997</v>
      </c>
      <c r="CD104" s="1013" t="s">
        <v>7724</v>
      </c>
      <c r="CE104" s="1013" t="s">
        <v>7724</v>
      </c>
      <c r="CF104" s="1013" t="s">
        <v>7724</v>
      </c>
      <c r="CG104" s="1013" t="s">
        <v>7724</v>
      </c>
      <c r="CH104" s="1013" t="s">
        <v>7732</v>
      </c>
      <c r="CI104" s="1013">
        <v>4701</v>
      </c>
      <c r="CJ104" s="1013" t="s">
        <v>7724</v>
      </c>
      <c r="CK104" s="1013" t="s">
        <v>7724</v>
      </c>
      <c r="CL104" s="1013" t="s">
        <v>7724</v>
      </c>
      <c r="CM104" s="1013" t="s">
        <v>7724</v>
      </c>
      <c r="CN104" s="1013" t="s">
        <v>7724</v>
      </c>
      <c r="CO104" s="1013" t="s">
        <v>7724</v>
      </c>
      <c r="CP104" s="1013" t="s">
        <v>7724</v>
      </c>
      <c r="CQ104" s="1013" t="s">
        <v>7724</v>
      </c>
      <c r="CR104" s="1013" t="s">
        <v>7758</v>
      </c>
      <c r="CS104" s="1013" t="s">
        <v>7724</v>
      </c>
      <c r="CT104" s="1013" t="s">
        <v>7724</v>
      </c>
      <c r="CU104" s="1013" t="s">
        <v>7724</v>
      </c>
      <c r="CV104" s="1013" t="s">
        <v>7724</v>
      </c>
      <c r="CW104" s="1013" t="s">
        <v>7727</v>
      </c>
      <c r="CX104" s="1013" t="s">
        <v>7723</v>
      </c>
      <c r="CY104" s="1013" t="s">
        <v>7723</v>
      </c>
      <c r="CZ104" s="1013">
        <v>3</v>
      </c>
      <c r="DA104" s="1013">
        <v>9</v>
      </c>
      <c r="DB104" s="1013" t="s">
        <v>7727</v>
      </c>
      <c r="DC104" s="1013" t="s">
        <v>7756</v>
      </c>
      <c r="DD104" s="1013" t="s">
        <v>7724</v>
      </c>
      <c r="DE104" s="1013" t="s">
        <v>7724</v>
      </c>
      <c r="DF104" s="1013" t="s">
        <v>7724</v>
      </c>
      <c r="DG104" s="1013" t="s">
        <v>7724</v>
      </c>
      <c r="DH104" s="1013" t="s">
        <v>7724</v>
      </c>
      <c r="DI104" s="1013" t="s">
        <v>7724</v>
      </c>
      <c r="DJ104" s="1013" t="s">
        <v>7724</v>
      </c>
      <c r="DK104" s="1013" t="s">
        <v>7724</v>
      </c>
      <c r="DL104" s="1013" t="s">
        <v>7724</v>
      </c>
      <c r="DM104" s="1013" t="s">
        <v>7724</v>
      </c>
      <c r="DN104" s="1013" t="s">
        <v>7724</v>
      </c>
      <c r="DO104" s="1013" t="s">
        <v>7724</v>
      </c>
      <c r="DP104" s="1013" t="s">
        <v>7724</v>
      </c>
      <c r="DQ104" s="1013" t="s">
        <v>7724</v>
      </c>
      <c r="DR104" s="1013" t="s">
        <v>7724</v>
      </c>
      <c r="DS104" s="1013" t="s">
        <v>7724</v>
      </c>
      <c r="DT104" s="1013" t="s">
        <v>7724</v>
      </c>
      <c r="DU104" s="1013" t="s">
        <v>7724</v>
      </c>
      <c r="DV104" s="1013" t="s">
        <v>7724</v>
      </c>
      <c r="DW104" s="1013" t="s">
        <v>7724</v>
      </c>
      <c r="DX104" s="1013" t="s">
        <v>7724</v>
      </c>
      <c r="DY104" s="1013" t="s">
        <v>7724</v>
      </c>
      <c r="DZ104" s="1013" t="s">
        <v>7724</v>
      </c>
      <c r="EA104" s="1013" t="s">
        <v>7724</v>
      </c>
      <c r="EB104" s="1013" t="s">
        <v>7724</v>
      </c>
      <c r="EC104" s="1013" t="s">
        <v>7724</v>
      </c>
      <c r="ED104" s="1013" t="s">
        <v>7724</v>
      </c>
      <c r="EE104" s="1013" t="s">
        <v>7724</v>
      </c>
      <c r="EF104" s="1013" t="s">
        <v>7724</v>
      </c>
      <c r="EG104" s="1013" t="s">
        <v>7724</v>
      </c>
      <c r="EH104" s="1013" t="s">
        <v>7724</v>
      </c>
      <c r="EI104" s="1013" t="s">
        <v>7724</v>
      </c>
      <c r="EJ104" s="1013" t="s">
        <v>7724</v>
      </c>
      <c r="EK104" s="1013" t="s">
        <v>7724</v>
      </c>
      <c r="EL104" s="1013" t="s">
        <v>7724</v>
      </c>
      <c r="EM104" s="1013" t="s">
        <v>7724</v>
      </c>
      <c r="EN104" s="1013" t="s">
        <v>7724</v>
      </c>
      <c r="EO104" s="1013" t="s">
        <v>7724</v>
      </c>
      <c r="EP104" s="1013" t="s">
        <v>7724</v>
      </c>
      <c r="EQ104" s="1013" t="s">
        <v>7724</v>
      </c>
      <c r="ER104" s="1013" t="s">
        <v>7724</v>
      </c>
      <c r="ES104" s="1013" t="s">
        <v>7724</v>
      </c>
      <c r="ET104" s="1013" t="s">
        <v>7724</v>
      </c>
      <c r="EU104" s="1013" t="s">
        <v>7724</v>
      </c>
      <c r="EV104" s="1013" t="s">
        <v>7724</v>
      </c>
      <c r="EW104" s="1013" t="s">
        <v>7724</v>
      </c>
      <c r="EX104" s="1013" t="s">
        <v>7724</v>
      </c>
      <c r="EY104" s="1013" t="s">
        <v>7724</v>
      </c>
      <c r="EZ104" s="1013" t="s">
        <v>7724</v>
      </c>
      <c r="FA104" s="1013" t="s">
        <v>7724</v>
      </c>
      <c r="FB104" s="1013" t="s">
        <v>7724</v>
      </c>
      <c r="FC104" s="1013" t="s">
        <v>7724</v>
      </c>
      <c r="FD104" s="1013" t="s">
        <v>7724</v>
      </c>
      <c r="FE104" s="1013" t="s">
        <v>7724</v>
      </c>
      <c r="FF104" s="1013" t="s">
        <v>7724</v>
      </c>
      <c r="FG104" s="1013">
        <v>0</v>
      </c>
      <c r="FH104" s="1013">
        <v>0</v>
      </c>
      <c r="FI104" s="1013">
        <v>1</v>
      </c>
      <c r="FJ104" s="1013">
        <v>1</v>
      </c>
      <c r="FK104" s="1013">
        <v>0</v>
      </c>
      <c r="FL104" s="1013">
        <v>1</v>
      </c>
      <c r="FM104" s="1013">
        <v>0</v>
      </c>
      <c r="FN104" s="1013">
        <v>15</v>
      </c>
      <c r="FO104" s="1013">
        <v>29</v>
      </c>
      <c r="FP104" s="1013">
        <v>9</v>
      </c>
      <c r="FQ104" s="1013" t="s">
        <v>7724</v>
      </c>
      <c r="FR104" s="1013" t="s">
        <v>7724</v>
      </c>
      <c r="FS104" s="1013" t="s">
        <v>7724</v>
      </c>
      <c r="FT104" s="1013" t="s">
        <v>7724</v>
      </c>
      <c r="FU104" s="1013" t="s">
        <v>7724</v>
      </c>
      <c r="FV104" s="1013" t="s">
        <v>7724</v>
      </c>
      <c r="FW104" s="1013" t="s">
        <v>7724</v>
      </c>
      <c r="FX104" s="1013" t="s">
        <v>7724</v>
      </c>
      <c r="FY104" s="1013" t="s">
        <v>7724</v>
      </c>
      <c r="FZ104" s="1013" t="s">
        <v>7724</v>
      </c>
      <c r="GA104" s="1013" t="s">
        <v>7724</v>
      </c>
      <c r="GB104" s="1013" t="s">
        <v>7724</v>
      </c>
      <c r="GC104" s="1013">
        <v>2019</v>
      </c>
      <c r="GD104" s="1013" t="s">
        <v>1407</v>
      </c>
      <c r="GE104" s="1013">
        <v>2</v>
      </c>
      <c r="GF104" s="1013" t="s">
        <v>1407</v>
      </c>
      <c r="GG104" s="1013" t="s">
        <v>1407</v>
      </c>
      <c r="GH104" s="1013" t="s">
        <v>7976</v>
      </c>
      <c r="GI104" s="1013" t="s">
        <v>7974</v>
      </c>
      <c r="GJ104" s="1013" t="s">
        <v>7974</v>
      </c>
      <c r="GK104" s="1013" t="s">
        <v>7974</v>
      </c>
      <c r="GL104" s="1013" t="s">
        <v>7974</v>
      </c>
    </row>
    <row r="105" spans="1:194" hidden="1">
      <c r="A105" s="1013">
        <v>122</v>
      </c>
      <c r="B105" s="1013" t="s">
        <v>7722</v>
      </c>
      <c r="C105" s="1013">
        <v>17481800</v>
      </c>
      <c r="D105" s="1013" t="s">
        <v>7723</v>
      </c>
      <c r="E105" s="1013" t="s">
        <v>7723</v>
      </c>
      <c r="F105" s="1013" t="s">
        <v>7723</v>
      </c>
      <c r="G105" s="1013" t="s">
        <v>7723</v>
      </c>
      <c r="H105" s="1013" t="s">
        <v>7723</v>
      </c>
      <c r="I105" s="1013" t="s">
        <v>7723</v>
      </c>
      <c r="J105" s="1013" t="s">
        <v>7723</v>
      </c>
      <c r="K105" s="1024">
        <v>43819</v>
      </c>
      <c r="L105" s="1023">
        <v>0.23194444444444445</v>
      </c>
      <c r="M105" s="1013" t="s">
        <v>7818</v>
      </c>
      <c r="N105" s="1013" t="s">
        <v>7724</v>
      </c>
      <c r="O105" s="1013">
        <v>101</v>
      </c>
      <c r="P105" s="1013">
        <v>208</v>
      </c>
      <c r="Q105" s="1013" t="s">
        <v>7723</v>
      </c>
      <c r="R105" s="1013" t="s">
        <v>7727</v>
      </c>
      <c r="S105" s="1013" t="s">
        <v>7724</v>
      </c>
      <c r="T105" s="1014" t="s">
        <v>7724</v>
      </c>
      <c r="U105" s="1014">
        <v>19</v>
      </c>
      <c r="V105" s="1014" t="s">
        <v>7724</v>
      </c>
      <c r="W105" s="1014" t="s">
        <v>7724</v>
      </c>
      <c r="X105" s="1013">
        <v>1</v>
      </c>
      <c r="Y105" s="1013">
        <v>4700</v>
      </c>
      <c r="Z105" s="1013" t="s">
        <v>7724</v>
      </c>
      <c r="AA105" s="1013" t="s">
        <v>7728</v>
      </c>
      <c r="AB105" s="1013" t="s">
        <v>7726</v>
      </c>
      <c r="AC105" s="1013" t="s">
        <v>7723</v>
      </c>
      <c r="AD105" s="1013" t="s">
        <v>7723</v>
      </c>
      <c r="AE105" s="1013">
        <v>25</v>
      </c>
      <c r="AF105" s="1013" t="s">
        <v>7723</v>
      </c>
      <c r="AG105" s="1013" t="s">
        <v>7723</v>
      </c>
      <c r="AH105" s="1013" t="s">
        <v>7739</v>
      </c>
      <c r="AI105" s="1013" t="s">
        <v>7727</v>
      </c>
      <c r="AJ105" s="1013">
        <v>19</v>
      </c>
      <c r="AK105" s="1013" t="s">
        <v>7724</v>
      </c>
      <c r="AL105" s="1013" t="s">
        <v>7724</v>
      </c>
      <c r="AM105" s="1013">
        <v>1</v>
      </c>
      <c r="AN105" s="1013">
        <v>1200</v>
      </c>
      <c r="AO105" s="1013" t="s">
        <v>7724</v>
      </c>
      <c r="AP105" s="1013" t="s">
        <v>7757</v>
      </c>
      <c r="AQ105" s="1013" t="s">
        <v>7726</v>
      </c>
      <c r="AR105" s="1013" t="s">
        <v>7724</v>
      </c>
      <c r="AS105" s="1013" t="s">
        <v>7724</v>
      </c>
      <c r="AT105" s="1013" t="s">
        <v>7724</v>
      </c>
      <c r="AU105" s="1013" t="s">
        <v>7724</v>
      </c>
      <c r="AV105" s="1013" t="s">
        <v>7724</v>
      </c>
      <c r="AW105" s="1013" t="s">
        <v>7724</v>
      </c>
      <c r="AX105" s="1013">
        <v>11</v>
      </c>
      <c r="AY105" s="1013">
        <v>3</v>
      </c>
      <c r="AZ105" s="1013">
        <v>4</v>
      </c>
      <c r="BA105" s="1013">
        <v>4</v>
      </c>
      <c r="BB105" s="1013">
        <v>1</v>
      </c>
      <c r="BC105" s="1013">
        <v>1</v>
      </c>
      <c r="BD105" s="1013">
        <v>5</v>
      </c>
      <c r="BE105" s="1023">
        <v>0.23194444444444445</v>
      </c>
      <c r="BF105" s="1013" t="s">
        <v>7729</v>
      </c>
      <c r="BG105" s="1023">
        <v>0.23819444444444443</v>
      </c>
      <c r="BH105" s="1024">
        <v>43819</v>
      </c>
      <c r="BI105" s="1013" t="s">
        <v>7727</v>
      </c>
      <c r="BJ105" s="1013" t="s">
        <v>7730</v>
      </c>
      <c r="BK105" s="1013">
        <v>2469</v>
      </c>
      <c r="BL105" s="1013" t="s">
        <v>7724</v>
      </c>
      <c r="BM105" s="1013" t="s">
        <v>7724</v>
      </c>
      <c r="BN105" s="1013">
        <v>113</v>
      </c>
      <c r="BO105" s="1013">
        <v>8</v>
      </c>
      <c r="BP105" s="1013">
        <v>2</v>
      </c>
      <c r="BQ105" s="1013">
        <v>1</v>
      </c>
      <c r="BR105" s="1013">
        <v>10</v>
      </c>
      <c r="BS105" s="1013">
        <v>64</v>
      </c>
      <c r="BT105" s="1013">
        <v>54</v>
      </c>
      <c r="BU105" s="1013">
        <v>1</v>
      </c>
      <c r="BV105" s="1013">
        <v>5</v>
      </c>
      <c r="BW105" s="1013">
        <v>1</v>
      </c>
      <c r="BX105" s="1013">
        <v>21</v>
      </c>
      <c r="BY105" s="1013">
        <v>21</v>
      </c>
      <c r="BZ105" s="1013">
        <v>101</v>
      </c>
      <c r="CA105" s="1013">
        <v>208</v>
      </c>
      <c r="CB105" s="1013">
        <v>29.731224999999998</v>
      </c>
      <c r="CC105" s="1013">
        <v>-95.382762999999997</v>
      </c>
      <c r="CD105" s="1013" t="s">
        <v>7724</v>
      </c>
      <c r="CE105" s="1013" t="s">
        <v>7724</v>
      </c>
      <c r="CF105" s="1013" t="s">
        <v>7724</v>
      </c>
      <c r="CG105" s="1013" t="s">
        <v>7724</v>
      </c>
      <c r="CH105" s="1013" t="s">
        <v>7732</v>
      </c>
      <c r="CI105" s="1013">
        <v>4701</v>
      </c>
      <c r="CJ105" s="1013" t="s">
        <v>7724</v>
      </c>
      <c r="CK105" s="1013" t="s">
        <v>7724</v>
      </c>
      <c r="CL105" s="1013" t="s">
        <v>7724</v>
      </c>
      <c r="CM105" s="1013" t="s">
        <v>7724</v>
      </c>
      <c r="CN105" s="1013" t="s">
        <v>7724</v>
      </c>
      <c r="CO105" s="1013" t="s">
        <v>7724</v>
      </c>
      <c r="CP105" s="1013" t="s">
        <v>7724</v>
      </c>
      <c r="CQ105" s="1013" t="s">
        <v>7724</v>
      </c>
      <c r="CR105" s="1013" t="s">
        <v>7758</v>
      </c>
      <c r="CS105" s="1013" t="s">
        <v>7724</v>
      </c>
      <c r="CT105" s="1013" t="s">
        <v>7724</v>
      </c>
      <c r="CU105" s="1013" t="s">
        <v>7724</v>
      </c>
      <c r="CV105" s="1013" t="s">
        <v>7724</v>
      </c>
      <c r="CW105" s="1013" t="s">
        <v>7727</v>
      </c>
      <c r="CX105" s="1013" t="s">
        <v>7723</v>
      </c>
      <c r="CY105" s="1013" t="s">
        <v>7723</v>
      </c>
      <c r="CZ105" s="1013">
        <v>5</v>
      </c>
      <c r="DA105" s="1013">
        <v>9</v>
      </c>
      <c r="DB105" s="1013" t="s">
        <v>7727</v>
      </c>
      <c r="DC105" s="1013" t="s">
        <v>7759</v>
      </c>
      <c r="DD105" s="1013" t="s">
        <v>7724</v>
      </c>
      <c r="DE105" s="1013" t="s">
        <v>7724</v>
      </c>
      <c r="DF105" s="1013" t="s">
        <v>7724</v>
      </c>
      <c r="DG105" s="1013" t="s">
        <v>7724</v>
      </c>
      <c r="DH105" s="1013" t="s">
        <v>7724</v>
      </c>
      <c r="DI105" s="1013" t="s">
        <v>7724</v>
      </c>
      <c r="DJ105" s="1013" t="s">
        <v>7724</v>
      </c>
      <c r="DK105" s="1013" t="s">
        <v>7724</v>
      </c>
      <c r="DL105" s="1013" t="s">
        <v>7724</v>
      </c>
      <c r="DM105" s="1013" t="s">
        <v>7724</v>
      </c>
      <c r="DN105" s="1013" t="s">
        <v>7724</v>
      </c>
      <c r="DO105" s="1013" t="s">
        <v>7724</v>
      </c>
      <c r="DP105" s="1013" t="s">
        <v>7724</v>
      </c>
      <c r="DQ105" s="1013" t="s">
        <v>7724</v>
      </c>
      <c r="DR105" s="1013" t="s">
        <v>7724</v>
      </c>
      <c r="DS105" s="1013" t="s">
        <v>7724</v>
      </c>
      <c r="DT105" s="1013" t="s">
        <v>7724</v>
      </c>
      <c r="DU105" s="1013" t="s">
        <v>7724</v>
      </c>
      <c r="DV105" s="1013" t="s">
        <v>7724</v>
      </c>
      <c r="DW105" s="1013" t="s">
        <v>7724</v>
      </c>
      <c r="DX105" s="1013" t="s">
        <v>7724</v>
      </c>
      <c r="DY105" s="1013" t="s">
        <v>7724</v>
      </c>
      <c r="DZ105" s="1013" t="s">
        <v>7724</v>
      </c>
      <c r="EA105" s="1013" t="s">
        <v>7724</v>
      </c>
      <c r="EB105" s="1013" t="s">
        <v>7724</v>
      </c>
      <c r="EC105" s="1013" t="s">
        <v>7724</v>
      </c>
      <c r="ED105" s="1013" t="s">
        <v>7724</v>
      </c>
      <c r="EE105" s="1013" t="s">
        <v>7724</v>
      </c>
      <c r="EF105" s="1013" t="s">
        <v>7724</v>
      </c>
      <c r="EG105" s="1013" t="s">
        <v>7724</v>
      </c>
      <c r="EH105" s="1013" t="s">
        <v>7724</v>
      </c>
      <c r="EI105" s="1013" t="s">
        <v>7724</v>
      </c>
      <c r="EJ105" s="1013" t="s">
        <v>7724</v>
      </c>
      <c r="EK105" s="1013" t="s">
        <v>7724</v>
      </c>
      <c r="EL105" s="1013" t="s">
        <v>7724</v>
      </c>
      <c r="EM105" s="1013" t="s">
        <v>7724</v>
      </c>
      <c r="EN105" s="1013" t="s">
        <v>7724</v>
      </c>
      <c r="EO105" s="1013" t="s">
        <v>7724</v>
      </c>
      <c r="EP105" s="1013" t="s">
        <v>7724</v>
      </c>
      <c r="EQ105" s="1013" t="s">
        <v>7724</v>
      </c>
      <c r="ER105" s="1013" t="s">
        <v>7724</v>
      </c>
      <c r="ES105" s="1013" t="s">
        <v>7724</v>
      </c>
      <c r="ET105" s="1013" t="s">
        <v>7724</v>
      </c>
      <c r="EU105" s="1013" t="s">
        <v>7724</v>
      </c>
      <c r="EV105" s="1013" t="s">
        <v>7724</v>
      </c>
      <c r="EW105" s="1013" t="s">
        <v>7724</v>
      </c>
      <c r="EX105" s="1013" t="s">
        <v>7724</v>
      </c>
      <c r="EY105" s="1013" t="s">
        <v>7724</v>
      </c>
      <c r="EZ105" s="1013" t="s">
        <v>7724</v>
      </c>
      <c r="FA105" s="1013" t="s">
        <v>7724</v>
      </c>
      <c r="FB105" s="1013" t="s">
        <v>7724</v>
      </c>
      <c r="FC105" s="1013" t="s">
        <v>7724</v>
      </c>
      <c r="FD105" s="1013" t="s">
        <v>7724</v>
      </c>
      <c r="FE105" s="1013" t="s">
        <v>7724</v>
      </c>
      <c r="FF105" s="1013" t="s">
        <v>7724</v>
      </c>
      <c r="FG105" s="1013">
        <v>0</v>
      </c>
      <c r="FH105" s="1013">
        <v>0</v>
      </c>
      <c r="FI105" s="1013">
        <v>0</v>
      </c>
      <c r="FJ105" s="1013">
        <v>2</v>
      </c>
      <c r="FK105" s="1013">
        <v>0</v>
      </c>
      <c r="FL105" s="1013">
        <v>0</v>
      </c>
      <c r="FM105" s="1013">
        <v>0</v>
      </c>
      <c r="FN105" s="1013">
        <v>15</v>
      </c>
      <c r="FO105" s="1013">
        <v>29</v>
      </c>
      <c r="FP105" s="1013">
        <v>9</v>
      </c>
      <c r="FQ105" s="1013" t="s">
        <v>7724</v>
      </c>
      <c r="FR105" s="1013" t="s">
        <v>7724</v>
      </c>
      <c r="FS105" s="1013" t="s">
        <v>7724</v>
      </c>
      <c r="FT105" s="1013" t="s">
        <v>7724</v>
      </c>
      <c r="FU105" s="1013" t="s">
        <v>7724</v>
      </c>
      <c r="FV105" s="1013" t="s">
        <v>7724</v>
      </c>
      <c r="FW105" s="1013" t="s">
        <v>7724</v>
      </c>
      <c r="FX105" s="1013" t="s">
        <v>7724</v>
      </c>
      <c r="FY105" s="1013" t="s">
        <v>7724</v>
      </c>
      <c r="FZ105" s="1013" t="s">
        <v>7724</v>
      </c>
      <c r="GA105" s="1013" t="s">
        <v>7724</v>
      </c>
      <c r="GB105" s="1013" t="s">
        <v>7724</v>
      </c>
      <c r="GC105" s="1013">
        <v>2019</v>
      </c>
      <c r="GD105" s="1013" t="s">
        <v>1404</v>
      </c>
      <c r="GE105" s="1013">
        <v>2</v>
      </c>
      <c r="GF105" s="1013" t="s">
        <v>1407</v>
      </c>
      <c r="GG105" s="1013" t="s">
        <v>1407</v>
      </c>
      <c r="GH105" s="1013" t="s">
        <v>8079</v>
      </c>
      <c r="GI105" s="1013" t="s">
        <v>7974</v>
      </c>
      <c r="GJ105" s="1013" t="s">
        <v>7974</v>
      </c>
      <c r="GK105" s="1013" t="s">
        <v>7974</v>
      </c>
      <c r="GL105" s="1013" t="s">
        <v>7974</v>
      </c>
    </row>
    <row r="106" spans="1:194" hidden="1">
      <c r="A106" s="1013">
        <v>146</v>
      </c>
      <c r="B106" s="1013" t="s">
        <v>7722</v>
      </c>
      <c r="C106" s="1013">
        <v>19398395</v>
      </c>
      <c r="D106" s="1013" t="s">
        <v>7723</v>
      </c>
      <c r="E106" s="1013" t="s">
        <v>7723</v>
      </c>
      <c r="F106" s="1013" t="s">
        <v>7723</v>
      </c>
      <c r="G106" s="1013" t="s">
        <v>7723</v>
      </c>
      <c r="H106" s="1013" t="s">
        <v>7723</v>
      </c>
      <c r="I106" s="1013" t="s">
        <v>7723</v>
      </c>
      <c r="J106" s="1013" t="s">
        <v>7723</v>
      </c>
      <c r="K106" s="1024">
        <v>44972</v>
      </c>
      <c r="L106" s="1023">
        <v>4.0972222222222222E-2</v>
      </c>
      <c r="M106" s="1013" t="s">
        <v>8080</v>
      </c>
      <c r="N106" s="1013" t="s">
        <v>7724</v>
      </c>
      <c r="O106" s="1013">
        <v>101</v>
      </c>
      <c r="P106" s="1013">
        <v>208</v>
      </c>
      <c r="Q106" s="1013" t="s">
        <v>7723</v>
      </c>
      <c r="R106" s="1013" t="s">
        <v>7727</v>
      </c>
      <c r="S106" s="1013" t="s">
        <v>7724</v>
      </c>
      <c r="T106" s="1014" t="s">
        <v>7724</v>
      </c>
      <c r="U106" s="1014">
        <v>19</v>
      </c>
      <c r="V106" s="1014" t="s">
        <v>7724</v>
      </c>
      <c r="W106" s="1014" t="s">
        <v>7724</v>
      </c>
      <c r="X106" s="1013">
        <v>1</v>
      </c>
      <c r="Y106" s="1013">
        <v>4700</v>
      </c>
      <c r="Z106" s="1013" t="s">
        <v>7724</v>
      </c>
      <c r="AA106" s="1013" t="s">
        <v>7728</v>
      </c>
      <c r="AB106" s="1013" t="s">
        <v>7724</v>
      </c>
      <c r="AC106" s="1013" t="s">
        <v>7723</v>
      </c>
      <c r="AD106" s="1013" t="s">
        <v>7723</v>
      </c>
      <c r="AE106" s="1013">
        <v>30</v>
      </c>
      <c r="AF106" s="1013" t="s">
        <v>7723</v>
      </c>
      <c r="AG106" s="1013" t="s">
        <v>7723</v>
      </c>
      <c r="AH106" s="1013" t="s">
        <v>7724</v>
      </c>
      <c r="AI106" s="1013" t="s">
        <v>7727</v>
      </c>
      <c r="AJ106" s="1013">
        <v>19</v>
      </c>
      <c r="AK106" s="1013" t="s">
        <v>7724</v>
      </c>
      <c r="AL106" s="1013" t="s">
        <v>7724</v>
      </c>
      <c r="AM106" s="1013">
        <v>1</v>
      </c>
      <c r="AN106" s="1013">
        <v>1200</v>
      </c>
      <c r="AO106" s="1013" t="s">
        <v>7724</v>
      </c>
      <c r="AP106" s="1013" t="s">
        <v>7757</v>
      </c>
      <c r="AQ106" s="1013" t="s">
        <v>7726</v>
      </c>
      <c r="AR106" s="1013" t="s">
        <v>7724</v>
      </c>
      <c r="AS106" s="1013" t="s">
        <v>7724</v>
      </c>
      <c r="AT106" s="1013" t="s">
        <v>7724</v>
      </c>
      <c r="AU106" s="1013" t="s">
        <v>7724</v>
      </c>
      <c r="AV106" s="1013" t="s">
        <v>7724</v>
      </c>
      <c r="AW106" s="1013" t="s">
        <v>7724</v>
      </c>
      <c r="AX106" s="1013">
        <v>11</v>
      </c>
      <c r="AY106" s="1013">
        <v>4</v>
      </c>
      <c r="AZ106" s="1013">
        <v>4</v>
      </c>
      <c r="BA106" s="1013">
        <v>4</v>
      </c>
      <c r="BB106" s="1013">
        <v>1</v>
      </c>
      <c r="BC106" s="1013">
        <v>1</v>
      </c>
      <c r="BD106" s="1013">
        <v>5</v>
      </c>
      <c r="BE106" s="1023">
        <v>4.0972222222222222E-2</v>
      </c>
      <c r="BF106" s="1013" t="s">
        <v>7794</v>
      </c>
      <c r="BG106" s="1023">
        <v>4.0972222222222222E-2</v>
      </c>
      <c r="BH106" s="1024">
        <v>44972</v>
      </c>
      <c r="BI106" s="1013" t="s">
        <v>7727</v>
      </c>
      <c r="BJ106" s="1013" t="s">
        <v>7730</v>
      </c>
      <c r="BK106" s="1013">
        <v>2469</v>
      </c>
      <c r="BL106" s="1013" t="s">
        <v>7724</v>
      </c>
      <c r="BM106" s="1013" t="s">
        <v>7724</v>
      </c>
      <c r="BN106" s="1013">
        <v>113</v>
      </c>
      <c r="BO106" s="1013">
        <v>8</v>
      </c>
      <c r="BP106" s="1013">
        <v>2</v>
      </c>
      <c r="BQ106" s="1013">
        <v>1</v>
      </c>
      <c r="BR106" s="1013">
        <v>10</v>
      </c>
      <c r="BS106" s="1013">
        <v>64</v>
      </c>
      <c r="BT106" s="1013">
        <v>54</v>
      </c>
      <c r="BU106" s="1013">
        <v>1</v>
      </c>
      <c r="BV106" s="1013">
        <v>5</v>
      </c>
      <c r="BW106" s="1013">
        <v>1</v>
      </c>
      <c r="BX106" s="1013">
        <v>21</v>
      </c>
      <c r="BY106" s="1013">
        <v>21</v>
      </c>
      <c r="BZ106" s="1013">
        <v>101</v>
      </c>
      <c r="CA106" s="1013">
        <v>208</v>
      </c>
      <c r="CB106" s="1013">
        <v>29.731224999999998</v>
      </c>
      <c r="CC106" s="1013">
        <v>-95.382762999999997</v>
      </c>
      <c r="CD106" s="1013" t="s">
        <v>7724</v>
      </c>
      <c r="CE106" s="1013" t="s">
        <v>7724</v>
      </c>
      <c r="CF106" s="1013" t="s">
        <v>7724</v>
      </c>
      <c r="CG106" s="1013" t="s">
        <v>7724</v>
      </c>
      <c r="CH106" s="1013" t="s">
        <v>7732</v>
      </c>
      <c r="CI106" s="1013">
        <v>4701</v>
      </c>
      <c r="CJ106" s="1013" t="s">
        <v>7724</v>
      </c>
      <c r="CK106" s="1013" t="s">
        <v>7724</v>
      </c>
      <c r="CL106" s="1013" t="s">
        <v>7724</v>
      </c>
      <c r="CM106" s="1013" t="s">
        <v>7724</v>
      </c>
      <c r="CN106" s="1013" t="s">
        <v>7724</v>
      </c>
      <c r="CO106" s="1013" t="s">
        <v>7724</v>
      </c>
      <c r="CP106" s="1013" t="s">
        <v>7724</v>
      </c>
      <c r="CQ106" s="1013" t="s">
        <v>7724</v>
      </c>
      <c r="CR106" s="1013" t="s">
        <v>7758</v>
      </c>
      <c r="CS106" s="1013" t="s">
        <v>7724</v>
      </c>
      <c r="CT106" s="1013" t="s">
        <v>7724</v>
      </c>
      <c r="CU106" s="1013" t="s">
        <v>7724</v>
      </c>
      <c r="CV106" s="1013" t="s">
        <v>7724</v>
      </c>
      <c r="CW106" s="1013" t="s">
        <v>7727</v>
      </c>
      <c r="CX106" s="1013" t="s">
        <v>7723</v>
      </c>
      <c r="CY106" s="1013" t="s">
        <v>7723</v>
      </c>
      <c r="CZ106" s="1013">
        <v>5</v>
      </c>
      <c r="DA106" s="1013">
        <v>9</v>
      </c>
      <c r="DB106" s="1013" t="s">
        <v>7727</v>
      </c>
      <c r="DC106" s="1013" t="s">
        <v>7756</v>
      </c>
      <c r="DD106" s="1013" t="s">
        <v>7724</v>
      </c>
      <c r="DE106" s="1013" t="s">
        <v>7724</v>
      </c>
      <c r="DF106" s="1013" t="s">
        <v>7724</v>
      </c>
      <c r="DG106" s="1013" t="s">
        <v>7724</v>
      </c>
      <c r="DH106" s="1013" t="s">
        <v>7724</v>
      </c>
      <c r="DI106" s="1013" t="s">
        <v>7724</v>
      </c>
      <c r="DJ106" s="1013" t="s">
        <v>7724</v>
      </c>
      <c r="DK106" s="1013" t="s">
        <v>7724</v>
      </c>
      <c r="DL106" s="1013" t="s">
        <v>7724</v>
      </c>
      <c r="DM106" s="1013" t="s">
        <v>7724</v>
      </c>
      <c r="DN106" s="1013" t="s">
        <v>7724</v>
      </c>
      <c r="DO106" s="1013" t="s">
        <v>7724</v>
      </c>
      <c r="DP106" s="1013" t="s">
        <v>7724</v>
      </c>
      <c r="DQ106" s="1013" t="s">
        <v>7724</v>
      </c>
      <c r="DR106" s="1013" t="s">
        <v>7724</v>
      </c>
      <c r="DS106" s="1013" t="s">
        <v>7724</v>
      </c>
      <c r="DT106" s="1013" t="s">
        <v>7724</v>
      </c>
      <c r="DU106" s="1013" t="s">
        <v>7724</v>
      </c>
      <c r="DV106" s="1013" t="s">
        <v>7724</v>
      </c>
      <c r="DW106" s="1013" t="s">
        <v>7724</v>
      </c>
      <c r="DX106" s="1013" t="s">
        <v>7724</v>
      </c>
      <c r="DY106" s="1013" t="s">
        <v>7724</v>
      </c>
      <c r="DZ106" s="1013" t="s">
        <v>7724</v>
      </c>
      <c r="EA106" s="1013" t="s">
        <v>7724</v>
      </c>
      <c r="EB106" s="1013" t="s">
        <v>7724</v>
      </c>
      <c r="EC106" s="1013" t="s">
        <v>7724</v>
      </c>
      <c r="ED106" s="1013" t="s">
        <v>7724</v>
      </c>
      <c r="EE106" s="1013" t="s">
        <v>7724</v>
      </c>
      <c r="EF106" s="1013" t="s">
        <v>7724</v>
      </c>
      <c r="EG106" s="1013" t="s">
        <v>7724</v>
      </c>
      <c r="EH106" s="1013" t="s">
        <v>7724</v>
      </c>
      <c r="EI106" s="1013" t="s">
        <v>7724</v>
      </c>
      <c r="EJ106" s="1013" t="s">
        <v>7724</v>
      </c>
      <c r="EK106" s="1013" t="s">
        <v>7724</v>
      </c>
      <c r="EL106" s="1013" t="s">
        <v>7724</v>
      </c>
      <c r="EM106" s="1013" t="s">
        <v>7724</v>
      </c>
      <c r="EN106" s="1013" t="s">
        <v>7724</v>
      </c>
      <c r="EO106" s="1013" t="s">
        <v>7724</v>
      </c>
      <c r="EP106" s="1013" t="s">
        <v>7724</v>
      </c>
      <c r="EQ106" s="1013" t="s">
        <v>7724</v>
      </c>
      <c r="ER106" s="1013" t="s">
        <v>7724</v>
      </c>
      <c r="ES106" s="1013" t="s">
        <v>7724</v>
      </c>
      <c r="ET106" s="1013" t="s">
        <v>7724</v>
      </c>
      <c r="EU106" s="1013" t="s">
        <v>7724</v>
      </c>
      <c r="EV106" s="1013" t="s">
        <v>7724</v>
      </c>
      <c r="EW106" s="1013" t="s">
        <v>7724</v>
      </c>
      <c r="EX106" s="1013" t="s">
        <v>7724</v>
      </c>
      <c r="EY106" s="1013" t="s">
        <v>7724</v>
      </c>
      <c r="EZ106" s="1013" t="s">
        <v>7724</v>
      </c>
      <c r="FA106" s="1013" t="s">
        <v>7724</v>
      </c>
      <c r="FB106" s="1013" t="s">
        <v>7724</v>
      </c>
      <c r="FC106" s="1013" t="s">
        <v>7724</v>
      </c>
      <c r="FD106" s="1013" t="s">
        <v>7724</v>
      </c>
      <c r="FE106" s="1013" t="s">
        <v>7724</v>
      </c>
      <c r="FF106" s="1013" t="s">
        <v>7724</v>
      </c>
      <c r="FG106" s="1013">
        <v>0</v>
      </c>
      <c r="FH106" s="1013">
        <v>0</v>
      </c>
      <c r="FI106" s="1013">
        <v>0</v>
      </c>
      <c r="FJ106" s="1013">
        <v>2</v>
      </c>
      <c r="FK106" s="1013">
        <v>0</v>
      </c>
      <c r="FL106" s="1013">
        <v>0</v>
      </c>
      <c r="FM106" s="1013">
        <v>0</v>
      </c>
      <c r="FN106" s="1013">
        <v>15</v>
      </c>
      <c r="FO106" s="1013">
        <v>29</v>
      </c>
      <c r="FP106" s="1013">
        <v>9</v>
      </c>
      <c r="FQ106" s="1013" t="s">
        <v>7724</v>
      </c>
      <c r="FR106" s="1013" t="s">
        <v>7724</v>
      </c>
      <c r="FS106" s="1013" t="s">
        <v>7724</v>
      </c>
      <c r="FT106" s="1013" t="s">
        <v>7724</v>
      </c>
      <c r="FU106" s="1013" t="s">
        <v>7724</v>
      </c>
      <c r="FV106" s="1013" t="s">
        <v>7724</v>
      </c>
      <c r="FW106" s="1013" t="s">
        <v>7724</v>
      </c>
      <c r="FX106" s="1013" t="s">
        <v>7724</v>
      </c>
      <c r="FY106" s="1013" t="s">
        <v>7724</v>
      </c>
      <c r="FZ106" s="1013" t="s">
        <v>7724</v>
      </c>
      <c r="GA106" s="1013" t="s">
        <v>7724</v>
      </c>
      <c r="GB106" s="1013" t="s">
        <v>7724</v>
      </c>
      <c r="GC106" s="1013">
        <v>2023</v>
      </c>
      <c r="GD106" s="1013" t="s">
        <v>1404</v>
      </c>
      <c r="GE106" s="1013">
        <v>2</v>
      </c>
      <c r="GF106" s="1013" t="s">
        <v>1407</v>
      </c>
      <c r="GG106" s="1013" t="s">
        <v>1407</v>
      </c>
      <c r="GH106" s="1013" t="s">
        <v>7985</v>
      </c>
      <c r="GI106" s="1013" t="s">
        <v>7974</v>
      </c>
      <c r="GJ106" s="1013" t="s">
        <v>7974</v>
      </c>
      <c r="GK106" s="1013" t="s">
        <v>7974</v>
      </c>
      <c r="GL106" s="1013" t="s">
        <v>7974</v>
      </c>
    </row>
    <row r="107" spans="1:194" hidden="1">
      <c r="A107" s="1013">
        <v>166</v>
      </c>
      <c r="B107" s="1013" t="s">
        <v>7722</v>
      </c>
      <c r="C107" s="1013">
        <v>18168535</v>
      </c>
      <c r="D107" s="1013" t="s">
        <v>7723</v>
      </c>
      <c r="E107" s="1013" t="s">
        <v>7723</v>
      </c>
      <c r="F107" s="1013" t="s">
        <v>7723</v>
      </c>
      <c r="G107" s="1013" t="s">
        <v>7723</v>
      </c>
      <c r="H107" s="1013" t="s">
        <v>7723</v>
      </c>
      <c r="I107" s="1013" t="s">
        <v>7723</v>
      </c>
      <c r="J107" s="1013" t="s">
        <v>7723</v>
      </c>
      <c r="K107" s="1024">
        <v>44265</v>
      </c>
      <c r="L107" s="1023">
        <v>0.9458333333333333</v>
      </c>
      <c r="M107" s="1013" t="s">
        <v>7847</v>
      </c>
      <c r="N107" s="1013" t="s">
        <v>7724</v>
      </c>
      <c r="O107" s="1013">
        <v>101</v>
      </c>
      <c r="P107" s="1013">
        <v>208</v>
      </c>
      <c r="Q107" s="1013" t="s">
        <v>7723</v>
      </c>
      <c r="R107" s="1013" t="s">
        <v>7727</v>
      </c>
      <c r="S107" s="1013" t="s">
        <v>7724</v>
      </c>
      <c r="T107" s="1014" t="s">
        <v>7724</v>
      </c>
      <c r="U107" s="1014">
        <v>19</v>
      </c>
      <c r="V107" s="1014" t="s">
        <v>7724</v>
      </c>
      <c r="W107" s="1014" t="s">
        <v>7724</v>
      </c>
      <c r="X107" s="1013">
        <v>1</v>
      </c>
      <c r="Y107" s="1013">
        <v>4600</v>
      </c>
      <c r="Z107" s="1013" t="s">
        <v>7724</v>
      </c>
      <c r="AA107" s="1013" t="s">
        <v>7728</v>
      </c>
      <c r="AB107" s="1013" t="s">
        <v>7726</v>
      </c>
      <c r="AC107" s="1013" t="s">
        <v>7723</v>
      </c>
      <c r="AD107" s="1013" t="s">
        <v>7723</v>
      </c>
      <c r="AE107" s="1013">
        <v>35</v>
      </c>
      <c r="AF107" s="1013" t="s">
        <v>7723</v>
      </c>
      <c r="AG107" s="1013" t="s">
        <v>7723</v>
      </c>
      <c r="AH107" s="1013" t="s">
        <v>7848</v>
      </c>
      <c r="AI107" s="1013" t="s">
        <v>7727</v>
      </c>
      <c r="AJ107" s="1013">
        <v>19</v>
      </c>
      <c r="AK107" s="1013" t="s">
        <v>7724</v>
      </c>
      <c r="AL107" s="1013" t="s">
        <v>7724</v>
      </c>
      <c r="AM107" s="1013">
        <v>1</v>
      </c>
      <c r="AN107" s="1013">
        <v>1200</v>
      </c>
      <c r="AO107" s="1013" t="s">
        <v>7724</v>
      </c>
      <c r="AP107" s="1013" t="s">
        <v>7757</v>
      </c>
      <c r="AQ107" s="1013" t="s">
        <v>7726</v>
      </c>
      <c r="AR107" s="1013" t="s">
        <v>7724</v>
      </c>
      <c r="AS107" s="1013" t="s">
        <v>7724</v>
      </c>
      <c r="AT107" s="1013" t="s">
        <v>7724</v>
      </c>
      <c r="AU107" s="1013" t="s">
        <v>7724</v>
      </c>
      <c r="AV107" s="1013" t="s">
        <v>7724</v>
      </c>
      <c r="AW107" s="1013" t="s">
        <v>7724</v>
      </c>
      <c r="AX107" s="1013">
        <v>11</v>
      </c>
      <c r="AY107" s="1013">
        <v>4</v>
      </c>
      <c r="AZ107" s="1013">
        <v>4</v>
      </c>
      <c r="BA107" s="1013">
        <v>4</v>
      </c>
      <c r="BB107" s="1013">
        <v>1</v>
      </c>
      <c r="BC107" s="1013">
        <v>1</v>
      </c>
      <c r="BD107" s="1013">
        <v>21</v>
      </c>
      <c r="BE107" s="1023">
        <v>0.9458333333333333</v>
      </c>
      <c r="BF107" s="1013" t="s">
        <v>7729</v>
      </c>
      <c r="BG107" s="1023">
        <v>0.9458333333333333</v>
      </c>
      <c r="BH107" s="1024">
        <v>44280</v>
      </c>
      <c r="BI107" s="1013" t="s">
        <v>7727</v>
      </c>
      <c r="BJ107" s="1013" t="s">
        <v>7730</v>
      </c>
      <c r="BK107" s="1013">
        <v>2469</v>
      </c>
      <c r="BL107" s="1013" t="s">
        <v>7724</v>
      </c>
      <c r="BM107" s="1013" t="s">
        <v>7724</v>
      </c>
      <c r="BN107" s="1013">
        <v>113</v>
      </c>
      <c r="BO107" s="1013">
        <v>8</v>
      </c>
      <c r="BP107" s="1013">
        <v>2</v>
      </c>
      <c r="BQ107" s="1013">
        <v>1</v>
      </c>
      <c r="BR107" s="1013">
        <v>10</v>
      </c>
      <c r="BS107" s="1013">
        <v>64</v>
      </c>
      <c r="BT107" s="1013">
        <v>54</v>
      </c>
      <c r="BU107" s="1013">
        <v>1</v>
      </c>
      <c r="BV107" s="1013">
        <v>5</v>
      </c>
      <c r="BW107" s="1013">
        <v>1</v>
      </c>
      <c r="BX107" s="1013">
        <v>21</v>
      </c>
      <c r="BY107" s="1013">
        <v>21</v>
      </c>
      <c r="BZ107" s="1013">
        <v>101</v>
      </c>
      <c r="CA107" s="1013">
        <v>208</v>
      </c>
      <c r="CB107" s="1013">
        <v>29.731224999999998</v>
      </c>
      <c r="CC107" s="1013">
        <v>-95.382762999999997</v>
      </c>
      <c r="CD107" s="1013" t="s">
        <v>7724</v>
      </c>
      <c r="CE107" s="1013" t="s">
        <v>7724</v>
      </c>
      <c r="CF107" s="1013" t="s">
        <v>7724</v>
      </c>
      <c r="CG107" s="1013" t="s">
        <v>7724</v>
      </c>
      <c r="CH107" s="1013" t="s">
        <v>7732</v>
      </c>
      <c r="CI107" s="1013">
        <v>4701</v>
      </c>
      <c r="CJ107" s="1013" t="s">
        <v>7724</v>
      </c>
      <c r="CK107" s="1013" t="s">
        <v>7724</v>
      </c>
      <c r="CL107" s="1013" t="s">
        <v>7724</v>
      </c>
      <c r="CM107" s="1013" t="s">
        <v>7724</v>
      </c>
      <c r="CN107" s="1013" t="s">
        <v>7724</v>
      </c>
      <c r="CO107" s="1013" t="s">
        <v>7724</v>
      </c>
      <c r="CP107" s="1013" t="s">
        <v>7724</v>
      </c>
      <c r="CQ107" s="1013" t="s">
        <v>7724</v>
      </c>
      <c r="CR107" s="1013" t="s">
        <v>7758</v>
      </c>
      <c r="CS107" s="1013" t="s">
        <v>7724</v>
      </c>
      <c r="CT107" s="1013" t="s">
        <v>7724</v>
      </c>
      <c r="CU107" s="1013" t="s">
        <v>7724</v>
      </c>
      <c r="CV107" s="1013" t="s">
        <v>7724</v>
      </c>
      <c r="CW107" s="1013" t="s">
        <v>7727</v>
      </c>
      <c r="CX107" s="1013" t="s">
        <v>7723</v>
      </c>
      <c r="CY107" s="1013" t="s">
        <v>7723</v>
      </c>
      <c r="CZ107" s="1013">
        <v>3</v>
      </c>
      <c r="DA107" s="1013">
        <v>9</v>
      </c>
      <c r="DB107" s="1013" t="s">
        <v>7727</v>
      </c>
      <c r="DC107" s="1013" t="s">
        <v>7756</v>
      </c>
      <c r="DD107" s="1013" t="s">
        <v>7724</v>
      </c>
      <c r="DE107" s="1013" t="s">
        <v>7724</v>
      </c>
      <c r="DF107" s="1013" t="s">
        <v>7724</v>
      </c>
      <c r="DG107" s="1013" t="s">
        <v>7724</v>
      </c>
      <c r="DH107" s="1013" t="s">
        <v>7724</v>
      </c>
      <c r="DI107" s="1013" t="s">
        <v>7724</v>
      </c>
      <c r="DJ107" s="1013" t="s">
        <v>7724</v>
      </c>
      <c r="DK107" s="1013" t="s">
        <v>7724</v>
      </c>
      <c r="DL107" s="1013" t="s">
        <v>7724</v>
      </c>
      <c r="DM107" s="1013" t="s">
        <v>7724</v>
      </c>
      <c r="DN107" s="1013" t="s">
        <v>7724</v>
      </c>
      <c r="DO107" s="1013" t="s">
        <v>7724</v>
      </c>
      <c r="DP107" s="1013" t="s">
        <v>7724</v>
      </c>
      <c r="DQ107" s="1013" t="s">
        <v>7724</v>
      </c>
      <c r="DR107" s="1013" t="s">
        <v>7724</v>
      </c>
      <c r="DS107" s="1013" t="s">
        <v>7724</v>
      </c>
      <c r="DT107" s="1013" t="s">
        <v>7724</v>
      </c>
      <c r="DU107" s="1013" t="s">
        <v>7724</v>
      </c>
      <c r="DV107" s="1013" t="s">
        <v>7724</v>
      </c>
      <c r="DW107" s="1013" t="s">
        <v>7724</v>
      </c>
      <c r="DX107" s="1013" t="s">
        <v>7724</v>
      </c>
      <c r="DY107" s="1013" t="s">
        <v>7724</v>
      </c>
      <c r="DZ107" s="1013" t="s">
        <v>7724</v>
      </c>
      <c r="EA107" s="1013" t="s">
        <v>7724</v>
      </c>
      <c r="EB107" s="1013" t="s">
        <v>7724</v>
      </c>
      <c r="EC107" s="1013" t="s">
        <v>7724</v>
      </c>
      <c r="ED107" s="1013" t="s">
        <v>7724</v>
      </c>
      <c r="EE107" s="1013" t="s">
        <v>7724</v>
      </c>
      <c r="EF107" s="1013" t="s">
        <v>7724</v>
      </c>
      <c r="EG107" s="1013" t="s">
        <v>7724</v>
      </c>
      <c r="EH107" s="1013" t="s">
        <v>7724</v>
      </c>
      <c r="EI107" s="1013" t="s">
        <v>7724</v>
      </c>
      <c r="EJ107" s="1013" t="s">
        <v>7724</v>
      </c>
      <c r="EK107" s="1013" t="s">
        <v>7724</v>
      </c>
      <c r="EL107" s="1013" t="s">
        <v>7724</v>
      </c>
      <c r="EM107" s="1013" t="s">
        <v>7724</v>
      </c>
      <c r="EN107" s="1013" t="s">
        <v>7724</v>
      </c>
      <c r="EO107" s="1013" t="s">
        <v>7724</v>
      </c>
      <c r="EP107" s="1013" t="s">
        <v>7724</v>
      </c>
      <c r="EQ107" s="1013" t="s">
        <v>7724</v>
      </c>
      <c r="ER107" s="1013" t="s">
        <v>7724</v>
      </c>
      <c r="ES107" s="1013" t="s">
        <v>7724</v>
      </c>
      <c r="ET107" s="1013" t="s">
        <v>7724</v>
      </c>
      <c r="EU107" s="1013" t="s">
        <v>7724</v>
      </c>
      <c r="EV107" s="1013" t="s">
        <v>7724</v>
      </c>
      <c r="EW107" s="1013" t="s">
        <v>7724</v>
      </c>
      <c r="EX107" s="1013" t="s">
        <v>7724</v>
      </c>
      <c r="EY107" s="1013" t="s">
        <v>7724</v>
      </c>
      <c r="EZ107" s="1013" t="s">
        <v>7724</v>
      </c>
      <c r="FA107" s="1013" t="s">
        <v>7724</v>
      </c>
      <c r="FB107" s="1013" t="s">
        <v>7724</v>
      </c>
      <c r="FC107" s="1013" t="s">
        <v>7724</v>
      </c>
      <c r="FD107" s="1013" t="s">
        <v>7724</v>
      </c>
      <c r="FE107" s="1013" t="s">
        <v>7724</v>
      </c>
      <c r="FF107" s="1013" t="s">
        <v>7724</v>
      </c>
      <c r="FG107" s="1013">
        <v>0</v>
      </c>
      <c r="FH107" s="1013">
        <v>0</v>
      </c>
      <c r="FI107" s="1013">
        <v>1</v>
      </c>
      <c r="FJ107" s="1013">
        <v>4</v>
      </c>
      <c r="FK107" s="1013">
        <v>0</v>
      </c>
      <c r="FL107" s="1013">
        <v>1</v>
      </c>
      <c r="FM107" s="1013">
        <v>0</v>
      </c>
      <c r="FN107" s="1013">
        <v>15</v>
      </c>
      <c r="FO107" s="1013">
        <v>29</v>
      </c>
      <c r="FP107" s="1013">
        <v>9</v>
      </c>
      <c r="FQ107" s="1013" t="s">
        <v>7724</v>
      </c>
      <c r="FR107" s="1013" t="s">
        <v>7724</v>
      </c>
      <c r="FS107" s="1013" t="s">
        <v>7724</v>
      </c>
      <c r="FT107" s="1013" t="s">
        <v>7724</v>
      </c>
      <c r="FU107" s="1013" t="s">
        <v>7724</v>
      </c>
      <c r="FV107" s="1013" t="s">
        <v>7724</v>
      </c>
      <c r="FW107" s="1013" t="s">
        <v>7724</v>
      </c>
      <c r="FX107" s="1013" t="s">
        <v>7724</v>
      </c>
      <c r="FY107" s="1013" t="s">
        <v>7724</v>
      </c>
      <c r="FZ107" s="1013" t="s">
        <v>7724</v>
      </c>
      <c r="GA107" s="1013" t="s">
        <v>7724</v>
      </c>
      <c r="GB107" s="1013" t="s">
        <v>7724</v>
      </c>
      <c r="GC107" s="1013">
        <v>2021</v>
      </c>
      <c r="GD107" s="1013" t="s">
        <v>1407</v>
      </c>
      <c r="GE107" s="1013">
        <v>2</v>
      </c>
      <c r="GF107" s="1013" t="s">
        <v>1407</v>
      </c>
      <c r="GG107" s="1013" t="s">
        <v>1407</v>
      </c>
      <c r="GH107" s="1013" t="s">
        <v>8081</v>
      </c>
      <c r="GI107" s="1013" t="s">
        <v>7974</v>
      </c>
      <c r="GJ107" s="1013" t="s">
        <v>7974</v>
      </c>
      <c r="GK107" s="1013" t="s">
        <v>7974</v>
      </c>
      <c r="GL107" s="1013" t="s">
        <v>7974</v>
      </c>
    </row>
    <row r="108" spans="1:194" hidden="1">
      <c r="A108" s="1013">
        <v>180</v>
      </c>
      <c r="B108" s="1013" t="s">
        <v>7722</v>
      </c>
      <c r="C108" s="1013">
        <v>18398394</v>
      </c>
      <c r="D108" s="1013" t="s">
        <v>7723</v>
      </c>
      <c r="E108" s="1013" t="s">
        <v>7723</v>
      </c>
      <c r="F108" s="1013" t="s">
        <v>7723</v>
      </c>
      <c r="G108" s="1013" t="s">
        <v>7723</v>
      </c>
      <c r="H108" s="1013" t="s">
        <v>7723</v>
      </c>
      <c r="I108" s="1013" t="s">
        <v>7723</v>
      </c>
      <c r="J108" s="1013" t="s">
        <v>7723</v>
      </c>
      <c r="K108" s="1024">
        <v>44410</v>
      </c>
      <c r="L108" s="1023">
        <v>0.4375</v>
      </c>
      <c r="M108" s="1013" t="s">
        <v>7856</v>
      </c>
      <c r="N108" s="1013" t="s">
        <v>7724</v>
      </c>
      <c r="O108" s="1013">
        <v>101</v>
      </c>
      <c r="P108" s="1013">
        <v>208</v>
      </c>
      <c r="Q108" s="1013" t="s">
        <v>7723</v>
      </c>
      <c r="R108" s="1013" t="s">
        <v>7727</v>
      </c>
      <c r="S108" s="1013" t="s">
        <v>7724</v>
      </c>
      <c r="T108" s="1014" t="s">
        <v>7724</v>
      </c>
      <c r="U108" s="1014">
        <v>19</v>
      </c>
      <c r="V108" s="1014" t="s">
        <v>7724</v>
      </c>
      <c r="W108" s="1014" t="s">
        <v>7724</v>
      </c>
      <c r="X108" s="1013">
        <v>1</v>
      </c>
      <c r="Y108" s="1013">
        <v>4600</v>
      </c>
      <c r="Z108" s="1013" t="s">
        <v>7724</v>
      </c>
      <c r="AA108" s="1013" t="s">
        <v>7728</v>
      </c>
      <c r="AB108" s="1013" t="s">
        <v>7724</v>
      </c>
      <c r="AC108" s="1013" t="s">
        <v>7723</v>
      </c>
      <c r="AD108" s="1013" t="s">
        <v>7723</v>
      </c>
      <c r="AE108" s="1013">
        <v>35</v>
      </c>
      <c r="AF108" s="1013" t="s">
        <v>7723</v>
      </c>
      <c r="AG108" s="1013" t="s">
        <v>7723</v>
      </c>
      <c r="AH108" s="1013" t="s">
        <v>7724</v>
      </c>
      <c r="AI108" s="1013" t="s">
        <v>7727</v>
      </c>
      <c r="AJ108" s="1013">
        <v>19</v>
      </c>
      <c r="AK108" s="1013" t="s">
        <v>7724</v>
      </c>
      <c r="AL108" s="1013" t="s">
        <v>7724</v>
      </c>
      <c r="AM108" s="1013">
        <v>1</v>
      </c>
      <c r="AN108" s="1013" t="s">
        <v>7724</v>
      </c>
      <c r="AO108" s="1013" t="s">
        <v>7724</v>
      </c>
      <c r="AP108" s="1013" t="s">
        <v>7757</v>
      </c>
      <c r="AQ108" s="1013" t="s">
        <v>7726</v>
      </c>
      <c r="AR108" s="1013" t="s">
        <v>7724</v>
      </c>
      <c r="AS108" s="1013" t="s">
        <v>7724</v>
      </c>
      <c r="AT108" s="1013" t="s">
        <v>7724</v>
      </c>
      <c r="AU108" s="1013" t="s">
        <v>7724</v>
      </c>
      <c r="AV108" s="1013" t="s">
        <v>7724</v>
      </c>
      <c r="AW108" s="1013" t="s">
        <v>7724</v>
      </c>
      <c r="AX108" s="1013">
        <v>11</v>
      </c>
      <c r="AY108" s="1013">
        <v>1</v>
      </c>
      <c r="AZ108" s="1013">
        <v>4</v>
      </c>
      <c r="BA108" s="1013">
        <v>4</v>
      </c>
      <c r="BB108" s="1013">
        <v>1</v>
      </c>
      <c r="BC108" s="1013">
        <v>1</v>
      </c>
      <c r="BD108" s="1013">
        <v>1</v>
      </c>
      <c r="BE108" s="1023">
        <v>0.4375</v>
      </c>
      <c r="BF108" s="1013" t="s">
        <v>7729</v>
      </c>
      <c r="BG108" s="1023">
        <v>0.44166666666666665</v>
      </c>
      <c r="BH108" s="1024">
        <v>44410</v>
      </c>
      <c r="BI108" s="1013" t="s">
        <v>7727</v>
      </c>
      <c r="BJ108" s="1013" t="s">
        <v>7730</v>
      </c>
      <c r="BK108" s="1013">
        <v>2469</v>
      </c>
      <c r="BL108" s="1013" t="s">
        <v>7724</v>
      </c>
      <c r="BM108" s="1013" t="s">
        <v>7724</v>
      </c>
      <c r="BN108" s="1013">
        <v>113</v>
      </c>
      <c r="BO108" s="1013">
        <v>8</v>
      </c>
      <c r="BP108" s="1013">
        <v>2</v>
      </c>
      <c r="BQ108" s="1013">
        <v>1</v>
      </c>
      <c r="BR108" s="1013">
        <v>24</v>
      </c>
      <c r="BS108" s="1013">
        <v>64</v>
      </c>
      <c r="BT108" s="1013">
        <v>9</v>
      </c>
      <c r="BU108" s="1013">
        <v>1</v>
      </c>
      <c r="BV108" s="1013">
        <v>5</v>
      </c>
      <c r="BW108" s="1013">
        <v>1</v>
      </c>
      <c r="BX108" s="1013">
        <v>21</v>
      </c>
      <c r="BY108" s="1013">
        <v>21</v>
      </c>
      <c r="BZ108" s="1013">
        <v>101</v>
      </c>
      <c r="CA108" s="1013">
        <v>208</v>
      </c>
      <c r="CB108" s="1013">
        <v>29.731224999999998</v>
      </c>
      <c r="CC108" s="1013">
        <v>-95.382762999999997</v>
      </c>
      <c r="CD108" s="1013" t="s">
        <v>7724</v>
      </c>
      <c r="CE108" s="1013" t="s">
        <v>7724</v>
      </c>
      <c r="CF108" s="1013" t="s">
        <v>7724</v>
      </c>
      <c r="CG108" s="1013" t="s">
        <v>7724</v>
      </c>
      <c r="CH108" s="1013" t="s">
        <v>7732</v>
      </c>
      <c r="CI108" s="1013">
        <v>4701</v>
      </c>
      <c r="CJ108" s="1013" t="s">
        <v>7724</v>
      </c>
      <c r="CK108" s="1013" t="s">
        <v>7724</v>
      </c>
      <c r="CL108" s="1013" t="s">
        <v>7724</v>
      </c>
      <c r="CM108" s="1013" t="s">
        <v>7724</v>
      </c>
      <c r="CN108" s="1013" t="s">
        <v>7724</v>
      </c>
      <c r="CO108" s="1013" t="s">
        <v>7724</v>
      </c>
      <c r="CP108" s="1013" t="s">
        <v>7724</v>
      </c>
      <c r="CQ108" s="1013" t="s">
        <v>7724</v>
      </c>
      <c r="CR108" s="1013" t="s">
        <v>7758</v>
      </c>
      <c r="CS108" s="1013" t="s">
        <v>7724</v>
      </c>
      <c r="CT108" s="1013" t="s">
        <v>7724</v>
      </c>
      <c r="CU108" s="1013" t="s">
        <v>7724</v>
      </c>
      <c r="CV108" s="1013" t="s">
        <v>7724</v>
      </c>
      <c r="CW108" s="1013" t="s">
        <v>7727</v>
      </c>
      <c r="CX108" s="1013" t="s">
        <v>7723</v>
      </c>
      <c r="CY108" s="1013" t="s">
        <v>7723</v>
      </c>
      <c r="CZ108" s="1013">
        <v>5</v>
      </c>
      <c r="DA108" s="1013">
        <v>9</v>
      </c>
      <c r="DB108" s="1013" t="s">
        <v>7727</v>
      </c>
      <c r="DC108" s="1013" t="s">
        <v>7743</v>
      </c>
      <c r="DD108" s="1013" t="s">
        <v>7724</v>
      </c>
      <c r="DE108" s="1013" t="s">
        <v>7724</v>
      </c>
      <c r="DF108" s="1013" t="s">
        <v>7724</v>
      </c>
      <c r="DG108" s="1013" t="s">
        <v>7724</v>
      </c>
      <c r="DH108" s="1013" t="s">
        <v>7724</v>
      </c>
      <c r="DI108" s="1013" t="s">
        <v>7724</v>
      </c>
      <c r="DJ108" s="1013" t="s">
        <v>7724</v>
      </c>
      <c r="DK108" s="1013" t="s">
        <v>7724</v>
      </c>
      <c r="DL108" s="1013" t="s">
        <v>7724</v>
      </c>
      <c r="DM108" s="1013" t="s">
        <v>7724</v>
      </c>
      <c r="DN108" s="1013" t="s">
        <v>7724</v>
      </c>
      <c r="DO108" s="1013" t="s">
        <v>7724</v>
      </c>
      <c r="DP108" s="1013" t="s">
        <v>7724</v>
      </c>
      <c r="DQ108" s="1013" t="s">
        <v>7724</v>
      </c>
      <c r="DR108" s="1013" t="s">
        <v>7724</v>
      </c>
      <c r="DS108" s="1013" t="s">
        <v>7724</v>
      </c>
      <c r="DT108" s="1013" t="s">
        <v>7724</v>
      </c>
      <c r="DU108" s="1013" t="s">
        <v>7724</v>
      </c>
      <c r="DV108" s="1013" t="s">
        <v>7724</v>
      </c>
      <c r="DW108" s="1013" t="s">
        <v>7724</v>
      </c>
      <c r="DX108" s="1013" t="s">
        <v>7724</v>
      </c>
      <c r="DY108" s="1013" t="s">
        <v>7724</v>
      </c>
      <c r="DZ108" s="1013" t="s">
        <v>7724</v>
      </c>
      <c r="EA108" s="1013" t="s">
        <v>7724</v>
      </c>
      <c r="EB108" s="1013" t="s">
        <v>7724</v>
      </c>
      <c r="EC108" s="1013" t="s">
        <v>7724</v>
      </c>
      <c r="ED108" s="1013" t="s">
        <v>7724</v>
      </c>
      <c r="EE108" s="1013" t="s">
        <v>7724</v>
      </c>
      <c r="EF108" s="1013" t="s">
        <v>7724</v>
      </c>
      <c r="EG108" s="1013" t="s">
        <v>7724</v>
      </c>
      <c r="EH108" s="1013" t="s">
        <v>7724</v>
      </c>
      <c r="EI108" s="1013" t="s">
        <v>7724</v>
      </c>
      <c r="EJ108" s="1013" t="s">
        <v>7724</v>
      </c>
      <c r="EK108" s="1013" t="s">
        <v>7724</v>
      </c>
      <c r="EL108" s="1013" t="s">
        <v>7724</v>
      </c>
      <c r="EM108" s="1013" t="s">
        <v>7724</v>
      </c>
      <c r="EN108" s="1013" t="s">
        <v>7724</v>
      </c>
      <c r="EO108" s="1013" t="s">
        <v>7724</v>
      </c>
      <c r="EP108" s="1013" t="s">
        <v>7724</v>
      </c>
      <c r="EQ108" s="1013" t="s">
        <v>7724</v>
      </c>
      <c r="ER108" s="1013" t="s">
        <v>7724</v>
      </c>
      <c r="ES108" s="1013" t="s">
        <v>7724</v>
      </c>
      <c r="ET108" s="1013" t="s">
        <v>7724</v>
      </c>
      <c r="EU108" s="1013" t="s">
        <v>7724</v>
      </c>
      <c r="EV108" s="1013" t="s">
        <v>7724</v>
      </c>
      <c r="EW108" s="1013" t="s">
        <v>7724</v>
      </c>
      <c r="EX108" s="1013" t="s">
        <v>7724</v>
      </c>
      <c r="EY108" s="1013" t="s">
        <v>7724</v>
      </c>
      <c r="EZ108" s="1013" t="s">
        <v>7724</v>
      </c>
      <c r="FA108" s="1013" t="s">
        <v>7724</v>
      </c>
      <c r="FB108" s="1013" t="s">
        <v>7724</v>
      </c>
      <c r="FC108" s="1013" t="s">
        <v>7724</v>
      </c>
      <c r="FD108" s="1013" t="s">
        <v>7724</v>
      </c>
      <c r="FE108" s="1013" t="s">
        <v>7724</v>
      </c>
      <c r="FF108" s="1013" t="s">
        <v>7724</v>
      </c>
      <c r="FG108" s="1013">
        <v>0</v>
      </c>
      <c r="FH108" s="1013">
        <v>0</v>
      </c>
      <c r="FI108" s="1013">
        <v>0</v>
      </c>
      <c r="FJ108" s="1013">
        <v>2</v>
      </c>
      <c r="FK108" s="1013">
        <v>0</v>
      </c>
      <c r="FL108" s="1013">
        <v>0</v>
      </c>
      <c r="FM108" s="1013">
        <v>0</v>
      </c>
      <c r="FN108" s="1013">
        <v>15</v>
      </c>
      <c r="FO108" s="1013">
        <v>29</v>
      </c>
      <c r="FP108" s="1013">
        <v>9</v>
      </c>
      <c r="FQ108" s="1013" t="s">
        <v>7724</v>
      </c>
      <c r="FR108" s="1013" t="s">
        <v>7724</v>
      </c>
      <c r="FS108" s="1013" t="s">
        <v>7724</v>
      </c>
      <c r="FT108" s="1013" t="s">
        <v>7724</v>
      </c>
      <c r="FU108" s="1013" t="s">
        <v>7724</v>
      </c>
      <c r="FV108" s="1013" t="s">
        <v>7724</v>
      </c>
      <c r="FW108" s="1013" t="s">
        <v>7724</v>
      </c>
      <c r="FX108" s="1013" t="s">
        <v>7724</v>
      </c>
      <c r="FY108" s="1013" t="s">
        <v>7724</v>
      </c>
      <c r="FZ108" s="1013" t="s">
        <v>7724</v>
      </c>
      <c r="GA108" s="1013" t="s">
        <v>7724</v>
      </c>
      <c r="GB108" s="1013" t="s">
        <v>7724</v>
      </c>
      <c r="GC108" s="1013">
        <v>2021</v>
      </c>
      <c r="GD108" s="1013" t="s">
        <v>1404</v>
      </c>
      <c r="GE108" s="1013">
        <v>2</v>
      </c>
      <c r="GF108" s="1013" t="s">
        <v>1407</v>
      </c>
      <c r="GG108" s="1013" t="s">
        <v>1407</v>
      </c>
      <c r="GH108" s="1013" t="s">
        <v>7995</v>
      </c>
      <c r="GI108" s="1013" t="s">
        <v>7974</v>
      </c>
      <c r="GJ108" s="1013" t="s">
        <v>7974</v>
      </c>
      <c r="GK108" s="1013" t="s">
        <v>7974</v>
      </c>
      <c r="GL108" s="1013" t="s">
        <v>7974</v>
      </c>
    </row>
    <row r="109" spans="1:194" hidden="1">
      <c r="A109" s="1013">
        <v>190</v>
      </c>
      <c r="B109" s="1013" t="s">
        <v>7722</v>
      </c>
      <c r="C109" s="1013">
        <v>18649872</v>
      </c>
      <c r="D109" s="1013" t="s">
        <v>7723</v>
      </c>
      <c r="E109" s="1013" t="s">
        <v>7723</v>
      </c>
      <c r="F109" s="1013" t="s">
        <v>7723</v>
      </c>
      <c r="G109" s="1013" t="s">
        <v>7723</v>
      </c>
      <c r="H109" s="1013" t="s">
        <v>7723</v>
      </c>
      <c r="I109" s="1013" t="s">
        <v>7723</v>
      </c>
      <c r="J109" s="1013" t="s">
        <v>7723</v>
      </c>
      <c r="K109" s="1024">
        <v>44532</v>
      </c>
      <c r="L109" s="1023">
        <v>0.88263888888888886</v>
      </c>
      <c r="M109" s="1013" t="s">
        <v>7861</v>
      </c>
      <c r="N109" s="1013" t="s">
        <v>7724</v>
      </c>
      <c r="O109" s="1013">
        <v>101</v>
      </c>
      <c r="P109" s="1013">
        <v>208</v>
      </c>
      <c r="Q109" s="1013" t="s">
        <v>7723</v>
      </c>
      <c r="R109" s="1013" t="s">
        <v>7727</v>
      </c>
      <c r="S109" s="1013" t="s">
        <v>7724</v>
      </c>
      <c r="T109" s="1014" t="s">
        <v>7724</v>
      </c>
      <c r="U109" s="1014">
        <v>19</v>
      </c>
      <c r="V109" s="1014" t="s">
        <v>7724</v>
      </c>
      <c r="W109" s="1014" t="s">
        <v>7724</v>
      </c>
      <c r="X109" s="1013">
        <v>1</v>
      </c>
      <c r="Y109" s="1013">
        <v>4700</v>
      </c>
      <c r="Z109" s="1013" t="s">
        <v>7724</v>
      </c>
      <c r="AA109" s="1013" t="s">
        <v>7728</v>
      </c>
      <c r="AB109" s="1013" t="s">
        <v>7726</v>
      </c>
      <c r="AC109" s="1013" t="s">
        <v>7723</v>
      </c>
      <c r="AD109" s="1013" t="s">
        <v>7723</v>
      </c>
      <c r="AE109" s="1013">
        <v>40</v>
      </c>
      <c r="AF109" s="1013" t="s">
        <v>7723</v>
      </c>
      <c r="AG109" s="1013" t="s">
        <v>7723</v>
      </c>
      <c r="AH109" s="1013" t="s">
        <v>7739</v>
      </c>
      <c r="AI109" s="1013" t="s">
        <v>7727</v>
      </c>
      <c r="AJ109" s="1013">
        <v>19</v>
      </c>
      <c r="AK109" s="1013" t="s">
        <v>7724</v>
      </c>
      <c r="AL109" s="1013" t="s">
        <v>7724</v>
      </c>
      <c r="AM109" s="1013">
        <v>1</v>
      </c>
      <c r="AN109" s="1013">
        <v>1200</v>
      </c>
      <c r="AO109" s="1013" t="s">
        <v>7724</v>
      </c>
      <c r="AP109" s="1013" t="s">
        <v>7757</v>
      </c>
      <c r="AQ109" s="1013" t="s">
        <v>7726</v>
      </c>
      <c r="AR109" s="1013" t="s">
        <v>7724</v>
      </c>
      <c r="AS109" s="1013" t="s">
        <v>7724</v>
      </c>
      <c r="AT109" s="1013" t="s">
        <v>7724</v>
      </c>
      <c r="AU109" s="1013" t="s">
        <v>7724</v>
      </c>
      <c r="AV109" s="1013" t="s">
        <v>7724</v>
      </c>
      <c r="AW109" s="1013" t="s">
        <v>7724</v>
      </c>
      <c r="AX109" s="1013">
        <v>11</v>
      </c>
      <c r="AY109" s="1013">
        <v>3</v>
      </c>
      <c r="AZ109" s="1013">
        <v>2</v>
      </c>
      <c r="BA109" s="1013">
        <v>1</v>
      </c>
      <c r="BB109" s="1013">
        <v>1</v>
      </c>
      <c r="BC109" s="1013">
        <v>1</v>
      </c>
      <c r="BD109" s="1013">
        <v>5</v>
      </c>
      <c r="BE109" s="1023">
        <v>0.88402777777777775</v>
      </c>
      <c r="BF109" s="1013" t="s">
        <v>7729</v>
      </c>
      <c r="BG109" s="1023">
        <v>0.88888888888888884</v>
      </c>
      <c r="BH109" s="1024">
        <v>44540</v>
      </c>
      <c r="BI109" s="1013" t="s">
        <v>7727</v>
      </c>
      <c r="BJ109" s="1013" t="s">
        <v>7730</v>
      </c>
      <c r="BK109" s="1013">
        <v>2469</v>
      </c>
      <c r="BL109" s="1013" t="s">
        <v>7724</v>
      </c>
      <c r="BM109" s="1013" t="s">
        <v>7724</v>
      </c>
      <c r="BN109" s="1013">
        <v>113</v>
      </c>
      <c r="BO109" s="1013">
        <v>8</v>
      </c>
      <c r="BP109" s="1013">
        <v>2</v>
      </c>
      <c r="BQ109" s="1013">
        <v>1</v>
      </c>
      <c r="BR109" s="1013">
        <v>10</v>
      </c>
      <c r="BS109" s="1013">
        <v>64</v>
      </c>
      <c r="BT109" s="1013">
        <v>54</v>
      </c>
      <c r="BU109" s="1013">
        <v>1</v>
      </c>
      <c r="BV109" s="1013">
        <v>5</v>
      </c>
      <c r="BW109" s="1013">
        <v>1</v>
      </c>
      <c r="BX109" s="1013">
        <v>21</v>
      </c>
      <c r="BY109" s="1013">
        <v>21</v>
      </c>
      <c r="BZ109" s="1013">
        <v>101</v>
      </c>
      <c r="CA109" s="1013">
        <v>208</v>
      </c>
      <c r="CB109" s="1013">
        <v>29.731224999999998</v>
      </c>
      <c r="CC109" s="1013">
        <v>-95.382762999999997</v>
      </c>
      <c r="CD109" s="1013" t="s">
        <v>7724</v>
      </c>
      <c r="CE109" s="1013" t="s">
        <v>7724</v>
      </c>
      <c r="CF109" s="1013" t="s">
        <v>7724</v>
      </c>
      <c r="CG109" s="1013" t="s">
        <v>7724</v>
      </c>
      <c r="CH109" s="1013" t="s">
        <v>7732</v>
      </c>
      <c r="CI109" s="1013">
        <v>4701</v>
      </c>
      <c r="CJ109" s="1013" t="s">
        <v>7724</v>
      </c>
      <c r="CK109" s="1013" t="s">
        <v>7724</v>
      </c>
      <c r="CL109" s="1013" t="s">
        <v>7724</v>
      </c>
      <c r="CM109" s="1013" t="s">
        <v>7724</v>
      </c>
      <c r="CN109" s="1013" t="s">
        <v>7724</v>
      </c>
      <c r="CO109" s="1013" t="s">
        <v>7724</v>
      </c>
      <c r="CP109" s="1013" t="s">
        <v>7724</v>
      </c>
      <c r="CQ109" s="1013" t="s">
        <v>7724</v>
      </c>
      <c r="CR109" s="1013" t="s">
        <v>7758</v>
      </c>
      <c r="CS109" s="1013" t="s">
        <v>7724</v>
      </c>
      <c r="CT109" s="1013" t="s">
        <v>7724</v>
      </c>
      <c r="CU109" s="1013" t="s">
        <v>7724</v>
      </c>
      <c r="CV109" s="1013" t="s">
        <v>7724</v>
      </c>
      <c r="CW109" s="1013" t="s">
        <v>7727</v>
      </c>
      <c r="CX109" s="1013" t="s">
        <v>7723</v>
      </c>
      <c r="CY109" s="1013" t="s">
        <v>7723</v>
      </c>
      <c r="CZ109" s="1013">
        <v>5</v>
      </c>
      <c r="DA109" s="1013">
        <v>9</v>
      </c>
      <c r="DB109" s="1013" t="s">
        <v>7727</v>
      </c>
      <c r="DC109" s="1013" t="s">
        <v>7740</v>
      </c>
      <c r="DD109" s="1013" t="s">
        <v>7724</v>
      </c>
      <c r="DE109" s="1013" t="s">
        <v>7724</v>
      </c>
      <c r="DF109" s="1013" t="s">
        <v>7724</v>
      </c>
      <c r="DG109" s="1013" t="s">
        <v>7724</v>
      </c>
      <c r="DH109" s="1013" t="s">
        <v>7724</v>
      </c>
      <c r="DI109" s="1013" t="s">
        <v>7724</v>
      </c>
      <c r="DJ109" s="1013" t="s">
        <v>7724</v>
      </c>
      <c r="DK109" s="1013" t="s">
        <v>7724</v>
      </c>
      <c r="DL109" s="1013" t="s">
        <v>7724</v>
      </c>
      <c r="DM109" s="1013" t="s">
        <v>7724</v>
      </c>
      <c r="DN109" s="1013" t="s">
        <v>7724</v>
      </c>
      <c r="DO109" s="1013" t="s">
        <v>7724</v>
      </c>
      <c r="DP109" s="1013" t="s">
        <v>7724</v>
      </c>
      <c r="DQ109" s="1013" t="s">
        <v>7724</v>
      </c>
      <c r="DR109" s="1013" t="s">
        <v>7724</v>
      </c>
      <c r="DS109" s="1013" t="s">
        <v>7724</v>
      </c>
      <c r="DT109" s="1013" t="s">
        <v>7724</v>
      </c>
      <c r="DU109" s="1013" t="s">
        <v>7724</v>
      </c>
      <c r="DV109" s="1013" t="s">
        <v>7724</v>
      </c>
      <c r="DW109" s="1013" t="s">
        <v>7724</v>
      </c>
      <c r="DX109" s="1013" t="s">
        <v>7724</v>
      </c>
      <c r="DY109" s="1013" t="s">
        <v>7724</v>
      </c>
      <c r="DZ109" s="1013" t="s">
        <v>7724</v>
      </c>
      <c r="EA109" s="1013" t="s">
        <v>7724</v>
      </c>
      <c r="EB109" s="1013" t="s">
        <v>7724</v>
      </c>
      <c r="EC109" s="1013" t="s">
        <v>7724</v>
      </c>
      <c r="ED109" s="1013" t="s">
        <v>7724</v>
      </c>
      <c r="EE109" s="1013" t="s">
        <v>7724</v>
      </c>
      <c r="EF109" s="1013" t="s">
        <v>7724</v>
      </c>
      <c r="EG109" s="1013" t="s">
        <v>7724</v>
      </c>
      <c r="EH109" s="1013" t="s">
        <v>7724</v>
      </c>
      <c r="EI109" s="1013" t="s">
        <v>7724</v>
      </c>
      <c r="EJ109" s="1013" t="s">
        <v>7724</v>
      </c>
      <c r="EK109" s="1013" t="s">
        <v>7724</v>
      </c>
      <c r="EL109" s="1013" t="s">
        <v>7724</v>
      </c>
      <c r="EM109" s="1013" t="s">
        <v>7724</v>
      </c>
      <c r="EN109" s="1013" t="s">
        <v>7724</v>
      </c>
      <c r="EO109" s="1013" t="s">
        <v>7724</v>
      </c>
      <c r="EP109" s="1013" t="s">
        <v>7724</v>
      </c>
      <c r="EQ109" s="1013" t="s">
        <v>7724</v>
      </c>
      <c r="ER109" s="1013" t="s">
        <v>7724</v>
      </c>
      <c r="ES109" s="1013" t="s">
        <v>7724</v>
      </c>
      <c r="ET109" s="1013" t="s">
        <v>7724</v>
      </c>
      <c r="EU109" s="1013" t="s">
        <v>7724</v>
      </c>
      <c r="EV109" s="1013" t="s">
        <v>7724</v>
      </c>
      <c r="EW109" s="1013" t="s">
        <v>7724</v>
      </c>
      <c r="EX109" s="1013" t="s">
        <v>7724</v>
      </c>
      <c r="EY109" s="1013" t="s">
        <v>7724</v>
      </c>
      <c r="EZ109" s="1013" t="s">
        <v>7724</v>
      </c>
      <c r="FA109" s="1013" t="s">
        <v>7724</v>
      </c>
      <c r="FB109" s="1013" t="s">
        <v>7724</v>
      </c>
      <c r="FC109" s="1013" t="s">
        <v>7724</v>
      </c>
      <c r="FD109" s="1013" t="s">
        <v>7724</v>
      </c>
      <c r="FE109" s="1013" t="s">
        <v>7724</v>
      </c>
      <c r="FF109" s="1013" t="s">
        <v>7724</v>
      </c>
      <c r="FG109" s="1013">
        <v>0</v>
      </c>
      <c r="FH109" s="1013">
        <v>0</v>
      </c>
      <c r="FI109" s="1013">
        <v>0</v>
      </c>
      <c r="FJ109" s="1013">
        <v>6</v>
      </c>
      <c r="FK109" s="1013">
        <v>0</v>
      </c>
      <c r="FL109" s="1013">
        <v>0</v>
      </c>
      <c r="FM109" s="1013">
        <v>0</v>
      </c>
      <c r="FN109" s="1013">
        <v>15</v>
      </c>
      <c r="FO109" s="1013">
        <v>29</v>
      </c>
      <c r="FP109" s="1013">
        <v>9</v>
      </c>
      <c r="FQ109" s="1013" t="s">
        <v>7724</v>
      </c>
      <c r="FR109" s="1013" t="s">
        <v>7724</v>
      </c>
      <c r="FS109" s="1013" t="s">
        <v>7724</v>
      </c>
      <c r="FT109" s="1013" t="s">
        <v>7724</v>
      </c>
      <c r="FU109" s="1013" t="s">
        <v>7724</v>
      </c>
      <c r="FV109" s="1013" t="s">
        <v>7724</v>
      </c>
      <c r="FW109" s="1013" t="s">
        <v>7724</v>
      </c>
      <c r="FX109" s="1013" t="s">
        <v>7724</v>
      </c>
      <c r="FY109" s="1013" t="s">
        <v>7724</v>
      </c>
      <c r="FZ109" s="1013" t="s">
        <v>7724</v>
      </c>
      <c r="GA109" s="1013" t="s">
        <v>7724</v>
      </c>
      <c r="GB109" s="1013" t="s">
        <v>7724</v>
      </c>
      <c r="GC109" s="1013">
        <v>2021</v>
      </c>
      <c r="GD109" s="1013" t="s">
        <v>1404</v>
      </c>
      <c r="GE109" s="1013">
        <v>3</v>
      </c>
      <c r="GF109" s="1013" t="s">
        <v>1407</v>
      </c>
      <c r="GG109" s="1013" t="s">
        <v>1407</v>
      </c>
      <c r="GH109" s="1013" t="s">
        <v>8082</v>
      </c>
      <c r="GI109" s="1013" t="s">
        <v>7980</v>
      </c>
      <c r="GJ109" s="1013" t="s">
        <v>7980</v>
      </c>
      <c r="GK109" s="1013" t="s">
        <v>7980</v>
      </c>
      <c r="GL109" s="1013" t="s">
        <v>7980</v>
      </c>
    </row>
    <row r="110" spans="1:194">
      <c r="A110" s="1013">
        <v>183</v>
      </c>
      <c r="B110" s="1013" t="s">
        <v>7722</v>
      </c>
      <c r="C110" s="1013">
        <v>18598695</v>
      </c>
      <c r="D110" s="1013" t="s">
        <v>7723</v>
      </c>
      <c r="E110" s="1013" t="s">
        <v>7723</v>
      </c>
      <c r="F110" s="1013" t="s">
        <v>7723</v>
      </c>
      <c r="G110" s="1013" t="s">
        <v>7723</v>
      </c>
      <c r="H110" s="1013" t="s">
        <v>7723</v>
      </c>
      <c r="I110" s="1013" t="s">
        <v>7723</v>
      </c>
      <c r="J110" s="1013" t="s">
        <v>7723</v>
      </c>
      <c r="K110" s="1024">
        <v>44472</v>
      </c>
      <c r="L110" s="1023">
        <v>0.85763888888888884</v>
      </c>
      <c r="M110" s="1013" t="s">
        <v>7753</v>
      </c>
      <c r="N110" s="1013" t="s">
        <v>7724</v>
      </c>
      <c r="O110" s="1013">
        <v>101</v>
      </c>
      <c r="P110" s="1013">
        <v>208</v>
      </c>
      <c r="Q110" s="1013" t="s">
        <v>7723</v>
      </c>
      <c r="R110" s="1013" t="s">
        <v>7723</v>
      </c>
      <c r="S110" s="1013" t="s">
        <v>7724</v>
      </c>
      <c r="T110" s="1014" t="s">
        <v>7724</v>
      </c>
      <c r="U110" s="1014">
        <v>19</v>
      </c>
      <c r="V110" s="1014" t="s">
        <v>7724</v>
      </c>
      <c r="W110" s="1014" t="s">
        <v>7724</v>
      </c>
      <c r="X110" s="1013">
        <v>1</v>
      </c>
      <c r="Y110" s="1013">
        <v>4200</v>
      </c>
      <c r="Z110" s="1013" t="s">
        <v>7724</v>
      </c>
      <c r="AA110" s="1013" t="s">
        <v>7745</v>
      </c>
      <c r="AB110" s="1013" t="s">
        <v>7726</v>
      </c>
      <c r="AC110" s="1013" t="s">
        <v>7723</v>
      </c>
      <c r="AD110" s="1013" t="s">
        <v>7723</v>
      </c>
      <c r="AE110" s="1013">
        <v>35</v>
      </c>
      <c r="AF110" s="1013" t="s">
        <v>7723</v>
      </c>
      <c r="AG110" s="1013" t="s">
        <v>7723</v>
      </c>
      <c r="AH110" s="1013" t="s">
        <v>7739</v>
      </c>
      <c r="AI110" s="1013" t="s">
        <v>7723</v>
      </c>
      <c r="AJ110" s="1013">
        <v>19</v>
      </c>
      <c r="AK110" s="1013" t="s">
        <v>7724</v>
      </c>
      <c r="AL110" s="1013" t="s">
        <v>7724</v>
      </c>
      <c r="AM110" s="1013">
        <v>1</v>
      </c>
      <c r="AN110" s="1013">
        <v>1300</v>
      </c>
      <c r="AO110" s="1013" t="s">
        <v>7724</v>
      </c>
      <c r="AP110" s="1013" t="s">
        <v>7754</v>
      </c>
      <c r="AQ110" s="1013" t="s">
        <v>7726</v>
      </c>
      <c r="AR110" s="1013" t="s">
        <v>7724</v>
      </c>
      <c r="AS110" s="1013" t="s">
        <v>7724</v>
      </c>
      <c r="AT110" s="1013" t="s">
        <v>7724</v>
      </c>
      <c r="AU110" s="1013" t="s">
        <v>7724</v>
      </c>
      <c r="AV110" s="1013" t="s">
        <v>7724</v>
      </c>
      <c r="AW110" s="1013" t="s">
        <v>7724</v>
      </c>
      <c r="AX110" s="1013">
        <v>11</v>
      </c>
      <c r="AY110" s="1013">
        <v>4</v>
      </c>
      <c r="AZ110" s="1013">
        <v>0</v>
      </c>
      <c r="BA110" s="1013">
        <v>4</v>
      </c>
      <c r="BB110" s="1013">
        <v>1</v>
      </c>
      <c r="BC110" s="1013">
        <v>1</v>
      </c>
      <c r="BD110" s="1013">
        <v>20</v>
      </c>
      <c r="BE110" s="1023">
        <v>0.85763888888888884</v>
      </c>
      <c r="BF110" s="1013" t="s">
        <v>7736</v>
      </c>
      <c r="BG110" s="1023">
        <v>0.86527777777777781</v>
      </c>
      <c r="BH110" s="1024">
        <v>44512</v>
      </c>
      <c r="BI110" s="1013" t="s">
        <v>7727</v>
      </c>
      <c r="BJ110" s="1013" t="s">
        <v>7730</v>
      </c>
      <c r="BK110" s="1013">
        <v>2469</v>
      </c>
      <c r="BL110" s="1013" t="s">
        <v>7724</v>
      </c>
      <c r="BM110" s="1013" t="s">
        <v>7724</v>
      </c>
      <c r="BN110" s="1013">
        <v>113</v>
      </c>
      <c r="BO110" s="1013">
        <v>8</v>
      </c>
      <c r="BP110" s="1013">
        <v>5</v>
      </c>
      <c r="BQ110" s="1013">
        <v>2</v>
      </c>
      <c r="BR110" s="1013">
        <v>1</v>
      </c>
      <c r="BS110" s="1013">
        <v>64</v>
      </c>
      <c r="BT110" s="1013">
        <v>9</v>
      </c>
      <c r="BU110" s="1013">
        <v>1</v>
      </c>
      <c r="BV110" s="1013">
        <v>5</v>
      </c>
      <c r="BW110" s="1013">
        <v>1</v>
      </c>
      <c r="BX110" s="1013">
        <v>21</v>
      </c>
      <c r="BY110" s="1013">
        <v>21</v>
      </c>
      <c r="BZ110" s="1013">
        <v>101</v>
      </c>
      <c r="CA110" s="1013">
        <v>208</v>
      </c>
      <c r="CB110" s="1013">
        <v>29.732458999999999</v>
      </c>
      <c r="CC110" s="1013">
        <v>-95.380544999999998</v>
      </c>
      <c r="CD110" s="1013" t="s">
        <v>7724</v>
      </c>
      <c r="CE110" s="1013" t="s">
        <v>7724</v>
      </c>
      <c r="CF110" s="1013" t="s">
        <v>7724</v>
      </c>
      <c r="CG110" s="1013" t="s">
        <v>7724</v>
      </c>
      <c r="CH110" s="1013" t="s">
        <v>7746</v>
      </c>
      <c r="CI110" s="1013" t="s">
        <v>7724</v>
      </c>
      <c r="CJ110" s="1013" t="s">
        <v>7724</v>
      </c>
      <c r="CK110" s="1013" t="s">
        <v>7724</v>
      </c>
      <c r="CL110" s="1013" t="s">
        <v>7724</v>
      </c>
      <c r="CM110" s="1013" t="s">
        <v>7724</v>
      </c>
      <c r="CN110" s="1013" t="s">
        <v>7724</v>
      </c>
      <c r="CO110" s="1013" t="s">
        <v>7724</v>
      </c>
      <c r="CP110" s="1013" t="s">
        <v>7724</v>
      </c>
      <c r="CQ110" s="1013" t="s">
        <v>7724</v>
      </c>
      <c r="CR110" s="1013" t="s">
        <v>7755</v>
      </c>
      <c r="CS110" s="1013" t="s">
        <v>7724</v>
      </c>
      <c r="CT110" s="1013" t="s">
        <v>7724</v>
      </c>
      <c r="CU110" s="1013" t="s">
        <v>7724</v>
      </c>
      <c r="CV110" s="1013" t="s">
        <v>7724</v>
      </c>
      <c r="CW110" s="1013" t="s">
        <v>7727</v>
      </c>
      <c r="CX110" s="1013" t="s">
        <v>7723</v>
      </c>
      <c r="CY110" s="1013" t="s">
        <v>7723</v>
      </c>
      <c r="CZ110" s="1013">
        <v>3</v>
      </c>
      <c r="DA110" s="1013">
        <v>9</v>
      </c>
      <c r="DB110" s="1013" t="s">
        <v>7727</v>
      </c>
      <c r="DC110" s="1013" t="s">
        <v>7747</v>
      </c>
      <c r="DD110" s="1013" t="s">
        <v>7724</v>
      </c>
      <c r="DE110" s="1013" t="s">
        <v>7724</v>
      </c>
      <c r="DF110" s="1013" t="s">
        <v>7724</v>
      </c>
      <c r="DG110" s="1013" t="s">
        <v>7724</v>
      </c>
      <c r="DH110" s="1013" t="s">
        <v>7724</v>
      </c>
      <c r="DI110" s="1013" t="s">
        <v>7724</v>
      </c>
      <c r="DJ110" s="1013" t="s">
        <v>7724</v>
      </c>
      <c r="DK110" s="1013" t="s">
        <v>7724</v>
      </c>
      <c r="DL110" s="1013" t="s">
        <v>7724</v>
      </c>
      <c r="DM110" s="1013" t="s">
        <v>7724</v>
      </c>
      <c r="DN110" s="1013" t="s">
        <v>7724</v>
      </c>
      <c r="DO110" s="1013" t="s">
        <v>7724</v>
      </c>
      <c r="DP110" s="1013" t="s">
        <v>7724</v>
      </c>
      <c r="DQ110" s="1013" t="s">
        <v>7724</v>
      </c>
      <c r="DR110" s="1013" t="s">
        <v>7724</v>
      </c>
      <c r="DS110" s="1013" t="s">
        <v>7724</v>
      </c>
      <c r="DT110" s="1013" t="s">
        <v>7724</v>
      </c>
      <c r="DU110" s="1013" t="s">
        <v>7724</v>
      </c>
      <c r="DV110" s="1013" t="s">
        <v>7724</v>
      </c>
      <c r="DW110" s="1013" t="s">
        <v>7724</v>
      </c>
      <c r="DX110" s="1013" t="s">
        <v>7724</v>
      </c>
      <c r="DY110" s="1013" t="s">
        <v>7724</v>
      </c>
      <c r="DZ110" s="1013" t="s">
        <v>7724</v>
      </c>
      <c r="EA110" s="1013" t="s">
        <v>7724</v>
      </c>
      <c r="EB110" s="1013" t="s">
        <v>7724</v>
      </c>
      <c r="EC110" s="1013" t="s">
        <v>7724</v>
      </c>
      <c r="ED110" s="1013" t="s">
        <v>7724</v>
      </c>
      <c r="EE110" s="1013" t="s">
        <v>7724</v>
      </c>
      <c r="EF110" s="1013" t="s">
        <v>7724</v>
      </c>
      <c r="EG110" s="1013" t="s">
        <v>7724</v>
      </c>
      <c r="EH110" s="1013" t="s">
        <v>7724</v>
      </c>
      <c r="EI110" s="1013" t="s">
        <v>7724</v>
      </c>
      <c r="EJ110" s="1013" t="s">
        <v>7724</v>
      </c>
      <c r="EK110" s="1013" t="s">
        <v>7724</v>
      </c>
      <c r="EL110" s="1013" t="s">
        <v>7724</v>
      </c>
      <c r="EM110" s="1013" t="s">
        <v>7724</v>
      </c>
      <c r="EN110" s="1013" t="s">
        <v>7724</v>
      </c>
      <c r="EO110" s="1013" t="s">
        <v>7724</v>
      </c>
      <c r="EP110" s="1013" t="s">
        <v>7724</v>
      </c>
      <c r="EQ110" s="1013" t="s">
        <v>7724</v>
      </c>
      <c r="ER110" s="1013" t="s">
        <v>7724</v>
      </c>
      <c r="ES110" s="1013" t="s">
        <v>7724</v>
      </c>
      <c r="ET110" s="1013" t="s">
        <v>7724</v>
      </c>
      <c r="EU110" s="1013" t="s">
        <v>7724</v>
      </c>
      <c r="EV110" s="1013" t="s">
        <v>7724</v>
      </c>
      <c r="EW110" s="1013" t="s">
        <v>7724</v>
      </c>
      <c r="EX110" s="1013" t="s">
        <v>7724</v>
      </c>
      <c r="EY110" s="1013" t="s">
        <v>7724</v>
      </c>
      <c r="EZ110" s="1013" t="s">
        <v>7724</v>
      </c>
      <c r="FA110" s="1013" t="s">
        <v>7724</v>
      </c>
      <c r="FB110" s="1013" t="s">
        <v>7724</v>
      </c>
      <c r="FC110" s="1013" t="s">
        <v>7724</v>
      </c>
      <c r="FD110" s="1013" t="s">
        <v>7724</v>
      </c>
      <c r="FE110" s="1013" t="s">
        <v>7724</v>
      </c>
      <c r="FF110" s="1013" t="s">
        <v>7724</v>
      </c>
      <c r="FG110" s="1013">
        <v>0</v>
      </c>
      <c r="FH110" s="1013">
        <v>0</v>
      </c>
      <c r="FI110" s="1013">
        <v>1</v>
      </c>
      <c r="FJ110" s="1013">
        <v>1</v>
      </c>
      <c r="FK110" s="1013">
        <v>0</v>
      </c>
      <c r="FL110" s="1013">
        <v>1</v>
      </c>
      <c r="FM110" s="1013">
        <v>0</v>
      </c>
      <c r="FN110" s="1013">
        <v>15</v>
      </c>
      <c r="FO110" s="1013">
        <v>29</v>
      </c>
      <c r="FP110" s="1013">
        <v>6</v>
      </c>
      <c r="FQ110" s="1013" t="s">
        <v>7724</v>
      </c>
      <c r="FR110" s="1013" t="s">
        <v>7724</v>
      </c>
      <c r="FS110" s="1013" t="s">
        <v>7724</v>
      </c>
      <c r="FT110" s="1013" t="s">
        <v>7724</v>
      </c>
      <c r="FU110" s="1013" t="s">
        <v>7724</v>
      </c>
      <c r="FV110" s="1013" t="s">
        <v>7724</v>
      </c>
      <c r="FW110" s="1013" t="s">
        <v>7724</v>
      </c>
      <c r="FX110" s="1013" t="s">
        <v>7724</v>
      </c>
      <c r="FY110" s="1013" t="s">
        <v>7724</v>
      </c>
      <c r="FZ110" s="1013" t="s">
        <v>7724</v>
      </c>
      <c r="GA110" s="1013" t="s">
        <v>7724</v>
      </c>
      <c r="GB110" s="1013" t="s">
        <v>7724</v>
      </c>
      <c r="GC110" s="1013">
        <v>2021</v>
      </c>
      <c r="GD110" s="1013" t="s">
        <v>1407</v>
      </c>
      <c r="GE110" s="1013">
        <v>2</v>
      </c>
      <c r="GF110" s="1013" t="s">
        <v>1407</v>
      </c>
      <c r="GG110" s="1013" t="s">
        <v>1404</v>
      </c>
      <c r="GH110" s="1013" t="s">
        <v>8049</v>
      </c>
      <c r="GI110" s="1013" t="s">
        <v>7974</v>
      </c>
      <c r="GJ110" s="1013" t="s">
        <v>7974</v>
      </c>
      <c r="GK110" s="1013" t="s">
        <v>7974</v>
      </c>
      <c r="GL110" s="1013" t="s">
        <v>7974</v>
      </c>
    </row>
    <row r="111" spans="1:194" hidden="1">
      <c r="A111" s="1013">
        <v>1</v>
      </c>
      <c r="B111" s="1013" t="s">
        <v>7722</v>
      </c>
      <c r="C111" s="1013">
        <v>18686329</v>
      </c>
      <c r="D111" s="1013" t="s">
        <v>7723</v>
      </c>
      <c r="E111" s="1013" t="s">
        <v>7723</v>
      </c>
      <c r="F111" s="1013" t="s">
        <v>7723</v>
      </c>
      <c r="G111" s="1013" t="s">
        <v>7723</v>
      </c>
      <c r="H111" s="1013" t="s">
        <v>7723</v>
      </c>
      <c r="I111" s="1013" t="s">
        <v>7723</v>
      </c>
      <c r="J111" s="1013" t="s">
        <v>7723</v>
      </c>
      <c r="K111" s="1024">
        <v>44564</v>
      </c>
      <c r="L111" s="1023">
        <v>0.62222222222222223</v>
      </c>
      <c r="M111" s="1013" t="s">
        <v>7863</v>
      </c>
      <c r="N111" s="1013" t="s">
        <v>7724</v>
      </c>
      <c r="O111" s="1013">
        <v>101</v>
      </c>
      <c r="P111" s="1013">
        <v>208</v>
      </c>
      <c r="Q111" s="1013" t="s">
        <v>7723</v>
      </c>
      <c r="R111" s="1013" t="s">
        <v>7727</v>
      </c>
      <c r="S111" s="1013" t="s">
        <v>7724</v>
      </c>
      <c r="T111" s="1014" t="s">
        <v>7724</v>
      </c>
      <c r="U111" s="1014">
        <v>19</v>
      </c>
      <c r="V111" s="1014" t="s">
        <v>7724</v>
      </c>
      <c r="W111" s="1014" t="s">
        <v>7724</v>
      </c>
      <c r="X111" s="1013">
        <v>1</v>
      </c>
      <c r="Y111" s="1013">
        <v>1300</v>
      </c>
      <c r="Z111" s="1013" t="s">
        <v>7724</v>
      </c>
      <c r="AA111" s="1013" t="s">
        <v>7725</v>
      </c>
      <c r="AB111" s="1013" t="s">
        <v>7726</v>
      </c>
      <c r="AC111" s="1013" t="s">
        <v>7723</v>
      </c>
      <c r="AD111" s="1013" t="s">
        <v>7723</v>
      </c>
      <c r="AE111" s="1013">
        <v>35</v>
      </c>
      <c r="AF111" s="1013" t="s">
        <v>7723</v>
      </c>
      <c r="AG111" s="1013" t="s">
        <v>7723</v>
      </c>
      <c r="AH111" s="1013" t="s">
        <v>7739</v>
      </c>
      <c r="AI111" s="1013" t="s">
        <v>7727</v>
      </c>
      <c r="AJ111" s="1013">
        <v>19</v>
      </c>
      <c r="AK111" s="1013" t="s">
        <v>7724</v>
      </c>
      <c r="AL111" s="1013" t="s">
        <v>7724</v>
      </c>
      <c r="AM111" s="1013">
        <v>1</v>
      </c>
      <c r="AN111" s="1013">
        <v>4300</v>
      </c>
      <c r="AO111" s="1013" t="s">
        <v>7724</v>
      </c>
      <c r="AP111" s="1013" t="s">
        <v>7762</v>
      </c>
      <c r="AQ111" s="1013" t="s">
        <v>7726</v>
      </c>
      <c r="AR111" s="1013" t="s">
        <v>7724</v>
      </c>
      <c r="AS111" s="1013" t="s">
        <v>7724</v>
      </c>
      <c r="AT111" s="1013" t="s">
        <v>7724</v>
      </c>
      <c r="AU111" s="1013" t="s">
        <v>7724</v>
      </c>
      <c r="AV111" s="1013" t="s">
        <v>7724</v>
      </c>
      <c r="AW111" s="1013" t="s">
        <v>7724</v>
      </c>
      <c r="AX111" s="1013">
        <v>11</v>
      </c>
      <c r="AY111" s="1013">
        <v>1</v>
      </c>
      <c r="AZ111" s="1013">
        <v>4</v>
      </c>
      <c r="BA111" s="1013">
        <v>1</v>
      </c>
      <c r="BB111" s="1013">
        <v>1</v>
      </c>
      <c r="BC111" s="1013">
        <v>1</v>
      </c>
      <c r="BD111" s="1013">
        <v>20</v>
      </c>
      <c r="BE111" s="1023">
        <v>0.64236111111111116</v>
      </c>
      <c r="BF111" s="1013" t="s">
        <v>7736</v>
      </c>
      <c r="BG111" s="1023">
        <v>0.64236111111111116</v>
      </c>
      <c r="BH111" s="1024">
        <v>44564</v>
      </c>
      <c r="BI111" s="1013" t="s">
        <v>7727</v>
      </c>
      <c r="BJ111" s="1013" t="s">
        <v>7730</v>
      </c>
      <c r="BK111" s="1013">
        <v>2469</v>
      </c>
      <c r="BL111" s="1013" t="s">
        <v>7724</v>
      </c>
      <c r="BM111" s="1013" t="s">
        <v>7724</v>
      </c>
      <c r="BN111" s="1013">
        <v>113</v>
      </c>
      <c r="BO111" s="1013">
        <v>8</v>
      </c>
      <c r="BP111" s="1013">
        <v>2</v>
      </c>
      <c r="BQ111" s="1013">
        <v>1</v>
      </c>
      <c r="BR111" s="1013">
        <v>34</v>
      </c>
      <c r="BS111" s="1013">
        <v>64</v>
      </c>
      <c r="BT111" s="1013">
        <v>54</v>
      </c>
      <c r="BU111" s="1013">
        <v>1</v>
      </c>
      <c r="BV111" s="1013">
        <v>5</v>
      </c>
      <c r="BW111" s="1013">
        <v>1</v>
      </c>
      <c r="BX111" s="1013">
        <v>21</v>
      </c>
      <c r="BY111" s="1013">
        <v>21</v>
      </c>
      <c r="BZ111" s="1013">
        <v>101</v>
      </c>
      <c r="CA111" s="1013">
        <v>208</v>
      </c>
      <c r="CB111" s="1013">
        <v>29.732054999999999</v>
      </c>
      <c r="CC111" s="1013">
        <v>-95.379503</v>
      </c>
      <c r="CD111" s="1013" t="s">
        <v>7724</v>
      </c>
      <c r="CE111" s="1013" t="s">
        <v>7724</v>
      </c>
      <c r="CF111" s="1013" t="s">
        <v>7724</v>
      </c>
      <c r="CG111" s="1013" t="s">
        <v>7724</v>
      </c>
      <c r="CH111" s="1013" t="s">
        <v>7731</v>
      </c>
      <c r="CI111" s="1013">
        <v>1401</v>
      </c>
      <c r="CJ111" s="1013" t="s">
        <v>7724</v>
      </c>
      <c r="CK111" s="1013" t="s">
        <v>7724</v>
      </c>
      <c r="CL111" s="1013" t="s">
        <v>7724</v>
      </c>
      <c r="CM111" s="1013" t="s">
        <v>7724</v>
      </c>
      <c r="CN111" s="1013" t="s">
        <v>7724</v>
      </c>
      <c r="CO111" s="1013" t="s">
        <v>7724</v>
      </c>
      <c r="CP111" s="1013" t="s">
        <v>7724</v>
      </c>
      <c r="CQ111" s="1013" t="s">
        <v>7724</v>
      </c>
      <c r="CR111" s="1013" t="s">
        <v>7763</v>
      </c>
      <c r="CS111" s="1013" t="s">
        <v>7724</v>
      </c>
      <c r="CT111" s="1013" t="s">
        <v>7724</v>
      </c>
      <c r="CU111" s="1013" t="s">
        <v>7724</v>
      </c>
      <c r="CV111" s="1013" t="s">
        <v>7724</v>
      </c>
      <c r="CW111" s="1013" t="s">
        <v>7727</v>
      </c>
      <c r="CX111" s="1013" t="s">
        <v>7723</v>
      </c>
      <c r="CY111" s="1013" t="s">
        <v>7723</v>
      </c>
      <c r="CZ111" s="1013">
        <v>5</v>
      </c>
      <c r="DA111" s="1013">
        <v>9</v>
      </c>
      <c r="DB111" s="1013" t="s">
        <v>7727</v>
      </c>
      <c r="DC111" s="1013" t="s">
        <v>7743</v>
      </c>
      <c r="DD111" s="1013" t="s">
        <v>7724</v>
      </c>
      <c r="DE111" s="1013" t="s">
        <v>7724</v>
      </c>
      <c r="DF111" s="1013" t="s">
        <v>7724</v>
      </c>
      <c r="DG111" s="1013" t="s">
        <v>7724</v>
      </c>
      <c r="DH111" s="1013" t="s">
        <v>7724</v>
      </c>
      <c r="DI111" s="1013" t="s">
        <v>7724</v>
      </c>
      <c r="DJ111" s="1013" t="s">
        <v>7724</v>
      </c>
      <c r="DK111" s="1013" t="s">
        <v>7724</v>
      </c>
      <c r="DL111" s="1013" t="s">
        <v>7724</v>
      </c>
      <c r="DM111" s="1013" t="s">
        <v>7724</v>
      </c>
      <c r="DN111" s="1013" t="s">
        <v>7724</v>
      </c>
      <c r="DO111" s="1013" t="s">
        <v>7724</v>
      </c>
      <c r="DP111" s="1013" t="s">
        <v>7724</v>
      </c>
      <c r="DQ111" s="1013" t="s">
        <v>7724</v>
      </c>
      <c r="DR111" s="1013" t="s">
        <v>7724</v>
      </c>
      <c r="DS111" s="1013" t="s">
        <v>7724</v>
      </c>
      <c r="DT111" s="1013" t="s">
        <v>7724</v>
      </c>
      <c r="DU111" s="1013" t="s">
        <v>7724</v>
      </c>
      <c r="DV111" s="1013" t="s">
        <v>7724</v>
      </c>
      <c r="DW111" s="1013" t="s">
        <v>7724</v>
      </c>
      <c r="DX111" s="1013" t="s">
        <v>7724</v>
      </c>
      <c r="DY111" s="1013" t="s">
        <v>7724</v>
      </c>
      <c r="DZ111" s="1013" t="s">
        <v>7724</v>
      </c>
      <c r="EA111" s="1013" t="s">
        <v>7724</v>
      </c>
      <c r="EB111" s="1013" t="s">
        <v>7724</v>
      </c>
      <c r="EC111" s="1013" t="s">
        <v>7724</v>
      </c>
      <c r="ED111" s="1013" t="s">
        <v>7724</v>
      </c>
      <c r="EE111" s="1013" t="s">
        <v>7724</v>
      </c>
      <c r="EF111" s="1013" t="s">
        <v>7724</v>
      </c>
      <c r="EG111" s="1013" t="s">
        <v>7724</v>
      </c>
      <c r="EH111" s="1013" t="s">
        <v>7724</v>
      </c>
      <c r="EI111" s="1013" t="s">
        <v>7724</v>
      </c>
      <c r="EJ111" s="1013" t="s">
        <v>7724</v>
      </c>
      <c r="EK111" s="1013" t="s">
        <v>7724</v>
      </c>
      <c r="EL111" s="1013" t="s">
        <v>7724</v>
      </c>
      <c r="EM111" s="1013" t="s">
        <v>7724</v>
      </c>
      <c r="EN111" s="1013" t="s">
        <v>7724</v>
      </c>
      <c r="EO111" s="1013" t="s">
        <v>7724</v>
      </c>
      <c r="EP111" s="1013" t="s">
        <v>7724</v>
      </c>
      <c r="EQ111" s="1013" t="s">
        <v>7724</v>
      </c>
      <c r="ER111" s="1013" t="s">
        <v>7724</v>
      </c>
      <c r="ES111" s="1013" t="s">
        <v>7724</v>
      </c>
      <c r="ET111" s="1013" t="s">
        <v>7724</v>
      </c>
      <c r="EU111" s="1013" t="s">
        <v>7724</v>
      </c>
      <c r="EV111" s="1013" t="s">
        <v>7724</v>
      </c>
      <c r="EW111" s="1013" t="s">
        <v>7724</v>
      </c>
      <c r="EX111" s="1013" t="s">
        <v>7724</v>
      </c>
      <c r="EY111" s="1013" t="s">
        <v>7724</v>
      </c>
      <c r="EZ111" s="1013" t="s">
        <v>7724</v>
      </c>
      <c r="FA111" s="1013" t="s">
        <v>7724</v>
      </c>
      <c r="FB111" s="1013" t="s">
        <v>7724</v>
      </c>
      <c r="FC111" s="1013" t="s">
        <v>7724</v>
      </c>
      <c r="FD111" s="1013" t="s">
        <v>7724</v>
      </c>
      <c r="FE111" s="1013" t="s">
        <v>7724</v>
      </c>
      <c r="FF111" s="1013" t="s">
        <v>7724</v>
      </c>
      <c r="FG111" s="1013">
        <v>0</v>
      </c>
      <c r="FH111" s="1013">
        <v>0</v>
      </c>
      <c r="FI111" s="1013">
        <v>0</v>
      </c>
      <c r="FJ111" s="1013">
        <v>3</v>
      </c>
      <c r="FK111" s="1013">
        <v>0</v>
      </c>
      <c r="FL111" s="1013">
        <v>0</v>
      </c>
      <c r="FM111" s="1013">
        <v>0</v>
      </c>
      <c r="FN111" s="1013">
        <v>15</v>
      </c>
      <c r="FO111" s="1013">
        <v>29</v>
      </c>
      <c r="FP111" s="1013">
        <v>9</v>
      </c>
      <c r="FQ111" s="1013" t="s">
        <v>7724</v>
      </c>
      <c r="FR111" s="1013" t="s">
        <v>7724</v>
      </c>
      <c r="FS111" s="1013" t="s">
        <v>7724</v>
      </c>
      <c r="FT111" s="1013" t="s">
        <v>7724</v>
      </c>
      <c r="FU111" s="1013" t="s">
        <v>7724</v>
      </c>
      <c r="FV111" s="1013" t="s">
        <v>7724</v>
      </c>
      <c r="FW111" s="1013" t="s">
        <v>7724</v>
      </c>
      <c r="FX111" s="1013" t="s">
        <v>7724</v>
      </c>
      <c r="FY111" s="1013" t="s">
        <v>7724</v>
      </c>
      <c r="FZ111" s="1013" t="s">
        <v>7724</v>
      </c>
      <c r="GA111" s="1013" t="s">
        <v>7724</v>
      </c>
      <c r="GB111" s="1013" t="s">
        <v>7724</v>
      </c>
      <c r="GC111" s="1013">
        <v>2022</v>
      </c>
      <c r="GD111" s="1013" t="s">
        <v>1404</v>
      </c>
      <c r="GE111" s="1013">
        <v>2</v>
      </c>
      <c r="GF111" s="1013" t="s">
        <v>1407</v>
      </c>
      <c r="GG111" s="1013" t="s">
        <v>1407</v>
      </c>
      <c r="GH111" s="1013" t="s">
        <v>8008</v>
      </c>
      <c r="GI111" s="1013" t="s">
        <v>7974</v>
      </c>
      <c r="GJ111" s="1013" t="s">
        <v>7974</v>
      </c>
      <c r="GK111" s="1013" t="s">
        <v>7974</v>
      </c>
      <c r="GL111" s="1013" t="s">
        <v>7974</v>
      </c>
    </row>
    <row r="112" spans="1:194" hidden="1">
      <c r="A112" s="1013">
        <v>17</v>
      </c>
      <c r="B112" s="1013" t="s">
        <v>7722</v>
      </c>
      <c r="C112" s="1013">
        <v>19023052</v>
      </c>
      <c r="D112" s="1013" t="s">
        <v>7723</v>
      </c>
      <c r="E112" s="1013" t="s">
        <v>7723</v>
      </c>
      <c r="F112" s="1013" t="s">
        <v>7723</v>
      </c>
      <c r="G112" s="1013" t="s">
        <v>7723</v>
      </c>
      <c r="H112" s="1013" t="s">
        <v>7723</v>
      </c>
      <c r="I112" s="1013" t="s">
        <v>7723</v>
      </c>
      <c r="J112" s="1013" t="s">
        <v>7723</v>
      </c>
      <c r="K112" s="1024">
        <v>44763</v>
      </c>
      <c r="L112" s="1023">
        <v>0.70833333333333337</v>
      </c>
      <c r="M112" s="1013" t="s">
        <v>7875</v>
      </c>
      <c r="N112" s="1013" t="s">
        <v>7724</v>
      </c>
      <c r="O112" s="1013">
        <v>101</v>
      </c>
      <c r="P112" s="1013">
        <v>208</v>
      </c>
      <c r="Q112" s="1013" t="s">
        <v>7723</v>
      </c>
      <c r="R112" s="1013" t="s">
        <v>7727</v>
      </c>
      <c r="S112" s="1013" t="s">
        <v>7724</v>
      </c>
      <c r="T112" s="1014" t="s">
        <v>7724</v>
      </c>
      <c r="U112" s="1014">
        <v>19</v>
      </c>
      <c r="V112" s="1014" t="s">
        <v>7724</v>
      </c>
      <c r="W112" s="1014" t="s">
        <v>7724</v>
      </c>
      <c r="X112" s="1013">
        <v>1</v>
      </c>
      <c r="Y112" s="1013">
        <v>1300</v>
      </c>
      <c r="Z112" s="1013" t="s">
        <v>7724</v>
      </c>
      <c r="AA112" s="1013" t="s">
        <v>7725</v>
      </c>
      <c r="AB112" s="1013" t="s">
        <v>7726</v>
      </c>
      <c r="AC112" s="1013" t="s">
        <v>7723</v>
      </c>
      <c r="AD112" s="1013" t="s">
        <v>7723</v>
      </c>
      <c r="AE112" s="1013">
        <v>45</v>
      </c>
      <c r="AF112" s="1013" t="s">
        <v>7723</v>
      </c>
      <c r="AG112" s="1013" t="s">
        <v>7723</v>
      </c>
      <c r="AH112" s="1013" t="s">
        <v>7815</v>
      </c>
      <c r="AI112" s="1013" t="s">
        <v>7727</v>
      </c>
      <c r="AJ112" s="1013">
        <v>19</v>
      </c>
      <c r="AK112" s="1013" t="s">
        <v>7724</v>
      </c>
      <c r="AL112" s="1013" t="s">
        <v>7724</v>
      </c>
      <c r="AM112" s="1013">
        <v>1</v>
      </c>
      <c r="AN112" s="1013">
        <v>4300</v>
      </c>
      <c r="AO112" s="1013" t="s">
        <v>7724</v>
      </c>
      <c r="AP112" s="1013" t="s">
        <v>7762</v>
      </c>
      <c r="AQ112" s="1013" t="s">
        <v>7726</v>
      </c>
      <c r="AR112" s="1013" t="s">
        <v>7724</v>
      </c>
      <c r="AS112" s="1013" t="s">
        <v>7724</v>
      </c>
      <c r="AT112" s="1013" t="s">
        <v>7724</v>
      </c>
      <c r="AU112" s="1013" t="s">
        <v>7724</v>
      </c>
      <c r="AV112" s="1013" t="s">
        <v>7724</v>
      </c>
      <c r="AW112" s="1013" t="s">
        <v>7724</v>
      </c>
      <c r="AX112" s="1013">
        <v>11</v>
      </c>
      <c r="AY112" s="1013">
        <v>1</v>
      </c>
      <c r="AZ112" s="1013">
        <v>2</v>
      </c>
      <c r="BA112" s="1013">
        <v>2</v>
      </c>
      <c r="BB112" s="1013">
        <v>1</v>
      </c>
      <c r="BC112" s="1013">
        <v>1</v>
      </c>
      <c r="BD112" s="1013">
        <v>20</v>
      </c>
      <c r="BE112" s="1023">
        <v>0.71111111111111114</v>
      </c>
      <c r="BF112" s="1013" t="s">
        <v>7729</v>
      </c>
      <c r="BG112" s="1023">
        <v>0.71527777777777779</v>
      </c>
      <c r="BH112" s="1024">
        <v>44763</v>
      </c>
      <c r="BI112" s="1013" t="s">
        <v>7727</v>
      </c>
      <c r="BJ112" s="1013" t="s">
        <v>7730</v>
      </c>
      <c r="BK112" s="1013">
        <v>2469</v>
      </c>
      <c r="BL112" s="1013" t="s">
        <v>7724</v>
      </c>
      <c r="BM112" s="1013" t="s">
        <v>7724</v>
      </c>
      <c r="BN112" s="1013">
        <v>113</v>
      </c>
      <c r="BO112" s="1013">
        <v>8</v>
      </c>
      <c r="BP112" s="1013">
        <v>2</v>
      </c>
      <c r="BQ112" s="1013">
        <v>1</v>
      </c>
      <c r="BR112" s="1013">
        <v>13</v>
      </c>
      <c r="BS112" s="1013">
        <v>64</v>
      </c>
      <c r="BT112" s="1013">
        <v>54</v>
      </c>
      <c r="BU112" s="1013">
        <v>1</v>
      </c>
      <c r="BV112" s="1013">
        <v>5</v>
      </c>
      <c r="BW112" s="1013">
        <v>1</v>
      </c>
      <c r="BX112" s="1013">
        <v>21</v>
      </c>
      <c r="BY112" s="1013">
        <v>21</v>
      </c>
      <c r="BZ112" s="1013">
        <v>101</v>
      </c>
      <c r="CA112" s="1013">
        <v>208</v>
      </c>
      <c r="CB112" s="1013">
        <v>29.732054999999999</v>
      </c>
      <c r="CC112" s="1013">
        <v>-95.379503</v>
      </c>
      <c r="CD112" s="1013" t="s">
        <v>7724</v>
      </c>
      <c r="CE112" s="1013" t="s">
        <v>7724</v>
      </c>
      <c r="CF112" s="1013" t="s">
        <v>7724</v>
      </c>
      <c r="CG112" s="1013" t="s">
        <v>7724</v>
      </c>
      <c r="CH112" s="1013" t="s">
        <v>7731</v>
      </c>
      <c r="CI112" s="1013">
        <v>1401</v>
      </c>
      <c r="CJ112" s="1013" t="s">
        <v>7724</v>
      </c>
      <c r="CK112" s="1013" t="s">
        <v>7724</v>
      </c>
      <c r="CL112" s="1013" t="s">
        <v>7724</v>
      </c>
      <c r="CM112" s="1013" t="s">
        <v>7724</v>
      </c>
      <c r="CN112" s="1013" t="s">
        <v>7724</v>
      </c>
      <c r="CO112" s="1013" t="s">
        <v>7724</v>
      </c>
      <c r="CP112" s="1013" t="s">
        <v>7724</v>
      </c>
      <c r="CQ112" s="1013" t="s">
        <v>7724</v>
      </c>
      <c r="CR112" s="1013" t="s">
        <v>7763</v>
      </c>
      <c r="CS112" s="1013" t="s">
        <v>7724</v>
      </c>
      <c r="CT112" s="1013" t="s">
        <v>7724</v>
      </c>
      <c r="CU112" s="1013" t="s">
        <v>7724</v>
      </c>
      <c r="CV112" s="1013" t="s">
        <v>7724</v>
      </c>
      <c r="CW112" s="1013" t="s">
        <v>7727</v>
      </c>
      <c r="CX112" s="1013" t="s">
        <v>7723</v>
      </c>
      <c r="CY112" s="1013" t="s">
        <v>7723</v>
      </c>
      <c r="CZ112" s="1013">
        <v>5</v>
      </c>
      <c r="DA112" s="1013">
        <v>9</v>
      </c>
      <c r="DB112" s="1013" t="s">
        <v>7727</v>
      </c>
      <c r="DC112" s="1013" t="s">
        <v>7740</v>
      </c>
      <c r="DD112" s="1013" t="s">
        <v>7724</v>
      </c>
      <c r="DE112" s="1013" t="s">
        <v>7724</v>
      </c>
      <c r="DF112" s="1013" t="s">
        <v>7724</v>
      </c>
      <c r="DG112" s="1013" t="s">
        <v>7724</v>
      </c>
      <c r="DH112" s="1013" t="s">
        <v>7724</v>
      </c>
      <c r="DI112" s="1013" t="s">
        <v>7724</v>
      </c>
      <c r="DJ112" s="1013" t="s">
        <v>7724</v>
      </c>
      <c r="DK112" s="1013" t="s">
        <v>7724</v>
      </c>
      <c r="DL112" s="1013" t="s">
        <v>7724</v>
      </c>
      <c r="DM112" s="1013" t="s">
        <v>7724</v>
      </c>
      <c r="DN112" s="1013" t="s">
        <v>7724</v>
      </c>
      <c r="DO112" s="1013" t="s">
        <v>7724</v>
      </c>
      <c r="DP112" s="1013" t="s">
        <v>7724</v>
      </c>
      <c r="DQ112" s="1013" t="s">
        <v>7724</v>
      </c>
      <c r="DR112" s="1013" t="s">
        <v>7724</v>
      </c>
      <c r="DS112" s="1013" t="s">
        <v>7724</v>
      </c>
      <c r="DT112" s="1013" t="s">
        <v>7724</v>
      </c>
      <c r="DU112" s="1013" t="s">
        <v>7724</v>
      </c>
      <c r="DV112" s="1013" t="s">
        <v>7724</v>
      </c>
      <c r="DW112" s="1013" t="s">
        <v>7724</v>
      </c>
      <c r="DX112" s="1013" t="s">
        <v>7724</v>
      </c>
      <c r="DY112" s="1013" t="s">
        <v>7724</v>
      </c>
      <c r="DZ112" s="1013" t="s">
        <v>7724</v>
      </c>
      <c r="EA112" s="1013" t="s">
        <v>7724</v>
      </c>
      <c r="EB112" s="1013" t="s">
        <v>7724</v>
      </c>
      <c r="EC112" s="1013" t="s">
        <v>7724</v>
      </c>
      <c r="ED112" s="1013" t="s">
        <v>7724</v>
      </c>
      <c r="EE112" s="1013" t="s">
        <v>7724</v>
      </c>
      <c r="EF112" s="1013" t="s">
        <v>7724</v>
      </c>
      <c r="EG112" s="1013" t="s">
        <v>7724</v>
      </c>
      <c r="EH112" s="1013" t="s">
        <v>7724</v>
      </c>
      <c r="EI112" s="1013" t="s">
        <v>7724</v>
      </c>
      <c r="EJ112" s="1013" t="s">
        <v>7724</v>
      </c>
      <c r="EK112" s="1013" t="s">
        <v>7724</v>
      </c>
      <c r="EL112" s="1013" t="s">
        <v>7724</v>
      </c>
      <c r="EM112" s="1013" t="s">
        <v>7724</v>
      </c>
      <c r="EN112" s="1013" t="s">
        <v>7724</v>
      </c>
      <c r="EO112" s="1013" t="s">
        <v>7724</v>
      </c>
      <c r="EP112" s="1013" t="s">
        <v>7724</v>
      </c>
      <c r="EQ112" s="1013" t="s">
        <v>7724</v>
      </c>
      <c r="ER112" s="1013" t="s">
        <v>7724</v>
      </c>
      <c r="ES112" s="1013" t="s">
        <v>7724</v>
      </c>
      <c r="ET112" s="1013" t="s">
        <v>7724</v>
      </c>
      <c r="EU112" s="1013" t="s">
        <v>7724</v>
      </c>
      <c r="EV112" s="1013" t="s">
        <v>7724</v>
      </c>
      <c r="EW112" s="1013" t="s">
        <v>7724</v>
      </c>
      <c r="EX112" s="1013" t="s">
        <v>7724</v>
      </c>
      <c r="EY112" s="1013" t="s">
        <v>7724</v>
      </c>
      <c r="EZ112" s="1013" t="s">
        <v>7724</v>
      </c>
      <c r="FA112" s="1013" t="s">
        <v>7724</v>
      </c>
      <c r="FB112" s="1013" t="s">
        <v>7724</v>
      </c>
      <c r="FC112" s="1013" t="s">
        <v>7724</v>
      </c>
      <c r="FD112" s="1013" t="s">
        <v>7724</v>
      </c>
      <c r="FE112" s="1013" t="s">
        <v>7724</v>
      </c>
      <c r="FF112" s="1013" t="s">
        <v>7724</v>
      </c>
      <c r="FG112" s="1013">
        <v>0</v>
      </c>
      <c r="FH112" s="1013">
        <v>0</v>
      </c>
      <c r="FI112" s="1013">
        <v>0</v>
      </c>
      <c r="FJ112" s="1013">
        <v>2</v>
      </c>
      <c r="FK112" s="1013">
        <v>1</v>
      </c>
      <c r="FL112" s="1013">
        <v>0</v>
      </c>
      <c r="FM112" s="1013">
        <v>0</v>
      </c>
      <c r="FN112" s="1013">
        <v>15</v>
      </c>
      <c r="FO112" s="1013">
        <v>29</v>
      </c>
      <c r="FP112" s="1013">
        <v>9</v>
      </c>
      <c r="FQ112" s="1013" t="s">
        <v>7724</v>
      </c>
      <c r="FR112" s="1013" t="s">
        <v>7724</v>
      </c>
      <c r="FS112" s="1013" t="s">
        <v>7724</v>
      </c>
      <c r="FT112" s="1013" t="s">
        <v>7724</v>
      </c>
      <c r="FU112" s="1013" t="s">
        <v>7724</v>
      </c>
      <c r="FV112" s="1013" t="s">
        <v>7724</v>
      </c>
      <c r="FW112" s="1013" t="s">
        <v>7724</v>
      </c>
      <c r="FX112" s="1013" t="s">
        <v>7724</v>
      </c>
      <c r="FY112" s="1013" t="s">
        <v>7724</v>
      </c>
      <c r="FZ112" s="1013" t="s">
        <v>7724</v>
      </c>
      <c r="GA112" s="1013" t="s">
        <v>7724</v>
      </c>
      <c r="GB112" s="1013" t="s">
        <v>7724</v>
      </c>
      <c r="GC112" s="1013">
        <v>2022</v>
      </c>
      <c r="GD112" s="1013" t="s">
        <v>1407</v>
      </c>
      <c r="GE112" s="1013">
        <v>2</v>
      </c>
      <c r="GF112" s="1013" t="s">
        <v>1407</v>
      </c>
      <c r="GG112" s="1013" t="s">
        <v>1407</v>
      </c>
      <c r="GH112" s="1013" t="s">
        <v>7982</v>
      </c>
      <c r="GI112" s="1013" t="s">
        <v>7974</v>
      </c>
      <c r="GJ112" s="1013" t="s">
        <v>7974</v>
      </c>
      <c r="GK112" s="1013" t="s">
        <v>7974</v>
      </c>
      <c r="GL112" s="1013" t="s">
        <v>7974</v>
      </c>
    </row>
    <row r="113" spans="1:194" hidden="1">
      <c r="A113" s="1013">
        <v>137</v>
      </c>
      <c r="B113" s="1013" t="s">
        <v>7722</v>
      </c>
      <c r="C113" s="1013">
        <v>19696344</v>
      </c>
      <c r="D113" s="1013" t="s">
        <v>7723</v>
      </c>
      <c r="E113" s="1013" t="s">
        <v>7723</v>
      </c>
      <c r="F113" s="1013" t="s">
        <v>7723</v>
      </c>
      <c r="G113" s="1013" t="s">
        <v>7723</v>
      </c>
      <c r="H113" s="1013" t="s">
        <v>7723</v>
      </c>
      <c r="I113" s="1013" t="s">
        <v>7723</v>
      </c>
      <c r="J113" s="1013" t="s">
        <v>7723</v>
      </c>
      <c r="K113" s="1024">
        <v>45148</v>
      </c>
      <c r="L113" s="1023">
        <v>0.75208333333333333</v>
      </c>
      <c r="M113" s="1013" t="s">
        <v>8083</v>
      </c>
      <c r="N113" s="1013" t="s">
        <v>7724</v>
      </c>
      <c r="O113" s="1013">
        <v>101</v>
      </c>
      <c r="P113" s="1013">
        <v>208</v>
      </c>
      <c r="Q113" s="1013" t="s">
        <v>7723</v>
      </c>
      <c r="R113" s="1013" t="s">
        <v>7727</v>
      </c>
      <c r="S113" s="1013" t="s">
        <v>7724</v>
      </c>
      <c r="T113" s="1014" t="s">
        <v>7724</v>
      </c>
      <c r="U113" s="1014">
        <v>19</v>
      </c>
      <c r="V113" s="1014" t="s">
        <v>7724</v>
      </c>
      <c r="W113" s="1014" t="s">
        <v>7724</v>
      </c>
      <c r="X113" s="1013">
        <v>1</v>
      </c>
      <c r="Y113" s="1013">
        <v>1400</v>
      </c>
      <c r="Z113" s="1013" t="s">
        <v>7724</v>
      </c>
      <c r="AA113" s="1013" t="s">
        <v>7725</v>
      </c>
      <c r="AB113" s="1013" t="s">
        <v>7726</v>
      </c>
      <c r="AC113" s="1013" t="s">
        <v>7723</v>
      </c>
      <c r="AD113" s="1013" t="s">
        <v>7723</v>
      </c>
      <c r="AE113" s="1013">
        <v>30</v>
      </c>
      <c r="AF113" s="1013" t="s">
        <v>7723</v>
      </c>
      <c r="AG113" s="1013" t="s">
        <v>7723</v>
      </c>
      <c r="AH113" s="1013" t="s">
        <v>7739</v>
      </c>
      <c r="AI113" s="1013" t="s">
        <v>7727</v>
      </c>
      <c r="AJ113" s="1013">
        <v>19</v>
      </c>
      <c r="AK113" s="1013" t="s">
        <v>7724</v>
      </c>
      <c r="AL113" s="1013" t="s">
        <v>7724</v>
      </c>
      <c r="AM113" s="1013">
        <v>1</v>
      </c>
      <c r="AN113" s="1013">
        <v>4400</v>
      </c>
      <c r="AO113" s="1013" t="s">
        <v>7724</v>
      </c>
      <c r="AP113" s="1013" t="s">
        <v>7762</v>
      </c>
      <c r="AQ113" s="1013" t="s">
        <v>7726</v>
      </c>
      <c r="AR113" s="1013" t="s">
        <v>7724</v>
      </c>
      <c r="AS113" s="1013" t="s">
        <v>7724</v>
      </c>
      <c r="AT113" s="1013" t="s">
        <v>7724</v>
      </c>
      <c r="AU113" s="1013" t="s">
        <v>7724</v>
      </c>
      <c r="AV113" s="1013" t="s">
        <v>7739</v>
      </c>
      <c r="AW113" s="1013" t="s">
        <v>7724</v>
      </c>
      <c r="AX113" s="1013">
        <v>11</v>
      </c>
      <c r="AY113" s="1013">
        <v>1</v>
      </c>
      <c r="AZ113" s="1013">
        <v>4</v>
      </c>
      <c r="BA113" s="1013">
        <v>1</v>
      </c>
      <c r="BB113" s="1013">
        <v>1</v>
      </c>
      <c r="BC113" s="1013">
        <v>1</v>
      </c>
      <c r="BD113" s="1013">
        <v>20</v>
      </c>
      <c r="BE113" s="1023">
        <v>0.79027777777777775</v>
      </c>
      <c r="BF113" s="1013" t="s">
        <v>7736</v>
      </c>
      <c r="BG113" s="1023">
        <v>0.79166666666666663</v>
      </c>
      <c r="BH113" s="1024">
        <v>45148</v>
      </c>
      <c r="BI113" s="1013" t="s">
        <v>7727</v>
      </c>
      <c r="BJ113" s="1013" t="s">
        <v>7730</v>
      </c>
      <c r="BK113" s="1013">
        <v>2469</v>
      </c>
      <c r="BL113" s="1013" t="s">
        <v>7724</v>
      </c>
      <c r="BM113" s="1013" t="s">
        <v>7724</v>
      </c>
      <c r="BN113" s="1013">
        <v>113</v>
      </c>
      <c r="BO113" s="1013">
        <v>8</v>
      </c>
      <c r="BP113" s="1013">
        <v>2</v>
      </c>
      <c r="BQ113" s="1013">
        <v>1</v>
      </c>
      <c r="BR113" s="1013">
        <v>10</v>
      </c>
      <c r="BS113" s="1013">
        <v>64</v>
      </c>
      <c r="BT113" s="1013">
        <v>54</v>
      </c>
      <c r="BU113" s="1013">
        <v>1</v>
      </c>
      <c r="BV113" s="1013">
        <v>5</v>
      </c>
      <c r="BW113" s="1013">
        <v>1</v>
      </c>
      <c r="BX113" s="1013">
        <v>21</v>
      </c>
      <c r="BY113" s="1013">
        <v>21</v>
      </c>
      <c r="BZ113" s="1013">
        <v>101</v>
      </c>
      <c r="CA113" s="1013">
        <v>208</v>
      </c>
      <c r="CB113" s="1013">
        <v>29.732054999999999</v>
      </c>
      <c r="CC113" s="1013">
        <v>-95.379503</v>
      </c>
      <c r="CD113" s="1013" t="s">
        <v>7724</v>
      </c>
      <c r="CE113" s="1013" t="s">
        <v>7724</v>
      </c>
      <c r="CF113" s="1013" t="s">
        <v>7724</v>
      </c>
      <c r="CG113" s="1013" t="s">
        <v>7724</v>
      </c>
      <c r="CH113" s="1013" t="s">
        <v>7731</v>
      </c>
      <c r="CI113" s="1013">
        <v>1401</v>
      </c>
      <c r="CJ113" s="1013" t="s">
        <v>7724</v>
      </c>
      <c r="CK113" s="1013" t="s">
        <v>7724</v>
      </c>
      <c r="CL113" s="1013" t="s">
        <v>7724</v>
      </c>
      <c r="CM113" s="1013" t="s">
        <v>7724</v>
      </c>
      <c r="CN113" s="1013" t="s">
        <v>7724</v>
      </c>
      <c r="CO113" s="1013" t="s">
        <v>7724</v>
      </c>
      <c r="CP113" s="1013" t="s">
        <v>7724</v>
      </c>
      <c r="CQ113" s="1013" t="s">
        <v>7724</v>
      </c>
      <c r="CR113" s="1013" t="s">
        <v>7763</v>
      </c>
      <c r="CS113" s="1013" t="s">
        <v>7724</v>
      </c>
      <c r="CT113" s="1013" t="s">
        <v>7724</v>
      </c>
      <c r="CU113" s="1013" t="s">
        <v>7724</v>
      </c>
      <c r="CV113" s="1013" t="s">
        <v>7724</v>
      </c>
      <c r="CW113" s="1013" t="s">
        <v>7727</v>
      </c>
      <c r="CX113" s="1013" t="s">
        <v>7723</v>
      </c>
      <c r="CY113" s="1013" t="s">
        <v>7723</v>
      </c>
      <c r="CZ113" s="1013">
        <v>5</v>
      </c>
      <c r="DA113" s="1013">
        <v>9</v>
      </c>
      <c r="DB113" s="1013" t="s">
        <v>7727</v>
      </c>
      <c r="DC113" s="1013" t="s">
        <v>7740</v>
      </c>
      <c r="DD113" s="1013" t="s">
        <v>7724</v>
      </c>
      <c r="DE113" s="1013" t="s">
        <v>7724</v>
      </c>
      <c r="DF113" s="1013" t="s">
        <v>7724</v>
      </c>
      <c r="DG113" s="1013" t="s">
        <v>7724</v>
      </c>
      <c r="DH113" s="1013" t="s">
        <v>7724</v>
      </c>
      <c r="DI113" s="1013" t="s">
        <v>7724</v>
      </c>
      <c r="DJ113" s="1013" t="s">
        <v>7724</v>
      </c>
      <c r="DK113" s="1013" t="s">
        <v>7724</v>
      </c>
      <c r="DL113" s="1013" t="s">
        <v>7724</v>
      </c>
      <c r="DM113" s="1013" t="s">
        <v>7724</v>
      </c>
      <c r="DN113" s="1013" t="s">
        <v>7724</v>
      </c>
      <c r="DO113" s="1013" t="s">
        <v>7724</v>
      </c>
      <c r="DP113" s="1013" t="s">
        <v>7724</v>
      </c>
      <c r="DQ113" s="1013" t="s">
        <v>7724</v>
      </c>
      <c r="DR113" s="1013" t="s">
        <v>7724</v>
      </c>
      <c r="DS113" s="1013" t="s">
        <v>7724</v>
      </c>
      <c r="DT113" s="1013" t="s">
        <v>7724</v>
      </c>
      <c r="DU113" s="1013" t="s">
        <v>7724</v>
      </c>
      <c r="DV113" s="1013" t="s">
        <v>7724</v>
      </c>
      <c r="DW113" s="1013" t="s">
        <v>7724</v>
      </c>
      <c r="DX113" s="1013" t="s">
        <v>7724</v>
      </c>
      <c r="DY113" s="1013" t="s">
        <v>7724</v>
      </c>
      <c r="DZ113" s="1013" t="s">
        <v>7724</v>
      </c>
      <c r="EA113" s="1013" t="s">
        <v>7724</v>
      </c>
      <c r="EB113" s="1013" t="s">
        <v>7724</v>
      </c>
      <c r="EC113" s="1013" t="s">
        <v>7724</v>
      </c>
      <c r="ED113" s="1013" t="s">
        <v>7724</v>
      </c>
      <c r="EE113" s="1013" t="s">
        <v>7724</v>
      </c>
      <c r="EF113" s="1013" t="s">
        <v>7724</v>
      </c>
      <c r="EG113" s="1013" t="s">
        <v>7724</v>
      </c>
      <c r="EH113" s="1013" t="s">
        <v>7724</v>
      </c>
      <c r="EI113" s="1013" t="s">
        <v>7724</v>
      </c>
      <c r="EJ113" s="1013" t="s">
        <v>7724</v>
      </c>
      <c r="EK113" s="1013" t="s">
        <v>7724</v>
      </c>
      <c r="EL113" s="1013" t="s">
        <v>7724</v>
      </c>
      <c r="EM113" s="1013" t="s">
        <v>7724</v>
      </c>
      <c r="EN113" s="1013" t="s">
        <v>7724</v>
      </c>
      <c r="EO113" s="1013" t="s">
        <v>7724</v>
      </c>
      <c r="EP113" s="1013" t="s">
        <v>7724</v>
      </c>
      <c r="EQ113" s="1013" t="s">
        <v>7724</v>
      </c>
      <c r="ER113" s="1013" t="s">
        <v>7724</v>
      </c>
      <c r="ES113" s="1013" t="s">
        <v>7724</v>
      </c>
      <c r="ET113" s="1013" t="s">
        <v>7724</v>
      </c>
      <c r="EU113" s="1013" t="s">
        <v>7724</v>
      </c>
      <c r="EV113" s="1013" t="s">
        <v>7724</v>
      </c>
      <c r="EW113" s="1013" t="s">
        <v>7724</v>
      </c>
      <c r="EX113" s="1013" t="s">
        <v>7724</v>
      </c>
      <c r="EY113" s="1013" t="s">
        <v>7724</v>
      </c>
      <c r="EZ113" s="1013" t="s">
        <v>7724</v>
      </c>
      <c r="FA113" s="1013" t="s">
        <v>7724</v>
      </c>
      <c r="FB113" s="1013" t="s">
        <v>7724</v>
      </c>
      <c r="FC113" s="1013" t="s">
        <v>7724</v>
      </c>
      <c r="FD113" s="1013" t="s">
        <v>7724</v>
      </c>
      <c r="FE113" s="1013" t="s">
        <v>7724</v>
      </c>
      <c r="FF113" s="1013" t="s">
        <v>7724</v>
      </c>
      <c r="FG113" s="1013">
        <v>0</v>
      </c>
      <c r="FH113" s="1013">
        <v>0</v>
      </c>
      <c r="FI113" s="1013">
        <v>0</v>
      </c>
      <c r="FJ113" s="1013">
        <v>3</v>
      </c>
      <c r="FK113" s="1013">
        <v>0</v>
      </c>
      <c r="FL113" s="1013">
        <v>0</v>
      </c>
      <c r="FM113" s="1013">
        <v>0</v>
      </c>
      <c r="FN113" s="1013">
        <v>15</v>
      </c>
      <c r="FO113" s="1013">
        <v>29</v>
      </c>
      <c r="FP113" s="1013">
        <v>9</v>
      </c>
      <c r="FQ113" s="1013" t="s">
        <v>7724</v>
      </c>
      <c r="FR113" s="1013" t="s">
        <v>7724</v>
      </c>
      <c r="FS113" s="1013" t="s">
        <v>7724</v>
      </c>
      <c r="FT113" s="1013" t="s">
        <v>7723</v>
      </c>
      <c r="FU113" s="1013" t="s">
        <v>7790</v>
      </c>
      <c r="FV113" s="1013">
        <v>30</v>
      </c>
      <c r="FW113" s="1023">
        <v>0.79374999999999996</v>
      </c>
      <c r="FX113" s="1023">
        <v>0.79374999999999996</v>
      </c>
      <c r="FY113" s="1024">
        <v>45148</v>
      </c>
      <c r="FZ113" s="1024">
        <v>45148</v>
      </c>
      <c r="GA113" s="1024">
        <v>45148</v>
      </c>
      <c r="GB113" s="1024">
        <v>45148</v>
      </c>
      <c r="GC113" s="1013">
        <v>2023</v>
      </c>
      <c r="GD113" s="1013" t="s">
        <v>1404</v>
      </c>
      <c r="GE113" s="1013">
        <v>2</v>
      </c>
      <c r="GF113" s="1013" t="s">
        <v>1407</v>
      </c>
      <c r="GG113" s="1013" t="s">
        <v>1407</v>
      </c>
      <c r="GH113" s="1013" t="s">
        <v>7982</v>
      </c>
      <c r="GI113" s="1013" t="s">
        <v>7974</v>
      </c>
      <c r="GJ113" s="1013" t="s">
        <v>7974</v>
      </c>
      <c r="GK113" s="1013" t="s">
        <v>7974</v>
      </c>
      <c r="GL113" s="1013" t="s">
        <v>7974</v>
      </c>
    </row>
    <row r="114" spans="1:194" hidden="1">
      <c r="A114" s="1013">
        <v>8</v>
      </c>
      <c r="B114" s="1013" t="s">
        <v>7722</v>
      </c>
      <c r="C114" s="1013">
        <v>18868109</v>
      </c>
      <c r="D114" s="1013" t="s">
        <v>7723</v>
      </c>
      <c r="E114" s="1013" t="s">
        <v>7723</v>
      </c>
      <c r="F114" s="1013" t="s">
        <v>7723</v>
      </c>
      <c r="G114" s="1013" t="s">
        <v>7723</v>
      </c>
      <c r="H114" s="1013" t="s">
        <v>7723</v>
      </c>
      <c r="I114" s="1013" t="s">
        <v>7723</v>
      </c>
      <c r="J114" s="1013" t="s">
        <v>7723</v>
      </c>
      <c r="K114" s="1024">
        <v>44666</v>
      </c>
      <c r="L114" s="1023">
        <v>0.1361111111111111</v>
      </c>
      <c r="M114" s="1013" t="s">
        <v>8084</v>
      </c>
      <c r="N114" s="1013" t="s">
        <v>7724</v>
      </c>
      <c r="O114" s="1013">
        <v>101</v>
      </c>
      <c r="P114" s="1013">
        <v>208</v>
      </c>
      <c r="Q114" s="1013" t="s">
        <v>7723</v>
      </c>
      <c r="R114" s="1013" t="s">
        <v>7727</v>
      </c>
      <c r="S114" s="1013" t="s">
        <v>7724</v>
      </c>
      <c r="T114" s="1014" t="s">
        <v>7724</v>
      </c>
      <c r="U114" s="1014">
        <v>2</v>
      </c>
      <c r="V114" s="1014">
        <v>59</v>
      </c>
      <c r="W114" s="1014" t="s">
        <v>7724</v>
      </c>
      <c r="X114" s="1013">
        <v>1</v>
      </c>
      <c r="Y114" s="1013">
        <v>500</v>
      </c>
      <c r="Z114" s="1013" t="s">
        <v>7770</v>
      </c>
      <c r="AA114" s="1013" t="s">
        <v>7771</v>
      </c>
      <c r="AB114" s="1013" t="s">
        <v>7760</v>
      </c>
      <c r="AC114" s="1013" t="s">
        <v>7723</v>
      </c>
      <c r="AD114" s="1013" t="s">
        <v>7723</v>
      </c>
      <c r="AE114" s="1013">
        <v>60</v>
      </c>
      <c r="AF114" s="1013" t="s">
        <v>7723</v>
      </c>
      <c r="AG114" s="1013" t="s">
        <v>7723</v>
      </c>
      <c r="AH114" s="1013" t="s">
        <v>7724</v>
      </c>
      <c r="AI114" s="1013" t="s">
        <v>7723</v>
      </c>
      <c r="AJ114" s="1013">
        <v>2</v>
      </c>
      <c r="AK114" s="1013">
        <v>59</v>
      </c>
      <c r="AL114" s="1013" t="s">
        <v>7724</v>
      </c>
      <c r="AM114" s="1013">
        <v>1</v>
      </c>
      <c r="AN114" s="1013">
        <v>500</v>
      </c>
      <c r="AO114" s="1013" t="s">
        <v>7724</v>
      </c>
      <c r="AP114" s="1013" t="s">
        <v>950</v>
      </c>
      <c r="AQ114" s="1013" t="s">
        <v>7724</v>
      </c>
      <c r="AR114" s="1013" t="s">
        <v>7724</v>
      </c>
      <c r="AS114" s="1013" t="s">
        <v>7724</v>
      </c>
      <c r="AT114" s="1013" t="s">
        <v>7724</v>
      </c>
      <c r="AU114" s="1013" t="s">
        <v>7724</v>
      </c>
      <c r="AV114" s="1013" t="s">
        <v>7724</v>
      </c>
      <c r="AW114" s="1013" t="s">
        <v>7724</v>
      </c>
      <c r="AX114" s="1013">
        <v>11</v>
      </c>
      <c r="AY114" s="1013">
        <v>4</v>
      </c>
      <c r="AZ114" s="1013">
        <v>0</v>
      </c>
      <c r="BA114" s="1013">
        <v>4</v>
      </c>
      <c r="BB114" s="1013">
        <v>1</v>
      </c>
      <c r="BC114" s="1013">
        <v>1</v>
      </c>
      <c r="BD114" s="1013">
        <v>20</v>
      </c>
      <c r="BE114" s="1023">
        <v>0.1361111111111111</v>
      </c>
      <c r="BF114" s="1013" t="s">
        <v>7736</v>
      </c>
      <c r="BG114" s="1023">
        <v>0.1361111111111111</v>
      </c>
      <c r="BH114" s="1024">
        <v>44666</v>
      </c>
      <c r="BI114" s="1013" t="s">
        <v>7727</v>
      </c>
      <c r="BJ114" s="1013" t="s">
        <v>7730</v>
      </c>
      <c r="BK114" s="1013">
        <v>2469</v>
      </c>
      <c r="BL114" s="1013" t="s">
        <v>7724</v>
      </c>
      <c r="BM114" s="1013" t="s">
        <v>7724</v>
      </c>
      <c r="BN114" s="1013">
        <v>113</v>
      </c>
      <c r="BO114" s="1013">
        <v>8</v>
      </c>
      <c r="BP114" s="1013">
        <v>7</v>
      </c>
      <c r="BQ114" s="1013">
        <v>4</v>
      </c>
      <c r="BR114" s="1013">
        <v>1</v>
      </c>
      <c r="BS114" s="1013">
        <v>36</v>
      </c>
      <c r="BT114" s="1013">
        <v>54</v>
      </c>
      <c r="BU114" s="1013">
        <v>1</v>
      </c>
      <c r="BV114" s="1013">
        <v>2</v>
      </c>
      <c r="BW114" s="1013">
        <v>2</v>
      </c>
      <c r="BX114" s="1013">
        <v>21</v>
      </c>
      <c r="BY114" s="1013">
        <v>21</v>
      </c>
      <c r="BZ114" s="1013">
        <v>101</v>
      </c>
      <c r="CA114" s="1013">
        <v>208</v>
      </c>
      <c r="CB114" s="1013">
        <v>29.732527000000001</v>
      </c>
      <c r="CC114" s="1013">
        <v>-95.380426999999997</v>
      </c>
      <c r="CD114" s="1013" t="s">
        <v>8016</v>
      </c>
      <c r="CE114" s="1013">
        <v>69</v>
      </c>
      <c r="CF114" s="1013" t="s">
        <v>7724</v>
      </c>
      <c r="CG114" s="1013">
        <v>33.587000000000003</v>
      </c>
      <c r="CH114" s="1013" t="s">
        <v>8017</v>
      </c>
      <c r="CI114" s="1013" t="s">
        <v>7724</v>
      </c>
      <c r="CJ114" s="1013">
        <v>27</v>
      </c>
      <c r="CK114" s="1013">
        <v>13</v>
      </c>
      <c r="CL114" s="1013">
        <v>13.885</v>
      </c>
      <c r="CM114" s="1013">
        <v>128</v>
      </c>
      <c r="CN114" s="1013">
        <v>0.32800000000000001</v>
      </c>
      <c r="CO114" s="1013" t="s">
        <v>7724</v>
      </c>
      <c r="CP114" s="1013" t="s">
        <v>7724</v>
      </c>
      <c r="CQ114" s="1013" t="s">
        <v>7724</v>
      </c>
      <c r="CR114" s="1013" t="s">
        <v>7724</v>
      </c>
      <c r="CS114" s="1013" t="s">
        <v>7724</v>
      </c>
      <c r="CT114" s="1013" t="s">
        <v>7724</v>
      </c>
      <c r="CU114" s="1013" t="s">
        <v>7724</v>
      </c>
      <c r="CV114" s="1013" t="s">
        <v>7724</v>
      </c>
      <c r="CW114" s="1013" t="s">
        <v>7727</v>
      </c>
      <c r="CX114" s="1013" t="s">
        <v>7727</v>
      </c>
      <c r="CY114" s="1013" t="s">
        <v>7723</v>
      </c>
      <c r="CZ114" s="1013">
        <v>5</v>
      </c>
      <c r="DA114" s="1013">
        <v>9</v>
      </c>
      <c r="DB114" s="1013" t="s">
        <v>7727</v>
      </c>
      <c r="DC114" s="1013" t="s">
        <v>7759</v>
      </c>
      <c r="DD114" s="1013">
        <v>5</v>
      </c>
      <c r="DE114" s="1013" t="s">
        <v>7724</v>
      </c>
      <c r="DF114" s="1013">
        <v>20</v>
      </c>
      <c r="DG114" s="1013">
        <v>20</v>
      </c>
      <c r="DH114" s="1013">
        <v>5</v>
      </c>
      <c r="DI114" s="1013" t="s">
        <v>7724</v>
      </c>
      <c r="DJ114" s="1013">
        <v>8</v>
      </c>
      <c r="DK114" s="1013">
        <v>400</v>
      </c>
      <c r="DL114" s="1013">
        <v>138</v>
      </c>
      <c r="DM114" s="1013">
        <v>98</v>
      </c>
      <c r="DN114" s="1013">
        <v>1</v>
      </c>
      <c r="DO114" s="1013">
        <v>0</v>
      </c>
      <c r="DP114" s="1013">
        <v>0</v>
      </c>
      <c r="DQ114" s="1013">
        <v>1</v>
      </c>
      <c r="DR114" s="1013">
        <v>20</v>
      </c>
      <c r="DS114" s="1013">
        <v>5</v>
      </c>
      <c r="DT114" s="1013">
        <v>1</v>
      </c>
      <c r="DU114" s="1013">
        <v>20</v>
      </c>
      <c r="DV114" s="1013">
        <v>5</v>
      </c>
      <c r="DW114" s="1013">
        <v>7</v>
      </c>
      <c r="DX114" s="1013">
        <v>5</v>
      </c>
      <c r="DY114" s="1013">
        <v>4</v>
      </c>
      <c r="DZ114" s="1013">
        <v>1</v>
      </c>
      <c r="EA114" s="1013">
        <v>185410</v>
      </c>
      <c r="EB114" s="1013">
        <v>2019</v>
      </c>
      <c r="EC114" s="1013">
        <v>185410</v>
      </c>
      <c r="ED114" s="1013">
        <v>2.2999999999999998</v>
      </c>
      <c r="EE114" s="1013">
        <v>2.5</v>
      </c>
      <c r="EF114" s="1013">
        <v>4.8</v>
      </c>
      <c r="EG114" s="1013" t="s">
        <v>7724</v>
      </c>
      <c r="EH114" s="1013" t="s">
        <v>7724</v>
      </c>
      <c r="EI114" s="1013" t="s">
        <v>7724</v>
      </c>
      <c r="EJ114" s="1013" t="s">
        <v>7724</v>
      </c>
      <c r="EK114" s="1013" t="s">
        <v>7724</v>
      </c>
      <c r="EL114" s="1013" t="s">
        <v>7724</v>
      </c>
      <c r="EM114" s="1013" t="s">
        <v>7724</v>
      </c>
      <c r="EN114" s="1013" t="s">
        <v>7724</v>
      </c>
      <c r="EO114" s="1013" t="s">
        <v>7724</v>
      </c>
      <c r="EP114" s="1013" t="s">
        <v>7724</v>
      </c>
      <c r="EQ114" s="1013" t="s">
        <v>7724</v>
      </c>
      <c r="ER114" s="1013" t="s">
        <v>7724</v>
      </c>
      <c r="ES114" s="1013" t="s">
        <v>7724</v>
      </c>
      <c r="ET114" s="1013" t="s">
        <v>7724</v>
      </c>
      <c r="EU114" s="1013" t="s">
        <v>7724</v>
      </c>
      <c r="EV114" s="1013" t="s">
        <v>7724</v>
      </c>
      <c r="EW114" s="1013" t="s">
        <v>7724</v>
      </c>
      <c r="EX114" s="1013" t="s">
        <v>7724</v>
      </c>
      <c r="EY114" s="1013" t="s">
        <v>7724</v>
      </c>
      <c r="EZ114" s="1013" t="s">
        <v>7724</v>
      </c>
      <c r="FA114" s="1013" t="s">
        <v>7724</v>
      </c>
      <c r="FB114" s="1013" t="s">
        <v>7724</v>
      </c>
      <c r="FC114" s="1013" t="s">
        <v>7724</v>
      </c>
      <c r="FD114" s="1013" t="s">
        <v>7724</v>
      </c>
      <c r="FE114" s="1013" t="s">
        <v>7724</v>
      </c>
      <c r="FF114" s="1013" t="s">
        <v>7724</v>
      </c>
      <c r="FG114" s="1013">
        <v>0</v>
      </c>
      <c r="FH114" s="1013">
        <v>0</v>
      </c>
      <c r="FI114" s="1013">
        <v>0</v>
      </c>
      <c r="FJ114" s="1013">
        <v>1</v>
      </c>
      <c r="FK114" s="1013">
        <v>0</v>
      </c>
      <c r="FL114" s="1013">
        <v>0</v>
      </c>
      <c r="FM114" s="1013">
        <v>0</v>
      </c>
      <c r="FN114" s="1013">
        <v>15</v>
      </c>
      <c r="FO114" s="1013">
        <v>29</v>
      </c>
      <c r="FP114" s="1013">
        <v>6</v>
      </c>
      <c r="FQ114" s="1013" t="s">
        <v>7724</v>
      </c>
      <c r="FR114" s="1013" t="s">
        <v>7724</v>
      </c>
      <c r="FS114" s="1013" t="s">
        <v>7724</v>
      </c>
      <c r="FT114" s="1013" t="s">
        <v>7724</v>
      </c>
      <c r="FU114" s="1013" t="s">
        <v>7724</v>
      </c>
      <c r="FV114" s="1013" t="s">
        <v>7724</v>
      </c>
      <c r="FW114" s="1013" t="s">
        <v>7724</v>
      </c>
      <c r="FX114" s="1013" t="s">
        <v>7724</v>
      </c>
      <c r="FY114" s="1013" t="s">
        <v>7724</v>
      </c>
      <c r="FZ114" s="1013" t="s">
        <v>7724</v>
      </c>
      <c r="GA114" s="1013" t="s">
        <v>7724</v>
      </c>
      <c r="GB114" s="1013" t="s">
        <v>7724</v>
      </c>
      <c r="GC114" s="1013">
        <v>2022</v>
      </c>
      <c r="GD114" s="1013" t="s">
        <v>1404</v>
      </c>
      <c r="GE114" s="1013">
        <v>1</v>
      </c>
      <c r="GF114" s="1013" t="s">
        <v>1407</v>
      </c>
      <c r="GG114" s="1013" t="s">
        <v>1407</v>
      </c>
      <c r="GH114" s="1013">
        <v>23</v>
      </c>
      <c r="GI114" s="1013" t="s">
        <v>8006</v>
      </c>
      <c r="GJ114" s="1013" t="s">
        <v>8006</v>
      </c>
      <c r="GK114" s="1013" t="s">
        <v>8006</v>
      </c>
      <c r="GL114" s="1013" t="s">
        <v>8006</v>
      </c>
    </row>
    <row r="115" spans="1:194" hidden="1">
      <c r="A115" s="1013">
        <v>13</v>
      </c>
      <c r="B115" s="1013" t="s">
        <v>7722</v>
      </c>
      <c r="C115" s="1013">
        <v>18963950</v>
      </c>
      <c r="D115" s="1013" t="s">
        <v>7723</v>
      </c>
      <c r="E115" s="1013" t="s">
        <v>7723</v>
      </c>
      <c r="F115" s="1013" t="s">
        <v>7723</v>
      </c>
      <c r="G115" s="1013" t="s">
        <v>7723</v>
      </c>
      <c r="H115" s="1013" t="s">
        <v>7723</v>
      </c>
      <c r="I115" s="1013" t="s">
        <v>7723</v>
      </c>
      <c r="J115" s="1013" t="s">
        <v>7723</v>
      </c>
      <c r="K115" s="1024">
        <v>44694</v>
      </c>
      <c r="L115" s="1023">
        <v>0.97916666666666663</v>
      </c>
      <c r="M115" s="1013" t="s">
        <v>8085</v>
      </c>
      <c r="N115" s="1013" t="s">
        <v>7724</v>
      </c>
      <c r="O115" s="1013">
        <v>101</v>
      </c>
      <c r="P115" s="1013">
        <v>208</v>
      </c>
      <c r="Q115" s="1013" t="s">
        <v>7723</v>
      </c>
      <c r="R115" s="1013" t="s">
        <v>7727</v>
      </c>
      <c r="S115" s="1013" t="s">
        <v>7724</v>
      </c>
      <c r="T115" s="1014" t="s">
        <v>7724</v>
      </c>
      <c r="U115" s="1014">
        <v>2</v>
      </c>
      <c r="V115" s="1014">
        <v>59</v>
      </c>
      <c r="W115" s="1014" t="s">
        <v>7724</v>
      </c>
      <c r="X115" s="1013">
        <v>1</v>
      </c>
      <c r="Y115" s="1013">
        <v>200</v>
      </c>
      <c r="Z115" s="1013" t="s">
        <v>7770</v>
      </c>
      <c r="AA115" s="1013" t="s">
        <v>7771</v>
      </c>
      <c r="AB115" s="1013" t="s">
        <v>7760</v>
      </c>
      <c r="AC115" s="1013" t="s">
        <v>7723</v>
      </c>
      <c r="AD115" s="1013" t="s">
        <v>7723</v>
      </c>
      <c r="AE115" s="1013">
        <v>60</v>
      </c>
      <c r="AF115" s="1013" t="s">
        <v>7723</v>
      </c>
      <c r="AG115" s="1013" t="s">
        <v>7723</v>
      </c>
      <c r="AH115" s="1013" t="s">
        <v>8086</v>
      </c>
      <c r="AI115" s="1013" t="s">
        <v>7723</v>
      </c>
      <c r="AJ115" s="1013">
        <v>19</v>
      </c>
      <c r="AK115" s="1013" t="s">
        <v>7724</v>
      </c>
      <c r="AL115" s="1013" t="s">
        <v>7724</v>
      </c>
      <c r="AM115" s="1013">
        <v>1</v>
      </c>
      <c r="AN115" s="1013" t="s">
        <v>7724</v>
      </c>
      <c r="AO115" s="1013" t="s">
        <v>7724</v>
      </c>
      <c r="AP115" s="1013" t="s">
        <v>7725</v>
      </c>
      <c r="AQ115" s="1013" t="s">
        <v>7735</v>
      </c>
      <c r="AR115" s="1013" t="s">
        <v>7724</v>
      </c>
      <c r="AS115" s="1013" t="s">
        <v>7724</v>
      </c>
      <c r="AT115" s="1013" t="s">
        <v>7724</v>
      </c>
      <c r="AU115" s="1013" t="s">
        <v>7724</v>
      </c>
      <c r="AV115" s="1013" t="s">
        <v>7724</v>
      </c>
      <c r="AW115" s="1013" t="s">
        <v>7724</v>
      </c>
      <c r="AX115" s="1013">
        <v>11</v>
      </c>
      <c r="AY115" s="1013">
        <v>6</v>
      </c>
      <c r="AZ115" s="1013">
        <v>0</v>
      </c>
      <c r="BA115" s="1013">
        <v>3</v>
      </c>
      <c r="BB115" s="1013">
        <v>1</v>
      </c>
      <c r="BC115" s="1013">
        <v>1</v>
      </c>
      <c r="BD115" s="1013">
        <v>20</v>
      </c>
      <c r="BE115" s="1023">
        <v>0.47916666666666669</v>
      </c>
      <c r="BF115" s="1013" t="s">
        <v>7761</v>
      </c>
      <c r="BG115" s="1023">
        <v>0.47916666666666669</v>
      </c>
      <c r="BH115" s="1024">
        <v>44726</v>
      </c>
      <c r="BI115" s="1013" t="s">
        <v>7727</v>
      </c>
      <c r="BJ115" s="1013" t="s">
        <v>7730</v>
      </c>
      <c r="BK115" s="1013">
        <v>2469</v>
      </c>
      <c r="BL115" s="1013" t="s">
        <v>7724</v>
      </c>
      <c r="BM115" s="1013" t="s">
        <v>7724</v>
      </c>
      <c r="BN115" s="1013">
        <v>113</v>
      </c>
      <c r="BO115" s="1013">
        <v>8</v>
      </c>
      <c r="BP115" s="1013">
        <v>2</v>
      </c>
      <c r="BQ115" s="1013">
        <v>4</v>
      </c>
      <c r="BR115" s="1013">
        <v>21</v>
      </c>
      <c r="BS115" s="1013">
        <v>64</v>
      </c>
      <c r="BT115" s="1013">
        <v>9</v>
      </c>
      <c r="BU115" s="1013">
        <v>1</v>
      </c>
      <c r="BV115" s="1013">
        <v>2</v>
      </c>
      <c r="BW115" s="1013">
        <v>1</v>
      </c>
      <c r="BX115" s="1013">
        <v>21</v>
      </c>
      <c r="BY115" s="1013">
        <v>21</v>
      </c>
      <c r="BZ115" s="1013">
        <v>101</v>
      </c>
      <c r="CA115" s="1013">
        <v>208</v>
      </c>
      <c r="CB115" s="1013">
        <v>29.732505</v>
      </c>
      <c r="CC115" s="1013">
        <v>-95.380290000000002</v>
      </c>
      <c r="CD115" s="1013" t="s">
        <v>7724</v>
      </c>
      <c r="CE115" s="1013" t="s">
        <v>7724</v>
      </c>
      <c r="CF115" s="1013" t="s">
        <v>7724</v>
      </c>
      <c r="CG115" s="1013" t="s">
        <v>7724</v>
      </c>
      <c r="CH115" s="1013" t="s">
        <v>8053</v>
      </c>
      <c r="CI115" s="1013" t="s">
        <v>7724</v>
      </c>
      <c r="CJ115" s="1013" t="s">
        <v>7724</v>
      </c>
      <c r="CK115" s="1013" t="s">
        <v>7724</v>
      </c>
      <c r="CL115" s="1013" t="s">
        <v>7724</v>
      </c>
      <c r="CM115" s="1013" t="s">
        <v>7724</v>
      </c>
      <c r="CN115" s="1013" t="s">
        <v>7724</v>
      </c>
      <c r="CO115" s="1013" t="s">
        <v>7724</v>
      </c>
      <c r="CP115" s="1013" t="s">
        <v>7724</v>
      </c>
      <c r="CQ115" s="1013" t="s">
        <v>7724</v>
      </c>
      <c r="CR115" s="1013" t="s">
        <v>7724</v>
      </c>
      <c r="CS115" s="1013" t="s">
        <v>7724</v>
      </c>
      <c r="CT115" s="1013" t="s">
        <v>7724</v>
      </c>
      <c r="CU115" s="1013" t="s">
        <v>7724</v>
      </c>
      <c r="CV115" s="1013" t="s">
        <v>7724</v>
      </c>
      <c r="CW115" s="1013" t="s">
        <v>7727</v>
      </c>
      <c r="CX115" s="1013" t="s">
        <v>7723</v>
      </c>
      <c r="CY115" s="1013" t="s">
        <v>7723</v>
      </c>
      <c r="CZ115" s="1013">
        <v>5</v>
      </c>
      <c r="DA115" s="1013">
        <v>9</v>
      </c>
      <c r="DB115" s="1013" t="s">
        <v>7727</v>
      </c>
      <c r="DC115" s="1013" t="s">
        <v>7759</v>
      </c>
      <c r="DD115" s="1013" t="s">
        <v>7724</v>
      </c>
      <c r="DE115" s="1013" t="s">
        <v>7724</v>
      </c>
      <c r="DF115" s="1013" t="s">
        <v>7724</v>
      </c>
      <c r="DG115" s="1013" t="s">
        <v>7724</v>
      </c>
      <c r="DH115" s="1013" t="s">
        <v>7724</v>
      </c>
      <c r="DI115" s="1013" t="s">
        <v>7724</v>
      </c>
      <c r="DJ115" s="1013" t="s">
        <v>7724</v>
      </c>
      <c r="DK115" s="1013" t="s">
        <v>7724</v>
      </c>
      <c r="DL115" s="1013" t="s">
        <v>7724</v>
      </c>
      <c r="DM115" s="1013" t="s">
        <v>7724</v>
      </c>
      <c r="DN115" s="1013" t="s">
        <v>7724</v>
      </c>
      <c r="DO115" s="1013" t="s">
        <v>7724</v>
      </c>
      <c r="DP115" s="1013" t="s">
        <v>7724</v>
      </c>
      <c r="DQ115" s="1013" t="s">
        <v>7724</v>
      </c>
      <c r="DR115" s="1013" t="s">
        <v>7724</v>
      </c>
      <c r="DS115" s="1013" t="s">
        <v>7724</v>
      </c>
      <c r="DT115" s="1013" t="s">
        <v>7724</v>
      </c>
      <c r="DU115" s="1013" t="s">
        <v>7724</v>
      </c>
      <c r="DV115" s="1013" t="s">
        <v>7724</v>
      </c>
      <c r="DW115" s="1013" t="s">
        <v>7724</v>
      </c>
      <c r="DX115" s="1013" t="s">
        <v>7724</v>
      </c>
      <c r="DY115" s="1013" t="s">
        <v>7724</v>
      </c>
      <c r="DZ115" s="1013" t="s">
        <v>7724</v>
      </c>
      <c r="EA115" s="1013" t="s">
        <v>7724</v>
      </c>
      <c r="EB115" s="1013" t="s">
        <v>7724</v>
      </c>
      <c r="EC115" s="1013" t="s">
        <v>7724</v>
      </c>
      <c r="ED115" s="1013" t="s">
        <v>7724</v>
      </c>
      <c r="EE115" s="1013" t="s">
        <v>7724</v>
      </c>
      <c r="EF115" s="1013" t="s">
        <v>7724</v>
      </c>
      <c r="EG115" s="1013" t="s">
        <v>7724</v>
      </c>
      <c r="EH115" s="1013" t="s">
        <v>7724</v>
      </c>
      <c r="EI115" s="1013" t="s">
        <v>7724</v>
      </c>
      <c r="EJ115" s="1013" t="s">
        <v>7724</v>
      </c>
      <c r="EK115" s="1013" t="s">
        <v>7724</v>
      </c>
      <c r="EL115" s="1013" t="s">
        <v>7724</v>
      </c>
      <c r="EM115" s="1013" t="s">
        <v>7724</v>
      </c>
      <c r="EN115" s="1013" t="s">
        <v>7724</v>
      </c>
      <c r="EO115" s="1013" t="s">
        <v>7724</v>
      </c>
      <c r="EP115" s="1013" t="s">
        <v>7724</v>
      </c>
      <c r="EQ115" s="1013" t="s">
        <v>7724</v>
      </c>
      <c r="ER115" s="1013" t="s">
        <v>7724</v>
      </c>
      <c r="ES115" s="1013" t="s">
        <v>7724</v>
      </c>
      <c r="ET115" s="1013" t="s">
        <v>7724</v>
      </c>
      <c r="EU115" s="1013" t="s">
        <v>7724</v>
      </c>
      <c r="EV115" s="1013" t="s">
        <v>7724</v>
      </c>
      <c r="EW115" s="1013" t="s">
        <v>7724</v>
      </c>
      <c r="EX115" s="1013" t="s">
        <v>7724</v>
      </c>
      <c r="EY115" s="1013" t="s">
        <v>7724</v>
      </c>
      <c r="EZ115" s="1013" t="s">
        <v>7724</v>
      </c>
      <c r="FA115" s="1013" t="s">
        <v>7724</v>
      </c>
      <c r="FB115" s="1013" t="s">
        <v>7724</v>
      </c>
      <c r="FC115" s="1013" t="s">
        <v>7724</v>
      </c>
      <c r="FD115" s="1013" t="s">
        <v>7724</v>
      </c>
      <c r="FE115" s="1013" t="s">
        <v>7724</v>
      </c>
      <c r="FF115" s="1013" t="s">
        <v>7724</v>
      </c>
      <c r="FG115" s="1013">
        <v>0</v>
      </c>
      <c r="FH115" s="1013">
        <v>0</v>
      </c>
      <c r="FI115" s="1013">
        <v>0</v>
      </c>
      <c r="FJ115" s="1013">
        <v>1</v>
      </c>
      <c r="FK115" s="1013">
        <v>1</v>
      </c>
      <c r="FL115" s="1013">
        <v>0</v>
      </c>
      <c r="FM115" s="1013">
        <v>0</v>
      </c>
      <c r="FN115" s="1013">
        <v>15</v>
      </c>
      <c r="FO115" s="1013">
        <v>29</v>
      </c>
      <c r="FP115" s="1013">
        <v>6</v>
      </c>
      <c r="FQ115" s="1013" t="s">
        <v>7724</v>
      </c>
      <c r="FR115" s="1013" t="s">
        <v>7724</v>
      </c>
      <c r="FS115" s="1013" t="s">
        <v>7724</v>
      </c>
      <c r="FT115" s="1013" t="s">
        <v>7724</v>
      </c>
      <c r="FU115" s="1013" t="s">
        <v>7724</v>
      </c>
      <c r="FV115" s="1013" t="s">
        <v>7724</v>
      </c>
      <c r="FW115" s="1013" t="s">
        <v>7724</v>
      </c>
      <c r="FX115" s="1013" t="s">
        <v>7724</v>
      </c>
      <c r="FY115" s="1013" t="s">
        <v>7724</v>
      </c>
      <c r="FZ115" s="1013" t="s">
        <v>7724</v>
      </c>
      <c r="GA115" s="1013" t="s">
        <v>7724</v>
      </c>
      <c r="GB115" s="1013" t="s">
        <v>7724</v>
      </c>
      <c r="GC115" s="1013">
        <v>2022</v>
      </c>
      <c r="GD115" s="1013" t="s">
        <v>1407</v>
      </c>
      <c r="GE115" s="1013">
        <v>2</v>
      </c>
      <c r="GF115" s="1013" t="s">
        <v>1407</v>
      </c>
      <c r="GG115" s="1013" t="s">
        <v>1407</v>
      </c>
      <c r="GH115" s="1013" t="s">
        <v>7995</v>
      </c>
      <c r="GI115" s="1013" t="s">
        <v>7974</v>
      </c>
      <c r="GJ115" s="1013" t="s">
        <v>7974</v>
      </c>
      <c r="GK115" s="1013" t="s">
        <v>8068</v>
      </c>
      <c r="GL115" s="1013" t="s">
        <v>7974</v>
      </c>
    </row>
    <row r="116" spans="1:194" hidden="1">
      <c r="A116" s="1013">
        <v>14</v>
      </c>
      <c r="B116" s="1013" t="s">
        <v>7722</v>
      </c>
      <c r="C116" s="1013">
        <v>18967670</v>
      </c>
      <c r="D116" s="1013" t="s">
        <v>7723</v>
      </c>
      <c r="E116" s="1013" t="s">
        <v>7723</v>
      </c>
      <c r="F116" s="1013" t="s">
        <v>7723</v>
      </c>
      <c r="G116" s="1013" t="s">
        <v>7723</v>
      </c>
      <c r="H116" s="1013" t="s">
        <v>7723</v>
      </c>
      <c r="I116" s="1013" t="s">
        <v>7723</v>
      </c>
      <c r="J116" s="1013" t="s">
        <v>7723</v>
      </c>
      <c r="K116" s="1024">
        <v>44723</v>
      </c>
      <c r="L116" s="1023">
        <v>3.472222222222222E-3</v>
      </c>
      <c r="M116" s="1013" t="s">
        <v>8087</v>
      </c>
      <c r="N116" s="1013" t="s">
        <v>7724</v>
      </c>
      <c r="O116" s="1013">
        <v>101</v>
      </c>
      <c r="P116" s="1013">
        <v>208</v>
      </c>
      <c r="Q116" s="1013" t="s">
        <v>7723</v>
      </c>
      <c r="R116" s="1013" t="s">
        <v>7727</v>
      </c>
      <c r="S116" s="1013" t="s">
        <v>7724</v>
      </c>
      <c r="T116" s="1014" t="s">
        <v>7724</v>
      </c>
      <c r="U116" s="1014">
        <v>2</v>
      </c>
      <c r="V116" s="1014">
        <v>59</v>
      </c>
      <c r="W116" s="1014" t="s">
        <v>7724</v>
      </c>
      <c r="X116" s="1013">
        <v>1</v>
      </c>
      <c r="Y116" s="1013">
        <v>516</v>
      </c>
      <c r="Z116" s="1013" t="s">
        <v>7770</v>
      </c>
      <c r="AA116" s="1013" t="s">
        <v>7771</v>
      </c>
      <c r="AB116" s="1013" t="s">
        <v>7760</v>
      </c>
      <c r="AC116" s="1013" t="s">
        <v>7723</v>
      </c>
      <c r="AD116" s="1013" t="s">
        <v>7723</v>
      </c>
      <c r="AE116" s="1013">
        <v>60</v>
      </c>
      <c r="AF116" s="1013" t="s">
        <v>7723</v>
      </c>
      <c r="AG116" s="1013" t="s">
        <v>7723</v>
      </c>
      <c r="AH116" s="1013" t="s">
        <v>8088</v>
      </c>
      <c r="AI116" s="1013" t="s">
        <v>7723</v>
      </c>
      <c r="AJ116" s="1013">
        <v>19</v>
      </c>
      <c r="AK116" s="1013" t="s">
        <v>7724</v>
      </c>
      <c r="AL116" s="1013" t="s">
        <v>7724</v>
      </c>
      <c r="AM116" s="1013">
        <v>1</v>
      </c>
      <c r="AN116" s="1013">
        <v>4200</v>
      </c>
      <c r="AO116" s="1013" t="s">
        <v>7724</v>
      </c>
      <c r="AP116" s="1013" t="s">
        <v>7745</v>
      </c>
      <c r="AQ116" s="1013" t="s">
        <v>7726</v>
      </c>
      <c r="AR116" s="1013" t="s">
        <v>7724</v>
      </c>
      <c r="AS116" s="1013" t="s">
        <v>7724</v>
      </c>
      <c r="AT116" s="1013" t="s">
        <v>7724</v>
      </c>
      <c r="AU116" s="1013" t="s">
        <v>7724</v>
      </c>
      <c r="AV116" s="1013" t="s">
        <v>7724</v>
      </c>
      <c r="AW116" s="1013" t="s">
        <v>7724</v>
      </c>
      <c r="AX116" s="1013">
        <v>11</v>
      </c>
      <c r="AY116" s="1013">
        <v>4</v>
      </c>
      <c r="AZ116" s="1013">
        <v>0</v>
      </c>
      <c r="BA116" s="1013">
        <v>3</v>
      </c>
      <c r="BB116" s="1013">
        <v>1</v>
      </c>
      <c r="BC116" s="1013">
        <v>1</v>
      </c>
      <c r="BD116" s="1013">
        <v>20</v>
      </c>
      <c r="BE116" s="1023">
        <v>4.8611111111111112E-3</v>
      </c>
      <c r="BF116" s="1013" t="s">
        <v>7736</v>
      </c>
      <c r="BG116" s="1023">
        <v>1.1805555555555555E-2</v>
      </c>
      <c r="BH116" s="1024">
        <v>44723</v>
      </c>
      <c r="BI116" s="1013" t="s">
        <v>7727</v>
      </c>
      <c r="BJ116" s="1013" t="s">
        <v>7730</v>
      </c>
      <c r="BK116" s="1013">
        <v>2469</v>
      </c>
      <c r="BL116" s="1013" t="s">
        <v>7724</v>
      </c>
      <c r="BM116" s="1013" t="s">
        <v>7724</v>
      </c>
      <c r="BN116" s="1013">
        <v>113</v>
      </c>
      <c r="BO116" s="1013">
        <v>8</v>
      </c>
      <c r="BP116" s="1013">
        <v>2</v>
      </c>
      <c r="BQ116" s="1013">
        <v>4</v>
      </c>
      <c r="BR116" s="1013">
        <v>20</v>
      </c>
      <c r="BS116" s="1013">
        <v>64</v>
      </c>
      <c r="BT116" s="1013">
        <v>54</v>
      </c>
      <c r="BU116" s="1013">
        <v>1</v>
      </c>
      <c r="BV116" s="1013">
        <v>2</v>
      </c>
      <c r="BW116" s="1013">
        <v>1</v>
      </c>
      <c r="BX116" s="1013">
        <v>21</v>
      </c>
      <c r="BY116" s="1013">
        <v>21</v>
      </c>
      <c r="BZ116" s="1013">
        <v>101</v>
      </c>
      <c r="CA116" s="1013">
        <v>208</v>
      </c>
      <c r="CB116" s="1013">
        <v>29.732527999999999</v>
      </c>
      <c r="CC116" s="1013">
        <v>-95.380420000000001</v>
      </c>
      <c r="CD116" s="1013" t="s">
        <v>8016</v>
      </c>
      <c r="CE116" s="1013">
        <v>69</v>
      </c>
      <c r="CF116" s="1013" t="s">
        <v>7724</v>
      </c>
      <c r="CG116" s="1013">
        <v>33.588000000000001</v>
      </c>
      <c r="CH116" s="1013" t="s">
        <v>8017</v>
      </c>
      <c r="CI116" s="1013" t="s">
        <v>7724</v>
      </c>
      <c r="CJ116" s="1013">
        <v>27</v>
      </c>
      <c r="CK116" s="1013">
        <v>13</v>
      </c>
      <c r="CL116" s="1013">
        <v>13.885</v>
      </c>
      <c r="CM116" s="1013">
        <v>128</v>
      </c>
      <c r="CN116" s="1013">
        <v>0.32900000000000001</v>
      </c>
      <c r="CO116" s="1013" t="s">
        <v>7724</v>
      </c>
      <c r="CP116" s="1013" t="s">
        <v>7724</v>
      </c>
      <c r="CQ116" s="1013" t="s">
        <v>7724</v>
      </c>
      <c r="CR116" s="1013" t="s">
        <v>7724</v>
      </c>
      <c r="CS116" s="1013" t="s">
        <v>7724</v>
      </c>
      <c r="CT116" s="1013" t="s">
        <v>7724</v>
      </c>
      <c r="CU116" s="1013" t="s">
        <v>7724</v>
      </c>
      <c r="CV116" s="1013" t="s">
        <v>7724</v>
      </c>
      <c r="CW116" s="1013" t="s">
        <v>7727</v>
      </c>
      <c r="CX116" s="1013" t="s">
        <v>7727</v>
      </c>
      <c r="CY116" s="1013" t="s">
        <v>7723</v>
      </c>
      <c r="CZ116" s="1013">
        <v>3</v>
      </c>
      <c r="DA116" s="1013">
        <v>9</v>
      </c>
      <c r="DB116" s="1013" t="s">
        <v>7727</v>
      </c>
      <c r="DC116" s="1013" t="s">
        <v>7733</v>
      </c>
      <c r="DD116" s="1013">
        <v>5</v>
      </c>
      <c r="DE116" s="1013" t="s">
        <v>7724</v>
      </c>
      <c r="DF116" s="1013">
        <v>20</v>
      </c>
      <c r="DG116" s="1013">
        <v>20</v>
      </c>
      <c r="DH116" s="1013">
        <v>5</v>
      </c>
      <c r="DI116" s="1013" t="s">
        <v>7724</v>
      </c>
      <c r="DJ116" s="1013">
        <v>8</v>
      </c>
      <c r="DK116" s="1013">
        <v>400</v>
      </c>
      <c r="DL116" s="1013">
        <v>138</v>
      </c>
      <c r="DM116" s="1013">
        <v>98</v>
      </c>
      <c r="DN116" s="1013">
        <v>1</v>
      </c>
      <c r="DO116" s="1013">
        <v>0</v>
      </c>
      <c r="DP116" s="1013">
        <v>0</v>
      </c>
      <c r="DQ116" s="1013">
        <v>1</v>
      </c>
      <c r="DR116" s="1013">
        <v>20</v>
      </c>
      <c r="DS116" s="1013">
        <v>5</v>
      </c>
      <c r="DT116" s="1013">
        <v>1</v>
      </c>
      <c r="DU116" s="1013">
        <v>20</v>
      </c>
      <c r="DV116" s="1013">
        <v>5</v>
      </c>
      <c r="DW116" s="1013">
        <v>7</v>
      </c>
      <c r="DX116" s="1013">
        <v>5</v>
      </c>
      <c r="DY116" s="1013">
        <v>4</v>
      </c>
      <c r="DZ116" s="1013">
        <v>1</v>
      </c>
      <c r="EA116" s="1013">
        <v>185410</v>
      </c>
      <c r="EB116" s="1013">
        <v>2019</v>
      </c>
      <c r="EC116" s="1013">
        <v>185410</v>
      </c>
      <c r="ED116" s="1013">
        <v>2.2999999999999998</v>
      </c>
      <c r="EE116" s="1013">
        <v>2.5</v>
      </c>
      <c r="EF116" s="1013">
        <v>4.8</v>
      </c>
      <c r="EG116" s="1013" t="s">
        <v>7724</v>
      </c>
      <c r="EH116" s="1013" t="s">
        <v>7724</v>
      </c>
      <c r="EI116" s="1013" t="s">
        <v>7724</v>
      </c>
      <c r="EJ116" s="1013" t="s">
        <v>7724</v>
      </c>
      <c r="EK116" s="1013" t="s">
        <v>7724</v>
      </c>
      <c r="EL116" s="1013" t="s">
        <v>7724</v>
      </c>
      <c r="EM116" s="1013" t="s">
        <v>7724</v>
      </c>
      <c r="EN116" s="1013" t="s">
        <v>7724</v>
      </c>
      <c r="EO116" s="1013" t="s">
        <v>7724</v>
      </c>
      <c r="EP116" s="1013" t="s">
        <v>7724</v>
      </c>
      <c r="EQ116" s="1013" t="s">
        <v>7724</v>
      </c>
      <c r="ER116" s="1013" t="s">
        <v>7724</v>
      </c>
      <c r="ES116" s="1013" t="s">
        <v>7724</v>
      </c>
      <c r="ET116" s="1013" t="s">
        <v>7724</v>
      </c>
      <c r="EU116" s="1013" t="s">
        <v>7724</v>
      </c>
      <c r="EV116" s="1013" t="s">
        <v>7724</v>
      </c>
      <c r="EW116" s="1013" t="s">
        <v>7724</v>
      </c>
      <c r="EX116" s="1013" t="s">
        <v>7724</v>
      </c>
      <c r="EY116" s="1013" t="s">
        <v>7724</v>
      </c>
      <c r="EZ116" s="1013" t="s">
        <v>7724</v>
      </c>
      <c r="FA116" s="1013" t="s">
        <v>7724</v>
      </c>
      <c r="FB116" s="1013" t="s">
        <v>7724</v>
      </c>
      <c r="FC116" s="1013" t="s">
        <v>7724</v>
      </c>
      <c r="FD116" s="1013" t="s">
        <v>7724</v>
      </c>
      <c r="FE116" s="1013" t="s">
        <v>7724</v>
      </c>
      <c r="FF116" s="1013" t="s">
        <v>7724</v>
      </c>
      <c r="FG116" s="1013">
        <v>0</v>
      </c>
      <c r="FH116" s="1013">
        <v>0</v>
      </c>
      <c r="FI116" s="1013">
        <v>4</v>
      </c>
      <c r="FJ116" s="1013">
        <v>1</v>
      </c>
      <c r="FK116" s="1013">
        <v>0</v>
      </c>
      <c r="FL116" s="1013">
        <v>4</v>
      </c>
      <c r="FM116" s="1013">
        <v>0</v>
      </c>
      <c r="FN116" s="1013">
        <v>15</v>
      </c>
      <c r="FO116" s="1013">
        <v>29</v>
      </c>
      <c r="FP116" s="1013">
        <v>6</v>
      </c>
      <c r="FQ116" s="1013" t="s">
        <v>7724</v>
      </c>
      <c r="FR116" s="1013" t="s">
        <v>7724</v>
      </c>
      <c r="FS116" s="1013" t="s">
        <v>7724</v>
      </c>
      <c r="FT116" s="1013" t="s">
        <v>7724</v>
      </c>
      <c r="FU116" s="1013" t="s">
        <v>7724</v>
      </c>
      <c r="FV116" s="1013" t="s">
        <v>7724</v>
      </c>
      <c r="FW116" s="1013" t="s">
        <v>7724</v>
      </c>
      <c r="FX116" s="1013" t="s">
        <v>7724</v>
      </c>
      <c r="FY116" s="1013" t="s">
        <v>7724</v>
      </c>
      <c r="FZ116" s="1013" t="s">
        <v>7724</v>
      </c>
      <c r="GA116" s="1013" t="s">
        <v>7724</v>
      </c>
      <c r="GB116" s="1013" t="s">
        <v>7724</v>
      </c>
      <c r="GC116" s="1013">
        <v>2022</v>
      </c>
      <c r="GD116" s="1013" t="s">
        <v>1407</v>
      </c>
      <c r="GE116" s="1013">
        <v>2</v>
      </c>
      <c r="GF116" s="1013" t="s">
        <v>1407</v>
      </c>
      <c r="GG116" s="1013" t="s">
        <v>1407</v>
      </c>
      <c r="GH116" s="1013" t="s">
        <v>7988</v>
      </c>
      <c r="GI116" s="1013" t="s">
        <v>7974</v>
      </c>
      <c r="GJ116" s="1013" t="s">
        <v>7974</v>
      </c>
      <c r="GK116" s="1013" t="s">
        <v>7974</v>
      </c>
      <c r="GL116" s="1013" t="s">
        <v>7974</v>
      </c>
    </row>
    <row r="117" spans="1:194" hidden="1">
      <c r="A117" s="1013">
        <v>18</v>
      </c>
      <c r="B117" s="1013" t="s">
        <v>7722</v>
      </c>
      <c r="C117" s="1013">
        <v>19024336</v>
      </c>
      <c r="D117" s="1013" t="s">
        <v>7723</v>
      </c>
      <c r="E117" s="1013" t="s">
        <v>7723</v>
      </c>
      <c r="F117" s="1013" t="s">
        <v>7723</v>
      </c>
      <c r="G117" s="1013" t="s">
        <v>7723</v>
      </c>
      <c r="H117" s="1013" t="s">
        <v>7723</v>
      </c>
      <c r="I117" s="1013" t="s">
        <v>7723</v>
      </c>
      <c r="J117" s="1013" t="s">
        <v>7723</v>
      </c>
      <c r="K117" s="1024">
        <v>44766</v>
      </c>
      <c r="L117" s="1023">
        <v>7.9861111111111105E-2</v>
      </c>
      <c r="M117" s="1013" t="s">
        <v>8089</v>
      </c>
      <c r="N117" s="1013" t="s">
        <v>7724</v>
      </c>
      <c r="O117" s="1013">
        <v>101</v>
      </c>
      <c r="P117" s="1013">
        <v>208</v>
      </c>
      <c r="Q117" s="1013" t="s">
        <v>7723</v>
      </c>
      <c r="R117" s="1013" t="s">
        <v>7723</v>
      </c>
      <c r="S117" s="1013" t="s">
        <v>7724</v>
      </c>
      <c r="T117" s="1014" t="s">
        <v>7724</v>
      </c>
      <c r="U117" s="1014">
        <v>2</v>
      </c>
      <c r="V117" s="1014">
        <v>59</v>
      </c>
      <c r="W117" s="1014" t="s">
        <v>7724</v>
      </c>
      <c r="X117" s="1013">
        <v>1</v>
      </c>
      <c r="Y117" s="1013">
        <v>801</v>
      </c>
      <c r="Z117" s="1013" t="s">
        <v>7770</v>
      </c>
      <c r="AA117" s="1013" t="s">
        <v>7771</v>
      </c>
      <c r="AB117" s="1013" t="s">
        <v>7760</v>
      </c>
      <c r="AC117" s="1013" t="s">
        <v>7723</v>
      </c>
      <c r="AD117" s="1013" t="s">
        <v>7723</v>
      </c>
      <c r="AE117" s="1013">
        <v>60</v>
      </c>
      <c r="AF117" s="1013" t="s">
        <v>7723</v>
      </c>
      <c r="AG117" s="1013" t="s">
        <v>7723</v>
      </c>
      <c r="AH117" s="1013" t="s">
        <v>7724</v>
      </c>
      <c r="AI117" s="1013" t="s">
        <v>7723</v>
      </c>
      <c r="AJ117" s="1013">
        <v>19</v>
      </c>
      <c r="AK117" s="1013" t="s">
        <v>7724</v>
      </c>
      <c r="AL117" s="1013" t="s">
        <v>7724</v>
      </c>
      <c r="AM117" s="1013">
        <v>4</v>
      </c>
      <c r="AN117" s="1013">
        <v>400</v>
      </c>
      <c r="AO117" s="1013" t="s">
        <v>7724</v>
      </c>
      <c r="AP117" s="1013" t="s">
        <v>8003</v>
      </c>
      <c r="AQ117" s="1013" t="s">
        <v>7735</v>
      </c>
      <c r="AR117" s="1013" t="s">
        <v>7724</v>
      </c>
      <c r="AS117" s="1013" t="s">
        <v>7724</v>
      </c>
      <c r="AT117" s="1013" t="s">
        <v>7724</v>
      </c>
      <c r="AU117" s="1013" t="s">
        <v>7724</v>
      </c>
      <c r="AV117" s="1013" t="s">
        <v>7724</v>
      </c>
      <c r="AW117" s="1013" t="s">
        <v>7724</v>
      </c>
      <c r="AX117" s="1013">
        <v>11</v>
      </c>
      <c r="AY117" s="1013">
        <v>4</v>
      </c>
      <c r="AZ117" s="1013">
        <v>98</v>
      </c>
      <c r="BA117" s="1013">
        <v>4</v>
      </c>
      <c r="BB117" s="1013">
        <v>1</v>
      </c>
      <c r="BC117" s="1013">
        <v>1</v>
      </c>
      <c r="BD117" s="1013">
        <v>20</v>
      </c>
      <c r="BE117" s="1023">
        <v>8.6805555555555552E-2</v>
      </c>
      <c r="BF117" s="1013" t="s">
        <v>7736</v>
      </c>
      <c r="BG117" s="1023">
        <v>9.4444444444444442E-2</v>
      </c>
      <c r="BH117" s="1024">
        <v>44766</v>
      </c>
      <c r="BI117" s="1013" t="s">
        <v>7727</v>
      </c>
      <c r="BJ117" s="1013" t="s">
        <v>7730</v>
      </c>
      <c r="BK117" s="1013">
        <v>2469</v>
      </c>
      <c r="BL117" s="1013" t="s">
        <v>7724</v>
      </c>
      <c r="BM117" s="1013" t="s">
        <v>7724</v>
      </c>
      <c r="BN117" s="1013">
        <v>113</v>
      </c>
      <c r="BO117" s="1013">
        <v>8</v>
      </c>
      <c r="BP117" s="1013">
        <v>10</v>
      </c>
      <c r="BQ117" s="1013">
        <v>4</v>
      </c>
      <c r="BR117" s="1013">
        <v>1</v>
      </c>
      <c r="BS117" s="1013">
        <v>1</v>
      </c>
      <c r="BT117" s="1013">
        <v>54</v>
      </c>
      <c r="BU117" s="1013">
        <v>1</v>
      </c>
      <c r="BV117" s="1013">
        <v>2</v>
      </c>
      <c r="BW117" s="1013">
        <v>1</v>
      </c>
      <c r="BX117" s="1013">
        <v>21</v>
      </c>
      <c r="BY117" s="1013">
        <v>21</v>
      </c>
      <c r="BZ117" s="1013">
        <v>101</v>
      </c>
      <c r="CA117" s="1013">
        <v>208</v>
      </c>
      <c r="CB117" s="1013">
        <v>29.732538000000002</v>
      </c>
      <c r="CC117" s="1013">
        <v>-95.380262000000002</v>
      </c>
      <c r="CD117" s="1013" t="s">
        <v>8016</v>
      </c>
      <c r="CE117" s="1013">
        <v>69</v>
      </c>
      <c r="CF117" s="1013" t="s">
        <v>7724</v>
      </c>
      <c r="CG117" s="1013">
        <v>33.597000000000001</v>
      </c>
      <c r="CH117" s="1013" t="s">
        <v>8017</v>
      </c>
      <c r="CI117" s="1013" t="s">
        <v>7724</v>
      </c>
      <c r="CJ117" s="1013">
        <v>27</v>
      </c>
      <c r="CK117" s="1013">
        <v>13</v>
      </c>
      <c r="CL117" s="1013">
        <v>13.895</v>
      </c>
      <c r="CM117" s="1013">
        <v>128</v>
      </c>
      <c r="CN117" s="1013">
        <v>0.33800000000000002</v>
      </c>
      <c r="CO117" s="1013" t="s">
        <v>7724</v>
      </c>
      <c r="CP117" s="1013" t="s">
        <v>7724</v>
      </c>
      <c r="CQ117" s="1013" t="s">
        <v>7724</v>
      </c>
      <c r="CR117" s="1013" t="s">
        <v>7724</v>
      </c>
      <c r="CS117" s="1013" t="s">
        <v>7724</v>
      </c>
      <c r="CT117" s="1013" t="s">
        <v>7724</v>
      </c>
      <c r="CU117" s="1013" t="s">
        <v>7724</v>
      </c>
      <c r="CV117" s="1013" t="s">
        <v>7724</v>
      </c>
      <c r="CW117" s="1013" t="s">
        <v>7727</v>
      </c>
      <c r="CX117" s="1013" t="s">
        <v>7727</v>
      </c>
      <c r="CY117" s="1013" t="s">
        <v>7723</v>
      </c>
      <c r="CZ117" s="1013">
        <v>2</v>
      </c>
      <c r="DA117" s="1013">
        <v>9</v>
      </c>
      <c r="DB117" s="1013" t="s">
        <v>7727</v>
      </c>
      <c r="DC117" s="1013" t="s">
        <v>7747</v>
      </c>
      <c r="DD117" s="1013">
        <v>5</v>
      </c>
      <c r="DE117" s="1013" t="s">
        <v>7724</v>
      </c>
      <c r="DF117" s="1013">
        <v>20</v>
      </c>
      <c r="DG117" s="1013">
        <v>20</v>
      </c>
      <c r="DH117" s="1013">
        <v>5</v>
      </c>
      <c r="DI117" s="1013" t="s">
        <v>7724</v>
      </c>
      <c r="DJ117" s="1013">
        <v>8</v>
      </c>
      <c r="DK117" s="1013">
        <v>400</v>
      </c>
      <c r="DL117" s="1013">
        <v>138</v>
      </c>
      <c r="DM117" s="1013">
        <v>98</v>
      </c>
      <c r="DN117" s="1013">
        <v>1</v>
      </c>
      <c r="DO117" s="1013">
        <v>0</v>
      </c>
      <c r="DP117" s="1013">
        <v>0</v>
      </c>
      <c r="DQ117" s="1013">
        <v>1</v>
      </c>
      <c r="DR117" s="1013">
        <v>20</v>
      </c>
      <c r="DS117" s="1013">
        <v>5</v>
      </c>
      <c r="DT117" s="1013">
        <v>1</v>
      </c>
      <c r="DU117" s="1013">
        <v>20</v>
      </c>
      <c r="DV117" s="1013">
        <v>5</v>
      </c>
      <c r="DW117" s="1013">
        <v>7</v>
      </c>
      <c r="DX117" s="1013">
        <v>5</v>
      </c>
      <c r="DY117" s="1013">
        <v>4</v>
      </c>
      <c r="DZ117" s="1013">
        <v>1</v>
      </c>
      <c r="EA117" s="1013">
        <v>185410</v>
      </c>
      <c r="EB117" s="1013">
        <v>2019</v>
      </c>
      <c r="EC117" s="1013">
        <v>185410</v>
      </c>
      <c r="ED117" s="1013">
        <v>2.2999999999999998</v>
      </c>
      <c r="EE117" s="1013">
        <v>2.5</v>
      </c>
      <c r="EF117" s="1013">
        <v>4.8</v>
      </c>
      <c r="EG117" s="1013" t="s">
        <v>7724</v>
      </c>
      <c r="EH117" s="1013" t="s">
        <v>7724</v>
      </c>
      <c r="EI117" s="1013" t="s">
        <v>7724</v>
      </c>
      <c r="EJ117" s="1013" t="s">
        <v>7724</v>
      </c>
      <c r="EK117" s="1013" t="s">
        <v>7724</v>
      </c>
      <c r="EL117" s="1013" t="s">
        <v>7724</v>
      </c>
      <c r="EM117" s="1013" t="s">
        <v>7724</v>
      </c>
      <c r="EN117" s="1013" t="s">
        <v>7724</v>
      </c>
      <c r="EO117" s="1013" t="s">
        <v>7724</v>
      </c>
      <c r="EP117" s="1013" t="s">
        <v>7724</v>
      </c>
      <c r="EQ117" s="1013" t="s">
        <v>7724</v>
      </c>
      <c r="ER117" s="1013" t="s">
        <v>7724</v>
      </c>
      <c r="ES117" s="1013" t="s">
        <v>7724</v>
      </c>
      <c r="ET117" s="1013" t="s">
        <v>7724</v>
      </c>
      <c r="EU117" s="1013" t="s">
        <v>7724</v>
      </c>
      <c r="EV117" s="1013" t="s">
        <v>7724</v>
      </c>
      <c r="EW117" s="1013" t="s">
        <v>7724</v>
      </c>
      <c r="EX117" s="1013" t="s">
        <v>7724</v>
      </c>
      <c r="EY117" s="1013" t="s">
        <v>7724</v>
      </c>
      <c r="EZ117" s="1013" t="s">
        <v>7724</v>
      </c>
      <c r="FA117" s="1013" t="s">
        <v>7724</v>
      </c>
      <c r="FB117" s="1013" t="s">
        <v>7724</v>
      </c>
      <c r="FC117" s="1013" t="s">
        <v>7724</v>
      </c>
      <c r="FD117" s="1013" t="s">
        <v>7724</v>
      </c>
      <c r="FE117" s="1013" t="s">
        <v>7724</v>
      </c>
      <c r="FF117" s="1013" t="s">
        <v>7724</v>
      </c>
      <c r="FG117" s="1013">
        <v>0</v>
      </c>
      <c r="FH117" s="1013">
        <v>1</v>
      </c>
      <c r="FI117" s="1013">
        <v>0</v>
      </c>
      <c r="FJ117" s="1013">
        <v>0</v>
      </c>
      <c r="FK117" s="1013">
        <v>0</v>
      </c>
      <c r="FL117" s="1013">
        <v>1</v>
      </c>
      <c r="FM117" s="1013">
        <v>0</v>
      </c>
      <c r="FN117" s="1013">
        <v>15</v>
      </c>
      <c r="FO117" s="1013">
        <v>29</v>
      </c>
      <c r="FP117" s="1013">
        <v>51</v>
      </c>
      <c r="FQ117" s="1013" t="s">
        <v>7724</v>
      </c>
      <c r="FR117" s="1013" t="s">
        <v>7724</v>
      </c>
      <c r="FS117" s="1013" t="s">
        <v>7724</v>
      </c>
      <c r="FT117" s="1013" t="s">
        <v>7724</v>
      </c>
      <c r="FU117" s="1013" t="s">
        <v>7724</v>
      </c>
      <c r="FV117" s="1013" t="s">
        <v>7724</v>
      </c>
      <c r="FW117" s="1013" t="s">
        <v>7724</v>
      </c>
      <c r="FX117" s="1013" t="s">
        <v>7724</v>
      </c>
      <c r="FY117" s="1013" t="s">
        <v>7724</v>
      </c>
      <c r="FZ117" s="1013" t="s">
        <v>7724</v>
      </c>
      <c r="GA117" s="1013" t="s">
        <v>7724</v>
      </c>
      <c r="GB117" s="1013" t="s">
        <v>7724</v>
      </c>
      <c r="GC117" s="1013">
        <v>2022</v>
      </c>
      <c r="GD117" s="1013" t="s">
        <v>1407</v>
      </c>
      <c r="GE117" s="1013">
        <v>1</v>
      </c>
      <c r="GF117" s="1013" t="s">
        <v>1407</v>
      </c>
      <c r="GG117" s="1013" t="s">
        <v>1407</v>
      </c>
      <c r="GH117" s="1013">
        <v>44</v>
      </c>
      <c r="GI117" s="1013" t="s">
        <v>8006</v>
      </c>
      <c r="GJ117" s="1013" t="s">
        <v>8006</v>
      </c>
      <c r="GK117" s="1013" t="s">
        <v>8006</v>
      </c>
      <c r="GL117" s="1013" t="s">
        <v>8006</v>
      </c>
    </row>
    <row r="118" spans="1:194" hidden="1">
      <c r="A118" s="1013">
        <v>19</v>
      </c>
      <c r="B118" s="1013" t="s">
        <v>7722</v>
      </c>
      <c r="C118" s="1013">
        <v>19042190</v>
      </c>
      <c r="D118" s="1013" t="s">
        <v>7723</v>
      </c>
      <c r="E118" s="1013" t="s">
        <v>7723</v>
      </c>
      <c r="F118" s="1013" t="s">
        <v>7723</v>
      </c>
      <c r="G118" s="1013" t="s">
        <v>7723</v>
      </c>
      <c r="H118" s="1013" t="s">
        <v>7723</v>
      </c>
      <c r="I118" s="1013" t="s">
        <v>7723</v>
      </c>
      <c r="J118" s="1013" t="s">
        <v>7723</v>
      </c>
      <c r="K118" s="1024">
        <v>44768</v>
      </c>
      <c r="L118" s="1023">
        <v>0.37291666666666667</v>
      </c>
      <c r="M118" s="1013" t="s">
        <v>8090</v>
      </c>
      <c r="N118" s="1013" t="s">
        <v>7724</v>
      </c>
      <c r="O118" s="1013">
        <v>101</v>
      </c>
      <c r="P118" s="1013">
        <v>208</v>
      </c>
      <c r="Q118" s="1013" t="s">
        <v>7723</v>
      </c>
      <c r="R118" s="1013" t="s">
        <v>7723</v>
      </c>
      <c r="S118" s="1013" t="s">
        <v>7724</v>
      </c>
      <c r="T118" s="1014" t="s">
        <v>7724</v>
      </c>
      <c r="U118" s="1014">
        <v>2</v>
      </c>
      <c r="V118" s="1014">
        <v>59</v>
      </c>
      <c r="W118" s="1014" t="s">
        <v>7724</v>
      </c>
      <c r="X118" s="1013">
        <v>1</v>
      </c>
      <c r="Y118" s="1013">
        <v>500</v>
      </c>
      <c r="Z118" s="1013" t="s">
        <v>7770</v>
      </c>
      <c r="AA118" s="1013" t="s">
        <v>7771</v>
      </c>
      <c r="AB118" s="1013" t="s">
        <v>7760</v>
      </c>
      <c r="AC118" s="1013" t="s">
        <v>7723</v>
      </c>
      <c r="AD118" s="1013" t="s">
        <v>7723</v>
      </c>
      <c r="AE118" s="1013">
        <v>60</v>
      </c>
      <c r="AF118" s="1013" t="s">
        <v>7723</v>
      </c>
      <c r="AG118" s="1013" t="s">
        <v>7723</v>
      </c>
      <c r="AH118" s="1013" t="s">
        <v>7724</v>
      </c>
      <c r="AI118" s="1013" t="s">
        <v>7723</v>
      </c>
      <c r="AJ118" s="1013">
        <v>19</v>
      </c>
      <c r="AK118" s="1013" t="s">
        <v>7724</v>
      </c>
      <c r="AL118" s="1013" t="s">
        <v>7724</v>
      </c>
      <c r="AM118" s="1013">
        <v>1</v>
      </c>
      <c r="AN118" s="1013" t="s">
        <v>7724</v>
      </c>
      <c r="AO118" s="1013" t="s">
        <v>7724</v>
      </c>
      <c r="AP118" s="1013" t="s">
        <v>8091</v>
      </c>
      <c r="AQ118" s="1013" t="s">
        <v>7726</v>
      </c>
      <c r="AR118" s="1013" t="s">
        <v>7724</v>
      </c>
      <c r="AS118" s="1013" t="s">
        <v>7724</v>
      </c>
      <c r="AT118" s="1013" t="s">
        <v>7724</v>
      </c>
      <c r="AU118" s="1013" t="s">
        <v>7724</v>
      </c>
      <c r="AV118" s="1013" t="s">
        <v>7724</v>
      </c>
      <c r="AW118" s="1013" t="s">
        <v>7724</v>
      </c>
      <c r="AX118" s="1013">
        <v>11</v>
      </c>
      <c r="AY118" s="1013">
        <v>1</v>
      </c>
      <c r="AZ118" s="1013">
        <v>0</v>
      </c>
      <c r="BA118" s="1013">
        <v>4</v>
      </c>
      <c r="BB118" s="1013">
        <v>1</v>
      </c>
      <c r="BC118" s="1013">
        <v>1</v>
      </c>
      <c r="BD118" s="1013">
        <v>20</v>
      </c>
      <c r="BE118" s="1023">
        <v>0.37291666666666667</v>
      </c>
      <c r="BF118" s="1013" t="s">
        <v>8092</v>
      </c>
      <c r="BG118" s="1023">
        <v>0.37638888888888888</v>
      </c>
      <c r="BH118" s="1024">
        <v>44776</v>
      </c>
      <c r="BI118" s="1013" t="s">
        <v>7727</v>
      </c>
      <c r="BJ118" s="1013" t="s">
        <v>7730</v>
      </c>
      <c r="BK118" s="1013">
        <v>2469</v>
      </c>
      <c r="BL118" s="1013" t="s">
        <v>7724</v>
      </c>
      <c r="BM118" s="1013" t="s">
        <v>7724</v>
      </c>
      <c r="BN118" s="1013">
        <v>113</v>
      </c>
      <c r="BO118" s="1013">
        <v>8</v>
      </c>
      <c r="BP118" s="1013">
        <v>2</v>
      </c>
      <c r="BQ118" s="1013">
        <v>4</v>
      </c>
      <c r="BR118" s="1013">
        <v>20</v>
      </c>
      <c r="BS118" s="1013">
        <v>64</v>
      </c>
      <c r="BT118" s="1013">
        <v>42</v>
      </c>
      <c r="BU118" s="1013">
        <v>1</v>
      </c>
      <c r="BV118" s="1013">
        <v>2</v>
      </c>
      <c r="BW118" s="1013">
        <v>1</v>
      </c>
      <c r="BX118" s="1013">
        <v>21</v>
      </c>
      <c r="BY118" s="1013">
        <v>21</v>
      </c>
      <c r="BZ118" s="1013">
        <v>101</v>
      </c>
      <c r="CA118" s="1013">
        <v>208</v>
      </c>
      <c r="CB118" s="1013">
        <v>29.732541999999999</v>
      </c>
      <c r="CC118" s="1013">
        <v>-95.380215000000007</v>
      </c>
      <c r="CD118" s="1013" t="s">
        <v>8016</v>
      </c>
      <c r="CE118" s="1013">
        <v>69</v>
      </c>
      <c r="CF118" s="1013" t="s">
        <v>7724</v>
      </c>
      <c r="CG118" s="1013">
        <v>33.6</v>
      </c>
      <c r="CH118" s="1013" t="s">
        <v>8017</v>
      </c>
      <c r="CI118" s="1013" t="s">
        <v>7724</v>
      </c>
      <c r="CJ118" s="1013">
        <v>27</v>
      </c>
      <c r="CK118" s="1013">
        <v>13</v>
      </c>
      <c r="CL118" s="1013">
        <v>13.898</v>
      </c>
      <c r="CM118" s="1013">
        <v>128</v>
      </c>
      <c r="CN118" s="1013">
        <v>0.34100000000000003</v>
      </c>
      <c r="CO118" s="1013" t="s">
        <v>7724</v>
      </c>
      <c r="CP118" s="1013" t="s">
        <v>7724</v>
      </c>
      <c r="CQ118" s="1013" t="s">
        <v>7724</v>
      </c>
      <c r="CR118" s="1013" t="s">
        <v>7724</v>
      </c>
      <c r="CS118" s="1013" t="s">
        <v>7724</v>
      </c>
      <c r="CT118" s="1013" t="s">
        <v>7724</v>
      </c>
      <c r="CU118" s="1013" t="s">
        <v>7724</v>
      </c>
      <c r="CV118" s="1013" t="s">
        <v>7724</v>
      </c>
      <c r="CW118" s="1013" t="s">
        <v>7727</v>
      </c>
      <c r="CX118" s="1013" t="s">
        <v>7727</v>
      </c>
      <c r="CY118" s="1013" t="s">
        <v>7723</v>
      </c>
      <c r="CZ118" s="1013">
        <v>3</v>
      </c>
      <c r="DA118" s="1013">
        <v>9</v>
      </c>
      <c r="DB118" s="1013" t="s">
        <v>7727</v>
      </c>
      <c r="DC118" s="1013" t="s">
        <v>7737</v>
      </c>
      <c r="DD118" s="1013">
        <v>5</v>
      </c>
      <c r="DE118" s="1013" t="s">
        <v>7724</v>
      </c>
      <c r="DF118" s="1013">
        <v>20</v>
      </c>
      <c r="DG118" s="1013">
        <v>20</v>
      </c>
      <c r="DH118" s="1013">
        <v>5</v>
      </c>
      <c r="DI118" s="1013" t="s">
        <v>7724</v>
      </c>
      <c r="DJ118" s="1013">
        <v>8</v>
      </c>
      <c r="DK118" s="1013">
        <v>400</v>
      </c>
      <c r="DL118" s="1013">
        <v>138</v>
      </c>
      <c r="DM118" s="1013">
        <v>98</v>
      </c>
      <c r="DN118" s="1013">
        <v>1</v>
      </c>
      <c r="DO118" s="1013">
        <v>0</v>
      </c>
      <c r="DP118" s="1013">
        <v>0</v>
      </c>
      <c r="DQ118" s="1013">
        <v>1</v>
      </c>
      <c r="DR118" s="1013">
        <v>20</v>
      </c>
      <c r="DS118" s="1013">
        <v>5</v>
      </c>
      <c r="DT118" s="1013">
        <v>1</v>
      </c>
      <c r="DU118" s="1013">
        <v>20</v>
      </c>
      <c r="DV118" s="1013">
        <v>5</v>
      </c>
      <c r="DW118" s="1013">
        <v>7</v>
      </c>
      <c r="DX118" s="1013">
        <v>5</v>
      </c>
      <c r="DY118" s="1013">
        <v>4</v>
      </c>
      <c r="DZ118" s="1013">
        <v>1</v>
      </c>
      <c r="EA118" s="1013">
        <v>185410</v>
      </c>
      <c r="EB118" s="1013">
        <v>2019</v>
      </c>
      <c r="EC118" s="1013">
        <v>185410</v>
      </c>
      <c r="ED118" s="1013">
        <v>2.2999999999999998</v>
      </c>
      <c r="EE118" s="1013">
        <v>2.5</v>
      </c>
      <c r="EF118" s="1013">
        <v>4.8</v>
      </c>
      <c r="EG118" s="1013" t="s">
        <v>7724</v>
      </c>
      <c r="EH118" s="1013" t="s">
        <v>7724</v>
      </c>
      <c r="EI118" s="1013" t="s">
        <v>7724</v>
      </c>
      <c r="EJ118" s="1013" t="s">
        <v>7724</v>
      </c>
      <c r="EK118" s="1013" t="s">
        <v>7724</v>
      </c>
      <c r="EL118" s="1013" t="s">
        <v>7724</v>
      </c>
      <c r="EM118" s="1013" t="s">
        <v>7724</v>
      </c>
      <c r="EN118" s="1013" t="s">
        <v>7724</v>
      </c>
      <c r="EO118" s="1013" t="s">
        <v>7724</v>
      </c>
      <c r="EP118" s="1013" t="s">
        <v>7724</v>
      </c>
      <c r="EQ118" s="1013" t="s">
        <v>7724</v>
      </c>
      <c r="ER118" s="1013" t="s">
        <v>7724</v>
      </c>
      <c r="ES118" s="1013" t="s">
        <v>7724</v>
      </c>
      <c r="ET118" s="1013" t="s">
        <v>7724</v>
      </c>
      <c r="EU118" s="1013" t="s">
        <v>7724</v>
      </c>
      <c r="EV118" s="1013" t="s">
        <v>7724</v>
      </c>
      <c r="EW118" s="1013" t="s">
        <v>7724</v>
      </c>
      <c r="EX118" s="1013" t="s">
        <v>7724</v>
      </c>
      <c r="EY118" s="1013" t="s">
        <v>7724</v>
      </c>
      <c r="EZ118" s="1013" t="s">
        <v>7724</v>
      </c>
      <c r="FA118" s="1013" t="s">
        <v>7724</v>
      </c>
      <c r="FB118" s="1013" t="s">
        <v>7724</v>
      </c>
      <c r="FC118" s="1013" t="s">
        <v>7724</v>
      </c>
      <c r="FD118" s="1013" t="s">
        <v>7724</v>
      </c>
      <c r="FE118" s="1013" t="s">
        <v>7724</v>
      </c>
      <c r="FF118" s="1013" t="s">
        <v>7724</v>
      </c>
      <c r="FG118" s="1013">
        <v>0</v>
      </c>
      <c r="FH118" s="1013">
        <v>0</v>
      </c>
      <c r="FI118" s="1013">
        <v>1</v>
      </c>
      <c r="FJ118" s="1013">
        <v>2</v>
      </c>
      <c r="FK118" s="1013">
        <v>0</v>
      </c>
      <c r="FL118" s="1013">
        <v>1</v>
      </c>
      <c r="FM118" s="1013">
        <v>0</v>
      </c>
      <c r="FN118" s="1013">
        <v>15</v>
      </c>
      <c r="FO118" s="1013">
        <v>29</v>
      </c>
      <c r="FP118" s="1013">
        <v>6</v>
      </c>
      <c r="FQ118" s="1013" t="s">
        <v>7724</v>
      </c>
      <c r="FR118" s="1013" t="s">
        <v>7724</v>
      </c>
      <c r="FS118" s="1013" t="s">
        <v>7724</v>
      </c>
      <c r="FT118" s="1013" t="s">
        <v>7724</v>
      </c>
      <c r="FU118" s="1013" t="s">
        <v>7724</v>
      </c>
      <c r="FV118" s="1013" t="s">
        <v>7724</v>
      </c>
      <c r="FW118" s="1013" t="s">
        <v>7724</v>
      </c>
      <c r="FX118" s="1013" t="s">
        <v>7724</v>
      </c>
      <c r="FY118" s="1013" t="s">
        <v>7724</v>
      </c>
      <c r="FZ118" s="1013" t="s">
        <v>7724</v>
      </c>
      <c r="GA118" s="1013" t="s">
        <v>7724</v>
      </c>
      <c r="GB118" s="1013" t="s">
        <v>7724</v>
      </c>
      <c r="GC118" s="1013">
        <v>2022</v>
      </c>
      <c r="GD118" s="1013" t="s">
        <v>1407</v>
      </c>
      <c r="GE118" s="1013">
        <v>2</v>
      </c>
      <c r="GF118" s="1013" t="s">
        <v>1407</v>
      </c>
      <c r="GG118" s="1013" t="s">
        <v>1407</v>
      </c>
      <c r="GH118" s="1013" t="s">
        <v>8023</v>
      </c>
      <c r="GI118" s="1013" t="s">
        <v>7974</v>
      </c>
      <c r="GJ118" s="1013" t="s">
        <v>7974</v>
      </c>
      <c r="GK118" s="1013" t="s">
        <v>7974</v>
      </c>
      <c r="GL118" s="1013" t="s">
        <v>7974</v>
      </c>
    </row>
    <row r="119" spans="1:194" hidden="1">
      <c r="A119" s="1013">
        <v>20</v>
      </c>
      <c r="B119" s="1013" t="s">
        <v>7722</v>
      </c>
      <c r="C119" s="1013">
        <v>19045453</v>
      </c>
      <c r="D119" s="1013" t="s">
        <v>7723</v>
      </c>
      <c r="E119" s="1013" t="s">
        <v>7723</v>
      </c>
      <c r="F119" s="1013" t="s">
        <v>7723</v>
      </c>
      <c r="G119" s="1013" t="s">
        <v>7723</v>
      </c>
      <c r="H119" s="1013" t="s">
        <v>7723</v>
      </c>
      <c r="I119" s="1013" t="s">
        <v>7723</v>
      </c>
      <c r="J119" s="1013" t="s">
        <v>7723</v>
      </c>
      <c r="K119" s="1024">
        <v>44744</v>
      </c>
      <c r="L119" s="1023">
        <v>0.5</v>
      </c>
      <c r="M119" s="1013" t="s">
        <v>7876</v>
      </c>
      <c r="N119" s="1013" t="s">
        <v>7724</v>
      </c>
      <c r="O119" s="1013">
        <v>101</v>
      </c>
      <c r="P119" s="1013">
        <v>208</v>
      </c>
      <c r="Q119" s="1013" t="s">
        <v>7723</v>
      </c>
      <c r="R119" s="1013" t="s">
        <v>7727</v>
      </c>
      <c r="S119" s="1013" t="s">
        <v>7724</v>
      </c>
      <c r="T119" s="1014" t="s">
        <v>7724</v>
      </c>
      <c r="U119" s="1014">
        <v>19</v>
      </c>
      <c r="V119" s="1014" t="s">
        <v>7724</v>
      </c>
      <c r="W119" s="1014" t="s">
        <v>7724</v>
      </c>
      <c r="X119" s="1013">
        <v>1</v>
      </c>
      <c r="Y119" s="1013">
        <v>1400</v>
      </c>
      <c r="Z119" s="1013" t="s">
        <v>7842</v>
      </c>
      <c r="AA119" s="1013" t="s">
        <v>7725</v>
      </c>
      <c r="AB119" s="1013" t="s">
        <v>7726</v>
      </c>
      <c r="AC119" s="1013" t="s">
        <v>7723</v>
      </c>
      <c r="AD119" s="1013" t="s">
        <v>7723</v>
      </c>
      <c r="AE119" s="1013">
        <v>25</v>
      </c>
      <c r="AF119" s="1013" t="s">
        <v>7723</v>
      </c>
      <c r="AG119" s="1013" t="s">
        <v>7723</v>
      </c>
      <c r="AH119" s="1013" t="s">
        <v>7789</v>
      </c>
      <c r="AI119" s="1013" t="s">
        <v>7723</v>
      </c>
      <c r="AJ119" s="1013">
        <v>19</v>
      </c>
      <c r="AK119" s="1013" t="s">
        <v>7724</v>
      </c>
      <c r="AL119" s="1013" t="s">
        <v>7724</v>
      </c>
      <c r="AM119" s="1013">
        <v>1</v>
      </c>
      <c r="AN119" s="1013">
        <v>4400</v>
      </c>
      <c r="AO119" s="1013" t="s">
        <v>7724</v>
      </c>
      <c r="AP119" s="1013" t="s">
        <v>7762</v>
      </c>
      <c r="AQ119" s="1013" t="s">
        <v>7724</v>
      </c>
      <c r="AR119" s="1013" t="s">
        <v>7724</v>
      </c>
      <c r="AS119" s="1013" t="s">
        <v>7724</v>
      </c>
      <c r="AT119" s="1013" t="s">
        <v>7724</v>
      </c>
      <c r="AU119" s="1013" t="s">
        <v>7724</v>
      </c>
      <c r="AV119" s="1013" t="s">
        <v>7724</v>
      </c>
      <c r="AW119" s="1013" t="s">
        <v>7724</v>
      </c>
      <c r="AX119" s="1013">
        <v>11</v>
      </c>
      <c r="AY119" s="1013">
        <v>1</v>
      </c>
      <c r="AZ119" s="1013">
        <v>0</v>
      </c>
      <c r="BA119" s="1013">
        <v>1</v>
      </c>
      <c r="BB119" s="1013">
        <v>1</v>
      </c>
      <c r="BC119" s="1013">
        <v>1</v>
      </c>
      <c r="BD119" s="1013">
        <v>5</v>
      </c>
      <c r="BE119" s="1023">
        <v>0.5</v>
      </c>
      <c r="BF119" s="1013" t="s">
        <v>7729</v>
      </c>
      <c r="BG119" s="1023">
        <v>0.5</v>
      </c>
      <c r="BH119" s="1024">
        <v>44778</v>
      </c>
      <c r="BI119" s="1013" t="s">
        <v>7727</v>
      </c>
      <c r="BJ119" s="1013" t="s">
        <v>7730</v>
      </c>
      <c r="BK119" s="1013">
        <v>2469</v>
      </c>
      <c r="BL119" s="1013" t="s">
        <v>7724</v>
      </c>
      <c r="BM119" s="1013" t="s">
        <v>7724</v>
      </c>
      <c r="BN119" s="1013">
        <v>113</v>
      </c>
      <c r="BO119" s="1013">
        <v>8</v>
      </c>
      <c r="BP119" s="1013">
        <v>2</v>
      </c>
      <c r="BQ119" s="1013">
        <v>4</v>
      </c>
      <c r="BR119" s="1013">
        <v>30</v>
      </c>
      <c r="BS119" s="1013">
        <v>64</v>
      </c>
      <c r="BT119" s="1013">
        <v>54</v>
      </c>
      <c r="BU119" s="1013">
        <v>1</v>
      </c>
      <c r="BV119" s="1013">
        <v>5</v>
      </c>
      <c r="BW119" s="1013">
        <v>1</v>
      </c>
      <c r="BX119" s="1013">
        <v>21</v>
      </c>
      <c r="BY119" s="1013">
        <v>21</v>
      </c>
      <c r="BZ119" s="1013">
        <v>101</v>
      </c>
      <c r="CA119" s="1013">
        <v>208</v>
      </c>
      <c r="CB119" s="1013">
        <v>29.732357</v>
      </c>
      <c r="CC119" s="1013">
        <v>-95.380030000000005</v>
      </c>
      <c r="CD119" s="1013" t="s">
        <v>7724</v>
      </c>
      <c r="CE119" s="1013" t="s">
        <v>7724</v>
      </c>
      <c r="CF119" s="1013" t="s">
        <v>7724</v>
      </c>
      <c r="CG119" s="1013" t="s">
        <v>7724</v>
      </c>
      <c r="CH119" s="1013" t="s">
        <v>7731</v>
      </c>
      <c r="CI119" s="1013">
        <v>1335</v>
      </c>
      <c r="CJ119" s="1013" t="s">
        <v>7724</v>
      </c>
      <c r="CK119" s="1013" t="s">
        <v>7724</v>
      </c>
      <c r="CL119" s="1013" t="s">
        <v>7724</v>
      </c>
      <c r="CM119" s="1013" t="s">
        <v>7724</v>
      </c>
      <c r="CN119" s="1013" t="s">
        <v>7724</v>
      </c>
      <c r="CO119" s="1013" t="s">
        <v>7724</v>
      </c>
      <c r="CP119" s="1013" t="s">
        <v>7724</v>
      </c>
      <c r="CQ119" s="1013" t="s">
        <v>7724</v>
      </c>
      <c r="CR119" s="1013" t="s">
        <v>7724</v>
      </c>
      <c r="CS119" s="1013" t="s">
        <v>7724</v>
      </c>
      <c r="CT119" s="1013" t="s">
        <v>7724</v>
      </c>
      <c r="CU119" s="1013" t="s">
        <v>7724</v>
      </c>
      <c r="CV119" s="1013" t="s">
        <v>7724</v>
      </c>
      <c r="CW119" s="1013" t="s">
        <v>7727</v>
      </c>
      <c r="CX119" s="1013" t="s">
        <v>7723</v>
      </c>
      <c r="CY119" s="1013" t="s">
        <v>7723</v>
      </c>
      <c r="CZ119" s="1013">
        <v>3</v>
      </c>
      <c r="DA119" s="1013">
        <v>9</v>
      </c>
      <c r="DB119" s="1013" t="s">
        <v>7727</v>
      </c>
      <c r="DC119" s="1013" t="s">
        <v>7733</v>
      </c>
      <c r="DD119" s="1013" t="s">
        <v>7724</v>
      </c>
      <c r="DE119" s="1013" t="s">
        <v>7724</v>
      </c>
      <c r="DF119" s="1013" t="s">
        <v>7724</v>
      </c>
      <c r="DG119" s="1013" t="s">
        <v>7724</v>
      </c>
      <c r="DH119" s="1013" t="s">
        <v>7724</v>
      </c>
      <c r="DI119" s="1013" t="s">
        <v>7724</v>
      </c>
      <c r="DJ119" s="1013" t="s">
        <v>7724</v>
      </c>
      <c r="DK119" s="1013" t="s">
        <v>7724</v>
      </c>
      <c r="DL119" s="1013" t="s">
        <v>7724</v>
      </c>
      <c r="DM119" s="1013" t="s">
        <v>7724</v>
      </c>
      <c r="DN119" s="1013" t="s">
        <v>7724</v>
      </c>
      <c r="DO119" s="1013" t="s">
        <v>7724</v>
      </c>
      <c r="DP119" s="1013" t="s">
        <v>7724</v>
      </c>
      <c r="DQ119" s="1013" t="s">
        <v>7724</v>
      </c>
      <c r="DR119" s="1013" t="s">
        <v>7724</v>
      </c>
      <c r="DS119" s="1013" t="s">
        <v>7724</v>
      </c>
      <c r="DT119" s="1013" t="s">
        <v>7724</v>
      </c>
      <c r="DU119" s="1013" t="s">
        <v>7724</v>
      </c>
      <c r="DV119" s="1013" t="s">
        <v>7724</v>
      </c>
      <c r="DW119" s="1013" t="s">
        <v>7724</v>
      </c>
      <c r="DX119" s="1013" t="s">
        <v>7724</v>
      </c>
      <c r="DY119" s="1013" t="s">
        <v>7724</v>
      </c>
      <c r="DZ119" s="1013" t="s">
        <v>7724</v>
      </c>
      <c r="EA119" s="1013" t="s">
        <v>7724</v>
      </c>
      <c r="EB119" s="1013" t="s">
        <v>7724</v>
      </c>
      <c r="EC119" s="1013" t="s">
        <v>7724</v>
      </c>
      <c r="ED119" s="1013" t="s">
        <v>7724</v>
      </c>
      <c r="EE119" s="1013" t="s">
        <v>7724</v>
      </c>
      <c r="EF119" s="1013" t="s">
        <v>7724</v>
      </c>
      <c r="EG119" s="1013" t="s">
        <v>7724</v>
      </c>
      <c r="EH119" s="1013" t="s">
        <v>7724</v>
      </c>
      <c r="EI119" s="1013" t="s">
        <v>7724</v>
      </c>
      <c r="EJ119" s="1013" t="s">
        <v>7724</v>
      </c>
      <c r="EK119" s="1013" t="s">
        <v>7724</v>
      </c>
      <c r="EL119" s="1013" t="s">
        <v>7724</v>
      </c>
      <c r="EM119" s="1013" t="s">
        <v>7724</v>
      </c>
      <c r="EN119" s="1013" t="s">
        <v>7724</v>
      </c>
      <c r="EO119" s="1013" t="s">
        <v>7724</v>
      </c>
      <c r="EP119" s="1013" t="s">
        <v>7724</v>
      </c>
      <c r="EQ119" s="1013" t="s">
        <v>7724</v>
      </c>
      <c r="ER119" s="1013" t="s">
        <v>7724</v>
      </c>
      <c r="ES119" s="1013" t="s">
        <v>7724</v>
      </c>
      <c r="ET119" s="1013" t="s">
        <v>7724</v>
      </c>
      <c r="EU119" s="1013" t="s">
        <v>7724</v>
      </c>
      <c r="EV119" s="1013" t="s">
        <v>7724</v>
      </c>
      <c r="EW119" s="1013" t="s">
        <v>7724</v>
      </c>
      <c r="EX119" s="1013" t="s">
        <v>7724</v>
      </c>
      <c r="EY119" s="1013" t="s">
        <v>7724</v>
      </c>
      <c r="EZ119" s="1013" t="s">
        <v>7724</v>
      </c>
      <c r="FA119" s="1013" t="s">
        <v>7724</v>
      </c>
      <c r="FB119" s="1013" t="s">
        <v>7724</v>
      </c>
      <c r="FC119" s="1013" t="s">
        <v>7724</v>
      </c>
      <c r="FD119" s="1013" t="s">
        <v>7724</v>
      </c>
      <c r="FE119" s="1013" t="s">
        <v>7724</v>
      </c>
      <c r="FF119" s="1013" t="s">
        <v>7724</v>
      </c>
      <c r="FG119" s="1013">
        <v>0</v>
      </c>
      <c r="FH119" s="1013">
        <v>0</v>
      </c>
      <c r="FI119" s="1013">
        <v>1</v>
      </c>
      <c r="FJ119" s="1013">
        <v>2</v>
      </c>
      <c r="FK119" s="1013">
        <v>0</v>
      </c>
      <c r="FL119" s="1013">
        <v>1</v>
      </c>
      <c r="FM119" s="1013">
        <v>0</v>
      </c>
      <c r="FN119" s="1013">
        <v>15</v>
      </c>
      <c r="FO119" s="1013">
        <v>29</v>
      </c>
      <c r="FP119" s="1013">
        <v>9</v>
      </c>
      <c r="FQ119" s="1013" t="s">
        <v>7724</v>
      </c>
      <c r="FR119" s="1013" t="s">
        <v>7724</v>
      </c>
      <c r="FS119" s="1013" t="s">
        <v>7724</v>
      </c>
      <c r="FT119" s="1013" t="s">
        <v>7724</v>
      </c>
      <c r="FU119" s="1013" t="s">
        <v>7724</v>
      </c>
      <c r="FV119" s="1013" t="s">
        <v>7724</v>
      </c>
      <c r="FW119" s="1013" t="s">
        <v>7724</v>
      </c>
      <c r="FX119" s="1013" t="s">
        <v>7724</v>
      </c>
      <c r="FY119" s="1013" t="s">
        <v>7724</v>
      </c>
      <c r="FZ119" s="1013" t="s">
        <v>7724</v>
      </c>
      <c r="GA119" s="1013" t="s">
        <v>7724</v>
      </c>
      <c r="GB119" s="1013" t="s">
        <v>7724</v>
      </c>
      <c r="GC119" s="1013">
        <v>2022</v>
      </c>
      <c r="GD119" s="1013" t="s">
        <v>1407</v>
      </c>
      <c r="GE119" s="1013">
        <v>2</v>
      </c>
      <c r="GF119" s="1013" t="s">
        <v>1407</v>
      </c>
      <c r="GG119" s="1013" t="s">
        <v>1407</v>
      </c>
      <c r="GH119" s="1013" t="s">
        <v>8012</v>
      </c>
      <c r="GI119" s="1013" t="s">
        <v>7974</v>
      </c>
      <c r="GJ119" s="1013" t="s">
        <v>7974</v>
      </c>
      <c r="GK119" s="1013" t="s">
        <v>7974</v>
      </c>
      <c r="GL119" s="1013" t="s">
        <v>7974</v>
      </c>
    </row>
    <row r="120" spans="1:194" hidden="1">
      <c r="A120" s="1013">
        <v>27</v>
      </c>
      <c r="B120" s="1013" t="s">
        <v>7722</v>
      </c>
      <c r="C120" s="1013">
        <v>19116841</v>
      </c>
      <c r="D120" s="1013" t="s">
        <v>7723</v>
      </c>
      <c r="E120" s="1013" t="s">
        <v>7723</v>
      </c>
      <c r="F120" s="1013" t="s">
        <v>7723</v>
      </c>
      <c r="G120" s="1013" t="s">
        <v>7723</v>
      </c>
      <c r="H120" s="1013" t="s">
        <v>7723</v>
      </c>
      <c r="I120" s="1013" t="s">
        <v>7723</v>
      </c>
      <c r="J120" s="1013" t="s">
        <v>7723</v>
      </c>
      <c r="K120" s="1024">
        <v>44819</v>
      </c>
      <c r="L120" s="1023">
        <v>0.98541666666666672</v>
      </c>
      <c r="M120" s="1013" t="s">
        <v>8093</v>
      </c>
      <c r="N120" s="1013" t="s">
        <v>7724</v>
      </c>
      <c r="O120" s="1013">
        <v>101</v>
      </c>
      <c r="P120" s="1013">
        <v>208</v>
      </c>
      <c r="Q120" s="1013" t="s">
        <v>7723</v>
      </c>
      <c r="R120" s="1013" t="s">
        <v>7727</v>
      </c>
      <c r="S120" s="1013" t="s">
        <v>7724</v>
      </c>
      <c r="T120" s="1014" t="s">
        <v>7724</v>
      </c>
      <c r="U120" s="1014">
        <v>2</v>
      </c>
      <c r="V120" s="1014">
        <v>59</v>
      </c>
      <c r="W120" s="1014" t="s">
        <v>7724</v>
      </c>
      <c r="X120" s="1013">
        <v>1</v>
      </c>
      <c r="Y120" s="1013">
        <v>516</v>
      </c>
      <c r="Z120" s="1013" t="s">
        <v>7770</v>
      </c>
      <c r="AA120" s="1013" t="s">
        <v>7771</v>
      </c>
      <c r="AB120" s="1013" t="s">
        <v>7760</v>
      </c>
      <c r="AC120" s="1013" t="s">
        <v>7723</v>
      </c>
      <c r="AD120" s="1013" t="s">
        <v>7723</v>
      </c>
      <c r="AE120" s="1013">
        <v>60</v>
      </c>
      <c r="AF120" s="1013" t="s">
        <v>7723</v>
      </c>
      <c r="AG120" s="1013" t="s">
        <v>7723</v>
      </c>
      <c r="AH120" s="1013" t="s">
        <v>7739</v>
      </c>
      <c r="AI120" s="1013" t="s">
        <v>7723</v>
      </c>
      <c r="AJ120" s="1013">
        <v>19</v>
      </c>
      <c r="AK120" s="1013" t="s">
        <v>7724</v>
      </c>
      <c r="AL120" s="1013" t="s">
        <v>7724</v>
      </c>
      <c r="AM120" s="1013">
        <v>4</v>
      </c>
      <c r="AN120" s="1013" t="s">
        <v>7724</v>
      </c>
      <c r="AO120" s="1013" t="s">
        <v>7724</v>
      </c>
      <c r="AP120" s="1013" t="s">
        <v>7840</v>
      </c>
      <c r="AQ120" s="1013" t="s">
        <v>7726</v>
      </c>
      <c r="AR120" s="1013" t="s">
        <v>7724</v>
      </c>
      <c r="AS120" s="1013" t="s">
        <v>7724</v>
      </c>
      <c r="AT120" s="1013" t="s">
        <v>7724</v>
      </c>
      <c r="AU120" s="1013" t="s">
        <v>7724</v>
      </c>
      <c r="AV120" s="1013" t="s">
        <v>7724</v>
      </c>
      <c r="AW120" s="1013" t="s">
        <v>7724</v>
      </c>
      <c r="AX120" s="1013">
        <v>12</v>
      </c>
      <c r="AY120" s="1013">
        <v>4</v>
      </c>
      <c r="AZ120" s="1013">
        <v>0</v>
      </c>
      <c r="BA120" s="1013">
        <v>4</v>
      </c>
      <c r="BB120" s="1013">
        <v>5</v>
      </c>
      <c r="BC120" s="1013">
        <v>1</v>
      </c>
      <c r="BD120" s="1013">
        <v>20</v>
      </c>
      <c r="BE120" s="1023">
        <v>0.98541666666666672</v>
      </c>
      <c r="BF120" s="1013" t="s">
        <v>7736</v>
      </c>
      <c r="BG120" s="1023">
        <v>0.98888888888888893</v>
      </c>
      <c r="BH120" s="1024">
        <v>44820</v>
      </c>
      <c r="BI120" s="1013" t="s">
        <v>7727</v>
      </c>
      <c r="BJ120" s="1013" t="s">
        <v>7730</v>
      </c>
      <c r="BK120" s="1013">
        <v>2469</v>
      </c>
      <c r="BL120" s="1013" t="s">
        <v>7724</v>
      </c>
      <c r="BM120" s="1013" t="s">
        <v>7724</v>
      </c>
      <c r="BN120" s="1013">
        <v>113</v>
      </c>
      <c r="BO120" s="1013">
        <v>8</v>
      </c>
      <c r="BP120" s="1013">
        <v>2</v>
      </c>
      <c r="BQ120" s="1013">
        <v>4</v>
      </c>
      <c r="BR120" s="1013">
        <v>21</v>
      </c>
      <c r="BS120" s="1013">
        <v>58</v>
      </c>
      <c r="BT120" s="1013">
        <v>9</v>
      </c>
      <c r="BU120" s="1013">
        <v>1</v>
      </c>
      <c r="BV120" s="1013">
        <v>2</v>
      </c>
      <c r="BW120" s="1013">
        <v>1</v>
      </c>
      <c r="BX120" s="1013">
        <v>21</v>
      </c>
      <c r="BY120" s="1013">
        <v>21</v>
      </c>
      <c r="BZ120" s="1013">
        <v>101</v>
      </c>
      <c r="CA120" s="1013">
        <v>208</v>
      </c>
      <c r="CB120" s="1013">
        <v>29.732531999999999</v>
      </c>
      <c r="CC120" s="1013">
        <v>-95.380367000000007</v>
      </c>
      <c r="CD120" s="1013" t="s">
        <v>8016</v>
      </c>
      <c r="CE120" s="1013">
        <v>69</v>
      </c>
      <c r="CF120" s="1013" t="s">
        <v>7724</v>
      </c>
      <c r="CG120" s="1013">
        <v>33.591000000000001</v>
      </c>
      <c r="CH120" s="1013" t="s">
        <v>8017</v>
      </c>
      <c r="CI120" s="1013" t="s">
        <v>7724</v>
      </c>
      <c r="CJ120" s="1013">
        <v>27</v>
      </c>
      <c r="CK120" s="1013">
        <v>13</v>
      </c>
      <c r="CL120" s="1013">
        <v>13.888</v>
      </c>
      <c r="CM120" s="1013">
        <v>128</v>
      </c>
      <c r="CN120" s="1013">
        <v>0.33200000000000002</v>
      </c>
      <c r="CO120" s="1013" t="s">
        <v>7724</v>
      </c>
      <c r="CP120" s="1013" t="s">
        <v>7724</v>
      </c>
      <c r="CQ120" s="1013" t="s">
        <v>7724</v>
      </c>
      <c r="CR120" s="1013" t="s">
        <v>7724</v>
      </c>
      <c r="CS120" s="1013" t="s">
        <v>7724</v>
      </c>
      <c r="CT120" s="1013" t="s">
        <v>7724</v>
      </c>
      <c r="CU120" s="1013" t="s">
        <v>7724</v>
      </c>
      <c r="CV120" s="1013" t="s">
        <v>7724</v>
      </c>
      <c r="CW120" s="1013" t="s">
        <v>7727</v>
      </c>
      <c r="CX120" s="1013" t="s">
        <v>7727</v>
      </c>
      <c r="CY120" s="1013" t="s">
        <v>7723</v>
      </c>
      <c r="CZ120" s="1013">
        <v>5</v>
      </c>
      <c r="DA120" s="1013">
        <v>9</v>
      </c>
      <c r="DB120" s="1013" t="s">
        <v>7727</v>
      </c>
      <c r="DC120" s="1013" t="s">
        <v>7740</v>
      </c>
      <c r="DD120" s="1013">
        <v>5</v>
      </c>
      <c r="DE120" s="1013" t="s">
        <v>7724</v>
      </c>
      <c r="DF120" s="1013">
        <v>20</v>
      </c>
      <c r="DG120" s="1013">
        <v>20</v>
      </c>
      <c r="DH120" s="1013">
        <v>5</v>
      </c>
      <c r="DI120" s="1013" t="s">
        <v>7724</v>
      </c>
      <c r="DJ120" s="1013">
        <v>8</v>
      </c>
      <c r="DK120" s="1013">
        <v>400</v>
      </c>
      <c r="DL120" s="1013">
        <v>138</v>
      </c>
      <c r="DM120" s="1013">
        <v>98</v>
      </c>
      <c r="DN120" s="1013">
        <v>1</v>
      </c>
      <c r="DO120" s="1013">
        <v>0</v>
      </c>
      <c r="DP120" s="1013">
        <v>0</v>
      </c>
      <c r="DQ120" s="1013">
        <v>1</v>
      </c>
      <c r="DR120" s="1013">
        <v>20</v>
      </c>
      <c r="DS120" s="1013">
        <v>5</v>
      </c>
      <c r="DT120" s="1013">
        <v>1</v>
      </c>
      <c r="DU120" s="1013">
        <v>20</v>
      </c>
      <c r="DV120" s="1013">
        <v>5</v>
      </c>
      <c r="DW120" s="1013">
        <v>7</v>
      </c>
      <c r="DX120" s="1013">
        <v>5</v>
      </c>
      <c r="DY120" s="1013">
        <v>4</v>
      </c>
      <c r="DZ120" s="1013">
        <v>1</v>
      </c>
      <c r="EA120" s="1013">
        <v>185410</v>
      </c>
      <c r="EB120" s="1013">
        <v>2019</v>
      </c>
      <c r="EC120" s="1013">
        <v>185410</v>
      </c>
      <c r="ED120" s="1013">
        <v>2.2999999999999998</v>
      </c>
      <c r="EE120" s="1013">
        <v>2.5</v>
      </c>
      <c r="EF120" s="1013">
        <v>4.8</v>
      </c>
      <c r="EG120" s="1013" t="s">
        <v>7724</v>
      </c>
      <c r="EH120" s="1013" t="s">
        <v>7724</v>
      </c>
      <c r="EI120" s="1013" t="s">
        <v>7724</v>
      </c>
      <c r="EJ120" s="1013" t="s">
        <v>7724</v>
      </c>
      <c r="EK120" s="1013" t="s">
        <v>7724</v>
      </c>
      <c r="EL120" s="1013" t="s">
        <v>7724</v>
      </c>
      <c r="EM120" s="1013" t="s">
        <v>7724</v>
      </c>
      <c r="EN120" s="1013" t="s">
        <v>7724</v>
      </c>
      <c r="EO120" s="1013" t="s">
        <v>7724</v>
      </c>
      <c r="EP120" s="1013" t="s">
        <v>7724</v>
      </c>
      <c r="EQ120" s="1013" t="s">
        <v>7724</v>
      </c>
      <c r="ER120" s="1013" t="s">
        <v>7724</v>
      </c>
      <c r="ES120" s="1013" t="s">
        <v>7724</v>
      </c>
      <c r="ET120" s="1013" t="s">
        <v>7724</v>
      </c>
      <c r="EU120" s="1013" t="s">
        <v>7724</v>
      </c>
      <c r="EV120" s="1013" t="s">
        <v>7724</v>
      </c>
      <c r="EW120" s="1013" t="s">
        <v>7724</v>
      </c>
      <c r="EX120" s="1013" t="s">
        <v>7724</v>
      </c>
      <c r="EY120" s="1013" t="s">
        <v>7724</v>
      </c>
      <c r="EZ120" s="1013" t="s">
        <v>7724</v>
      </c>
      <c r="FA120" s="1013" t="s">
        <v>7724</v>
      </c>
      <c r="FB120" s="1013" t="s">
        <v>7724</v>
      </c>
      <c r="FC120" s="1013" t="s">
        <v>7724</v>
      </c>
      <c r="FD120" s="1013" t="s">
        <v>7724</v>
      </c>
      <c r="FE120" s="1013" t="s">
        <v>7724</v>
      </c>
      <c r="FF120" s="1013" t="s">
        <v>7724</v>
      </c>
      <c r="FG120" s="1013">
        <v>0</v>
      </c>
      <c r="FH120" s="1013">
        <v>0</v>
      </c>
      <c r="FI120" s="1013">
        <v>0</v>
      </c>
      <c r="FJ120" s="1013">
        <v>2</v>
      </c>
      <c r="FK120" s="1013">
        <v>0</v>
      </c>
      <c r="FL120" s="1013">
        <v>0</v>
      </c>
      <c r="FM120" s="1013">
        <v>0</v>
      </c>
      <c r="FN120" s="1013">
        <v>15</v>
      </c>
      <c r="FO120" s="1013">
        <v>29</v>
      </c>
      <c r="FP120" s="1013">
        <v>6</v>
      </c>
      <c r="FQ120" s="1013" t="s">
        <v>7724</v>
      </c>
      <c r="FR120" s="1013" t="s">
        <v>7724</v>
      </c>
      <c r="FS120" s="1013" t="s">
        <v>7724</v>
      </c>
      <c r="FT120" s="1013" t="s">
        <v>7724</v>
      </c>
      <c r="FU120" s="1013" t="s">
        <v>7724</v>
      </c>
      <c r="FV120" s="1013" t="s">
        <v>7724</v>
      </c>
      <c r="FW120" s="1013" t="s">
        <v>7724</v>
      </c>
      <c r="FX120" s="1013" t="s">
        <v>7724</v>
      </c>
      <c r="FY120" s="1013" t="s">
        <v>7724</v>
      </c>
      <c r="FZ120" s="1013" t="s">
        <v>7724</v>
      </c>
      <c r="GA120" s="1013" t="s">
        <v>7724</v>
      </c>
      <c r="GB120" s="1013" t="s">
        <v>7724</v>
      </c>
      <c r="GC120" s="1013">
        <v>2022</v>
      </c>
      <c r="GD120" s="1013" t="s">
        <v>1404</v>
      </c>
      <c r="GE120" s="1013">
        <v>2</v>
      </c>
      <c r="GF120" s="1013" t="s">
        <v>1407</v>
      </c>
      <c r="GG120" s="1013" t="s">
        <v>1407</v>
      </c>
      <c r="GH120" s="1013" t="s">
        <v>7995</v>
      </c>
      <c r="GI120" s="1013" t="s">
        <v>7974</v>
      </c>
      <c r="GJ120" s="1013" t="s">
        <v>7974</v>
      </c>
      <c r="GK120" s="1013" t="s">
        <v>7974</v>
      </c>
      <c r="GL120" s="1013" t="s">
        <v>7974</v>
      </c>
    </row>
    <row r="121" spans="1:194" hidden="1">
      <c r="A121" s="1013">
        <v>33</v>
      </c>
      <c r="B121" s="1013" t="s">
        <v>7722</v>
      </c>
      <c r="C121" s="1013">
        <v>19267847</v>
      </c>
      <c r="D121" s="1013" t="s">
        <v>7723</v>
      </c>
      <c r="E121" s="1013" t="s">
        <v>7723</v>
      </c>
      <c r="F121" s="1013" t="s">
        <v>7723</v>
      </c>
      <c r="G121" s="1013" t="s">
        <v>7723</v>
      </c>
      <c r="H121" s="1013" t="s">
        <v>7723</v>
      </c>
      <c r="I121" s="1013" t="s">
        <v>7723</v>
      </c>
      <c r="J121" s="1013" t="s">
        <v>7723</v>
      </c>
      <c r="K121" s="1024">
        <v>44897</v>
      </c>
      <c r="L121" s="1023">
        <v>9.4444444444444442E-2</v>
      </c>
      <c r="M121" s="1013" t="s">
        <v>8094</v>
      </c>
      <c r="N121" s="1013" t="s">
        <v>7724</v>
      </c>
      <c r="O121" s="1013">
        <v>101</v>
      </c>
      <c r="P121" s="1013">
        <v>208</v>
      </c>
      <c r="Q121" s="1013" t="s">
        <v>7723</v>
      </c>
      <c r="R121" s="1013" t="s">
        <v>7727</v>
      </c>
      <c r="S121" s="1013" t="s">
        <v>7724</v>
      </c>
      <c r="T121" s="1014" t="s">
        <v>7724</v>
      </c>
      <c r="U121" s="1014">
        <v>2</v>
      </c>
      <c r="V121" s="1014">
        <v>59</v>
      </c>
      <c r="W121" s="1014" t="s">
        <v>7724</v>
      </c>
      <c r="X121" s="1013">
        <v>1</v>
      </c>
      <c r="Y121" s="1013">
        <v>500</v>
      </c>
      <c r="Z121" s="1013" t="s">
        <v>7770</v>
      </c>
      <c r="AA121" s="1013" t="s">
        <v>7771</v>
      </c>
      <c r="AB121" s="1013" t="s">
        <v>7760</v>
      </c>
      <c r="AC121" s="1013" t="s">
        <v>7723</v>
      </c>
      <c r="AD121" s="1013" t="s">
        <v>7723</v>
      </c>
      <c r="AE121" s="1013">
        <v>60</v>
      </c>
      <c r="AF121" s="1013" t="s">
        <v>7723</v>
      </c>
      <c r="AG121" s="1013" t="s">
        <v>7723</v>
      </c>
      <c r="AH121" s="1013" t="s">
        <v>7739</v>
      </c>
      <c r="AI121" s="1013" t="s">
        <v>7723</v>
      </c>
      <c r="AJ121" s="1013">
        <v>19</v>
      </c>
      <c r="AK121" s="1013" t="s">
        <v>7724</v>
      </c>
      <c r="AL121" s="1013" t="s">
        <v>7724</v>
      </c>
      <c r="AM121" s="1013">
        <v>1</v>
      </c>
      <c r="AN121" s="1013">
        <v>4300</v>
      </c>
      <c r="AO121" s="1013" t="s">
        <v>7724</v>
      </c>
      <c r="AP121" s="1013" t="s">
        <v>7745</v>
      </c>
      <c r="AQ121" s="1013" t="s">
        <v>7726</v>
      </c>
      <c r="AR121" s="1013" t="s">
        <v>7724</v>
      </c>
      <c r="AS121" s="1013" t="s">
        <v>7724</v>
      </c>
      <c r="AT121" s="1013" t="s">
        <v>7724</v>
      </c>
      <c r="AU121" s="1013" t="s">
        <v>7724</v>
      </c>
      <c r="AV121" s="1013" t="s">
        <v>7724</v>
      </c>
      <c r="AW121" s="1013" t="s">
        <v>7724</v>
      </c>
      <c r="AX121" s="1013">
        <v>11</v>
      </c>
      <c r="AY121" s="1013">
        <v>4</v>
      </c>
      <c r="AZ121" s="1013">
        <v>0</v>
      </c>
      <c r="BA121" s="1013">
        <v>4</v>
      </c>
      <c r="BB121" s="1013">
        <v>1</v>
      </c>
      <c r="BC121" s="1013">
        <v>1</v>
      </c>
      <c r="BD121" s="1013">
        <v>20</v>
      </c>
      <c r="BE121" s="1023">
        <v>9.583333333333334E-2</v>
      </c>
      <c r="BF121" s="1013" t="s">
        <v>7736</v>
      </c>
      <c r="BG121" s="1023">
        <v>9.8611111111111108E-2</v>
      </c>
      <c r="BH121" s="1024">
        <v>44898</v>
      </c>
      <c r="BI121" s="1013" t="s">
        <v>7727</v>
      </c>
      <c r="BJ121" s="1013" t="s">
        <v>7730</v>
      </c>
      <c r="BK121" s="1013">
        <v>2469</v>
      </c>
      <c r="BL121" s="1013" t="s">
        <v>7724</v>
      </c>
      <c r="BM121" s="1013" t="s">
        <v>7724</v>
      </c>
      <c r="BN121" s="1013">
        <v>113</v>
      </c>
      <c r="BO121" s="1013">
        <v>8</v>
      </c>
      <c r="BP121" s="1013">
        <v>7</v>
      </c>
      <c r="BQ121" s="1013">
        <v>4</v>
      </c>
      <c r="BR121" s="1013">
        <v>1</v>
      </c>
      <c r="BS121" s="1013">
        <v>56</v>
      </c>
      <c r="BT121" s="1013">
        <v>54</v>
      </c>
      <c r="BU121" s="1013">
        <v>1</v>
      </c>
      <c r="BV121" s="1013">
        <v>2</v>
      </c>
      <c r="BW121" s="1013">
        <v>2</v>
      </c>
      <c r="BX121" s="1013">
        <v>21</v>
      </c>
      <c r="BY121" s="1013">
        <v>21</v>
      </c>
      <c r="BZ121" s="1013">
        <v>101</v>
      </c>
      <c r="CA121" s="1013">
        <v>208</v>
      </c>
      <c r="CB121" s="1013">
        <v>29.732500999999999</v>
      </c>
      <c r="CC121" s="1013">
        <v>-95.380384000000006</v>
      </c>
      <c r="CD121" s="1013" t="s">
        <v>7724</v>
      </c>
      <c r="CE121" s="1013" t="s">
        <v>7724</v>
      </c>
      <c r="CF121" s="1013" t="s">
        <v>7724</v>
      </c>
      <c r="CG121" s="1013" t="s">
        <v>7724</v>
      </c>
      <c r="CH121" s="1013" t="s">
        <v>8053</v>
      </c>
      <c r="CI121" s="1013" t="s">
        <v>7724</v>
      </c>
      <c r="CJ121" s="1013" t="s">
        <v>7724</v>
      </c>
      <c r="CK121" s="1013" t="s">
        <v>7724</v>
      </c>
      <c r="CL121" s="1013" t="s">
        <v>7724</v>
      </c>
      <c r="CM121" s="1013" t="s">
        <v>7724</v>
      </c>
      <c r="CN121" s="1013" t="s">
        <v>7724</v>
      </c>
      <c r="CO121" s="1013" t="s">
        <v>7724</v>
      </c>
      <c r="CP121" s="1013" t="s">
        <v>7724</v>
      </c>
      <c r="CQ121" s="1013" t="s">
        <v>7724</v>
      </c>
      <c r="CR121" s="1013" t="s">
        <v>7724</v>
      </c>
      <c r="CS121" s="1013" t="s">
        <v>7724</v>
      </c>
      <c r="CT121" s="1013" t="s">
        <v>7724</v>
      </c>
      <c r="CU121" s="1013" t="s">
        <v>7724</v>
      </c>
      <c r="CV121" s="1013" t="s">
        <v>7724</v>
      </c>
      <c r="CW121" s="1013" t="s">
        <v>7727</v>
      </c>
      <c r="CX121" s="1013" t="s">
        <v>7723</v>
      </c>
      <c r="CY121" s="1013" t="s">
        <v>7723</v>
      </c>
      <c r="CZ121" s="1013">
        <v>5</v>
      </c>
      <c r="DA121" s="1013">
        <v>9</v>
      </c>
      <c r="DB121" s="1013" t="s">
        <v>7727</v>
      </c>
      <c r="DC121" s="1013" t="s">
        <v>7759</v>
      </c>
      <c r="DD121" s="1013" t="s">
        <v>7724</v>
      </c>
      <c r="DE121" s="1013" t="s">
        <v>7724</v>
      </c>
      <c r="DF121" s="1013" t="s">
        <v>7724</v>
      </c>
      <c r="DG121" s="1013" t="s">
        <v>7724</v>
      </c>
      <c r="DH121" s="1013" t="s">
        <v>7724</v>
      </c>
      <c r="DI121" s="1013" t="s">
        <v>7724</v>
      </c>
      <c r="DJ121" s="1013" t="s">
        <v>7724</v>
      </c>
      <c r="DK121" s="1013" t="s">
        <v>7724</v>
      </c>
      <c r="DL121" s="1013" t="s">
        <v>7724</v>
      </c>
      <c r="DM121" s="1013" t="s">
        <v>7724</v>
      </c>
      <c r="DN121" s="1013" t="s">
        <v>7724</v>
      </c>
      <c r="DO121" s="1013" t="s">
        <v>7724</v>
      </c>
      <c r="DP121" s="1013" t="s">
        <v>7724</v>
      </c>
      <c r="DQ121" s="1013" t="s">
        <v>7724</v>
      </c>
      <c r="DR121" s="1013" t="s">
        <v>7724</v>
      </c>
      <c r="DS121" s="1013" t="s">
        <v>7724</v>
      </c>
      <c r="DT121" s="1013" t="s">
        <v>7724</v>
      </c>
      <c r="DU121" s="1013" t="s">
        <v>7724</v>
      </c>
      <c r="DV121" s="1013" t="s">
        <v>7724</v>
      </c>
      <c r="DW121" s="1013" t="s">
        <v>7724</v>
      </c>
      <c r="DX121" s="1013" t="s">
        <v>7724</v>
      </c>
      <c r="DY121" s="1013" t="s">
        <v>7724</v>
      </c>
      <c r="DZ121" s="1013" t="s">
        <v>7724</v>
      </c>
      <c r="EA121" s="1013" t="s">
        <v>7724</v>
      </c>
      <c r="EB121" s="1013" t="s">
        <v>7724</v>
      </c>
      <c r="EC121" s="1013" t="s">
        <v>7724</v>
      </c>
      <c r="ED121" s="1013" t="s">
        <v>7724</v>
      </c>
      <c r="EE121" s="1013" t="s">
        <v>7724</v>
      </c>
      <c r="EF121" s="1013" t="s">
        <v>7724</v>
      </c>
      <c r="EG121" s="1013" t="s">
        <v>7724</v>
      </c>
      <c r="EH121" s="1013" t="s">
        <v>7724</v>
      </c>
      <c r="EI121" s="1013" t="s">
        <v>7724</v>
      </c>
      <c r="EJ121" s="1013" t="s">
        <v>7724</v>
      </c>
      <c r="EK121" s="1013" t="s">
        <v>7724</v>
      </c>
      <c r="EL121" s="1013" t="s">
        <v>7724</v>
      </c>
      <c r="EM121" s="1013" t="s">
        <v>7724</v>
      </c>
      <c r="EN121" s="1013" t="s">
        <v>7724</v>
      </c>
      <c r="EO121" s="1013" t="s">
        <v>7724</v>
      </c>
      <c r="EP121" s="1013" t="s">
        <v>7724</v>
      </c>
      <c r="EQ121" s="1013" t="s">
        <v>7724</v>
      </c>
      <c r="ER121" s="1013" t="s">
        <v>7724</v>
      </c>
      <c r="ES121" s="1013" t="s">
        <v>7724</v>
      </c>
      <c r="ET121" s="1013" t="s">
        <v>7724</v>
      </c>
      <c r="EU121" s="1013" t="s">
        <v>7724</v>
      </c>
      <c r="EV121" s="1013" t="s">
        <v>7724</v>
      </c>
      <c r="EW121" s="1013" t="s">
        <v>7724</v>
      </c>
      <c r="EX121" s="1013" t="s">
        <v>7724</v>
      </c>
      <c r="EY121" s="1013" t="s">
        <v>7724</v>
      </c>
      <c r="EZ121" s="1013" t="s">
        <v>7724</v>
      </c>
      <c r="FA121" s="1013" t="s">
        <v>7724</v>
      </c>
      <c r="FB121" s="1013" t="s">
        <v>7724</v>
      </c>
      <c r="FC121" s="1013" t="s">
        <v>7724</v>
      </c>
      <c r="FD121" s="1013" t="s">
        <v>7724</v>
      </c>
      <c r="FE121" s="1013" t="s">
        <v>7724</v>
      </c>
      <c r="FF121" s="1013" t="s">
        <v>7724</v>
      </c>
      <c r="FG121" s="1013">
        <v>0</v>
      </c>
      <c r="FH121" s="1013">
        <v>0</v>
      </c>
      <c r="FI121" s="1013">
        <v>0</v>
      </c>
      <c r="FJ121" s="1013">
        <v>1</v>
      </c>
      <c r="FK121" s="1013">
        <v>0</v>
      </c>
      <c r="FL121" s="1013">
        <v>0</v>
      </c>
      <c r="FM121" s="1013">
        <v>0</v>
      </c>
      <c r="FN121" s="1013">
        <v>15</v>
      </c>
      <c r="FO121" s="1013">
        <v>29</v>
      </c>
      <c r="FP121" s="1013">
        <v>6</v>
      </c>
      <c r="FQ121" s="1013" t="s">
        <v>7724</v>
      </c>
      <c r="FR121" s="1013" t="s">
        <v>7724</v>
      </c>
      <c r="FS121" s="1013" t="s">
        <v>7724</v>
      </c>
      <c r="FT121" s="1013" t="s">
        <v>7724</v>
      </c>
      <c r="FU121" s="1013" t="s">
        <v>7724</v>
      </c>
      <c r="FV121" s="1013" t="s">
        <v>7724</v>
      </c>
      <c r="FW121" s="1013" t="s">
        <v>7724</v>
      </c>
      <c r="FX121" s="1013" t="s">
        <v>7724</v>
      </c>
      <c r="FY121" s="1013" t="s">
        <v>7724</v>
      </c>
      <c r="FZ121" s="1013" t="s">
        <v>7724</v>
      </c>
      <c r="GA121" s="1013" t="s">
        <v>7724</v>
      </c>
      <c r="GB121" s="1013" t="s">
        <v>7724</v>
      </c>
      <c r="GC121" s="1013">
        <v>2022</v>
      </c>
      <c r="GD121" s="1013" t="s">
        <v>1404</v>
      </c>
      <c r="GE121" s="1013">
        <v>1</v>
      </c>
      <c r="GF121" s="1013" t="s">
        <v>1407</v>
      </c>
      <c r="GG121" s="1013" t="s">
        <v>1407</v>
      </c>
      <c r="GH121" s="1013">
        <v>67</v>
      </c>
      <c r="GI121" s="1013">
        <v>23</v>
      </c>
      <c r="GJ121" s="1013" t="s">
        <v>8006</v>
      </c>
      <c r="GK121" s="1013" t="s">
        <v>8006</v>
      </c>
      <c r="GL121" s="1013" t="s">
        <v>8006</v>
      </c>
    </row>
    <row r="122" spans="1:194" hidden="1">
      <c r="A122" s="1013">
        <v>36</v>
      </c>
      <c r="B122" s="1013" t="s">
        <v>7722</v>
      </c>
      <c r="C122" s="1013">
        <v>19283134</v>
      </c>
      <c r="D122" s="1013" t="s">
        <v>7723</v>
      </c>
      <c r="E122" s="1013" t="s">
        <v>7723</v>
      </c>
      <c r="F122" s="1013" t="s">
        <v>7723</v>
      </c>
      <c r="G122" s="1013" t="s">
        <v>7723</v>
      </c>
      <c r="H122" s="1013" t="s">
        <v>7723</v>
      </c>
      <c r="I122" s="1013" t="s">
        <v>7723</v>
      </c>
      <c r="J122" s="1013" t="s">
        <v>7723</v>
      </c>
      <c r="K122" s="1024">
        <v>44898</v>
      </c>
      <c r="L122" s="1023">
        <v>0.64513888888888893</v>
      </c>
      <c r="M122" s="1013" t="s">
        <v>8095</v>
      </c>
      <c r="N122" s="1013" t="s">
        <v>7724</v>
      </c>
      <c r="O122" s="1013">
        <v>101</v>
      </c>
      <c r="P122" s="1013">
        <v>208</v>
      </c>
      <c r="Q122" s="1013" t="s">
        <v>7723</v>
      </c>
      <c r="R122" s="1013" t="s">
        <v>7727</v>
      </c>
      <c r="S122" s="1013" t="s">
        <v>7724</v>
      </c>
      <c r="T122" s="1014" t="s">
        <v>7724</v>
      </c>
      <c r="U122" s="1014">
        <v>2</v>
      </c>
      <c r="V122" s="1014">
        <v>59</v>
      </c>
      <c r="W122" s="1014" t="s">
        <v>7724</v>
      </c>
      <c r="X122" s="1013">
        <v>1</v>
      </c>
      <c r="Y122" s="1013">
        <v>4990</v>
      </c>
      <c r="Z122" s="1013" t="s">
        <v>7770</v>
      </c>
      <c r="AA122" s="1013" t="s">
        <v>7771</v>
      </c>
      <c r="AB122" s="1013" t="s">
        <v>7760</v>
      </c>
      <c r="AC122" s="1013" t="s">
        <v>7723</v>
      </c>
      <c r="AD122" s="1013" t="s">
        <v>7723</v>
      </c>
      <c r="AE122" s="1013">
        <v>60</v>
      </c>
      <c r="AF122" s="1013" t="s">
        <v>7723</v>
      </c>
      <c r="AG122" s="1013" t="s">
        <v>7723</v>
      </c>
      <c r="AH122" s="1013" t="s">
        <v>7739</v>
      </c>
      <c r="AI122" s="1013" t="s">
        <v>7723</v>
      </c>
      <c r="AJ122" s="1013">
        <v>19</v>
      </c>
      <c r="AK122" s="1013" t="s">
        <v>7724</v>
      </c>
      <c r="AL122" s="1013" t="s">
        <v>7724</v>
      </c>
      <c r="AM122" s="1013">
        <v>1</v>
      </c>
      <c r="AN122" s="1013">
        <v>5177</v>
      </c>
      <c r="AO122" s="1013" t="s">
        <v>7790</v>
      </c>
      <c r="AP122" s="1013" t="s">
        <v>8003</v>
      </c>
      <c r="AQ122" s="1013" t="s">
        <v>7735</v>
      </c>
      <c r="AR122" s="1013" t="s">
        <v>7724</v>
      </c>
      <c r="AS122" s="1013" t="s">
        <v>7724</v>
      </c>
      <c r="AT122" s="1013" t="s">
        <v>7724</v>
      </c>
      <c r="AU122" s="1013" t="s">
        <v>7724</v>
      </c>
      <c r="AV122" s="1013" t="s">
        <v>7724</v>
      </c>
      <c r="AW122" s="1013" t="s">
        <v>7724</v>
      </c>
      <c r="AX122" s="1013">
        <v>11</v>
      </c>
      <c r="AY122" s="1013">
        <v>1</v>
      </c>
      <c r="AZ122" s="1013">
        <v>2</v>
      </c>
      <c r="BA122" s="1013">
        <v>3</v>
      </c>
      <c r="BB122" s="1013">
        <v>1</v>
      </c>
      <c r="BC122" s="1013">
        <v>1</v>
      </c>
      <c r="BD122" s="1013">
        <v>20</v>
      </c>
      <c r="BE122" s="1023">
        <v>0.64861111111111114</v>
      </c>
      <c r="BF122" s="1013" t="s">
        <v>7729</v>
      </c>
      <c r="BG122" s="1023">
        <v>0.65972222222222221</v>
      </c>
      <c r="BH122" s="1024">
        <v>44908</v>
      </c>
      <c r="BI122" s="1013" t="s">
        <v>7727</v>
      </c>
      <c r="BJ122" s="1013" t="s">
        <v>7730</v>
      </c>
      <c r="BK122" s="1013">
        <v>2469</v>
      </c>
      <c r="BL122" s="1013" t="s">
        <v>7724</v>
      </c>
      <c r="BM122" s="1013" t="s">
        <v>7724</v>
      </c>
      <c r="BN122" s="1013">
        <v>106</v>
      </c>
      <c r="BO122" s="1013">
        <v>8</v>
      </c>
      <c r="BP122" s="1013">
        <v>2</v>
      </c>
      <c r="BQ122" s="1013">
        <v>4</v>
      </c>
      <c r="BR122" s="1013">
        <v>20</v>
      </c>
      <c r="BS122" s="1013">
        <v>64</v>
      </c>
      <c r="BT122" s="1013">
        <v>54</v>
      </c>
      <c r="BU122" s="1013">
        <v>1</v>
      </c>
      <c r="BV122" s="1013">
        <v>2</v>
      </c>
      <c r="BW122" s="1013">
        <v>1</v>
      </c>
      <c r="BX122" s="1013">
        <v>21</v>
      </c>
      <c r="BY122" s="1013">
        <v>21</v>
      </c>
      <c r="BZ122" s="1013">
        <v>101</v>
      </c>
      <c r="CA122" s="1013">
        <v>208</v>
      </c>
      <c r="CB122" s="1013">
        <v>29.732545999999999</v>
      </c>
      <c r="CC122" s="1013">
        <v>-95.380140999999995</v>
      </c>
      <c r="CD122" s="1013" t="s">
        <v>8016</v>
      </c>
      <c r="CE122" s="1013">
        <v>69</v>
      </c>
      <c r="CF122" s="1013" t="s">
        <v>7724</v>
      </c>
      <c r="CG122" s="1013">
        <v>33.603999999999999</v>
      </c>
      <c r="CH122" s="1013" t="s">
        <v>8017</v>
      </c>
      <c r="CI122" s="1013" t="s">
        <v>7724</v>
      </c>
      <c r="CJ122" s="1013">
        <v>27</v>
      </c>
      <c r="CK122" s="1013">
        <v>13</v>
      </c>
      <c r="CL122" s="1013">
        <v>13.903</v>
      </c>
      <c r="CM122" s="1013">
        <v>128</v>
      </c>
      <c r="CN122" s="1013">
        <v>0.34499999999999997</v>
      </c>
      <c r="CO122" s="1013" t="s">
        <v>7724</v>
      </c>
      <c r="CP122" s="1013" t="s">
        <v>7724</v>
      </c>
      <c r="CQ122" s="1013" t="s">
        <v>7724</v>
      </c>
      <c r="CR122" s="1013" t="s">
        <v>7724</v>
      </c>
      <c r="CS122" s="1013" t="s">
        <v>7724</v>
      </c>
      <c r="CT122" s="1013" t="s">
        <v>7724</v>
      </c>
      <c r="CU122" s="1013" t="s">
        <v>7724</v>
      </c>
      <c r="CV122" s="1013" t="s">
        <v>7724</v>
      </c>
      <c r="CW122" s="1013" t="s">
        <v>7727</v>
      </c>
      <c r="CX122" s="1013" t="s">
        <v>7727</v>
      </c>
      <c r="CY122" s="1013" t="s">
        <v>7723</v>
      </c>
      <c r="CZ122" s="1013">
        <v>5</v>
      </c>
      <c r="DA122" s="1013">
        <v>9</v>
      </c>
      <c r="DB122" s="1013" t="s">
        <v>7727</v>
      </c>
      <c r="DC122" s="1013" t="s">
        <v>7733</v>
      </c>
      <c r="DD122" s="1013">
        <v>5</v>
      </c>
      <c r="DE122" s="1013" t="s">
        <v>7724</v>
      </c>
      <c r="DF122" s="1013">
        <v>20</v>
      </c>
      <c r="DG122" s="1013">
        <v>20</v>
      </c>
      <c r="DH122" s="1013">
        <v>5</v>
      </c>
      <c r="DI122" s="1013" t="s">
        <v>7724</v>
      </c>
      <c r="DJ122" s="1013">
        <v>8</v>
      </c>
      <c r="DK122" s="1013">
        <v>400</v>
      </c>
      <c r="DL122" s="1013">
        <v>138</v>
      </c>
      <c r="DM122" s="1013">
        <v>98</v>
      </c>
      <c r="DN122" s="1013">
        <v>1</v>
      </c>
      <c r="DO122" s="1013">
        <v>0</v>
      </c>
      <c r="DP122" s="1013">
        <v>0</v>
      </c>
      <c r="DQ122" s="1013">
        <v>1</v>
      </c>
      <c r="DR122" s="1013">
        <v>20</v>
      </c>
      <c r="DS122" s="1013">
        <v>5</v>
      </c>
      <c r="DT122" s="1013">
        <v>1</v>
      </c>
      <c r="DU122" s="1013">
        <v>20</v>
      </c>
      <c r="DV122" s="1013">
        <v>5</v>
      </c>
      <c r="DW122" s="1013">
        <v>7</v>
      </c>
      <c r="DX122" s="1013">
        <v>5</v>
      </c>
      <c r="DY122" s="1013">
        <v>4</v>
      </c>
      <c r="DZ122" s="1013">
        <v>1</v>
      </c>
      <c r="EA122" s="1013">
        <v>185410</v>
      </c>
      <c r="EB122" s="1013">
        <v>2019</v>
      </c>
      <c r="EC122" s="1013">
        <v>185410</v>
      </c>
      <c r="ED122" s="1013">
        <v>2.2999999999999998</v>
      </c>
      <c r="EE122" s="1013">
        <v>2.5</v>
      </c>
      <c r="EF122" s="1013">
        <v>4.8</v>
      </c>
      <c r="EG122" s="1013" t="s">
        <v>7724</v>
      </c>
      <c r="EH122" s="1013" t="s">
        <v>7724</v>
      </c>
      <c r="EI122" s="1013" t="s">
        <v>7724</v>
      </c>
      <c r="EJ122" s="1013" t="s">
        <v>7724</v>
      </c>
      <c r="EK122" s="1013" t="s">
        <v>7724</v>
      </c>
      <c r="EL122" s="1013" t="s">
        <v>7724</v>
      </c>
      <c r="EM122" s="1013" t="s">
        <v>7724</v>
      </c>
      <c r="EN122" s="1013" t="s">
        <v>7724</v>
      </c>
      <c r="EO122" s="1013" t="s">
        <v>7724</v>
      </c>
      <c r="EP122" s="1013" t="s">
        <v>7724</v>
      </c>
      <c r="EQ122" s="1013" t="s">
        <v>7724</v>
      </c>
      <c r="ER122" s="1013" t="s">
        <v>7724</v>
      </c>
      <c r="ES122" s="1013" t="s">
        <v>7724</v>
      </c>
      <c r="ET122" s="1013" t="s">
        <v>7724</v>
      </c>
      <c r="EU122" s="1013" t="s">
        <v>7724</v>
      </c>
      <c r="EV122" s="1013" t="s">
        <v>7724</v>
      </c>
      <c r="EW122" s="1013" t="s">
        <v>7724</v>
      </c>
      <c r="EX122" s="1013" t="s">
        <v>7724</v>
      </c>
      <c r="EY122" s="1013" t="s">
        <v>7724</v>
      </c>
      <c r="EZ122" s="1013" t="s">
        <v>7724</v>
      </c>
      <c r="FA122" s="1013" t="s">
        <v>7724</v>
      </c>
      <c r="FB122" s="1013" t="s">
        <v>7724</v>
      </c>
      <c r="FC122" s="1013" t="s">
        <v>7724</v>
      </c>
      <c r="FD122" s="1013" t="s">
        <v>7724</v>
      </c>
      <c r="FE122" s="1013" t="s">
        <v>7724</v>
      </c>
      <c r="FF122" s="1013" t="s">
        <v>7724</v>
      </c>
      <c r="FG122" s="1013">
        <v>0</v>
      </c>
      <c r="FH122" s="1013">
        <v>0</v>
      </c>
      <c r="FI122" s="1013">
        <v>0</v>
      </c>
      <c r="FJ122" s="1013">
        <v>2</v>
      </c>
      <c r="FK122" s="1013">
        <v>0</v>
      </c>
      <c r="FL122" s="1013">
        <v>0</v>
      </c>
      <c r="FM122" s="1013">
        <v>0</v>
      </c>
      <c r="FN122" s="1013">
        <v>15</v>
      </c>
      <c r="FO122" s="1013">
        <v>54</v>
      </c>
      <c r="FP122" s="1013">
        <v>24</v>
      </c>
      <c r="FQ122" s="1013" t="s">
        <v>7724</v>
      </c>
      <c r="FR122" s="1013" t="s">
        <v>7724</v>
      </c>
      <c r="FS122" s="1013" t="s">
        <v>7724</v>
      </c>
      <c r="FT122" s="1013" t="s">
        <v>7724</v>
      </c>
      <c r="FU122" s="1013" t="s">
        <v>7724</v>
      </c>
      <c r="FV122" s="1013" t="s">
        <v>7724</v>
      </c>
      <c r="FW122" s="1013" t="s">
        <v>7724</v>
      </c>
      <c r="FX122" s="1013" t="s">
        <v>7724</v>
      </c>
      <c r="FY122" s="1013" t="s">
        <v>7724</v>
      </c>
      <c r="FZ122" s="1013" t="s">
        <v>7724</v>
      </c>
      <c r="GA122" s="1013" t="s">
        <v>7724</v>
      </c>
      <c r="GB122" s="1013" t="s">
        <v>7724</v>
      </c>
      <c r="GC122" s="1013">
        <v>2022</v>
      </c>
      <c r="GD122" s="1013" t="s">
        <v>1404</v>
      </c>
      <c r="GE122" s="1013">
        <v>2</v>
      </c>
      <c r="GF122" s="1013" t="s">
        <v>1407</v>
      </c>
      <c r="GG122" s="1013" t="s">
        <v>1407</v>
      </c>
      <c r="GH122" s="1013" t="s">
        <v>8023</v>
      </c>
      <c r="GI122" s="1013" t="s">
        <v>7974</v>
      </c>
      <c r="GJ122" s="1013" t="s">
        <v>7974</v>
      </c>
      <c r="GK122" s="1013" t="s">
        <v>7974</v>
      </c>
      <c r="GL122" s="1013" t="s">
        <v>7974</v>
      </c>
    </row>
    <row r="123" spans="1:194" hidden="1">
      <c r="A123" s="1013">
        <v>37</v>
      </c>
      <c r="B123" s="1013" t="s">
        <v>7722</v>
      </c>
      <c r="C123" s="1013">
        <v>19312142</v>
      </c>
      <c r="D123" s="1013" t="s">
        <v>7723</v>
      </c>
      <c r="E123" s="1013" t="s">
        <v>7723</v>
      </c>
      <c r="F123" s="1013" t="s">
        <v>7723</v>
      </c>
      <c r="G123" s="1013" t="s">
        <v>7723</v>
      </c>
      <c r="H123" s="1013" t="s">
        <v>7723</v>
      </c>
      <c r="I123" s="1013" t="s">
        <v>7723</v>
      </c>
      <c r="J123" s="1013" t="s">
        <v>7723</v>
      </c>
      <c r="K123" s="1024">
        <v>44924</v>
      </c>
      <c r="L123" s="1023">
        <v>0.33819444444444446</v>
      </c>
      <c r="M123" s="1013" t="s">
        <v>8096</v>
      </c>
      <c r="N123" s="1013" t="s">
        <v>7724</v>
      </c>
      <c r="O123" s="1013">
        <v>101</v>
      </c>
      <c r="P123" s="1013">
        <v>208</v>
      </c>
      <c r="Q123" s="1013" t="s">
        <v>7723</v>
      </c>
      <c r="R123" s="1013" t="s">
        <v>7727</v>
      </c>
      <c r="S123" s="1013" t="s">
        <v>7724</v>
      </c>
      <c r="T123" s="1014" t="s">
        <v>7724</v>
      </c>
      <c r="U123" s="1014">
        <v>2</v>
      </c>
      <c r="V123" s="1014">
        <v>59</v>
      </c>
      <c r="W123" s="1014" t="s">
        <v>7724</v>
      </c>
      <c r="X123" s="1013">
        <v>3</v>
      </c>
      <c r="Y123" s="1013">
        <v>500</v>
      </c>
      <c r="Z123" s="1013" t="s">
        <v>7770</v>
      </c>
      <c r="AA123" s="1013" t="s">
        <v>7771</v>
      </c>
      <c r="AB123" s="1013" t="s">
        <v>7760</v>
      </c>
      <c r="AC123" s="1013" t="s">
        <v>7723</v>
      </c>
      <c r="AD123" s="1013" t="s">
        <v>7723</v>
      </c>
      <c r="AE123" s="1013">
        <v>60</v>
      </c>
      <c r="AF123" s="1013" t="s">
        <v>7723</v>
      </c>
      <c r="AG123" s="1013" t="s">
        <v>7723</v>
      </c>
      <c r="AH123" s="1013" t="s">
        <v>8011</v>
      </c>
      <c r="AI123" s="1013" t="s">
        <v>7723</v>
      </c>
      <c r="AJ123" s="1013">
        <v>19</v>
      </c>
      <c r="AK123" s="1013" t="s">
        <v>7724</v>
      </c>
      <c r="AL123" s="1013" t="s">
        <v>7724</v>
      </c>
      <c r="AM123" s="1013">
        <v>1</v>
      </c>
      <c r="AN123" s="1013">
        <v>4500</v>
      </c>
      <c r="AO123" s="1013" t="s">
        <v>7724</v>
      </c>
      <c r="AP123" s="1013" t="s">
        <v>7728</v>
      </c>
      <c r="AQ123" s="1013" t="s">
        <v>7726</v>
      </c>
      <c r="AR123" s="1013" t="s">
        <v>7724</v>
      </c>
      <c r="AS123" s="1013" t="s">
        <v>7724</v>
      </c>
      <c r="AT123" s="1013" t="s">
        <v>7724</v>
      </c>
      <c r="AU123" s="1013" t="s">
        <v>7724</v>
      </c>
      <c r="AV123" s="1013" t="s">
        <v>7724</v>
      </c>
      <c r="AW123" s="1013" t="s">
        <v>7724</v>
      </c>
      <c r="AX123" s="1013">
        <v>12</v>
      </c>
      <c r="AY123" s="1013">
        <v>1</v>
      </c>
      <c r="AZ123" s="1013">
        <v>0</v>
      </c>
      <c r="BA123" s="1013">
        <v>4</v>
      </c>
      <c r="BB123" s="1013">
        <v>5</v>
      </c>
      <c r="BC123" s="1013">
        <v>2</v>
      </c>
      <c r="BD123" s="1013">
        <v>1</v>
      </c>
      <c r="BE123" s="1023">
        <v>0.33819444444444446</v>
      </c>
      <c r="BF123" s="1013" t="s">
        <v>7748</v>
      </c>
      <c r="BG123" s="1023">
        <v>0.34166666666666667</v>
      </c>
      <c r="BH123" s="1024">
        <v>44924</v>
      </c>
      <c r="BI123" s="1013" t="s">
        <v>7727</v>
      </c>
      <c r="BJ123" s="1013" t="s">
        <v>7730</v>
      </c>
      <c r="BK123" s="1013">
        <v>2469</v>
      </c>
      <c r="BL123" s="1013" t="s">
        <v>7724</v>
      </c>
      <c r="BM123" s="1013" t="s">
        <v>7724</v>
      </c>
      <c r="BN123" s="1013">
        <v>113</v>
      </c>
      <c r="BO123" s="1013">
        <v>8</v>
      </c>
      <c r="BP123" s="1013">
        <v>7</v>
      </c>
      <c r="BQ123" s="1013">
        <v>4</v>
      </c>
      <c r="BR123" s="1013">
        <v>1</v>
      </c>
      <c r="BS123" s="1013">
        <v>58</v>
      </c>
      <c r="BT123" s="1013">
        <v>1</v>
      </c>
      <c r="BU123" s="1013">
        <v>3</v>
      </c>
      <c r="BV123" s="1013">
        <v>2</v>
      </c>
      <c r="BW123" s="1013">
        <v>2</v>
      </c>
      <c r="BX123" s="1013">
        <v>21</v>
      </c>
      <c r="BY123" s="1013">
        <v>21</v>
      </c>
      <c r="BZ123" s="1013">
        <v>101</v>
      </c>
      <c r="CA123" s="1013">
        <v>208</v>
      </c>
      <c r="CB123" s="1013">
        <v>29.732367</v>
      </c>
      <c r="CC123" s="1013">
        <v>-95.381990000000002</v>
      </c>
      <c r="CD123" s="1013" t="s">
        <v>7724</v>
      </c>
      <c r="CE123" s="1013" t="s">
        <v>7724</v>
      </c>
      <c r="CF123" s="1013" t="s">
        <v>7724</v>
      </c>
      <c r="CG123" s="1013" t="s">
        <v>7724</v>
      </c>
      <c r="CH123" s="1013" t="s">
        <v>8053</v>
      </c>
      <c r="CI123" s="1013" t="s">
        <v>7724</v>
      </c>
      <c r="CJ123" s="1013" t="s">
        <v>7724</v>
      </c>
      <c r="CK123" s="1013" t="s">
        <v>7724</v>
      </c>
      <c r="CL123" s="1013" t="s">
        <v>7724</v>
      </c>
      <c r="CM123" s="1013" t="s">
        <v>7724</v>
      </c>
      <c r="CN123" s="1013" t="s">
        <v>7724</v>
      </c>
      <c r="CO123" s="1013" t="s">
        <v>7724</v>
      </c>
      <c r="CP123" s="1013" t="s">
        <v>7724</v>
      </c>
      <c r="CQ123" s="1013" t="s">
        <v>7724</v>
      </c>
      <c r="CR123" s="1013" t="s">
        <v>7724</v>
      </c>
      <c r="CS123" s="1013" t="s">
        <v>7724</v>
      </c>
      <c r="CT123" s="1013" t="s">
        <v>7724</v>
      </c>
      <c r="CU123" s="1013" t="s">
        <v>7724</v>
      </c>
      <c r="CV123" s="1013" t="s">
        <v>7724</v>
      </c>
      <c r="CW123" s="1013" t="s">
        <v>7727</v>
      </c>
      <c r="CX123" s="1013" t="s">
        <v>7723</v>
      </c>
      <c r="CY123" s="1013" t="s">
        <v>7723</v>
      </c>
      <c r="CZ123" s="1013">
        <v>5</v>
      </c>
      <c r="DA123" s="1013">
        <v>9</v>
      </c>
      <c r="DB123" s="1013" t="s">
        <v>7727</v>
      </c>
      <c r="DC123" s="1013" t="s">
        <v>7740</v>
      </c>
      <c r="DD123" s="1013" t="s">
        <v>7724</v>
      </c>
      <c r="DE123" s="1013" t="s">
        <v>7724</v>
      </c>
      <c r="DF123" s="1013" t="s">
        <v>7724</v>
      </c>
      <c r="DG123" s="1013" t="s">
        <v>7724</v>
      </c>
      <c r="DH123" s="1013" t="s">
        <v>7724</v>
      </c>
      <c r="DI123" s="1013" t="s">
        <v>7724</v>
      </c>
      <c r="DJ123" s="1013" t="s">
        <v>7724</v>
      </c>
      <c r="DK123" s="1013" t="s">
        <v>7724</v>
      </c>
      <c r="DL123" s="1013" t="s">
        <v>7724</v>
      </c>
      <c r="DM123" s="1013" t="s">
        <v>7724</v>
      </c>
      <c r="DN123" s="1013" t="s">
        <v>7724</v>
      </c>
      <c r="DO123" s="1013" t="s">
        <v>7724</v>
      </c>
      <c r="DP123" s="1013" t="s">
        <v>7724</v>
      </c>
      <c r="DQ123" s="1013" t="s">
        <v>7724</v>
      </c>
      <c r="DR123" s="1013" t="s">
        <v>7724</v>
      </c>
      <c r="DS123" s="1013" t="s">
        <v>7724</v>
      </c>
      <c r="DT123" s="1013" t="s">
        <v>7724</v>
      </c>
      <c r="DU123" s="1013" t="s">
        <v>7724</v>
      </c>
      <c r="DV123" s="1013" t="s">
        <v>7724</v>
      </c>
      <c r="DW123" s="1013" t="s">
        <v>7724</v>
      </c>
      <c r="DX123" s="1013" t="s">
        <v>7724</v>
      </c>
      <c r="DY123" s="1013" t="s">
        <v>7724</v>
      </c>
      <c r="DZ123" s="1013" t="s">
        <v>7724</v>
      </c>
      <c r="EA123" s="1013" t="s">
        <v>7724</v>
      </c>
      <c r="EB123" s="1013" t="s">
        <v>7724</v>
      </c>
      <c r="EC123" s="1013" t="s">
        <v>7724</v>
      </c>
      <c r="ED123" s="1013" t="s">
        <v>7724</v>
      </c>
      <c r="EE123" s="1013" t="s">
        <v>7724</v>
      </c>
      <c r="EF123" s="1013" t="s">
        <v>7724</v>
      </c>
      <c r="EG123" s="1013" t="s">
        <v>7724</v>
      </c>
      <c r="EH123" s="1013" t="s">
        <v>7724</v>
      </c>
      <c r="EI123" s="1013" t="s">
        <v>7724</v>
      </c>
      <c r="EJ123" s="1013" t="s">
        <v>7724</v>
      </c>
      <c r="EK123" s="1013" t="s">
        <v>7724</v>
      </c>
      <c r="EL123" s="1013" t="s">
        <v>7724</v>
      </c>
      <c r="EM123" s="1013" t="s">
        <v>7724</v>
      </c>
      <c r="EN123" s="1013" t="s">
        <v>7724</v>
      </c>
      <c r="EO123" s="1013" t="s">
        <v>7724</v>
      </c>
      <c r="EP123" s="1013" t="s">
        <v>7724</v>
      </c>
      <c r="EQ123" s="1013" t="s">
        <v>7724</v>
      </c>
      <c r="ER123" s="1013" t="s">
        <v>7724</v>
      </c>
      <c r="ES123" s="1013" t="s">
        <v>7724</v>
      </c>
      <c r="ET123" s="1013" t="s">
        <v>7724</v>
      </c>
      <c r="EU123" s="1013" t="s">
        <v>7724</v>
      </c>
      <c r="EV123" s="1013" t="s">
        <v>7724</v>
      </c>
      <c r="EW123" s="1013" t="s">
        <v>7724</v>
      </c>
      <c r="EX123" s="1013" t="s">
        <v>7724</v>
      </c>
      <c r="EY123" s="1013" t="s">
        <v>7724</v>
      </c>
      <c r="EZ123" s="1013" t="s">
        <v>7724</v>
      </c>
      <c r="FA123" s="1013" t="s">
        <v>7724</v>
      </c>
      <c r="FB123" s="1013" t="s">
        <v>7724</v>
      </c>
      <c r="FC123" s="1013" t="s">
        <v>7724</v>
      </c>
      <c r="FD123" s="1013" t="s">
        <v>7724</v>
      </c>
      <c r="FE123" s="1013" t="s">
        <v>7724</v>
      </c>
      <c r="FF123" s="1013" t="s">
        <v>7724</v>
      </c>
      <c r="FG123" s="1013">
        <v>0</v>
      </c>
      <c r="FH123" s="1013">
        <v>0</v>
      </c>
      <c r="FI123" s="1013">
        <v>0</v>
      </c>
      <c r="FJ123" s="1013">
        <v>1</v>
      </c>
      <c r="FK123" s="1013">
        <v>0</v>
      </c>
      <c r="FL123" s="1013">
        <v>0</v>
      </c>
      <c r="FM123" s="1013">
        <v>0</v>
      </c>
      <c r="FN123" s="1013">
        <v>15</v>
      </c>
      <c r="FO123" s="1013">
        <v>29</v>
      </c>
      <c r="FP123" s="1013">
        <v>6</v>
      </c>
      <c r="FQ123" s="1013" t="s">
        <v>7724</v>
      </c>
      <c r="FR123" s="1013" t="s">
        <v>7724</v>
      </c>
      <c r="FS123" s="1013" t="s">
        <v>7724</v>
      </c>
      <c r="FT123" s="1013" t="s">
        <v>7724</v>
      </c>
      <c r="FU123" s="1013" t="s">
        <v>7724</v>
      </c>
      <c r="FV123" s="1013" t="s">
        <v>7724</v>
      </c>
      <c r="FW123" s="1013" t="s">
        <v>7724</v>
      </c>
      <c r="FX123" s="1013" t="s">
        <v>7724</v>
      </c>
      <c r="FY123" s="1013" t="s">
        <v>7724</v>
      </c>
      <c r="FZ123" s="1013" t="s">
        <v>7724</v>
      </c>
      <c r="GA123" s="1013" t="s">
        <v>7724</v>
      </c>
      <c r="GB123" s="1013" t="s">
        <v>7724</v>
      </c>
      <c r="GC123" s="1013">
        <v>2022</v>
      </c>
      <c r="GD123" s="1013" t="s">
        <v>1404</v>
      </c>
      <c r="GE123" s="1013">
        <v>1</v>
      </c>
      <c r="GF123" s="1013" t="s">
        <v>1407</v>
      </c>
      <c r="GG123" s="1013" t="s">
        <v>1407</v>
      </c>
      <c r="GH123" s="1013">
        <v>74</v>
      </c>
      <c r="GI123" s="1013" t="s">
        <v>8006</v>
      </c>
      <c r="GJ123" s="1013" t="s">
        <v>8006</v>
      </c>
      <c r="GK123" s="1013" t="s">
        <v>8006</v>
      </c>
      <c r="GL123" s="1013" t="s">
        <v>8006</v>
      </c>
    </row>
    <row r="124" spans="1:194" hidden="1">
      <c r="A124" s="1013">
        <v>38</v>
      </c>
      <c r="B124" s="1013" t="s">
        <v>7722</v>
      </c>
      <c r="C124" s="1013">
        <v>17500426</v>
      </c>
      <c r="D124" s="1013" t="s">
        <v>7723</v>
      </c>
      <c r="E124" s="1013" t="s">
        <v>7723</v>
      </c>
      <c r="F124" s="1013" t="s">
        <v>7723</v>
      </c>
      <c r="G124" s="1013" t="s">
        <v>7723</v>
      </c>
      <c r="H124" s="1013" t="s">
        <v>7723</v>
      </c>
      <c r="I124" s="1013" t="s">
        <v>7723</v>
      </c>
      <c r="J124" s="1013" t="s">
        <v>7723</v>
      </c>
      <c r="K124" s="1024">
        <v>43832</v>
      </c>
      <c r="L124" s="1023">
        <v>0.80069444444444449</v>
      </c>
      <c r="M124" s="1013" t="s">
        <v>8097</v>
      </c>
      <c r="N124" s="1013" t="s">
        <v>7724</v>
      </c>
      <c r="O124" s="1013">
        <v>101</v>
      </c>
      <c r="P124" s="1013">
        <v>208</v>
      </c>
      <c r="Q124" s="1013" t="s">
        <v>7723</v>
      </c>
      <c r="R124" s="1013" t="s">
        <v>7727</v>
      </c>
      <c r="S124" s="1013" t="s">
        <v>7724</v>
      </c>
      <c r="T124" s="1014" t="s">
        <v>7724</v>
      </c>
      <c r="U124" s="1014">
        <v>2</v>
      </c>
      <c r="V124" s="1014">
        <v>59</v>
      </c>
      <c r="W124" s="1014" t="s">
        <v>7724</v>
      </c>
      <c r="X124" s="1013">
        <v>1</v>
      </c>
      <c r="Y124" s="1013" t="s">
        <v>7724</v>
      </c>
      <c r="Z124" s="1013" t="s">
        <v>7770</v>
      </c>
      <c r="AA124" s="1013" t="s">
        <v>7771</v>
      </c>
      <c r="AB124" s="1013" t="s">
        <v>7760</v>
      </c>
      <c r="AC124" s="1013" t="s">
        <v>7723</v>
      </c>
      <c r="AD124" s="1013" t="s">
        <v>7723</v>
      </c>
      <c r="AE124" s="1013">
        <v>60</v>
      </c>
      <c r="AF124" s="1013" t="s">
        <v>7723</v>
      </c>
      <c r="AG124" s="1013" t="s">
        <v>7723</v>
      </c>
      <c r="AH124" s="1013" t="s">
        <v>7739</v>
      </c>
      <c r="AI124" s="1013" t="s">
        <v>7723</v>
      </c>
      <c r="AJ124" s="1013">
        <v>19</v>
      </c>
      <c r="AK124" s="1013" t="s">
        <v>7724</v>
      </c>
      <c r="AL124" s="1013" t="s">
        <v>7724</v>
      </c>
      <c r="AM124" s="1013">
        <v>1</v>
      </c>
      <c r="AN124" s="1013" t="s">
        <v>7724</v>
      </c>
      <c r="AO124" s="1013" t="s">
        <v>7724</v>
      </c>
      <c r="AP124" s="1013" t="s">
        <v>7840</v>
      </c>
      <c r="AQ124" s="1013" t="s">
        <v>7726</v>
      </c>
      <c r="AR124" s="1013" t="s">
        <v>7724</v>
      </c>
      <c r="AS124" s="1013" t="s">
        <v>7724</v>
      </c>
      <c r="AT124" s="1013" t="s">
        <v>7724</v>
      </c>
      <c r="AU124" s="1013" t="s">
        <v>7724</v>
      </c>
      <c r="AV124" s="1013" t="s">
        <v>7724</v>
      </c>
      <c r="AW124" s="1013" t="s">
        <v>7724</v>
      </c>
      <c r="AX124" s="1013">
        <v>2</v>
      </c>
      <c r="AY124" s="1013">
        <v>6</v>
      </c>
      <c r="AZ124" s="1013">
        <v>0</v>
      </c>
      <c r="BA124" s="1013">
        <v>4</v>
      </c>
      <c r="BB124" s="1013">
        <v>2</v>
      </c>
      <c r="BC124" s="1013">
        <v>2</v>
      </c>
      <c r="BD124" s="1013">
        <v>20</v>
      </c>
      <c r="BE124" s="1023">
        <v>0.8041666666666667</v>
      </c>
      <c r="BF124" s="1013" t="s">
        <v>7736</v>
      </c>
      <c r="BG124" s="1023">
        <v>0.80763888888888891</v>
      </c>
      <c r="BH124" s="1024">
        <v>43832</v>
      </c>
      <c r="BI124" s="1013" t="s">
        <v>7727</v>
      </c>
      <c r="BJ124" s="1013" t="s">
        <v>7730</v>
      </c>
      <c r="BK124" s="1013">
        <v>2469</v>
      </c>
      <c r="BL124" s="1013" t="s">
        <v>7724</v>
      </c>
      <c r="BM124" s="1013" t="s">
        <v>7724</v>
      </c>
      <c r="BN124" s="1013">
        <v>113</v>
      </c>
      <c r="BO124" s="1013">
        <v>8</v>
      </c>
      <c r="BP124" s="1013">
        <v>2</v>
      </c>
      <c r="BQ124" s="1013">
        <v>4</v>
      </c>
      <c r="BR124" s="1013">
        <v>21</v>
      </c>
      <c r="BS124" s="1013">
        <v>64</v>
      </c>
      <c r="BT124" s="1013">
        <v>54</v>
      </c>
      <c r="BU124" s="1013">
        <v>1</v>
      </c>
      <c r="BV124" s="1013">
        <v>2</v>
      </c>
      <c r="BW124" s="1013">
        <v>1</v>
      </c>
      <c r="BX124" s="1013">
        <v>21</v>
      </c>
      <c r="BY124" s="1013">
        <v>21</v>
      </c>
      <c r="BZ124" s="1013">
        <v>101</v>
      </c>
      <c r="CA124" s="1013">
        <v>208</v>
      </c>
      <c r="CB124" s="1013">
        <v>29.732422</v>
      </c>
      <c r="CC124" s="1013">
        <v>-95.381763000000007</v>
      </c>
      <c r="CD124" s="1013" t="s">
        <v>8016</v>
      </c>
      <c r="CE124" s="1013">
        <v>69</v>
      </c>
      <c r="CF124" s="1013" t="s">
        <v>7724</v>
      </c>
      <c r="CG124" s="1013">
        <v>33.506</v>
      </c>
      <c r="CH124" s="1013" t="s">
        <v>8017</v>
      </c>
      <c r="CI124" s="1013" t="s">
        <v>7724</v>
      </c>
      <c r="CJ124" s="1013">
        <v>27</v>
      </c>
      <c r="CK124" s="1013">
        <v>13</v>
      </c>
      <c r="CL124" s="1013">
        <v>13.801</v>
      </c>
      <c r="CM124" s="1013">
        <v>128</v>
      </c>
      <c r="CN124" s="1013">
        <v>0.247</v>
      </c>
      <c r="CO124" s="1013" t="s">
        <v>7724</v>
      </c>
      <c r="CP124" s="1013" t="s">
        <v>7724</v>
      </c>
      <c r="CQ124" s="1013" t="s">
        <v>7724</v>
      </c>
      <c r="CR124" s="1013" t="s">
        <v>7724</v>
      </c>
      <c r="CS124" s="1013" t="s">
        <v>7724</v>
      </c>
      <c r="CT124" s="1013" t="s">
        <v>7724</v>
      </c>
      <c r="CU124" s="1013" t="s">
        <v>7724</v>
      </c>
      <c r="CV124" s="1013" t="s">
        <v>7724</v>
      </c>
      <c r="CW124" s="1013" t="s">
        <v>7727</v>
      </c>
      <c r="CX124" s="1013" t="s">
        <v>7727</v>
      </c>
      <c r="CY124" s="1013" t="s">
        <v>7723</v>
      </c>
      <c r="CZ124" s="1013">
        <v>5</v>
      </c>
      <c r="DA124" s="1013">
        <v>9</v>
      </c>
      <c r="DB124" s="1013" t="s">
        <v>7727</v>
      </c>
      <c r="DC124" s="1013" t="s">
        <v>7740</v>
      </c>
      <c r="DD124" s="1013">
        <v>5</v>
      </c>
      <c r="DE124" s="1013" t="s">
        <v>7724</v>
      </c>
      <c r="DF124" s="1013">
        <v>20</v>
      </c>
      <c r="DG124" s="1013">
        <v>20</v>
      </c>
      <c r="DH124" s="1013">
        <v>5</v>
      </c>
      <c r="DI124" s="1013" t="s">
        <v>7724</v>
      </c>
      <c r="DJ124" s="1013">
        <v>8</v>
      </c>
      <c r="DK124" s="1013">
        <v>400</v>
      </c>
      <c r="DL124" s="1013">
        <v>138</v>
      </c>
      <c r="DM124" s="1013">
        <v>98</v>
      </c>
      <c r="DN124" s="1013">
        <v>1</v>
      </c>
      <c r="DO124" s="1013">
        <v>0</v>
      </c>
      <c r="DP124" s="1013">
        <v>0</v>
      </c>
      <c r="DQ124" s="1013">
        <v>1</v>
      </c>
      <c r="DR124" s="1013">
        <v>20</v>
      </c>
      <c r="DS124" s="1013">
        <v>5</v>
      </c>
      <c r="DT124" s="1013">
        <v>1</v>
      </c>
      <c r="DU124" s="1013">
        <v>20</v>
      </c>
      <c r="DV124" s="1013">
        <v>5</v>
      </c>
      <c r="DW124" s="1013">
        <v>7</v>
      </c>
      <c r="DX124" s="1013">
        <v>5</v>
      </c>
      <c r="DY124" s="1013">
        <v>4</v>
      </c>
      <c r="DZ124" s="1013">
        <v>1</v>
      </c>
      <c r="EA124" s="1013">
        <v>185410</v>
      </c>
      <c r="EB124" s="1013">
        <v>2019</v>
      </c>
      <c r="EC124" s="1013">
        <v>185410</v>
      </c>
      <c r="ED124" s="1013">
        <v>2.2999999999999998</v>
      </c>
      <c r="EE124" s="1013">
        <v>2.5</v>
      </c>
      <c r="EF124" s="1013">
        <v>4.8</v>
      </c>
      <c r="EG124" s="1013" t="s">
        <v>7724</v>
      </c>
      <c r="EH124" s="1013" t="s">
        <v>7724</v>
      </c>
      <c r="EI124" s="1013" t="s">
        <v>7724</v>
      </c>
      <c r="EJ124" s="1013" t="s">
        <v>7724</v>
      </c>
      <c r="EK124" s="1013" t="s">
        <v>7724</v>
      </c>
      <c r="EL124" s="1013" t="s">
        <v>7724</v>
      </c>
      <c r="EM124" s="1013" t="s">
        <v>7724</v>
      </c>
      <c r="EN124" s="1013" t="s">
        <v>7724</v>
      </c>
      <c r="EO124" s="1013" t="s">
        <v>7724</v>
      </c>
      <c r="EP124" s="1013" t="s">
        <v>7724</v>
      </c>
      <c r="EQ124" s="1013" t="s">
        <v>7724</v>
      </c>
      <c r="ER124" s="1013" t="s">
        <v>7724</v>
      </c>
      <c r="ES124" s="1013" t="s">
        <v>7724</v>
      </c>
      <c r="ET124" s="1013" t="s">
        <v>7724</v>
      </c>
      <c r="EU124" s="1013" t="s">
        <v>7724</v>
      </c>
      <c r="EV124" s="1013" t="s">
        <v>7724</v>
      </c>
      <c r="EW124" s="1013" t="s">
        <v>7724</v>
      </c>
      <c r="EX124" s="1013" t="s">
        <v>7724</v>
      </c>
      <c r="EY124" s="1013" t="s">
        <v>7724</v>
      </c>
      <c r="EZ124" s="1013" t="s">
        <v>7724</v>
      </c>
      <c r="FA124" s="1013" t="s">
        <v>7724</v>
      </c>
      <c r="FB124" s="1013" t="s">
        <v>7724</v>
      </c>
      <c r="FC124" s="1013" t="s">
        <v>7724</v>
      </c>
      <c r="FD124" s="1013" t="s">
        <v>7724</v>
      </c>
      <c r="FE124" s="1013" t="s">
        <v>7724</v>
      </c>
      <c r="FF124" s="1013" t="s">
        <v>7724</v>
      </c>
      <c r="FG124" s="1013">
        <v>0</v>
      </c>
      <c r="FH124" s="1013">
        <v>0</v>
      </c>
      <c r="FI124" s="1013">
        <v>0</v>
      </c>
      <c r="FJ124" s="1013">
        <v>4</v>
      </c>
      <c r="FK124" s="1013">
        <v>0</v>
      </c>
      <c r="FL124" s="1013">
        <v>0</v>
      </c>
      <c r="FM124" s="1013">
        <v>0</v>
      </c>
      <c r="FN124" s="1013">
        <v>15</v>
      </c>
      <c r="FO124" s="1013">
        <v>29</v>
      </c>
      <c r="FP124" s="1013">
        <v>6</v>
      </c>
      <c r="FQ124" s="1013" t="s">
        <v>7724</v>
      </c>
      <c r="FR124" s="1013" t="s">
        <v>7724</v>
      </c>
      <c r="FS124" s="1013" t="s">
        <v>7724</v>
      </c>
      <c r="FT124" s="1013" t="s">
        <v>7724</v>
      </c>
      <c r="FU124" s="1013" t="s">
        <v>7724</v>
      </c>
      <c r="FV124" s="1013" t="s">
        <v>7724</v>
      </c>
      <c r="FW124" s="1013" t="s">
        <v>7724</v>
      </c>
      <c r="FX124" s="1013" t="s">
        <v>7724</v>
      </c>
      <c r="FY124" s="1013" t="s">
        <v>7724</v>
      </c>
      <c r="FZ124" s="1013" t="s">
        <v>7724</v>
      </c>
      <c r="GA124" s="1013" t="s">
        <v>7724</v>
      </c>
      <c r="GB124" s="1013" t="s">
        <v>7724</v>
      </c>
      <c r="GC124" s="1013">
        <v>2020</v>
      </c>
      <c r="GD124" s="1013" t="s">
        <v>1404</v>
      </c>
      <c r="GE124" s="1013">
        <v>2</v>
      </c>
      <c r="GF124" s="1013" t="s">
        <v>1407</v>
      </c>
      <c r="GG124" s="1013" t="s">
        <v>1407</v>
      </c>
      <c r="GH124" s="1013" t="s">
        <v>8098</v>
      </c>
      <c r="GI124" s="1013" t="s">
        <v>7974</v>
      </c>
      <c r="GJ124" s="1013" t="s">
        <v>7974</v>
      </c>
      <c r="GK124" s="1013" t="s">
        <v>7974</v>
      </c>
      <c r="GL124" s="1013" t="s">
        <v>7974</v>
      </c>
    </row>
    <row r="125" spans="1:194" hidden="1">
      <c r="A125" s="1013">
        <v>40</v>
      </c>
      <c r="B125" s="1013" t="s">
        <v>7722</v>
      </c>
      <c r="C125" s="1013">
        <v>17514092</v>
      </c>
      <c r="D125" s="1013" t="s">
        <v>7723</v>
      </c>
      <c r="E125" s="1013" t="s">
        <v>7723</v>
      </c>
      <c r="F125" s="1013" t="s">
        <v>7723</v>
      </c>
      <c r="G125" s="1013" t="s">
        <v>7723</v>
      </c>
      <c r="H125" s="1013" t="s">
        <v>7723</v>
      </c>
      <c r="I125" s="1013" t="s">
        <v>7723</v>
      </c>
      <c r="J125" s="1013" t="s">
        <v>7723</v>
      </c>
      <c r="K125" s="1024">
        <v>43844</v>
      </c>
      <c r="L125" s="1023">
        <v>0.39583333333333331</v>
      </c>
      <c r="M125" s="1013" t="s">
        <v>8099</v>
      </c>
      <c r="N125" s="1013" t="s">
        <v>7744</v>
      </c>
      <c r="O125" s="1013">
        <v>101</v>
      </c>
      <c r="P125" s="1013">
        <v>208</v>
      </c>
      <c r="Q125" s="1013" t="s">
        <v>7723</v>
      </c>
      <c r="R125" s="1013" t="s">
        <v>7727</v>
      </c>
      <c r="S125" s="1013" t="s">
        <v>7724</v>
      </c>
      <c r="T125" s="1014" t="s">
        <v>7724</v>
      </c>
      <c r="U125" s="1014">
        <v>2</v>
      </c>
      <c r="V125" s="1014">
        <v>59</v>
      </c>
      <c r="W125" s="1014" t="s">
        <v>7724</v>
      </c>
      <c r="X125" s="1013">
        <v>1</v>
      </c>
      <c r="Y125" s="1013">
        <v>300</v>
      </c>
      <c r="Z125" s="1013" t="s">
        <v>7770</v>
      </c>
      <c r="AA125" s="1013" t="s">
        <v>7771</v>
      </c>
      <c r="AB125" s="1013" t="s">
        <v>7760</v>
      </c>
      <c r="AC125" s="1013" t="s">
        <v>7723</v>
      </c>
      <c r="AD125" s="1013" t="s">
        <v>7723</v>
      </c>
      <c r="AE125" s="1013">
        <v>60</v>
      </c>
      <c r="AF125" s="1013" t="s">
        <v>7723</v>
      </c>
      <c r="AG125" s="1013" t="s">
        <v>7723</v>
      </c>
      <c r="AH125" s="1013" t="s">
        <v>7739</v>
      </c>
      <c r="AI125" s="1013" t="s">
        <v>7723</v>
      </c>
      <c r="AJ125" s="1013">
        <v>19</v>
      </c>
      <c r="AK125" s="1013" t="s">
        <v>7724</v>
      </c>
      <c r="AL125" s="1013" t="s">
        <v>7724</v>
      </c>
      <c r="AM125" s="1013">
        <v>1</v>
      </c>
      <c r="AN125" s="1013">
        <v>1100</v>
      </c>
      <c r="AO125" s="1013" t="s">
        <v>7724</v>
      </c>
      <c r="AP125" s="1013" t="s">
        <v>7725</v>
      </c>
      <c r="AQ125" s="1013" t="s">
        <v>7735</v>
      </c>
      <c r="AR125" s="1013" t="s">
        <v>7724</v>
      </c>
      <c r="AS125" s="1013" t="s">
        <v>7724</v>
      </c>
      <c r="AT125" s="1013" t="s">
        <v>7724</v>
      </c>
      <c r="AU125" s="1013" t="s">
        <v>7724</v>
      </c>
      <c r="AV125" s="1013" t="s">
        <v>7724</v>
      </c>
      <c r="AW125" s="1013" t="s">
        <v>7724</v>
      </c>
      <c r="AX125" s="1013">
        <v>12</v>
      </c>
      <c r="AY125" s="1013">
        <v>1</v>
      </c>
      <c r="AZ125" s="1013">
        <v>0</v>
      </c>
      <c r="BA125" s="1013">
        <v>4</v>
      </c>
      <c r="BB125" s="1013">
        <v>1</v>
      </c>
      <c r="BC125" s="1013">
        <v>2</v>
      </c>
      <c r="BD125" s="1013">
        <v>1</v>
      </c>
      <c r="BE125" s="1023">
        <v>0.43958333333333333</v>
      </c>
      <c r="BF125" s="1013" t="s">
        <v>7729</v>
      </c>
      <c r="BG125" s="1023">
        <v>0.4465277777777778</v>
      </c>
      <c r="BH125" s="1024">
        <v>43844</v>
      </c>
      <c r="BI125" s="1013" t="s">
        <v>7727</v>
      </c>
      <c r="BJ125" s="1013" t="s">
        <v>7730</v>
      </c>
      <c r="BK125" s="1013">
        <v>2469</v>
      </c>
      <c r="BL125" s="1013" t="s">
        <v>7724</v>
      </c>
      <c r="BM125" s="1013" t="s">
        <v>7724</v>
      </c>
      <c r="BN125" s="1013">
        <v>113</v>
      </c>
      <c r="BO125" s="1013">
        <v>8</v>
      </c>
      <c r="BP125" s="1013">
        <v>2</v>
      </c>
      <c r="BQ125" s="1013">
        <v>4</v>
      </c>
      <c r="BR125" s="1013">
        <v>20</v>
      </c>
      <c r="BS125" s="1013">
        <v>64</v>
      </c>
      <c r="BT125" s="1013">
        <v>54</v>
      </c>
      <c r="BU125" s="1013">
        <v>1</v>
      </c>
      <c r="BV125" s="1013">
        <v>2</v>
      </c>
      <c r="BW125" s="1013">
        <v>1</v>
      </c>
      <c r="BX125" s="1013">
        <v>21</v>
      </c>
      <c r="BY125" s="1013">
        <v>21</v>
      </c>
      <c r="BZ125" s="1013">
        <v>101</v>
      </c>
      <c r="CA125" s="1013">
        <v>208</v>
      </c>
      <c r="CB125" s="1013">
        <v>29.732523</v>
      </c>
      <c r="CC125" s="1013">
        <v>-95.380481000000003</v>
      </c>
      <c r="CD125" s="1013" t="s">
        <v>8016</v>
      </c>
      <c r="CE125" s="1013">
        <v>69</v>
      </c>
      <c r="CF125" s="1013" t="s">
        <v>7724</v>
      </c>
      <c r="CG125" s="1013">
        <v>33.584000000000003</v>
      </c>
      <c r="CH125" s="1013" t="s">
        <v>8017</v>
      </c>
      <c r="CI125" s="1013" t="s">
        <v>7724</v>
      </c>
      <c r="CJ125" s="1013">
        <v>27</v>
      </c>
      <c r="CK125" s="1013">
        <v>13</v>
      </c>
      <c r="CL125" s="1013">
        <v>13.881</v>
      </c>
      <c r="CM125" s="1013">
        <v>128</v>
      </c>
      <c r="CN125" s="1013">
        <v>0.32500000000000001</v>
      </c>
      <c r="CO125" s="1013" t="s">
        <v>7724</v>
      </c>
      <c r="CP125" s="1013" t="s">
        <v>7724</v>
      </c>
      <c r="CQ125" s="1013" t="s">
        <v>7724</v>
      </c>
      <c r="CR125" s="1013" t="s">
        <v>7724</v>
      </c>
      <c r="CS125" s="1013" t="s">
        <v>7724</v>
      </c>
      <c r="CT125" s="1013" t="s">
        <v>7724</v>
      </c>
      <c r="CU125" s="1013" t="s">
        <v>7724</v>
      </c>
      <c r="CV125" s="1013" t="s">
        <v>7724</v>
      </c>
      <c r="CW125" s="1013" t="s">
        <v>7727</v>
      </c>
      <c r="CX125" s="1013" t="s">
        <v>7727</v>
      </c>
      <c r="CY125" s="1013" t="s">
        <v>7723</v>
      </c>
      <c r="CZ125" s="1013">
        <v>5</v>
      </c>
      <c r="DA125" s="1013">
        <v>9</v>
      </c>
      <c r="DB125" s="1013" t="s">
        <v>7727</v>
      </c>
      <c r="DC125" s="1013" t="s">
        <v>7737</v>
      </c>
      <c r="DD125" s="1013">
        <v>5</v>
      </c>
      <c r="DE125" s="1013" t="s">
        <v>7724</v>
      </c>
      <c r="DF125" s="1013">
        <v>20</v>
      </c>
      <c r="DG125" s="1013">
        <v>20</v>
      </c>
      <c r="DH125" s="1013">
        <v>5</v>
      </c>
      <c r="DI125" s="1013" t="s">
        <v>7724</v>
      </c>
      <c r="DJ125" s="1013">
        <v>8</v>
      </c>
      <c r="DK125" s="1013">
        <v>400</v>
      </c>
      <c r="DL125" s="1013">
        <v>138</v>
      </c>
      <c r="DM125" s="1013">
        <v>98</v>
      </c>
      <c r="DN125" s="1013">
        <v>1</v>
      </c>
      <c r="DO125" s="1013">
        <v>0</v>
      </c>
      <c r="DP125" s="1013">
        <v>0</v>
      </c>
      <c r="DQ125" s="1013">
        <v>1</v>
      </c>
      <c r="DR125" s="1013">
        <v>20</v>
      </c>
      <c r="DS125" s="1013">
        <v>5</v>
      </c>
      <c r="DT125" s="1013">
        <v>1</v>
      </c>
      <c r="DU125" s="1013">
        <v>20</v>
      </c>
      <c r="DV125" s="1013">
        <v>5</v>
      </c>
      <c r="DW125" s="1013">
        <v>7</v>
      </c>
      <c r="DX125" s="1013">
        <v>5</v>
      </c>
      <c r="DY125" s="1013">
        <v>4</v>
      </c>
      <c r="DZ125" s="1013">
        <v>1</v>
      </c>
      <c r="EA125" s="1013">
        <v>185410</v>
      </c>
      <c r="EB125" s="1013">
        <v>2019</v>
      </c>
      <c r="EC125" s="1013">
        <v>185410</v>
      </c>
      <c r="ED125" s="1013">
        <v>2.2999999999999998</v>
      </c>
      <c r="EE125" s="1013">
        <v>2.5</v>
      </c>
      <c r="EF125" s="1013">
        <v>4.8</v>
      </c>
      <c r="EG125" s="1013" t="s">
        <v>7724</v>
      </c>
      <c r="EH125" s="1013" t="s">
        <v>7724</v>
      </c>
      <c r="EI125" s="1013" t="s">
        <v>7724</v>
      </c>
      <c r="EJ125" s="1013" t="s">
        <v>7724</v>
      </c>
      <c r="EK125" s="1013" t="s">
        <v>7724</v>
      </c>
      <c r="EL125" s="1013" t="s">
        <v>7724</v>
      </c>
      <c r="EM125" s="1013" t="s">
        <v>7724</v>
      </c>
      <c r="EN125" s="1013" t="s">
        <v>7724</v>
      </c>
      <c r="EO125" s="1013" t="s">
        <v>7724</v>
      </c>
      <c r="EP125" s="1013" t="s">
        <v>7724</v>
      </c>
      <c r="EQ125" s="1013" t="s">
        <v>7724</v>
      </c>
      <c r="ER125" s="1013" t="s">
        <v>7724</v>
      </c>
      <c r="ES125" s="1013" t="s">
        <v>7724</v>
      </c>
      <c r="ET125" s="1013" t="s">
        <v>7724</v>
      </c>
      <c r="EU125" s="1013" t="s">
        <v>7724</v>
      </c>
      <c r="EV125" s="1013" t="s">
        <v>7724</v>
      </c>
      <c r="EW125" s="1013" t="s">
        <v>7724</v>
      </c>
      <c r="EX125" s="1013" t="s">
        <v>7724</v>
      </c>
      <c r="EY125" s="1013" t="s">
        <v>7724</v>
      </c>
      <c r="EZ125" s="1013" t="s">
        <v>7724</v>
      </c>
      <c r="FA125" s="1013" t="s">
        <v>7724</v>
      </c>
      <c r="FB125" s="1013" t="s">
        <v>7724</v>
      </c>
      <c r="FC125" s="1013" t="s">
        <v>7724</v>
      </c>
      <c r="FD125" s="1013" t="s">
        <v>7724</v>
      </c>
      <c r="FE125" s="1013" t="s">
        <v>7724</v>
      </c>
      <c r="FF125" s="1013" t="s">
        <v>7724</v>
      </c>
      <c r="FG125" s="1013">
        <v>0</v>
      </c>
      <c r="FH125" s="1013">
        <v>0</v>
      </c>
      <c r="FI125" s="1013">
        <v>0</v>
      </c>
      <c r="FJ125" s="1013">
        <v>1</v>
      </c>
      <c r="FK125" s="1013">
        <v>1</v>
      </c>
      <c r="FL125" s="1013">
        <v>0</v>
      </c>
      <c r="FM125" s="1013">
        <v>0</v>
      </c>
      <c r="FN125" s="1013">
        <v>15</v>
      </c>
      <c r="FO125" s="1013">
        <v>29</v>
      </c>
      <c r="FP125" s="1013">
        <v>6</v>
      </c>
      <c r="FQ125" s="1013" t="s">
        <v>7724</v>
      </c>
      <c r="FR125" s="1013" t="s">
        <v>7724</v>
      </c>
      <c r="FS125" s="1013" t="s">
        <v>7724</v>
      </c>
      <c r="FT125" s="1013" t="s">
        <v>7724</v>
      </c>
      <c r="FU125" s="1013" t="s">
        <v>7724</v>
      </c>
      <c r="FV125" s="1013" t="s">
        <v>7724</v>
      </c>
      <c r="FW125" s="1013" t="s">
        <v>7724</v>
      </c>
      <c r="FX125" s="1013" t="s">
        <v>7724</v>
      </c>
      <c r="FY125" s="1013" t="s">
        <v>7724</v>
      </c>
      <c r="FZ125" s="1013" t="s">
        <v>7724</v>
      </c>
      <c r="GA125" s="1013" t="s">
        <v>7724</v>
      </c>
      <c r="GB125" s="1013" t="s">
        <v>7724</v>
      </c>
      <c r="GC125" s="1013">
        <v>2020</v>
      </c>
      <c r="GD125" s="1013" t="s">
        <v>1407</v>
      </c>
      <c r="GE125" s="1013">
        <v>2</v>
      </c>
      <c r="GF125" s="1013" t="s">
        <v>1407</v>
      </c>
      <c r="GG125" s="1013" t="s">
        <v>1407</v>
      </c>
      <c r="GH125" s="1013" t="s">
        <v>8023</v>
      </c>
      <c r="GI125" s="1013" t="s">
        <v>7974</v>
      </c>
      <c r="GJ125" s="1013" t="s">
        <v>7974</v>
      </c>
      <c r="GK125" s="1013" t="s">
        <v>7974</v>
      </c>
      <c r="GL125" s="1013" t="s">
        <v>7974</v>
      </c>
    </row>
    <row r="126" spans="1:194" hidden="1">
      <c r="A126" s="1013">
        <v>43</v>
      </c>
      <c r="B126" s="1013" t="s">
        <v>7722</v>
      </c>
      <c r="C126" s="1013">
        <v>17578557</v>
      </c>
      <c r="D126" s="1013" t="s">
        <v>7723</v>
      </c>
      <c r="E126" s="1013" t="s">
        <v>7723</v>
      </c>
      <c r="F126" s="1013" t="s">
        <v>7723</v>
      </c>
      <c r="G126" s="1013" t="s">
        <v>7723</v>
      </c>
      <c r="H126" s="1013" t="s">
        <v>7723</v>
      </c>
      <c r="I126" s="1013" t="s">
        <v>7723</v>
      </c>
      <c r="J126" s="1013" t="s">
        <v>7723</v>
      </c>
      <c r="K126" s="1024">
        <v>43879</v>
      </c>
      <c r="L126" s="1023">
        <v>0.60416666666666663</v>
      </c>
      <c r="M126" s="1013" t="s">
        <v>8100</v>
      </c>
      <c r="N126" s="1013" t="s">
        <v>7724</v>
      </c>
      <c r="O126" s="1013">
        <v>101</v>
      </c>
      <c r="P126" s="1013">
        <v>208</v>
      </c>
      <c r="Q126" s="1013" t="s">
        <v>7723</v>
      </c>
      <c r="R126" s="1013" t="s">
        <v>7727</v>
      </c>
      <c r="S126" s="1013" t="s">
        <v>7724</v>
      </c>
      <c r="T126" s="1014" t="s">
        <v>7724</v>
      </c>
      <c r="U126" s="1014">
        <v>2</v>
      </c>
      <c r="V126" s="1014">
        <v>59</v>
      </c>
      <c r="W126" s="1014" t="s">
        <v>7724</v>
      </c>
      <c r="X126" s="1013">
        <v>1</v>
      </c>
      <c r="Y126" s="1013">
        <v>500</v>
      </c>
      <c r="Z126" s="1013" t="s">
        <v>7770</v>
      </c>
      <c r="AA126" s="1013" t="s">
        <v>7771</v>
      </c>
      <c r="AB126" s="1013" t="s">
        <v>7760</v>
      </c>
      <c r="AC126" s="1013" t="s">
        <v>7723</v>
      </c>
      <c r="AD126" s="1013" t="s">
        <v>7723</v>
      </c>
      <c r="AE126" s="1013">
        <v>65</v>
      </c>
      <c r="AF126" s="1013" t="s">
        <v>7723</v>
      </c>
      <c r="AG126" s="1013" t="s">
        <v>7723</v>
      </c>
      <c r="AH126" s="1013" t="s">
        <v>7724</v>
      </c>
      <c r="AI126" s="1013" t="s">
        <v>7723</v>
      </c>
      <c r="AJ126" s="1013">
        <v>19</v>
      </c>
      <c r="AK126" s="1013" t="s">
        <v>7724</v>
      </c>
      <c r="AL126" s="1013" t="s">
        <v>7724</v>
      </c>
      <c r="AM126" s="1013">
        <v>1</v>
      </c>
      <c r="AN126" s="1013" t="s">
        <v>7724</v>
      </c>
      <c r="AO126" s="1013" t="s">
        <v>7724</v>
      </c>
      <c r="AP126" s="1013" t="s">
        <v>7840</v>
      </c>
      <c r="AQ126" s="1013" t="s">
        <v>7726</v>
      </c>
      <c r="AR126" s="1013" t="s">
        <v>7724</v>
      </c>
      <c r="AS126" s="1013" t="s">
        <v>7724</v>
      </c>
      <c r="AT126" s="1013" t="s">
        <v>7724</v>
      </c>
      <c r="AU126" s="1013" t="s">
        <v>7724</v>
      </c>
      <c r="AV126" s="1013" t="s">
        <v>7724</v>
      </c>
      <c r="AW126" s="1013" t="s">
        <v>7724</v>
      </c>
      <c r="AX126" s="1013">
        <v>11</v>
      </c>
      <c r="AY126" s="1013">
        <v>1</v>
      </c>
      <c r="AZ126" s="1013">
        <v>4</v>
      </c>
      <c r="BA126" s="1013">
        <v>3</v>
      </c>
      <c r="BB126" s="1013">
        <v>1</v>
      </c>
      <c r="BC126" s="1013">
        <v>1</v>
      </c>
      <c r="BD126" s="1013">
        <v>20</v>
      </c>
      <c r="BE126" s="1023">
        <v>0.60555555555555551</v>
      </c>
      <c r="BF126" s="1013" t="s">
        <v>7729</v>
      </c>
      <c r="BG126" s="1023">
        <v>0.60972222222222228</v>
      </c>
      <c r="BH126" s="1024">
        <v>43879</v>
      </c>
      <c r="BI126" s="1013" t="s">
        <v>7727</v>
      </c>
      <c r="BJ126" s="1013" t="s">
        <v>7730</v>
      </c>
      <c r="BK126" s="1013">
        <v>2469</v>
      </c>
      <c r="BL126" s="1013" t="s">
        <v>7724</v>
      </c>
      <c r="BM126" s="1013" t="s">
        <v>7724</v>
      </c>
      <c r="BN126" s="1013">
        <v>113</v>
      </c>
      <c r="BO126" s="1013">
        <v>8</v>
      </c>
      <c r="BP126" s="1013">
        <v>2</v>
      </c>
      <c r="BQ126" s="1013">
        <v>4</v>
      </c>
      <c r="BR126" s="1013">
        <v>20</v>
      </c>
      <c r="BS126" s="1013">
        <v>64</v>
      </c>
      <c r="BT126" s="1013">
        <v>42</v>
      </c>
      <c r="BU126" s="1013">
        <v>1</v>
      </c>
      <c r="BV126" s="1013">
        <v>2</v>
      </c>
      <c r="BW126" s="1013">
        <v>1</v>
      </c>
      <c r="BX126" s="1013">
        <v>21</v>
      </c>
      <c r="BY126" s="1013">
        <v>21</v>
      </c>
      <c r="BZ126" s="1013">
        <v>101</v>
      </c>
      <c r="CA126" s="1013">
        <v>208</v>
      </c>
      <c r="CB126" s="1013">
        <v>29.732538000000002</v>
      </c>
      <c r="CC126" s="1013">
        <v>-95.380277000000007</v>
      </c>
      <c r="CD126" s="1013" t="s">
        <v>8016</v>
      </c>
      <c r="CE126" s="1013">
        <v>69</v>
      </c>
      <c r="CF126" s="1013" t="s">
        <v>7724</v>
      </c>
      <c r="CG126" s="1013">
        <v>33.595999999999997</v>
      </c>
      <c r="CH126" s="1013" t="s">
        <v>8017</v>
      </c>
      <c r="CI126" s="1013" t="s">
        <v>7724</v>
      </c>
      <c r="CJ126" s="1013">
        <v>27</v>
      </c>
      <c r="CK126" s="1013">
        <v>13</v>
      </c>
      <c r="CL126" s="1013">
        <v>13.894</v>
      </c>
      <c r="CM126" s="1013">
        <v>128</v>
      </c>
      <c r="CN126" s="1013">
        <v>0.33700000000000002</v>
      </c>
      <c r="CO126" s="1013" t="s">
        <v>7724</v>
      </c>
      <c r="CP126" s="1013" t="s">
        <v>7724</v>
      </c>
      <c r="CQ126" s="1013" t="s">
        <v>7724</v>
      </c>
      <c r="CR126" s="1013" t="s">
        <v>7724</v>
      </c>
      <c r="CS126" s="1013" t="s">
        <v>7724</v>
      </c>
      <c r="CT126" s="1013" t="s">
        <v>7724</v>
      </c>
      <c r="CU126" s="1013" t="s">
        <v>7724</v>
      </c>
      <c r="CV126" s="1013" t="s">
        <v>7724</v>
      </c>
      <c r="CW126" s="1013" t="s">
        <v>7727</v>
      </c>
      <c r="CX126" s="1013" t="s">
        <v>7727</v>
      </c>
      <c r="CY126" s="1013" t="s">
        <v>7723</v>
      </c>
      <c r="CZ126" s="1013">
        <v>5</v>
      </c>
      <c r="DA126" s="1013">
        <v>9</v>
      </c>
      <c r="DB126" s="1013" t="s">
        <v>7727</v>
      </c>
      <c r="DC126" s="1013" t="s">
        <v>7737</v>
      </c>
      <c r="DD126" s="1013">
        <v>5</v>
      </c>
      <c r="DE126" s="1013" t="s">
        <v>7724</v>
      </c>
      <c r="DF126" s="1013">
        <v>20</v>
      </c>
      <c r="DG126" s="1013">
        <v>20</v>
      </c>
      <c r="DH126" s="1013">
        <v>5</v>
      </c>
      <c r="DI126" s="1013" t="s">
        <v>7724</v>
      </c>
      <c r="DJ126" s="1013">
        <v>8</v>
      </c>
      <c r="DK126" s="1013">
        <v>400</v>
      </c>
      <c r="DL126" s="1013">
        <v>138</v>
      </c>
      <c r="DM126" s="1013">
        <v>98</v>
      </c>
      <c r="DN126" s="1013">
        <v>1</v>
      </c>
      <c r="DO126" s="1013">
        <v>0</v>
      </c>
      <c r="DP126" s="1013">
        <v>0</v>
      </c>
      <c r="DQ126" s="1013">
        <v>1</v>
      </c>
      <c r="DR126" s="1013">
        <v>20</v>
      </c>
      <c r="DS126" s="1013">
        <v>5</v>
      </c>
      <c r="DT126" s="1013">
        <v>1</v>
      </c>
      <c r="DU126" s="1013">
        <v>20</v>
      </c>
      <c r="DV126" s="1013">
        <v>5</v>
      </c>
      <c r="DW126" s="1013">
        <v>7</v>
      </c>
      <c r="DX126" s="1013">
        <v>5</v>
      </c>
      <c r="DY126" s="1013">
        <v>4</v>
      </c>
      <c r="DZ126" s="1013">
        <v>1</v>
      </c>
      <c r="EA126" s="1013">
        <v>185410</v>
      </c>
      <c r="EB126" s="1013">
        <v>2019</v>
      </c>
      <c r="EC126" s="1013">
        <v>185410</v>
      </c>
      <c r="ED126" s="1013">
        <v>2.2999999999999998</v>
      </c>
      <c r="EE126" s="1013">
        <v>2.5</v>
      </c>
      <c r="EF126" s="1013">
        <v>4.8</v>
      </c>
      <c r="EG126" s="1013" t="s">
        <v>7724</v>
      </c>
      <c r="EH126" s="1013" t="s">
        <v>7724</v>
      </c>
      <c r="EI126" s="1013" t="s">
        <v>7724</v>
      </c>
      <c r="EJ126" s="1013" t="s">
        <v>7724</v>
      </c>
      <c r="EK126" s="1013" t="s">
        <v>7724</v>
      </c>
      <c r="EL126" s="1013" t="s">
        <v>7724</v>
      </c>
      <c r="EM126" s="1013" t="s">
        <v>7724</v>
      </c>
      <c r="EN126" s="1013" t="s">
        <v>7724</v>
      </c>
      <c r="EO126" s="1013" t="s">
        <v>7724</v>
      </c>
      <c r="EP126" s="1013" t="s">
        <v>7724</v>
      </c>
      <c r="EQ126" s="1013" t="s">
        <v>7724</v>
      </c>
      <c r="ER126" s="1013" t="s">
        <v>7724</v>
      </c>
      <c r="ES126" s="1013" t="s">
        <v>7724</v>
      </c>
      <c r="ET126" s="1013" t="s">
        <v>7724</v>
      </c>
      <c r="EU126" s="1013" t="s">
        <v>7724</v>
      </c>
      <c r="EV126" s="1013" t="s">
        <v>7724</v>
      </c>
      <c r="EW126" s="1013" t="s">
        <v>7724</v>
      </c>
      <c r="EX126" s="1013" t="s">
        <v>7724</v>
      </c>
      <c r="EY126" s="1013" t="s">
        <v>7724</v>
      </c>
      <c r="EZ126" s="1013" t="s">
        <v>7724</v>
      </c>
      <c r="FA126" s="1013" t="s">
        <v>7724</v>
      </c>
      <c r="FB126" s="1013" t="s">
        <v>7724</v>
      </c>
      <c r="FC126" s="1013" t="s">
        <v>7724</v>
      </c>
      <c r="FD126" s="1013" t="s">
        <v>7724</v>
      </c>
      <c r="FE126" s="1013" t="s">
        <v>7724</v>
      </c>
      <c r="FF126" s="1013" t="s">
        <v>7724</v>
      </c>
      <c r="FG126" s="1013">
        <v>0</v>
      </c>
      <c r="FH126" s="1013">
        <v>0</v>
      </c>
      <c r="FI126" s="1013">
        <v>0</v>
      </c>
      <c r="FJ126" s="1013">
        <v>4</v>
      </c>
      <c r="FK126" s="1013">
        <v>0</v>
      </c>
      <c r="FL126" s="1013">
        <v>0</v>
      </c>
      <c r="FM126" s="1013">
        <v>0</v>
      </c>
      <c r="FN126" s="1013">
        <v>15</v>
      </c>
      <c r="FO126" s="1013">
        <v>29</v>
      </c>
      <c r="FP126" s="1013">
        <v>6</v>
      </c>
      <c r="FQ126" s="1013" t="s">
        <v>7724</v>
      </c>
      <c r="FR126" s="1013" t="s">
        <v>7724</v>
      </c>
      <c r="FS126" s="1013" t="s">
        <v>7724</v>
      </c>
      <c r="FT126" s="1013" t="s">
        <v>7724</v>
      </c>
      <c r="FU126" s="1013" t="s">
        <v>7724</v>
      </c>
      <c r="FV126" s="1013" t="s">
        <v>7724</v>
      </c>
      <c r="FW126" s="1013" t="s">
        <v>7724</v>
      </c>
      <c r="FX126" s="1013" t="s">
        <v>7724</v>
      </c>
      <c r="FY126" s="1013" t="s">
        <v>7724</v>
      </c>
      <c r="FZ126" s="1013" t="s">
        <v>7724</v>
      </c>
      <c r="GA126" s="1013" t="s">
        <v>7724</v>
      </c>
      <c r="GB126" s="1013" t="s">
        <v>7724</v>
      </c>
      <c r="GC126" s="1013">
        <v>2020</v>
      </c>
      <c r="GD126" s="1013" t="s">
        <v>1404</v>
      </c>
      <c r="GE126" s="1013">
        <v>3</v>
      </c>
      <c r="GF126" s="1013" t="s">
        <v>1407</v>
      </c>
      <c r="GG126" s="1013" t="s">
        <v>1407</v>
      </c>
      <c r="GH126" s="1013" t="s">
        <v>7979</v>
      </c>
      <c r="GI126" s="1013" t="s">
        <v>7980</v>
      </c>
      <c r="GJ126" s="1013" t="s">
        <v>7980</v>
      </c>
      <c r="GK126" s="1013" t="s">
        <v>7980</v>
      </c>
      <c r="GL126" s="1013" t="s">
        <v>7980</v>
      </c>
    </row>
    <row r="127" spans="1:194" hidden="1">
      <c r="A127" s="1013">
        <v>45</v>
      </c>
      <c r="B127" s="1013" t="s">
        <v>7722</v>
      </c>
      <c r="C127" s="1013">
        <v>17591419</v>
      </c>
      <c r="D127" s="1013" t="s">
        <v>7723</v>
      </c>
      <c r="E127" s="1013" t="s">
        <v>7723</v>
      </c>
      <c r="F127" s="1013" t="s">
        <v>7723</v>
      </c>
      <c r="G127" s="1013" t="s">
        <v>7723</v>
      </c>
      <c r="H127" s="1013" t="s">
        <v>7723</v>
      </c>
      <c r="I127" s="1013" t="s">
        <v>7723</v>
      </c>
      <c r="J127" s="1013" t="s">
        <v>7723</v>
      </c>
      <c r="K127" s="1024">
        <v>43887</v>
      </c>
      <c r="L127" s="1023">
        <v>0.62430555555555556</v>
      </c>
      <c r="M127" s="1013" t="s">
        <v>8101</v>
      </c>
      <c r="N127" s="1013" t="s">
        <v>7744</v>
      </c>
      <c r="O127" s="1013">
        <v>101</v>
      </c>
      <c r="P127" s="1013">
        <v>208</v>
      </c>
      <c r="Q127" s="1013" t="s">
        <v>7723</v>
      </c>
      <c r="R127" s="1013" t="s">
        <v>7727</v>
      </c>
      <c r="S127" s="1013" t="s">
        <v>7724</v>
      </c>
      <c r="T127" s="1014" t="s">
        <v>7724</v>
      </c>
      <c r="U127" s="1014">
        <v>2</v>
      </c>
      <c r="V127" s="1014">
        <v>59</v>
      </c>
      <c r="W127" s="1014" t="s">
        <v>7724</v>
      </c>
      <c r="X127" s="1013">
        <v>2</v>
      </c>
      <c r="Y127" s="1013">
        <v>5098</v>
      </c>
      <c r="Z127" s="1013" t="s">
        <v>7770</v>
      </c>
      <c r="AA127" s="1013" t="s">
        <v>8102</v>
      </c>
      <c r="AB127" s="1013" t="s">
        <v>7760</v>
      </c>
      <c r="AC127" s="1013" t="s">
        <v>7723</v>
      </c>
      <c r="AD127" s="1013" t="s">
        <v>7723</v>
      </c>
      <c r="AE127" s="1013">
        <v>45</v>
      </c>
      <c r="AF127" s="1013" t="s">
        <v>7723</v>
      </c>
      <c r="AG127" s="1013" t="s">
        <v>7723</v>
      </c>
      <c r="AH127" s="1013" t="s">
        <v>7724</v>
      </c>
      <c r="AI127" s="1013" t="s">
        <v>7723</v>
      </c>
      <c r="AJ127" s="1013">
        <v>19</v>
      </c>
      <c r="AK127" s="1013" t="s">
        <v>7724</v>
      </c>
      <c r="AL127" s="1013" t="s">
        <v>7724</v>
      </c>
      <c r="AM127" s="1013">
        <v>1</v>
      </c>
      <c r="AN127" s="1013" t="s">
        <v>7724</v>
      </c>
      <c r="AO127" s="1013" t="s">
        <v>7724</v>
      </c>
      <c r="AP127" s="1013" t="s">
        <v>8003</v>
      </c>
      <c r="AQ127" s="1013" t="s">
        <v>7735</v>
      </c>
      <c r="AR127" s="1013" t="s">
        <v>7724</v>
      </c>
      <c r="AS127" s="1013" t="s">
        <v>7724</v>
      </c>
      <c r="AT127" s="1013" t="s">
        <v>7724</v>
      </c>
      <c r="AU127" s="1013" t="s">
        <v>7724</v>
      </c>
      <c r="AV127" s="1013" t="s">
        <v>7724</v>
      </c>
      <c r="AW127" s="1013" t="s">
        <v>7724</v>
      </c>
      <c r="AX127" s="1013">
        <v>11</v>
      </c>
      <c r="AY127" s="1013">
        <v>1</v>
      </c>
      <c r="AZ127" s="1013">
        <v>0</v>
      </c>
      <c r="BA127" s="1013">
        <v>4</v>
      </c>
      <c r="BB127" s="1013">
        <v>1</v>
      </c>
      <c r="BC127" s="1013">
        <v>1</v>
      </c>
      <c r="BD127" s="1013">
        <v>20</v>
      </c>
      <c r="BE127" s="1023">
        <v>0.62430555555555556</v>
      </c>
      <c r="BF127" s="1013" t="s">
        <v>7736</v>
      </c>
      <c r="BG127" s="1023">
        <v>0.68055555555555558</v>
      </c>
      <c r="BH127" s="1024">
        <v>43887</v>
      </c>
      <c r="BI127" s="1013" t="s">
        <v>7727</v>
      </c>
      <c r="BJ127" s="1013" t="s">
        <v>7730</v>
      </c>
      <c r="BK127" s="1013">
        <v>2469</v>
      </c>
      <c r="BL127" s="1013" t="s">
        <v>7724</v>
      </c>
      <c r="BM127" s="1013" t="s">
        <v>7724</v>
      </c>
      <c r="BN127" s="1013">
        <v>106</v>
      </c>
      <c r="BO127" s="1013">
        <v>8</v>
      </c>
      <c r="BP127" s="1013">
        <v>2</v>
      </c>
      <c r="BQ127" s="1013">
        <v>4</v>
      </c>
      <c r="BR127" s="1013">
        <v>20</v>
      </c>
      <c r="BS127" s="1013">
        <v>64</v>
      </c>
      <c r="BT127" s="1013">
        <v>42</v>
      </c>
      <c r="BU127" s="1013">
        <v>2</v>
      </c>
      <c r="BV127" s="1013">
        <v>2</v>
      </c>
      <c r="BW127" s="1013">
        <v>1</v>
      </c>
      <c r="BX127" s="1013">
        <v>21</v>
      </c>
      <c r="BY127" s="1013">
        <v>21</v>
      </c>
      <c r="BZ127" s="1013">
        <v>101</v>
      </c>
      <c r="CA127" s="1013">
        <v>208</v>
      </c>
      <c r="CB127" s="1013">
        <v>29.732423000000001</v>
      </c>
      <c r="CC127" s="1013">
        <v>-95.381754999999998</v>
      </c>
      <c r="CD127" s="1013" t="s">
        <v>8016</v>
      </c>
      <c r="CE127" s="1013">
        <v>69</v>
      </c>
      <c r="CF127" s="1013" t="s">
        <v>7724</v>
      </c>
      <c r="CG127" s="1013">
        <v>33.506999999999998</v>
      </c>
      <c r="CH127" s="1013" t="s">
        <v>8017</v>
      </c>
      <c r="CI127" s="1013" t="s">
        <v>7724</v>
      </c>
      <c r="CJ127" s="1013">
        <v>27</v>
      </c>
      <c r="CK127" s="1013">
        <v>13</v>
      </c>
      <c r="CL127" s="1013">
        <v>13.801</v>
      </c>
      <c r="CM127" s="1013">
        <v>128</v>
      </c>
      <c r="CN127" s="1013">
        <v>0.248</v>
      </c>
      <c r="CO127" s="1013" t="s">
        <v>7724</v>
      </c>
      <c r="CP127" s="1013" t="s">
        <v>7724</v>
      </c>
      <c r="CQ127" s="1013" t="s">
        <v>7724</v>
      </c>
      <c r="CR127" s="1013" t="s">
        <v>7724</v>
      </c>
      <c r="CS127" s="1013" t="s">
        <v>7724</v>
      </c>
      <c r="CT127" s="1013" t="s">
        <v>7724</v>
      </c>
      <c r="CU127" s="1013" t="s">
        <v>7724</v>
      </c>
      <c r="CV127" s="1013" t="s">
        <v>7724</v>
      </c>
      <c r="CW127" s="1013" t="s">
        <v>7727</v>
      </c>
      <c r="CX127" s="1013" t="s">
        <v>7727</v>
      </c>
      <c r="CY127" s="1013" t="s">
        <v>7723</v>
      </c>
      <c r="CZ127" s="1013">
        <v>5</v>
      </c>
      <c r="DA127" s="1013">
        <v>9</v>
      </c>
      <c r="DB127" s="1013" t="s">
        <v>7727</v>
      </c>
      <c r="DC127" s="1013" t="s">
        <v>7756</v>
      </c>
      <c r="DD127" s="1013">
        <v>5</v>
      </c>
      <c r="DE127" s="1013" t="s">
        <v>7724</v>
      </c>
      <c r="DF127" s="1013">
        <v>20</v>
      </c>
      <c r="DG127" s="1013">
        <v>20</v>
      </c>
      <c r="DH127" s="1013">
        <v>5</v>
      </c>
      <c r="DI127" s="1013" t="s">
        <v>7724</v>
      </c>
      <c r="DJ127" s="1013">
        <v>8</v>
      </c>
      <c r="DK127" s="1013">
        <v>400</v>
      </c>
      <c r="DL127" s="1013">
        <v>138</v>
      </c>
      <c r="DM127" s="1013">
        <v>98</v>
      </c>
      <c r="DN127" s="1013">
        <v>1</v>
      </c>
      <c r="DO127" s="1013">
        <v>0</v>
      </c>
      <c r="DP127" s="1013">
        <v>0</v>
      </c>
      <c r="DQ127" s="1013">
        <v>1</v>
      </c>
      <c r="DR127" s="1013">
        <v>20</v>
      </c>
      <c r="DS127" s="1013">
        <v>5</v>
      </c>
      <c r="DT127" s="1013">
        <v>1</v>
      </c>
      <c r="DU127" s="1013">
        <v>20</v>
      </c>
      <c r="DV127" s="1013">
        <v>5</v>
      </c>
      <c r="DW127" s="1013">
        <v>7</v>
      </c>
      <c r="DX127" s="1013">
        <v>5</v>
      </c>
      <c r="DY127" s="1013">
        <v>4</v>
      </c>
      <c r="DZ127" s="1013">
        <v>1</v>
      </c>
      <c r="EA127" s="1013">
        <v>185410</v>
      </c>
      <c r="EB127" s="1013">
        <v>2019</v>
      </c>
      <c r="EC127" s="1013">
        <v>185410</v>
      </c>
      <c r="ED127" s="1013">
        <v>2.2999999999999998</v>
      </c>
      <c r="EE127" s="1013">
        <v>2.5</v>
      </c>
      <c r="EF127" s="1013">
        <v>4.8</v>
      </c>
      <c r="EG127" s="1013" t="s">
        <v>7724</v>
      </c>
      <c r="EH127" s="1013" t="s">
        <v>7724</v>
      </c>
      <c r="EI127" s="1013" t="s">
        <v>7724</v>
      </c>
      <c r="EJ127" s="1013" t="s">
        <v>7724</v>
      </c>
      <c r="EK127" s="1013" t="s">
        <v>7724</v>
      </c>
      <c r="EL127" s="1013" t="s">
        <v>7724</v>
      </c>
      <c r="EM127" s="1013" t="s">
        <v>7724</v>
      </c>
      <c r="EN127" s="1013" t="s">
        <v>7724</v>
      </c>
      <c r="EO127" s="1013" t="s">
        <v>7724</v>
      </c>
      <c r="EP127" s="1013" t="s">
        <v>7724</v>
      </c>
      <c r="EQ127" s="1013" t="s">
        <v>7724</v>
      </c>
      <c r="ER127" s="1013" t="s">
        <v>7724</v>
      </c>
      <c r="ES127" s="1013" t="s">
        <v>7724</v>
      </c>
      <c r="ET127" s="1013" t="s">
        <v>7724</v>
      </c>
      <c r="EU127" s="1013" t="s">
        <v>7724</v>
      </c>
      <c r="EV127" s="1013" t="s">
        <v>7724</v>
      </c>
      <c r="EW127" s="1013" t="s">
        <v>7724</v>
      </c>
      <c r="EX127" s="1013" t="s">
        <v>7724</v>
      </c>
      <c r="EY127" s="1013" t="s">
        <v>7724</v>
      </c>
      <c r="EZ127" s="1013" t="s">
        <v>7724</v>
      </c>
      <c r="FA127" s="1013" t="s">
        <v>7724</v>
      </c>
      <c r="FB127" s="1013" t="s">
        <v>7724</v>
      </c>
      <c r="FC127" s="1013" t="s">
        <v>7724</v>
      </c>
      <c r="FD127" s="1013" t="s">
        <v>7724</v>
      </c>
      <c r="FE127" s="1013" t="s">
        <v>7724</v>
      </c>
      <c r="FF127" s="1013" t="s">
        <v>7724</v>
      </c>
      <c r="FG127" s="1013">
        <v>0</v>
      </c>
      <c r="FH127" s="1013">
        <v>0</v>
      </c>
      <c r="FI127" s="1013">
        <v>0</v>
      </c>
      <c r="FJ127" s="1013">
        <v>1</v>
      </c>
      <c r="FK127" s="1013">
        <v>1</v>
      </c>
      <c r="FL127" s="1013">
        <v>0</v>
      </c>
      <c r="FM127" s="1013">
        <v>0</v>
      </c>
      <c r="FN127" s="1013">
        <v>15</v>
      </c>
      <c r="FO127" s="1013">
        <v>54</v>
      </c>
      <c r="FP127" s="1013">
        <v>24</v>
      </c>
      <c r="FQ127" s="1013" t="s">
        <v>7724</v>
      </c>
      <c r="FR127" s="1013" t="s">
        <v>7724</v>
      </c>
      <c r="FS127" s="1013" t="s">
        <v>7724</v>
      </c>
      <c r="FT127" s="1013" t="s">
        <v>7724</v>
      </c>
      <c r="FU127" s="1013" t="s">
        <v>7724</v>
      </c>
      <c r="FV127" s="1013" t="s">
        <v>7724</v>
      </c>
      <c r="FW127" s="1013" t="s">
        <v>7724</v>
      </c>
      <c r="FX127" s="1013" t="s">
        <v>7724</v>
      </c>
      <c r="FY127" s="1013" t="s">
        <v>7724</v>
      </c>
      <c r="FZ127" s="1013" t="s">
        <v>7724</v>
      </c>
      <c r="GA127" s="1013" t="s">
        <v>7724</v>
      </c>
      <c r="GB127" s="1013" t="s">
        <v>7724</v>
      </c>
      <c r="GC127" s="1013">
        <v>2020</v>
      </c>
      <c r="GD127" s="1013" t="s">
        <v>1407</v>
      </c>
      <c r="GE127" s="1013">
        <v>2</v>
      </c>
      <c r="GF127" s="1013" t="s">
        <v>1407</v>
      </c>
      <c r="GG127" s="1013" t="s">
        <v>1407</v>
      </c>
      <c r="GH127" s="1013" t="s">
        <v>8023</v>
      </c>
      <c r="GI127" s="1013" t="s">
        <v>7974</v>
      </c>
      <c r="GJ127" s="1013" t="s">
        <v>7974</v>
      </c>
      <c r="GK127" s="1013" t="s">
        <v>7974</v>
      </c>
      <c r="GL127" s="1013" t="s">
        <v>7974</v>
      </c>
    </row>
    <row r="128" spans="1:194" hidden="1">
      <c r="A128" s="1013">
        <v>47</v>
      </c>
      <c r="B128" s="1013" t="s">
        <v>7722</v>
      </c>
      <c r="C128" s="1013">
        <v>17598533</v>
      </c>
      <c r="D128" s="1013" t="s">
        <v>7723</v>
      </c>
      <c r="E128" s="1013" t="s">
        <v>7723</v>
      </c>
      <c r="F128" s="1013" t="s">
        <v>7723</v>
      </c>
      <c r="G128" s="1013" t="s">
        <v>7723</v>
      </c>
      <c r="H128" s="1013" t="s">
        <v>7723</v>
      </c>
      <c r="I128" s="1013" t="s">
        <v>7723</v>
      </c>
      <c r="J128" s="1013" t="s">
        <v>7723</v>
      </c>
      <c r="K128" s="1024">
        <v>43889</v>
      </c>
      <c r="L128" s="1023">
        <v>0.9375</v>
      </c>
      <c r="M128" s="1013" t="s">
        <v>8103</v>
      </c>
      <c r="N128" s="1013" t="s">
        <v>7744</v>
      </c>
      <c r="O128" s="1013">
        <v>101</v>
      </c>
      <c r="P128" s="1013">
        <v>208</v>
      </c>
      <c r="Q128" s="1013" t="s">
        <v>7723</v>
      </c>
      <c r="R128" s="1013" t="s">
        <v>7727</v>
      </c>
      <c r="S128" s="1013" t="s">
        <v>7724</v>
      </c>
      <c r="T128" s="1014" t="s">
        <v>7724</v>
      </c>
      <c r="U128" s="1014">
        <v>19</v>
      </c>
      <c r="V128" s="1014" t="s">
        <v>7724</v>
      </c>
      <c r="W128" s="1014" t="s">
        <v>7724</v>
      </c>
      <c r="X128" s="1013">
        <v>1</v>
      </c>
      <c r="Y128" s="1013">
        <v>3800</v>
      </c>
      <c r="Z128" s="1013" t="s">
        <v>7724</v>
      </c>
      <c r="AA128" s="1013" t="s">
        <v>7762</v>
      </c>
      <c r="AB128" s="1013" t="s">
        <v>7726</v>
      </c>
      <c r="AC128" s="1013" t="s">
        <v>7723</v>
      </c>
      <c r="AD128" s="1013" t="s">
        <v>7723</v>
      </c>
      <c r="AE128" s="1013">
        <v>30</v>
      </c>
      <c r="AF128" s="1013" t="s">
        <v>7723</v>
      </c>
      <c r="AG128" s="1013" t="s">
        <v>7723</v>
      </c>
      <c r="AH128" s="1013" t="s">
        <v>7724</v>
      </c>
      <c r="AI128" s="1013" t="s">
        <v>7723</v>
      </c>
      <c r="AJ128" s="1013">
        <v>19</v>
      </c>
      <c r="AK128" s="1013" t="s">
        <v>7724</v>
      </c>
      <c r="AL128" s="1013" t="s">
        <v>7724</v>
      </c>
      <c r="AM128" s="1013">
        <v>1</v>
      </c>
      <c r="AN128" s="1013">
        <v>1300</v>
      </c>
      <c r="AO128" s="1013" t="s">
        <v>7724</v>
      </c>
      <c r="AP128" s="1013" t="s">
        <v>8104</v>
      </c>
      <c r="AQ128" s="1013" t="s">
        <v>7726</v>
      </c>
      <c r="AR128" s="1013" t="s">
        <v>7724</v>
      </c>
      <c r="AS128" s="1013" t="s">
        <v>7724</v>
      </c>
      <c r="AT128" s="1013" t="s">
        <v>7724</v>
      </c>
      <c r="AU128" s="1013" t="s">
        <v>7724</v>
      </c>
      <c r="AV128" s="1013" t="s">
        <v>7724</v>
      </c>
      <c r="AW128" s="1013" t="s">
        <v>7724</v>
      </c>
      <c r="AX128" s="1013">
        <v>11</v>
      </c>
      <c r="AY128" s="1013">
        <v>0</v>
      </c>
      <c r="AZ128" s="1013">
        <v>0</v>
      </c>
      <c r="BA128" s="1013">
        <v>2</v>
      </c>
      <c r="BB128" s="1013">
        <v>1</v>
      </c>
      <c r="BC128" s="1013">
        <v>1</v>
      </c>
      <c r="BD128" s="1013">
        <v>20</v>
      </c>
      <c r="BE128" s="1023">
        <v>0.49722222222222223</v>
      </c>
      <c r="BF128" s="1013" t="s">
        <v>7736</v>
      </c>
      <c r="BG128" s="1023">
        <v>0.49930555555555556</v>
      </c>
      <c r="BH128" s="1024">
        <v>43890</v>
      </c>
      <c r="BI128" s="1013" t="s">
        <v>7727</v>
      </c>
      <c r="BJ128" s="1013" t="s">
        <v>7730</v>
      </c>
      <c r="BK128" s="1013">
        <v>2469</v>
      </c>
      <c r="BL128" s="1013" t="s">
        <v>7724</v>
      </c>
      <c r="BM128" s="1013" t="s">
        <v>7724</v>
      </c>
      <c r="BN128" s="1013">
        <v>113</v>
      </c>
      <c r="BO128" s="1013">
        <v>8</v>
      </c>
      <c r="BP128" s="1013">
        <v>4</v>
      </c>
      <c r="BQ128" s="1013">
        <v>4</v>
      </c>
      <c r="BR128" s="1013">
        <v>5</v>
      </c>
      <c r="BS128" s="1013">
        <v>64</v>
      </c>
      <c r="BT128" s="1013">
        <v>3</v>
      </c>
      <c r="BU128" s="1013">
        <v>1</v>
      </c>
      <c r="BV128" s="1013">
        <v>5</v>
      </c>
      <c r="BW128" s="1013">
        <v>1</v>
      </c>
      <c r="BX128" s="1013">
        <v>21</v>
      </c>
      <c r="BY128" s="1013">
        <v>21</v>
      </c>
      <c r="BZ128" s="1013">
        <v>101</v>
      </c>
      <c r="CA128" s="1013">
        <v>208</v>
      </c>
      <c r="CB128" s="1013">
        <v>29.733440999999999</v>
      </c>
      <c r="CC128" s="1013">
        <v>-95.378433999999999</v>
      </c>
      <c r="CD128" s="1013" t="s">
        <v>7724</v>
      </c>
      <c r="CE128" s="1013" t="s">
        <v>7724</v>
      </c>
      <c r="CF128" s="1013" t="s">
        <v>7724</v>
      </c>
      <c r="CG128" s="1013" t="s">
        <v>7724</v>
      </c>
      <c r="CH128" s="1013" t="s">
        <v>7763</v>
      </c>
      <c r="CI128" s="1013">
        <v>4169</v>
      </c>
      <c r="CJ128" s="1013" t="s">
        <v>7724</v>
      </c>
      <c r="CK128" s="1013" t="s">
        <v>7724</v>
      </c>
      <c r="CL128" s="1013" t="s">
        <v>7724</v>
      </c>
      <c r="CM128" s="1013" t="s">
        <v>7724</v>
      </c>
      <c r="CN128" s="1013" t="s">
        <v>7724</v>
      </c>
      <c r="CO128" s="1013" t="s">
        <v>7724</v>
      </c>
      <c r="CP128" s="1013" t="s">
        <v>7724</v>
      </c>
      <c r="CQ128" s="1013" t="s">
        <v>7724</v>
      </c>
      <c r="CR128" s="1013" t="s">
        <v>7724</v>
      </c>
      <c r="CS128" s="1013" t="s">
        <v>7724</v>
      </c>
      <c r="CT128" s="1013" t="s">
        <v>7724</v>
      </c>
      <c r="CU128" s="1013" t="s">
        <v>7724</v>
      </c>
      <c r="CV128" s="1013" t="s">
        <v>7724</v>
      </c>
      <c r="CW128" s="1013" t="s">
        <v>7727</v>
      </c>
      <c r="CX128" s="1013" t="s">
        <v>7723</v>
      </c>
      <c r="CY128" s="1013" t="s">
        <v>7723</v>
      </c>
      <c r="CZ128" s="1013">
        <v>0</v>
      </c>
      <c r="DA128" s="1013">
        <v>9</v>
      </c>
      <c r="DB128" s="1013" t="s">
        <v>7727</v>
      </c>
      <c r="DC128" s="1013" t="s">
        <v>7759</v>
      </c>
      <c r="DD128" s="1013" t="s">
        <v>7724</v>
      </c>
      <c r="DE128" s="1013" t="s">
        <v>7724</v>
      </c>
      <c r="DF128" s="1013" t="s">
        <v>7724</v>
      </c>
      <c r="DG128" s="1013" t="s">
        <v>7724</v>
      </c>
      <c r="DH128" s="1013" t="s">
        <v>7724</v>
      </c>
      <c r="DI128" s="1013" t="s">
        <v>7724</v>
      </c>
      <c r="DJ128" s="1013" t="s">
        <v>7724</v>
      </c>
      <c r="DK128" s="1013" t="s">
        <v>7724</v>
      </c>
      <c r="DL128" s="1013" t="s">
        <v>7724</v>
      </c>
      <c r="DM128" s="1013" t="s">
        <v>7724</v>
      </c>
      <c r="DN128" s="1013" t="s">
        <v>7724</v>
      </c>
      <c r="DO128" s="1013" t="s">
        <v>7724</v>
      </c>
      <c r="DP128" s="1013" t="s">
        <v>7724</v>
      </c>
      <c r="DQ128" s="1013" t="s">
        <v>7724</v>
      </c>
      <c r="DR128" s="1013" t="s">
        <v>7724</v>
      </c>
      <c r="DS128" s="1013" t="s">
        <v>7724</v>
      </c>
      <c r="DT128" s="1013" t="s">
        <v>7724</v>
      </c>
      <c r="DU128" s="1013" t="s">
        <v>7724</v>
      </c>
      <c r="DV128" s="1013" t="s">
        <v>7724</v>
      </c>
      <c r="DW128" s="1013" t="s">
        <v>7724</v>
      </c>
      <c r="DX128" s="1013" t="s">
        <v>7724</v>
      </c>
      <c r="DY128" s="1013" t="s">
        <v>7724</v>
      </c>
      <c r="DZ128" s="1013" t="s">
        <v>7724</v>
      </c>
      <c r="EA128" s="1013" t="s">
        <v>7724</v>
      </c>
      <c r="EB128" s="1013" t="s">
        <v>7724</v>
      </c>
      <c r="EC128" s="1013" t="s">
        <v>7724</v>
      </c>
      <c r="ED128" s="1013" t="s">
        <v>7724</v>
      </c>
      <c r="EE128" s="1013" t="s">
        <v>7724</v>
      </c>
      <c r="EF128" s="1013" t="s">
        <v>7724</v>
      </c>
      <c r="EG128" s="1013" t="s">
        <v>7724</v>
      </c>
      <c r="EH128" s="1013" t="s">
        <v>7724</v>
      </c>
      <c r="EI128" s="1013" t="s">
        <v>7724</v>
      </c>
      <c r="EJ128" s="1013" t="s">
        <v>7724</v>
      </c>
      <c r="EK128" s="1013" t="s">
        <v>7724</v>
      </c>
      <c r="EL128" s="1013" t="s">
        <v>7724</v>
      </c>
      <c r="EM128" s="1013" t="s">
        <v>7724</v>
      </c>
      <c r="EN128" s="1013" t="s">
        <v>7724</v>
      </c>
      <c r="EO128" s="1013" t="s">
        <v>7724</v>
      </c>
      <c r="EP128" s="1013" t="s">
        <v>7724</v>
      </c>
      <c r="EQ128" s="1013" t="s">
        <v>7724</v>
      </c>
      <c r="ER128" s="1013" t="s">
        <v>7724</v>
      </c>
      <c r="ES128" s="1013" t="s">
        <v>7724</v>
      </c>
      <c r="ET128" s="1013" t="s">
        <v>7724</v>
      </c>
      <c r="EU128" s="1013" t="s">
        <v>7724</v>
      </c>
      <c r="EV128" s="1013" t="s">
        <v>7724</v>
      </c>
      <c r="EW128" s="1013" t="s">
        <v>7724</v>
      </c>
      <c r="EX128" s="1013" t="s">
        <v>7724</v>
      </c>
      <c r="EY128" s="1013" t="s">
        <v>7724</v>
      </c>
      <c r="EZ128" s="1013" t="s">
        <v>7724</v>
      </c>
      <c r="FA128" s="1013" t="s">
        <v>7724</v>
      </c>
      <c r="FB128" s="1013" t="s">
        <v>7724</v>
      </c>
      <c r="FC128" s="1013" t="s">
        <v>7724</v>
      </c>
      <c r="FD128" s="1013" t="s">
        <v>7724</v>
      </c>
      <c r="FE128" s="1013" t="s">
        <v>7724</v>
      </c>
      <c r="FF128" s="1013" t="s">
        <v>7724</v>
      </c>
      <c r="FG128" s="1013">
        <v>0</v>
      </c>
      <c r="FH128" s="1013">
        <v>0</v>
      </c>
      <c r="FI128" s="1013">
        <v>0</v>
      </c>
      <c r="FJ128" s="1013">
        <v>0</v>
      </c>
      <c r="FK128" s="1013">
        <v>1</v>
      </c>
      <c r="FL128" s="1013">
        <v>0</v>
      </c>
      <c r="FM128" s="1013">
        <v>0</v>
      </c>
      <c r="FN128" s="1013">
        <v>15</v>
      </c>
      <c r="FO128" s="1013">
        <v>29</v>
      </c>
      <c r="FP128" s="1013">
        <v>6</v>
      </c>
      <c r="FQ128" s="1013" t="s">
        <v>7724</v>
      </c>
      <c r="FR128" s="1013" t="s">
        <v>7724</v>
      </c>
      <c r="FS128" s="1013" t="s">
        <v>7724</v>
      </c>
      <c r="FT128" s="1013" t="s">
        <v>7724</v>
      </c>
      <c r="FU128" s="1013" t="s">
        <v>7724</v>
      </c>
      <c r="FV128" s="1013" t="s">
        <v>7724</v>
      </c>
      <c r="FW128" s="1013" t="s">
        <v>7724</v>
      </c>
      <c r="FX128" s="1013" t="s">
        <v>7724</v>
      </c>
      <c r="FY128" s="1013" t="s">
        <v>7724</v>
      </c>
      <c r="FZ128" s="1013" t="s">
        <v>7724</v>
      </c>
      <c r="GA128" s="1013" t="s">
        <v>7724</v>
      </c>
      <c r="GB128" s="1013" t="s">
        <v>7724</v>
      </c>
      <c r="GC128" s="1013">
        <v>2020</v>
      </c>
      <c r="GD128" s="1013" t="s">
        <v>1407</v>
      </c>
      <c r="GE128" s="1013">
        <v>2</v>
      </c>
      <c r="GF128" s="1013" t="s">
        <v>1407</v>
      </c>
      <c r="GG128" s="1013" t="s">
        <v>1407</v>
      </c>
      <c r="GH128" s="1013" t="s">
        <v>8064</v>
      </c>
      <c r="GI128" s="1013" t="s">
        <v>7974</v>
      </c>
      <c r="GJ128" s="1013" t="s">
        <v>7974</v>
      </c>
      <c r="GK128" s="1013" t="s">
        <v>7974</v>
      </c>
      <c r="GL128" s="1013" t="s">
        <v>7974</v>
      </c>
    </row>
    <row r="129" spans="1:194" hidden="1">
      <c r="A129" s="1013">
        <v>49</v>
      </c>
      <c r="B129" s="1013" t="s">
        <v>7722</v>
      </c>
      <c r="C129" s="1013">
        <v>17646324</v>
      </c>
      <c r="D129" s="1013" t="s">
        <v>7723</v>
      </c>
      <c r="E129" s="1013" t="s">
        <v>7727</v>
      </c>
      <c r="F129" s="1013" t="s">
        <v>7723</v>
      </c>
      <c r="G129" s="1013" t="s">
        <v>7723</v>
      </c>
      <c r="H129" s="1013" t="s">
        <v>7723</v>
      </c>
      <c r="I129" s="1013" t="s">
        <v>7723</v>
      </c>
      <c r="J129" s="1013" t="s">
        <v>7723</v>
      </c>
      <c r="K129" s="1024">
        <v>43920</v>
      </c>
      <c r="L129" s="1023">
        <v>0.83680555555555558</v>
      </c>
      <c r="M129" s="1013" t="s">
        <v>8105</v>
      </c>
      <c r="N129" s="1013" t="s">
        <v>7724</v>
      </c>
      <c r="O129" s="1013">
        <v>101</v>
      </c>
      <c r="P129" s="1013">
        <v>208</v>
      </c>
      <c r="Q129" s="1013" t="s">
        <v>7723</v>
      </c>
      <c r="R129" s="1013" t="s">
        <v>7727</v>
      </c>
      <c r="S129" s="1013" t="s">
        <v>7724</v>
      </c>
      <c r="T129" s="1014" t="s">
        <v>7724</v>
      </c>
      <c r="U129" s="1014">
        <v>2</v>
      </c>
      <c r="V129" s="1014">
        <v>59</v>
      </c>
      <c r="W129" s="1014" t="s">
        <v>7724</v>
      </c>
      <c r="X129" s="1013">
        <v>1</v>
      </c>
      <c r="Y129" s="1013">
        <v>200</v>
      </c>
      <c r="Z129" s="1013" t="s">
        <v>7770</v>
      </c>
      <c r="AA129" s="1013" t="s">
        <v>7771</v>
      </c>
      <c r="AB129" s="1013" t="s">
        <v>7760</v>
      </c>
      <c r="AC129" s="1013" t="s">
        <v>7723</v>
      </c>
      <c r="AD129" s="1013" t="s">
        <v>7723</v>
      </c>
      <c r="AE129" s="1013">
        <v>65</v>
      </c>
      <c r="AF129" s="1013" t="s">
        <v>7723</v>
      </c>
      <c r="AG129" s="1013" t="s">
        <v>7723</v>
      </c>
      <c r="AH129" s="1013" t="s">
        <v>7724</v>
      </c>
      <c r="AI129" s="1013" t="s">
        <v>7723</v>
      </c>
      <c r="AJ129" s="1013">
        <v>19</v>
      </c>
      <c r="AK129" s="1013" t="s">
        <v>7724</v>
      </c>
      <c r="AL129" s="1013" t="s">
        <v>7724</v>
      </c>
      <c r="AM129" s="1013">
        <v>3</v>
      </c>
      <c r="AN129" s="1013" t="s">
        <v>7724</v>
      </c>
      <c r="AO129" s="1013" t="s">
        <v>7724</v>
      </c>
      <c r="AP129" s="1013" t="s">
        <v>7840</v>
      </c>
      <c r="AQ129" s="1013" t="s">
        <v>7726</v>
      </c>
      <c r="AR129" s="1013" t="s">
        <v>7724</v>
      </c>
      <c r="AS129" s="1013" t="s">
        <v>7724</v>
      </c>
      <c r="AT129" s="1013" t="s">
        <v>7724</v>
      </c>
      <c r="AU129" s="1013" t="s">
        <v>7724</v>
      </c>
      <c r="AV129" s="1013" t="s">
        <v>7724</v>
      </c>
      <c r="AW129" s="1013" t="s">
        <v>7724</v>
      </c>
      <c r="AX129" s="1013">
        <v>11</v>
      </c>
      <c r="AY129" s="1013">
        <v>4</v>
      </c>
      <c r="AZ129" s="1013">
        <v>4</v>
      </c>
      <c r="BA129" s="1013">
        <v>3</v>
      </c>
      <c r="BB129" s="1013">
        <v>1</v>
      </c>
      <c r="BC129" s="1013">
        <v>1</v>
      </c>
      <c r="BD129" s="1013">
        <v>20</v>
      </c>
      <c r="BE129" s="1023">
        <v>0.84027777777777779</v>
      </c>
      <c r="BF129" s="1013" t="s">
        <v>7729</v>
      </c>
      <c r="BG129" s="1023">
        <v>0.84375</v>
      </c>
      <c r="BH129" s="1024">
        <v>43920</v>
      </c>
      <c r="BI129" s="1013" t="s">
        <v>7727</v>
      </c>
      <c r="BJ129" s="1013" t="s">
        <v>7730</v>
      </c>
      <c r="BK129" s="1013">
        <v>2469</v>
      </c>
      <c r="BL129" s="1013" t="s">
        <v>7724</v>
      </c>
      <c r="BM129" s="1013" t="s">
        <v>7724</v>
      </c>
      <c r="BN129" s="1013">
        <v>113</v>
      </c>
      <c r="BO129" s="1013">
        <v>8</v>
      </c>
      <c r="BP129" s="1013">
        <v>2</v>
      </c>
      <c r="BQ129" s="1013">
        <v>4</v>
      </c>
      <c r="BR129" s="1013">
        <v>21</v>
      </c>
      <c r="BS129" s="1013">
        <v>64</v>
      </c>
      <c r="BT129" s="1013">
        <v>9</v>
      </c>
      <c r="BU129" s="1013">
        <v>1</v>
      </c>
      <c r="BV129" s="1013">
        <v>2</v>
      </c>
      <c r="BW129" s="1013">
        <v>1</v>
      </c>
      <c r="BX129" s="1013">
        <v>21</v>
      </c>
      <c r="BY129" s="1013">
        <v>21</v>
      </c>
      <c r="BZ129" s="1013">
        <v>101</v>
      </c>
      <c r="CA129" s="1013">
        <v>208</v>
      </c>
      <c r="CB129" s="1013">
        <v>29.732538999999999</v>
      </c>
      <c r="CC129" s="1013">
        <v>-95.380256000000003</v>
      </c>
      <c r="CD129" s="1013" t="s">
        <v>8016</v>
      </c>
      <c r="CE129" s="1013">
        <v>69</v>
      </c>
      <c r="CF129" s="1013" t="s">
        <v>7724</v>
      </c>
      <c r="CG129" s="1013">
        <v>33.597999999999999</v>
      </c>
      <c r="CH129" s="1013" t="s">
        <v>8017</v>
      </c>
      <c r="CI129" s="1013" t="s">
        <v>7724</v>
      </c>
      <c r="CJ129" s="1013">
        <v>27</v>
      </c>
      <c r="CK129" s="1013">
        <v>13</v>
      </c>
      <c r="CL129" s="1013">
        <v>13.895</v>
      </c>
      <c r="CM129" s="1013">
        <v>128</v>
      </c>
      <c r="CN129" s="1013">
        <v>0.33900000000000002</v>
      </c>
      <c r="CO129" s="1013" t="s">
        <v>7724</v>
      </c>
      <c r="CP129" s="1013" t="s">
        <v>7724</v>
      </c>
      <c r="CQ129" s="1013" t="s">
        <v>7724</v>
      </c>
      <c r="CR129" s="1013" t="s">
        <v>7724</v>
      </c>
      <c r="CS129" s="1013" t="s">
        <v>7724</v>
      </c>
      <c r="CT129" s="1013" t="s">
        <v>7724</v>
      </c>
      <c r="CU129" s="1013" t="s">
        <v>7724</v>
      </c>
      <c r="CV129" s="1013" t="s">
        <v>7724</v>
      </c>
      <c r="CW129" s="1013" t="s">
        <v>7727</v>
      </c>
      <c r="CX129" s="1013" t="s">
        <v>7727</v>
      </c>
      <c r="CY129" s="1013" t="s">
        <v>7723</v>
      </c>
      <c r="CZ129" s="1013">
        <v>5</v>
      </c>
      <c r="DA129" s="1013">
        <v>9</v>
      </c>
      <c r="DB129" s="1013" t="s">
        <v>7727</v>
      </c>
      <c r="DC129" s="1013" t="s">
        <v>7743</v>
      </c>
      <c r="DD129" s="1013">
        <v>5</v>
      </c>
      <c r="DE129" s="1013" t="s">
        <v>7724</v>
      </c>
      <c r="DF129" s="1013">
        <v>20</v>
      </c>
      <c r="DG129" s="1013">
        <v>20</v>
      </c>
      <c r="DH129" s="1013">
        <v>5</v>
      </c>
      <c r="DI129" s="1013" t="s">
        <v>7724</v>
      </c>
      <c r="DJ129" s="1013">
        <v>8</v>
      </c>
      <c r="DK129" s="1013">
        <v>400</v>
      </c>
      <c r="DL129" s="1013">
        <v>138</v>
      </c>
      <c r="DM129" s="1013">
        <v>98</v>
      </c>
      <c r="DN129" s="1013">
        <v>1</v>
      </c>
      <c r="DO129" s="1013">
        <v>0</v>
      </c>
      <c r="DP129" s="1013">
        <v>0</v>
      </c>
      <c r="DQ129" s="1013">
        <v>1</v>
      </c>
      <c r="DR129" s="1013">
        <v>20</v>
      </c>
      <c r="DS129" s="1013">
        <v>5</v>
      </c>
      <c r="DT129" s="1013">
        <v>1</v>
      </c>
      <c r="DU129" s="1013">
        <v>20</v>
      </c>
      <c r="DV129" s="1013">
        <v>5</v>
      </c>
      <c r="DW129" s="1013">
        <v>7</v>
      </c>
      <c r="DX129" s="1013">
        <v>5</v>
      </c>
      <c r="DY129" s="1013">
        <v>4</v>
      </c>
      <c r="DZ129" s="1013">
        <v>1</v>
      </c>
      <c r="EA129" s="1013">
        <v>185410</v>
      </c>
      <c r="EB129" s="1013">
        <v>2019</v>
      </c>
      <c r="EC129" s="1013">
        <v>185410</v>
      </c>
      <c r="ED129" s="1013">
        <v>2.2999999999999998</v>
      </c>
      <c r="EE129" s="1013">
        <v>2.5</v>
      </c>
      <c r="EF129" s="1013">
        <v>4.8</v>
      </c>
      <c r="EG129" s="1013" t="s">
        <v>7724</v>
      </c>
      <c r="EH129" s="1013" t="s">
        <v>7724</v>
      </c>
      <c r="EI129" s="1013" t="s">
        <v>7724</v>
      </c>
      <c r="EJ129" s="1013" t="s">
        <v>7724</v>
      </c>
      <c r="EK129" s="1013" t="s">
        <v>7724</v>
      </c>
      <c r="EL129" s="1013" t="s">
        <v>7724</v>
      </c>
      <c r="EM129" s="1013" t="s">
        <v>7724</v>
      </c>
      <c r="EN129" s="1013" t="s">
        <v>7724</v>
      </c>
      <c r="EO129" s="1013" t="s">
        <v>7724</v>
      </c>
      <c r="EP129" s="1013" t="s">
        <v>7724</v>
      </c>
      <c r="EQ129" s="1013" t="s">
        <v>7724</v>
      </c>
      <c r="ER129" s="1013" t="s">
        <v>7724</v>
      </c>
      <c r="ES129" s="1013" t="s">
        <v>7724</v>
      </c>
      <c r="ET129" s="1013" t="s">
        <v>7724</v>
      </c>
      <c r="EU129" s="1013" t="s">
        <v>7724</v>
      </c>
      <c r="EV129" s="1013" t="s">
        <v>7724</v>
      </c>
      <c r="EW129" s="1013" t="s">
        <v>7724</v>
      </c>
      <c r="EX129" s="1013" t="s">
        <v>7724</v>
      </c>
      <c r="EY129" s="1013" t="s">
        <v>7724</v>
      </c>
      <c r="EZ129" s="1013" t="s">
        <v>7724</v>
      </c>
      <c r="FA129" s="1013" t="s">
        <v>7724</v>
      </c>
      <c r="FB129" s="1013" t="s">
        <v>7724</v>
      </c>
      <c r="FC129" s="1013" t="s">
        <v>7724</v>
      </c>
      <c r="FD129" s="1013" t="s">
        <v>7724</v>
      </c>
      <c r="FE129" s="1013" t="s">
        <v>7724</v>
      </c>
      <c r="FF129" s="1013" t="s">
        <v>7724</v>
      </c>
      <c r="FG129" s="1013">
        <v>0</v>
      </c>
      <c r="FH129" s="1013">
        <v>0</v>
      </c>
      <c r="FI129" s="1013">
        <v>0</v>
      </c>
      <c r="FJ129" s="1013">
        <v>3</v>
      </c>
      <c r="FK129" s="1013">
        <v>0</v>
      </c>
      <c r="FL129" s="1013">
        <v>0</v>
      </c>
      <c r="FM129" s="1013">
        <v>0</v>
      </c>
      <c r="FN129" s="1013">
        <v>15</v>
      </c>
      <c r="FO129" s="1013">
        <v>29</v>
      </c>
      <c r="FP129" s="1013">
        <v>6</v>
      </c>
      <c r="FQ129" s="1013" t="s">
        <v>7724</v>
      </c>
      <c r="FR129" s="1013" t="s">
        <v>7724</v>
      </c>
      <c r="FS129" s="1013" t="s">
        <v>7724</v>
      </c>
      <c r="FT129" s="1013" t="s">
        <v>7724</v>
      </c>
      <c r="FU129" s="1013" t="s">
        <v>7724</v>
      </c>
      <c r="FV129" s="1013" t="s">
        <v>7724</v>
      </c>
      <c r="FW129" s="1013" t="s">
        <v>7724</v>
      </c>
      <c r="FX129" s="1013" t="s">
        <v>7724</v>
      </c>
      <c r="FY129" s="1013" t="s">
        <v>7724</v>
      </c>
      <c r="FZ129" s="1013" t="s">
        <v>7724</v>
      </c>
      <c r="GA129" s="1013" t="s">
        <v>7724</v>
      </c>
      <c r="GB129" s="1013" t="s">
        <v>7724</v>
      </c>
      <c r="GC129" s="1013">
        <v>2020</v>
      </c>
      <c r="GD129" s="1013" t="s">
        <v>1404</v>
      </c>
      <c r="GE129" s="1013">
        <v>3</v>
      </c>
      <c r="GF129" s="1013" t="s">
        <v>1407</v>
      </c>
      <c r="GG129" s="1013" t="s">
        <v>1407</v>
      </c>
      <c r="GH129" s="1013" t="s">
        <v>8043</v>
      </c>
      <c r="GI129" s="1013" t="s">
        <v>7980</v>
      </c>
      <c r="GJ129" s="1013" t="s">
        <v>7980</v>
      </c>
      <c r="GK129" s="1013" t="s">
        <v>7980</v>
      </c>
      <c r="GL129" s="1013" t="s">
        <v>7980</v>
      </c>
    </row>
    <row r="130" spans="1:194" hidden="1">
      <c r="A130" s="1013">
        <v>54</v>
      </c>
      <c r="B130" s="1013" t="s">
        <v>7722</v>
      </c>
      <c r="C130" s="1013">
        <v>17771024</v>
      </c>
      <c r="D130" s="1013" t="s">
        <v>7723</v>
      </c>
      <c r="E130" s="1013" t="s">
        <v>7723</v>
      </c>
      <c r="F130" s="1013" t="s">
        <v>7723</v>
      </c>
      <c r="G130" s="1013" t="s">
        <v>7723</v>
      </c>
      <c r="H130" s="1013" t="s">
        <v>7723</v>
      </c>
      <c r="I130" s="1013" t="s">
        <v>7723</v>
      </c>
      <c r="J130" s="1013" t="s">
        <v>7723</v>
      </c>
      <c r="K130" s="1024">
        <v>44026</v>
      </c>
      <c r="L130" s="1023">
        <v>0.6875</v>
      </c>
      <c r="M130" s="1013" t="s">
        <v>8106</v>
      </c>
      <c r="N130" s="1013" t="s">
        <v>7724</v>
      </c>
      <c r="O130" s="1013">
        <v>101</v>
      </c>
      <c r="P130" s="1013">
        <v>208</v>
      </c>
      <c r="Q130" s="1013" t="s">
        <v>7723</v>
      </c>
      <c r="R130" s="1013" t="s">
        <v>7727</v>
      </c>
      <c r="S130" s="1013" t="s">
        <v>7724</v>
      </c>
      <c r="T130" s="1014" t="s">
        <v>7724</v>
      </c>
      <c r="U130" s="1014">
        <v>2</v>
      </c>
      <c r="V130" s="1014">
        <v>59</v>
      </c>
      <c r="W130" s="1014" t="s">
        <v>7724</v>
      </c>
      <c r="X130" s="1013">
        <v>1</v>
      </c>
      <c r="Y130" s="1013">
        <v>1300</v>
      </c>
      <c r="Z130" s="1013" t="s">
        <v>7770</v>
      </c>
      <c r="AA130" s="1013" t="s">
        <v>7771</v>
      </c>
      <c r="AB130" s="1013" t="s">
        <v>7760</v>
      </c>
      <c r="AC130" s="1013" t="s">
        <v>7723</v>
      </c>
      <c r="AD130" s="1013" t="s">
        <v>7723</v>
      </c>
      <c r="AE130" s="1013">
        <v>60</v>
      </c>
      <c r="AF130" s="1013" t="s">
        <v>7723</v>
      </c>
      <c r="AG130" s="1013" t="s">
        <v>7723</v>
      </c>
      <c r="AH130" s="1013" t="s">
        <v>7724</v>
      </c>
      <c r="AI130" s="1013" t="s">
        <v>7723</v>
      </c>
      <c r="AJ130" s="1013">
        <v>19</v>
      </c>
      <c r="AK130" s="1013" t="s">
        <v>7724</v>
      </c>
      <c r="AL130" s="1013" t="s">
        <v>7724</v>
      </c>
      <c r="AM130" s="1013">
        <v>1</v>
      </c>
      <c r="AN130" s="1013">
        <v>4800</v>
      </c>
      <c r="AO130" s="1013" t="s">
        <v>7724</v>
      </c>
      <c r="AP130" s="1013" t="s">
        <v>8030</v>
      </c>
      <c r="AQ130" s="1013" t="s">
        <v>7724</v>
      </c>
      <c r="AR130" s="1013" t="s">
        <v>7724</v>
      </c>
      <c r="AS130" s="1013" t="s">
        <v>7724</v>
      </c>
      <c r="AT130" s="1013" t="s">
        <v>7724</v>
      </c>
      <c r="AU130" s="1013" t="s">
        <v>7724</v>
      </c>
      <c r="AV130" s="1013" t="s">
        <v>7724</v>
      </c>
      <c r="AW130" s="1013" t="s">
        <v>7724</v>
      </c>
      <c r="AX130" s="1013">
        <v>11</v>
      </c>
      <c r="AY130" s="1013">
        <v>1</v>
      </c>
      <c r="AZ130" s="1013">
        <v>0</v>
      </c>
      <c r="BA130" s="1013">
        <v>4</v>
      </c>
      <c r="BB130" s="1013">
        <v>1</v>
      </c>
      <c r="BC130" s="1013">
        <v>1</v>
      </c>
      <c r="BD130" s="1013">
        <v>20</v>
      </c>
      <c r="BE130" s="1023">
        <v>0.69097222222222221</v>
      </c>
      <c r="BF130" s="1013" t="s">
        <v>7736</v>
      </c>
      <c r="BG130" s="1023">
        <v>0.69722222222222219</v>
      </c>
      <c r="BH130" s="1024">
        <v>44026</v>
      </c>
      <c r="BI130" s="1013" t="s">
        <v>7727</v>
      </c>
      <c r="BJ130" s="1013" t="s">
        <v>7730</v>
      </c>
      <c r="BK130" s="1013">
        <v>2469</v>
      </c>
      <c r="BL130" s="1013" t="s">
        <v>7724</v>
      </c>
      <c r="BM130" s="1013" t="s">
        <v>7724</v>
      </c>
      <c r="BN130" s="1013">
        <v>113</v>
      </c>
      <c r="BO130" s="1013">
        <v>8</v>
      </c>
      <c r="BP130" s="1013">
        <v>2</v>
      </c>
      <c r="BQ130" s="1013">
        <v>4</v>
      </c>
      <c r="BR130" s="1013">
        <v>20</v>
      </c>
      <c r="BS130" s="1013">
        <v>64</v>
      </c>
      <c r="BT130" s="1013">
        <v>54</v>
      </c>
      <c r="BU130" s="1013">
        <v>1</v>
      </c>
      <c r="BV130" s="1013">
        <v>2</v>
      </c>
      <c r="BW130" s="1013">
        <v>1</v>
      </c>
      <c r="BX130" s="1013">
        <v>21</v>
      </c>
      <c r="BY130" s="1013">
        <v>21</v>
      </c>
      <c r="BZ130" s="1013">
        <v>101</v>
      </c>
      <c r="CA130" s="1013">
        <v>208</v>
      </c>
      <c r="CB130" s="1013">
        <v>29.732430000000001</v>
      </c>
      <c r="CC130" s="1013">
        <v>-95.381666999999993</v>
      </c>
      <c r="CD130" s="1013" t="s">
        <v>8016</v>
      </c>
      <c r="CE130" s="1013">
        <v>69</v>
      </c>
      <c r="CF130" s="1013" t="s">
        <v>7724</v>
      </c>
      <c r="CG130" s="1013">
        <v>33.512</v>
      </c>
      <c r="CH130" s="1013" t="s">
        <v>8017</v>
      </c>
      <c r="CI130" s="1013" t="s">
        <v>7724</v>
      </c>
      <c r="CJ130" s="1013">
        <v>27</v>
      </c>
      <c r="CK130" s="1013">
        <v>13</v>
      </c>
      <c r="CL130" s="1013">
        <v>13.807</v>
      </c>
      <c r="CM130" s="1013">
        <v>128</v>
      </c>
      <c r="CN130" s="1013">
        <v>0.253</v>
      </c>
      <c r="CO130" s="1013" t="s">
        <v>7724</v>
      </c>
      <c r="CP130" s="1013" t="s">
        <v>7724</v>
      </c>
      <c r="CQ130" s="1013" t="s">
        <v>7724</v>
      </c>
      <c r="CR130" s="1013" t="s">
        <v>7724</v>
      </c>
      <c r="CS130" s="1013" t="s">
        <v>7724</v>
      </c>
      <c r="CT130" s="1013" t="s">
        <v>7724</v>
      </c>
      <c r="CU130" s="1013" t="s">
        <v>7724</v>
      </c>
      <c r="CV130" s="1013" t="s">
        <v>7724</v>
      </c>
      <c r="CW130" s="1013" t="s">
        <v>7727</v>
      </c>
      <c r="CX130" s="1013" t="s">
        <v>7727</v>
      </c>
      <c r="CY130" s="1013" t="s">
        <v>7723</v>
      </c>
      <c r="CZ130" s="1013">
        <v>5</v>
      </c>
      <c r="DA130" s="1013">
        <v>9</v>
      </c>
      <c r="DB130" s="1013" t="s">
        <v>7727</v>
      </c>
      <c r="DC130" s="1013" t="s">
        <v>7737</v>
      </c>
      <c r="DD130" s="1013">
        <v>5</v>
      </c>
      <c r="DE130" s="1013" t="s">
        <v>7724</v>
      </c>
      <c r="DF130" s="1013">
        <v>20</v>
      </c>
      <c r="DG130" s="1013">
        <v>20</v>
      </c>
      <c r="DH130" s="1013">
        <v>5</v>
      </c>
      <c r="DI130" s="1013" t="s">
        <v>7724</v>
      </c>
      <c r="DJ130" s="1013">
        <v>8</v>
      </c>
      <c r="DK130" s="1013">
        <v>400</v>
      </c>
      <c r="DL130" s="1013">
        <v>138</v>
      </c>
      <c r="DM130" s="1013">
        <v>98</v>
      </c>
      <c r="DN130" s="1013">
        <v>1</v>
      </c>
      <c r="DO130" s="1013">
        <v>0</v>
      </c>
      <c r="DP130" s="1013">
        <v>0</v>
      </c>
      <c r="DQ130" s="1013">
        <v>1</v>
      </c>
      <c r="DR130" s="1013">
        <v>20</v>
      </c>
      <c r="DS130" s="1013">
        <v>5</v>
      </c>
      <c r="DT130" s="1013">
        <v>1</v>
      </c>
      <c r="DU130" s="1013">
        <v>20</v>
      </c>
      <c r="DV130" s="1013">
        <v>5</v>
      </c>
      <c r="DW130" s="1013">
        <v>7</v>
      </c>
      <c r="DX130" s="1013">
        <v>5</v>
      </c>
      <c r="DY130" s="1013">
        <v>4</v>
      </c>
      <c r="DZ130" s="1013">
        <v>1</v>
      </c>
      <c r="EA130" s="1013">
        <v>185410</v>
      </c>
      <c r="EB130" s="1013">
        <v>2019</v>
      </c>
      <c r="EC130" s="1013">
        <v>185410</v>
      </c>
      <c r="ED130" s="1013">
        <v>2.2999999999999998</v>
      </c>
      <c r="EE130" s="1013">
        <v>2.5</v>
      </c>
      <c r="EF130" s="1013">
        <v>4.8</v>
      </c>
      <c r="EG130" s="1013" t="s">
        <v>7724</v>
      </c>
      <c r="EH130" s="1013" t="s">
        <v>7724</v>
      </c>
      <c r="EI130" s="1013" t="s">
        <v>7724</v>
      </c>
      <c r="EJ130" s="1013" t="s">
        <v>7724</v>
      </c>
      <c r="EK130" s="1013" t="s">
        <v>7724</v>
      </c>
      <c r="EL130" s="1013" t="s">
        <v>7724</v>
      </c>
      <c r="EM130" s="1013" t="s">
        <v>7724</v>
      </c>
      <c r="EN130" s="1013" t="s">
        <v>7724</v>
      </c>
      <c r="EO130" s="1013" t="s">
        <v>7724</v>
      </c>
      <c r="EP130" s="1013" t="s">
        <v>7724</v>
      </c>
      <c r="EQ130" s="1013" t="s">
        <v>7724</v>
      </c>
      <c r="ER130" s="1013" t="s">
        <v>7724</v>
      </c>
      <c r="ES130" s="1013" t="s">
        <v>7724</v>
      </c>
      <c r="ET130" s="1013" t="s">
        <v>7724</v>
      </c>
      <c r="EU130" s="1013" t="s">
        <v>7724</v>
      </c>
      <c r="EV130" s="1013" t="s">
        <v>7724</v>
      </c>
      <c r="EW130" s="1013" t="s">
        <v>7724</v>
      </c>
      <c r="EX130" s="1013" t="s">
        <v>7724</v>
      </c>
      <c r="EY130" s="1013" t="s">
        <v>7724</v>
      </c>
      <c r="EZ130" s="1013" t="s">
        <v>7724</v>
      </c>
      <c r="FA130" s="1013" t="s">
        <v>7724</v>
      </c>
      <c r="FB130" s="1013" t="s">
        <v>7724</v>
      </c>
      <c r="FC130" s="1013" t="s">
        <v>7724</v>
      </c>
      <c r="FD130" s="1013" t="s">
        <v>7724</v>
      </c>
      <c r="FE130" s="1013" t="s">
        <v>7724</v>
      </c>
      <c r="FF130" s="1013" t="s">
        <v>7724</v>
      </c>
      <c r="FG130" s="1013">
        <v>0</v>
      </c>
      <c r="FH130" s="1013">
        <v>0</v>
      </c>
      <c r="FI130" s="1013">
        <v>0</v>
      </c>
      <c r="FJ130" s="1013">
        <v>3</v>
      </c>
      <c r="FK130" s="1013">
        <v>0</v>
      </c>
      <c r="FL130" s="1013">
        <v>0</v>
      </c>
      <c r="FM130" s="1013">
        <v>0</v>
      </c>
      <c r="FN130" s="1013">
        <v>15</v>
      </c>
      <c r="FO130" s="1013">
        <v>29</v>
      </c>
      <c r="FP130" s="1013">
        <v>51</v>
      </c>
      <c r="FQ130" s="1013" t="s">
        <v>7724</v>
      </c>
      <c r="FR130" s="1013" t="s">
        <v>7724</v>
      </c>
      <c r="FS130" s="1013" t="s">
        <v>7724</v>
      </c>
      <c r="FT130" s="1013" t="s">
        <v>7724</v>
      </c>
      <c r="FU130" s="1013" t="s">
        <v>7724</v>
      </c>
      <c r="FV130" s="1013" t="s">
        <v>7724</v>
      </c>
      <c r="FW130" s="1013" t="s">
        <v>7724</v>
      </c>
      <c r="FX130" s="1013" t="s">
        <v>7724</v>
      </c>
      <c r="FY130" s="1013" t="s">
        <v>7724</v>
      </c>
      <c r="FZ130" s="1013" t="s">
        <v>7724</v>
      </c>
      <c r="GA130" s="1013" t="s">
        <v>7724</v>
      </c>
      <c r="GB130" s="1013" t="s">
        <v>7724</v>
      </c>
      <c r="GC130" s="1013">
        <v>2020</v>
      </c>
      <c r="GD130" s="1013" t="s">
        <v>1404</v>
      </c>
      <c r="GE130" s="1013">
        <v>2</v>
      </c>
      <c r="GF130" s="1013" t="s">
        <v>1407</v>
      </c>
      <c r="GG130" s="1013" t="s">
        <v>1407</v>
      </c>
      <c r="GH130" s="1013" t="s">
        <v>8023</v>
      </c>
      <c r="GI130" s="1013" t="s">
        <v>7974</v>
      </c>
      <c r="GJ130" s="1013" t="s">
        <v>7974</v>
      </c>
      <c r="GK130" s="1013" t="s">
        <v>7974</v>
      </c>
      <c r="GL130" s="1013" t="s">
        <v>7974</v>
      </c>
    </row>
    <row r="131" spans="1:194" hidden="1">
      <c r="A131" s="1013">
        <v>55</v>
      </c>
      <c r="B131" s="1013" t="s">
        <v>7722</v>
      </c>
      <c r="C131" s="1013">
        <v>17790196</v>
      </c>
      <c r="D131" s="1013" t="s">
        <v>7723</v>
      </c>
      <c r="E131" s="1013" t="s">
        <v>7723</v>
      </c>
      <c r="F131" s="1013" t="s">
        <v>7723</v>
      </c>
      <c r="G131" s="1013" t="s">
        <v>7723</v>
      </c>
      <c r="H131" s="1013" t="s">
        <v>7723</v>
      </c>
      <c r="I131" s="1013" t="s">
        <v>7723</v>
      </c>
      <c r="J131" s="1013" t="s">
        <v>7723</v>
      </c>
      <c r="K131" s="1024">
        <v>44037</v>
      </c>
      <c r="L131" s="1023">
        <v>0.47361111111111109</v>
      </c>
      <c r="M131" s="1013" t="s">
        <v>7833</v>
      </c>
      <c r="N131" s="1013" t="s">
        <v>7724</v>
      </c>
      <c r="O131" s="1013">
        <v>101</v>
      </c>
      <c r="P131" s="1013">
        <v>208</v>
      </c>
      <c r="Q131" s="1013" t="s">
        <v>7723</v>
      </c>
      <c r="R131" s="1013" t="s">
        <v>7727</v>
      </c>
      <c r="S131" s="1013" t="s">
        <v>7724</v>
      </c>
      <c r="T131" s="1014" t="s">
        <v>7724</v>
      </c>
      <c r="U131" s="1014">
        <v>19</v>
      </c>
      <c r="V131" s="1014" t="s">
        <v>7724</v>
      </c>
      <c r="W131" s="1014" t="s">
        <v>7724</v>
      </c>
      <c r="X131" s="1013">
        <v>1</v>
      </c>
      <c r="Y131" s="1013">
        <v>4500</v>
      </c>
      <c r="Z131" s="1013" t="s">
        <v>7724</v>
      </c>
      <c r="AA131" s="1013" t="s">
        <v>7728</v>
      </c>
      <c r="AB131" s="1013" t="s">
        <v>7724</v>
      </c>
      <c r="AC131" s="1013" t="s">
        <v>7723</v>
      </c>
      <c r="AD131" s="1013" t="s">
        <v>7723</v>
      </c>
      <c r="AE131" s="1013">
        <v>30</v>
      </c>
      <c r="AF131" s="1013" t="s">
        <v>7723</v>
      </c>
      <c r="AG131" s="1013" t="s">
        <v>7723</v>
      </c>
      <c r="AH131" s="1013" t="s">
        <v>7739</v>
      </c>
      <c r="AI131" s="1013" t="s">
        <v>7723</v>
      </c>
      <c r="AJ131" s="1013">
        <v>19</v>
      </c>
      <c r="AK131" s="1013" t="s">
        <v>7724</v>
      </c>
      <c r="AL131" s="1013" t="s">
        <v>7724</v>
      </c>
      <c r="AM131" s="1013">
        <v>1</v>
      </c>
      <c r="AN131" s="1013" t="s">
        <v>7724</v>
      </c>
      <c r="AO131" s="1013" t="s">
        <v>7724</v>
      </c>
      <c r="AP131" s="1013" t="s">
        <v>7757</v>
      </c>
      <c r="AQ131" s="1013" t="s">
        <v>7724</v>
      </c>
      <c r="AR131" s="1013" t="s">
        <v>7724</v>
      </c>
      <c r="AS131" s="1013" t="s">
        <v>7724</v>
      </c>
      <c r="AT131" s="1013" t="s">
        <v>7724</v>
      </c>
      <c r="AU131" s="1013" t="s">
        <v>7724</v>
      </c>
      <c r="AV131" s="1013" t="s">
        <v>7724</v>
      </c>
      <c r="AW131" s="1013" t="s">
        <v>7724</v>
      </c>
      <c r="AX131" s="1013">
        <v>2</v>
      </c>
      <c r="AY131" s="1013">
        <v>1</v>
      </c>
      <c r="AZ131" s="1013">
        <v>0</v>
      </c>
      <c r="BA131" s="1013">
        <v>4</v>
      </c>
      <c r="BB131" s="1013">
        <v>1</v>
      </c>
      <c r="BC131" s="1013">
        <v>2</v>
      </c>
      <c r="BD131" s="1013">
        <v>1</v>
      </c>
      <c r="BE131" s="1023">
        <v>0.47361111111111109</v>
      </c>
      <c r="BF131" s="1013" t="s">
        <v>7729</v>
      </c>
      <c r="BG131" s="1023">
        <v>0.47847222222222224</v>
      </c>
      <c r="BH131" s="1024">
        <v>44038</v>
      </c>
      <c r="BI131" s="1013" t="s">
        <v>7727</v>
      </c>
      <c r="BJ131" s="1013" t="s">
        <v>7730</v>
      </c>
      <c r="BK131" s="1013">
        <v>2469</v>
      </c>
      <c r="BL131" s="1013" t="s">
        <v>7724</v>
      </c>
      <c r="BM131" s="1013" t="s">
        <v>7724</v>
      </c>
      <c r="BN131" s="1013">
        <v>113</v>
      </c>
      <c r="BO131" s="1013">
        <v>8</v>
      </c>
      <c r="BP131" s="1013">
        <v>7</v>
      </c>
      <c r="BQ131" s="1013">
        <v>4</v>
      </c>
      <c r="BR131" s="1013">
        <v>1</v>
      </c>
      <c r="BS131" s="1013">
        <v>56</v>
      </c>
      <c r="BT131" s="1013">
        <v>1</v>
      </c>
      <c r="BU131" s="1013">
        <v>1</v>
      </c>
      <c r="BV131" s="1013">
        <v>5</v>
      </c>
      <c r="BW131" s="1013">
        <v>2</v>
      </c>
      <c r="BX131" s="1013">
        <v>21</v>
      </c>
      <c r="BY131" s="1013">
        <v>21</v>
      </c>
      <c r="BZ131" s="1013">
        <v>101</v>
      </c>
      <c r="CA131" s="1013">
        <v>208</v>
      </c>
      <c r="CB131" s="1013">
        <v>29.731677000000001</v>
      </c>
      <c r="CC131" s="1013">
        <v>-95.382407000000001</v>
      </c>
      <c r="CD131" s="1013" t="s">
        <v>7724</v>
      </c>
      <c r="CE131" s="1013" t="s">
        <v>7724</v>
      </c>
      <c r="CF131" s="1013" t="s">
        <v>7724</v>
      </c>
      <c r="CG131" s="1013" t="s">
        <v>7724</v>
      </c>
      <c r="CH131" s="1013" t="s">
        <v>7732</v>
      </c>
      <c r="CI131" s="1013">
        <v>4604</v>
      </c>
      <c r="CJ131" s="1013" t="s">
        <v>7724</v>
      </c>
      <c r="CK131" s="1013" t="s">
        <v>7724</v>
      </c>
      <c r="CL131" s="1013" t="s">
        <v>7724</v>
      </c>
      <c r="CM131" s="1013" t="s">
        <v>7724</v>
      </c>
      <c r="CN131" s="1013" t="s">
        <v>7724</v>
      </c>
      <c r="CO131" s="1013" t="s">
        <v>7724</v>
      </c>
      <c r="CP131" s="1013" t="s">
        <v>7724</v>
      </c>
      <c r="CQ131" s="1013" t="s">
        <v>7724</v>
      </c>
      <c r="CR131" s="1013" t="s">
        <v>7724</v>
      </c>
      <c r="CS131" s="1013" t="s">
        <v>7724</v>
      </c>
      <c r="CT131" s="1013" t="s">
        <v>7724</v>
      </c>
      <c r="CU131" s="1013" t="s">
        <v>7724</v>
      </c>
      <c r="CV131" s="1013" t="s">
        <v>7724</v>
      </c>
      <c r="CW131" s="1013" t="s">
        <v>7727</v>
      </c>
      <c r="CX131" s="1013" t="s">
        <v>7723</v>
      </c>
      <c r="CY131" s="1013" t="s">
        <v>7723</v>
      </c>
      <c r="CZ131" s="1013">
        <v>5</v>
      </c>
      <c r="DA131" s="1013">
        <v>9</v>
      </c>
      <c r="DB131" s="1013" t="s">
        <v>7727</v>
      </c>
      <c r="DC131" s="1013" t="s">
        <v>7733</v>
      </c>
      <c r="DD131" s="1013" t="s">
        <v>7724</v>
      </c>
      <c r="DE131" s="1013" t="s">
        <v>7724</v>
      </c>
      <c r="DF131" s="1013" t="s">
        <v>7724</v>
      </c>
      <c r="DG131" s="1013" t="s">
        <v>7724</v>
      </c>
      <c r="DH131" s="1013" t="s">
        <v>7724</v>
      </c>
      <c r="DI131" s="1013" t="s">
        <v>7724</v>
      </c>
      <c r="DJ131" s="1013" t="s">
        <v>7724</v>
      </c>
      <c r="DK131" s="1013" t="s">
        <v>7724</v>
      </c>
      <c r="DL131" s="1013" t="s">
        <v>7724</v>
      </c>
      <c r="DM131" s="1013" t="s">
        <v>7724</v>
      </c>
      <c r="DN131" s="1013" t="s">
        <v>7724</v>
      </c>
      <c r="DO131" s="1013" t="s">
        <v>7724</v>
      </c>
      <c r="DP131" s="1013" t="s">
        <v>7724</v>
      </c>
      <c r="DQ131" s="1013" t="s">
        <v>7724</v>
      </c>
      <c r="DR131" s="1013" t="s">
        <v>7724</v>
      </c>
      <c r="DS131" s="1013" t="s">
        <v>7724</v>
      </c>
      <c r="DT131" s="1013" t="s">
        <v>7724</v>
      </c>
      <c r="DU131" s="1013" t="s">
        <v>7724</v>
      </c>
      <c r="DV131" s="1013" t="s">
        <v>7724</v>
      </c>
      <c r="DW131" s="1013" t="s">
        <v>7724</v>
      </c>
      <c r="DX131" s="1013" t="s">
        <v>7724</v>
      </c>
      <c r="DY131" s="1013" t="s">
        <v>7724</v>
      </c>
      <c r="DZ131" s="1013" t="s">
        <v>7724</v>
      </c>
      <c r="EA131" s="1013" t="s">
        <v>7724</v>
      </c>
      <c r="EB131" s="1013" t="s">
        <v>7724</v>
      </c>
      <c r="EC131" s="1013" t="s">
        <v>7724</v>
      </c>
      <c r="ED131" s="1013" t="s">
        <v>7724</v>
      </c>
      <c r="EE131" s="1013" t="s">
        <v>7724</v>
      </c>
      <c r="EF131" s="1013" t="s">
        <v>7724</v>
      </c>
      <c r="EG131" s="1013" t="s">
        <v>7724</v>
      </c>
      <c r="EH131" s="1013" t="s">
        <v>7724</v>
      </c>
      <c r="EI131" s="1013" t="s">
        <v>7724</v>
      </c>
      <c r="EJ131" s="1013" t="s">
        <v>7724</v>
      </c>
      <c r="EK131" s="1013" t="s">
        <v>7724</v>
      </c>
      <c r="EL131" s="1013" t="s">
        <v>7724</v>
      </c>
      <c r="EM131" s="1013" t="s">
        <v>7724</v>
      </c>
      <c r="EN131" s="1013" t="s">
        <v>7724</v>
      </c>
      <c r="EO131" s="1013" t="s">
        <v>7724</v>
      </c>
      <c r="EP131" s="1013" t="s">
        <v>7724</v>
      </c>
      <c r="EQ131" s="1013" t="s">
        <v>7724</v>
      </c>
      <c r="ER131" s="1013" t="s">
        <v>7724</v>
      </c>
      <c r="ES131" s="1013" t="s">
        <v>7724</v>
      </c>
      <c r="ET131" s="1013" t="s">
        <v>7724</v>
      </c>
      <c r="EU131" s="1013" t="s">
        <v>7724</v>
      </c>
      <c r="EV131" s="1013" t="s">
        <v>7724</v>
      </c>
      <c r="EW131" s="1013" t="s">
        <v>7724</v>
      </c>
      <c r="EX131" s="1013" t="s">
        <v>7724</v>
      </c>
      <c r="EY131" s="1013" t="s">
        <v>7724</v>
      </c>
      <c r="EZ131" s="1013" t="s">
        <v>7724</v>
      </c>
      <c r="FA131" s="1013" t="s">
        <v>7724</v>
      </c>
      <c r="FB131" s="1013" t="s">
        <v>7724</v>
      </c>
      <c r="FC131" s="1013" t="s">
        <v>7724</v>
      </c>
      <c r="FD131" s="1013" t="s">
        <v>7724</v>
      </c>
      <c r="FE131" s="1013" t="s">
        <v>7724</v>
      </c>
      <c r="FF131" s="1013" t="s">
        <v>7724</v>
      </c>
      <c r="FG131" s="1013">
        <v>0</v>
      </c>
      <c r="FH131" s="1013">
        <v>0</v>
      </c>
      <c r="FI131" s="1013">
        <v>0</v>
      </c>
      <c r="FJ131" s="1013">
        <v>1</v>
      </c>
      <c r="FK131" s="1013">
        <v>0</v>
      </c>
      <c r="FL131" s="1013">
        <v>0</v>
      </c>
      <c r="FM131" s="1013">
        <v>0</v>
      </c>
      <c r="FN131" s="1013">
        <v>15</v>
      </c>
      <c r="FO131" s="1013">
        <v>29</v>
      </c>
      <c r="FP131" s="1013">
        <v>9</v>
      </c>
      <c r="FQ131" s="1013" t="s">
        <v>7724</v>
      </c>
      <c r="FR131" s="1013" t="s">
        <v>7724</v>
      </c>
      <c r="FS131" s="1013" t="s">
        <v>7724</v>
      </c>
      <c r="FT131" s="1013" t="s">
        <v>7724</v>
      </c>
      <c r="FU131" s="1013" t="s">
        <v>7724</v>
      </c>
      <c r="FV131" s="1013" t="s">
        <v>7724</v>
      </c>
      <c r="FW131" s="1013" t="s">
        <v>7724</v>
      </c>
      <c r="FX131" s="1013" t="s">
        <v>7724</v>
      </c>
      <c r="FY131" s="1013" t="s">
        <v>7724</v>
      </c>
      <c r="FZ131" s="1013" t="s">
        <v>7724</v>
      </c>
      <c r="GA131" s="1013" t="s">
        <v>7724</v>
      </c>
      <c r="GB131" s="1013" t="s">
        <v>7724</v>
      </c>
      <c r="GC131" s="1013">
        <v>2020</v>
      </c>
      <c r="GD131" s="1013" t="s">
        <v>1404</v>
      </c>
      <c r="GE131" s="1013">
        <v>1</v>
      </c>
      <c r="GF131" s="1013" t="s">
        <v>1407</v>
      </c>
      <c r="GG131" s="1013" t="s">
        <v>1407</v>
      </c>
      <c r="GH131" s="1013">
        <v>22</v>
      </c>
      <c r="GI131" s="1013" t="s">
        <v>8006</v>
      </c>
      <c r="GJ131" s="1013" t="s">
        <v>8006</v>
      </c>
      <c r="GK131" s="1013" t="s">
        <v>8006</v>
      </c>
      <c r="GL131" s="1013" t="s">
        <v>8006</v>
      </c>
    </row>
    <row r="132" spans="1:194" hidden="1">
      <c r="A132" s="1013">
        <v>56</v>
      </c>
      <c r="B132" s="1013" t="s">
        <v>7722</v>
      </c>
      <c r="C132" s="1013">
        <v>17790277</v>
      </c>
      <c r="D132" s="1013" t="s">
        <v>7723</v>
      </c>
      <c r="E132" s="1013" t="s">
        <v>7723</v>
      </c>
      <c r="F132" s="1013" t="s">
        <v>7723</v>
      </c>
      <c r="G132" s="1013" t="s">
        <v>7723</v>
      </c>
      <c r="H132" s="1013" t="s">
        <v>7723</v>
      </c>
      <c r="I132" s="1013" t="s">
        <v>7723</v>
      </c>
      <c r="J132" s="1013" t="s">
        <v>7723</v>
      </c>
      <c r="K132" s="1024">
        <v>44040</v>
      </c>
      <c r="L132" s="1023">
        <v>0.26527777777777778</v>
      </c>
      <c r="M132" s="1013" t="s">
        <v>8107</v>
      </c>
      <c r="N132" s="1013" t="s">
        <v>7724</v>
      </c>
      <c r="O132" s="1013">
        <v>101</v>
      </c>
      <c r="P132" s="1013">
        <v>208</v>
      </c>
      <c r="Q132" s="1013" t="s">
        <v>7723</v>
      </c>
      <c r="R132" s="1013" t="s">
        <v>7727</v>
      </c>
      <c r="S132" s="1013" t="s">
        <v>7724</v>
      </c>
      <c r="T132" s="1014" t="s">
        <v>7724</v>
      </c>
      <c r="U132" s="1014">
        <v>2</v>
      </c>
      <c r="V132" s="1014">
        <v>59</v>
      </c>
      <c r="W132" s="1014" t="s">
        <v>7724</v>
      </c>
      <c r="X132" s="1013">
        <v>1</v>
      </c>
      <c r="Y132" s="1013">
        <v>600</v>
      </c>
      <c r="Z132" s="1013" t="s">
        <v>7770</v>
      </c>
      <c r="AA132" s="1013" t="s">
        <v>7771</v>
      </c>
      <c r="AB132" s="1013" t="s">
        <v>7760</v>
      </c>
      <c r="AC132" s="1013" t="s">
        <v>7723</v>
      </c>
      <c r="AD132" s="1013" t="s">
        <v>7723</v>
      </c>
      <c r="AE132" s="1013">
        <v>60</v>
      </c>
      <c r="AF132" s="1013" t="s">
        <v>7723</v>
      </c>
      <c r="AG132" s="1013" t="s">
        <v>7723</v>
      </c>
      <c r="AH132" s="1013" t="s">
        <v>7739</v>
      </c>
      <c r="AI132" s="1013" t="s">
        <v>7723</v>
      </c>
      <c r="AJ132" s="1013">
        <v>19</v>
      </c>
      <c r="AK132" s="1013" t="s">
        <v>7724</v>
      </c>
      <c r="AL132" s="1013" t="s">
        <v>7724</v>
      </c>
      <c r="AM132" s="1013">
        <v>1</v>
      </c>
      <c r="AN132" s="1013">
        <v>4800</v>
      </c>
      <c r="AO132" s="1013" t="s">
        <v>7724</v>
      </c>
      <c r="AP132" s="1013" t="s">
        <v>7840</v>
      </c>
      <c r="AQ132" s="1013" t="s">
        <v>7724</v>
      </c>
      <c r="AR132" s="1013" t="s">
        <v>7724</v>
      </c>
      <c r="AS132" s="1013" t="s">
        <v>7724</v>
      </c>
      <c r="AT132" s="1013" t="s">
        <v>7724</v>
      </c>
      <c r="AU132" s="1013" t="s">
        <v>7724</v>
      </c>
      <c r="AV132" s="1013" t="s">
        <v>7724</v>
      </c>
      <c r="AW132" s="1013" t="s">
        <v>7724</v>
      </c>
      <c r="AX132" s="1013">
        <v>12</v>
      </c>
      <c r="AY132" s="1013">
        <v>1</v>
      </c>
      <c r="AZ132" s="1013">
        <v>0</v>
      </c>
      <c r="BA132" s="1013">
        <v>3</v>
      </c>
      <c r="BB132" s="1013">
        <v>5</v>
      </c>
      <c r="BC132" s="1013">
        <v>1</v>
      </c>
      <c r="BD132" s="1013">
        <v>20</v>
      </c>
      <c r="BE132" s="1023">
        <v>0.27013888888888887</v>
      </c>
      <c r="BF132" s="1013" t="s">
        <v>7736</v>
      </c>
      <c r="BG132" s="1023">
        <v>0.2722222222222222</v>
      </c>
      <c r="BH132" s="1024">
        <v>44040</v>
      </c>
      <c r="BI132" s="1013" t="s">
        <v>7727</v>
      </c>
      <c r="BJ132" s="1013" t="s">
        <v>7730</v>
      </c>
      <c r="BK132" s="1013">
        <v>2469</v>
      </c>
      <c r="BL132" s="1013" t="s">
        <v>7724</v>
      </c>
      <c r="BM132" s="1013" t="s">
        <v>7724</v>
      </c>
      <c r="BN132" s="1013">
        <v>113</v>
      </c>
      <c r="BO132" s="1013">
        <v>8</v>
      </c>
      <c r="BP132" s="1013">
        <v>2</v>
      </c>
      <c r="BQ132" s="1013">
        <v>4</v>
      </c>
      <c r="BR132" s="1013">
        <v>20</v>
      </c>
      <c r="BS132" s="1013">
        <v>23</v>
      </c>
      <c r="BT132" s="1013">
        <v>54</v>
      </c>
      <c r="BU132" s="1013">
        <v>4</v>
      </c>
      <c r="BV132" s="1013">
        <v>2</v>
      </c>
      <c r="BW132" s="1013">
        <v>1</v>
      </c>
      <c r="BX132" s="1013">
        <v>21</v>
      </c>
      <c r="BY132" s="1013">
        <v>21</v>
      </c>
      <c r="BZ132" s="1013">
        <v>101</v>
      </c>
      <c r="CA132" s="1013">
        <v>208</v>
      </c>
      <c r="CB132" s="1013">
        <v>29.732427999999999</v>
      </c>
      <c r="CC132" s="1013">
        <v>-95.381693999999996</v>
      </c>
      <c r="CD132" s="1013" t="s">
        <v>8016</v>
      </c>
      <c r="CE132" s="1013">
        <v>69</v>
      </c>
      <c r="CF132" s="1013" t="s">
        <v>7724</v>
      </c>
      <c r="CG132" s="1013">
        <v>33.511000000000003</v>
      </c>
      <c r="CH132" s="1013" t="s">
        <v>8017</v>
      </c>
      <c r="CI132" s="1013" t="s">
        <v>7724</v>
      </c>
      <c r="CJ132" s="1013">
        <v>27</v>
      </c>
      <c r="CK132" s="1013">
        <v>13</v>
      </c>
      <c r="CL132" s="1013">
        <v>13.805</v>
      </c>
      <c r="CM132" s="1013">
        <v>128</v>
      </c>
      <c r="CN132" s="1013">
        <v>0.252</v>
      </c>
      <c r="CO132" s="1013" t="s">
        <v>7724</v>
      </c>
      <c r="CP132" s="1013" t="s">
        <v>7724</v>
      </c>
      <c r="CQ132" s="1013" t="s">
        <v>7724</v>
      </c>
      <c r="CR132" s="1013" t="s">
        <v>7724</v>
      </c>
      <c r="CS132" s="1013" t="s">
        <v>7724</v>
      </c>
      <c r="CT132" s="1013" t="s">
        <v>7724</v>
      </c>
      <c r="CU132" s="1013" t="s">
        <v>7724</v>
      </c>
      <c r="CV132" s="1013" t="s">
        <v>7724</v>
      </c>
      <c r="CW132" s="1013" t="s">
        <v>7727</v>
      </c>
      <c r="CX132" s="1013" t="s">
        <v>7727</v>
      </c>
      <c r="CY132" s="1013" t="s">
        <v>7723</v>
      </c>
      <c r="CZ132" s="1013">
        <v>5</v>
      </c>
      <c r="DA132" s="1013">
        <v>9</v>
      </c>
      <c r="DB132" s="1013" t="s">
        <v>7727</v>
      </c>
      <c r="DC132" s="1013" t="s">
        <v>7737</v>
      </c>
      <c r="DD132" s="1013">
        <v>5</v>
      </c>
      <c r="DE132" s="1013" t="s">
        <v>7724</v>
      </c>
      <c r="DF132" s="1013">
        <v>20</v>
      </c>
      <c r="DG132" s="1013">
        <v>20</v>
      </c>
      <c r="DH132" s="1013">
        <v>5</v>
      </c>
      <c r="DI132" s="1013" t="s">
        <v>7724</v>
      </c>
      <c r="DJ132" s="1013">
        <v>8</v>
      </c>
      <c r="DK132" s="1013">
        <v>400</v>
      </c>
      <c r="DL132" s="1013">
        <v>138</v>
      </c>
      <c r="DM132" s="1013">
        <v>98</v>
      </c>
      <c r="DN132" s="1013">
        <v>1</v>
      </c>
      <c r="DO132" s="1013">
        <v>0</v>
      </c>
      <c r="DP132" s="1013">
        <v>0</v>
      </c>
      <c r="DQ132" s="1013">
        <v>1</v>
      </c>
      <c r="DR132" s="1013">
        <v>20</v>
      </c>
      <c r="DS132" s="1013">
        <v>5</v>
      </c>
      <c r="DT132" s="1013">
        <v>1</v>
      </c>
      <c r="DU132" s="1013">
        <v>20</v>
      </c>
      <c r="DV132" s="1013">
        <v>5</v>
      </c>
      <c r="DW132" s="1013">
        <v>7</v>
      </c>
      <c r="DX132" s="1013">
        <v>5</v>
      </c>
      <c r="DY132" s="1013">
        <v>4</v>
      </c>
      <c r="DZ132" s="1013">
        <v>1</v>
      </c>
      <c r="EA132" s="1013">
        <v>185410</v>
      </c>
      <c r="EB132" s="1013">
        <v>2019</v>
      </c>
      <c r="EC132" s="1013">
        <v>185410</v>
      </c>
      <c r="ED132" s="1013">
        <v>2.2999999999999998</v>
      </c>
      <c r="EE132" s="1013">
        <v>2.5</v>
      </c>
      <c r="EF132" s="1013">
        <v>4.8</v>
      </c>
      <c r="EG132" s="1013" t="s">
        <v>7724</v>
      </c>
      <c r="EH132" s="1013" t="s">
        <v>7724</v>
      </c>
      <c r="EI132" s="1013" t="s">
        <v>7724</v>
      </c>
      <c r="EJ132" s="1013" t="s">
        <v>7724</v>
      </c>
      <c r="EK132" s="1013" t="s">
        <v>7724</v>
      </c>
      <c r="EL132" s="1013" t="s">
        <v>7724</v>
      </c>
      <c r="EM132" s="1013" t="s">
        <v>7724</v>
      </c>
      <c r="EN132" s="1013" t="s">
        <v>7724</v>
      </c>
      <c r="EO132" s="1013" t="s">
        <v>7724</v>
      </c>
      <c r="EP132" s="1013" t="s">
        <v>7724</v>
      </c>
      <c r="EQ132" s="1013" t="s">
        <v>7724</v>
      </c>
      <c r="ER132" s="1013" t="s">
        <v>7724</v>
      </c>
      <c r="ES132" s="1013" t="s">
        <v>7724</v>
      </c>
      <c r="ET132" s="1013" t="s">
        <v>7724</v>
      </c>
      <c r="EU132" s="1013" t="s">
        <v>7724</v>
      </c>
      <c r="EV132" s="1013" t="s">
        <v>7724</v>
      </c>
      <c r="EW132" s="1013" t="s">
        <v>7724</v>
      </c>
      <c r="EX132" s="1013" t="s">
        <v>7724</v>
      </c>
      <c r="EY132" s="1013" t="s">
        <v>7724</v>
      </c>
      <c r="EZ132" s="1013" t="s">
        <v>7724</v>
      </c>
      <c r="FA132" s="1013" t="s">
        <v>7724</v>
      </c>
      <c r="FB132" s="1013" t="s">
        <v>7724</v>
      </c>
      <c r="FC132" s="1013" t="s">
        <v>7724</v>
      </c>
      <c r="FD132" s="1013" t="s">
        <v>7724</v>
      </c>
      <c r="FE132" s="1013" t="s">
        <v>7724</v>
      </c>
      <c r="FF132" s="1013" t="s">
        <v>7724</v>
      </c>
      <c r="FG132" s="1013">
        <v>0</v>
      </c>
      <c r="FH132" s="1013">
        <v>0</v>
      </c>
      <c r="FI132" s="1013">
        <v>0</v>
      </c>
      <c r="FJ132" s="1013">
        <v>3</v>
      </c>
      <c r="FK132" s="1013">
        <v>0</v>
      </c>
      <c r="FL132" s="1013">
        <v>0</v>
      </c>
      <c r="FM132" s="1013">
        <v>0</v>
      </c>
      <c r="FN132" s="1013">
        <v>15</v>
      </c>
      <c r="FO132" s="1013">
        <v>29</v>
      </c>
      <c r="FP132" s="1013">
        <v>6</v>
      </c>
      <c r="FQ132" s="1013" t="s">
        <v>7724</v>
      </c>
      <c r="FR132" s="1013" t="s">
        <v>7724</v>
      </c>
      <c r="FS132" s="1013" t="s">
        <v>7724</v>
      </c>
      <c r="FT132" s="1013" t="s">
        <v>7724</v>
      </c>
      <c r="FU132" s="1013" t="s">
        <v>7724</v>
      </c>
      <c r="FV132" s="1013" t="s">
        <v>7724</v>
      </c>
      <c r="FW132" s="1013" t="s">
        <v>7724</v>
      </c>
      <c r="FX132" s="1013" t="s">
        <v>7724</v>
      </c>
      <c r="FY132" s="1013" t="s">
        <v>7724</v>
      </c>
      <c r="FZ132" s="1013" t="s">
        <v>7724</v>
      </c>
      <c r="GA132" s="1013" t="s">
        <v>7724</v>
      </c>
      <c r="GB132" s="1013" t="s">
        <v>7724</v>
      </c>
      <c r="GC132" s="1013">
        <v>2020</v>
      </c>
      <c r="GD132" s="1013" t="s">
        <v>1404</v>
      </c>
      <c r="GE132" s="1013">
        <v>3</v>
      </c>
      <c r="GF132" s="1013" t="s">
        <v>1407</v>
      </c>
      <c r="GG132" s="1013" t="s">
        <v>1407</v>
      </c>
      <c r="GH132" s="1013" t="s">
        <v>7979</v>
      </c>
      <c r="GI132" s="1013" t="s">
        <v>7980</v>
      </c>
      <c r="GJ132" s="1013" t="s">
        <v>7980</v>
      </c>
      <c r="GK132" s="1013" t="s">
        <v>7980</v>
      </c>
      <c r="GL132" s="1013" t="s">
        <v>7980</v>
      </c>
    </row>
    <row r="133" spans="1:194" hidden="1">
      <c r="A133" s="1013">
        <v>57</v>
      </c>
      <c r="B133" s="1013" t="s">
        <v>7722</v>
      </c>
      <c r="C133" s="1013">
        <v>17840363</v>
      </c>
      <c r="D133" s="1013" t="s">
        <v>7723</v>
      </c>
      <c r="E133" s="1013" t="s">
        <v>7723</v>
      </c>
      <c r="F133" s="1013" t="s">
        <v>7723</v>
      </c>
      <c r="G133" s="1013" t="s">
        <v>7723</v>
      </c>
      <c r="H133" s="1013" t="s">
        <v>7723</v>
      </c>
      <c r="I133" s="1013" t="s">
        <v>7723</v>
      </c>
      <c r="J133" s="1013" t="s">
        <v>7723</v>
      </c>
      <c r="K133" s="1024">
        <v>44070</v>
      </c>
      <c r="L133" s="1023">
        <v>0.28888888888888886</v>
      </c>
      <c r="M133" s="1013" t="s">
        <v>8108</v>
      </c>
      <c r="N133" s="1013" t="s">
        <v>7724</v>
      </c>
      <c r="O133" s="1013">
        <v>101</v>
      </c>
      <c r="P133" s="1013">
        <v>208</v>
      </c>
      <c r="Q133" s="1013" t="s">
        <v>7723</v>
      </c>
      <c r="R133" s="1013" t="s">
        <v>7727</v>
      </c>
      <c r="S133" s="1013" t="s">
        <v>7724</v>
      </c>
      <c r="T133" s="1014" t="s">
        <v>7724</v>
      </c>
      <c r="U133" s="1014">
        <v>2</v>
      </c>
      <c r="V133" s="1014">
        <v>59</v>
      </c>
      <c r="W133" s="1014" t="s">
        <v>7724</v>
      </c>
      <c r="X133" s="1013">
        <v>1</v>
      </c>
      <c r="Y133" s="1013">
        <v>600</v>
      </c>
      <c r="Z133" s="1013" t="s">
        <v>7770</v>
      </c>
      <c r="AA133" s="1013" t="s">
        <v>7771</v>
      </c>
      <c r="AB133" s="1013" t="s">
        <v>7760</v>
      </c>
      <c r="AC133" s="1013" t="s">
        <v>7723</v>
      </c>
      <c r="AD133" s="1013" t="s">
        <v>7723</v>
      </c>
      <c r="AE133" s="1013">
        <v>60</v>
      </c>
      <c r="AF133" s="1013" t="s">
        <v>7723</v>
      </c>
      <c r="AG133" s="1013" t="s">
        <v>7723</v>
      </c>
      <c r="AH133" s="1013" t="s">
        <v>7739</v>
      </c>
      <c r="AI133" s="1013" t="s">
        <v>7723</v>
      </c>
      <c r="AJ133" s="1013">
        <v>19</v>
      </c>
      <c r="AK133" s="1013" t="s">
        <v>7724</v>
      </c>
      <c r="AL133" s="1013" t="s">
        <v>7724</v>
      </c>
      <c r="AM133" s="1013">
        <v>4</v>
      </c>
      <c r="AN133" s="1013" t="s">
        <v>7724</v>
      </c>
      <c r="AO133" s="1013" t="s">
        <v>7724</v>
      </c>
      <c r="AP133" s="1013" t="s">
        <v>7840</v>
      </c>
      <c r="AQ133" s="1013" t="s">
        <v>7726</v>
      </c>
      <c r="AR133" s="1013" t="s">
        <v>7724</v>
      </c>
      <c r="AS133" s="1013" t="s">
        <v>7724</v>
      </c>
      <c r="AT133" s="1013" t="s">
        <v>7724</v>
      </c>
      <c r="AU133" s="1013" t="s">
        <v>7724</v>
      </c>
      <c r="AV133" s="1013" t="s">
        <v>7724</v>
      </c>
      <c r="AW133" s="1013" t="s">
        <v>7724</v>
      </c>
      <c r="AX133" s="1013">
        <v>11</v>
      </c>
      <c r="AY133" s="1013">
        <v>1</v>
      </c>
      <c r="AZ133" s="1013">
        <v>0</v>
      </c>
      <c r="BA133" s="1013">
        <v>4</v>
      </c>
      <c r="BB133" s="1013">
        <v>4</v>
      </c>
      <c r="BC133" s="1013">
        <v>1</v>
      </c>
      <c r="BD133" s="1013">
        <v>20</v>
      </c>
      <c r="BE133" s="1023">
        <v>0.2902777777777778</v>
      </c>
      <c r="BF133" s="1013" t="s">
        <v>7736</v>
      </c>
      <c r="BG133" s="1023">
        <v>0.29305555555555557</v>
      </c>
      <c r="BH133" s="1024">
        <v>44071</v>
      </c>
      <c r="BI133" s="1013" t="s">
        <v>7727</v>
      </c>
      <c r="BJ133" s="1013" t="s">
        <v>7730</v>
      </c>
      <c r="BK133" s="1013">
        <v>2469</v>
      </c>
      <c r="BL133" s="1013" t="s">
        <v>7724</v>
      </c>
      <c r="BM133" s="1013" t="s">
        <v>7724</v>
      </c>
      <c r="BN133" s="1013">
        <v>113</v>
      </c>
      <c r="BO133" s="1013">
        <v>8</v>
      </c>
      <c r="BP133" s="1013">
        <v>2</v>
      </c>
      <c r="BQ133" s="1013">
        <v>4</v>
      </c>
      <c r="BR133" s="1013">
        <v>20</v>
      </c>
      <c r="BS133" s="1013">
        <v>64</v>
      </c>
      <c r="BT133" s="1013">
        <v>9</v>
      </c>
      <c r="BU133" s="1013">
        <v>1</v>
      </c>
      <c r="BV133" s="1013">
        <v>2</v>
      </c>
      <c r="BW133" s="1013">
        <v>1</v>
      </c>
      <c r="BX133" s="1013">
        <v>21</v>
      </c>
      <c r="BY133" s="1013">
        <v>21</v>
      </c>
      <c r="BZ133" s="1013">
        <v>101</v>
      </c>
      <c r="CA133" s="1013">
        <v>208</v>
      </c>
      <c r="CB133" s="1013">
        <v>29.732427999999999</v>
      </c>
      <c r="CC133" s="1013">
        <v>-95.381696000000005</v>
      </c>
      <c r="CD133" s="1013" t="s">
        <v>8016</v>
      </c>
      <c r="CE133" s="1013">
        <v>69</v>
      </c>
      <c r="CF133" s="1013" t="s">
        <v>7724</v>
      </c>
      <c r="CG133" s="1013">
        <v>33.511000000000003</v>
      </c>
      <c r="CH133" s="1013" t="s">
        <v>8017</v>
      </c>
      <c r="CI133" s="1013" t="s">
        <v>7724</v>
      </c>
      <c r="CJ133" s="1013">
        <v>27</v>
      </c>
      <c r="CK133" s="1013">
        <v>13</v>
      </c>
      <c r="CL133" s="1013">
        <v>13.805</v>
      </c>
      <c r="CM133" s="1013">
        <v>128</v>
      </c>
      <c r="CN133" s="1013">
        <v>0.252</v>
      </c>
      <c r="CO133" s="1013" t="s">
        <v>7724</v>
      </c>
      <c r="CP133" s="1013" t="s">
        <v>7724</v>
      </c>
      <c r="CQ133" s="1013" t="s">
        <v>7724</v>
      </c>
      <c r="CR133" s="1013" t="s">
        <v>7724</v>
      </c>
      <c r="CS133" s="1013" t="s">
        <v>7724</v>
      </c>
      <c r="CT133" s="1013" t="s">
        <v>7724</v>
      </c>
      <c r="CU133" s="1013" t="s">
        <v>7724</v>
      </c>
      <c r="CV133" s="1013" t="s">
        <v>7724</v>
      </c>
      <c r="CW133" s="1013" t="s">
        <v>7727</v>
      </c>
      <c r="CX133" s="1013" t="s">
        <v>7727</v>
      </c>
      <c r="CY133" s="1013" t="s">
        <v>7723</v>
      </c>
      <c r="CZ133" s="1013">
        <v>5</v>
      </c>
      <c r="DA133" s="1013">
        <v>9</v>
      </c>
      <c r="DB133" s="1013" t="s">
        <v>7727</v>
      </c>
      <c r="DC133" s="1013" t="s">
        <v>7740</v>
      </c>
      <c r="DD133" s="1013">
        <v>5</v>
      </c>
      <c r="DE133" s="1013" t="s">
        <v>7724</v>
      </c>
      <c r="DF133" s="1013">
        <v>20</v>
      </c>
      <c r="DG133" s="1013">
        <v>20</v>
      </c>
      <c r="DH133" s="1013">
        <v>5</v>
      </c>
      <c r="DI133" s="1013" t="s">
        <v>7724</v>
      </c>
      <c r="DJ133" s="1013">
        <v>8</v>
      </c>
      <c r="DK133" s="1013">
        <v>400</v>
      </c>
      <c r="DL133" s="1013">
        <v>138</v>
      </c>
      <c r="DM133" s="1013">
        <v>98</v>
      </c>
      <c r="DN133" s="1013">
        <v>1</v>
      </c>
      <c r="DO133" s="1013">
        <v>0</v>
      </c>
      <c r="DP133" s="1013">
        <v>0</v>
      </c>
      <c r="DQ133" s="1013">
        <v>1</v>
      </c>
      <c r="DR133" s="1013">
        <v>20</v>
      </c>
      <c r="DS133" s="1013">
        <v>5</v>
      </c>
      <c r="DT133" s="1013">
        <v>1</v>
      </c>
      <c r="DU133" s="1013">
        <v>20</v>
      </c>
      <c r="DV133" s="1013">
        <v>5</v>
      </c>
      <c r="DW133" s="1013">
        <v>7</v>
      </c>
      <c r="DX133" s="1013">
        <v>5</v>
      </c>
      <c r="DY133" s="1013">
        <v>4</v>
      </c>
      <c r="DZ133" s="1013">
        <v>1</v>
      </c>
      <c r="EA133" s="1013">
        <v>185410</v>
      </c>
      <c r="EB133" s="1013">
        <v>2019</v>
      </c>
      <c r="EC133" s="1013">
        <v>185410</v>
      </c>
      <c r="ED133" s="1013">
        <v>2.2999999999999998</v>
      </c>
      <c r="EE133" s="1013">
        <v>2.5</v>
      </c>
      <c r="EF133" s="1013">
        <v>4.8</v>
      </c>
      <c r="EG133" s="1013" t="s">
        <v>7724</v>
      </c>
      <c r="EH133" s="1013" t="s">
        <v>7724</v>
      </c>
      <c r="EI133" s="1013" t="s">
        <v>7724</v>
      </c>
      <c r="EJ133" s="1013" t="s">
        <v>7724</v>
      </c>
      <c r="EK133" s="1013" t="s">
        <v>7724</v>
      </c>
      <c r="EL133" s="1013" t="s">
        <v>7724</v>
      </c>
      <c r="EM133" s="1013" t="s">
        <v>7724</v>
      </c>
      <c r="EN133" s="1013" t="s">
        <v>7724</v>
      </c>
      <c r="EO133" s="1013" t="s">
        <v>7724</v>
      </c>
      <c r="EP133" s="1013" t="s">
        <v>7724</v>
      </c>
      <c r="EQ133" s="1013" t="s">
        <v>7724</v>
      </c>
      <c r="ER133" s="1013" t="s">
        <v>7724</v>
      </c>
      <c r="ES133" s="1013" t="s">
        <v>7724</v>
      </c>
      <c r="ET133" s="1013" t="s">
        <v>7724</v>
      </c>
      <c r="EU133" s="1013" t="s">
        <v>7724</v>
      </c>
      <c r="EV133" s="1013" t="s">
        <v>7724</v>
      </c>
      <c r="EW133" s="1013" t="s">
        <v>7724</v>
      </c>
      <c r="EX133" s="1013" t="s">
        <v>7724</v>
      </c>
      <c r="EY133" s="1013" t="s">
        <v>7724</v>
      </c>
      <c r="EZ133" s="1013" t="s">
        <v>7724</v>
      </c>
      <c r="FA133" s="1013" t="s">
        <v>7724</v>
      </c>
      <c r="FB133" s="1013" t="s">
        <v>7724</v>
      </c>
      <c r="FC133" s="1013" t="s">
        <v>7724</v>
      </c>
      <c r="FD133" s="1013" t="s">
        <v>7724</v>
      </c>
      <c r="FE133" s="1013" t="s">
        <v>7724</v>
      </c>
      <c r="FF133" s="1013" t="s">
        <v>7724</v>
      </c>
      <c r="FG133" s="1013">
        <v>0</v>
      </c>
      <c r="FH133" s="1013">
        <v>0</v>
      </c>
      <c r="FI133" s="1013">
        <v>0</v>
      </c>
      <c r="FJ133" s="1013">
        <v>2</v>
      </c>
      <c r="FK133" s="1013">
        <v>0</v>
      </c>
      <c r="FL133" s="1013">
        <v>0</v>
      </c>
      <c r="FM133" s="1013">
        <v>0</v>
      </c>
      <c r="FN133" s="1013">
        <v>15</v>
      </c>
      <c r="FO133" s="1013">
        <v>29</v>
      </c>
      <c r="FP133" s="1013">
        <v>6</v>
      </c>
      <c r="FQ133" s="1013" t="s">
        <v>7724</v>
      </c>
      <c r="FR133" s="1013" t="s">
        <v>7724</v>
      </c>
      <c r="FS133" s="1013" t="s">
        <v>7724</v>
      </c>
      <c r="FT133" s="1013" t="s">
        <v>7724</v>
      </c>
      <c r="FU133" s="1013" t="s">
        <v>7724</v>
      </c>
      <c r="FV133" s="1013" t="s">
        <v>7724</v>
      </c>
      <c r="FW133" s="1013" t="s">
        <v>7724</v>
      </c>
      <c r="FX133" s="1013" t="s">
        <v>7724</v>
      </c>
      <c r="FY133" s="1013" t="s">
        <v>7724</v>
      </c>
      <c r="FZ133" s="1013" t="s">
        <v>7724</v>
      </c>
      <c r="GA133" s="1013" t="s">
        <v>7724</v>
      </c>
      <c r="GB133" s="1013" t="s">
        <v>7724</v>
      </c>
      <c r="GC133" s="1013">
        <v>2020</v>
      </c>
      <c r="GD133" s="1013" t="s">
        <v>1404</v>
      </c>
      <c r="GE133" s="1013">
        <v>2</v>
      </c>
      <c r="GF133" s="1013" t="s">
        <v>1407</v>
      </c>
      <c r="GG133" s="1013" t="s">
        <v>1407</v>
      </c>
      <c r="GH133" s="1013" t="s">
        <v>8109</v>
      </c>
      <c r="GI133" s="1013" t="s">
        <v>7974</v>
      </c>
      <c r="GJ133" s="1013" t="s">
        <v>7974</v>
      </c>
      <c r="GK133" s="1013" t="s">
        <v>7974</v>
      </c>
      <c r="GL133" s="1013" t="s">
        <v>7974</v>
      </c>
    </row>
    <row r="134" spans="1:194" hidden="1">
      <c r="A134" s="1013">
        <v>58</v>
      </c>
      <c r="B134" s="1013" t="s">
        <v>7722</v>
      </c>
      <c r="C134" s="1013">
        <v>17840487</v>
      </c>
      <c r="D134" s="1013" t="s">
        <v>7723</v>
      </c>
      <c r="E134" s="1013" t="s">
        <v>7723</v>
      </c>
      <c r="F134" s="1013" t="s">
        <v>7723</v>
      </c>
      <c r="G134" s="1013" t="s">
        <v>7723</v>
      </c>
      <c r="H134" s="1013" t="s">
        <v>7723</v>
      </c>
      <c r="I134" s="1013" t="s">
        <v>7723</v>
      </c>
      <c r="J134" s="1013" t="s">
        <v>7723</v>
      </c>
      <c r="K134" s="1024">
        <v>44071</v>
      </c>
      <c r="L134" s="1023">
        <v>0.74861111111111112</v>
      </c>
      <c r="M134" s="1013" t="s">
        <v>7834</v>
      </c>
      <c r="N134" s="1013" t="s">
        <v>7724</v>
      </c>
      <c r="O134" s="1013">
        <v>101</v>
      </c>
      <c r="P134" s="1013">
        <v>208</v>
      </c>
      <c r="Q134" s="1013" t="s">
        <v>7723</v>
      </c>
      <c r="R134" s="1013" t="s">
        <v>7727</v>
      </c>
      <c r="S134" s="1013" t="s">
        <v>7724</v>
      </c>
      <c r="T134" s="1014" t="s">
        <v>7724</v>
      </c>
      <c r="U134" s="1014">
        <v>19</v>
      </c>
      <c r="V134" s="1014" t="s">
        <v>7724</v>
      </c>
      <c r="W134" s="1014" t="s">
        <v>7724</v>
      </c>
      <c r="X134" s="1013">
        <v>1</v>
      </c>
      <c r="Y134" s="1013">
        <v>4600</v>
      </c>
      <c r="Z134" s="1013" t="s">
        <v>7723</v>
      </c>
      <c r="AA134" s="1013" t="s">
        <v>7728</v>
      </c>
      <c r="AB134" s="1013" t="s">
        <v>7835</v>
      </c>
      <c r="AC134" s="1013" t="s">
        <v>7723</v>
      </c>
      <c r="AD134" s="1013" t="s">
        <v>7723</v>
      </c>
      <c r="AE134" s="1013">
        <v>40</v>
      </c>
      <c r="AF134" s="1013" t="s">
        <v>7723</v>
      </c>
      <c r="AG134" s="1013" t="s">
        <v>7723</v>
      </c>
      <c r="AH134" s="1013" t="s">
        <v>7724</v>
      </c>
      <c r="AI134" s="1013" t="s">
        <v>7723</v>
      </c>
      <c r="AJ134" s="1013">
        <v>19</v>
      </c>
      <c r="AK134" s="1013" t="s">
        <v>7724</v>
      </c>
      <c r="AL134" s="1013" t="s">
        <v>7724</v>
      </c>
      <c r="AM134" s="1013">
        <v>1</v>
      </c>
      <c r="AN134" s="1013">
        <v>1200</v>
      </c>
      <c r="AO134" s="1013" t="s">
        <v>7790</v>
      </c>
      <c r="AP134" s="1013" t="s">
        <v>7757</v>
      </c>
      <c r="AQ134" s="1013" t="s">
        <v>7726</v>
      </c>
      <c r="AR134" s="1013" t="s">
        <v>7724</v>
      </c>
      <c r="AS134" s="1013" t="s">
        <v>7724</v>
      </c>
      <c r="AT134" s="1013" t="s">
        <v>7724</v>
      </c>
      <c r="AU134" s="1013" t="s">
        <v>7724</v>
      </c>
      <c r="AV134" s="1013" t="s">
        <v>7724</v>
      </c>
      <c r="AW134" s="1013" t="s">
        <v>7724</v>
      </c>
      <c r="AX134" s="1013">
        <v>2</v>
      </c>
      <c r="AY134" s="1013">
        <v>1</v>
      </c>
      <c r="AZ134" s="1013">
        <v>2</v>
      </c>
      <c r="BA134" s="1013">
        <v>4</v>
      </c>
      <c r="BB134" s="1013">
        <v>1</v>
      </c>
      <c r="BC134" s="1013">
        <v>2</v>
      </c>
      <c r="BD134" s="1013">
        <v>20</v>
      </c>
      <c r="BE134" s="1023">
        <v>0.74930555555555556</v>
      </c>
      <c r="BF134" s="1013" t="s">
        <v>7736</v>
      </c>
      <c r="BG134" s="1023">
        <v>0.75277777777777777</v>
      </c>
      <c r="BH134" s="1024">
        <v>44071</v>
      </c>
      <c r="BI134" s="1013" t="s">
        <v>7727</v>
      </c>
      <c r="BJ134" s="1013" t="s">
        <v>7730</v>
      </c>
      <c r="BK134" s="1013">
        <v>2469</v>
      </c>
      <c r="BL134" s="1013" t="s">
        <v>7724</v>
      </c>
      <c r="BM134" s="1013" t="s">
        <v>7724</v>
      </c>
      <c r="BN134" s="1013">
        <v>113</v>
      </c>
      <c r="BO134" s="1013">
        <v>8</v>
      </c>
      <c r="BP134" s="1013">
        <v>7</v>
      </c>
      <c r="BQ134" s="1013">
        <v>4</v>
      </c>
      <c r="BR134" s="1013">
        <v>1</v>
      </c>
      <c r="BS134" s="1013">
        <v>30</v>
      </c>
      <c r="BT134" s="1013">
        <v>54</v>
      </c>
      <c r="BU134" s="1013">
        <v>1</v>
      </c>
      <c r="BV134" s="1013">
        <v>5</v>
      </c>
      <c r="BW134" s="1013">
        <v>2</v>
      </c>
      <c r="BX134" s="1013">
        <v>21</v>
      </c>
      <c r="BY134" s="1013">
        <v>21</v>
      </c>
      <c r="BZ134" s="1013">
        <v>101</v>
      </c>
      <c r="CA134" s="1013">
        <v>208</v>
      </c>
      <c r="CB134" s="1013">
        <v>29.731715000000001</v>
      </c>
      <c r="CC134" s="1013">
        <v>-95.382378000000003</v>
      </c>
      <c r="CD134" s="1013" t="s">
        <v>7724</v>
      </c>
      <c r="CE134" s="1013" t="s">
        <v>7724</v>
      </c>
      <c r="CF134" s="1013" t="s">
        <v>7724</v>
      </c>
      <c r="CG134" s="1013" t="s">
        <v>7724</v>
      </c>
      <c r="CH134" s="1013" t="s">
        <v>7732</v>
      </c>
      <c r="CI134" s="1013">
        <v>4600</v>
      </c>
      <c r="CJ134" s="1013" t="s">
        <v>7724</v>
      </c>
      <c r="CK134" s="1013" t="s">
        <v>7724</v>
      </c>
      <c r="CL134" s="1013" t="s">
        <v>7724</v>
      </c>
      <c r="CM134" s="1013" t="s">
        <v>7724</v>
      </c>
      <c r="CN134" s="1013" t="s">
        <v>7724</v>
      </c>
      <c r="CO134" s="1013" t="s">
        <v>7724</v>
      </c>
      <c r="CP134" s="1013" t="s">
        <v>7724</v>
      </c>
      <c r="CQ134" s="1013" t="s">
        <v>7724</v>
      </c>
      <c r="CR134" s="1013" t="s">
        <v>7724</v>
      </c>
      <c r="CS134" s="1013" t="s">
        <v>7724</v>
      </c>
      <c r="CT134" s="1013" t="s">
        <v>7724</v>
      </c>
      <c r="CU134" s="1013" t="s">
        <v>7724</v>
      </c>
      <c r="CV134" s="1013" t="s">
        <v>7724</v>
      </c>
      <c r="CW134" s="1013" t="s">
        <v>7727</v>
      </c>
      <c r="CX134" s="1013" t="s">
        <v>7723</v>
      </c>
      <c r="CY134" s="1013" t="s">
        <v>7723</v>
      </c>
      <c r="CZ134" s="1013">
        <v>5</v>
      </c>
      <c r="DA134" s="1013">
        <v>9</v>
      </c>
      <c r="DB134" s="1013" t="s">
        <v>7727</v>
      </c>
      <c r="DC134" s="1013" t="s">
        <v>7759</v>
      </c>
      <c r="DD134" s="1013" t="s">
        <v>7724</v>
      </c>
      <c r="DE134" s="1013" t="s">
        <v>7724</v>
      </c>
      <c r="DF134" s="1013" t="s">
        <v>7724</v>
      </c>
      <c r="DG134" s="1013" t="s">
        <v>7724</v>
      </c>
      <c r="DH134" s="1013" t="s">
        <v>7724</v>
      </c>
      <c r="DI134" s="1013" t="s">
        <v>7724</v>
      </c>
      <c r="DJ134" s="1013" t="s">
        <v>7724</v>
      </c>
      <c r="DK134" s="1013" t="s">
        <v>7724</v>
      </c>
      <c r="DL134" s="1013" t="s">
        <v>7724</v>
      </c>
      <c r="DM134" s="1013" t="s">
        <v>7724</v>
      </c>
      <c r="DN134" s="1013" t="s">
        <v>7724</v>
      </c>
      <c r="DO134" s="1013" t="s">
        <v>7724</v>
      </c>
      <c r="DP134" s="1013" t="s">
        <v>7724</v>
      </c>
      <c r="DQ134" s="1013" t="s">
        <v>7724</v>
      </c>
      <c r="DR134" s="1013" t="s">
        <v>7724</v>
      </c>
      <c r="DS134" s="1013" t="s">
        <v>7724</v>
      </c>
      <c r="DT134" s="1013" t="s">
        <v>7724</v>
      </c>
      <c r="DU134" s="1013" t="s">
        <v>7724</v>
      </c>
      <c r="DV134" s="1013" t="s">
        <v>7724</v>
      </c>
      <c r="DW134" s="1013" t="s">
        <v>7724</v>
      </c>
      <c r="DX134" s="1013" t="s">
        <v>7724</v>
      </c>
      <c r="DY134" s="1013" t="s">
        <v>7724</v>
      </c>
      <c r="DZ134" s="1013" t="s">
        <v>7724</v>
      </c>
      <c r="EA134" s="1013" t="s">
        <v>7724</v>
      </c>
      <c r="EB134" s="1013" t="s">
        <v>7724</v>
      </c>
      <c r="EC134" s="1013" t="s">
        <v>7724</v>
      </c>
      <c r="ED134" s="1013" t="s">
        <v>7724</v>
      </c>
      <c r="EE134" s="1013" t="s">
        <v>7724</v>
      </c>
      <c r="EF134" s="1013" t="s">
        <v>7724</v>
      </c>
      <c r="EG134" s="1013" t="s">
        <v>7724</v>
      </c>
      <c r="EH134" s="1013" t="s">
        <v>7724</v>
      </c>
      <c r="EI134" s="1013" t="s">
        <v>7724</v>
      </c>
      <c r="EJ134" s="1013" t="s">
        <v>7724</v>
      </c>
      <c r="EK134" s="1013" t="s">
        <v>7724</v>
      </c>
      <c r="EL134" s="1013" t="s">
        <v>7724</v>
      </c>
      <c r="EM134" s="1013" t="s">
        <v>7724</v>
      </c>
      <c r="EN134" s="1013" t="s">
        <v>7724</v>
      </c>
      <c r="EO134" s="1013" t="s">
        <v>7724</v>
      </c>
      <c r="EP134" s="1013" t="s">
        <v>7724</v>
      </c>
      <c r="EQ134" s="1013" t="s">
        <v>7724</v>
      </c>
      <c r="ER134" s="1013" t="s">
        <v>7724</v>
      </c>
      <c r="ES134" s="1013" t="s">
        <v>7724</v>
      </c>
      <c r="ET134" s="1013" t="s">
        <v>7724</v>
      </c>
      <c r="EU134" s="1013" t="s">
        <v>7724</v>
      </c>
      <c r="EV134" s="1013" t="s">
        <v>7724</v>
      </c>
      <c r="EW134" s="1013" t="s">
        <v>7724</v>
      </c>
      <c r="EX134" s="1013" t="s">
        <v>7724</v>
      </c>
      <c r="EY134" s="1013" t="s">
        <v>7724</v>
      </c>
      <c r="EZ134" s="1013" t="s">
        <v>7724</v>
      </c>
      <c r="FA134" s="1013" t="s">
        <v>7724</v>
      </c>
      <c r="FB134" s="1013" t="s">
        <v>7724</v>
      </c>
      <c r="FC134" s="1013" t="s">
        <v>7724</v>
      </c>
      <c r="FD134" s="1013" t="s">
        <v>7724</v>
      </c>
      <c r="FE134" s="1013" t="s">
        <v>7724</v>
      </c>
      <c r="FF134" s="1013" t="s">
        <v>7724</v>
      </c>
      <c r="FG134" s="1013">
        <v>0</v>
      </c>
      <c r="FH134" s="1013">
        <v>0</v>
      </c>
      <c r="FI134" s="1013">
        <v>0</v>
      </c>
      <c r="FJ134" s="1013">
        <v>1</v>
      </c>
      <c r="FK134" s="1013">
        <v>0</v>
      </c>
      <c r="FL134" s="1013">
        <v>0</v>
      </c>
      <c r="FM134" s="1013">
        <v>0</v>
      </c>
      <c r="FN134" s="1013">
        <v>15</v>
      </c>
      <c r="FO134" s="1013">
        <v>29</v>
      </c>
      <c r="FP134" s="1013">
        <v>9</v>
      </c>
      <c r="FQ134" s="1013" t="s">
        <v>7724</v>
      </c>
      <c r="FR134" s="1013" t="s">
        <v>7724</v>
      </c>
      <c r="FS134" s="1013" t="s">
        <v>7724</v>
      </c>
      <c r="FT134" s="1013" t="s">
        <v>7724</v>
      </c>
      <c r="FU134" s="1013" t="s">
        <v>7724</v>
      </c>
      <c r="FV134" s="1013" t="s">
        <v>7724</v>
      </c>
      <c r="FW134" s="1013" t="s">
        <v>7724</v>
      </c>
      <c r="FX134" s="1013" t="s">
        <v>7724</v>
      </c>
      <c r="FY134" s="1013" t="s">
        <v>7724</v>
      </c>
      <c r="FZ134" s="1013" t="s">
        <v>7724</v>
      </c>
      <c r="GA134" s="1013" t="s">
        <v>7724</v>
      </c>
      <c r="GB134" s="1013" t="s">
        <v>7724</v>
      </c>
      <c r="GC134" s="1013">
        <v>2020</v>
      </c>
      <c r="GD134" s="1013" t="s">
        <v>1404</v>
      </c>
      <c r="GE134" s="1013">
        <v>1</v>
      </c>
      <c r="GF134" s="1013" t="s">
        <v>1407</v>
      </c>
      <c r="GG134" s="1013" t="s">
        <v>1407</v>
      </c>
      <c r="GH134" s="1013">
        <v>23</v>
      </c>
      <c r="GI134" s="1013" t="s">
        <v>8006</v>
      </c>
      <c r="GJ134" s="1013" t="s">
        <v>8006</v>
      </c>
      <c r="GK134" s="1013" t="s">
        <v>8006</v>
      </c>
      <c r="GL134" s="1013" t="s">
        <v>8006</v>
      </c>
    </row>
    <row r="135" spans="1:194" hidden="1">
      <c r="A135" s="1013">
        <v>59</v>
      </c>
      <c r="B135" s="1013" t="s">
        <v>7722</v>
      </c>
      <c r="C135" s="1013">
        <v>17850211</v>
      </c>
      <c r="D135" s="1013" t="s">
        <v>7723</v>
      </c>
      <c r="E135" s="1013" t="s">
        <v>7723</v>
      </c>
      <c r="F135" s="1013" t="s">
        <v>7723</v>
      </c>
      <c r="G135" s="1013" t="s">
        <v>7723</v>
      </c>
      <c r="H135" s="1013" t="s">
        <v>7723</v>
      </c>
      <c r="I135" s="1013" t="s">
        <v>7723</v>
      </c>
      <c r="J135" s="1013" t="s">
        <v>7723</v>
      </c>
      <c r="K135" s="1024">
        <v>44075</v>
      </c>
      <c r="L135" s="1023">
        <v>0.69097222222222221</v>
      </c>
      <c r="M135" s="1013" t="s">
        <v>8110</v>
      </c>
      <c r="N135" s="1013" t="s">
        <v>7744</v>
      </c>
      <c r="O135" s="1013">
        <v>101</v>
      </c>
      <c r="P135" s="1013">
        <v>208</v>
      </c>
      <c r="Q135" s="1013" t="s">
        <v>7723</v>
      </c>
      <c r="R135" s="1013" t="s">
        <v>7727</v>
      </c>
      <c r="S135" s="1013" t="s">
        <v>7724</v>
      </c>
      <c r="T135" s="1014" t="s">
        <v>7724</v>
      </c>
      <c r="U135" s="1014">
        <v>2</v>
      </c>
      <c r="V135" s="1014">
        <v>59</v>
      </c>
      <c r="W135" s="1014" t="s">
        <v>7724</v>
      </c>
      <c r="X135" s="1013">
        <v>1</v>
      </c>
      <c r="Y135" s="1013">
        <v>218</v>
      </c>
      <c r="Z135" s="1013" t="s">
        <v>7770</v>
      </c>
      <c r="AA135" s="1013" t="s">
        <v>7771</v>
      </c>
      <c r="AB135" s="1013" t="s">
        <v>7760</v>
      </c>
      <c r="AC135" s="1013" t="s">
        <v>7723</v>
      </c>
      <c r="AD135" s="1013" t="s">
        <v>7723</v>
      </c>
      <c r="AE135" s="1013">
        <v>60</v>
      </c>
      <c r="AF135" s="1013" t="s">
        <v>7723</v>
      </c>
      <c r="AG135" s="1013" t="s">
        <v>7723</v>
      </c>
      <c r="AH135" s="1013" t="s">
        <v>8111</v>
      </c>
      <c r="AI135" s="1013" t="s">
        <v>7723</v>
      </c>
      <c r="AJ135" s="1013">
        <v>19</v>
      </c>
      <c r="AK135" s="1013" t="s">
        <v>7724</v>
      </c>
      <c r="AL135" s="1013" t="s">
        <v>7724</v>
      </c>
      <c r="AM135" s="1013">
        <v>1</v>
      </c>
      <c r="AN135" s="1013" t="s">
        <v>7724</v>
      </c>
      <c r="AO135" s="1013" t="s">
        <v>7724</v>
      </c>
      <c r="AP135" s="1013" t="s">
        <v>7840</v>
      </c>
      <c r="AQ135" s="1013" t="s">
        <v>7726</v>
      </c>
      <c r="AR135" s="1013" t="s">
        <v>7724</v>
      </c>
      <c r="AS135" s="1013" t="s">
        <v>7724</v>
      </c>
      <c r="AT135" s="1013" t="s">
        <v>7724</v>
      </c>
      <c r="AU135" s="1013" t="s">
        <v>7724</v>
      </c>
      <c r="AV135" s="1013" t="s">
        <v>7724</v>
      </c>
      <c r="AW135" s="1013" t="s">
        <v>7724</v>
      </c>
      <c r="AX135" s="1013">
        <v>11</v>
      </c>
      <c r="AY135" s="1013">
        <v>1</v>
      </c>
      <c r="AZ135" s="1013">
        <v>0</v>
      </c>
      <c r="BA135" s="1013">
        <v>4</v>
      </c>
      <c r="BB135" s="1013">
        <v>1</v>
      </c>
      <c r="BC135" s="1013">
        <v>1</v>
      </c>
      <c r="BD135" s="1013">
        <v>20</v>
      </c>
      <c r="BE135" s="1023">
        <v>0.69930555555555551</v>
      </c>
      <c r="BF135" s="1013" t="s">
        <v>7729</v>
      </c>
      <c r="BG135" s="1023">
        <v>0.71250000000000002</v>
      </c>
      <c r="BH135" s="1024">
        <v>44075</v>
      </c>
      <c r="BI135" s="1013" t="s">
        <v>7727</v>
      </c>
      <c r="BJ135" s="1013" t="s">
        <v>7730</v>
      </c>
      <c r="BK135" s="1013">
        <v>2469</v>
      </c>
      <c r="BL135" s="1013" t="s">
        <v>7724</v>
      </c>
      <c r="BM135" s="1013" t="s">
        <v>7724</v>
      </c>
      <c r="BN135" s="1013">
        <v>113</v>
      </c>
      <c r="BO135" s="1013">
        <v>8</v>
      </c>
      <c r="BP135" s="1013">
        <v>2</v>
      </c>
      <c r="BQ135" s="1013">
        <v>4</v>
      </c>
      <c r="BR135" s="1013">
        <v>20</v>
      </c>
      <c r="BS135" s="1013">
        <v>64</v>
      </c>
      <c r="BT135" s="1013">
        <v>54</v>
      </c>
      <c r="BU135" s="1013">
        <v>1</v>
      </c>
      <c r="BV135" s="1013">
        <v>2</v>
      </c>
      <c r="BW135" s="1013">
        <v>1</v>
      </c>
      <c r="BX135" s="1013">
        <v>21</v>
      </c>
      <c r="BY135" s="1013">
        <v>21</v>
      </c>
      <c r="BZ135" s="1013">
        <v>101</v>
      </c>
      <c r="CA135" s="1013">
        <v>208</v>
      </c>
      <c r="CB135" s="1013">
        <v>29.732536</v>
      </c>
      <c r="CC135" s="1013">
        <v>-95.380307999999999</v>
      </c>
      <c r="CD135" s="1013" t="s">
        <v>8016</v>
      </c>
      <c r="CE135" s="1013">
        <v>69</v>
      </c>
      <c r="CF135" s="1013" t="s">
        <v>7724</v>
      </c>
      <c r="CG135" s="1013">
        <v>33.594000000000001</v>
      </c>
      <c r="CH135" s="1013" t="s">
        <v>8017</v>
      </c>
      <c r="CI135" s="1013">
        <v>4392</v>
      </c>
      <c r="CJ135" s="1013">
        <v>27</v>
      </c>
      <c r="CK135" s="1013">
        <v>13</v>
      </c>
      <c r="CL135" s="1013">
        <v>13.891999999999999</v>
      </c>
      <c r="CM135" s="1013">
        <v>128</v>
      </c>
      <c r="CN135" s="1013">
        <v>0.33500000000000002</v>
      </c>
      <c r="CO135" s="1013" t="s">
        <v>7724</v>
      </c>
      <c r="CP135" s="1013" t="s">
        <v>7724</v>
      </c>
      <c r="CQ135" s="1013" t="s">
        <v>7724</v>
      </c>
      <c r="CR135" s="1013" t="s">
        <v>7724</v>
      </c>
      <c r="CS135" s="1013" t="s">
        <v>7724</v>
      </c>
      <c r="CT135" s="1013" t="s">
        <v>7724</v>
      </c>
      <c r="CU135" s="1013" t="s">
        <v>7724</v>
      </c>
      <c r="CV135" s="1013" t="s">
        <v>7724</v>
      </c>
      <c r="CW135" s="1013" t="s">
        <v>7727</v>
      </c>
      <c r="CX135" s="1013" t="s">
        <v>7727</v>
      </c>
      <c r="CY135" s="1013" t="s">
        <v>7723</v>
      </c>
      <c r="CZ135" s="1013">
        <v>3</v>
      </c>
      <c r="DA135" s="1013">
        <v>9</v>
      </c>
      <c r="DB135" s="1013" t="s">
        <v>7727</v>
      </c>
      <c r="DC135" s="1013" t="s">
        <v>7737</v>
      </c>
      <c r="DD135" s="1013">
        <v>5</v>
      </c>
      <c r="DE135" s="1013" t="s">
        <v>7724</v>
      </c>
      <c r="DF135" s="1013">
        <v>20</v>
      </c>
      <c r="DG135" s="1013">
        <v>20</v>
      </c>
      <c r="DH135" s="1013">
        <v>5</v>
      </c>
      <c r="DI135" s="1013" t="s">
        <v>7724</v>
      </c>
      <c r="DJ135" s="1013">
        <v>8</v>
      </c>
      <c r="DK135" s="1013">
        <v>400</v>
      </c>
      <c r="DL135" s="1013">
        <v>138</v>
      </c>
      <c r="DM135" s="1013">
        <v>98</v>
      </c>
      <c r="DN135" s="1013">
        <v>1</v>
      </c>
      <c r="DO135" s="1013">
        <v>0</v>
      </c>
      <c r="DP135" s="1013">
        <v>0</v>
      </c>
      <c r="DQ135" s="1013">
        <v>1</v>
      </c>
      <c r="DR135" s="1013">
        <v>20</v>
      </c>
      <c r="DS135" s="1013">
        <v>5</v>
      </c>
      <c r="DT135" s="1013">
        <v>1</v>
      </c>
      <c r="DU135" s="1013">
        <v>20</v>
      </c>
      <c r="DV135" s="1013">
        <v>5</v>
      </c>
      <c r="DW135" s="1013">
        <v>7</v>
      </c>
      <c r="DX135" s="1013">
        <v>5</v>
      </c>
      <c r="DY135" s="1013">
        <v>4</v>
      </c>
      <c r="DZ135" s="1013">
        <v>1</v>
      </c>
      <c r="EA135" s="1013">
        <v>185410</v>
      </c>
      <c r="EB135" s="1013">
        <v>2019</v>
      </c>
      <c r="EC135" s="1013">
        <v>185410</v>
      </c>
      <c r="ED135" s="1013">
        <v>2.2999999999999998</v>
      </c>
      <c r="EE135" s="1013">
        <v>2.5</v>
      </c>
      <c r="EF135" s="1013">
        <v>4.8</v>
      </c>
      <c r="EG135" s="1013" t="s">
        <v>7724</v>
      </c>
      <c r="EH135" s="1013" t="s">
        <v>7724</v>
      </c>
      <c r="EI135" s="1013" t="s">
        <v>7724</v>
      </c>
      <c r="EJ135" s="1013" t="s">
        <v>7724</v>
      </c>
      <c r="EK135" s="1013" t="s">
        <v>7724</v>
      </c>
      <c r="EL135" s="1013" t="s">
        <v>7724</v>
      </c>
      <c r="EM135" s="1013" t="s">
        <v>7724</v>
      </c>
      <c r="EN135" s="1013" t="s">
        <v>7724</v>
      </c>
      <c r="EO135" s="1013" t="s">
        <v>7724</v>
      </c>
      <c r="EP135" s="1013" t="s">
        <v>7724</v>
      </c>
      <c r="EQ135" s="1013" t="s">
        <v>7724</v>
      </c>
      <c r="ER135" s="1013" t="s">
        <v>7724</v>
      </c>
      <c r="ES135" s="1013" t="s">
        <v>7724</v>
      </c>
      <c r="ET135" s="1013" t="s">
        <v>7724</v>
      </c>
      <c r="EU135" s="1013" t="s">
        <v>7724</v>
      </c>
      <c r="EV135" s="1013" t="s">
        <v>7724</v>
      </c>
      <c r="EW135" s="1013" t="s">
        <v>7724</v>
      </c>
      <c r="EX135" s="1013" t="s">
        <v>7724</v>
      </c>
      <c r="EY135" s="1013" t="s">
        <v>7724</v>
      </c>
      <c r="EZ135" s="1013" t="s">
        <v>7724</v>
      </c>
      <c r="FA135" s="1013" t="s">
        <v>7724</v>
      </c>
      <c r="FB135" s="1013" t="s">
        <v>7724</v>
      </c>
      <c r="FC135" s="1013" t="s">
        <v>7724</v>
      </c>
      <c r="FD135" s="1013" t="s">
        <v>7724</v>
      </c>
      <c r="FE135" s="1013" t="s">
        <v>7724</v>
      </c>
      <c r="FF135" s="1013" t="s">
        <v>7724</v>
      </c>
      <c r="FG135" s="1013">
        <v>0</v>
      </c>
      <c r="FH135" s="1013">
        <v>0</v>
      </c>
      <c r="FI135" s="1013">
        <v>1</v>
      </c>
      <c r="FJ135" s="1013">
        <v>0</v>
      </c>
      <c r="FK135" s="1013">
        <v>1</v>
      </c>
      <c r="FL135" s="1013">
        <v>1</v>
      </c>
      <c r="FM135" s="1013">
        <v>0</v>
      </c>
      <c r="FN135" s="1013">
        <v>15</v>
      </c>
      <c r="FO135" s="1013">
        <v>29</v>
      </c>
      <c r="FP135" s="1013">
        <v>6</v>
      </c>
      <c r="FQ135" s="1013" t="s">
        <v>7724</v>
      </c>
      <c r="FR135" s="1013" t="s">
        <v>7724</v>
      </c>
      <c r="FS135" s="1013" t="s">
        <v>7724</v>
      </c>
      <c r="FT135" s="1013" t="s">
        <v>7724</v>
      </c>
      <c r="FU135" s="1013" t="s">
        <v>7724</v>
      </c>
      <c r="FV135" s="1013" t="s">
        <v>7724</v>
      </c>
      <c r="FW135" s="1013" t="s">
        <v>7724</v>
      </c>
      <c r="FX135" s="1013" t="s">
        <v>7724</v>
      </c>
      <c r="FY135" s="1013" t="s">
        <v>7724</v>
      </c>
      <c r="FZ135" s="1013" t="s">
        <v>7724</v>
      </c>
      <c r="GA135" s="1013" t="s">
        <v>7724</v>
      </c>
      <c r="GB135" s="1013" t="s">
        <v>7724</v>
      </c>
      <c r="GC135" s="1013">
        <v>2020</v>
      </c>
      <c r="GD135" s="1013" t="s">
        <v>1407</v>
      </c>
      <c r="GE135" s="1013">
        <v>2</v>
      </c>
      <c r="GF135" s="1013" t="s">
        <v>1407</v>
      </c>
      <c r="GG135" s="1013" t="s">
        <v>1407</v>
      </c>
      <c r="GH135" s="1013" t="s">
        <v>8023</v>
      </c>
      <c r="GI135" s="1013" t="s">
        <v>7974</v>
      </c>
      <c r="GJ135" s="1013" t="s">
        <v>7974</v>
      </c>
      <c r="GK135" s="1013" t="s">
        <v>7974</v>
      </c>
      <c r="GL135" s="1013" t="s">
        <v>7974</v>
      </c>
    </row>
    <row r="136" spans="1:194" hidden="1">
      <c r="A136" s="1013">
        <v>62</v>
      </c>
      <c r="B136" s="1013" t="s">
        <v>7722</v>
      </c>
      <c r="C136" s="1013">
        <v>17892443</v>
      </c>
      <c r="D136" s="1013" t="s">
        <v>7723</v>
      </c>
      <c r="E136" s="1013" t="s">
        <v>7723</v>
      </c>
      <c r="F136" s="1013" t="s">
        <v>7723</v>
      </c>
      <c r="G136" s="1013" t="s">
        <v>7723</v>
      </c>
      <c r="H136" s="1013" t="s">
        <v>7723</v>
      </c>
      <c r="I136" s="1013" t="s">
        <v>7723</v>
      </c>
      <c r="J136" s="1013" t="s">
        <v>7723</v>
      </c>
      <c r="K136" s="1024">
        <v>44105</v>
      </c>
      <c r="L136" s="1023">
        <v>0.81944444444444442</v>
      </c>
      <c r="M136" s="1013" t="s">
        <v>8112</v>
      </c>
      <c r="N136" s="1013" t="s">
        <v>7744</v>
      </c>
      <c r="O136" s="1013">
        <v>101</v>
      </c>
      <c r="P136" s="1013">
        <v>208</v>
      </c>
      <c r="Q136" s="1013" t="s">
        <v>7723</v>
      </c>
      <c r="R136" s="1013" t="s">
        <v>7727</v>
      </c>
      <c r="S136" s="1013" t="s">
        <v>7724</v>
      </c>
      <c r="T136" s="1014" t="s">
        <v>7724</v>
      </c>
      <c r="U136" s="1014">
        <v>2</v>
      </c>
      <c r="V136" s="1014">
        <v>59</v>
      </c>
      <c r="W136" s="1014" t="s">
        <v>7724</v>
      </c>
      <c r="X136" s="1013">
        <v>1</v>
      </c>
      <c r="Y136" s="1013">
        <v>600</v>
      </c>
      <c r="Z136" s="1013" t="s">
        <v>7770</v>
      </c>
      <c r="AA136" s="1013" t="s">
        <v>7771</v>
      </c>
      <c r="AB136" s="1013" t="s">
        <v>7760</v>
      </c>
      <c r="AC136" s="1013" t="s">
        <v>7723</v>
      </c>
      <c r="AD136" s="1013" t="s">
        <v>7723</v>
      </c>
      <c r="AE136" s="1013">
        <v>55</v>
      </c>
      <c r="AF136" s="1013" t="s">
        <v>7723</v>
      </c>
      <c r="AG136" s="1013" t="s">
        <v>7723</v>
      </c>
      <c r="AH136" s="1013" t="s">
        <v>7739</v>
      </c>
      <c r="AI136" s="1013" t="s">
        <v>7723</v>
      </c>
      <c r="AJ136" s="1013">
        <v>19</v>
      </c>
      <c r="AK136" s="1013" t="s">
        <v>7724</v>
      </c>
      <c r="AL136" s="1013" t="s">
        <v>7724</v>
      </c>
      <c r="AM136" s="1013">
        <v>1</v>
      </c>
      <c r="AN136" s="1013">
        <v>4400</v>
      </c>
      <c r="AO136" s="1013" t="s">
        <v>7724</v>
      </c>
      <c r="AP136" s="1013" t="s">
        <v>7728</v>
      </c>
      <c r="AQ136" s="1013" t="s">
        <v>7726</v>
      </c>
      <c r="AR136" s="1013" t="s">
        <v>7724</v>
      </c>
      <c r="AS136" s="1013" t="s">
        <v>7724</v>
      </c>
      <c r="AT136" s="1013" t="s">
        <v>7724</v>
      </c>
      <c r="AU136" s="1013" t="s">
        <v>7724</v>
      </c>
      <c r="AV136" s="1013" t="s">
        <v>7724</v>
      </c>
      <c r="AW136" s="1013" t="s">
        <v>7724</v>
      </c>
      <c r="AX136" s="1013">
        <v>11</v>
      </c>
      <c r="AY136" s="1013">
        <v>4</v>
      </c>
      <c r="AZ136" s="1013">
        <v>0</v>
      </c>
      <c r="BA136" s="1013">
        <v>4</v>
      </c>
      <c r="BB136" s="1013">
        <v>1</v>
      </c>
      <c r="BC136" s="1013">
        <v>1</v>
      </c>
      <c r="BD136" s="1013">
        <v>20</v>
      </c>
      <c r="BE136" s="1023">
        <v>0.82291666666666663</v>
      </c>
      <c r="BF136" s="1013" t="s">
        <v>7748</v>
      </c>
      <c r="BG136" s="1023">
        <v>0.8305555555555556</v>
      </c>
      <c r="BH136" s="1024">
        <v>44105</v>
      </c>
      <c r="BI136" s="1013" t="s">
        <v>7727</v>
      </c>
      <c r="BJ136" s="1013" t="s">
        <v>7730</v>
      </c>
      <c r="BK136" s="1013">
        <v>2469</v>
      </c>
      <c r="BL136" s="1013" t="s">
        <v>7724</v>
      </c>
      <c r="BM136" s="1013" t="s">
        <v>7724</v>
      </c>
      <c r="BN136" s="1013">
        <v>113</v>
      </c>
      <c r="BO136" s="1013">
        <v>8</v>
      </c>
      <c r="BP136" s="1013">
        <v>2</v>
      </c>
      <c r="BQ136" s="1013">
        <v>4</v>
      </c>
      <c r="BR136" s="1013">
        <v>21</v>
      </c>
      <c r="BS136" s="1013">
        <v>64</v>
      </c>
      <c r="BT136" s="1013">
        <v>9</v>
      </c>
      <c r="BU136" s="1013">
        <v>1</v>
      </c>
      <c r="BV136" s="1013">
        <v>2</v>
      </c>
      <c r="BW136" s="1013">
        <v>1</v>
      </c>
      <c r="BX136" s="1013">
        <v>21</v>
      </c>
      <c r="BY136" s="1013">
        <v>21</v>
      </c>
      <c r="BZ136" s="1013">
        <v>101</v>
      </c>
      <c r="CA136" s="1013">
        <v>208</v>
      </c>
      <c r="CB136" s="1013">
        <v>29.732420999999999</v>
      </c>
      <c r="CC136" s="1013">
        <v>-95.381780000000006</v>
      </c>
      <c r="CD136" s="1013" t="s">
        <v>8016</v>
      </c>
      <c r="CE136" s="1013">
        <v>69</v>
      </c>
      <c r="CF136" s="1013" t="s">
        <v>7724</v>
      </c>
      <c r="CG136" s="1013">
        <v>33.505000000000003</v>
      </c>
      <c r="CH136" s="1013" t="s">
        <v>8017</v>
      </c>
      <c r="CI136" s="1013" t="s">
        <v>7724</v>
      </c>
      <c r="CJ136" s="1013">
        <v>27</v>
      </c>
      <c r="CK136" s="1013">
        <v>13</v>
      </c>
      <c r="CL136" s="1013">
        <v>13.8</v>
      </c>
      <c r="CM136" s="1013">
        <v>128</v>
      </c>
      <c r="CN136" s="1013">
        <v>0.246</v>
      </c>
      <c r="CO136" s="1013" t="s">
        <v>7724</v>
      </c>
      <c r="CP136" s="1013" t="s">
        <v>7724</v>
      </c>
      <c r="CQ136" s="1013" t="s">
        <v>7724</v>
      </c>
      <c r="CR136" s="1013" t="s">
        <v>7724</v>
      </c>
      <c r="CS136" s="1013" t="s">
        <v>7724</v>
      </c>
      <c r="CT136" s="1013" t="s">
        <v>7724</v>
      </c>
      <c r="CU136" s="1013" t="s">
        <v>7724</v>
      </c>
      <c r="CV136" s="1013" t="s">
        <v>7724</v>
      </c>
      <c r="CW136" s="1013" t="s">
        <v>7727</v>
      </c>
      <c r="CX136" s="1013" t="s">
        <v>7727</v>
      </c>
      <c r="CY136" s="1013" t="s">
        <v>7723</v>
      </c>
      <c r="CZ136" s="1013">
        <v>5</v>
      </c>
      <c r="DA136" s="1013">
        <v>9</v>
      </c>
      <c r="DB136" s="1013" t="s">
        <v>7727</v>
      </c>
      <c r="DC136" s="1013" t="s">
        <v>7740</v>
      </c>
      <c r="DD136" s="1013">
        <v>5</v>
      </c>
      <c r="DE136" s="1013" t="s">
        <v>7724</v>
      </c>
      <c r="DF136" s="1013">
        <v>20</v>
      </c>
      <c r="DG136" s="1013">
        <v>20</v>
      </c>
      <c r="DH136" s="1013">
        <v>5</v>
      </c>
      <c r="DI136" s="1013" t="s">
        <v>7724</v>
      </c>
      <c r="DJ136" s="1013">
        <v>8</v>
      </c>
      <c r="DK136" s="1013">
        <v>400</v>
      </c>
      <c r="DL136" s="1013">
        <v>138</v>
      </c>
      <c r="DM136" s="1013">
        <v>98</v>
      </c>
      <c r="DN136" s="1013">
        <v>1</v>
      </c>
      <c r="DO136" s="1013">
        <v>0</v>
      </c>
      <c r="DP136" s="1013">
        <v>0</v>
      </c>
      <c r="DQ136" s="1013">
        <v>1</v>
      </c>
      <c r="DR136" s="1013">
        <v>20</v>
      </c>
      <c r="DS136" s="1013">
        <v>5</v>
      </c>
      <c r="DT136" s="1013">
        <v>1</v>
      </c>
      <c r="DU136" s="1013">
        <v>20</v>
      </c>
      <c r="DV136" s="1013">
        <v>5</v>
      </c>
      <c r="DW136" s="1013">
        <v>7</v>
      </c>
      <c r="DX136" s="1013">
        <v>5</v>
      </c>
      <c r="DY136" s="1013">
        <v>4</v>
      </c>
      <c r="DZ136" s="1013">
        <v>1</v>
      </c>
      <c r="EA136" s="1013">
        <v>185410</v>
      </c>
      <c r="EB136" s="1013">
        <v>2019</v>
      </c>
      <c r="EC136" s="1013">
        <v>185410</v>
      </c>
      <c r="ED136" s="1013">
        <v>2.2999999999999998</v>
      </c>
      <c r="EE136" s="1013">
        <v>2.5</v>
      </c>
      <c r="EF136" s="1013">
        <v>4.8</v>
      </c>
      <c r="EG136" s="1013" t="s">
        <v>7724</v>
      </c>
      <c r="EH136" s="1013" t="s">
        <v>7724</v>
      </c>
      <c r="EI136" s="1013" t="s">
        <v>7724</v>
      </c>
      <c r="EJ136" s="1013" t="s">
        <v>7724</v>
      </c>
      <c r="EK136" s="1013" t="s">
        <v>7724</v>
      </c>
      <c r="EL136" s="1013" t="s">
        <v>7724</v>
      </c>
      <c r="EM136" s="1013" t="s">
        <v>7724</v>
      </c>
      <c r="EN136" s="1013" t="s">
        <v>7724</v>
      </c>
      <c r="EO136" s="1013" t="s">
        <v>7724</v>
      </c>
      <c r="EP136" s="1013" t="s">
        <v>7724</v>
      </c>
      <c r="EQ136" s="1013" t="s">
        <v>7724</v>
      </c>
      <c r="ER136" s="1013" t="s">
        <v>7724</v>
      </c>
      <c r="ES136" s="1013" t="s">
        <v>7724</v>
      </c>
      <c r="ET136" s="1013" t="s">
        <v>7724</v>
      </c>
      <c r="EU136" s="1013" t="s">
        <v>7724</v>
      </c>
      <c r="EV136" s="1013" t="s">
        <v>7724</v>
      </c>
      <c r="EW136" s="1013" t="s">
        <v>7724</v>
      </c>
      <c r="EX136" s="1013" t="s">
        <v>7724</v>
      </c>
      <c r="EY136" s="1013" t="s">
        <v>7724</v>
      </c>
      <c r="EZ136" s="1013" t="s">
        <v>7724</v>
      </c>
      <c r="FA136" s="1013" t="s">
        <v>7724</v>
      </c>
      <c r="FB136" s="1013" t="s">
        <v>7724</v>
      </c>
      <c r="FC136" s="1013" t="s">
        <v>7724</v>
      </c>
      <c r="FD136" s="1013" t="s">
        <v>7724</v>
      </c>
      <c r="FE136" s="1013" t="s">
        <v>7724</v>
      </c>
      <c r="FF136" s="1013" t="s">
        <v>7724</v>
      </c>
      <c r="FG136" s="1013">
        <v>0</v>
      </c>
      <c r="FH136" s="1013">
        <v>0</v>
      </c>
      <c r="FI136" s="1013">
        <v>0</v>
      </c>
      <c r="FJ136" s="1013">
        <v>1</v>
      </c>
      <c r="FK136" s="1013">
        <v>1</v>
      </c>
      <c r="FL136" s="1013">
        <v>0</v>
      </c>
      <c r="FM136" s="1013">
        <v>0</v>
      </c>
      <c r="FN136" s="1013">
        <v>15</v>
      </c>
      <c r="FO136" s="1013">
        <v>29</v>
      </c>
      <c r="FP136" s="1013">
        <v>6</v>
      </c>
      <c r="FQ136" s="1013" t="s">
        <v>7724</v>
      </c>
      <c r="FR136" s="1013" t="s">
        <v>7724</v>
      </c>
      <c r="FS136" s="1013" t="s">
        <v>7724</v>
      </c>
      <c r="FT136" s="1013" t="s">
        <v>7724</v>
      </c>
      <c r="FU136" s="1013" t="s">
        <v>7724</v>
      </c>
      <c r="FV136" s="1013" t="s">
        <v>7724</v>
      </c>
      <c r="FW136" s="1013" t="s">
        <v>7724</v>
      </c>
      <c r="FX136" s="1013" t="s">
        <v>7724</v>
      </c>
      <c r="FY136" s="1013" t="s">
        <v>7724</v>
      </c>
      <c r="FZ136" s="1013" t="s">
        <v>7724</v>
      </c>
      <c r="GA136" s="1013" t="s">
        <v>7724</v>
      </c>
      <c r="GB136" s="1013" t="s">
        <v>7724</v>
      </c>
      <c r="GC136" s="1013">
        <v>2020</v>
      </c>
      <c r="GD136" s="1013" t="s">
        <v>1407</v>
      </c>
      <c r="GE136" s="1013">
        <v>2</v>
      </c>
      <c r="GF136" s="1013" t="s">
        <v>1407</v>
      </c>
      <c r="GG136" s="1013" t="s">
        <v>1407</v>
      </c>
      <c r="GH136" s="1013" t="s">
        <v>8067</v>
      </c>
      <c r="GI136" s="1013" t="s">
        <v>7974</v>
      </c>
      <c r="GJ136" s="1013" t="s">
        <v>7974</v>
      </c>
      <c r="GK136" s="1013" t="s">
        <v>8113</v>
      </c>
      <c r="GL136" s="1013" t="s">
        <v>7974</v>
      </c>
    </row>
    <row r="137" spans="1:194" hidden="1">
      <c r="A137" s="1013">
        <v>64</v>
      </c>
      <c r="B137" s="1013" t="s">
        <v>7722</v>
      </c>
      <c r="C137" s="1013">
        <v>17906435</v>
      </c>
      <c r="D137" s="1013" t="s">
        <v>7723</v>
      </c>
      <c r="E137" s="1013" t="s">
        <v>7723</v>
      </c>
      <c r="F137" s="1013" t="s">
        <v>7723</v>
      </c>
      <c r="G137" s="1013" t="s">
        <v>7723</v>
      </c>
      <c r="H137" s="1013" t="s">
        <v>7723</v>
      </c>
      <c r="I137" s="1013" t="s">
        <v>7723</v>
      </c>
      <c r="J137" s="1013" t="s">
        <v>7723</v>
      </c>
      <c r="K137" s="1024">
        <v>44115</v>
      </c>
      <c r="L137" s="1023">
        <v>0.69791666666666663</v>
      </c>
      <c r="M137" s="1013" t="s">
        <v>8114</v>
      </c>
      <c r="N137" s="1013" t="s">
        <v>7724</v>
      </c>
      <c r="O137" s="1013">
        <v>101</v>
      </c>
      <c r="P137" s="1013">
        <v>208</v>
      </c>
      <c r="Q137" s="1013" t="s">
        <v>7723</v>
      </c>
      <c r="R137" s="1013" t="s">
        <v>7727</v>
      </c>
      <c r="S137" s="1013" t="s">
        <v>7724</v>
      </c>
      <c r="T137" s="1014" t="s">
        <v>7724</v>
      </c>
      <c r="U137" s="1014">
        <v>2</v>
      </c>
      <c r="V137" s="1014">
        <v>59</v>
      </c>
      <c r="W137" s="1014" t="s">
        <v>7724</v>
      </c>
      <c r="X137" s="1013">
        <v>1</v>
      </c>
      <c r="Y137" s="1013">
        <v>600</v>
      </c>
      <c r="Z137" s="1013" t="s">
        <v>7770</v>
      </c>
      <c r="AA137" s="1013" t="s">
        <v>7771</v>
      </c>
      <c r="AB137" s="1013" t="s">
        <v>7760</v>
      </c>
      <c r="AC137" s="1013" t="s">
        <v>7723</v>
      </c>
      <c r="AD137" s="1013" t="s">
        <v>7723</v>
      </c>
      <c r="AE137" s="1013">
        <v>60</v>
      </c>
      <c r="AF137" s="1013" t="s">
        <v>7723</v>
      </c>
      <c r="AG137" s="1013" t="s">
        <v>7723</v>
      </c>
      <c r="AH137" s="1013" t="s">
        <v>7779</v>
      </c>
      <c r="AI137" s="1013" t="s">
        <v>7723</v>
      </c>
      <c r="AJ137" s="1013">
        <v>19</v>
      </c>
      <c r="AK137" s="1013" t="s">
        <v>7724</v>
      </c>
      <c r="AL137" s="1013" t="s">
        <v>7724</v>
      </c>
      <c r="AM137" s="1013">
        <v>1</v>
      </c>
      <c r="AN137" s="1013">
        <v>4600</v>
      </c>
      <c r="AO137" s="1013" t="s">
        <v>7724</v>
      </c>
      <c r="AP137" s="1013" t="s">
        <v>7728</v>
      </c>
      <c r="AQ137" s="1013" t="s">
        <v>7724</v>
      </c>
      <c r="AR137" s="1013" t="s">
        <v>7724</v>
      </c>
      <c r="AS137" s="1013" t="s">
        <v>7724</v>
      </c>
      <c r="AT137" s="1013" t="s">
        <v>7724</v>
      </c>
      <c r="AU137" s="1013" t="s">
        <v>7724</v>
      </c>
      <c r="AV137" s="1013" t="s">
        <v>7724</v>
      </c>
      <c r="AW137" s="1013" t="s">
        <v>7724</v>
      </c>
      <c r="AX137" s="1013">
        <v>11</v>
      </c>
      <c r="AY137" s="1013">
        <v>1</v>
      </c>
      <c r="AZ137" s="1013">
        <v>98</v>
      </c>
      <c r="BA137" s="1013">
        <v>3</v>
      </c>
      <c r="BB137" s="1013">
        <v>1</v>
      </c>
      <c r="BC137" s="1013">
        <v>1</v>
      </c>
      <c r="BD137" s="1013">
        <v>20</v>
      </c>
      <c r="BE137" s="1023">
        <v>0.70486111111111116</v>
      </c>
      <c r="BF137" s="1013" t="s">
        <v>7729</v>
      </c>
      <c r="BG137" s="1023">
        <v>0.71666666666666667</v>
      </c>
      <c r="BH137" s="1024">
        <v>44115</v>
      </c>
      <c r="BI137" s="1013" t="s">
        <v>7727</v>
      </c>
      <c r="BJ137" s="1013" t="s">
        <v>7730</v>
      </c>
      <c r="BK137" s="1013">
        <v>2469</v>
      </c>
      <c r="BL137" s="1013" t="s">
        <v>7724</v>
      </c>
      <c r="BM137" s="1013" t="s">
        <v>7724</v>
      </c>
      <c r="BN137" s="1013">
        <v>113</v>
      </c>
      <c r="BO137" s="1013">
        <v>8</v>
      </c>
      <c r="BP137" s="1013">
        <v>2</v>
      </c>
      <c r="BQ137" s="1013">
        <v>4</v>
      </c>
      <c r="BR137" s="1013">
        <v>22</v>
      </c>
      <c r="BS137" s="1013">
        <v>64</v>
      </c>
      <c r="BT137" s="1013">
        <v>42</v>
      </c>
      <c r="BU137" s="1013">
        <v>1</v>
      </c>
      <c r="BV137" s="1013">
        <v>2</v>
      </c>
      <c r="BW137" s="1013">
        <v>1</v>
      </c>
      <c r="BX137" s="1013">
        <v>21</v>
      </c>
      <c r="BY137" s="1013">
        <v>21</v>
      </c>
      <c r="BZ137" s="1013">
        <v>101</v>
      </c>
      <c r="CA137" s="1013">
        <v>208</v>
      </c>
      <c r="CB137" s="1013">
        <v>29.732419</v>
      </c>
      <c r="CC137" s="1013">
        <v>-95.381810999999999</v>
      </c>
      <c r="CD137" s="1013" t="s">
        <v>8016</v>
      </c>
      <c r="CE137" s="1013">
        <v>69</v>
      </c>
      <c r="CF137" s="1013" t="s">
        <v>7724</v>
      </c>
      <c r="CG137" s="1013">
        <v>33.503999999999998</v>
      </c>
      <c r="CH137" s="1013" t="s">
        <v>8017</v>
      </c>
      <c r="CI137" s="1013" t="s">
        <v>7724</v>
      </c>
      <c r="CJ137" s="1013">
        <v>27</v>
      </c>
      <c r="CK137" s="1013">
        <v>13</v>
      </c>
      <c r="CL137" s="1013">
        <v>13.798</v>
      </c>
      <c r="CM137" s="1013">
        <v>128</v>
      </c>
      <c r="CN137" s="1013">
        <v>0.245</v>
      </c>
      <c r="CO137" s="1013" t="s">
        <v>7724</v>
      </c>
      <c r="CP137" s="1013" t="s">
        <v>7724</v>
      </c>
      <c r="CQ137" s="1013" t="s">
        <v>7724</v>
      </c>
      <c r="CR137" s="1013" t="s">
        <v>7724</v>
      </c>
      <c r="CS137" s="1013" t="s">
        <v>7724</v>
      </c>
      <c r="CT137" s="1013" t="s">
        <v>7724</v>
      </c>
      <c r="CU137" s="1013" t="s">
        <v>7724</v>
      </c>
      <c r="CV137" s="1013" t="s">
        <v>7724</v>
      </c>
      <c r="CW137" s="1013" t="s">
        <v>7727</v>
      </c>
      <c r="CX137" s="1013" t="s">
        <v>7727</v>
      </c>
      <c r="CY137" s="1013" t="s">
        <v>7723</v>
      </c>
      <c r="CZ137" s="1013">
        <v>5</v>
      </c>
      <c r="DA137" s="1013">
        <v>9</v>
      </c>
      <c r="DB137" s="1013" t="s">
        <v>7727</v>
      </c>
      <c r="DC137" s="1013" t="s">
        <v>7747</v>
      </c>
      <c r="DD137" s="1013">
        <v>5</v>
      </c>
      <c r="DE137" s="1013" t="s">
        <v>7724</v>
      </c>
      <c r="DF137" s="1013">
        <v>20</v>
      </c>
      <c r="DG137" s="1013">
        <v>20</v>
      </c>
      <c r="DH137" s="1013">
        <v>5</v>
      </c>
      <c r="DI137" s="1013" t="s">
        <v>7724</v>
      </c>
      <c r="DJ137" s="1013">
        <v>8</v>
      </c>
      <c r="DK137" s="1013">
        <v>400</v>
      </c>
      <c r="DL137" s="1013">
        <v>138</v>
      </c>
      <c r="DM137" s="1013">
        <v>98</v>
      </c>
      <c r="DN137" s="1013">
        <v>1</v>
      </c>
      <c r="DO137" s="1013">
        <v>0</v>
      </c>
      <c r="DP137" s="1013">
        <v>0</v>
      </c>
      <c r="DQ137" s="1013">
        <v>1</v>
      </c>
      <c r="DR137" s="1013">
        <v>20</v>
      </c>
      <c r="DS137" s="1013">
        <v>5</v>
      </c>
      <c r="DT137" s="1013">
        <v>1</v>
      </c>
      <c r="DU137" s="1013">
        <v>20</v>
      </c>
      <c r="DV137" s="1013">
        <v>5</v>
      </c>
      <c r="DW137" s="1013">
        <v>7</v>
      </c>
      <c r="DX137" s="1013">
        <v>5</v>
      </c>
      <c r="DY137" s="1013">
        <v>4</v>
      </c>
      <c r="DZ137" s="1013">
        <v>1</v>
      </c>
      <c r="EA137" s="1013">
        <v>185410</v>
      </c>
      <c r="EB137" s="1013">
        <v>2019</v>
      </c>
      <c r="EC137" s="1013">
        <v>185410</v>
      </c>
      <c r="ED137" s="1013">
        <v>2.2999999999999998</v>
      </c>
      <c r="EE137" s="1013">
        <v>2.5</v>
      </c>
      <c r="EF137" s="1013">
        <v>4.8</v>
      </c>
      <c r="EG137" s="1013" t="s">
        <v>7724</v>
      </c>
      <c r="EH137" s="1013" t="s">
        <v>7724</v>
      </c>
      <c r="EI137" s="1013" t="s">
        <v>7724</v>
      </c>
      <c r="EJ137" s="1013" t="s">
        <v>7724</v>
      </c>
      <c r="EK137" s="1013" t="s">
        <v>7724</v>
      </c>
      <c r="EL137" s="1013" t="s">
        <v>7724</v>
      </c>
      <c r="EM137" s="1013" t="s">
        <v>7724</v>
      </c>
      <c r="EN137" s="1013" t="s">
        <v>7724</v>
      </c>
      <c r="EO137" s="1013" t="s">
        <v>7724</v>
      </c>
      <c r="EP137" s="1013" t="s">
        <v>7724</v>
      </c>
      <c r="EQ137" s="1013" t="s">
        <v>7724</v>
      </c>
      <c r="ER137" s="1013" t="s">
        <v>7724</v>
      </c>
      <c r="ES137" s="1013" t="s">
        <v>7724</v>
      </c>
      <c r="ET137" s="1013" t="s">
        <v>7724</v>
      </c>
      <c r="EU137" s="1013" t="s">
        <v>7724</v>
      </c>
      <c r="EV137" s="1013" t="s">
        <v>7724</v>
      </c>
      <c r="EW137" s="1013" t="s">
        <v>7724</v>
      </c>
      <c r="EX137" s="1013" t="s">
        <v>7724</v>
      </c>
      <c r="EY137" s="1013" t="s">
        <v>7724</v>
      </c>
      <c r="EZ137" s="1013" t="s">
        <v>7724</v>
      </c>
      <c r="FA137" s="1013" t="s">
        <v>7724</v>
      </c>
      <c r="FB137" s="1013" t="s">
        <v>7724</v>
      </c>
      <c r="FC137" s="1013" t="s">
        <v>7724</v>
      </c>
      <c r="FD137" s="1013" t="s">
        <v>7724</v>
      </c>
      <c r="FE137" s="1013" t="s">
        <v>7724</v>
      </c>
      <c r="FF137" s="1013" t="s">
        <v>7724</v>
      </c>
      <c r="FG137" s="1013">
        <v>0</v>
      </c>
      <c r="FH137" s="1013">
        <v>0</v>
      </c>
      <c r="FI137" s="1013">
        <v>0</v>
      </c>
      <c r="FJ137" s="1013">
        <v>7</v>
      </c>
      <c r="FK137" s="1013">
        <v>0</v>
      </c>
      <c r="FL137" s="1013">
        <v>0</v>
      </c>
      <c r="FM137" s="1013">
        <v>0</v>
      </c>
      <c r="FN137" s="1013">
        <v>15</v>
      </c>
      <c r="FO137" s="1013">
        <v>29</v>
      </c>
      <c r="FP137" s="1013">
        <v>6</v>
      </c>
      <c r="FQ137" s="1013" t="s">
        <v>7724</v>
      </c>
      <c r="FR137" s="1013" t="s">
        <v>7724</v>
      </c>
      <c r="FS137" s="1013" t="s">
        <v>7724</v>
      </c>
      <c r="FT137" s="1013" t="s">
        <v>7724</v>
      </c>
      <c r="FU137" s="1013" t="s">
        <v>7724</v>
      </c>
      <c r="FV137" s="1013" t="s">
        <v>7724</v>
      </c>
      <c r="FW137" s="1013" t="s">
        <v>7724</v>
      </c>
      <c r="FX137" s="1013" t="s">
        <v>7724</v>
      </c>
      <c r="FY137" s="1013" t="s">
        <v>7724</v>
      </c>
      <c r="FZ137" s="1013" t="s">
        <v>7724</v>
      </c>
      <c r="GA137" s="1013" t="s">
        <v>7724</v>
      </c>
      <c r="GB137" s="1013" t="s">
        <v>7724</v>
      </c>
      <c r="GC137" s="1013">
        <v>2020</v>
      </c>
      <c r="GD137" s="1013" t="s">
        <v>1404</v>
      </c>
      <c r="GE137" s="1013">
        <v>2</v>
      </c>
      <c r="GF137" s="1013" t="s">
        <v>1407</v>
      </c>
      <c r="GG137" s="1013" t="s">
        <v>1407</v>
      </c>
      <c r="GH137" s="1013" t="s">
        <v>8023</v>
      </c>
      <c r="GI137" s="1013" t="s">
        <v>7974</v>
      </c>
      <c r="GJ137" s="1013" t="s">
        <v>7974</v>
      </c>
      <c r="GK137" s="1013" t="s">
        <v>7974</v>
      </c>
      <c r="GL137" s="1013" t="s">
        <v>7974</v>
      </c>
    </row>
    <row r="138" spans="1:194" hidden="1">
      <c r="A138" s="1013">
        <v>65</v>
      </c>
      <c r="B138" s="1013" t="s">
        <v>7722</v>
      </c>
      <c r="C138" s="1013">
        <v>17916043</v>
      </c>
      <c r="D138" s="1013" t="s">
        <v>7723</v>
      </c>
      <c r="E138" s="1013" t="s">
        <v>7723</v>
      </c>
      <c r="F138" s="1013" t="s">
        <v>7723</v>
      </c>
      <c r="G138" s="1013" t="s">
        <v>7723</v>
      </c>
      <c r="H138" s="1013" t="s">
        <v>7723</v>
      </c>
      <c r="I138" s="1013" t="s">
        <v>7723</v>
      </c>
      <c r="J138" s="1013" t="s">
        <v>7723</v>
      </c>
      <c r="K138" s="1024">
        <v>44112</v>
      </c>
      <c r="L138" s="1023">
        <v>0.63541666666666663</v>
      </c>
      <c r="M138" s="1013" t="s">
        <v>8115</v>
      </c>
      <c r="N138" s="1013" t="s">
        <v>7724</v>
      </c>
      <c r="O138" s="1013">
        <v>101</v>
      </c>
      <c r="P138" s="1013">
        <v>208</v>
      </c>
      <c r="Q138" s="1013" t="s">
        <v>7723</v>
      </c>
      <c r="R138" s="1013" t="s">
        <v>7727</v>
      </c>
      <c r="S138" s="1013" t="s">
        <v>7724</v>
      </c>
      <c r="T138" s="1014" t="s">
        <v>7724</v>
      </c>
      <c r="U138" s="1014">
        <v>19</v>
      </c>
      <c r="V138" s="1014" t="s">
        <v>7724</v>
      </c>
      <c r="W138" s="1014" t="s">
        <v>7724</v>
      </c>
      <c r="X138" s="1013">
        <v>1</v>
      </c>
      <c r="Y138" s="1013">
        <v>4800</v>
      </c>
      <c r="Z138" s="1013" t="s">
        <v>7724</v>
      </c>
      <c r="AA138" s="1013" t="s">
        <v>7728</v>
      </c>
      <c r="AB138" s="1013" t="s">
        <v>7724</v>
      </c>
      <c r="AC138" s="1013" t="s">
        <v>7723</v>
      </c>
      <c r="AD138" s="1013" t="s">
        <v>7723</v>
      </c>
      <c r="AE138" s="1013">
        <v>35</v>
      </c>
      <c r="AF138" s="1013" t="s">
        <v>7723</v>
      </c>
      <c r="AG138" s="1013" t="s">
        <v>7723</v>
      </c>
      <c r="AH138" s="1013" t="s">
        <v>7764</v>
      </c>
      <c r="AI138" s="1013" t="s">
        <v>7723</v>
      </c>
      <c r="AJ138" s="1013">
        <v>19</v>
      </c>
      <c r="AK138" s="1013" t="s">
        <v>7724</v>
      </c>
      <c r="AL138" s="1013" t="s">
        <v>7724</v>
      </c>
      <c r="AM138" s="1013">
        <v>1</v>
      </c>
      <c r="AN138" s="1013">
        <v>100</v>
      </c>
      <c r="AO138" s="1013" t="s">
        <v>7724</v>
      </c>
      <c r="AP138" s="1013" t="s">
        <v>7771</v>
      </c>
      <c r="AQ138" s="1013" t="s">
        <v>7760</v>
      </c>
      <c r="AR138" s="1013" t="s">
        <v>7724</v>
      </c>
      <c r="AS138" s="1013" t="s">
        <v>7724</v>
      </c>
      <c r="AT138" s="1013" t="s">
        <v>7724</v>
      </c>
      <c r="AU138" s="1013" t="s">
        <v>7724</v>
      </c>
      <c r="AV138" s="1013" t="s">
        <v>7724</v>
      </c>
      <c r="AW138" s="1013" t="s">
        <v>7724</v>
      </c>
      <c r="AX138" s="1013">
        <v>11</v>
      </c>
      <c r="AY138" s="1013">
        <v>1</v>
      </c>
      <c r="AZ138" s="1013">
        <v>0</v>
      </c>
      <c r="BA138" s="1013">
        <v>1</v>
      </c>
      <c r="BB138" s="1013">
        <v>1</v>
      </c>
      <c r="BC138" s="1013">
        <v>1</v>
      </c>
      <c r="BD138" s="1013">
        <v>3</v>
      </c>
      <c r="BE138" s="1023">
        <v>0.54166666666666663</v>
      </c>
      <c r="BF138" s="1013" t="s">
        <v>7828</v>
      </c>
      <c r="BG138" s="1023">
        <v>0.54236111111111107</v>
      </c>
      <c r="BH138" s="1024">
        <v>44119</v>
      </c>
      <c r="BI138" s="1013" t="s">
        <v>7727</v>
      </c>
      <c r="BJ138" s="1013" t="s">
        <v>7730</v>
      </c>
      <c r="BK138" s="1013">
        <v>2469</v>
      </c>
      <c r="BL138" s="1013" t="s">
        <v>7724</v>
      </c>
      <c r="BM138" s="1013" t="s">
        <v>7724</v>
      </c>
      <c r="BN138" s="1013">
        <v>113</v>
      </c>
      <c r="BO138" s="1013">
        <v>8</v>
      </c>
      <c r="BP138" s="1013">
        <v>2</v>
      </c>
      <c r="BQ138" s="1013">
        <v>4</v>
      </c>
      <c r="BR138" s="1013">
        <v>22</v>
      </c>
      <c r="BS138" s="1013">
        <v>64</v>
      </c>
      <c r="BT138" s="1013">
        <v>9</v>
      </c>
      <c r="BU138" s="1013">
        <v>1</v>
      </c>
      <c r="BV138" s="1013">
        <v>5</v>
      </c>
      <c r="BW138" s="1013">
        <v>1</v>
      </c>
      <c r="BX138" s="1013">
        <v>21</v>
      </c>
      <c r="BY138" s="1013">
        <v>21</v>
      </c>
      <c r="BZ138" s="1013">
        <v>101</v>
      </c>
      <c r="CA138" s="1013">
        <v>208</v>
      </c>
      <c r="CB138" s="1013">
        <v>29.732500000000002</v>
      </c>
      <c r="CC138" s="1013">
        <v>-95.381747000000004</v>
      </c>
      <c r="CD138" s="1013" t="s">
        <v>7724</v>
      </c>
      <c r="CE138" s="1013" t="s">
        <v>7724</v>
      </c>
      <c r="CF138" s="1013" t="s">
        <v>7724</v>
      </c>
      <c r="CG138" s="1013" t="s">
        <v>7724</v>
      </c>
      <c r="CH138" s="1013" t="s">
        <v>7732</v>
      </c>
      <c r="CI138" s="1013" t="s">
        <v>7724</v>
      </c>
      <c r="CJ138" s="1013" t="s">
        <v>7724</v>
      </c>
      <c r="CK138" s="1013" t="s">
        <v>7724</v>
      </c>
      <c r="CL138" s="1013" t="s">
        <v>7724</v>
      </c>
      <c r="CM138" s="1013" t="s">
        <v>7724</v>
      </c>
      <c r="CN138" s="1013" t="s">
        <v>7724</v>
      </c>
      <c r="CO138" s="1013" t="s">
        <v>7724</v>
      </c>
      <c r="CP138" s="1013" t="s">
        <v>7724</v>
      </c>
      <c r="CQ138" s="1013" t="s">
        <v>7724</v>
      </c>
      <c r="CR138" s="1013" t="s">
        <v>7724</v>
      </c>
      <c r="CS138" s="1013" t="s">
        <v>7724</v>
      </c>
      <c r="CT138" s="1013" t="s">
        <v>7724</v>
      </c>
      <c r="CU138" s="1013" t="s">
        <v>7724</v>
      </c>
      <c r="CV138" s="1013" t="s">
        <v>7724</v>
      </c>
      <c r="CW138" s="1013" t="s">
        <v>7727</v>
      </c>
      <c r="CX138" s="1013" t="s">
        <v>7723</v>
      </c>
      <c r="CY138" s="1013" t="s">
        <v>7723</v>
      </c>
      <c r="CZ138" s="1013">
        <v>5</v>
      </c>
      <c r="DA138" s="1013">
        <v>9</v>
      </c>
      <c r="DB138" s="1013" t="s">
        <v>7727</v>
      </c>
      <c r="DC138" s="1013" t="s">
        <v>7740</v>
      </c>
      <c r="DD138" s="1013" t="s">
        <v>7724</v>
      </c>
      <c r="DE138" s="1013" t="s">
        <v>7724</v>
      </c>
      <c r="DF138" s="1013" t="s">
        <v>7724</v>
      </c>
      <c r="DG138" s="1013" t="s">
        <v>7724</v>
      </c>
      <c r="DH138" s="1013" t="s">
        <v>7724</v>
      </c>
      <c r="DI138" s="1013" t="s">
        <v>7724</v>
      </c>
      <c r="DJ138" s="1013" t="s">
        <v>7724</v>
      </c>
      <c r="DK138" s="1013" t="s">
        <v>7724</v>
      </c>
      <c r="DL138" s="1013" t="s">
        <v>7724</v>
      </c>
      <c r="DM138" s="1013" t="s">
        <v>7724</v>
      </c>
      <c r="DN138" s="1013" t="s">
        <v>7724</v>
      </c>
      <c r="DO138" s="1013" t="s">
        <v>7724</v>
      </c>
      <c r="DP138" s="1013" t="s">
        <v>7724</v>
      </c>
      <c r="DQ138" s="1013" t="s">
        <v>7724</v>
      </c>
      <c r="DR138" s="1013" t="s">
        <v>7724</v>
      </c>
      <c r="DS138" s="1013" t="s">
        <v>7724</v>
      </c>
      <c r="DT138" s="1013" t="s">
        <v>7724</v>
      </c>
      <c r="DU138" s="1013" t="s">
        <v>7724</v>
      </c>
      <c r="DV138" s="1013" t="s">
        <v>7724</v>
      </c>
      <c r="DW138" s="1013" t="s">
        <v>7724</v>
      </c>
      <c r="DX138" s="1013" t="s">
        <v>7724</v>
      </c>
      <c r="DY138" s="1013" t="s">
        <v>7724</v>
      </c>
      <c r="DZ138" s="1013" t="s">
        <v>7724</v>
      </c>
      <c r="EA138" s="1013" t="s">
        <v>7724</v>
      </c>
      <c r="EB138" s="1013" t="s">
        <v>7724</v>
      </c>
      <c r="EC138" s="1013" t="s">
        <v>7724</v>
      </c>
      <c r="ED138" s="1013" t="s">
        <v>7724</v>
      </c>
      <c r="EE138" s="1013" t="s">
        <v>7724</v>
      </c>
      <c r="EF138" s="1013" t="s">
        <v>7724</v>
      </c>
      <c r="EG138" s="1013" t="s">
        <v>7724</v>
      </c>
      <c r="EH138" s="1013" t="s">
        <v>7724</v>
      </c>
      <c r="EI138" s="1013" t="s">
        <v>7724</v>
      </c>
      <c r="EJ138" s="1013" t="s">
        <v>7724</v>
      </c>
      <c r="EK138" s="1013" t="s">
        <v>7724</v>
      </c>
      <c r="EL138" s="1013" t="s">
        <v>7724</v>
      </c>
      <c r="EM138" s="1013" t="s">
        <v>7724</v>
      </c>
      <c r="EN138" s="1013" t="s">
        <v>7724</v>
      </c>
      <c r="EO138" s="1013" t="s">
        <v>7724</v>
      </c>
      <c r="EP138" s="1013" t="s">
        <v>7724</v>
      </c>
      <c r="EQ138" s="1013" t="s">
        <v>7724</v>
      </c>
      <c r="ER138" s="1013" t="s">
        <v>7724</v>
      </c>
      <c r="ES138" s="1013" t="s">
        <v>7724</v>
      </c>
      <c r="ET138" s="1013" t="s">
        <v>7724</v>
      </c>
      <c r="EU138" s="1013" t="s">
        <v>7724</v>
      </c>
      <c r="EV138" s="1013" t="s">
        <v>7724</v>
      </c>
      <c r="EW138" s="1013" t="s">
        <v>7724</v>
      </c>
      <c r="EX138" s="1013" t="s">
        <v>7724</v>
      </c>
      <c r="EY138" s="1013" t="s">
        <v>7724</v>
      </c>
      <c r="EZ138" s="1013" t="s">
        <v>7724</v>
      </c>
      <c r="FA138" s="1013" t="s">
        <v>7724</v>
      </c>
      <c r="FB138" s="1013" t="s">
        <v>7724</v>
      </c>
      <c r="FC138" s="1013" t="s">
        <v>7724</v>
      </c>
      <c r="FD138" s="1013" t="s">
        <v>7724</v>
      </c>
      <c r="FE138" s="1013" t="s">
        <v>7724</v>
      </c>
      <c r="FF138" s="1013" t="s">
        <v>7724</v>
      </c>
      <c r="FG138" s="1013">
        <v>0</v>
      </c>
      <c r="FH138" s="1013">
        <v>0</v>
      </c>
      <c r="FI138" s="1013">
        <v>0</v>
      </c>
      <c r="FJ138" s="1013">
        <v>2</v>
      </c>
      <c r="FK138" s="1013">
        <v>0</v>
      </c>
      <c r="FL138" s="1013">
        <v>0</v>
      </c>
      <c r="FM138" s="1013">
        <v>0</v>
      </c>
      <c r="FN138" s="1013">
        <v>15</v>
      </c>
      <c r="FO138" s="1013">
        <v>29</v>
      </c>
      <c r="FP138" s="1013">
        <v>9</v>
      </c>
      <c r="FQ138" s="1013" t="s">
        <v>7724</v>
      </c>
      <c r="FR138" s="1013" t="s">
        <v>7724</v>
      </c>
      <c r="FS138" s="1013" t="s">
        <v>7724</v>
      </c>
      <c r="FT138" s="1013" t="s">
        <v>7724</v>
      </c>
      <c r="FU138" s="1013" t="s">
        <v>7724</v>
      </c>
      <c r="FV138" s="1013" t="s">
        <v>7724</v>
      </c>
      <c r="FW138" s="1013" t="s">
        <v>7724</v>
      </c>
      <c r="FX138" s="1013" t="s">
        <v>7724</v>
      </c>
      <c r="FY138" s="1013" t="s">
        <v>7724</v>
      </c>
      <c r="FZ138" s="1013" t="s">
        <v>7724</v>
      </c>
      <c r="GA138" s="1013" t="s">
        <v>7724</v>
      </c>
      <c r="GB138" s="1013" t="s">
        <v>7724</v>
      </c>
      <c r="GC138" s="1013">
        <v>2020</v>
      </c>
      <c r="GD138" s="1013" t="s">
        <v>1404</v>
      </c>
      <c r="GE138" s="1013">
        <v>2</v>
      </c>
      <c r="GF138" s="1013" t="s">
        <v>1407</v>
      </c>
      <c r="GG138" s="1013" t="s">
        <v>1407</v>
      </c>
      <c r="GH138" s="1013" t="s">
        <v>8067</v>
      </c>
      <c r="GI138" s="1013" t="s">
        <v>7974</v>
      </c>
      <c r="GJ138" s="1013" t="s">
        <v>7974</v>
      </c>
      <c r="GK138" s="1013" t="s">
        <v>8113</v>
      </c>
      <c r="GL138" s="1013" t="s">
        <v>7974</v>
      </c>
    </row>
    <row r="139" spans="1:194" hidden="1">
      <c r="A139" s="1013">
        <v>66</v>
      </c>
      <c r="B139" s="1013" t="s">
        <v>7722</v>
      </c>
      <c r="C139" s="1013">
        <v>17917977</v>
      </c>
      <c r="D139" s="1013" t="s">
        <v>7723</v>
      </c>
      <c r="E139" s="1013" t="s">
        <v>7723</v>
      </c>
      <c r="F139" s="1013" t="s">
        <v>7723</v>
      </c>
      <c r="G139" s="1013" t="s">
        <v>7723</v>
      </c>
      <c r="H139" s="1013" t="s">
        <v>7723</v>
      </c>
      <c r="I139" s="1013" t="s">
        <v>7723</v>
      </c>
      <c r="J139" s="1013" t="s">
        <v>7723</v>
      </c>
      <c r="K139" s="1024">
        <v>44120</v>
      </c>
      <c r="L139" s="1023">
        <v>0.47986111111111113</v>
      </c>
      <c r="M139" s="1013" t="s">
        <v>7839</v>
      </c>
      <c r="N139" s="1013" t="s">
        <v>7744</v>
      </c>
      <c r="O139" s="1013">
        <v>101</v>
      </c>
      <c r="P139" s="1013">
        <v>208</v>
      </c>
      <c r="Q139" s="1013" t="s">
        <v>7723</v>
      </c>
      <c r="R139" s="1013" t="s">
        <v>7727</v>
      </c>
      <c r="S139" s="1013" t="s">
        <v>7724</v>
      </c>
      <c r="T139" s="1014" t="s">
        <v>7724</v>
      </c>
      <c r="U139" s="1014">
        <v>19</v>
      </c>
      <c r="V139" s="1014" t="s">
        <v>7724</v>
      </c>
      <c r="W139" s="1014" t="s">
        <v>7724</v>
      </c>
      <c r="X139" s="1013">
        <v>1</v>
      </c>
      <c r="Y139" s="1013">
        <v>1000</v>
      </c>
      <c r="Z139" s="1013" t="s">
        <v>7724</v>
      </c>
      <c r="AA139" s="1013" t="s">
        <v>7725</v>
      </c>
      <c r="AB139" s="1013" t="s">
        <v>7724</v>
      </c>
      <c r="AC139" s="1013" t="s">
        <v>7723</v>
      </c>
      <c r="AD139" s="1013" t="s">
        <v>7723</v>
      </c>
      <c r="AE139" s="1013">
        <v>35</v>
      </c>
      <c r="AF139" s="1013" t="s">
        <v>7723</v>
      </c>
      <c r="AG139" s="1013" t="s">
        <v>7723</v>
      </c>
      <c r="AH139" s="1013" t="s">
        <v>7724</v>
      </c>
      <c r="AI139" s="1013" t="s">
        <v>7723</v>
      </c>
      <c r="AJ139" s="1013">
        <v>19</v>
      </c>
      <c r="AK139" s="1013" t="s">
        <v>7724</v>
      </c>
      <c r="AL139" s="1013" t="s">
        <v>7724</v>
      </c>
      <c r="AM139" s="1013">
        <v>1</v>
      </c>
      <c r="AN139" s="1013">
        <v>4400</v>
      </c>
      <c r="AO139" s="1013" t="s">
        <v>7724</v>
      </c>
      <c r="AP139" s="1013" t="s">
        <v>7840</v>
      </c>
      <c r="AQ139" s="1013" t="s">
        <v>7724</v>
      </c>
      <c r="AR139" s="1013" t="s">
        <v>7724</v>
      </c>
      <c r="AS139" s="1013" t="s">
        <v>7724</v>
      </c>
      <c r="AT139" s="1013" t="s">
        <v>7724</v>
      </c>
      <c r="AU139" s="1013" t="s">
        <v>7724</v>
      </c>
      <c r="AV139" s="1013" t="s">
        <v>7724</v>
      </c>
      <c r="AW139" s="1013" t="s">
        <v>7724</v>
      </c>
      <c r="AX139" s="1013">
        <v>2</v>
      </c>
      <c r="AY139" s="1013">
        <v>1</v>
      </c>
      <c r="AZ139" s="1013">
        <v>0</v>
      </c>
      <c r="BA139" s="1013">
        <v>2</v>
      </c>
      <c r="BB139" s="1013">
        <v>1</v>
      </c>
      <c r="BC139" s="1013">
        <v>2</v>
      </c>
      <c r="BD139" s="1013">
        <v>20</v>
      </c>
      <c r="BE139" s="1023">
        <v>0.47986111111111113</v>
      </c>
      <c r="BF139" s="1013" t="s">
        <v>7736</v>
      </c>
      <c r="BG139" s="1023">
        <v>0.4909722222222222</v>
      </c>
      <c r="BH139" s="1024">
        <v>44120</v>
      </c>
      <c r="BI139" s="1013" t="s">
        <v>7727</v>
      </c>
      <c r="BJ139" s="1013" t="s">
        <v>7730</v>
      </c>
      <c r="BK139" s="1013">
        <v>2469</v>
      </c>
      <c r="BL139" s="1013" t="s">
        <v>7724</v>
      </c>
      <c r="BM139" s="1013" t="s">
        <v>7724</v>
      </c>
      <c r="BN139" s="1013">
        <v>113</v>
      </c>
      <c r="BO139" s="1013">
        <v>8</v>
      </c>
      <c r="BP139" s="1013">
        <v>2</v>
      </c>
      <c r="BQ139" s="1013">
        <v>3</v>
      </c>
      <c r="BR139" s="1013">
        <v>34</v>
      </c>
      <c r="BS139" s="1013">
        <v>64</v>
      </c>
      <c r="BT139" s="1013">
        <v>13</v>
      </c>
      <c r="BU139" s="1013">
        <v>1</v>
      </c>
      <c r="BV139" s="1013">
        <v>5</v>
      </c>
      <c r="BW139" s="1013">
        <v>1</v>
      </c>
      <c r="BX139" s="1013">
        <v>32</v>
      </c>
      <c r="BY139" s="1013">
        <v>21</v>
      </c>
      <c r="BZ139" s="1013">
        <v>101</v>
      </c>
      <c r="CA139" s="1013">
        <v>208</v>
      </c>
      <c r="CB139" s="1013">
        <v>29.732748999999998</v>
      </c>
      <c r="CC139" s="1013">
        <v>-95.380763999999999</v>
      </c>
      <c r="CD139" s="1013" t="s">
        <v>7724</v>
      </c>
      <c r="CE139" s="1013" t="s">
        <v>7724</v>
      </c>
      <c r="CF139" s="1013" t="s">
        <v>7724</v>
      </c>
      <c r="CG139" s="1013" t="s">
        <v>7724</v>
      </c>
      <c r="CH139" s="1013" t="s">
        <v>7731</v>
      </c>
      <c r="CI139" s="1013">
        <v>1264</v>
      </c>
      <c r="CJ139" s="1013" t="s">
        <v>7724</v>
      </c>
      <c r="CK139" s="1013" t="s">
        <v>7724</v>
      </c>
      <c r="CL139" s="1013" t="s">
        <v>7724</v>
      </c>
      <c r="CM139" s="1013" t="s">
        <v>7724</v>
      </c>
      <c r="CN139" s="1013" t="s">
        <v>7724</v>
      </c>
      <c r="CO139" s="1013" t="s">
        <v>7724</v>
      </c>
      <c r="CP139" s="1013" t="s">
        <v>7724</v>
      </c>
      <c r="CQ139" s="1013" t="s">
        <v>7724</v>
      </c>
      <c r="CR139" s="1013" t="s">
        <v>7724</v>
      </c>
      <c r="CS139" s="1013" t="s">
        <v>7724</v>
      </c>
      <c r="CT139" s="1013" t="s">
        <v>7724</v>
      </c>
      <c r="CU139" s="1013" t="s">
        <v>7724</v>
      </c>
      <c r="CV139" s="1013" t="s">
        <v>7724</v>
      </c>
      <c r="CW139" s="1013" t="s">
        <v>7727</v>
      </c>
      <c r="CX139" s="1013" t="s">
        <v>7723</v>
      </c>
      <c r="CY139" s="1013" t="s">
        <v>7723</v>
      </c>
      <c r="CZ139" s="1013">
        <v>5</v>
      </c>
      <c r="DA139" s="1013">
        <v>9</v>
      </c>
      <c r="DB139" s="1013" t="s">
        <v>7727</v>
      </c>
      <c r="DC139" s="1013" t="s">
        <v>7759</v>
      </c>
      <c r="DD139" s="1013" t="s">
        <v>7724</v>
      </c>
      <c r="DE139" s="1013" t="s">
        <v>7724</v>
      </c>
      <c r="DF139" s="1013" t="s">
        <v>7724</v>
      </c>
      <c r="DG139" s="1013" t="s">
        <v>7724</v>
      </c>
      <c r="DH139" s="1013" t="s">
        <v>7724</v>
      </c>
      <c r="DI139" s="1013" t="s">
        <v>7724</v>
      </c>
      <c r="DJ139" s="1013" t="s">
        <v>7724</v>
      </c>
      <c r="DK139" s="1013" t="s">
        <v>7724</v>
      </c>
      <c r="DL139" s="1013" t="s">
        <v>7724</v>
      </c>
      <c r="DM139" s="1013" t="s">
        <v>7724</v>
      </c>
      <c r="DN139" s="1013" t="s">
        <v>7724</v>
      </c>
      <c r="DO139" s="1013" t="s">
        <v>7724</v>
      </c>
      <c r="DP139" s="1013" t="s">
        <v>7724</v>
      </c>
      <c r="DQ139" s="1013" t="s">
        <v>7724</v>
      </c>
      <c r="DR139" s="1013" t="s">
        <v>7724</v>
      </c>
      <c r="DS139" s="1013" t="s">
        <v>7724</v>
      </c>
      <c r="DT139" s="1013" t="s">
        <v>7724</v>
      </c>
      <c r="DU139" s="1013" t="s">
        <v>7724</v>
      </c>
      <c r="DV139" s="1013" t="s">
        <v>7724</v>
      </c>
      <c r="DW139" s="1013" t="s">
        <v>7724</v>
      </c>
      <c r="DX139" s="1013" t="s">
        <v>7724</v>
      </c>
      <c r="DY139" s="1013" t="s">
        <v>7724</v>
      </c>
      <c r="DZ139" s="1013" t="s">
        <v>7724</v>
      </c>
      <c r="EA139" s="1013" t="s">
        <v>7724</v>
      </c>
      <c r="EB139" s="1013" t="s">
        <v>7724</v>
      </c>
      <c r="EC139" s="1013" t="s">
        <v>7724</v>
      </c>
      <c r="ED139" s="1013" t="s">
        <v>7724</v>
      </c>
      <c r="EE139" s="1013" t="s">
        <v>7724</v>
      </c>
      <c r="EF139" s="1013" t="s">
        <v>7724</v>
      </c>
      <c r="EG139" s="1013" t="s">
        <v>7724</v>
      </c>
      <c r="EH139" s="1013" t="s">
        <v>7724</v>
      </c>
      <c r="EI139" s="1013" t="s">
        <v>7724</v>
      </c>
      <c r="EJ139" s="1013" t="s">
        <v>7724</v>
      </c>
      <c r="EK139" s="1013" t="s">
        <v>7724</v>
      </c>
      <c r="EL139" s="1013" t="s">
        <v>7724</v>
      </c>
      <c r="EM139" s="1013" t="s">
        <v>7724</v>
      </c>
      <c r="EN139" s="1013" t="s">
        <v>7724</v>
      </c>
      <c r="EO139" s="1013" t="s">
        <v>7724</v>
      </c>
      <c r="EP139" s="1013" t="s">
        <v>7724</v>
      </c>
      <c r="EQ139" s="1013" t="s">
        <v>7724</v>
      </c>
      <c r="ER139" s="1013" t="s">
        <v>7724</v>
      </c>
      <c r="ES139" s="1013" t="s">
        <v>7724</v>
      </c>
      <c r="ET139" s="1013" t="s">
        <v>7724</v>
      </c>
      <c r="EU139" s="1013" t="s">
        <v>7724</v>
      </c>
      <c r="EV139" s="1013" t="s">
        <v>7724</v>
      </c>
      <c r="EW139" s="1013" t="s">
        <v>7724</v>
      </c>
      <c r="EX139" s="1013" t="s">
        <v>7724</v>
      </c>
      <c r="EY139" s="1013" t="s">
        <v>7724</v>
      </c>
      <c r="EZ139" s="1013" t="s">
        <v>7724</v>
      </c>
      <c r="FA139" s="1013" t="s">
        <v>7724</v>
      </c>
      <c r="FB139" s="1013" t="s">
        <v>7724</v>
      </c>
      <c r="FC139" s="1013" t="s">
        <v>7724</v>
      </c>
      <c r="FD139" s="1013" t="s">
        <v>7724</v>
      </c>
      <c r="FE139" s="1013" t="s">
        <v>7724</v>
      </c>
      <c r="FF139" s="1013" t="s">
        <v>7724</v>
      </c>
      <c r="FG139" s="1013">
        <v>0</v>
      </c>
      <c r="FH139" s="1013">
        <v>0</v>
      </c>
      <c r="FI139" s="1013">
        <v>0</v>
      </c>
      <c r="FJ139" s="1013">
        <v>1</v>
      </c>
      <c r="FK139" s="1013">
        <v>1</v>
      </c>
      <c r="FL139" s="1013">
        <v>0</v>
      </c>
      <c r="FM139" s="1013">
        <v>0</v>
      </c>
      <c r="FN139" s="1013">
        <v>15</v>
      </c>
      <c r="FO139" s="1013">
        <v>29</v>
      </c>
      <c r="FP139" s="1013">
        <v>6</v>
      </c>
      <c r="FQ139" s="1013" t="s">
        <v>7724</v>
      </c>
      <c r="FR139" s="1013" t="s">
        <v>7724</v>
      </c>
      <c r="FS139" s="1013" t="s">
        <v>7724</v>
      </c>
      <c r="FT139" s="1013" t="s">
        <v>7724</v>
      </c>
      <c r="FU139" s="1013" t="s">
        <v>7724</v>
      </c>
      <c r="FV139" s="1013" t="s">
        <v>7724</v>
      </c>
      <c r="FW139" s="1013" t="s">
        <v>7724</v>
      </c>
      <c r="FX139" s="1013" t="s">
        <v>7724</v>
      </c>
      <c r="FY139" s="1013" t="s">
        <v>7724</v>
      </c>
      <c r="FZ139" s="1013" t="s">
        <v>7724</v>
      </c>
      <c r="GA139" s="1013" t="s">
        <v>7724</v>
      </c>
      <c r="GB139" s="1013" t="s">
        <v>7724</v>
      </c>
      <c r="GC139" s="1013">
        <v>2020</v>
      </c>
      <c r="GD139" s="1013" t="s">
        <v>1407</v>
      </c>
      <c r="GE139" s="1013">
        <v>2</v>
      </c>
      <c r="GF139" s="1013" t="s">
        <v>1407</v>
      </c>
      <c r="GG139" s="1013" t="s">
        <v>1407</v>
      </c>
      <c r="GH139" s="1013" t="s">
        <v>8023</v>
      </c>
      <c r="GI139" s="1013" t="s">
        <v>7974</v>
      </c>
      <c r="GJ139" s="1013" t="s">
        <v>7974</v>
      </c>
      <c r="GK139" s="1013" t="s">
        <v>7974</v>
      </c>
      <c r="GL139" s="1013" t="s">
        <v>7974</v>
      </c>
    </row>
    <row r="140" spans="1:194" hidden="1">
      <c r="A140" s="1013">
        <v>67</v>
      </c>
      <c r="B140" s="1013" t="s">
        <v>7722</v>
      </c>
      <c r="C140" s="1013">
        <v>17927161</v>
      </c>
      <c r="D140" s="1013" t="s">
        <v>7723</v>
      </c>
      <c r="E140" s="1013" t="s">
        <v>7723</v>
      </c>
      <c r="F140" s="1013" t="s">
        <v>7723</v>
      </c>
      <c r="G140" s="1013" t="s">
        <v>7723</v>
      </c>
      <c r="H140" s="1013" t="s">
        <v>7723</v>
      </c>
      <c r="I140" s="1013" t="s">
        <v>7723</v>
      </c>
      <c r="J140" s="1013" t="s">
        <v>7723</v>
      </c>
      <c r="K140" s="1024">
        <v>44118</v>
      </c>
      <c r="L140" s="1023">
        <v>0.4861111111111111</v>
      </c>
      <c r="M140" s="1013" t="s">
        <v>7841</v>
      </c>
      <c r="N140" s="1013" t="s">
        <v>7724</v>
      </c>
      <c r="O140" s="1013">
        <v>101</v>
      </c>
      <c r="P140" s="1013">
        <v>208</v>
      </c>
      <c r="Q140" s="1013" t="s">
        <v>7723</v>
      </c>
      <c r="R140" s="1013" t="s">
        <v>7727</v>
      </c>
      <c r="S140" s="1013" t="s">
        <v>7724</v>
      </c>
      <c r="T140" s="1014" t="s">
        <v>7724</v>
      </c>
      <c r="U140" s="1014">
        <v>19</v>
      </c>
      <c r="V140" s="1014" t="s">
        <v>7724</v>
      </c>
      <c r="W140" s="1014" t="s">
        <v>7724</v>
      </c>
      <c r="X140" s="1013">
        <v>1</v>
      </c>
      <c r="Y140" s="1013">
        <v>4615</v>
      </c>
      <c r="Z140" s="1013" t="s">
        <v>7723</v>
      </c>
      <c r="AA140" s="1013" t="s">
        <v>7728</v>
      </c>
      <c r="AB140" s="1013" t="s">
        <v>7835</v>
      </c>
      <c r="AC140" s="1013" t="s">
        <v>7723</v>
      </c>
      <c r="AD140" s="1013" t="s">
        <v>7723</v>
      </c>
      <c r="AE140" s="1013">
        <v>35</v>
      </c>
      <c r="AF140" s="1013" t="s">
        <v>7723</v>
      </c>
      <c r="AG140" s="1013" t="s">
        <v>7723</v>
      </c>
      <c r="AH140" s="1013" t="s">
        <v>7724</v>
      </c>
      <c r="AI140" s="1013" t="s">
        <v>7723</v>
      </c>
      <c r="AJ140" s="1013">
        <v>19</v>
      </c>
      <c r="AK140" s="1013" t="s">
        <v>7724</v>
      </c>
      <c r="AL140" s="1013" t="s">
        <v>7724</v>
      </c>
      <c r="AM140" s="1013">
        <v>1</v>
      </c>
      <c r="AN140" s="1013">
        <v>1100</v>
      </c>
      <c r="AO140" s="1013" t="s">
        <v>7842</v>
      </c>
      <c r="AP140" s="1013" t="s">
        <v>7757</v>
      </c>
      <c r="AQ140" s="1013" t="s">
        <v>7726</v>
      </c>
      <c r="AR140" s="1013" t="s">
        <v>7724</v>
      </c>
      <c r="AS140" s="1013" t="s">
        <v>7724</v>
      </c>
      <c r="AT140" s="1013" t="s">
        <v>7724</v>
      </c>
      <c r="AU140" s="1013" t="s">
        <v>7724</v>
      </c>
      <c r="AV140" s="1013" t="s">
        <v>7724</v>
      </c>
      <c r="AW140" s="1013" t="s">
        <v>7724</v>
      </c>
      <c r="AX140" s="1013">
        <v>11</v>
      </c>
      <c r="AY140" s="1013">
        <v>1</v>
      </c>
      <c r="AZ140" s="1013">
        <v>0</v>
      </c>
      <c r="BA140" s="1013">
        <v>2</v>
      </c>
      <c r="BB140" s="1013">
        <v>1</v>
      </c>
      <c r="BC140" s="1013">
        <v>1</v>
      </c>
      <c r="BD140" s="1013">
        <v>20</v>
      </c>
      <c r="BE140" s="1023">
        <v>0.6875</v>
      </c>
      <c r="BF140" s="1013" t="s">
        <v>7843</v>
      </c>
      <c r="BG140" s="1023">
        <v>0.6875</v>
      </c>
      <c r="BH140" s="1024">
        <v>44124</v>
      </c>
      <c r="BI140" s="1013" t="s">
        <v>7727</v>
      </c>
      <c r="BJ140" s="1013" t="s">
        <v>7730</v>
      </c>
      <c r="BK140" s="1013">
        <v>2469</v>
      </c>
      <c r="BL140" s="1013" t="s">
        <v>7724</v>
      </c>
      <c r="BM140" s="1013" t="s">
        <v>7724</v>
      </c>
      <c r="BN140" s="1013">
        <v>113</v>
      </c>
      <c r="BO140" s="1013">
        <v>8</v>
      </c>
      <c r="BP140" s="1013">
        <v>2</v>
      </c>
      <c r="BQ140" s="1013">
        <v>3</v>
      </c>
      <c r="BR140" s="1013">
        <v>23</v>
      </c>
      <c r="BS140" s="1013">
        <v>64</v>
      </c>
      <c r="BT140" s="1013">
        <v>13</v>
      </c>
      <c r="BU140" s="1013">
        <v>1</v>
      </c>
      <c r="BV140" s="1013">
        <v>5</v>
      </c>
      <c r="BW140" s="1013">
        <v>1</v>
      </c>
      <c r="BX140" s="1013">
        <v>32</v>
      </c>
      <c r="BY140" s="1013">
        <v>21</v>
      </c>
      <c r="BZ140" s="1013">
        <v>101</v>
      </c>
      <c r="CA140" s="1013">
        <v>208</v>
      </c>
      <c r="CB140" s="1013">
        <v>29.731586</v>
      </c>
      <c r="CC140" s="1013">
        <v>-95.382478000000006</v>
      </c>
      <c r="CD140" s="1013" t="s">
        <v>7724</v>
      </c>
      <c r="CE140" s="1013" t="s">
        <v>7724</v>
      </c>
      <c r="CF140" s="1013" t="s">
        <v>7724</v>
      </c>
      <c r="CG140" s="1013" t="s">
        <v>7724</v>
      </c>
      <c r="CH140" s="1013" t="s">
        <v>7732</v>
      </c>
      <c r="CI140" s="1013">
        <v>4615</v>
      </c>
      <c r="CJ140" s="1013" t="s">
        <v>7724</v>
      </c>
      <c r="CK140" s="1013" t="s">
        <v>7724</v>
      </c>
      <c r="CL140" s="1013" t="s">
        <v>7724</v>
      </c>
      <c r="CM140" s="1013" t="s">
        <v>7724</v>
      </c>
      <c r="CN140" s="1013" t="s">
        <v>7724</v>
      </c>
      <c r="CO140" s="1013" t="s">
        <v>7724</v>
      </c>
      <c r="CP140" s="1013" t="s">
        <v>7724</v>
      </c>
      <c r="CQ140" s="1013" t="s">
        <v>7724</v>
      </c>
      <c r="CR140" s="1013" t="s">
        <v>7724</v>
      </c>
      <c r="CS140" s="1013" t="s">
        <v>7724</v>
      </c>
      <c r="CT140" s="1013" t="s">
        <v>7724</v>
      </c>
      <c r="CU140" s="1013" t="s">
        <v>7724</v>
      </c>
      <c r="CV140" s="1013" t="s">
        <v>7724</v>
      </c>
      <c r="CW140" s="1013" t="s">
        <v>7727</v>
      </c>
      <c r="CX140" s="1013" t="s">
        <v>7723</v>
      </c>
      <c r="CY140" s="1013" t="s">
        <v>7723</v>
      </c>
      <c r="CZ140" s="1013">
        <v>5</v>
      </c>
      <c r="DA140" s="1013">
        <v>9</v>
      </c>
      <c r="DB140" s="1013" t="s">
        <v>7727</v>
      </c>
      <c r="DC140" s="1013" t="s">
        <v>7756</v>
      </c>
      <c r="DD140" s="1013" t="s">
        <v>7724</v>
      </c>
      <c r="DE140" s="1013" t="s">
        <v>7724</v>
      </c>
      <c r="DF140" s="1013" t="s">
        <v>7724</v>
      </c>
      <c r="DG140" s="1013" t="s">
        <v>7724</v>
      </c>
      <c r="DH140" s="1013" t="s">
        <v>7724</v>
      </c>
      <c r="DI140" s="1013" t="s">
        <v>7724</v>
      </c>
      <c r="DJ140" s="1013" t="s">
        <v>7724</v>
      </c>
      <c r="DK140" s="1013" t="s">
        <v>7724</v>
      </c>
      <c r="DL140" s="1013" t="s">
        <v>7724</v>
      </c>
      <c r="DM140" s="1013" t="s">
        <v>7724</v>
      </c>
      <c r="DN140" s="1013" t="s">
        <v>7724</v>
      </c>
      <c r="DO140" s="1013" t="s">
        <v>7724</v>
      </c>
      <c r="DP140" s="1013" t="s">
        <v>7724</v>
      </c>
      <c r="DQ140" s="1013" t="s">
        <v>7724</v>
      </c>
      <c r="DR140" s="1013" t="s">
        <v>7724</v>
      </c>
      <c r="DS140" s="1013" t="s">
        <v>7724</v>
      </c>
      <c r="DT140" s="1013" t="s">
        <v>7724</v>
      </c>
      <c r="DU140" s="1013" t="s">
        <v>7724</v>
      </c>
      <c r="DV140" s="1013" t="s">
        <v>7724</v>
      </c>
      <c r="DW140" s="1013" t="s">
        <v>7724</v>
      </c>
      <c r="DX140" s="1013" t="s">
        <v>7724</v>
      </c>
      <c r="DY140" s="1013" t="s">
        <v>7724</v>
      </c>
      <c r="DZ140" s="1013" t="s">
        <v>7724</v>
      </c>
      <c r="EA140" s="1013" t="s">
        <v>7724</v>
      </c>
      <c r="EB140" s="1013" t="s">
        <v>7724</v>
      </c>
      <c r="EC140" s="1013" t="s">
        <v>7724</v>
      </c>
      <c r="ED140" s="1013" t="s">
        <v>7724</v>
      </c>
      <c r="EE140" s="1013" t="s">
        <v>7724</v>
      </c>
      <c r="EF140" s="1013" t="s">
        <v>7724</v>
      </c>
      <c r="EG140" s="1013" t="s">
        <v>7724</v>
      </c>
      <c r="EH140" s="1013" t="s">
        <v>7724</v>
      </c>
      <c r="EI140" s="1013" t="s">
        <v>7724</v>
      </c>
      <c r="EJ140" s="1013" t="s">
        <v>7724</v>
      </c>
      <c r="EK140" s="1013" t="s">
        <v>7724</v>
      </c>
      <c r="EL140" s="1013" t="s">
        <v>7724</v>
      </c>
      <c r="EM140" s="1013" t="s">
        <v>7724</v>
      </c>
      <c r="EN140" s="1013" t="s">
        <v>7724</v>
      </c>
      <c r="EO140" s="1013" t="s">
        <v>7724</v>
      </c>
      <c r="EP140" s="1013" t="s">
        <v>7724</v>
      </c>
      <c r="EQ140" s="1013" t="s">
        <v>7724</v>
      </c>
      <c r="ER140" s="1013" t="s">
        <v>7724</v>
      </c>
      <c r="ES140" s="1013" t="s">
        <v>7724</v>
      </c>
      <c r="ET140" s="1013" t="s">
        <v>7724</v>
      </c>
      <c r="EU140" s="1013" t="s">
        <v>7724</v>
      </c>
      <c r="EV140" s="1013" t="s">
        <v>7724</v>
      </c>
      <c r="EW140" s="1013" t="s">
        <v>7724</v>
      </c>
      <c r="EX140" s="1013" t="s">
        <v>7724</v>
      </c>
      <c r="EY140" s="1013" t="s">
        <v>7724</v>
      </c>
      <c r="EZ140" s="1013" t="s">
        <v>7724</v>
      </c>
      <c r="FA140" s="1013" t="s">
        <v>7724</v>
      </c>
      <c r="FB140" s="1013" t="s">
        <v>7724</v>
      </c>
      <c r="FC140" s="1013" t="s">
        <v>7724</v>
      </c>
      <c r="FD140" s="1013" t="s">
        <v>7724</v>
      </c>
      <c r="FE140" s="1013" t="s">
        <v>7724</v>
      </c>
      <c r="FF140" s="1013" t="s">
        <v>7724</v>
      </c>
      <c r="FG140" s="1013">
        <v>0</v>
      </c>
      <c r="FH140" s="1013">
        <v>0</v>
      </c>
      <c r="FI140" s="1013">
        <v>0</v>
      </c>
      <c r="FJ140" s="1013">
        <v>2</v>
      </c>
      <c r="FK140" s="1013">
        <v>0</v>
      </c>
      <c r="FL140" s="1013">
        <v>0</v>
      </c>
      <c r="FM140" s="1013">
        <v>0</v>
      </c>
      <c r="FN140" s="1013">
        <v>15</v>
      </c>
      <c r="FO140" s="1013">
        <v>29</v>
      </c>
      <c r="FP140" s="1013">
        <v>9</v>
      </c>
      <c r="FQ140" s="1013" t="s">
        <v>7724</v>
      </c>
      <c r="FR140" s="1013" t="s">
        <v>7724</v>
      </c>
      <c r="FS140" s="1013" t="s">
        <v>7724</v>
      </c>
      <c r="FT140" s="1013" t="s">
        <v>7724</v>
      </c>
      <c r="FU140" s="1013" t="s">
        <v>7724</v>
      </c>
      <c r="FV140" s="1013" t="s">
        <v>7724</v>
      </c>
      <c r="FW140" s="1013" t="s">
        <v>7724</v>
      </c>
      <c r="FX140" s="1013" t="s">
        <v>7724</v>
      </c>
      <c r="FY140" s="1013" t="s">
        <v>7724</v>
      </c>
      <c r="FZ140" s="1013" t="s">
        <v>7724</v>
      </c>
      <c r="GA140" s="1013" t="s">
        <v>7724</v>
      </c>
      <c r="GB140" s="1013" t="s">
        <v>7724</v>
      </c>
      <c r="GC140" s="1013">
        <v>2020</v>
      </c>
      <c r="GD140" s="1013" t="s">
        <v>1404</v>
      </c>
      <c r="GE140" s="1013">
        <v>2</v>
      </c>
      <c r="GF140" s="1013" t="s">
        <v>1407</v>
      </c>
      <c r="GG140" s="1013" t="s">
        <v>1407</v>
      </c>
      <c r="GH140" s="1013" t="s">
        <v>8067</v>
      </c>
      <c r="GI140" s="1013" t="s">
        <v>7974</v>
      </c>
      <c r="GJ140" s="1013" t="s">
        <v>7974</v>
      </c>
      <c r="GK140" s="1013" t="s">
        <v>8116</v>
      </c>
      <c r="GL140" s="1013" t="s">
        <v>7974</v>
      </c>
    </row>
    <row r="141" spans="1:194" hidden="1">
      <c r="A141" s="1013">
        <v>69</v>
      </c>
      <c r="B141" s="1013" t="s">
        <v>7722</v>
      </c>
      <c r="C141" s="1013">
        <v>17961531</v>
      </c>
      <c r="D141" s="1013" t="s">
        <v>7723</v>
      </c>
      <c r="E141" s="1013" t="s">
        <v>7723</v>
      </c>
      <c r="F141" s="1013" t="s">
        <v>7723</v>
      </c>
      <c r="G141" s="1013" t="s">
        <v>7723</v>
      </c>
      <c r="H141" s="1013" t="s">
        <v>7723</v>
      </c>
      <c r="I141" s="1013" t="s">
        <v>7723</v>
      </c>
      <c r="J141" s="1013" t="s">
        <v>7723</v>
      </c>
      <c r="K141" s="1024">
        <v>44148</v>
      </c>
      <c r="L141" s="1023">
        <v>0.69027777777777777</v>
      </c>
      <c r="M141" s="1013" t="s">
        <v>8117</v>
      </c>
      <c r="N141" s="1013" t="s">
        <v>7744</v>
      </c>
      <c r="O141" s="1013">
        <v>101</v>
      </c>
      <c r="P141" s="1013">
        <v>208</v>
      </c>
      <c r="Q141" s="1013" t="s">
        <v>7723</v>
      </c>
      <c r="R141" s="1013" t="s">
        <v>7727</v>
      </c>
      <c r="S141" s="1013" t="s">
        <v>7724</v>
      </c>
      <c r="T141" s="1014" t="s">
        <v>7724</v>
      </c>
      <c r="U141" s="1014">
        <v>2</v>
      </c>
      <c r="V141" s="1014">
        <v>59</v>
      </c>
      <c r="W141" s="1014" t="s">
        <v>7724</v>
      </c>
      <c r="X141" s="1013">
        <v>1</v>
      </c>
      <c r="Y141" s="1013">
        <v>600</v>
      </c>
      <c r="Z141" s="1013" t="s">
        <v>7770</v>
      </c>
      <c r="AA141" s="1013" t="s">
        <v>7771</v>
      </c>
      <c r="AB141" s="1013" t="s">
        <v>7760</v>
      </c>
      <c r="AC141" s="1013" t="s">
        <v>7723</v>
      </c>
      <c r="AD141" s="1013" t="s">
        <v>7723</v>
      </c>
      <c r="AE141" s="1013">
        <v>60</v>
      </c>
      <c r="AF141" s="1013" t="s">
        <v>7723</v>
      </c>
      <c r="AG141" s="1013" t="s">
        <v>7723</v>
      </c>
      <c r="AH141" s="1013" t="s">
        <v>7724</v>
      </c>
      <c r="AI141" s="1013" t="s">
        <v>7723</v>
      </c>
      <c r="AJ141" s="1013">
        <v>19</v>
      </c>
      <c r="AK141" s="1013" t="s">
        <v>7724</v>
      </c>
      <c r="AL141" s="1013" t="s">
        <v>7724</v>
      </c>
      <c r="AM141" s="1013">
        <v>1</v>
      </c>
      <c r="AN141" s="1013" t="s">
        <v>7724</v>
      </c>
      <c r="AO141" s="1013" t="s">
        <v>7723</v>
      </c>
      <c r="AP141" s="1013" t="s">
        <v>7840</v>
      </c>
      <c r="AQ141" s="1013" t="s">
        <v>7726</v>
      </c>
      <c r="AR141" s="1013" t="s">
        <v>7724</v>
      </c>
      <c r="AS141" s="1013" t="s">
        <v>7724</v>
      </c>
      <c r="AT141" s="1013" t="s">
        <v>7724</v>
      </c>
      <c r="AU141" s="1013" t="s">
        <v>7724</v>
      </c>
      <c r="AV141" s="1013" t="s">
        <v>7724</v>
      </c>
      <c r="AW141" s="1013" t="s">
        <v>7724</v>
      </c>
      <c r="AX141" s="1013">
        <v>11</v>
      </c>
      <c r="AY141" s="1013">
        <v>1</v>
      </c>
      <c r="AZ141" s="1013">
        <v>2</v>
      </c>
      <c r="BA141" s="1013">
        <v>4</v>
      </c>
      <c r="BB141" s="1013">
        <v>1</v>
      </c>
      <c r="BC141" s="1013">
        <v>1</v>
      </c>
      <c r="BD141" s="1013">
        <v>20</v>
      </c>
      <c r="BE141" s="1023">
        <v>0.69097222222222221</v>
      </c>
      <c r="BF141" s="1013" t="s">
        <v>7736</v>
      </c>
      <c r="BG141" s="1023">
        <v>0.69861111111111107</v>
      </c>
      <c r="BH141" s="1024">
        <v>44148</v>
      </c>
      <c r="BI141" s="1013" t="s">
        <v>7727</v>
      </c>
      <c r="BJ141" s="1013" t="s">
        <v>7730</v>
      </c>
      <c r="BK141" s="1013">
        <v>2469</v>
      </c>
      <c r="BL141" s="1013" t="s">
        <v>7724</v>
      </c>
      <c r="BM141" s="1013" t="s">
        <v>7724</v>
      </c>
      <c r="BN141" s="1013">
        <v>113</v>
      </c>
      <c r="BO141" s="1013">
        <v>8</v>
      </c>
      <c r="BP141" s="1013">
        <v>2</v>
      </c>
      <c r="BQ141" s="1013">
        <v>4</v>
      </c>
      <c r="BR141" s="1013">
        <v>21</v>
      </c>
      <c r="BS141" s="1013">
        <v>64</v>
      </c>
      <c r="BT141" s="1013">
        <v>9</v>
      </c>
      <c r="BU141" s="1013">
        <v>1</v>
      </c>
      <c r="BV141" s="1013">
        <v>2</v>
      </c>
      <c r="BW141" s="1013">
        <v>1</v>
      </c>
      <c r="BX141" s="1013">
        <v>21</v>
      </c>
      <c r="BY141" s="1013">
        <v>21</v>
      </c>
      <c r="BZ141" s="1013">
        <v>101</v>
      </c>
      <c r="CA141" s="1013">
        <v>208</v>
      </c>
      <c r="CB141" s="1013">
        <v>29.732410000000002</v>
      </c>
      <c r="CC141" s="1013">
        <v>-95.381919999999994</v>
      </c>
      <c r="CD141" s="1013" t="s">
        <v>8016</v>
      </c>
      <c r="CE141" s="1013">
        <v>69</v>
      </c>
      <c r="CF141" s="1013" t="s">
        <v>7724</v>
      </c>
      <c r="CG141" s="1013">
        <v>33.497</v>
      </c>
      <c r="CH141" s="1013" t="s">
        <v>8017</v>
      </c>
      <c r="CI141" s="1013" t="s">
        <v>7724</v>
      </c>
      <c r="CJ141" s="1013">
        <v>27</v>
      </c>
      <c r="CK141" s="1013">
        <v>13</v>
      </c>
      <c r="CL141" s="1013">
        <v>13.791</v>
      </c>
      <c r="CM141" s="1013">
        <v>128</v>
      </c>
      <c r="CN141" s="1013">
        <v>0.23799999999999999</v>
      </c>
      <c r="CO141" s="1013" t="s">
        <v>7724</v>
      </c>
      <c r="CP141" s="1013" t="s">
        <v>7724</v>
      </c>
      <c r="CQ141" s="1013" t="s">
        <v>7724</v>
      </c>
      <c r="CR141" s="1013" t="s">
        <v>7724</v>
      </c>
      <c r="CS141" s="1013" t="s">
        <v>7724</v>
      </c>
      <c r="CT141" s="1013" t="s">
        <v>7724</v>
      </c>
      <c r="CU141" s="1013" t="s">
        <v>7724</v>
      </c>
      <c r="CV141" s="1013" t="s">
        <v>7724</v>
      </c>
      <c r="CW141" s="1013" t="s">
        <v>7727</v>
      </c>
      <c r="CX141" s="1013" t="s">
        <v>7727</v>
      </c>
      <c r="CY141" s="1013" t="s">
        <v>7723</v>
      </c>
      <c r="CZ141" s="1013">
        <v>5</v>
      </c>
      <c r="DA141" s="1013">
        <v>9</v>
      </c>
      <c r="DB141" s="1013" t="s">
        <v>7727</v>
      </c>
      <c r="DC141" s="1013" t="s">
        <v>7759</v>
      </c>
      <c r="DD141" s="1013">
        <v>5</v>
      </c>
      <c r="DE141" s="1013" t="s">
        <v>7724</v>
      </c>
      <c r="DF141" s="1013">
        <v>20</v>
      </c>
      <c r="DG141" s="1013">
        <v>20</v>
      </c>
      <c r="DH141" s="1013">
        <v>5</v>
      </c>
      <c r="DI141" s="1013" t="s">
        <v>7724</v>
      </c>
      <c r="DJ141" s="1013">
        <v>8</v>
      </c>
      <c r="DK141" s="1013">
        <v>400</v>
      </c>
      <c r="DL141" s="1013">
        <v>138</v>
      </c>
      <c r="DM141" s="1013">
        <v>98</v>
      </c>
      <c r="DN141" s="1013">
        <v>1</v>
      </c>
      <c r="DO141" s="1013">
        <v>0</v>
      </c>
      <c r="DP141" s="1013">
        <v>0</v>
      </c>
      <c r="DQ141" s="1013">
        <v>1</v>
      </c>
      <c r="DR141" s="1013">
        <v>20</v>
      </c>
      <c r="DS141" s="1013">
        <v>5</v>
      </c>
      <c r="DT141" s="1013">
        <v>1</v>
      </c>
      <c r="DU141" s="1013">
        <v>20</v>
      </c>
      <c r="DV141" s="1013">
        <v>5</v>
      </c>
      <c r="DW141" s="1013">
        <v>7</v>
      </c>
      <c r="DX141" s="1013">
        <v>5</v>
      </c>
      <c r="DY141" s="1013">
        <v>4</v>
      </c>
      <c r="DZ141" s="1013">
        <v>1</v>
      </c>
      <c r="EA141" s="1013">
        <v>185410</v>
      </c>
      <c r="EB141" s="1013">
        <v>2019</v>
      </c>
      <c r="EC141" s="1013">
        <v>185410</v>
      </c>
      <c r="ED141" s="1013">
        <v>2.2999999999999998</v>
      </c>
      <c r="EE141" s="1013">
        <v>2.5</v>
      </c>
      <c r="EF141" s="1013">
        <v>4.8</v>
      </c>
      <c r="EG141" s="1013" t="s">
        <v>7724</v>
      </c>
      <c r="EH141" s="1013" t="s">
        <v>7724</v>
      </c>
      <c r="EI141" s="1013" t="s">
        <v>7724</v>
      </c>
      <c r="EJ141" s="1013" t="s">
        <v>7724</v>
      </c>
      <c r="EK141" s="1013" t="s">
        <v>7724</v>
      </c>
      <c r="EL141" s="1013" t="s">
        <v>7724</v>
      </c>
      <c r="EM141" s="1013" t="s">
        <v>7724</v>
      </c>
      <c r="EN141" s="1013" t="s">
        <v>7724</v>
      </c>
      <c r="EO141" s="1013" t="s">
        <v>7724</v>
      </c>
      <c r="EP141" s="1013" t="s">
        <v>7724</v>
      </c>
      <c r="EQ141" s="1013" t="s">
        <v>7724</v>
      </c>
      <c r="ER141" s="1013" t="s">
        <v>7724</v>
      </c>
      <c r="ES141" s="1013" t="s">
        <v>7724</v>
      </c>
      <c r="ET141" s="1013" t="s">
        <v>7724</v>
      </c>
      <c r="EU141" s="1013" t="s">
        <v>7724</v>
      </c>
      <c r="EV141" s="1013" t="s">
        <v>7724</v>
      </c>
      <c r="EW141" s="1013" t="s">
        <v>7724</v>
      </c>
      <c r="EX141" s="1013" t="s">
        <v>7724</v>
      </c>
      <c r="EY141" s="1013" t="s">
        <v>7724</v>
      </c>
      <c r="EZ141" s="1013" t="s">
        <v>7724</v>
      </c>
      <c r="FA141" s="1013" t="s">
        <v>7724</v>
      </c>
      <c r="FB141" s="1013" t="s">
        <v>7724</v>
      </c>
      <c r="FC141" s="1013" t="s">
        <v>7724</v>
      </c>
      <c r="FD141" s="1013" t="s">
        <v>7724</v>
      </c>
      <c r="FE141" s="1013" t="s">
        <v>7724</v>
      </c>
      <c r="FF141" s="1013" t="s">
        <v>7724</v>
      </c>
      <c r="FG141" s="1013">
        <v>0</v>
      </c>
      <c r="FH141" s="1013">
        <v>0</v>
      </c>
      <c r="FI141" s="1013">
        <v>0</v>
      </c>
      <c r="FJ141" s="1013">
        <v>3</v>
      </c>
      <c r="FK141" s="1013">
        <v>1</v>
      </c>
      <c r="FL141" s="1013">
        <v>0</v>
      </c>
      <c r="FM141" s="1013">
        <v>0</v>
      </c>
      <c r="FN141" s="1013">
        <v>15</v>
      </c>
      <c r="FO141" s="1013">
        <v>29</v>
      </c>
      <c r="FP141" s="1013">
        <v>51</v>
      </c>
      <c r="FQ141" s="1013" t="s">
        <v>7724</v>
      </c>
      <c r="FR141" s="1013" t="s">
        <v>7724</v>
      </c>
      <c r="FS141" s="1013" t="s">
        <v>7724</v>
      </c>
      <c r="FT141" s="1013" t="s">
        <v>7724</v>
      </c>
      <c r="FU141" s="1013" t="s">
        <v>7724</v>
      </c>
      <c r="FV141" s="1013" t="s">
        <v>7724</v>
      </c>
      <c r="FW141" s="1013" t="s">
        <v>7724</v>
      </c>
      <c r="FX141" s="1013" t="s">
        <v>7724</v>
      </c>
      <c r="FY141" s="1013" t="s">
        <v>7724</v>
      </c>
      <c r="FZ141" s="1013" t="s">
        <v>7724</v>
      </c>
      <c r="GA141" s="1013" t="s">
        <v>7724</v>
      </c>
      <c r="GB141" s="1013" t="s">
        <v>7724</v>
      </c>
      <c r="GC141" s="1013">
        <v>2020</v>
      </c>
      <c r="GD141" s="1013" t="s">
        <v>1407</v>
      </c>
      <c r="GE141" s="1013">
        <v>4</v>
      </c>
      <c r="GF141" s="1013" t="s">
        <v>1407</v>
      </c>
      <c r="GG141" s="1013" t="s">
        <v>1407</v>
      </c>
      <c r="GH141" s="1013" t="s">
        <v>8054</v>
      </c>
      <c r="GI141" s="1013" t="s">
        <v>8055</v>
      </c>
      <c r="GJ141" s="1013" t="s">
        <v>8055</v>
      </c>
      <c r="GK141" s="1013" t="s">
        <v>8055</v>
      </c>
      <c r="GL141" s="1013" t="s">
        <v>8055</v>
      </c>
    </row>
    <row r="142" spans="1:194" hidden="1">
      <c r="A142" s="1013">
        <v>73</v>
      </c>
      <c r="B142" s="1013" t="s">
        <v>7722</v>
      </c>
      <c r="C142" s="1013">
        <v>18008006</v>
      </c>
      <c r="D142" s="1013" t="s">
        <v>7723</v>
      </c>
      <c r="E142" s="1013" t="s">
        <v>7723</v>
      </c>
      <c r="F142" s="1013" t="s">
        <v>7723</v>
      </c>
      <c r="G142" s="1013" t="s">
        <v>7723</v>
      </c>
      <c r="H142" s="1013" t="s">
        <v>7723</v>
      </c>
      <c r="I142" s="1013" t="s">
        <v>7723</v>
      </c>
      <c r="J142" s="1013" t="s">
        <v>7723</v>
      </c>
      <c r="K142" s="1024">
        <v>44173</v>
      </c>
      <c r="L142" s="1023">
        <v>0.96388888888888891</v>
      </c>
      <c r="M142" s="1013" t="s">
        <v>7846</v>
      </c>
      <c r="N142" s="1013" t="s">
        <v>7724</v>
      </c>
      <c r="O142" s="1013">
        <v>101</v>
      </c>
      <c r="P142" s="1013">
        <v>208</v>
      </c>
      <c r="Q142" s="1013" t="s">
        <v>7723</v>
      </c>
      <c r="R142" s="1013" t="s">
        <v>7727</v>
      </c>
      <c r="S142" s="1013" t="s">
        <v>7724</v>
      </c>
      <c r="T142" s="1014" t="s">
        <v>7724</v>
      </c>
      <c r="U142" s="1014">
        <v>19</v>
      </c>
      <c r="V142" s="1014" t="s">
        <v>7724</v>
      </c>
      <c r="W142" s="1014" t="s">
        <v>7724</v>
      </c>
      <c r="X142" s="1013">
        <v>1</v>
      </c>
      <c r="Y142" s="1013">
        <v>4700</v>
      </c>
      <c r="Z142" s="1013" t="s">
        <v>7724</v>
      </c>
      <c r="AA142" s="1013" t="s">
        <v>7728</v>
      </c>
      <c r="AB142" s="1013" t="s">
        <v>7726</v>
      </c>
      <c r="AC142" s="1013" t="s">
        <v>7723</v>
      </c>
      <c r="AD142" s="1013" t="s">
        <v>7723</v>
      </c>
      <c r="AE142" s="1013">
        <v>35</v>
      </c>
      <c r="AF142" s="1013" t="s">
        <v>7723</v>
      </c>
      <c r="AG142" s="1013" t="s">
        <v>7723</v>
      </c>
      <c r="AH142" s="1013" t="s">
        <v>7724</v>
      </c>
      <c r="AI142" s="1013" t="s">
        <v>7723</v>
      </c>
      <c r="AJ142" s="1013">
        <v>19</v>
      </c>
      <c r="AK142" s="1013" t="s">
        <v>7724</v>
      </c>
      <c r="AL142" s="1013" t="s">
        <v>7724</v>
      </c>
      <c r="AM142" s="1013">
        <v>1</v>
      </c>
      <c r="AN142" s="1013" t="s">
        <v>7724</v>
      </c>
      <c r="AO142" s="1013" t="s">
        <v>7724</v>
      </c>
      <c r="AP142" s="1013" t="s">
        <v>7757</v>
      </c>
      <c r="AQ142" s="1013" t="s">
        <v>7726</v>
      </c>
      <c r="AR142" s="1013" t="s">
        <v>7724</v>
      </c>
      <c r="AS142" s="1013" t="s">
        <v>7724</v>
      </c>
      <c r="AT142" s="1013" t="s">
        <v>7724</v>
      </c>
      <c r="AU142" s="1013" t="s">
        <v>7724</v>
      </c>
      <c r="AV142" s="1013" t="s">
        <v>7724</v>
      </c>
      <c r="AW142" s="1013" t="s">
        <v>7724</v>
      </c>
      <c r="AX142" s="1013">
        <v>11</v>
      </c>
      <c r="AY142" s="1013">
        <v>4</v>
      </c>
      <c r="AZ142" s="1013">
        <v>0</v>
      </c>
      <c r="BA142" s="1013">
        <v>4</v>
      </c>
      <c r="BB142" s="1013">
        <v>1</v>
      </c>
      <c r="BC142" s="1013">
        <v>1</v>
      </c>
      <c r="BD142" s="1013">
        <v>20</v>
      </c>
      <c r="BE142" s="1023">
        <v>0.99652777777777779</v>
      </c>
      <c r="BF142" s="1013" t="s">
        <v>7729</v>
      </c>
      <c r="BG142" s="1023">
        <v>3.472222222222222E-3</v>
      </c>
      <c r="BH142" s="1024">
        <v>44174</v>
      </c>
      <c r="BI142" s="1013" t="s">
        <v>7727</v>
      </c>
      <c r="BJ142" s="1013" t="s">
        <v>7730</v>
      </c>
      <c r="BK142" s="1013">
        <v>2469</v>
      </c>
      <c r="BL142" s="1013" t="s">
        <v>7724</v>
      </c>
      <c r="BM142" s="1013" t="s">
        <v>7724</v>
      </c>
      <c r="BN142" s="1013">
        <v>113</v>
      </c>
      <c r="BO142" s="1013">
        <v>8</v>
      </c>
      <c r="BP142" s="1013">
        <v>2</v>
      </c>
      <c r="BQ142" s="1013">
        <v>4</v>
      </c>
      <c r="BR142" s="1013">
        <v>21</v>
      </c>
      <c r="BS142" s="1013">
        <v>64</v>
      </c>
      <c r="BT142" s="1013">
        <v>9</v>
      </c>
      <c r="BU142" s="1013">
        <v>1</v>
      </c>
      <c r="BV142" s="1013">
        <v>5</v>
      </c>
      <c r="BW142" s="1013">
        <v>1</v>
      </c>
      <c r="BX142" s="1013">
        <v>21</v>
      </c>
      <c r="BY142" s="1013">
        <v>21</v>
      </c>
      <c r="BZ142" s="1013">
        <v>101</v>
      </c>
      <c r="CA142" s="1013">
        <v>208</v>
      </c>
      <c r="CB142" s="1013">
        <v>29.731449999999999</v>
      </c>
      <c r="CC142" s="1013">
        <v>-95.382582999999997</v>
      </c>
      <c r="CD142" s="1013" t="s">
        <v>7724</v>
      </c>
      <c r="CE142" s="1013" t="s">
        <v>7724</v>
      </c>
      <c r="CF142" s="1013" t="s">
        <v>7724</v>
      </c>
      <c r="CG142" s="1013" t="s">
        <v>7724</v>
      </c>
      <c r="CH142" s="1013" t="s">
        <v>7732</v>
      </c>
      <c r="CI142" s="1013">
        <v>4659</v>
      </c>
      <c r="CJ142" s="1013" t="s">
        <v>7724</v>
      </c>
      <c r="CK142" s="1013" t="s">
        <v>7724</v>
      </c>
      <c r="CL142" s="1013" t="s">
        <v>7724</v>
      </c>
      <c r="CM142" s="1013" t="s">
        <v>7724</v>
      </c>
      <c r="CN142" s="1013" t="s">
        <v>7724</v>
      </c>
      <c r="CO142" s="1013" t="s">
        <v>7724</v>
      </c>
      <c r="CP142" s="1013" t="s">
        <v>7724</v>
      </c>
      <c r="CQ142" s="1013" t="s">
        <v>7724</v>
      </c>
      <c r="CR142" s="1013" t="s">
        <v>7724</v>
      </c>
      <c r="CS142" s="1013" t="s">
        <v>7724</v>
      </c>
      <c r="CT142" s="1013" t="s">
        <v>7724</v>
      </c>
      <c r="CU142" s="1013" t="s">
        <v>7724</v>
      </c>
      <c r="CV142" s="1013" t="s">
        <v>7724</v>
      </c>
      <c r="CW142" s="1013" t="s">
        <v>7727</v>
      </c>
      <c r="CX142" s="1013" t="s">
        <v>7723</v>
      </c>
      <c r="CY142" s="1013" t="s">
        <v>7723</v>
      </c>
      <c r="CZ142" s="1013">
        <v>0</v>
      </c>
      <c r="DA142" s="1013">
        <v>9</v>
      </c>
      <c r="DB142" s="1013" t="s">
        <v>7727</v>
      </c>
      <c r="DC142" s="1013" t="s">
        <v>7737</v>
      </c>
      <c r="DD142" s="1013" t="s">
        <v>7724</v>
      </c>
      <c r="DE142" s="1013" t="s">
        <v>7724</v>
      </c>
      <c r="DF142" s="1013" t="s">
        <v>7724</v>
      </c>
      <c r="DG142" s="1013" t="s">
        <v>7724</v>
      </c>
      <c r="DH142" s="1013" t="s">
        <v>7724</v>
      </c>
      <c r="DI142" s="1013" t="s">
        <v>7724</v>
      </c>
      <c r="DJ142" s="1013" t="s">
        <v>7724</v>
      </c>
      <c r="DK142" s="1013" t="s">
        <v>7724</v>
      </c>
      <c r="DL142" s="1013" t="s">
        <v>7724</v>
      </c>
      <c r="DM142" s="1013" t="s">
        <v>7724</v>
      </c>
      <c r="DN142" s="1013" t="s">
        <v>7724</v>
      </c>
      <c r="DO142" s="1013" t="s">
        <v>7724</v>
      </c>
      <c r="DP142" s="1013" t="s">
        <v>7724</v>
      </c>
      <c r="DQ142" s="1013" t="s">
        <v>7724</v>
      </c>
      <c r="DR142" s="1013" t="s">
        <v>7724</v>
      </c>
      <c r="DS142" s="1013" t="s">
        <v>7724</v>
      </c>
      <c r="DT142" s="1013" t="s">
        <v>7724</v>
      </c>
      <c r="DU142" s="1013" t="s">
        <v>7724</v>
      </c>
      <c r="DV142" s="1013" t="s">
        <v>7724</v>
      </c>
      <c r="DW142" s="1013" t="s">
        <v>7724</v>
      </c>
      <c r="DX142" s="1013" t="s">
        <v>7724</v>
      </c>
      <c r="DY142" s="1013" t="s">
        <v>7724</v>
      </c>
      <c r="DZ142" s="1013" t="s">
        <v>7724</v>
      </c>
      <c r="EA142" s="1013" t="s">
        <v>7724</v>
      </c>
      <c r="EB142" s="1013" t="s">
        <v>7724</v>
      </c>
      <c r="EC142" s="1013" t="s">
        <v>7724</v>
      </c>
      <c r="ED142" s="1013" t="s">
        <v>7724</v>
      </c>
      <c r="EE142" s="1013" t="s">
        <v>7724</v>
      </c>
      <c r="EF142" s="1013" t="s">
        <v>7724</v>
      </c>
      <c r="EG142" s="1013" t="s">
        <v>7724</v>
      </c>
      <c r="EH142" s="1013" t="s">
        <v>7724</v>
      </c>
      <c r="EI142" s="1013" t="s">
        <v>7724</v>
      </c>
      <c r="EJ142" s="1013" t="s">
        <v>7724</v>
      </c>
      <c r="EK142" s="1013" t="s">
        <v>7724</v>
      </c>
      <c r="EL142" s="1013" t="s">
        <v>7724</v>
      </c>
      <c r="EM142" s="1013" t="s">
        <v>7724</v>
      </c>
      <c r="EN142" s="1013" t="s">
        <v>7724</v>
      </c>
      <c r="EO142" s="1013" t="s">
        <v>7724</v>
      </c>
      <c r="EP142" s="1013" t="s">
        <v>7724</v>
      </c>
      <c r="EQ142" s="1013" t="s">
        <v>7724</v>
      </c>
      <c r="ER142" s="1013" t="s">
        <v>7724</v>
      </c>
      <c r="ES142" s="1013" t="s">
        <v>7724</v>
      </c>
      <c r="ET142" s="1013" t="s">
        <v>7724</v>
      </c>
      <c r="EU142" s="1013" t="s">
        <v>7724</v>
      </c>
      <c r="EV142" s="1013" t="s">
        <v>7724</v>
      </c>
      <c r="EW142" s="1013" t="s">
        <v>7724</v>
      </c>
      <c r="EX142" s="1013" t="s">
        <v>7724</v>
      </c>
      <c r="EY142" s="1013" t="s">
        <v>7724</v>
      </c>
      <c r="EZ142" s="1013" t="s">
        <v>7724</v>
      </c>
      <c r="FA142" s="1013" t="s">
        <v>7724</v>
      </c>
      <c r="FB142" s="1013" t="s">
        <v>7724</v>
      </c>
      <c r="FC142" s="1013" t="s">
        <v>7724</v>
      </c>
      <c r="FD142" s="1013" t="s">
        <v>7724</v>
      </c>
      <c r="FE142" s="1013" t="s">
        <v>7724</v>
      </c>
      <c r="FF142" s="1013" t="s">
        <v>7724</v>
      </c>
      <c r="FG142" s="1013">
        <v>0</v>
      </c>
      <c r="FH142" s="1013">
        <v>0</v>
      </c>
      <c r="FI142" s="1013">
        <v>0</v>
      </c>
      <c r="FJ142" s="1013">
        <v>0</v>
      </c>
      <c r="FK142" s="1013">
        <v>2</v>
      </c>
      <c r="FL142" s="1013">
        <v>0</v>
      </c>
      <c r="FM142" s="1013">
        <v>0</v>
      </c>
      <c r="FN142" s="1013">
        <v>15</v>
      </c>
      <c r="FO142" s="1013">
        <v>29</v>
      </c>
      <c r="FP142" s="1013">
        <v>9</v>
      </c>
      <c r="FQ142" s="1013" t="s">
        <v>7724</v>
      </c>
      <c r="FR142" s="1013" t="s">
        <v>7724</v>
      </c>
      <c r="FS142" s="1013" t="s">
        <v>7724</v>
      </c>
      <c r="FT142" s="1013" t="s">
        <v>7724</v>
      </c>
      <c r="FU142" s="1013" t="s">
        <v>7724</v>
      </c>
      <c r="FV142" s="1013" t="s">
        <v>7724</v>
      </c>
      <c r="FW142" s="1013" t="s">
        <v>7724</v>
      </c>
      <c r="FX142" s="1013" t="s">
        <v>7724</v>
      </c>
      <c r="FY142" s="1013" t="s">
        <v>7724</v>
      </c>
      <c r="FZ142" s="1013" t="s">
        <v>7724</v>
      </c>
      <c r="GA142" s="1013" t="s">
        <v>7724</v>
      </c>
      <c r="GB142" s="1013" t="s">
        <v>7724</v>
      </c>
      <c r="GC142" s="1013">
        <v>2020</v>
      </c>
      <c r="GD142" s="1013" t="s">
        <v>1407</v>
      </c>
      <c r="GE142" s="1013">
        <v>2</v>
      </c>
      <c r="GF142" s="1013" t="s">
        <v>1407</v>
      </c>
      <c r="GG142" s="1013" t="s">
        <v>1407</v>
      </c>
      <c r="GH142" s="1013" t="s">
        <v>8012</v>
      </c>
      <c r="GI142" s="1013" t="s">
        <v>7974</v>
      </c>
      <c r="GJ142" s="1013" t="s">
        <v>7974</v>
      </c>
      <c r="GK142" s="1013" t="s">
        <v>7974</v>
      </c>
      <c r="GL142" s="1013" t="s">
        <v>7974</v>
      </c>
    </row>
    <row r="143" spans="1:194" hidden="1">
      <c r="A143" s="1013">
        <v>74</v>
      </c>
      <c r="B143" s="1013" t="s">
        <v>7722</v>
      </c>
      <c r="C143" s="1013">
        <v>18029490</v>
      </c>
      <c r="D143" s="1013" t="s">
        <v>7723</v>
      </c>
      <c r="E143" s="1013" t="s">
        <v>7723</v>
      </c>
      <c r="F143" s="1013" t="s">
        <v>7723</v>
      </c>
      <c r="G143" s="1013" t="s">
        <v>7723</v>
      </c>
      <c r="H143" s="1013" t="s">
        <v>7723</v>
      </c>
      <c r="I143" s="1013" t="s">
        <v>7723</v>
      </c>
      <c r="J143" s="1013" t="s">
        <v>7723</v>
      </c>
      <c r="K143" s="1024">
        <v>44181</v>
      </c>
      <c r="L143" s="1023">
        <v>0.81597222222222221</v>
      </c>
      <c r="M143" s="1013" t="s">
        <v>8118</v>
      </c>
      <c r="N143" s="1013" t="s">
        <v>7724</v>
      </c>
      <c r="O143" s="1013">
        <v>101</v>
      </c>
      <c r="P143" s="1013">
        <v>208</v>
      </c>
      <c r="Q143" s="1013" t="s">
        <v>7723</v>
      </c>
      <c r="R143" s="1013" t="s">
        <v>7727</v>
      </c>
      <c r="S143" s="1013" t="s">
        <v>7724</v>
      </c>
      <c r="T143" s="1014" t="s">
        <v>7724</v>
      </c>
      <c r="U143" s="1014">
        <v>2</v>
      </c>
      <c r="V143" s="1014">
        <v>59</v>
      </c>
      <c r="W143" s="1014" t="s">
        <v>7724</v>
      </c>
      <c r="X143" s="1013">
        <v>1</v>
      </c>
      <c r="Y143" s="1013">
        <v>600</v>
      </c>
      <c r="Z143" s="1013" t="s">
        <v>7770</v>
      </c>
      <c r="AA143" s="1013" t="s">
        <v>7771</v>
      </c>
      <c r="AB143" s="1013" t="s">
        <v>7760</v>
      </c>
      <c r="AC143" s="1013" t="s">
        <v>7723</v>
      </c>
      <c r="AD143" s="1013" t="s">
        <v>7723</v>
      </c>
      <c r="AE143" s="1013">
        <v>60</v>
      </c>
      <c r="AF143" s="1013" t="s">
        <v>7723</v>
      </c>
      <c r="AG143" s="1013" t="s">
        <v>7723</v>
      </c>
      <c r="AH143" s="1013" t="s">
        <v>7724</v>
      </c>
      <c r="AI143" s="1013" t="s">
        <v>7723</v>
      </c>
      <c r="AJ143" s="1013">
        <v>19</v>
      </c>
      <c r="AK143" s="1013" t="s">
        <v>7724</v>
      </c>
      <c r="AL143" s="1013" t="s">
        <v>7724</v>
      </c>
      <c r="AM143" s="1013">
        <v>1</v>
      </c>
      <c r="AN143" s="1013" t="s">
        <v>7724</v>
      </c>
      <c r="AO143" s="1013" t="s">
        <v>7724</v>
      </c>
      <c r="AP143" s="1013" t="s">
        <v>8003</v>
      </c>
      <c r="AQ143" s="1013" t="s">
        <v>7735</v>
      </c>
      <c r="AR143" s="1013" t="s">
        <v>7724</v>
      </c>
      <c r="AS143" s="1013" t="s">
        <v>7724</v>
      </c>
      <c r="AT143" s="1013" t="s">
        <v>7724</v>
      </c>
      <c r="AU143" s="1013" t="s">
        <v>7724</v>
      </c>
      <c r="AV143" s="1013" t="s">
        <v>7724</v>
      </c>
      <c r="AW143" s="1013" t="s">
        <v>7724</v>
      </c>
      <c r="AX143" s="1013">
        <v>11</v>
      </c>
      <c r="AY143" s="1013">
        <v>4</v>
      </c>
      <c r="AZ143" s="1013">
        <v>0</v>
      </c>
      <c r="BA143" s="1013">
        <v>4</v>
      </c>
      <c r="BB143" s="1013">
        <v>5</v>
      </c>
      <c r="BC143" s="1013">
        <v>1</v>
      </c>
      <c r="BD143" s="1013">
        <v>20</v>
      </c>
      <c r="BE143" s="1023">
        <v>0.84166666666666667</v>
      </c>
      <c r="BF143" s="1013" t="s">
        <v>7782</v>
      </c>
      <c r="BG143" s="1023">
        <v>0.84652777777777777</v>
      </c>
      <c r="BH143" s="1024">
        <v>44181</v>
      </c>
      <c r="BI143" s="1013" t="s">
        <v>7727</v>
      </c>
      <c r="BJ143" s="1013" t="s">
        <v>7730</v>
      </c>
      <c r="BK143" s="1013">
        <v>2469</v>
      </c>
      <c r="BL143" s="1013" t="s">
        <v>7724</v>
      </c>
      <c r="BM143" s="1013" t="s">
        <v>7724</v>
      </c>
      <c r="BN143" s="1013">
        <v>113</v>
      </c>
      <c r="BO143" s="1013">
        <v>8</v>
      </c>
      <c r="BP143" s="1013">
        <v>7</v>
      </c>
      <c r="BQ143" s="1013">
        <v>4</v>
      </c>
      <c r="BR143" s="1013">
        <v>1</v>
      </c>
      <c r="BS143" s="1013">
        <v>58</v>
      </c>
      <c r="BT143" s="1013">
        <v>3</v>
      </c>
      <c r="BU143" s="1013">
        <v>1</v>
      </c>
      <c r="BV143" s="1013">
        <v>2</v>
      </c>
      <c r="BW143" s="1013">
        <v>2</v>
      </c>
      <c r="BX143" s="1013">
        <v>21</v>
      </c>
      <c r="BY143" s="1013">
        <v>21</v>
      </c>
      <c r="BZ143" s="1013">
        <v>101</v>
      </c>
      <c r="CA143" s="1013">
        <v>208</v>
      </c>
      <c r="CB143" s="1013">
        <v>29.732413999999999</v>
      </c>
      <c r="CC143" s="1013">
        <v>-95.381867999999997</v>
      </c>
      <c r="CD143" s="1013" t="s">
        <v>8016</v>
      </c>
      <c r="CE143" s="1013">
        <v>69</v>
      </c>
      <c r="CF143" s="1013" t="s">
        <v>7724</v>
      </c>
      <c r="CG143" s="1013">
        <v>33.5</v>
      </c>
      <c r="CH143" s="1013" t="s">
        <v>8017</v>
      </c>
      <c r="CI143" s="1013" t="s">
        <v>7724</v>
      </c>
      <c r="CJ143" s="1013">
        <v>27</v>
      </c>
      <c r="CK143" s="1013">
        <v>13</v>
      </c>
      <c r="CL143" s="1013">
        <v>13.794</v>
      </c>
      <c r="CM143" s="1013">
        <v>128</v>
      </c>
      <c r="CN143" s="1013">
        <v>0.24099999999999999</v>
      </c>
      <c r="CO143" s="1013" t="s">
        <v>7724</v>
      </c>
      <c r="CP143" s="1013" t="s">
        <v>7724</v>
      </c>
      <c r="CQ143" s="1013" t="s">
        <v>7724</v>
      </c>
      <c r="CR143" s="1013" t="s">
        <v>7724</v>
      </c>
      <c r="CS143" s="1013" t="s">
        <v>7724</v>
      </c>
      <c r="CT143" s="1013" t="s">
        <v>7724</v>
      </c>
      <c r="CU143" s="1013" t="s">
        <v>7724</v>
      </c>
      <c r="CV143" s="1013" t="s">
        <v>7724</v>
      </c>
      <c r="CW143" s="1013" t="s">
        <v>7727</v>
      </c>
      <c r="CX143" s="1013" t="s">
        <v>7727</v>
      </c>
      <c r="CY143" s="1013" t="s">
        <v>7723</v>
      </c>
      <c r="CZ143" s="1013">
        <v>5</v>
      </c>
      <c r="DA143" s="1013">
        <v>9</v>
      </c>
      <c r="DB143" s="1013" t="s">
        <v>7727</v>
      </c>
      <c r="DC143" s="1013" t="s">
        <v>7756</v>
      </c>
      <c r="DD143" s="1013">
        <v>5</v>
      </c>
      <c r="DE143" s="1013" t="s">
        <v>7724</v>
      </c>
      <c r="DF143" s="1013">
        <v>20</v>
      </c>
      <c r="DG143" s="1013">
        <v>20</v>
      </c>
      <c r="DH143" s="1013">
        <v>5</v>
      </c>
      <c r="DI143" s="1013" t="s">
        <v>7724</v>
      </c>
      <c r="DJ143" s="1013">
        <v>8</v>
      </c>
      <c r="DK143" s="1013">
        <v>400</v>
      </c>
      <c r="DL143" s="1013">
        <v>138</v>
      </c>
      <c r="DM143" s="1013">
        <v>98</v>
      </c>
      <c r="DN143" s="1013">
        <v>1</v>
      </c>
      <c r="DO143" s="1013">
        <v>0</v>
      </c>
      <c r="DP143" s="1013">
        <v>0</v>
      </c>
      <c r="DQ143" s="1013">
        <v>1</v>
      </c>
      <c r="DR143" s="1013">
        <v>20</v>
      </c>
      <c r="DS143" s="1013">
        <v>5</v>
      </c>
      <c r="DT143" s="1013">
        <v>1</v>
      </c>
      <c r="DU143" s="1013">
        <v>20</v>
      </c>
      <c r="DV143" s="1013">
        <v>5</v>
      </c>
      <c r="DW143" s="1013">
        <v>7</v>
      </c>
      <c r="DX143" s="1013">
        <v>5</v>
      </c>
      <c r="DY143" s="1013">
        <v>4</v>
      </c>
      <c r="DZ143" s="1013">
        <v>1</v>
      </c>
      <c r="EA143" s="1013">
        <v>185410</v>
      </c>
      <c r="EB143" s="1013">
        <v>2019</v>
      </c>
      <c r="EC143" s="1013">
        <v>185410</v>
      </c>
      <c r="ED143" s="1013">
        <v>2.2999999999999998</v>
      </c>
      <c r="EE143" s="1013">
        <v>2.5</v>
      </c>
      <c r="EF143" s="1013">
        <v>4.8</v>
      </c>
      <c r="EG143" s="1013" t="s">
        <v>7724</v>
      </c>
      <c r="EH143" s="1013" t="s">
        <v>7724</v>
      </c>
      <c r="EI143" s="1013" t="s">
        <v>7724</v>
      </c>
      <c r="EJ143" s="1013" t="s">
        <v>7724</v>
      </c>
      <c r="EK143" s="1013" t="s">
        <v>7724</v>
      </c>
      <c r="EL143" s="1013" t="s">
        <v>7724</v>
      </c>
      <c r="EM143" s="1013" t="s">
        <v>7724</v>
      </c>
      <c r="EN143" s="1013" t="s">
        <v>7724</v>
      </c>
      <c r="EO143" s="1013" t="s">
        <v>7724</v>
      </c>
      <c r="EP143" s="1013" t="s">
        <v>7724</v>
      </c>
      <c r="EQ143" s="1013" t="s">
        <v>7724</v>
      </c>
      <c r="ER143" s="1013" t="s">
        <v>7724</v>
      </c>
      <c r="ES143" s="1013" t="s">
        <v>7724</v>
      </c>
      <c r="ET143" s="1013" t="s">
        <v>7724</v>
      </c>
      <c r="EU143" s="1013" t="s">
        <v>7724</v>
      </c>
      <c r="EV143" s="1013" t="s">
        <v>7724</v>
      </c>
      <c r="EW143" s="1013" t="s">
        <v>7724</v>
      </c>
      <c r="EX143" s="1013" t="s">
        <v>7724</v>
      </c>
      <c r="EY143" s="1013" t="s">
        <v>7724</v>
      </c>
      <c r="EZ143" s="1013" t="s">
        <v>7724</v>
      </c>
      <c r="FA143" s="1013" t="s">
        <v>7724</v>
      </c>
      <c r="FB143" s="1013" t="s">
        <v>7724</v>
      </c>
      <c r="FC143" s="1013" t="s">
        <v>7724</v>
      </c>
      <c r="FD143" s="1013" t="s">
        <v>7724</v>
      </c>
      <c r="FE143" s="1013" t="s">
        <v>7724</v>
      </c>
      <c r="FF143" s="1013" t="s">
        <v>7724</v>
      </c>
      <c r="FG143" s="1013">
        <v>0</v>
      </c>
      <c r="FH143" s="1013">
        <v>0</v>
      </c>
      <c r="FI143" s="1013">
        <v>0</v>
      </c>
      <c r="FJ143" s="1013">
        <v>1</v>
      </c>
      <c r="FK143" s="1013">
        <v>0</v>
      </c>
      <c r="FL143" s="1013">
        <v>0</v>
      </c>
      <c r="FM143" s="1013">
        <v>0</v>
      </c>
      <c r="FN143" s="1013">
        <v>15</v>
      </c>
      <c r="FO143" s="1013">
        <v>29</v>
      </c>
      <c r="FP143" s="1013">
        <v>6</v>
      </c>
      <c r="FQ143" s="1013" t="s">
        <v>7724</v>
      </c>
      <c r="FR143" s="1013" t="s">
        <v>7724</v>
      </c>
      <c r="FS143" s="1013" t="s">
        <v>7724</v>
      </c>
      <c r="FT143" s="1013" t="s">
        <v>7724</v>
      </c>
      <c r="FU143" s="1013" t="s">
        <v>7724</v>
      </c>
      <c r="FV143" s="1013" t="s">
        <v>7724</v>
      </c>
      <c r="FW143" s="1013" t="s">
        <v>7724</v>
      </c>
      <c r="FX143" s="1013" t="s">
        <v>7724</v>
      </c>
      <c r="FY143" s="1013" t="s">
        <v>7724</v>
      </c>
      <c r="FZ143" s="1013" t="s">
        <v>7724</v>
      </c>
      <c r="GA143" s="1013" t="s">
        <v>7724</v>
      </c>
      <c r="GB143" s="1013" t="s">
        <v>7724</v>
      </c>
      <c r="GC143" s="1013">
        <v>2020</v>
      </c>
      <c r="GD143" s="1013" t="s">
        <v>1404</v>
      </c>
      <c r="GE143" s="1013">
        <v>1</v>
      </c>
      <c r="GF143" s="1013" t="s">
        <v>1407</v>
      </c>
      <c r="GG143" s="1013" t="s">
        <v>1407</v>
      </c>
      <c r="GH143" s="1013">
        <v>20</v>
      </c>
      <c r="GI143" s="1013" t="s">
        <v>8006</v>
      </c>
      <c r="GJ143" s="1013" t="s">
        <v>8006</v>
      </c>
      <c r="GK143" s="1013" t="s">
        <v>8006</v>
      </c>
      <c r="GL143" s="1013" t="s">
        <v>8006</v>
      </c>
    </row>
    <row r="144" spans="1:194" hidden="1">
      <c r="A144" s="1013">
        <v>75</v>
      </c>
      <c r="B144" s="1013" t="s">
        <v>7722</v>
      </c>
      <c r="C144" s="1013">
        <v>16844024</v>
      </c>
      <c r="D144" s="1013" t="s">
        <v>7723</v>
      </c>
      <c r="E144" s="1013" t="s">
        <v>7723</v>
      </c>
      <c r="F144" s="1013" t="s">
        <v>7723</v>
      </c>
      <c r="G144" s="1013" t="s">
        <v>7723</v>
      </c>
      <c r="H144" s="1013" t="s">
        <v>7723</v>
      </c>
      <c r="I144" s="1013" t="s">
        <v>7723</v>
      </c>
      <c r="J144" s="1013" t="s">
        <v>7723</v>
      </c>
      <c r="K144" s="1024">
        <v>43473</v>
      </c>
      <c r="L144" s="1023">
        <v>0.64583333333333337</v>
      </c>
      <c r="M144" s="1013" t="s">
        <v>8119</v>
      </c>
      <c r="N144" s="1013" t="s">
        <v>7724</v>
      </c>
      <c r="O144" s="1013">
        <v>101</v>
      </c>
      <c r="P144" s="1013">
        <v>208</v>
      </c>
      <c r="Q144" s="1013" t="s">
        <v>7723</v>
      </c>
      <c r="R144" s="1013" t="s">
        <v>7727</v>
      </c>
      <c r="S144" s="1013" t="s">
        <v>7724</v>
      </c>
      <c r="T144" s="1014" t="s">
        <v>7724</v>
      </c>
      <c r="U144" s="1014">
        <v>2</v>
      </c>
      <c r="V144" s="1014">
        <v>59</v>
      </c>
      <c r="W144" s="1014" t="s">
        <v>7724</v>
      </c>
      <c r="X144" s="1013">
        <v>1</v>
      </c>
      <c r="Y144" s="1013">
        <v>500</v>
      </c>
      <c r="Z144" s="1013" t="s">
        <v>7770</v>
      </c>
      <c r="AA144" s="1013" t="s">
        <v>7771</v>
      </c>
      <c r="AB144" s="1013" t="s">
        <v>7760</v>
      </c>
      <c r="AC144" s="1013" t="s">
        <v>7723</v>
      </c>
      <c r="AD144" s="1013" t="s">
        <v>7723</v>
      </c>
      <c r="AE144" s="1013">
        <v>60</v>
      </c>
      <c r="AF144" s="1013" t="s">
        <v>7723</v>
      </c>
      <c r="AG144" s="1013" t="s">
        <v>7723</v>
      </c>
      <c r="AH144" s="1013" t="s">
        <v>7724</v>
      </c>
      <c r="AI144" s="1013" t="s">
        <v>7723</v>
      </c>
      <c r="AJ144" s="1013">
        <v>19</v>
      </c>
      <c r="AK144" s="1013" t="s">
        <v>7724</v>
      </c>
      <c r="AL144" s="1013" t="s">
        <v>7724</v>
      </c>
      <c r="AM144" s="1013">
        <v>1</v>
      </c>
      <c r="AN144" s="1013">
        <v>4300</v>
      </c>
      <c r="AO144" s="1013" t="s">
        <v>7724</v>
      </c>
      <c r="AP144" s="1013" t="s">
        <v>7728</v>
      </c>
      <c r="AQ144" s="1013" t="s">
        <v>7724</v>
      </c>
      <c r="AR144" s="1013" t="s">
        <v>7724</v>
      </c>
      <c r="AS144" s="1013" t="s">
        <v>7724</v>
      </c>
      <c r="AT144" s="1013" t="s">
        <v>7724</v>
      </c>
      <c r="AU144" s="1013" t="s">
        <v>7724</v>
      </c>
      <c r="AV144" s="1013" t="s">
        <v>7724</v>
      </c>
      <c r="AW144" s="1013" t="s">
        <v>7724</v>
      </c>
      <c r="AX144" s="1013">
        <v>12</v>
      </c>
      <c r="AY144" s="1013">
        <v>1</v>
      </c>
      <c r="AZ144" s="1013">
        <v>0</v>
      </c>
      <c r="BA144" s="1013">
        <v>4</v>
      </c>
      <c r="BB144" s="1013">
        <v>2</v>
      </c>
      <c r="BC144" s="1013">
        <v>1</v>
      </c>
      <c r="BD144" s="1013">
        <v>1</v>
      </c>
      <c r="BE144" s="1023">
        <v>0.65</v>
      </c>
      <c r="BF144" s="1013" t="s">
        <v>7782</v>
      </c>
      <c r="BG144" s="1023">
        <v>0.65694444444444444</v>
      </c>
      <c r="BH144" s="1024">
        <v>43473</v>
      </c>
      <c r="BI144" s="1013" t="s">
        <v>7727</v>
      </c>
      <c r="BJ144" s="1013" t="s">
        <v>7730</v>
      </c>
      <c r="BK144" s="1013">
        <v>2469</v>
      </c>
      <c r="BL144" s="1013" t="s">
        <v>7724</v>
      </c>
      <c r="BM144" s="1013" t="s">
        <v>7724</v>
      </c>
      <c r="BN144" s="1013">
        <v>113</v>
      </c>
      <c r="BO144" s="1013">
        <v>8</v>
      </c>
      <c r="BP144" s="1013">
        <v>2</v>
      </c>
      <c r="BQ144" s="1013">
        <v>4</v>
      </c>
      <c r="BR144" s="1013">
        <v>22</v>
      </c>
      <c r="BS144" s="1013">
        <v>64</v>
      </c>
      <c r="BT144" s="1013">
        <v>42</v>
      </c>
      <c r="BU144" s="1013">
        <v>3</v>
      </c>
      <c r="BV144" s="1013">
        <v>2</v>
      </c>
      <c r="BW144" s="1013">
        <v>1</v>
      </c>
      <c r="BX144" s="1013">
        <v>21</v>
      </c>
      <c r="BY144" s="1013">
        <v>21</v>
      </c>
      <c r="BZ144" s="1013">
        <v>101</v>
      </c>
      <c r="CA144" s="1013">
        <v>208</v>
      </c>
      <c r="CB144" s="1013">
        <v>29.732396000000001</v>
      </c>
      <c r="CC144" s="1013">
        <v>-95.381675999999999</v>
      </c>
      <c r="CD144" s="1013" t="s">
        <v>7724</v>
      </c>
      <c r="CE144" s="1013" t="s">
        <v>7724</v>
      </c>
      <c r="CF144" s="1013" t="s">
        <v>7724</v>
      </c>
      <c r="CG144" s="1013" t="s">
        <v>7724</v>
      </c>
      <c r="CH144" s="1013" t="s">
        <v>8053</v>
      </c>
      <c r="CI144" s="1013" t="s">
        <v>7724</v>
      </c>
      <c r="CJ144" s="1013" t="s">
        <v>7724</v>
      </c>
      <c r="CK144" s="1013" t="s">
        <v>7724</v>
      </c>
      <c r="CL144" s="1013" t="s">
        <v>7724</v>
      </c>
      <c r="CM144" s="1013" t="s">
        <v>7724</v>
      </c>
      <c r="CN144" s="1013" t="s">
        <v>7724</v>
      </c>
      <c r="CO144" s="1013" t="s">
        <v>7724</v>
      </c>
      <c r="CP144" s="1013" t="s">
        <v>7724</v>
      </c>
      <c r="CQ144" s="1013" t="s">
        <v>7724</v>
      </c>
      <c r="CR144" s="1013" t="s">
        <v>7724</v>
      </c>
      <c r="CS144" s="1013" t="s">
        <v>7724</v>
      </c>
      <c r="CT144" s="1013" t="s">
        <v>7724</v>
      </c>
      <c r="CU144" s="1013" t="s">
        <v>7724</v>
      </c>
      <c r="CV144" s="1013" t="s">
        <v>7724</v>
      </c>
      <c r="CW144" s="1013" t="s">
        <v>7727</v>
      </c>
      <c r="CX144" s="1013" t="s">
        <v>7723</v>
      </c>
      <c r="CY144" s="1013" t="s">
        <v>7723</v>
      </c>
      <c r="CZ144" s="1013">
        <v>5</v>
      </c>
      <c r="DA144" s="1013">
        <v>9</v>
      </c>
      <c r="DB144" s="1013" t="s">
        <v>7727</v>
      </c>
      <c r="DC144" s="1013" t="s">
        <v>7737</v>
      </c>
      <c r="DD144" s="1013" t="s">
        <v>7724</v>
      </c>
      <c r="DE144" s="1013" t="s">
        <v>7724</v>
      </c>
      <c r="DF144" s="1013" t="s">
        <v>7724</v>
      </c>
      <c r="DG144" s="1013" t="s">
        <v>7724</v>
      </c>
      <c r="DH144" s="1013" t="s">
        <v>7724</v>
      </c>
      <c r="DI144" s="1013" t="s">
        <v>7724</v>
      </c>
      <c r="DJ144" s="1013" t="s">
        <v>7724</v>
      </c>
      <c r="DK144" s="1013" t="s">
        <v>7724</v>
      </c>
      <c r="DL144" s="1013" t="s">
        <v>7724</v>
      </c>
      <c r="DM144" s="1013" t="s">
        <v>7724</v>
      </c>
      <c r="DN144" s="1013" t="s">
        <v>7724</v>
      </c>
      <c r="DO144" s="1013" t="s">
        <v>7724</v>
      </c>
      <c r="DP144" s="1013" t="s">
        <v>7724</v>
      </c>
      <c r="DQ144" s="1013" t="s">
        <v>7724</v>
      </c>
      <c r="DR144" s="1013" t="s">
        <v>7724</v>
      </c>
      <c r="DS144" s="1013" t="s">
        <v>7724</v>
      </c>
      <c r="DT144" s="1013" t="s">
        <v>7724</v>
      </c>
      <c r="DU144" s="1013" t="s">
        <v>7724</v>
      </c>
      <c r="DV144" s="1013" t="s">
        <v>7724</v>
      </c>
      <c r="DW144" s="1013" t="s">
        <v>7724</v>
      </c>
      <c r="DX144" s="1013" t="s">
        <v>7724</v>
      </c>
      <c r="DY144" s="1013" t="s">
        <v>7724</v>
      </c>
      <c r="DZ144" s="1013" t="s">
        <v>7724</v>
      </c>
      <c r="EA144" s="1013" t="s">
        <v>7724</v>
      </c>
      <c r="EB144" s="1013" t="s">
        <v>7724</v>
      </c>
      <c r="EC144" s="1013" t="s">
        <v>7724</v>
      </c>
      <c r="ED144" s="1013" t="s">
        <v>7724</v>
      </c>
      <c r="EE144" s="1013" t="s">
        <v>7724</v>
      </c>
      <c r="EF144" s="1013" t="s">
        <v>7724</v>
      </c>
      <c r="EG144" s="1013" t="s">
        <v>7724</v>
      </c>
      <c r="EH144" s="1013" t="s">
        <v>7724</v>
      </c>
      <c r="EI144" s="1013" t="s">
        <v>7724</v>
      </c>
      <c r="EJ144" s="1013" t="s">
        <v>7724</v>
      </c>
      <c r="EK144" s="1013" t="s">
        <v>7724</v>
      </c>
      <c r="EL144" s="1013" t="s">
        <v>7724</v>
      </c>
      <c r="EM144" s="1013" t="s">
        <v>7724</v>
      </c>
      <c r="EN144" s="1013" t="s">
        <v>7724</v>
      </c>
      <c r="EO144" s="1013" t="s">
        <v>7724</v>
      </c>
      <c r="EP144" s="1013" t="s">
        <v>7724</v>
      </c>
      <c r="EQ144" s="1013" t="s">
        <v>7724</v>
      </c>
      <c r="ER144" s="1013" t="s">
        <v>7724</v>
      </c>
      <c r="ES144" s="1013" t="s">
        <v>7724</v>
      </c>
      <c r="ET144" s="1013" t="s">
        <v>7724</v>
      </c>
      <c r="EU144" s="1013" t="s">
        <v>7724</v>
      </c>
      <c r="EV144" s="1013" t="s">
        <v>7724</v>
      </c>
      <c r="EW144" s="1013" t="s">
        <v>7724</v>
      </c>
      <c r="EX144" s="1013" t="s">
        <v>7724</v>
      </c>
      <c r="EY144" s="1013" t="s">
        <v>7724</v>
      </c>
      <c r="EZ144" s="1013" t="s">
        <v>7724</v>
      </c>
      <c r="FA144" s="1013" t="s">
        <v>7724</v>
      </c>
      <c r="FB144" s="1013" t="s">
        <v>7724</v>
      </c>
      <c r="FC144" s="1013" t="s">
        <v>7724</v>
      </c>
      <c r="FD144" s="1013" t="s">
        <v>7724</v>
      </c>
      <c r="FE144" s="1013" t="s">
        <v>7724</v>
      </c>
      <c r="FF144" s="1013" t="s">
        <v>7724</v>
      </c>
      <c r="FG144" s="1013">
        <v>0</v>
      </c>
      <c r="FH144" s="1013">
        <v>0</v>
      </c>
      <c r="FI144" s="1013">
        <v>0</v>
      </c>
      <c r="FJ144" s="1013">
        <v>3</v>
      </c>
      <c r="FK144" s="1013">
        <v>0</v>
      </c>
      <c r="FL144" s="1013">
        <v>0</v>
      </c>
      <c r="FM144" s="1013">
        <v>0</v>
      </c>
      <c r="FN144" s="1013">
        <v>15</v>
      </c>
      <c r="FO144" s="1013">
        <v>29</v>
      </c>
      <c r="FP144" s="1013">
        <v>6</v>
      </c>
      <c r="FQ144" s="1013" t="s">
        <v>7724</v>
      </c>
      <c r="FR144" s="1013" t="s">
        <v>7724</v>
      </c>
      <c r="FS144" s="1013" t="s">
        <v>7724</v>
      </c>
      <c r="FT144" s="1013" t="s">
        <v>7724</v>
      </c>
      <c r="FU144" s="1013" t="s">
        <v>7724</v>
      </c>
      <c r="FV144" s="1013" t="s">
        <v>7724</v>
      </c>
      <c r="FW144" s="1013" t="s">
        <v>7724</v>
      </c>
      <c r="FX144" s="1013" t="s">
        <v>7724</v>
      </c>
      <c r="FY144" s="1013" t="s">
        <v>7724</v>
      </c>
      <c r="FZ144" s="1013" t="s">
        <v>7724</v>
      </c>
      <c r="GA144" s="1013" t="s">
        <v>7724</v>
      </c>
      <c r="GB144" s="1013" t="s">
        <v>7724</v>
      </c>
      <c r="GC144" s="1013">
        <v>2019</v>
      </c>
      <c r="GD144" s="1013" t="s">
        <v>1404</v>
      </c>
      <c r="GE144" s="1013">
        <v>2</v>
      </c>
      <c r="GF144" s="1013" t="s">
        <v>1407</v>
      </c>
      <c r="GG144" s="1013" t="s">
        <v>1407</v>
      </c>
      <c r="GH144" s="1013" t="s">
        <v>8023</v>
      </c>
      <c r="GI144" s="1013" t="s">
        <v>7974</v>
      </c>
      <c r="GJ144" s="1013" t="s">
        <v>7974</v>
      </c>
      <c r="GK144" s="1013" t="s">
        <v>7974</v>
      </c>
      <c r="GL144" s="1013" t="s">
        <v>7974</v>
      </c>
    </row>
    <row r="145" spans="1:194" hidden="1">
      <c r="A145" s="1013">
        <v>86</v>
      </c>
      <c r="B145" s="1013" t="s">
        <v>7722</v>
      </c>
      <c r="C145" s="1013">
        <v>17000604</v>
      </c>
      <c r="D145" s="1013" t="s">
        <v>7723</v>
      </c>
      <c r="E145" s="1013" t="s">
        <v>7723</v>
      </c>
      <c r="F145" s="1013" t="s">
        <v>7723</v>
      </c>
      <c r="G145" s="1013" t="s">
        <v>7723</v>
      </c>
      <c r="H145" s="1013" t="s">
        <v>7723</v>
      </c>
      <c r="I145" s="1013" t="s">
        <v>7723</v>
      </c>
      <c r="J145" s="1013" t="s">
        <v>7723</v>
      </c>
      <c r="K145" s="1024">
        <v>43560</v>
      </c>
      <c r="L145" s="1023">
        <v>0.33333333333333331</v>
      </c>
      <c r="M145" s="1013" t="s">
        <v>7783</v>
      </c>
      <c r="N145" s="1013" t="s">
        <v>7724</v>
      </c>
      <c r="O145" s="1013">
        <v>101</v>
      </c>
      <c r="P145" s="1013">
        <v>208</v>
      </c>
      <c r="Q145" s="1013" t="s">
        <v>7723</v>
      </c>
      <c r="R145" s="1013" t="s">
        <v>7727</v>
      </c>
      <c r="S145" s="1013" t="s">
        <v>7724</v>
      </c>
      <c r="T145" s="1014" t="s">
        <v>7724</v>
      </c>
      <c r="U145" s="1014">
        <v>19</v>
      </c>
      <c r="V145" s="1014" t="s">
        <v>7724</v>
      </c>
      <c r="W145" s="1014" t="s">
        <v>7724</v>
      </c>
      <c r="X145" s="1013">
        <v>1</v>
      </c>
      <c r="Y145" s="1013">
        <v>1200</v>
      </c>
      <c r="Z145" s="1013" t="s">
        <v>7724</v>
      </c>
      <c r="AA145" s="1013" t="s">
        <v>7725</v>
      </c>
      <c r="AB145" s="1013" t="s">
        <v>7735</v>
      </c>
      <c r="AC145" s="1013" t="s">
        <v>7723</v>
      </c>
      <c r="AD145" s="1013" t="s">
        <v>7723</v>
      </c>
      <c r="AE145" s="1013">
        <v>35</v>
      </c>
      <c r="AF145" s="1013" t="s">
        <v>7723</v>
      </c>
      <c r="AG145" s="1013" t="s">
        <v>7723</v>
      </c>
      <c r="AH145" s="1013" t="s">
        <v>7739</v>
      </c>
      <c r="AI145" s="1013" t="s">
        <v>7723</v>
      </c>
      <c r="AJ145" s="1013">
        <v>19</v>
      </c>
      <c r="AK145" s="1013" t="s">
        <v>7724</v>
      </c>
      <c r="AL145" s="1013" t="s">
        <v>7724</v>
      </c>
      <c r="AM145" s="1013">
        <v>1</v>
      </c>
      <c r="AN145" s="1013">
        <v>4300</v>
      </c>
      <c r="AO145" s="1013" t="s">
        <v>7724</v>
      </c>
      <c r="AP145" s="1013" t="s">
        <v>7745</v>
      </c>
      <c r="AQ145" s="1013" t="s">
        <v>7726</v>
      </c>
      <c r="AR145" s="1013" t="s">
        <v>7724</v>
      </c>
      <c r="AS145" s="1013" t="s">
        <v>7724</v>
      </c>
      <c r="AT145" s="1013" t="s">
        <v>7724</v>
      </c>
      <c r="AU145" s="1013" t="s">
        <v>7724</v>
      </c>
      <c r="AV145" s="1013" t="s">
        <v>7724</v>
      </c>
      <c r="AW145" s="1013" t="s">
        <v>7724</v>
      </c>
      <c r="AX145" s="1013">
        <v>12</v>
      </c>
      <c r="AY145" s="1013">
        <v>1</v>
      </c>
      <c r="AZ145" s="1013">
        <v>0</v>
      </c>
      <c r="BA145" s="1013">
        <v>2</v>
      </c>
      <c r="BB145" s="1013">
        <v>1</v>
      </c>
      <c r="BC145" s="1013">
        <v>1</v>
      </c>
      <c r="BD145" s="1013">
        <v>20</v>
      </c>
      <c r="BE145" s="1023">
        <v>0.35833333333333334</v>
      </c>
      <c r="BF145" s="1013" t="s">
        <v>7784</v>
      </c>
      <c r="BG145" s="1023">
        <v>0.37083333333333335</v>
      </c>
      <c r="BH145" s="1024">
        <v>43560</v>
      </c>
      <c r="BI145" s="1013" t="s">
        <v>7727</v>
      </c>
      <c r="BJ145" s="1013" t="s">
        <v>7730</v>
      </c>
      <c r="BK145" s="1013">
        <v>2469</v>
      </c>
      <c r="BL145" s="1013" t="s">
        <v>7724</v>
      </c>
      <c r="BM145" s="1013" t="s">
        <v>7724</v>
      </c>
      <c r="BN145" s="1013">
        <v>113</v>
      </c>
      <c r="BO145" s="1013">
        <v>8</v>
      </c>
      <c r="BP145" s="1013">
        <v>2</v>
      </c>
      <c r="BQ145" s="1013">
        <v>3</v>
      </c>
      <c r="BR145" s="1013">
        <v>22</v>
      </c>
      <c r="BS145" s="1013">
        <v>64</v>
      </c>
      <c r="BT145" s="1013">
        <v>47</v>
      </c>
      <c r="BU145" s="1013">
        <v>1</v>
      </c>
      <c r="BV145" s="1013">
        <v>5</v>
      </c>
      <c r="BW145" s="1013">
        <v>1</v>
      </c>
      <c r="BX145" s="1013">
        <v>32</v>
      </c>
      <c r="BY145" s="1013">
        <v>21</v>
      </c>
      <c r="BZ145" s="1013">
        <v>101</v>
      </c>
      <c r="CA145" s="1013">
        <v>208</v>
      </c>
      <c r="CB145" s="1013">
        <v>29.73272</v>
      </c>
      <c r="CC145" s="1013">
        <v>-95.380722000000006</v>
      </c>
      <c r="CD145" s="1013" t="s">
        <v>7724</v>
      </c>
      <c r="CE145" s="1013" t="s">
        <v>7724</v>
      </c>
      <c r="CF145" s="1013" t="s">
        <v>7724</v>
      </c>
      <c r="CG145" s="1013" t="s">
        <v>7724</v>
      </c>
      <c r="CH145" s="1013" t="s">
        <v>7731</v>
      </c>
      <c r="CI145" s="1013">
        <v>1269</v>
      </c>
      <c r="CJ145" s="1013" t="s">
        <v>7724</v>
      </c>
      <c r="CK145" s="1013" t="s">
        <v>7724</v>
      </c>
      <c r="CL145" s="1013" t="s">
        <v>7724</v>
      </c>
      <c r="CM145" s="1013" t="s">
        <v>7724</v>
      </c>
      <c r="CN145" s="1013" t="s">
        <v>7724</v>
      </c>
      <c r="CO145" s="1013" t="s">
        <v>7724</v>
      </c>
      <c r="CP145" s="1013" t="s">
        <v>7724</v>
      </c>
      <c r="CQ145" s="1013" t="s">
        <v>7724</v>
      </c>
      <c r="CR145" s="1013" t="s">
        <v>7724</v>
      </c>
      <c r="CS145" s="1013" t="s">
        <v>7724</v>
      </c>
      <c r="CT145" s="1013" t="s">
        <v>7724</v>
      </c>
      <c r="CU145" s="1013" t="s">
        <v>7724</v>
      </c>
      <c r="CV145" s="1013" t="s">
        <v>7724</v>
      </c>
      <c r="CW145" s="1013" t="s">
        <v>7727</v>
      </c>
      <c r="CX145" s="1013" t="s">
        <v>7723</v>
      </c>
      <c r="CY145" s="1013" t="s">
        <v>7723</v>
      </c>
      <c r="CZ145" s="1013">
        <v>5</v>
      </c>
      <c r="DA145" s="1013">
        <v>9</v>
      </c>
      <c r="DB145" s="1013" t="s">
        <v>7727</v>
      </c>
      <c r="DC145" s="1013" t="s">
        <v>7759</v>
      </c>
      <c r="DD145" s="1013" t="s">
        <v>7724</v>
      </c>
      <c r="DE145" s="1013" t="s">
        <v>7724</v>
      </c>
      <c r="DF145" s="1013" t="s">
        <v>7724</v>
      </c>
      <c r="DG145" s="1013" t="s">
        <v>7724</v>
      </c>
      <c r="DH145" s="1013" t="s">
        <v>7724</v>
      </c>
      <c r="DI145" s="1013" t="s">
        <v>7724</v>
      </c>
      <c r="DJ145" s="1013" t="s">
        <v>7724</v>
      </c>
      <c r="DK145" s="1013" t="s">
        <v>7724</v>
      </c>
      <c r="DL145" s="1013" t="s">
        <v>7724</v>
      </c>
      <c r="DM145" s="1013" t="s">
        <v>7724</v>
      </c>
      <c r="DN145" s="1013" t="s">
        <v>7724</v>
      </c>
      <c r="DO145" s="1013" t="s">
        <v>7724</v>
      </c>
      <c r="DP145" s="1013" t="s">
        <v>7724</v>
      </c>
      <c r="DQ145" s="1013" t="s">
        <v>7724</v>
      </c>
      <c r="DR145" s="1013" t="s">
        <v>7724</v>
      </c>
      <c r="DS145" s="1013" t="s">
        <v>7724</v>
      </c>
      <c r="DT145" s="1013" t="s">
        <v>7724</v>
      </c>
      <c r="DU145" s="1013" t="s">
        <v>7724</v>
      </c>
      <c r="DV145" s="1013" t="s">
        <v>7724</v>
      </c>
      <c r="DW145" s="1013" t="s">
        <v>7724</v>
      </c>
      <c r="DX145" s="1013" t="s">
        <v>7724</v>
      </c>
      <c r="DY145" s="1013" t="s">
        <v>7724</v>
      </c>
      <c r="DZ145" s="1013" t="s">
        <v>7724</v>
      </c>
      <c r="EA145" s="1013" t="s">
        <v>7724</v>
      </c>
      <c r="EB145" s="1013" t="s">
        <v>7724</v>
      </c>
      <c r="EC145" s="1013" t="s">
        <v>7724</v>
      </c>
      <c r="ED145" s="1013" t="s">
        <v>7724</v>
      </c>
      <c r="EE145" s="1013" t="s">
        <v>7724</v>
      </c>
      <c r="EF145" s="1013" t="s">
        <v>7724</v>
      </c>
      <c r="EG145" s="1013" t="s">
        <v>7724</v>
      </c>
      <c r="EH145" s="1013" t="s">
        <v>7724</v>
      </c>
      <c r="EI145" s="1013" t="s">
        <v>7724</v>
      </c>
      <c r="EJ145" s="1013" t="s">
        <v>7724</v>
      </c>
      <c r="EK145" s="1013" t="s">
        <v>7724</v>
      </c>
      <c r="EL145" s="1013" t="s">
        <v>7724</v>
      </c>
      <c r="EM145" s="1013" t="s">
        <v>7724</v>
      </c>
      <c r="EN145" s="1013" t="s">
        <v>7724</v>
      </c>
      <c r="EO145" s="1013" t="s">
        <v>7724</v>
      </c>
      <c r="EP145" s="1013" t="s">
        <v>7724</v>
      </c>
      <c r="EQ145" s="1013" t="s">
        <v>7724</v>
      </c>
      <c r="ER145" s="1013" t="s">
        <v>7724</v>
      </c>
      <c r="ES145" s="1013" t="s">
        <v>7724</v>
      </c>
      <c r="ET145" s="1013" t="s">
        <v>7724</v>
      </c>
      <c r="EU145" s="1013" t="s">
        <v>7724</v>
      </c>
      <c r="EV145" s="1013" t="s">
        <v>7724</v>
      </c>
      <c r="EW145" s="1013" t="s">
        <v>7724</v>
      </c>
      <c r="EX145" s="1013" t="s">
        <v>7724</v>
      </c>
      <c r="EY145" s="1013" t="s">
        <v>7724</v>
      </c>
      <c r="EZ145" s="1013" t="s">
        <v>7724</v>
      </c>
      <c r="FA145" s="1013" t="s">
        <v>7724</v>
      </c>
      <c r="FB145" s="1013" t="s">
        <v>7724</v>
      </c>
      <c r="FC145" s="1013" t="s">
        <v>7724</v>
      </c>
      <c r="FD145" s="1013" t="s">
        <v>7724</v>
      </c>
      <c r="FE145" s="1013" t="s">
        <v>7724</v>
      </c>
      <c r="FF145" s="1013" t="s">
        <v>7724</v>
      </c>
      <c r="FG145" s="1013">
        <v>0</v>
      </c>
      <c r="FH145" s="1013">
        <v>0</v>
      </c>
      <c r="FI145" s="1013">
        <v>0</v>
      </c>
      <c r="FJ145" s="1013">
        <v>12</v>
      </c>
      <c r="FK145" s="1013">
        <v>0</v>
      </c>
      <c r="FL145" s="1013">
        <v>0</v>
      </c>
      <c r="FM145" s="1013">
        <v>0</v>
      </c>
      <c r="FN145" s="1013">
        <v>15</v>
      </c>
      <c r="FO145" s="1013">
        <v>29</v>
      </c>
      <c r="FP145" s="1013">
        <v>6</v>
      </c>
      <c r="FQ145" s="1013" t="s">
        <v>7724</v>
      </c>
      <c r="FR145" s="1013" t="s">
        <v>7724</v>
      </c>
      <c r="FS145" s="1013" t="s">
        <v>7724</v>
      </c>
      <c r="FT145" s="1013" t="s">
        <v>7724</v>
      </c>
      <c r="FU145" s="1013" t="s">
        <v>7724</v>
      </c>
      <c r="FV145" s="1013" t="s">
        <v>7724</v>
      </c>
      <c r="FW145" s="1013" t="s">
        <v>7724</v>
      </c>
      <c r="FX145" s="1013" t="s">
        <v>7724</v>
      </c>
      <c r="FY145" s="1013" t="s">
        <v>7724</v>
      </c>
      <c r="FZ145" s="1013" t="s">
        <v>7724</v>
      </c>
      <c r="GA145" s="1013" t="s">
        <v>7724</v>
      </c>
      <c r="GB145" s="1013" t="s">
        <v>7724</v>
      </c>
      <c r="GC145" s="1013">
        <v>2019</v>
      </c>
      <c r="GD145" s="1013" t="s">
        <v>1404</v>
      </c>
      <c r="GE145" s="1013">
        <v>2</v>
      </c>
      <c r="GF145" s="1013" t="s">
        <v>1407</v>
      </c>
      <c r="GG145" s="1013" t="s">
        <v>1407</v>
      </c>
      <c r="GH145" s="1013" t="s">
        <v>8023</v>
      </c>
      <c r="GI145" s="1013" t="s">
        <v>7974</v>
      </c>
      <c r="GJ145" s="1013" t="s">
        <v>7974</v>
      </c>
      <c r="GK145" s="1013" t="s">
        <v>7974</v>
      </c>
      <c r="GL145" s="1013" t="s">
        <v>7974</v>
      </c>
    </row>
    <row r="146" spans="1:194" hidden="1">
      <c r="A146" s="1013">
        <v>90</v>
      </c>
      <c r="B146" s="1013" t="s">
        <v>7722</v>
      </c>
      <c r="C146" s="1013">
        <v>17027775</v>
      </c>
      <c r="D146" s="1013" t="s">
        <v>7723</v>
      </c>
      <c r="E146" s="1013" t="s">
        <v>7723</v>
      </c>
      <c r="F146" s="1013" t="s">
        <v>7723</v>
      </c>
      <c r="G146" s="1013" t="s">
        <v>7723</v>
      </c>
      <c r="H146" s="1013" t="s">
        <v>7723</v>
      </c>
      <c r="I146" s="1013" t="s">
        <v>7727</v>
      </c>
      <c r="J146" s="1013" t="s">
        <v>7723</v>
      </c>
      <c r="K146" s="1024">
        <v>43568</v>
      </c>
      <c r="L146" s="1023">
        <v>0.71527777777777779</v>
      </c>
      <c r="M146" s="1013" t="s">
        <v>7791</v>
      </c>
      <c r="N146" s="1013" t="s">
        <v>7744</v>
      </c>
      <c r="O146" s="1013">
        <v>101</v>
      </c>
      <c r="P146" s="1013">
        <v>208</v>
      </c>
      <c r="Q146" s="1013" t="s">
        <v>7723</v>
      </c>
      <c r="R146" s="1013" t="s">
        <v>7727</v>
      </c>
      <c r="S146" s="1013" t="s">
        <v>7724</v>
      </c>
      <c r="T146" s="1014" t="s">
        <v>7724</v>
      </c>
      <c r="U146" s="1014">
        <v>19</v>
      </c>
      <c r="V146" s="1014" t="s">
        <v>7724</v>
      </c>
      <c r="W146" s="1014" t="s">
        <v>7724</v>
      </c>
      <c r="X146" s="1013">
        <v>1</v>
      </c>
      <c r="Y146" s="1013">
        <v>4700</v>
      </c>
      <c r="Z146" s="1013" t="s">
        <v>7724</v>
      </c>
      <c r="AA146" s="1013" t="s">
        <v>7728</v>
      </c>
      <c r="AB146" s="1013" t="s">
        <v>7724</v>
      </c>
      <c r="AC146" s="1013" t="s">
        <v>7723</v>
      </c>
      <c r="AD146" s="1013" t="s">
        <v>7723</v>
      </c>
      <c r="AE146" s="1013">
        <v>35</v>
      </c>
      <c r="AF146" s="1013" t="s">
        <v>7723</v>
      </c>
      <c r="AG146" s="1013" t="s">
        <v>7723</v>
      </c>
      <c r="AH146" s="1013" t="s">
        <v>7739</v>
      </c>
      <c r="AI146" s="1013" t="s">
        <v>7727</v>
      </c>
      <c r="AJ146" s="1013">
        <v>19</v>
      </c>
      <c r="AK146" s="1013" t="s">
        <v>7724</v>
      </c>
      <c r="AL146" s="1013" t="s">
        <v>7724</v>
      </c>
      <c r="AM146" s="1013">
        <v>1</v>
      </c>
      <c r="AN146" s="1013">
        <v>1200</v>
      </c>
      <c r="AO146" s="1013" t="s">
        <v>7724</v>
      </c>
      <c r="AP146" s="1013" t="s">
        <v>7757</v>
      </c>
      <c r="AQ146" s="1013" t="s">
        <v>7726</v>
      </c>
      <c r="AR146" s="1013" t="s">
        <v>7724</v>
      </c>
      <c r="AS146" s="1013" t="s">
        <v>7724</v>
      </c>
      <c r="AT146" s="1013" t="s">
        <v>7724</v>
      </c>
      <c r="AU146" s="1013" t="s">
        <v>7724</v>
      </c>
      <c r="AV146" s="1013" t="s">
        <v>7724</v>
      </c>
      <c r="AW146" s="1013" t="s">
        <v>7724</v>
      </c>
      <c r="AX146" s="1013">
        <v>11</v>
      </c>
      <c r="AY146" s="1013">
        <v>1</v>
      </c>
      <c r="AZ146" s="1013">
        <v>3</v>
      </c>
      <c r="BA146" s="1013">
        <v>1</v>
      </c>
      <c r="BB146" s="1013">
        <v>1</v>
      </c>
      <c r="BC146" s="1013">
        <v>1</v>
      </c>
      <c r="BD146" s="1013">
        <v>20</v>
      </c>
      <c r="BE146" s="1023">
        <v>0.72222222222222221</v>
      </c>
      <c r="BF146" s="1013" t="s">
        <v>7761</v>
      </c>
      <c r="BG146" s="1023">
        <v>0.72222222222222221</v>
      </c>
      <c r="BH146" s="1024">
        <v>43679</v>
      </c>
      <c r="BI146" s="1013" t="s">
        <v>7727</v>
      </c>
      <c r="BJ146" s="1013" t="s">
        <v>7730</v>
      </c>
      <c r="BK146" s="1013">
        <v>2469</v>
      </c>
      <c r="BL146" s="1013" t="s">
        <v>7724</v>
      </c>
      <c r="BM146" s="1013" t="s">
        <v>7724</v>
      </c>
      <c r="BN146" s="1013">
        <v>113</v>
      </c>
      <c r="BO146" s="1013">
        <v>8</v>
      </c>
      <c r="BP146" s="1013">
        <v>2</v>
      </c>
      <c r="BQ146" s="1013">
        <v>4</v>
      </c>
      <c r="BR146" s="1013">
        <v>21</v>
      </c>
      <c r="BS146" s="1013">
        <v>64</v>
      </c>
      <c r="BT146" s="1013">
        <v>9</v>
      </c>
      <c r="BU146" s="1013">
        <v>1</v>
      </c>
      <c r="BV146" s="1013">
        <v>5</v>
      </c>
      <c r="BW146" s="1013">
        <v>1</v>
      </c>
      <c r="BX146" s="1013">
        <v>21</v>
      </c>
      <c r="BY146" s="1013">
        <v>21</v>
      </c>
      <c r="BZ146" s="1013">
        <v>101</v>
      </c>
      <c r="CA146" s="1013">
        <v>208</v>
      </c>
      <c r="CB146" s="1013">
        <v>29.731224999999998</v>
      </c>
      <c r="CC146" s="1013">
        <v>-95.382762999999997</v>
      </c>
      <c r="CD146" s="1013" t="s">
        <v>7724</v>
      </c>
      <c r="CE146" s="1013" t="s">
        <v>7724</v>
      </c>
      <c r="CF146" s="1013" t="s">
        <v>7724</v>
      </c>
      <c r="CG146" s="1013" t="s">
        <v>7724</v>
      </c>
      <c r="CH146" s="1013" t="s">
        <v>7732</v>
      </c>
      <c r="CI146" s="1013">
        <v>4701</v>
      </c>
      <c r="CJ146" s="1013" t="s">
        <v>7724</v>
      </c>
      <c r="CK146" s="1013" t="s">
        <v>7724</v>
      </c>
      <c r="CL146" s="1013" t="s">
        <v>7724</v>
      </c>
      <c r="CM146" s="1013" t="s">
        <v>7724</v>
      </c>
      <c r="CN146" s="1013" t="s">
        <v>7724</v>
      </c>
      <c r="CO146" s="1013" t="s">
        <v>7724</v>
      </c>
      <c r="CP146" s="1013" t="s">
        <v>7724</v>
      </c>
      <c r="CQ146" s="1013" t="s">
        <v>7724</v>
      </c>
      <c r="CR146" s="1013" t="s">
        <v>7724</v>
      </c>
      <c r="CS146" s="1013" t="s">
        <v>7724</v>
      </c>
      <c r="CT146" s="1013" t="s">
        <v>7724</v>
      </c>
      <c r="CU146" s="1013" t="s">
        <v>7724</v>
      </c>
      <c r="CV146" s="1013" t="s">
        <v>7724</v>
      </c>
      <c r="CW146" s="1013" t="s">
        <v>7727</v>
      </c>
      <c r="CX146" s="1013" t="s">
        <v>7723</v>
      </c>
      <c r="CY146" s="1013" t="s">
        <v>7723</v>
      </c>
      <c r="CZ146" s="1013">
        <v>5</v>
      </c>
      <c r="DA146" s="1013">
        <v>9</v>
      </c>
      <c r="DB146" s="1013" t="s">
        <v>7727</v>
      </c>
      <c r="DC146" s="1013" t="s">
        <v>7733</v>
      </c>
      <c r="DD146" s="1013" t="s">
        <v>7724</v>
      </c>
      <c r="DE146" s="1013" t="s">
        <v>7724</v>
      </c>
      <c r="DF146" s="1013" t="s">
        <v>7724</v>
      </c>
      <c r="DG146" s="1013" t="s">
        <v>7724</v>
      </c>
      <c r="DH146" s="1013" t="s">
        <v>7724</v>
      </c>
      <c r="DI146" s="1013" t="s">
        <v>7724</v>
      </c>
      <c r="DJ146" s="1013" t="s">
        <v>7724</v>
      </c>
      <c r="DK146" s="1013" t="s">
        <v>7724</v>
      </c>
      <c r="DL146" s="1013" t="s">
        <v>7724</v>
      </c>
      <c r="DM146" s="1013" t="s">
        <v>7724</v>
      </c>
      <c r="DN146" s="1013" t="s">
        <v>7724</v>
      </c>
      <c r="DO146" s="1013" t="s">
        <v>7724</v>
      </c>
      <c r="DP146" s="1013" t="s">
        <v>7724</v>
      </c>
      <c r="DQ146" s="1013" t="s">
        <v>7724</v>
      </c>
      <c r="DR146" s="1013" t="s">
        <v>7724</v>
      </c>
      <c r="DS146" s="1013" t="s">
        <v>7724</v>
      </c>
      <c r="DT146" s="1013" t="s">
        <v>7724</v>
      </c>
      <c r="DU146" s="1013" t="s">
        <v>7724</v>
      </c>
      <c r="DV146" s="1013" t="s">
        <v>7724</v>
      </c>
      <c r="DW146" s="1013" t="s">
        <v>7724</v>
      </c>
      <c r="DX146" s="1013" t="s">
        <v>7724</v>
      </c>
      <c r="DY146" s="1013" t="s">
        <v>7724</v>
      </c>
      <c r="DZ146" s="1013" t="s">
        <v>7724</v>
      </c>
      <c r="EA146" s="1013" t="s">
        <v>7724</v>
      </c>
      <c r="EB146" s="1013" t="s">
        <v>7724</v>
      </c>
      <c r="EC146" s="1013" t="s">
        <v>7724</v>
      </c>
      <c r="ED146" s="1013" t="s">
        <v>7724</v>
      </c>
      <c r="EE146" s="1013" t="s">
        <v>7724</v>
      </c>
      <c r="EF146" s="1013" t="s">
        <v>7724</v>
      </c>
      <c r="EG146" s="1013" t="s">
        <v>7724</v>
      </c>
      <c r="EH146" s="1013" t="s">
        <v>7724</v>
      </c>
      <c r="EI146" s="1013" t="s">
        <v>7724</v>
      </c>
      <c r="EJ146" s="1013" t="s">
        <v>7724</v>
      </c>
      <c r="EK146" s="1013" t="s">
        <v>7724</v>
      </c>
      <c r="EL146" s="1013" t="s">
        <v>7724</v>
      </c>
      <c r="EM146" s="1013" t="s">
        <v>7724</v>
      </c>
      <c r="EN146" s="1013" t="s">
        <v>7724</v>
      </c>
      <c r="EO146" s="1013" t="s">
        <v>7724</v>
      </c>
      <c r="EP146" s="1013" t="s">
        <v>7724</v>
      </c>
      <c r="EQ146" s="1013" t="s">
        <v>7724</v>
      </c>
      <c r="ER146" s="1013" t="s">
        <v>7724</v>
      </c>
      <c r="ES146" s="1013" t="s">
        <v>7724</v>
      </c>
      <c r="ET146" s="1013" t="s">
        <v>7724</v>
      </c>
      <c r="EU146" s="1013" t="s">
        <v>7724</v>
      </c>
      <c r="EV146" s="1013" t="s">
        <v>7724</v>
      </c>
      <c r="EW146" s="1013" t="s">
        <v>7724</v>
      </c>
      <c r="EX146" s="1013" t="s">
        <v>7724</v>
      </c>
      <c r="EY146" s="1013" t="s">
        <v>7724</v>
      </c>
      <c r="EZ146" s="1013" t="s">
        <v>7724</v>
      </c>
      <c r="FA146" s="1013" t="s">
        <v>7724</v>
      </c>
      <c r="FB146" s="1013" t="s">
        <v>7724</v>
      </c>
      <c r="FC146" s="1013" t="s">
        <v>7724</v>
      </c>
      <c r="FD146" s="1013" t="s">
        <v>7724</v>
      </c>
      <c r="FE146" s="1013" t="s">
        <v>7724</v>
      </c>
      <c r="FF146" s="1013" t="s">
        <v>7724</v>
      </c>
      <c r="FG146" s="1013">
        <v>0</v>
      </c>
      <c r="FH146" s="1013">
        <v>0</v>
      </c>
      <c r="FI146" s="1013">
        <v>0</v>
      </c>
      <c r="FJ146" s="1013">
        <v>1</v>
      </c>
      <c r="FK146" s="1013">
        <v>1</v>
      </c>
      <c r="FL146" s="1013">
        <v>0</v>
      </c>
      <c r="FM146" s="1013">
        <v>0</v>
      </c>
      <c r="FN146" s="1013">
        <v>15</v>
      </c>
      <c r="FO146" s="1013">
        <v>29</v>
      </c>
      <c r="FP146" s="1013">
        <v>9</v>
      </c>
      <c r="FQ146" s="1013" t="s">
        <v>7724</v>
      </c>
      <c r="FR146" s="1013" t="s">
        <v>7724</v>
      </c>
      <c r="FS146" s="1013" t="s">
        <v>7724</v>
      </c>
      <c r="FT146" s="1013" t="s">
        <v>7724</v>
      </c>
      <c r="FU146" s="1013" t="s">
        <v>7724</v>
      </c>
      <c r="FV146" s="1013" t="s">
        <v>7724</v>
      </c>
      <c r="FW146" s="1013" t="s">
        <v>7724</v>
      </c>
      <c r="FX146" s="1013" t="s">
        <v>7724</v>
      </c>
      <c r="FY146" s="1013" t="s">
        <v>7724</v>
      </c>
      <c r="FZ146" s="1013" t="s">
        <v>7724</v>
      </c>
      <c r="GA146" s="1013" t="s">
        <v>7724</v>
      </c>
      <c r="GB146" s="1013" t="s">
        <v>7724</v>
      </c>
      <c r="GC146" s="1013">
        <v>2019</v>
      </c>
      <c r="GD146" s="1013" t="s">
        <v>1407</v>
      </c>
      <c r="GE146" s="1013">
        <v>2</v>
      </c>
      <c r="GF146" s="1013" t="s">
        <v>1407</v>
      </c>
      <c r="GG146" s="1013" t="s">
        <v>1407</v>
      </c>
      <c r="GH146" s="1013" t="s">
        <v>7995</v>
      </c>
      <c r="GI146" s="1013" t="s">
        <v>7974</v>
      </c>
      <c r="GJ146" s="1013" t="s">
        <v>7974</v>
      </c>
      <c r="GK146" s="1013" t="s">
        <v>7974</v>
      </c>
      <c r="GL146" s="1013" t="s">
        <v>7974</v>
      </c>
    </row>
    <row r="147" spans="1:194" hidden="1">
      <c r="A147" s="1013">
        <v>92</v>
      </c>
      <c r="B147" s="1013" t="s">
        <v>7722</v>
      </c>
      <c r="C147" s="1013">
        <v>17040425</v>
      </c>
      <c r="D147" s="1013" t="s">
        <v>7723</v>
      </c>
      <c r="E147" s="1013" t="s">
        <v>7723</v>
      </c>
      <c r="F147" s="1013" t="s">
        <v>7723</v>
      </c>
      <c r="G147" s="1013" t="s">
        <v>7723</v>
      </c>
      <c r="H147" s="1013" t="s">
        <v>7723</v>
      </c>
      <c r="I147" s="1013" t="s">
        <v>7723</v>
      </c>
      <c r="J147" s="1013" t="s">
        <v>7723</v>
      </c>
      <c r="K147" s="1024">
        <v>43584</v>
      </c>
      <c r="L147" s="1023">
        <v>0.36944444444444446</v>
      </c>
      <c r="M147" s="1013" t="s">
        <v>7795</v>
      </c>
      <c r="N147" s="1013" t="s">
        <v>7724</v>
      </c>
      <c r="O147" s="1013">
        <v>101</v>
      </c>
      <c r="P147" s="1013">
        <v>208</v>
      </c>
      <c r="Q147" s="1013" t="s">
        <v>7723</v>
      </c>
      <c r="R147" s="1013" t="s">
        <v>7727</v>
      </c>
      <c r="S147" s="1013" t="s">
        <v>7724</v>
      </c>
      <c r="T147" s="1014" t="s">
        <v>7724</v>
      </c>
      <c r="U147" s="1014">
        <v>19</v>
      </c>
      <c r="V147" s="1014" t="s">
        <v>7724</v>
      </c>
      <c r="W147" s="1014" t="s">
        <v>7724</v>
      </c>
      <c r="X147" s="1013">
        <v>1</v>
      </c>
      <c r="Y147" s="1013">
        <v>4600</v>
      </c>
      <c r="Z147" s="1013" t="s">
        <v>7724</v>
      </c>
      <c r="AA147" s="1013" t="s">
        <v>7728</v>
      </c>
      <c r="AB147" s="1013" t="s">
        <v>7724</v>
      </c>
      <c r="AC147" s="1013" t="s">
        <v>7723</v>
      </c>
      <c r="AD147" s="1013" t="s">
        <v>7723</v>
      </c>
      <c r="AE147" s="1013">
        <v>30</v>
      </c>
      <c r="AF147" s="1013" t="s">
        <v>7723</v>
      </c>
      <c r="AG147" s="1013" t="s">
        <v>7723</v>
      </c>
      <c r="AH147" s="1013" t="s">
        <v>7739</v>
      </c>
      <c r="AI147" s="1013" t="s">
        <v>7723</v>
      </c>
      <c r="AJ147" s="1013">
        <v>19</v>
      </c>
      <c r="AK147" s="1013" t="s">
        <v>7724</v>
      </c>
      <c r="AL147" s="1013" t="s">
        <v>7724</v>
      </c>
      <c r="AM147" s="1013">
        <v>1</v>
      </c>
      <c r="AN147" s="1013">
        <v>1100</v>
      </c>
      <c r="AO147" s="1013" t="s">
        <v>7724</v>
      </c>
      <c r="AP147" s="1013" t="s">
        <v>7757</v>
      </c>
      <c r="AQ147" s="1013" t="s">
        <v>7724</v>
      </c>
      <c r="AR147" s="1013" t="s">
        <v>7724</v>
      </c>
      <c r="AS147" s="1013" t="s">
        <v>7724</v>
      </c>
      <c r="AT147" s="1013" t="s">
        <v>7724</v>
      </c>
      <c r="AU147" s="1013" t="s">
        <v>7724</v>
      </c>
      <c r="AV147" s="1013" t="s">
        <v>7724</v>
      </c>
      <c r="AW147" s="1013" t="s">
        <v>7724</v>
      </c>
      <c r="AX147" s="1013">
        <v>11</v>
      </c>
      <c r="AY147" s="1013">
        <v>1</v>
      </c>
      <c r="AZ147" s="1013">
        <v>0</v>
      </c>
      <c r="BA147" s="1013">
        <v>4</v>
      </c>
      <c r="BB147" s="1013">
        <v>1</v>
      </c>
      <c r="BC147" s="1013">
        <v>1</v>
      </c>
      <c r="BD147" s="1013">
        <v>20</v>
      </c>
      <c r="BE147" s="1023">
        <v>0.4</v>
      </c>
      <c r="BF147" s="1013" t="s">
        <v>7748</v>
      </c>
      <c r="BG147" s="1023">
        <v>0.40694444444444444</v>
      </c>
      <c r="BH147" s="1024">
        <v>43584</v>
      </c>
      <c r="BI147" s="1013" t="s">
        <v>7727</v>
      </c>
      <c r="BJ147" s="1013" t="s">
        <v>7730</v>
      </c>
      <c r="BK147" s="1013">
        <v>2469</v>
      </c>
      <c r="BL147" s="1013" t="s">
        <v>7724</v>
      </c>
      <c r="BM147" s="1013" t="s">
        <v>7724</v>
      </c>
      <c r="BN147" s="1013">
        <v>113</v>
      </c>
      <c r="BO147" s="1013">
        <v>8</v>
      </c>
      <c r="BP147" s="1013">
        <v>2</v>
      </c>
      <c r="BQ147" s="1013">
        <v>3</v>
      </c>
      <c r="BR147" s="1013">
        <v>23</v>
      </c>
      <c r="BS147" s="1013">
        <v>64</v>
      </c>
      <c r="BT147" s="1013">
        <v>13</v>
      </c>
      <c r="BU147" s="1013">
        <v>1</v>
      </c>
      <c r="BV147" s="1013">
        <v>5</v>
      </c>
      <c r="BW147" s="1013">
        <v>1</v>
      </c>
      <c r="BX147" s="1013">
        <v>32</v>
      </c>
      <c r="BY147" s="1013">
        <v>21</v>
      </c>
      <c r="BZ147" s="1013">
        <v>101</v>
      </c>
      <c r="CA147" s="1013">
        <v>208</v>
      </c>
      <c r="CB147" s="1013">
        <v>29.731715000000001</v>
      </c>
      <c r="CC147" s="1013">
        <v>-95.382378000000003</v>
      </c>
      <c r="CD147" s="1013" t="s">
        <v>7724</v>
      </c>
      <c r="CE147" s="1013" t="s">
        <v>7724</v>
      </c>
      <c r="CF147" s="1013" t="s">
        <v>7724</v>
      </c>
      <c r="CG147" s="1013" t="s">
        <v>7724</v>
      </c>
      <c r="CH147" s="1013" t="s">
        <v>7732</v>
      </c>
      <c r="CI147" s="1013">
        <v>4600</v>
      </c>
      <c r="CJ147" s="1013" t="s">
        <v>7724</v>
      </c>
      <c r="CK147" s="1013" t="s">
        <v>7724</v>
      </c>
      <c r="CL147" s="1013" t="s">
        <v>7724</v>
      </c>
      <c r="CM147" s="1013" t="s">
        <v>7724</v>
      </c>
      <c r="CN147" s="1013" t="s">
        <v>7724</v>
      </c>
      <c r="CO147" s="1013" t="s">
        <v>7724</v>
      </c>
      <c r="CP147" s="1013" t="s">
        <v>7724</v>
      </c>
      <c r="CQ147" s="1013" t="s">
        <v>7724</v>
      </c>
      <c r="CR147" s="1013" t="s">
        <v>7724</v>
      </c>
      <c r="CS147" s="1013" t="s">
        <v>7724</v>
      </c>
      <c r="CT147" s="1013" t="s">
        <v>7724</v>
      </c>
      <c r="CU147" s="1013" t="s">
        <v>7724</v>
      </c>
      <c r="CV147" s="1013" t="s">
        <v>7724</v>
      </c>
      <c r="CW147" s="1013" t="s">
        <v>7727</v>
      </c>
      <c r="CX147" s="1013" t="s">
        <v>7723</v>
      </c>
      <c r="CY147" s="1013" t="s">
        <v>7723</v>
      </c>
      <c r="CZ147" s="1013">
        <v>5</v>
      </c>
      <c r="DA147" s="1013">
        <v>9</v>
      </c>
      <c r="DB147" s="1013" t="s">
        <v>7727</v>
      </c>
      <c r="DC147" s="1013" t="s">
        <v>7743</v>
      </c>
      <c r="DD147" s="1013" t="s">
        <v>7724</v>
      </c>
      <c r="DE147" s="1013" t="s">
        <v>7724</v>
      </c>
      <c r="DF147" s="1013" t="s">
        <v>7724</v>
      </c>
      <c r="DG147" s="1013" t="s">
        <v>7724</v>
      </c>
      <c r="DH147" s="1013" t="s">
        <v>7724</v>
      </c>
      <c r="DI147" s="1013" t="s">
        <v>7724</v>
      </c>
      <c r="DJ147" s="1013" t="s">
        <v>7724</v>
      </c>
      <c r="DK147" s="1013" t="s">
        <v>7724</v>
      </c>
      <c r="DL147" s="1013" t="s">
        <v>7724</v>
      </c>
      <c r="DM147" s="1013" t="s">
        <v>7724</v>
      </c>
      <c r="DN147" s="1013" t="s">
        <v>7724</v>
      </c>
      <c r="DO147" s="1013" t="s">
        <v>7724</v>
      </c>
      <c r="DP147" s="1013" t="s">
        <v>7724</v>
      </c>
      <c r="DQ147" s="1013" t="s">
        <v>7724</v>
      </c>
      <c r="DR147" s="1013" t="s">
        <v>7724</v>
      </c>
      <c r="DS147" s="1013" t="s">
        <v>7724</v>
      </c>
      <c r="DT147" s="1013" t="s">
        <v>7724</v>
      </c>
      <c r="DU147" s="1013" t="s">
        <v>7724</v>
      </c>
      <c r="DV147" s="1013" t="s">
        <v>7724</v>
      </c>
      <c r="DW147" s="1013" t="s">
        <v>7724</v>
      </c>
      <c r="DX147" s="1013" t="s">
        <v>7724</v>
      </c>
      <c r="DY147" s="1013" t="s">
        <v>7724</v>
      </c>
      <c r="DZ147" s="1013" t="s">
        <v>7724</v>
      </c>
      <c r="EA147" s="1013" t="s">
        <v>7724</v>
      </c>
      <c r="EB147" s="1013" t="s">
        <v>7724</v>
      </c>
      <c r="EC147" s="1013" t="s">
        <v>7724</v>
      </c>
      <c r="ED147" s="1013" t="s">
        <v>7724</v>
      </c>
      <c r="EE147" s="1013" t="s">
        <v>7724</v>
      </c>
      <c r="EF147" s="1013" t="s">
        <v>7724</v>
      </c>
      <c r="EG147" s="1013" t="s">
        <v>7724</v>
      </c>
      <c r="EH147" s="1013" t="s">
        <v>7724</v>
      </c>
      <c r="EI147" s="1013" t="s">
        <v>7724</v>
      </c>
      <c r="EJ147" s="1013" t="s">
        <v>7724</v>
      </c>
      <c r="EK147" s="1013" t="s">
        <v>7724</v>
      </c>
      <c r="EL147" s="1013" t="s">
        <v>7724</v>
      </c>
      <c r="EM147" s="1013" t="s">
        <v>7724</v>
      </c>
      <c r="EN147" s="1013" t="s">
        <v>7724</v>
      </c>
      <c r="EO147" s="1013" t="s">
        <v>7724</v>
      </c>
      <c r="EP147" s="1013" t="s">
        <v>7724</v>
      </c>
      <c r="EQ147" s="1013" t="s">
        <v>7724</v>
      </c>
      <c r="ER147" s="1013" t="s">
        <v>7724</v>
      </c>
      <c r="ES147" s="1013" t="s">
        <v>7724</v>
      </c>
      <c r="ET147" s="1013" t="s">
        <v>7724</v>
      </c>
      <c r="EU147" s="1013" t="s">
        <v>7724</v>
      </c>
      <c r="EV147" s="1013" t="s">
        <v>7724</v>
      </c>
      <c r="EW147" s="1013" t="s">
        <v>7724</v>
      </c>
      <c r="EX147" s="1013" t="s">
        <v>7724</v>
      </c>
      <c r="EY147" s="1013" t="s">
        <v>7724</v>
      </c>
      <c r="EZ147" s="1013" t="s">
        <v>7724</v>
      </c>
      <c r="FA147" s="1013" t="s">
        <v>7724</v>
      </c>
      <c r="FB147" s="1013" t="s">
        <v>7724</v>
      </c>
      <c r="FC147" s="1013" t="s">
        <v>7724</v>
      </c>
      <c r="FD147" s="1013" t="s">
        <v>7724</v>
      </c>
      <c r="FE147" s="1013" t="s">
        <v>7724</v>
      </c>
      <c r="FF147" s="1013" t="s">
        <v>7724</v>
      </c>
      <c r="FG147" s="1013">
        <v>0</v>
      </c>
      <c r="FH147" s="1013">
        <v>0</v>
      </c>
      <c r="FI147" s="1013">
        <v>0</v>
      </c>
      <c r="FJ147" s="1013">
        <v>2</v>
      </c>
      <c r="FK147" s="1013">
        <v>0</v>
      </c>
      <c r="FL147" s="1013">
        <v>0</v>
      </c>
      <c r="FM147" s="1013">
        <v>0</v>
      </c>
      <c r="FN147" s="1013">
        <v>15</v>
      </c>
      <c r="FO147" s="1013">
        <v>29</v>
      </c>
      <c r="FP147" s="1013">
        <v>9</v>
      </c>
      <c r="FQ147" s="1013" t="s">
        <v>7724</v>
      </c>
      <c r="FR147" s="1013" t="s">
        <v>7724</v>
      </c>
      <c r="FS147" s="1013" t="s">
        <v>7724</v>
      </c>
      <c r="FT147" s="1013" t="s">
        <v>7724</v>
      </c>
      <c r="FU147" s="1013" t="s">
        <v>7724</v>
      </c>
      <c r="FV147" s="1013" t="s">
        <v>7724</v>
      </c>
      <c r="FW147" s="1013" t="s">
        <v>7724</v>
      </c>
      <c r="FX147" s="1013" t="s">
        <v>7724</v>
      </c>
      <c r="FY147" s="1013" t="s">
        <v>7724</v>
      </c>
      <c r="FZ147" s="1013" t="s">
        <v>7724</v>
      </c>
      <c r="GA147" s="1013" t="s">
        <v>7724</v>
      </c>
      <c r="GB147" s="1013" t="s">
        <v>7724</v>
      </c>
      <c r="GC147" s="1013">
        <v>2019</v>
      </c>
      <c r="GD147" s="1013" t="s">
        <v>1404</v>
      </c>
      <c r="GE147" s="1013">
        <v>2</v>
      </c>
      <c r="GF147" s="1013" t="s">
        <v>1407</v>
      </c>
      <c r="GG147" s="1013" t="s">
        <v>1407</v>
      </c>
      <c r="GH147" s="1013" t="s">
        <v>7978</v>
      </c>
      <c r="GI147" s="1013" t="s">
        <v>7974</v>
      </c>
      <c r="GJ147" s="1013" t="s">
        <v>7974</v>
      </c>
      <c r="GK147" s="1013" t="s">
        <v>7974</v>
      </c>
      <c r="GL147" s="1013" t="s">
        <v>7974</v>
      </c>
    </row>
    <row r="148" spans="1:194" hidden="1">
      <c r="A148" s="1013">
        <v>95</v>
      </c>
      <c r="B148" s="1013" t="s">
        <v>7722</v>
      </c>
      <c r="C148" s="1013">
        <v>17067686</v>
      </c>
      <c r="D148" s="1013" t="s">
        <v>7723</v>
      </c>
      <c r="E148" s="1013" t="s">
        <v>7723</v>
      </c>
      <c r="F148" s="1013" t="s">
        <v>7723</v>
      </c>
      <c r="G148" s="1013" t="s">
        <v>7723</v>
      </c>
      <c r="H148" s="1013" t="s">
        <v>7723</v>
      </c>
      <c r="I148" s="1013" t="s">
        <v>7723</v>
      </c>
      <c r="J148" s="1013" t="s">
        <v>7723</v>
      </c>
      <c r="K148" s="1024">
        <v>43599</v>
      </c>
      <c r="L148" s="1023">
        <v>0.32291666666666669</v>
      </c>
      <c r="M148" s="1013" t="s">
        <v>7798</v>
      </c>
      <c r="N148" s="1013" t="s">
        <v>7724</v>
      </c>
      <c r="O148" s="1013">
        <v>101</v>
      </c>
      <c r="P148" s="1013">
        <v>208</v>
      </c>
      <c r="Q148" s="1013" t="s">
        <v>7723</v>
      </c>
      <c r="R148" s="1013" t="s">
        <v>7727</v>
      </c>
      <c r="S148" s="1013" t="s">
        <v>7724</v>
      </c>
      <c r="T148" s="1014" t="s">
        <v>7724</v>
      </c>
      <c r="U148" s="1014">
        <v>19</v>
      </c>
      <c r="V148" s="1014" t="s">
        <v>7724</v>
      </c>
      <c r="W148" s="1014" t="s">
        <v>7724</v>
      </c>
      <c r="X148" s="1013">
        <v>1</v>
      </c>
      <c r="Y148" s="1013">
        <v>4600</v>
      </c>
      <c r="Z148" s="1013" t="s">
        <v>7724</v>
      </c>
      <c r="AA148" s="1013" t="s">
        <v>7728</v>
      </c>
      <c r="AB148" s="1013" t="s">
        <v>7726</v>
      </c>
      <c r="AC148" s="1013" t="s">
        <v>7723</v>
      </c>
      <c r="AD148" s="1013" t="s">
        <v>7723</v>
      </c>
      <c r="AE148" s="1013">
        <v>35</v>
      </c>
      <c r="AF148" s="1013" t="s">
        <v>7723</v>
      </c>
      <c r="AG148" s="1013" t="s">
        <v>7723</v>
      </c>
      <c r="AH148" s="1013" t="s">
        <v>7739</v>
      </c>
      <c r="AI148" s="1013" t="s">
        <v>7723</v>
      </c>
      <c r="AJ148" s="1013">
        <v>19</v>
      </c>
      <c r="AK148" s="1013" t="s">
        <v>7724</v>
      </c>
      <c r="AL148" s="1013" t="s">
        <v>7724</v>
      </c>
      <c r="AM148" s="1013">
        <v>1</v>
      </c>
      <c r="AN148" s="1013">
        <v>1200</v>
      </c>
      <c r="AO148" s="1013" t="s">
        <v>7724</v>
      </c>
      <c r="AP148" s="1013" t="s">
        <v>7757</v>
      </c>
      <c r="AQ148" s="1013" t="s">
        <v>7726</v>
      </c>
      <c r="AR148" s="1013" t="s">
        <v>7724</v>
      </c>
      <c r="AS148" s="1013" t="s">
        <v>7724</v>
      </c>
      <c r="AT148" s="1013" t="s">
        <v>7724</v>
      </c>
      <c r="AU148" s="1013" t="s">
        <v>7724</v>
      </c>
      <c r="AV148" s="1013" t="s">
        <v>7724</v>
      </c>
      <c r="AW148" s="1013" t="s">
        <v>7724</v>
      </c>
      <c r="AX148" s="1013">
        <v>11</v>
      </c>
      <c r="AY148" s="1013">
        <v>1</v>
      </c>
      <c r="AZ148" s="1013">
        <v>4</v>
      </c>
      <c r="BA148" s="1013">
        <v>4</v>
      </c>
      <c r="BB148" s="1013">
        <v>1</v>
      </c>
      <c r="BC148" s="1013">
        <v>1</v>
      </c>
      <c r="BD148" s="1013">
        <v>20</v>
      </c>
      <c r="BE148" s="1023">
        <v>0.33611111111111114</v>
      </c>
      <c r="BF148" s="1013" t="s">
        <v>7729</v>
      </c>
      <c r="BG148" s="1023">
        <v>0.33958333333333335</v>
      </c>
      <c r="BH148" s="1024">
        <v>43599</v>
      </c>
      <c r="BI148" s="1013" t="s">
        <v>7727</v>
      </c>
      <c r="BJ148" s="1013" t="s">
        <v>7730</v>
      </c>
      <c r="BK148" s="1013">
        <v>2469</v>
      </c>
      <c r="BL148" s="1013" t="s">
        <v>7724</v>
      </c>
      <c r="BM148" s="1013" t="s">
        <v>7724</v>
      </c>
      <c r="BN148" s="1013">
        <v>113</v>
      </c>
      <c r="BO148" s="1013">
        <v>8</v>
      </c>
      <c r="BP148" s="1013">
        <v>2</v>
      </c>
      <c r="BQ148" s="1013">
        <v>4</v>
      </c>
      <c r="BR148" s="1013">
        <v>21</v>
      </c>
      <c r="BS148" s="1013">
        <v>29</v>
      </c>
      <c r="BT148" s="1013">
        <v>9</v>
      </c>
      <c r="BU148" s="1013">
        <v>1</v>
      </c>
      <c r="BV148" s="1013">
        <v>5</v>
      </c>
      <c r="BW148" s="1013">
        <v>1</v>
      </c>
      <c r="BX148" s="1013">
        <v>21</v>
      </c>
      <c r="BY148" s="1013">
        <v>21</v>
      </c>
      <c r="BZ148" s="1013">
        <v>101</v>
      </c>
      <c r="CA148" s="1013">
        <v>208</v>
      </c>
      <c r="CB148" s="1013">
        <v>29.731393000000001</v>
      </c>
      <c r="CC148" s="1013">
        <v>-95.382627999999997</v>
      </c>
      <c r="CD148" s="1013" t="s">
        <v>7724</v>
      </c>
      <c r="CE148" s="1013" t="s">
        <v>7724</v>
      </c>
      <c r="CF148" s="1013" t="s">
        <v>7724</v>
      </c>
      <c r="CG148" s="1013" t="s">
        <v>7724</v>
      </c>
      <c r="CH148" s="1013" t="s">
        <v>7732</v>
      </c>
      <c r="CI148" s="1013">
        <v>4674</v>
      </c>
      <c r="CJ148" s="1013" t="s">
        <v>7724</v>
      </c>
      <c r="CK148" s="1013" t="s">
        <v>7724</v>
      </c>
      <c r="CL148" s="1013" t="s">
        <v>7724</v>
      </c>
      <c r="CM148" s="1013" t="s">
        <v>7724</v>
      </c>
      <c r="CN148" s="1013" t="s">
        <v>7724</v>
      </c>
      <c r="CO148" s="1013" t="s">
        <v>7724</v>
      </c>
      <c r="CP148" s="1013" t="s">
        <v>7724</v>
      </c>
      <c r="CQ148" s="1013" t="s">
        <v>7724</v>
      </c>
      <c r="CR148" s="1013" t="s">
        <v>7724</v>
      </c>
      <c r="CS148" s="1013" t="s">
        <v>7724</v>
      </c>
      <c r="CT148" s="1013" t="s">
        <v>7724</v>
      </c>
      <c r="CU148" s="1013" t="s">
        <v>7724</v>
      </c>
      <c r="CV148" s="1013" t="s">
        <v>7724</v>
      </c>
      <c r="CW148" s="1013" t="s">
        <v>7727</v>
      </c>
      <c r="CX148" s="1013" t="s">
        <v>7723</v>
      </c>
      <c r="CY148" s="1013" t="s">
        <v>7723</v>
      </c>
      <c r="CZ148" s="1013">
        <v>3</v>
      </c>
      <c r="DA148" s="1013">
        <v>9</v>
      </c>
      <c r="DB148" s="1013" t="s">
        <v>7727</v>
      </c>
      <c r="DC148" s="1013" t="s">
        <v>7737</v>
      </c>
      <c r="DD148" s="1013" t="s">
        <v>7724</v>
      </c>
      <c r="DE148" s="1013" t="s">
        <v>7724</v>
      </c>
      <c r="DF148" s="1013" t="s">
        <v>7724</v>
      </c>
      <c r="DG148" s="1013" t="s">
        <v>7724</v>
      </c>
      <c r="DH148" s="1013" t="s">
        <v>7724</v>
      </c>
      <c r="DI148" s="1013" t="s">
        <v>7724</v>
      </c>
      <c r="DJ148" s="1013" t="s">
        <v>7724</v>
      </c>
      <c r="DK148" s="1013" t="s">
        <v>7724</v>
      </c>
      <c r="DL148" s="1013" t="s">
        <v>7724</v>
      </c>
      <c r="DM148" s="1013" t="s">
        <v>7724</v>
      </c>
      <c r="DN148" s="1013" t="s">
        <v>7724</v>
      </c>
      <c r="DO148" s="1013" t="s">
        <v>7724</v>
      </c>
      <c r="DP148" s="1013" t="s">
        <v>7724</v>
      </c>
      <c r="DQ148" s="1013" t="s">
        <v>7724</v>
      </c>
      <c r="DR148" s="1013" t="s">
        <v>7724</v>
      </c>
      <c r="DS148" s="1013" t="s">
        <v>7724</v>
      </c>
      <c r="DT148" s="1013" t="s">
        <v>7724</v>
      </c>
      <c r="DU148" s="1013" t="s">
        <v>7724</v>
      </c>
      <c r="DV148" s="1013" t="s">
        <v>7724</v>
      </c>
      <c r="DW148" s="1013" t="s">
        <v>7724</v>
      </c>
      <c r="DX148" s="1013" t="s">
        <v>7724</v>
      </c>
      <c r="DY148" s="1013" t="s">
        <v>7724</v>
      </c>
      <c r="DZ148" s="1013" t="s">
        <v>7724</v>
      </c>
      <c r="EA148" s="1013" t="s">
        <v>7724</v>
      </c>
      <c r="EB148" s="1013" t="s">
        <v>7724</v>
      </c>
      <c r="EC148" s="1013" t="s">
        <v>7724</v>
      </c>
      <c r="ED148" s="1013" t="s">
        <v>7724</v>
      </c>
      <c r="EE148" s="1013" t="s">
        <v>7724</v>
      </c>
      <c r="EF148" s="1013" t="s">
        <v>7724</v>
      </c>
      <c r="EG148" s="1013" t="s">
        <v>7724</v>
      </c>
      <c r="EH148" s="1013" t="s">
        <v>7724</v>
      </c>
      <c r="EI148" s="1013" t="s">
        <v>7724</v>
      </c>
      <c r="EJ148" s="1013" t="s">
        <v>7724</v>
      </c>
      <c r="EK148" s="1013" t="s">
        <v>7724</v>
      </c>
      <c r="EL148" s="1013" t="s">
        <v>7724</v>
      </c>
      <c r="EM148" s="1013" t="s">
        <v>7724</v>
      </c>
      <c r="EN148" s="1013" t="s">
        <v>7724</v>
      </c>
      <c r="EO148" s="1013" t="s">
        <v>7724</v>
      </c>
      <c r="EP148" s="1013" t="s">
        <v>7724</v>
      </c>
      <c r="EQ148" s="1013" t="s">
        <v>7724</v>
      </c>
      <c r="ER148" s="1013" t="s">
        <v>7724</v>
      </c>
      <c r="ES148" s="1013" t="s">
        <v>7724</v>
      </c>
      <c r="ET148" s="1013" t="s">
        <v>7724</v>
      </c>
      <c r="EU148" s="1013" t="s">
        <v>7724</v>
      </c>
      <c r="EV148" s="1013" t="s">
        <v>7724</v>
      </c>
      <c r="EW148" s="1013" t="s">
        <v>7724</v>
      </c>
      <c r="EX148" s="1013" t="s">
        <v>7724</v>
      </c>
      <c r="EY148" s="1013" t="s">
        <v>7724</v>
      </c>
      <c r="EZ148" s="1013" t="s">
        <v>7724</v>
      </c>
      <c r="FA148" s="1013" t="s">
        <v>7724</v>
      </c>
      <c r="FB148" s="1013" t="s">
        <v>7724</v>
      </c>
      <c r="FC148" s="1013" t="s">
        <v>7724</v>
      </c>
      <c r="FD148" s="1013" t="s">
        <v>7724</v>
      </c>
      <c r="FE148" s="1013" t="s">
        <v>7724</v>
      </c>
      <c r="FF148" s="1013" t="s">
        <v>7724</v>
      </c>
      <c r="FG148" s="1013">
        <v>0</v>
      </c>
      <c r="FH148" s="1013">
        <v>0</v>
      </c>
      <c r="FI148" s="1013">
        <v>1</v>
      </c>
      <c r="FJ148" s="1013">
        <v>1</v>
      </c>
      <c r="FK148" s="1013">
        <v>0</v>
      </c>
      <c r="FL148" s="1013">
        <v>1</v>
      </c>
      <c r="FM148" s="1013">
        <v>0</v>
      </c>
      <c r="FN148" s="1013">
        <v>15</v>
      </c>
      <c r="FO148" s="1013">
        <v>29</v>
      </c>
      <c r="FP148" s="1013">
        <v>9</v>
      </c>
      <c r="FQ148" s="1013" t="s">
        <v>7724</v>
      </c>
      <c r="FR148" s="1013" t="s">
        <v>7724</v>
      </c>
      <c r="FS148" s="1013" t="s">
        <v>7724</v>
      </c>
      <c r="FT148" s="1013" t="s">
        <v>7724</v>
      </c>
      <c r="FU148" s="1013" t="s">
        <v>7724</v>
      </c>
      <c r="FV148" s="1013" t="s">
        <v>7724</v>
      </c>
      <c r="FW148" s="1013" t="s">
        <v>7724</v>
      </c>
      <c r="FX148" s="1013" t="s">
        <v>7724</v>
      </c>
      <c r="FY148" s="1013" t="s">
        <v>7724</v>
      </c>
      <c r="FZ148" s="1013" t="s">
        <v>7724</v>
      </c>
      <c r="GA148" s="1013" t="s">
        <v>7724</v>
      </c>
      <c r="GB148" s="1013" t="s">
        <v>7724</v>
      </c>
      <c r="GC148" s="1013">
        <v>2019</v>
      </c>
      <c r="GD148" s="1013" t="s">
        <v>1407</v>
      </c>
      <c r="GE148" s="1013">
        <v>2</v>
      </c>
      <c r="GF148" s="1013" t="s">
        <v>1407</v>
      </c>
      <c r="GG148" s="1013" t="s">
        <v>1407</v>
      </c>
      <c r="GH148" s="1013" t="s">
        <v>8049</v>
      </c>
      <c r="GI148" s="1013" t="s">
        <v>7974</v>
      </c>
      <c r="GJ148" s="1013" t="s">
        <v>7974</v>
      </c>
      <c r="GK148" s="1013" t="s">
        <v>7974</v>
      </c>
      <c r="GL148" s="1013" t="s">
        <v>7974</v>
      </c>
    </row>
    <row r="149" spans="1:194" hidden="1">
      <c r="A149" s="1013">
        <v>97</v>
      </c>
      <c r="B149" s="1013" t="s">
        <v>7722</v>
      </c>
      <c r="C149" s="1013">
        <v>17081869</v>
      </c>
      <c r="D149" s="1013" t="s">
        <v>7723</v>
      </c>
      <c r="E149" s="1013" t="s">
        <v>7727</v>
      </c>
      <c r="F149" s="1013" t="s">
        <v>7723</v>
      </c>
      <c r="G149" s="1013" t="s">
        <v>7723</v>
      </c>
      <c r="H149" s="1013" t="s">
        <v>7723</v>
      </c>
      <c r="I149" s="1013" t="s">
        <v>7723</v>
      </c>
      <c r="J149" s="1013" t="s">
        <v>7723</v>
      </c>
      <c r="K149" s="1024">
        <v>43606</v>
      </c>
      <c r="L149" s="1023">
        <v>0.85069444444444442</v>
      </c>
      <c r="M149" s="1013" t="s">
        <v>8120</v>
      </c>
      <c r="N149" s="1013" t="s">
        <v>7724</v>
      </c>
      <c r="O149" s="1013">
        <v>101</v>
      </c>
      <c r="P149" s="1013">
        <v>208</v>
      </c>
      <c r="Q149" s="1013" t="s">
        <v>7723</v>
      </c>
      <c r="R149" s="1013" t="s">
        <v>7727</v>
      </c>
      <c r="S149" s="1013" t="s">
        <v>7724</v>
      </c>
      <c r="T149" s="1014" t="s">
        <v>7724</v>
      </c>
      <c r="U149" s="1014">
        <v>2</v>
      </c>
      <c r="V149" s="1014">
        <v>59</v>
      </c>
      <c r="W149" s="1014" t="s">
        <v>7724</v>
      </c>
      <c r="X149" s="1013">
        <v>1</v>
      </c>
      <c r="Y149" s="1013">
        <v>800</v>
      </c>
      <c r="Z149" s="1013" t="s">
        <v>7723</v>
      </c>
      <c r="AA149" s="1013" t="s">
        <v>7771</v>
      </c>
      <c r="AB149" s="1013" t="s">
        <v>7760</v>
      </c>
      <c r="AC149" s="1013" t="s">
        <v>7723</v>
      </c>
      <c r="AD149" s="1013" t="s">
        <v>7723</v>
      </c>
      <c r="AE149" s="1013">
        <v>60</v>
      </c>
      <c r="AF149" s="1013" t="s">
        <v>7723</v>
      </c>
      <c r="AG149" s="1013" t="s">
        <v>7723</v>
      </c>
      <c r="AH149" s="1013" t="s">
        <v>8121</v>
      </c>
      <c r="AI149" s="1013" t="s">
        <v>7723</v>
      </c>
      <c r="AJ149" s="1013">
        <v>2</v>
      </c>
      <c r="AK149" s="1013">
        <v>59</v>
      </c>
      <c r="AL149" s="1013" t="s">
        <v>7724</v>
      </c>
      <c r="AM149" s="1013">
        <v>1</v>
      </c>
      <c r="AN149" s="1013">
        <v>800</v>
      </c>
      <c r="AO149" s="1013" t="s">
        <v>7723</v>
      </c>
      <c r="AP149" s="1013" t="s">
        <v>8122</v>
      </c>
      <c r="AQ149" s="1013" t="s">
        <v>7724</v>
      </c>
      <c r="AR149" s="1013" t="s">
        <v>7724</v>
      </c>
      <c r="AS149" s="1013" t="s">
        <v>7724</v>
      </c>
      <c r="AT149" s="1013" t="s">
        <v>7724</v>
      </c>
      <c r="AU149" s="1013" t="s">
        <v>7724</v>
      </c>
      <c r="AV149" s="1013" t="s">
        <v>7724</v>
      </c>
      <c r="AW149" s="1013" t="s">
        <v>7724</v>
      </c>
      <c r="AX149" s="1013">
        <v>11</v>
      </c>
      <c r="AY149" s="1013">
        <v>3</v>
      </c>
      <c r="AZ149" s="1013">
        <v>0</v>
      </c>
      <c r="BA149" s="1013">
        <v>4</v>
      </c>
      <c r="BB149" s="1013">
        <v>2</v>
      </c>
      <c r="BC149" s="1013">
        <v>1</v>
      </c>
      <c r="BD149" s="1013">
        <v>20</v>
      </c>
      <c r="BE149" s="1023">
        <v>0.85069444444444442</v>
      </c>
      <c r="BF149" s="1013" t="s">
        <v>7736</v>
      </c>
      <c r="BG149" s="1023">
        <v>0.8569444444444444</v>
      </c>
      <c r="BH149" s="1024">
        <v>43606</v>
      </c>
      <c r="BI149" s="1013" t="s">
        <v>7727</v>
      </c>
      <c r="BJ149" s="1013" t="s">
        <v>7730</v>
      </c>
      <c r="BK149" s="1013">
        <v>2469</v>
      </c>
      <c r="BL149" s="1013" t="s">
        <v>7724</v>
      </c>
      <c r="BM149" s="1013" t="s">
        <v>7724</v>
      </c>
      <c r="BN149" s="1013">
        <v>113</v>
      </c>
      <c r="BO149" s="1013">
        <v>8</v>
      </c>
      <c r="BP149" s="1013">
        <v>2</v>
      </c>
      <c r="BQ149" s="1013">
        <v>4</v>
      </c>
      <c r="BR149" s="1013">
        <v>21</v>
      </c>
      <c r="BS149" s="1013">
        <v>58</v>
      </c>
      <c r="BT149" s="1013">
        <v>9</v>
      </c>
      <c r="BU149" s="1013">
        <v>1</v>
      </c>
      <c r="BV149" s="1013">
        <v>2</v>
      </c>
      <c r="BW149" s="1013">
        <v>1</v>
      </c>
      <c r="BX149" s="1013">
        <v>21</v>
      </c>
      <c r="BY149" s="1013">
        <v>21</v>
      </c>
      <c r="BZ149" s="1013">
        <v>101</v>
      </c>
      <c r="CA149" s="1013">
        <v>208</v>
      </c>
      <c r="CB149" s="1013">
        <v>29.732420999999999</v>
      </c>
      <c r="CC149" s="1013">
        <v>-95.381782000000001</v>
      </c>
      <c r="CD149" s="1013" t="s">
        <v>8016</v>
      </c>
      <c r="CE149" s="1013">
        <v>69</v>
      </c>
      <c r="CF149" s="1013" t="s">
        <v>7724</v>
      </c>
      <c r="CG149" s="1013">
        <v>33.505000000000003</v>
      </c>
      <c r="CH149" s="1013" t="s">
        <v>8017</v>
      </c>
      <c r="CI149" s="1013" t="s">
        <v>7724</v>
      </c>
      <c r="CJ149" s="1013">
        <v>27</v>
      </c>
      <c r="CK149" s="1013">
        <v>13</v>
      </c>
      <c r="CL149" s="1013">
        <v>13.8</v>
      </c>
      <c r="CM149" s="1013">
        <v>128</v>
      </c>
      <c r="CN149" s="1013">
        <v>0.246</v>
      </c>
      <c r="CO149" s="1013" t="s">
        <v>7724</v>
      </c>
      <c r="CP149" s="1013" t="s">
        <v>7724</v>
      </c>
      <c r="CQ149" s="1013" t="s">
        <v>7724</v>
      </c>
      <c r="CR149" s="1013" t="s">
        <v>7724</v>
      </c>
      <c r="CS149" s="1013" t="s">
        <v>7724</v>
      </c>
      <c r="CT149" s="1013" t="s">
        <v>7724</v>
      </c>
      <c r="CU149" s="1013" t="s">
        <v>7724</v>
      </c>
      <c r="CV149" s="1013" t="s">
        <v>7724</v>
      </c>
      <c r="CW149" s="1013" t="s">
        <v>7727</v>
      </c>
      <c r="CX149" s="1013" t="s">
        <v>7727</v>
      </c>
      <c r="CY149" s="1013" t="s">
        <v>7723</v>
      </c>
      <c r="CZ149" s="1013">
        <v>5</v>
      </c>
      <c r="DA149" s="1013">
        <v>9</v>
      </c>
      <c r="DB149" s="1013" t="s">
        <v>7727</v>
      </c>
      <c r="DC149" s="1013" t="s">
        <v>7737</v>
      </c>
      <c r="DD149" s="1013">
        <v>5</v>
      </c>
      <c r="DE149" s="1013" t="s">
        <v>7724</v>
      </c>
      <c r="DF149" s="1013">
        <v>20</v>
      </c>
      <c r="DG149" s="1013">
        <v>20</v>
      </c>
      <c r="DH149" s="1013">
        <v>5</v>
      </c>
      <c r="DI149" s="1013" t="s">
        <v>7724</v>
      </c>
      <c r="DJ149" s="1013">
        <v>8</v>
      </c>
      <c r="DK149" s="1013">
        <v>400</v>
      </c>
      <c r="DL149" s="1013">
        <v>138</v>
      </c>
      <c r="DM149" s="1013">
        <v>98</v>
      </c>
      <c r="DN149" s="1013">
        <v>1</v>
      </c>
      <c r="DO149" s="1013">
        <v>0</v>
      </c>
      <c r="DP149" s="1013">
        <v>0</v>
      </c>
      <c r="DQ149" s="1013">
        <v>1</v>
      </c>
      <c r="DR149" s="1013">
        <v>20</v>
      </c>
      <c r="DS149" s="1013">
        <v>5</v>
      </c>
      <c r="DT149" s="1013">
        <v>1</v>
      </c>
      <c r="DU149" s="1013">
        <v>20</v>
      </c>
      <c r="DV149" s="1013">
        <v>5</v>
      </c>
      <c r="DW149" s="1013">
        <v>7</v>
      </c>
      <c r="DX149" s="1013">
        <v>5</v>
      </c>
      <c r="DY149" s="1013">
        <v>4</v>
      </c>
      <c r="DZ149" s="1013">
        <v>1</v>
      </c>
      <c r="EA149" s="1013">
        <v>185410</v>
      </c>
      <c r="EB149" s="1013">
        <v>2019</v>
      </c>
      <c r="EC149" s="1013">
        <v>185410</v>
      </c>
      <c r="ED149" s="1013">
        <v>2.2999999999999998</v>
      </c>
      <c r="EE149" s="1013">
        <v>2.5</v>
      </c>
      <c r="EF149" s="1013">
        <v>4.8</v>
      </c>
      <c r="EG149" s="1013" t="s">
        <v>7724</v>
      </c>
      <c r="EH149" s="1013" t="s">
        <v>7724</v>
      </c>
      <c r="EI149" s="1013" t="s">
        <v>7724</v>
      </c>
      <c r="EJ149" s="1013" t="s">
        <v>7724</v>
      </c>
      <c r="EK149" s="1013" t="s">
        <v>7724</v>
      </c>
      <c r="EL149" s="1013" t="s">
        <v>7724</v>
      </c>
      <c r="EM149" s="1013" t="s">
        <v>7724</v>
      </c>
      <c r="EN149" s="1013" t="s">
        <v>7724</v>
      </c>
      <c r="EO149" s="1013" t="s">
        <v>7724</v>
      </c>
      <c r="EP149" s="1013" t="s">
        <v>7724</v>
      </c>
      <c r="EQ149" s="1013" t="s">
        <v>7724</v>
      </c>
      <c r="ER149" s="1013" t="s">
        <v>7724</v>
      </c>
      <c r="ES149" s="1013" t="s">
        <v>7724</v>
      </c>
      <c r="ET149" s="1013" t="s">
        <v>7724</v>
      </c>
      <c r="EU149" s="1013" t="s">
        <v>7724</v>
      </c>
      <c r="EV149" s="1013" t="s">
        <v>7724</v>
      </c>
      <c r="EW149" s="1013" t="s">
        <v>7724</v>
      </c>
      <c r="EX149" s="1013" t="s">
        <v>7724</v>
      </c>
      <c r="EY149" s="1013" t="s">
        <v>7724</v>
      </c>
      <c r="EZ149" s="1013" t="s">
        <v>7724</v>
      </c>
      <c r="FA149" s="1013" t="s">
        <v>7724</v>
      </c>
      <c r="FB149" s="1013" t="s">
        <v>7724</v>
      </c>
      <c r="FC149" s="1013" t="s">
        <v>7724</v>
      </c>
      <c r="FD149" s="1013" t="s">
        <v>7724</v>
      </c>
      <c r="FE149" s="1013" t="s">
        <v>7724</v>
      </c>
      <c r="FF149" s="1013" t="s">
        <v>7724</v>
      </c>
      <c r="FG149" s="1013">
        <v>0</v>
      </c>
      <c r="FH149" s="1013">
        <v>0</v>
      </c>
      <c r="FI149" s="1013">
        <v>0</v>
      </c>
      <c r="FJ149" s="1013">
        <v>2</v>
      </c>
      <c r="FK149" s="1013">
        <v>0</v>
      </c>
      <c r="FL149" s="1013">
        <v>0</v>
      </c>
      <c r="FM149" s="1013">
        <v>0</v>
      </c>
      <c r="FN149" s="1013">
        <v>15</v>
      </c>
      <c r="FO149" s="1013">
        <v>29</v>
      </c>
      <c r="FP149" s="1013">
        <v>51</v>
      </c>
      <c r="FQ149" s="1013" t="s">
        <v>7724</v>
      </c>
      <c r="FR149" s="1013" t="s">
        <v>7724</v>
      </c>
      <c r="FS149" s="1013" t="s">
        <v>7724</v>
      </c>
      <c r="FT149" s="1013" t="s">
        <v>7724</v>
      </c>
      <c r="FU149" s="1013" t="s">
        <v>7724</v>
      </c>
      <c r="FV149" s="1013" t="s">
        <v>7724</v>
      </c>
      <c r="FW149" s="1013" t="s">
        <v>7724</v>
      </c>
      <c r="FX149" s="1013" t="s">
        <v>7724</v>
      </c>
      <c r="FY149" s="1013" t="s">
        <v>7724</v>
      </c>
      <c r="FZ149" s="1013" t="s">
        <v>7724</v>
      </c>
      <c r="GA149" s="1013" t="s">
        <v>7724</v>
      </c>
      <c r="GB149" s="1013" t="s">
        <v>7724</v>
      </c>
      <c r="GC149" s="1013">
        <v>2019</v>
      </c>
      <c r="GD149" s="1013" t="s">
        <v>1404</v>
      </c>
      <c r="GE149" s="1013">
        <v>3</v>
      </c>
      <c r="GF149" s="1013" t="s">
        <v>1407</v>
      </c>
      <c r="GG149" s="1013" t="s">
        <v>1407</v>
      </c>
      <c r="GH149" s="1013" t="s">
        <v>8043</v>
      </c>
      <c r="GI149" s="1013" t="s">
        <v>7980</v>
      </c>
      <c r="GJ149" s="1013" t="s">
        <v>7980</v>
      </c>
      <c r="GK149" s="1013" t="s">
        <v>7980</v>
      </c>
      <c r="GL149" s="1013" t="s">
        <v>7980</v>
      </c>
    </row>
    <row r="150" spans="1:194" hidden="1">
      <c r="A150" s="1013">
        <v>98</v>
      </c>
      <c r="B150" s="1013" t="s">
        <v>7722</v>
      </c>
      <c r="C150" s="1013">
        <v>17117255</v>
      </c>
      <c r="D150" s="1013" t="s">
        <v>7723</v>
      </c>
      <c r="E150" s="1013" t="s">
        <v>7723</v>
      </c>
      <c r="F150" s="1013" t="s">
        <v>7723</v>
      </c>
      <c r="G150" s="1013" t="s">
        <v>7723</v>
      </c>
      <c r="H150" s="1013" t="s">
        <v>7723</v>
      </c>
      <c r="I150" s="1013" t="s">
        <v>7723</v>
      </c>
      <c r="J150" s="1013" t="s">
        <v>7723</v>
      </c>
      <c r="K150" s="1024">
        <v>43623</v>
      </c>
      <c r="L150" s="1023">
        <v>0.85902777777777772</v>
      </c>
      <c r="M150" s="1013" t="s">
        <v>8123</v>
      </c>
      <c r="N150" s="1013" t="s">
        <v>7724</v>
      </c>
      <c r="O150" s="1013">
        <v>101</v>
      </c>
      <c r="P150" s="1013">
        <v>208</v>
      </c>
      <c r="Q150" s="1013" t="s">
        <v>7723</v>
      </c>
      <c r="R150" s="1013" t="s">
        <v>7727</v>
      </c>
      <c r="S150" s="1013" t="s">
        <v>7724</v>
      </c>
      <c r="T150" s="1014" t="s">
        <v>7724</v>
      </c>
      <c r="U150" s="1014">
        <v>2</v>
      </c>
      <c r="V150" s="1014">
        <v>59</v>
      </c>
      <c r="W150" s="1014" t="s">
        <v>7724</v>
      </c>
      <c r="X150" s="1013">
        <v>1</v>
      </c>
      <c r="Y150" s="1013">
        <v>600</v>
      </c>
      <c r="Z150" s="1013" t="s">
        <v>7723</v>
      </c>
      <c r="AA150" s="1013" t="s">
        <v>7771</v>
      </c>
      <c r="AB150" s="1013" t="s">
        <v>7760</v>
      </c>
      <c r="AC150" s="1013" t="s">
        <v>7723</v>
      </c>
      <c r="AD150" s="1013" t="s">
        <v>7723</v>
      </c>
      <c r="AE150" s="1013">
        <v>60</v>
      </c>
      <c r="AF150" s="1013" t="s">
        <v>7723</v>
      </c>
      <c r="AG150" s="1013" t="s">
        <v>7723</v>
      </c>
      <c r="AH150" s="1013" t="s">
        <v>7739</v>
      </c>
      <c r="AI150" s="1013" t="s">
        <v>7723</v>
      </c>
      <c r="AJ150" s="1013">
        <v>19</v>
      </c>
      <c r="AK150" s="1013" t="s">
        <v>7724</v>
      </c>
      <c r="AL150" s="1013" t="s">
        <v>7724</v>
      </c>
      <c r="AM150" s="1013">
        <v>1</v>
      </c>
      <c r="AN150" s="1013">
        <v>4400</v>
      </c>
      <c r="AO150" s="1013" t="s">
        <v>7724</v>
      </c>
      <c r="AP150" s="1013" t="s">
        <v>7745</v>
      </c>
      <c r="AQ150" s="1013" t="s">
        <v>7726</v>
      </c>
      <c r="AR150" s="1013" t="s">
        <v>7724</v>
      </c>
      <c r="AS150" s="1013" t="s">
        <v>7724</v>
      </c>
      <c r="AT150" s="1013" t="s">
        <v>7724</v>
      </c>
      <c r="AU150" s="1013" t="s">
        <v>7724</v>
      </c>
      <c r="AV150" s="1013" t="s">
        <v>7724</v>
      </c>
      <c r="AW150" s="1013" t="s">
        <v>7724</v>
      </c>
      <c r="AX150" s="1013">
        <v>11</v>
      </c>
      <c r="AY150" s="1013">
        <v>4</v>
      </c>
      <c r="AZ150" s="1013">
        <v>0</v>
      </c>
      <c r="BA150" s="1013">
        <v>4</v>
      </c>
      <c r="BB150" s="1013">
        <v>1</v>
      </c>
      <c r="BC150" s="1013">
        <v>1</v>
      </c>
      <c r="BD150" s="1013">
        <v>20</v>
      </c>
      <c r="BE150" s="1023">
        <v>0.8618055555555556</v>
      </c>
      <c r="BF150" s="1013" t="s">
        <v>7729</v>
      </c>
      <c r="BG150" s="1023">
        <v>0.8666666666666667</v>
      </c>
      <c r="BH150" s="1024">
        <v>43623</v>
      </c>
      <c r="BI150" s="1013" t="s">
        <v>7727</v>
      </c>
      <c r="BJ150" s="1013" t="s">
        <v>7730</v>
      </c>
      <c r="BK150" s="1013">
        <v>2469</v>
      </c>
      <c r="BL150" s="1013" t="s">
        <v>7724</v>
      </c>
      <c r="BM150" s="1013" t="s">
        <v>7724</v>
      </c>
      <c r="BN150" s="1013">
        <v>113</v>
      </c>
      <c r="BO150" s="1013">
        <v>8</v>
      </c>
      <c r="BP150" s="1013">
        <v>2</v>
      </c>
      <c r="BQ150" s="1013">
        <v>4</v>
      </c>
      <c r="BR150" s="1013">
        <v>21</v>
      </c>
      <c r="BS150" s="1013">
        <v>64</v>
      </c>
      <c r="BT150" s="1013">
        <v>54</v>
      </c>
      <c r="BU150" s="1013">
        <v>1</v>
      </c>
      <c r="BV150" s="1013">
        <v>2</v>
      </c>
      <c r="BW150" s="1013">
        <v>1</v>
      </c>
      <c r="BX150" s="1013">
        <v>21</v>
      </c>
      <c r="BY150" s="1013">
        <v>21</v>
      </c>
      <c r="BZ150" s="1013">
        <v>101</v>
      </c>
      <c r="CA150" s="1013">
        <v>208</v>
      </c>
      <c r="CB150" s="1013">
        <v>29.732500999999999</v>
      </c>
      <c r="CC150" s="1013">
        <v>-95.380384000000006</v>
      </c>
      <c r="CD150" s="1013" t="s">
        <v>7724</v>
      </c>
      <c r="CE150" s="1013" t="s">
        <v>7724</v>
      </c>
      <c r="CF150" s="1013" t="s">
        <v>7724</v>
      </c>
      <c r="CG150" s="1013" t="s">
        <v>7724</v>
      </c>
      <c r="CH150" s="1013" t="s">
        <v>8053</v>
      </c>
      <c r="CI150" s="1013" t="s">
        <v>7724</v>
      </c>
      <c r="CJ150" s="1013" t="s">
        <v>7724</v>
      </c>
      <c r="CK150" s="1013" t="s">
        <v>7724</v>
      </c>
      <c r="CL150" s="1013" t="s">
        <v>7724</v>
      </c>
      <c r="CM150" s="1013" t="s">
        <v>7724</v>
      </c>
      <c r="CN150" s="1013" t="s">
        <v>7724</v>
      </c>
      <c r="CO150" s="1013" t="s">
        <v>7724</v>
      </c>
      <c r="CP150" s="1013" t="s">
        <v>7724</v>
      </c>
      <c r="CQ150" s="1013" t="s">
        <v>7724</v>
      </c>
      <c r="CR150" s="1013" t="s">
        <v>7724</v>
      </c>
      <c r="CS150" s="1013" t="s">
        <v>7724</v>
      </c>
      <c r="CT150" s="1013" t="s">
        <v>7724</v>
      </c>
      <c r="CU150" s="1013" t="s">
        <v>7724</v>
      </c>
      <c r="CV150" s="1013" t="s">
        <v>7724</v>
      </c>
      <c r="CW150" s="1013" t="s">
        <v>7727</v>
      </c>
      <c r="CX150" s="1013" t="s">
        <v>7723</v>
      </c>
      <c r="CY150" s="1013" t="s">
        <v>7723</v>
      </c>
      <c r="CZ150" s="1013">
        <v>3</v>
      </c>
      <c r="DA150" s="1013">
        <v>9</v>
      </c>
      <c r="DB150" s="1013" t="s">
        <v>7727</v>
      </c>
      <c r="DC150" s="1013" t="s">
        <v>7759</v>
      </c>
      <c r="DD150" s="1013" t="s">
        <v>7724</v>
      </c>
      <c r="DE150" s="1013" t="s">
        <v>7724</v>
      </c>
      <c r="DF150" s="1013" t="s">
        <v>7724</v>
      </c>
      <c r="DG150" s="1013" t="s">
        <v>7724</v>
      </c>
      <c r="DH150" s="1013" t="s">
        <v>7724</v>
      </c>
      <c r="DI150" s="1013" t="s">
        <v>7724</v>
      </c>
      <c r="DJ150" s="1013" t="s">
        <v>7724</v>
      </c>
      <c r="DK150" s="1013" t="s">
        <v>7724</v>
      </c>
      <c r="DL150" s="1013" t="s">
        <v>7724</v>
      </c>
      <c r="DM150" s="1013" t="s">
        <v>7724</v>
      </c>
      <c r="DN150" s="1013" t="s">
        <v>7724</v>
      </c>
      <c r="DO150" s="1013" t="s">
        <v>7724</v>
      </c>
      <c r="DP150" s="1013" t="s">
        <v>7724</v>
      </c>
      <c r="DQ150" s="1013" t="s">
        <v>7724</v>
      </c>
      <c r="DR150" s="1013" t="s">
        <v>7724</v>
      </c>
      <c r="DS150" s="1013" t="s">
        <v>7724</v>
      </c>
      <c r="DT150" s="1013" t="s">
        <v>7724</v>
      </c>
      <c r="DU150" s="1013" t="s">
        <v>7724</v>
      </c>
      <c r="DV150" s="1013" t="s">
        <v>7724</v>
      </c>
      <c r="DW150" s="1013" t="s">
        <v>7724</v>
      </c>
      <c r="DX150" s="1013" t="s">
        <v>7724</v>
      </c>
      <c r="DY150" s="1013" t="s">
        <v>7724</v>
      </c>
      <c r="DZ150" s="1013" t="s">
        <v>7724</v>
      </c>
      <c r="EA150" s="1013" t="s">
        <v>7724</v>
      </c>
      <c r="EB150" s="1013" t="s">
        <v>7724</v>
      </c>
      <c r="EC150" s="1013" t="s">
        <v>7724</v>
      </c>
      <c r="ED150" s="1013" t="s">
        <v>7724</v>
      </c>
      <c r="EE150" s="1013" t="s">
        <v>7724</v>
      </c>
      <c r="EF150" s="1013" t="s">
        <v>7724</v>
      </c>
      <c r="EG150" s="1013" t="s">
        <v>7724</v>
      </c>
      <c r="EH150" s="1013" t="s">
        <v>7724</v>
      </c>
      <c r="EI150" s="1013" t="s">
        <v>7724</v>
      </c>
      <c r="EJ150" s="1013" t="s">
        <v>7724</v>
      </c>
      <c r="EK150" s="1013" t="s">
        <v>7724</v>
      </c>
      <c r="EL150" s="1013" t="s">
        <v>7724</v>
      </c>
      <c r="EM150" s="1013" t="s">
        <v>7724</v>
      </c>
      <c r="EN150" s="1013" t="s">
        <v>7724</v>
      </c>
      <c r="EO150" s="1013" t="s">
        <v>7724</v>
      </c>
      <c r="EP150" s="1013" t="s">
        <v>7724</v>
      </c>
      <c r="EQ150" s="1013" t="s">
        <v>7724</v>
      </c>
      <c r="ER150" s="1013" t="s">
        <v>7724</v>
      </c>
      <c r="ES150" s="1013" t="s">
        <v>7724</v>
      </c>
      <c r="ET150" s="1013" t="s">
        <v>7724</v>
      </c>
      <c r="EU150" s="1013" t="s">
        <v>7724</v>
      </c>
      <c r="EV150" s="1013" t="s">
        <v>7724</v>
      </c>
      <c r="EW150" s="1013" t="s">
        <v>7724</v>
      </c>
      <c r="EX150" s="1013" t="s">
        <v>7724</v>
      </c>
      <c r="EY150" s="1013" t="s">
        <v>7724</v>
      </c>
      <c r="EZ150" s="1013" t="s">
        <v>7724</v>
      </c>
      <c r="FA150" s="1013" t="s">
        <v>7724</v>
      </c>
      <c r="FB150" s="1013" t="s">
        <v>7724</v>
      </c>
      <c r="FC150" s="1013" t="s">
        <v>7724</v>
      </c>
      <c r="FD150" s="1013" t="s">
        <v>7724</v>
      </c>
      <c r="FE150" s="1013" t="s">
        <v>7724</v>
      </c>
      <c r="FF150" s="1013" t="s">
        <v>7724</v>
      </c>
      <c r="FG150" s="1013">
        <v>0</v>
      </c>
      <c r="FH150" s="1013">
        <v>0</v>
      </c>
      <c r="FI150" s="1013">
        <v>2</v>
      </c>
      <c r="FJ150" s="1013">
        <v>4</v>
      </c>
      <c r="FK150" s="1013">
        <v>0</v>
      </c>
      <c r="FL150" s="1013">
        <v>2</v>
      </c>
      <c r="FM150" s="1013">
        <v>0</v>
      </c>
      <c r="FN150" s="1013">
        <v>15</v>
      </c>
      <c r="FO150" s="1013">
        <v>29</v>
      </c>
      <c r="FP150" s="1013">
        <v>6</v>
      </c>
      <c r="FQ150" s="1013" t="s">
        <v>7724</v>
      </c>
      <c r="FR150" s="1013" t="s">
        <v>7724</v>
      </c>
      <c r="FS150" s="1013" t="s">
        <v>7724</v>
      </c>
      <c r="FT150" s="1013" t="s">
        <v>7724</v>
      </c>
      <c r="FU150" s="1013" t="s">
        <v>7724</v>
      </c>
      <c r="FV150" s="1013" t="s">
        <v>7724</v>
      </c>
      <c r="FW150" s="1013" t="s">
        <v>7724</v>
      </c>
      <c r="FX150" s="1013" t="s">
        <v>7724</v>
      </c>
      <c r="FY150" s="1013" t="s">
        <v>7724</v>
      </c>
      <c r="FZ150" s="1013" t="s">
        <v>7724</v>
      </c>
      <c r="GA150" s="1013" t="s">
        <v>7724</v>
      </c>
      <c r="GB150" s="1013" t="s">
        <v>7724</v>
      </c>
      <c r="GC150" s="1013">
        <v>2019</v>
      </c>
      <c r="GD150" s="1013" t="s">
        <v>1407</v>
      </c>
      <c r="GE150" s="1013">
        <v>4</v>
      </c>
      <c r="GF150" s="1013" t="s">
        <v>1407</v>
      </c>
      <c r="GG150" s="1013" t="s">
        <v>1407</v>
      </c>
      <c r="GH150" s="1013" t="s">
        <v>8054</v>
      </c>
      <c r="GI150" s="1013" t="s">
        <v>8055</v>
      </c>
      <c r="GJ150" s="1013" t="s">
        <v>8055</v>
      </c>
      <c r="GK150" s="1013" t="s">
        <v>8055</v>
      </c>
      <c r="GL150" s="1013" t="s">
        <v>8055</v>
      </c>
    </row>
    <row r="151" spans="1:194" hidden="1">
      <c r="A151" s="1013">
        <v>104</v>
      </c>
      <c r="B151" s="1013" t="s">
        <v>7722</v>
      </c>
      <c r="C151" s="1013">
        <v>17206051</v>
      </c>
      <c r="D151" s="1013" t="s">
        <v>7723</v>
      </c>
      <c r="E151" s="1013" t="s">
        <v>7723</v>
      </c>
      <c r="F151" s="1013" t="s">
        <v>7723</v>
      </c>
      <c r="G151" s="1013" t="s">
        <v>7723</v>
      </c>
      <c r="H151" s="1013" t="s">
        <v>7723</v>
      </c>
      <c r="I151" s="1013" t="s">
        <v>7723</v>
      </c>
      <c r="J151" s="1013" t="s">
        <v>7723</v>
      </c>
      <c r="K151" s="1024">
        <v>43673</v>
      </c>
      <c r="L151" s="1023">
        <v>0.64375000000000004</v>
      </c>
      <c r="M151" s="1013" t="s">
        <v>8124</v>
      </c>
      <c r="N151" s="1013" t="s">
        <v>7724</v>
      </c>
      <c r="O151" s="1013">
        <v>101</v>
      </c>
      <c r="P151" s="1013">
        <v>208</v>
      </c>
      <c r="Q151" s="1013" t="s">
        <v>7723</v>
      </c>
      <c r="R151" s="1013" t="s">
        <v>7727</v>
      </c>
      <c r="S151" s="1013" t="s">
        <v>7724</v>
      </c>
      <c r="T151" s="1014" t="s">
        <v>7724</v>
      </c>
      <c r="U151" s="1014">
        <v>2</v>
      </c>
      <c r="V151" s="1014">
        <v>59</v>
      </c>
      <c r="W151" s="1014" t="s">
        <v>7724</v>
      </c>
      <c r="X151" s="1013">
        <v>1</v>
      </c>
      <c r="Y151" s="1013">
        <v>800</v>
      </c>
      <c r="Z151" s="1013" t="s">
        <v>7770</v>
      </c>
      <c r="AA151" s="1013" t="s">
        <v>7771</v>
      </c>
      <c r="AB151" s="1013" t="s">
        <v>7760</v>
      </c>
      <c r="AC151" s="1013" t="s">
        <v>7723</v>
      </c>
      <c r="AD151" s="1013" t="s">
        <v>7723</v>
      </c>
      <c r="AE151" s="1013">
        <v>60</v>
      </c>
      <c r="AF151" s="1013" t="s">
        <v>7723</v>
      </c>
      <c r="AG151" s="1013" t="s">
        <v>7723</v>
      </c>
      <c r="AH151" s="1013" t="s">
        <v>7739</v>
      </c>
      <c r="AI151" s="1013" t="s">
        <v>7723</v>
      </c>
      <c r="AJ151" s="1013">
        <v>1</v>
      </c>
      <c r="AK151" s="1013">
        <v>800</v>
      </c>
      <c r="AL151" s="1013" t="s">
        <v>7724</v>
      </c>
      <c r="AM151" s="1013">
        <v>3</v>
      </c>
      <c r="AN151" s="1013" t="s">
        <v>7724</v>
      </c>
      <c r="AO151" s="1013" t="s">
        <v>7724</v>
      </c>
      <c r="AP151" s="1013" t="s">
        <v>8003</v>
      </c>
      <c r="AQ151" s="1013" t="s">
        <v>7735</v>
      </c>
      <c r="AR151" s="1013" t="s">
        <v>7724</v>
      </c>
      <c r="AS151" s="1013" t="s">
        <v>7724</v>
      </c>
      <c r="AT151" s="1013" t="s">
        <v>7724</v>
      </c>
      <c r="AU151" s="1013" t="s">
        <v>7724</v>
      </c>
      <c r="AV151" s="1013" t="s">
        <v>7724</v>
      </c>
      <c r="AW151" s="1013" t="s">
        <v>7724</v>
      </c>
      <c r="AX151" s="1013">
        <v>11</v>
      </c>
      <c r="AY151" s="1013">
        <v>1</v>
      </c>
      <c r="AZ151" s="1013">
        <v>0</v>
      </c>
      <c r="BA151" s="1013">
        <v>3</v>
      </c>
      <c r="BB151" s="1013">
        <v>4</v>
      </c>
      <c r="BC151" s="1013">
        <v>1</v>
      </c>
      <c r="BD151" s="1013">
        <v>20</v>
      </c>
      <c r="BE151" s="1023">
        <v>0.65277777777777779</v>
      </c>
      <c r="BF151" s="1013" t="s">
        <v>7736</v>
      </c>
      <c r="BG151" s="1023">
        <v>0.65833333333333333</v>
      </c>
      <c r="BH151" s="1024">
        <v>43673</v>
      </c>
      <c r="BI151" s="1013" t="s">
        <v>7727</v>
      </c>
      <c r="BJ151" s="1013" t="s">
        <v>7730</v>
      </c>
      <c r="BK151" s="1013">
        <v>2469</v>
      </c>
      <c r="BL151" s="1013" t="s">
        <v>7724</v>
      </c>
      <c r="BM151" s="1013" t="s">
        <v>7724</v>
      </c>
      <c r="BN151" s="1013">
        <v>113</v>
      </c>
      <c r="BO151" s="1013">
        <v>8</v>
      </c>
      <c r="BP151" s="1013">
        <v>2</v>
      </c>
      <c r="BQ151" s="1013">
        <v>4</v>
      </c>
      <c r="BR151" s="1013">
        <v>21</v>
      </c>
      <c r="BS151" s="1013">
        <v>39</v>
      </c>
      <c r="BT151" s="1013">
        <v>9</v>
      </c>
      <c r="BU151" s="1013">
        <v>1</v>
      </c>
      <c r="BV151" s="1013">
        <v>2</v>
      </c>
      <c r="BW151" s="1013">
        <v>1</v>
      </c>
      <c r="BX151" s="1013">
        <v>21</v>
      </c>
      <c r="BY151" s="1013">
        <v>21</v>
      </c>
      <c r="BZ151" s="1013">
        <v>101</v>
      </c>
      <c r="CA151" s="1013">
        <v>208</v>
      </c>
      <c r="CB151" s="1013">
        <v>29.732423000000001</v>
      </c>
      <c r="CC151" s="1013">
        <v>-95.381756999999993</v>
      </c>
      <c r="CD151" s="1013" t="s">
        <v>8016</v>
      </c>
      <c r="CE151" s="1013">
        <v>69</v>
      </c>
      <c r="CF151" s="1013" t="s">
        <v>7724</v>
      </c>
      <c r="CG151" s="1013">
        <v>33.506999999999998</v>
      </c>
      <c r="CH151" s="1013" t="s">
        <v>8017</v>
      </c>
      <c r="CI151" s="1013" t="s">
        <v>7724</v>
      </c>
      <c r="CJ151" s="1013">
        <v>27</v>
      </c>
      <c r="CK151" s="1013">
        <v>13</v>
      </c>
      <c r="CL151" s="1013">
        <v>13.801</v>
      </c>
      <c r="CM151" s="1013">
        <v>128</v>
      </c>
      <c r="CN151" s="1013">
        <v>0.248</v>
      </c>
      <c r="CO151" s="1013" t="s">
        <v>7724</v>
      </c>
      <c r="CP151" s="1013" t="s">
        <v>7724</v>
      </c>
      <c r="CQ151" s="1013" t="s">
        <v>7724</v>
      </c>
      <c r="CR151" s="1013" t="s">
        <v>7724</v>
      </c>
      <c r="CS151" s="1013" t="s">
        <v>7724</v>
      </c>
      <c r="CT151" s="1013" t="s">
        <v>7724</v>
      </c>
      <c r="CU151" s="1013" t="s">
        <v>7724</v>
      </c>
      <c r="CV151" s="1013" t="s">
        <v>7724</v>
      </c>
      <c r="CW151" s="1013" t="s">
        <v>7727</v>
      </c>
      <c r="CX151" s="1013" t="s">
        <v>7727</v>
      </c>
      <c r="CY151" s="1013" t="s">
        <v>7723</v>
      </c>
      <c r="CZ151" s="1013">
        <v>3</v>
      </c>
      <c r="DA151" s="1013">
        <v>9</v>
      </c>
      <c r="DB151" s="1013" t="s">
        <v>7727</v>
      </c>
      <c r="DC151" s="1013" t="s">
        <v>7733</v>
      </c>
      <c r="DD151" s="1013">
        <v>5</v>
      </c>
      <c r="DE151" s="1013" t="s">
        <v>7724</v>
      </c>
      <c r="DF151" s="1013">
        <v>20</v>
      </c>
      <c r="DG151" s="1013">
        <v>20</v>
      </c>
      <c r="DH151" s="1013">
        <v>5</v>
      </c>
      <c r="DI151" s="1013" t="s">
        <v>7724</v>
      </c>
      <c r="DJ151" s="1013">
        <v>8</v>
      </c>
      <c r="DK151" s="1013">
        <v>400</v>
      </c>
      <c r="DL151" s="1013">
        <v>138</v>
      </c>
      <c r="DM151" s="1013">
        <v>98</v>
      </c>
      <c r="DN151" s="1013">
        <v>1</v>
      </c>
      <c r="DO151" s="1013">
        <v>0</v>
      </c>
      <c r="DP151" s="1013">
        <v>0</v>
      </c>
      <c r="DQ151" s="1013">
        <v>1</v>
      </c>
      <c r="DR151" s="1013">
        <v>20</v>
      </c>
      <c r="DS151" s="1013">
        <v>5</v>
      </c>
      <c r="DT151" s="1013">
        <v>1</v>
      </c>
      <c r="DU151" s="1013">
        <v>20</v>
      </c>
      <c r="DV151" s="1013">
        <v>5</v>
      </c>
      <c r="DW151" s="1013">
        <v>7</v>
      </c>
      <c r="DX151" s="1013">
        <v>5</v>
      </c>
      <c r="DY151" s="1013">
        <v>4</v>
      </c>
      <c r="DZ151" s="1013">
        <v>1</v>
      </c>
      <c r="EA151" s="1013">
        <v>185410</v>
      </c>
      <c r="EB151" s="1013">
        <v>2019</v>
      </c>
      <c r="EC151" s="1013">
        <v>185410</v>
      </c>
      <c r="ED151" s="1013">
        <v>2.2999999999999998</v>
      </c>
      <c r="EE151" s="1013">
        <v>2.5</v>
      </c>
      <c r="EF151" s="1013">
        <v>4.8</v>
      </c>
      <c r="EG151" s="1013" t="s">
        <v>7724</v>
      </c>
      <c r="EH151" s="1013" t="s">
        <v>7724</v>
      </c>
      <c r="EI151" s="1013" t="s">
        <v>7724</v>
      </c>
      <c r="EJ151" s="1013" t="s">
        <v>7724</v>
      </c>
      <c r="EK151" s="1013" t="s">
        <v>7724</v>
      </c>
      <c r="EL151" s="1013" t="s">
        <v>7724</v>
      </c>
      <c r="EM151" s="1013" t="s">
        <v>7724</v>
      </c>
      <c r="EN151" s="1013" t="s">
        <v>7724</v>
      </c>
      <c r="EO151" s="1013" t="s">
        <v>7724</v>
      </c>
      <c r="EP151" s="1013" t="s">
        <v>7724</v>
      </c>
      <c r="EQ151" s="1013" t="s">
        <v>7724</v>
      </c>
      <c r="ER151" s="1013" t="s">
        <v>7724</v>
      </c>
      <c r="ES151" s="1013" t="s">
        <v>7724</v>
      </c>
      <c r="ET151" s="1013" t="s">
        <v>7724</v>
      </c>
      <c r="EU151" s="1013" t="s">
        <v>7724</v>
      </c>
      <c r="EV151" s="1013" t="s">
        <v>7724</v>
      </c>
      <c r="EW151" s="1013" t="s">
        <v>7724</v>
      </c>
      <c r="EX151" s="1013" t="s">
        <v>7724</v>
      </c>
      <c r="EY151" s="1013" t="s">
        <v>7724</v>
      </c>
      <c r="EZ151" s="1013" t="s">
        <v>7724</v>
      </c>
      <c r="FA151" s="1013" t="s">
        <v>7724</v>
      </c>
      <c r="FB151" s="1013" t="s">
        <v>7724</v>
      </c>
      <c r="FC151" s="1013" t="s">
        <v>7724</v>
      </c>
      <c r="FD151" s="1013" t="s">
        <v>7724</v>
      </c>
      <c r="FE151" s="1013" t="s">
        <v>7724</v>
      </c>
      <c r="FF151" s="1013" t="s">
        <v>7724</v>
      </c>
      <c r="FG151" s="1013">
        <v>0</v>
      </c>
      <c r="FH151" s="1013">
        <v>0</v>
      </c>
      <c r="FI151" s="1013">
        <v>1</v>
      </c>
      <c r="FJ151" s="1013">
        <v>2</v>
      </c>
      <c r="FK151" s="1013">
        <v>0</v>
      </c>
      <c r="FL151" s="1013">
        <v>1</v>
      </c>
      <c r="FM151" s="1013">
        <v>0</v>
      </c>
      <c r="FN151" s="1013">
        <v>15</v>
      </c>
      <c r="FO151" s="1013">
        <v>29</v>
      </c>
      <c r="FP151" s="1013">
        <v>51</v>
      </c>
      <c r="FQ151" s="1013" t="s">
        <v>7724</v>
      </c>
      <c r="FR151" s="1013" t="s">
        <v>7724</v>
      </c>
      <c r="FS151" s="1013" t="s">
        <v>7724</v>
      </c>
      <c r="FT151" s="1013" t="s">
        <v>7724</v>
      </c>
      <c r="FU151" s="1013" t="s">
        <v>7724</v>
      </c>
      <c r="FV151" s="1013" t="s">
        <v>7724</v>
      </c>
      <c r="FW151" s="1013" t="s">
        <v>7724</v>
      </c>
      <c r="FX151" s="1013" t="s">
        <v>7724</v>
      </c>
      <c r="FY151" s="1013" t="s">
        <v>7724</v>
      </c>
      <c r="FZ151" s="1013" t="s">
        <v>7724</v>
      </c>
      <c r="GA151" s="1013" t="s">
        <v>7724</v>
      </c>
      <c r="GB151" s="1013" t="s">
        <v>7724</v>
      </c>
      <c r="GC151" s="1013">
        <v>2019</v>
      </c>
      <c r="GD151" s="1013" t="s">
        <v>1407</v>
      </c>
      <c r="GE151" s="1013">
        <v>2</v>
      </c>
      <c r="GF151" s="1013" t="s">
        <v>1407</v>
      </c>
      <c r="GG151" s="1013" t="s">
        <v>1407</v>
      </c>
      <c r="GH151" s="1013" t="s">
        <v>7995</v>
      </c>
      <c r="GI151" s="1013" t="s">
        <v>7974</v>
      </c>
      <c r="GJ151" s="1013" t="s">
        <v>7974</v>
      </c>
      <c r="GK151" s="1013" t="s">
        <v>7974</v>
      </c>
      <c r="GL151" s="1013" t="s">
        <v>7974</v>
      </c>
    </row>
    <row r="152" spans="1:194" hidden="1">
      <c r="A152" s="1013">
        <v>105</v>
      </c>
      <c r="B152" s="1013" t="s">
        <v>7722</v>
      </c>
      <c r="C152" s="1013">
        <v>17207566</v>
      </c>
      <c r="D152" s="1013" t="s">
        <v>7723</v>
      </c>
      <c r="E152" s="1013" t="s">
        <v>7723</v>
      </c>
      <c r="F152" s="1013" t="s">
        <v>7723</v>
      </c>
      <c r="G152" s="1013" t="s">
        <v>7723</v>
      </c>
      <c r="H152" s="1013" t="s">
        <v>7723</v>
      </c>
      <c r="I152" s="1013" t="s">
        <v>7723</v>
      </c>
      <c r="J152" s="1013" t="s">
        <v>7723</v>
      </c>
      <c r="K152" s="1024">
        <v>43675</v>
      </c>
      <c r="L152" s="1023">
        <v>0.77083333333333337</v>
      </c>
      <c r="M152" s="1013">
        <v>1900046698</v>
      </c>
      <c r="N152" s="1013" t="s">
        <v>7804</v>
      </c>
      <c r="O152" s="1013">
        <v>101</v>
      </c>
      <c r="P152" s="1013">
        <v>208</v>
      </c>
      <c r="Q152" s="1013" t="s">
        <v>7723</v>
      </c>
      <c r="R152" s="1013" t="s">
        <v>7727</v>
      </c>
      <c r="S152" s="1013" t="s">
        <v>7724</v>
      </c>
      <c r="T152" s="1014" t="s">
        <v>7724</v>
      </c>
      <c r="U152" s="1014">
        <v>19</v>
      </c>
      <c r="V152" s="1014" t="s">
        <v>7724</v>
      </c>
      <c r="W152" s="1014" t="s">
        <v>7724</v>
      </c>
      <c r="X152" s="1013">
        <v>1</v>
      </c>
      <c r="Y152" s="1013">
        <v>4600</v>
      </c>
      <c r="Z152" s="1013" t="s">
        <v>7724</v>
      </c>
      <c r="AA152" s="1013" t="s">
        <v>7728</v>
      </c>
      <c r="AB152" s="1013" t="s">
        <v>7726</v>
      </c>
      <c r="AC152" s="1013" t="s">
        <v>7723</v>
      </c>
      <c r="AD152" s="1013" t="s">
        <v>7723</v>
      </c>
      <c r="AE152" s="1013">
        <v>30</v>
      </c>
      <c r="AF152" s="1013" t="s">
        <v>7723</v>
      </c>
      <c r="AG152" s="1013" t="s">
        <v>7723</v>
      </c>
      <c r="AH152" s="1013" t="s">
        <v>7739</v>
      </c>
      <c r="AI152" s="1013" t="s">
        <v>7723</v>
      </c>
      <c r="AJ152" s="1013">
        <v>19</v>
      </c>
      <c r="AK152" s="1013" t="s">
        <v>7724</v>
      </c>
      <c r="AL152" s="1013" t="s">
        <v>7724</v>
      </c>
      <c r="AM152" s="1013">
        <v>1</v>
      </c>
      <c r="AN152" s="1013">
        <v>1100</v>
      </c>
      <c r="AO152" s="1013" t="s">
        <v>7724</v>
      </c>
      <c r="AP152" s="1013" t="s">
        <v>7725</v>
      </c>
      <c r="AQ152" s="1013" t="s">
        <v>7726</v>
      </c>
      <c r="AR152" s="1013" t="s">
        <v>7724</v>
      </c>
      <c r="AS152" s="1013" t="s">
        <v>7724</v>
      </c>
      <c r="AT152" s="1013" t="s">
        <v>7724</v>
      </c>
      <c r="AU152" s="1013" t="s">
        <v>7724</v>
      </c>
      <c r="AV152" s="1013" t="s">
        <v>7739</v>
      </c>
      <c r="AW152" s="1013" t="s">
        <v>7724</v>
      </c>
      <c r="AX152" s="1013">
        <v>11</v>
      </c>
      <c r="AY152" s="1013">
        <v>1</v>
      </c>
      <c r="AZ152" s="1013">
        <v>2</v>
      </c>
      <c r="BA152" s="1013">
        <v>4</v>
      </c>
      <c r="BB152" s="1013">
        <v>1</v>
      </c>
      <c r="BC152" s="1013">
        <v>2</v>
      </c>
      <c r="BD152" s="1013">
        <v>5</v>
      </c>
      <c r="BE152" s="1023">
        <v>0.77638888888888891</v>
      </c>
      <c r="BF152" s="1013" t="s">
        <v>7768</v>
      </c>
      <c r="BG152" s="1023">
        <v>0.79097222222222219</v>
      </c>
      <c r="BH152" s="1024">
        <v>43676</v>
      </c>
      <c r="BI152" s="1013" t="s">
        <v>7727</v>
      </c>
      <c r="BJ152" s="1013" t="s">
        <v>7769</v>
      </c>
      <c r="BK152" s="1013">
        <v>1775</v>
      </c>
      <c r="BL152" s="1013" t="s">
        <v>7724</v>
      </c>
      <c r="BM152" s="1013" t="s">
        <v>7724</v>
      </c>
      <c r="BN152" s="1013">
        <v>53</v>
      </c>
      <c r="BO152" s="1013">
        <v>8</v>
      </c>
      <c r="BP152" s="1013">
        <v>2</v>
      </c>
      <c r="BQ152" s="1013">
        <v>4</v>
      </c>
      <c r="BR152" s="1013">
        <v>21</v>
      </c>
      <c r="BS152" s="1013">
        <v>33</v>
      </c>
      <c r="BT152" s="1013">
        <v>3</v>
      </c>
      <c r="BU152" s="1013">
        <v>1</v>
      </c>
      <c r="BV152" s="1013">
        <v>5</v>
      </c>
      <c r="BW152" s="1013">
        <v>1</v>
      </c>
      <c r="BX152" s="1013">
        <v>21</v>
      </c>
      <c r="BY152" s="1013">
        <v>21</v>
      </c>
      <c r="BZ152" s="1013">
        <v>101</v>
      </c>
      <c r="CA152" s="1013">
        <v>208</v>
      </c>
      <c r="CB152" s="1013">
        <v>29.733118000000001</v>
      </c>
      <c r="CC152" s="1013">
        <v>-95.381265999999997</v>
      </c>
      <c r="CD152" s="1013" t="s">
        <v>7724</v>
      </c>
      <c r="CE152" s="1013" t="s">
        <v>7724</v>
      </c>
      <c r="CF152" s="1013" t="s">
        <v>7724</v>
      </c>
      <c r="CG152" s="1013" t="s">
        <v>7724</v>
      </c>
      <c r="CH152" s="1013" t="s">
        <v>7732</v>
      </c>
      <c r="CI152" s="1013">
        <v>4396</v>
      </c>
      <c r="CJ152" s="1013" t="s">
        <v>7724</v>
      </c>
      <c r="CK152" s="1013" t="s">
        <v>7724</v>
      </c>
      <c r="CL152" s="1013" t="s">
        <v>7724</v>
      </c>
      <c r="CM152" s="1013" t="s">
        <v>7724</v>
      </c>
      <c r="CN152" s="1013" t="s">
        <v>7724</v>
      </c>
      <c r="CO152" s="1013" t="s">
        <v>7724</v>
      </c>
      <c r="CP152" s="1013" t="s">
        <v>7724</v>
      </c>
      <c r="CQ152" s="1013" t="s">
        <v>7724</v>
      </c>
      <c r="CR152" s="1013" t="s">
        <v>7724</v>
      </c>
      <c r="CS152" s="1013" t="s">
        <v>7724</v>
      </c>
      <c r="CT152" s="1013" t="s">
        <v>7724</v>
      </c>
      <c r="CU152" s="1013" t="s">
        <v>7724</v>
      </c>
      <c r="CV152" s="1013" t="s">
        <v>7724</v>
      </c>
      <c r="CW152" s="1013" t="s">
        <v>7727</v>
      </c>
      <c r="CX152" s="1013" t="s">
        <v>7723</v>
      </c>
      <c r="CY152" s="1013" t="s">
        <v>7723</v>
      </c>
      <c r="CZ152" s="1013">
        <v>5</v>
      </c>
      <c r="DA152" s="1013">
        <v>9</v>
      </c>
      <c r="DB152" s="1013" t="s">
        <v>7727</v>
      </c>
      <c r="DC152" s="1013" t="s">
        <v>7743</v>
      </c>
      <c r="DD152" s="1013" t="s">
        <v>7724</v>
      </c>
      <c r="DE152" s="1013" t="s">
        <v>7724</v>
      </c>
      <c r="DF152" s="1013" t="s">
        <v>7724</v>
      </c>
      <c r="DG152" s="1013" t="s">
        <v>7724</v>
      </c>
      <c r="DH152" s="1013" t="s">
        <v>7724</v>
      </c>
      <c r="DI152" s="1013" t="s">
        <v>7724</v>
      </c>
      <c r="DJ152" s="1013" t="s">
        <v>7724</v>
      </c>
      <c r="DK152" s="1013" t="s">
        <v>7724</v>
      </c>
      <c r="DL152" s="1013" t="s">
        <v>7724</v>
      </c>
      <c r="DM152" s="1013" t="s">
        <v>7724</v>
      </c>
      <c r="DN152" s="1013" t="s">
        <v>7724</v>
      </c>
      <c r="DO152" s="1013" t="s">
        <v>7724</v>
      </c>
      <c r="DP152" s="1013" t="s">
        <v>7724</v>
      </c>
      <c r="DQ152" s="1013" t="s">
        <v>7724</v>
      </c>
      <c r="DR152" s="1013" t="s">
        <v>7724</v>
      </c>
      <c r="DS152" s="1013" t="s">
        <v>7724</v>
      </c>
      <c r="DT152" s="1013" t="s">
        <v>7724</v>
      </c>
      <c r="DU152" s="1013" t="s">
        <v>7724</v>
      </c>
      <c r="DV152" s="1013" t="s">
        <v>7724</v>
      </c>
      <c r="DW152" s="1013" t="s">
        <v>7724</v>
      </c>
      <c r="DX152" s="1013" t="s">
        <v>7724</v>
      </c>
      <c r="DY152" s="1013" t="s">
        <v>7724</v>
      </c>
      <c r="DZ152" s="1013" t="s">
        <v>7724</v>
      </c>
      <c r="EA152" s="1013" t="s">
        <v>7724</v>
      </c>
      <c r="EB152" s="1013" t="s">
        <v>7724</v>
      </c>
      <c r="EC152" s="1013" t="s">
        <v>7724</v>
      </c>
      <c r="ED152" s="1013" t="s">
        <v>7724</v>
      </c>
      <c r="EE152" s="1013" t="s">
        <v>7724</v>
      </c>
      <c r="EF152" s="1013" t="s">
        <v>7724</v>
      </c>
      <c r="EG152" s="1013" t="s">
        <v>7724</v>
      </c>
      <c r="EH152" s="1013" t="s">
        <v>7724</v>
      </c>
      <c r="EI152" s="1013" t="s">
        <v>7724</v>
      </c>
      <c r="EJ152" s="1013" t="s">
        <v>7724</v>
      </c>
      <c r="EK152" s="1013" t="s">
        <v>7724</v>
      </c>
      <c r="EL152" s="1013" t="s">
        <v>7724</v>
      </c>
      <c r="EM152" s="1013" t="s">
        <v>7724</v>
      </c>
      <c r="EN152" s="1013" t="s">
        <v>7724</v>
      </c>
      <c r="EO152" s="1013" t="s">
        <v>7724</v>
      </c>
      <c r="EP152" s="1013" t="s">
        <v>7724</v>
      </c>
      <c r="EQ152" s="1013" t="s">
        <v>7724</v>
      </c>
      <c r="ER152" s="1013" t="s">
        <v>7724</v>
      </c>
      <c r="ES152" s="1013" t="s">
        <v>7724</v>
      </c>
      <c r="ET152" s="1013" t="s">
        <v>7724</v>
      </c>
      <c r="EU152" s="1013" t="s">
        <v>7724</v>
      </c>
      <c r="EV152" s="1013" t="s">
        <v>7724</v>
      </c>
      <c r="EW152" s="1013" t="s">
        <v>7724</v>
      </c>
      <c r="EX152" s="1013" t="s">
        <v>7724</v>
      </c>
      <c r="EY152" s="1013" t="s">
        <v>7724</v>
      </c>
      <c r="EZ152" s="1013" t="s">
        <v>7724</v>
      </c>
      <c r="FA152" s="1013" t="s">
        <v>7724</v>
      </c>
      <c r="FB152" s="1013" t="s">
        <v>7724</v>
      </c>
      <c r="FC152" s="1013" t="s">
        <v>7724</v>
      </c>
      <c r="FD152" s="1013" t="s">
        <v>7724</v>
      </c>
      <c r="FE152" s="1013" t="s">
        <v>7724</v>
      </c>
      <c r="FF152" s="1013" t="s">
        <v>7724</v>
      </c>
      <c r="FG152" s="1013">
        <v>0</v>
      </c>
      <c r="FH152" s="1013">
        <v>0</v>
      </c>
      <c r="FI152" s="1013">
        <v>0</v>
      </c>
      <c r="FJ152" s="1013">
        <v>2</v>
      </c>
      <c r="FK152" s="1013">
        <v>0</v>
      </c>
      <c r="FL152" s="1013">
        <v>0</v>
      </c>
      <c r="FM152" s="1013">
        <v>0</v>
      </c>
      <c r="FN152" s="1013">
        <v>15</v>
      </c>
      <c r="FO152" s="1013">
        <v>35</v>
      </c>
      <c r="FP152" s="1013">
        <v>17</v>
      </c>
      <c r="FQ152" s="1013" t="s">
        <v>7724</v>
      </c>
      <c r="FR152" s="1013" t="s">
        <v>7724</v>
      </c>
      <c r="FS152" s="1013" t="s">
        <v>7724</v>
      </c>
      <c r="FT152" s="1013" t="s">
        <v>7724</v>
      </c>
      <c r="FU152" s="1013" t="s">
        <v>7724</v>
      </c>
      <c r="FV152" s="1013" t="s">
        <v>7724</v>
      </c>
      <c r="FW152" s="1013" t="s">
        <v>7724</v>
      </c>
      <c r="FX152" s="1013" t="s">
        <v>7724</v>
      </c>
      <c r="FY152" s="1013" t="s">
        <v>7724</v>
      </c>
      <c r="FZ152" s="1013" t="s">
        <v>7724</v>
      </c>
      <c r="GA152" s="1013" t="s">
        <v>7724</v>
      </c>
      <c r="GB152" s="1013" t="s">
        <v>7724</v>
      </c>
      <c r="GC152" s="1013">
        <v>2019</v>
      </c>
      <c r="GD152" s="1013" t="s">
        <v>1404</v>
      </c>
      <c r="GE152" s="1013">
        <v>2</v>
      </c>
      <c r="GF152" s="1013" t="s">
        <v>1407</v>
      </c>
      <c r="GG152" s="1013" t="s">
        <v>1407</v>
      </c>
      <c r="GH152" s="1013" t="s">
        <v>8012</v>
      </c>
      <c r="GI152" s="1013" t="s">
        <v>8068</v>
      </c>
      <c r="GJ152" s="1013" t="s">
        <v>7974</v>
      </c>
      <c r="GK152" s="1013" t="s">
        <v>7974</v>
      </c>
      <c r="GL152" s="1013" t="s">
        <v>7974</v>
      </c>
    </row>
    <row r="153" spans="1:194" hidden="1">
      <c r="A153" s="1013">
        <v>109</v>
      </c>
      <c r="B153" s="1013" t="s">
        <v>7722</v>
      </c>
      <c r="C153" s="1013">
        <v>17239505</v>
      </c>
      <c r="D153" s="1013" t="s">
        <v>7723</v>
      </c>
      <c r="E153" s="1013" t="s">
        <v>7723</v>
      </c>
      <c r="F153" s="1013" t="s">
        <v>7723</v>
      </c>
      <c r="G153" s="1013" t="s">
        <v>7723</v>
      </c>
      <c r="H153" s="1013" t="s">
        <v>7723</v>
      </c>
      <c r="I153" s="1013" t="s">
        <v>7723</v>
      </c>
      <c r="J153" s="1013" t="s">
        <v>7723</v>
      </c>
      <c r="K153" s="1024">
        <v>43696</v>
      </c>
      <c r="L153" s="1023">
        <v>0.4375</v>
      </c>
      <c r="M153" s="1013" t="s">
        <v>7808</v>
      </c>
      <c r="N153" s="1013" t="s">
        <v>7724</v>
      </c>
      <c r="O153" s="1013">
        <v>101</v>
      </c>
      <c r="P153" s="1013">
        <v>208</v>
      </c>
      <c r="Q153" s="1013" t="s">
        <v>7723</v>
      </c>
      <c r="R153" s="1013" t="s">
        <v>7727</v>
      </c>
      <c r="S153" s="1013" t="s">
        <v>7724</v>
      </c>
      <c r="T153" s="1014" t="s">
        <v>7724</v>
      </c>
      <c r="U153" s="1014">
        <v>19</v>
      </c>
      <c r="V153" s="1014" t="s">
        <v>7724</v>
      </c>
      <c r="W153" s="1014" t="s">
        <v>7724</v>
      </c>
      <c r="X153" s="1013">
        <v>1</v>
      </c>
      <c r="Y153" s="1013">
        <v>4400</v>
      </c>
      <c r="Z153" s="1013" t="s">
        <v>7724</v>
      </c>
      <c r="AA153" s="1013" t="s">
        <v>7728</v>
      </c>
      <c r="AB153" s="1013" t="s">
        <v>7724</v>
      </c>
      <c r="AC153" s="1013" t="s">
        <v>7723</v>
      </c>
      <c r="AD153" s="1013" t="s">
        <v>7723</v>
      </c>
      <c r="AE153" s="1013">
        <v>35</v>
      </c>
      <c r="AF153" s="1013" t="s">
        <v>7723</v>
      </c>
      <c r="AG153" s="1013" t="s">
        <v>7723</v>
      </c>
      <c r="AH153" s="1013" t="s">
        <v>7739</v>
      </c>
      <c r="AI153" s="1013" t="s">
        <v>7723</v>
      </c>
      <c r="AJ153" s="1013">
        <v>19</v>
      </c>
      <c r="AK153" s="1013" t="s">
        <v>7724</v>
      </c>
      <c r="AL153" s="1013" t="s">
        <v>7724</v>
      </c>
      <c r="AM153" s="1013">
        <v>1</v>
      </c>
      <c r="AN153" s="1013" t="s">
        <v>7724</v>
      </c>
      <c r="AO153" s="1013" t="s">
        <v>7724</v>
      </c>
      <c r="AP153" s="1013" t="s">
        <v>7725</v>
      </c>
      <c r="AQ153" s="1013" t="s">
        <v>7724</v>
      </c>
      <c r="AR153" s="1013" t="s">
        <v>7724</v>
      </c>
      <c r="AS153" s="1013" t="s">
        <v>7724</v>
      </c>
      <c r="AT153" s="1013" t="s">
        <v>7724</v>
      </c>
      <c r="AU153" s="1013" t="s">
        <v>7724</v>
      </c>
      <c r="AV153" s="1013" t="s">
        <v>7724</v>
      </c>
      <c r="AW153" s="1013" t="s">
        <v>7724</v>
      </c>
      <c r="AX153" s="1013">
        <v>11</v>
      </c>
      <c r="AY153" s="1013">
        <v>1</v>
      </c>
      <c r="AZ153" s="1013">
        <v>0</v>
      </c>
      <c r="BA153" s="1013">
        <v>4</v>
      </c>
      <c r="BB153" s="1013">
        <v>1</v>
      </c>
      <c r="BC153" s="1013">
        <v>1</v>
      </c>
      <c r="BD153" s="1013">
        <v>20</v>
      </c>
      <c r="BE153" s="1023">
        <v>0.44166666666666665</v>
      </c>
      <c r="BF153" s="1013" t="s">
        <v>7729</v>
      </c>
      <c r="BG153" s="1023">
        <v>0.44722222222222224</v>
      </c>
      <c r="BH153" s="1024">
        <v>43696</v>
      </c>
      <c r="BI153" s="1013" t="s">
        <v>7727</v>
      </c>
      <c r="BJ153" s="1013" t="s">
        <v>7730</v>
      </c>
      <c r="BK153" s="1013">
        <v>2469</v>
      </c>
      <c r="BL153" s="1013" t="s">
        <v>7724</v>
      </c>
      <c r="BM153" s="1013" t="s">
        <v>7724</v>
      </c>
      <c r="BN153" s="1013">
        <v>113</v>
      </c>
      <c r="BO153" s="1013">
        <v>8</v>
      </c>
      <c r="BP153" s="1013">
        <v>2</v>
      </c>
      <c r="BQ153" s="1013">
        <v>4</v>
      </c>
      <c r="BR153" s="1013">
        <v>21</v>
      </c>
      <c r="BS153" s="1013">
        <v>64</v>
      </c>
      <c r="BT153" s="1013">
        <v>9</v>
      </c>
      <c r="BU153" s="1013">
        <v>1</v>
      </c>
      <c r="BV153" s="1013">
        <v>5</v>
      </c>
      <c r="BW153" s="1013">
        <v>1</v>
      </c>
      <c r="BX153" s="1013">
        <v>21</v>
      </c>
      <c r="BY153" s="1013">
        <v>21</v>
      </c>
      <c r="BZ153" s="1013">
        <v>101</v>
      </c>
      <c r="CA153" s="1013">
        <v>208</v>
      </c>
      <c r="CB153" s="1013">
        <v>29.732876000000001</v>
      </c>
      <c r="CC153" s="1013">
        <v>-95.381472000000002</v>
      </c>
      <c r="CD153" s="1013" t="s">
        <v>7724</v>
      </c>
      <c r="CE153" s="1013" t="s">
        <v>7724</v>
      </c>
      <c r="CF153" s="1013" t="s">
        <v>7724</v>
      </c>
      <c r="CG153" s="1013" t="s">
        <v>7724</v>
      </c>
      <c r="CH153" s="1013" t="s">
        <v>7732</v>
      </c>
      <c r="CI153" s="1013">
        <v>4431</v>
      </c>
      <c r="CJ153" s="1013" t="s">
        <v>7724</v>
      </c>
      <c r="CK153" s="1013" t="s">
        <v>7724</v>
      </c>
      <c r="CL153" s="1013" t="s">
        <v>7724</v>
      </c>
      <c r="CM153" s="1013" t="s">
        <v>7724</v>
      </c>
      <c r="CN153" s="1013" t="s">
        <v>7724</v>
      </c>
      <c r="CO153" s="1013" t="s">
        <v>7724</v>
      </c>
      <c r="CP153" s="1013" t="s">
        <v>7724</v>
      </c>
      <c r="CQ153" s="1013" t="s">
        <v>7724</v>
      </c>
      <c r="CR153" s="1013" t="s">
        <v>7724</v>
      </c>
      <c r="CS153" s="1013" t="s">
        <v>7724</v>
      </c>
      <c r="CT153" s="1013" t="s">
        <v>7724</v>
      </c>
      <c r="CU153" s="1013" t="s">
        <v>7724</v>
      </c>
      <c r="CV153" s="1013" t="s">
        <v>7724</v>
      </c>
      <c r="CW153" s="1013" t="s">
        <v>7727</v>
      </c>
      <c r="CX153" s="1013" t="s">
        <v>7723</v>
      </c>
      <c r="CY153" s="1013" t="s">
        <v>7723</v>
      </c>
      <c r="CZ153" s="1013">
        <v>5</v>
      </c>
      <c r="DA153" s="1013">
        <v>9</v>
      </c>
      <c r="DB153" s="1013" t="s">
        <v>7727</v>
      </c>
      <c r="DC153" s="1013" t="s">
        <v>7743</v>
      </c>
      <c r="DD153" s="1013" t="s">
        <v>7724</v>
      </c>
      <c r="DE153" s="1013" t="s">
        <v>7724</v>
      </c>
      <c r="DF153" s="1013" t="s">
        <v>7724</v>
      </c>
      <c r="DG153" s="1013" t="s">
        <v>7724</v>
      </c>
      <c r="DH153" s="1013" t="s">
        <v>7724</v>
      </c>
      <c r="DI153" s="1013" t="s">
        <v>7724</v>
      </c>
      <c r="DJ153" s="1013" t="s">
        <v>7724</v>
      </c>
      <c r="DK153" s="1013" t="s">
        <v>7724</v>
      </c>
      <c r="DL153" s="1013" t="s">
        <v>7724</v>
      </c>
      <c r="DM153" s="1013" t="s">
        <v>7724</v>
      </c>
      <c r="DN153" s="1013" t="s">
        <v>7724</v>
      </c>
      <c r="DO153" s="1013" t="s">
        <v>7724</v>
      </c>
      <c r="DP153" s="1013" t="s">
        <v>7724</v>
      </c>
      <c r="DQ153" s="1013" t="s">
        <v>7724</v>
      </c>
      <c r="DR153" s="1013" t="s">
        <v>7724</v>
      </c>
      <c r="DS153" s="1013" t="s">
        <v>7724</v>
      </c>
      <c r="DT153" s="1013" t="s">
        <v>7724</v>
      </c>
      <c r="DU153" s="1013" t="s">
        <v>7724</v>
      </c>
      <c r="DV153" s="1013" t="s">
        <v>7724</v>
      </c>
      <c r="DW153" s="1013" t="s">
        <v>7724</v>
      </c>
      <c r="DX153" s="1013" t="s">
        <v>7724</v>
      </c>
      <c r="DY153" s="1013" t="s">
        <v>7724</v>
      </c>
      <c r="DZ153" s="1013" t="s">
        <v>7724</v>
      </c>
      <c r="EA153" s="1013" t="s">
        <v>7724</v>
      </c>
      <c r="EB153" s="1013" t="s">
        <v>7724</v>
      </c>
      <c r="EC153" s="1013" t="s">
        <v>7724</v>
      </c>
      <c r="ED153" s="1013" t="s">
        <v>7724</v>
      </c>
      <c r="EE153" s="1013" t="s">
        <v>7724</v>
      </c>
      <c r="EF153" s="1013" t="s">
        <v>7724</v>
      </c>
      <c r="EG153" s="1013" t="s">
        <v>7724</v>
      </c>
      <c r="EH153" s="1013" t="s">
        <v>7724</v>
      </c>
      <c r="EI153" s="1013" t="s">
        <v>7724</v>
      </c>
      <c r="EJ153" s="1013" t="s">
        <v>7724</v>
      </c>
      <c r="EK153" s="1013" t="s">
        <v>7724</v>
      </c>
      <c r="EL153" s="1013" t="s">
        <v>7724</v>
      </c>
      <c r="EM153" s="1013" t="s">
        <v>7724</v>
      </c>
      <c r="EN153" s="1013" t="s">
        <v>7724</v>
      </c>
      <c r="EO153" s="1013" t="s">
        <v>7724</v>
      </c>
      <c r="EP153" s="1013" t="s">
        <v>7724</v>
      </c>
      <c r="EQ153" s="1013" t="s">
        <v>7724</v>
      </c>
      <c r="ER153" s="1013" t="s">
        <v>7724</v>
      </c>
      <c r="ES153" s="1013" t="s">
        <v>7724</v>
      </c>
      <c r="ET153" s="1013" t="s">
        <v>7724</v>
      </c>
      <c r="EU153" s="1013" t="s">
        <v>7724</v>
      </c>
      <c r="EV153" s="1013" t="s">
        <v>7724</v>
      </c>
      <c r="EW153" s="1013" t="s">
        <v>7724</v>
      </c>
      <c r="EX153" s="1013" t="s">
        <v>7724</v>
      </c>
      <c r="EY153" s="1013" t="s">
        <v>7724</v>
      </c>
      <c r="EZ153" s="1013" t="s">
        <v>7724</v>
      </c>
      <c r="FA153" s="1013" t="s">
        <v>7724</v>
      </c>
      <c r="FB153" s="1013" t="s">
        <v>7724</v>
      </c>
      <c r="FC153" s="1013" t="s">
        <v>7724</v>
      </c>
      <c r="FD153" s="1013" t="s">
        <v>7724</v>
      </c>
      <c r="FE153" s="1013" t="s">
        <v>7724</v>
      </c>
      <c r="FF153" s="1013" t="s">
        <v>7724</v>
      </c>
      <c r="FG153" s="1013">
        <v>0</v>
      </c>
      <c r="FH153" s="1013">
        <v>0</v>
      </c>
      <c r="FI153" s="1013">
        <v>0</v>
      </c>
      <c r="FJ153" s="1013">
        <v>2</v>
      </c>
      <c r="FK153" s="1013">
        <v>0</v>
      </c>
      <c r="FL153" s="1013">
        <v>0</v>
      </c>
      <c r="FM153" s="1013">
        <v>0</v>
      </c>
      <c r="FN153" s="1013">
        <v>15</v>
      </c>
      <c r="FO153" s="1013">
        <v>29</v>
      </c>
      <c r="FP153" s="1013">
        <v>6</v>
      </c>
      <c r="FQ153" s="1013" t="s">
        <v>7724</v>
      </c>
      <c r="FR153" s="1013" t="s">
        <v>7724</v>
      </c>
      <c r="FS153" s="1013" t="s">
        <v>7724</v>
      </c>
      <c r="FT153" s="1013" t="s">
        <v>7724</v>
      </c>
      <c r="FU153" s="1013" t="s">
        <v>7724</v>
      </c>
      <c r="FV153" s="1013" t="s">
        <v>7724</v>
      </c>
      <c r="FW153" s="1013" t="s">
        <v>7724</v>
      </c>
      <c r="FX153" s="1013" t="s">
        <v>7724</v>
      </c>
      <c r="FY153" s="1013" t="s">
        <v>7724</v>
      </c>
      <c r="FZ153" s="1013" t="s">
        <v>7724</v>
      </c>
      <c r="GA153" s="1013" t="s">
        <v>7724</v>
      </c>
      <c r="GB153" s="1013" t="s">
        <v>7724</v>
      </c>
      <c r="GC153" s="1013">
        <v>2019</v>
      </c>
      <c r="GD153" s="1013" t="s">
        <v>1404</v>
      </c>
      <c r="GE153" s="1013">
        <v>2</v>
      </c>
      <c r="GF153" s="1013" t="s">
        <v>1407</v>
      </c>
      <c r="GG153" s="1013" t="s">
        <v>1407</v>
      </c>
      <c r="GH153" s="1013" t="s">
        <v>7995</v>
      </c>
      <c r="GI153" s="1013" t="s">
        <v>7974</v>
      </c>
      <c r="GJ153" s="1013" t="s">
        <v>7974</v>
      </c>
      <c r="GK153" s="1013" t="s">
        <v>7974</v>
      </c>
      <c r="GL153" s="1013" t="s">
        <v>7974</v>
      </c>
    </row>
    <row r="154" spans="1:194" hidden="1">
      <c r="A154" s="1013">
        <v>110</v>
      </c>
      <c r="B154" s="1013" t="s">
        <v>7722</v>
      </c>
      <c r="C154" s="1013">
        <v>17248422</v>
      </c>
      <c r="D154" s="1013" t="s">
        <v>7723</v>
      </c>
      <c r="E154" s="1013" t="s">
        <v>7727</v>
      </c>
      <c r="F154" s="1013" t="s">
        <v>7723</v>
      </c>
      <c r="G154" s="1013" t="s">
        <v>7723</v>
      </c>
      <c r="H154" s="1013" t="s">
        <v>7723</v>
      </c>
      <c r="I154" s="1013" t="s">
        <v>7723</v>
      </c>
      <c r="J154" s="1013" t="s">
        <v>7723</v>
      </c>
      <c r="K154" s="1024">
        <v>43696</v>
      </c>
      <c r="L154" s="1023">
        <v>0.59166666666666667</v>
      </c>
      <c r="M154" s="1013" t="s">
        <v>8125</v>
      </c>
      <c r="N154" s="1013" t="s">
        <v>7724</v>
      </c>
      <c r="O154" s="1013">
        <v>101</v>
      </c>
      <c r="P154" s="1013">
        <v>208</v>
      </c>
      <c r="Q154" s="1013" t="s">
        <v>7723</v>
      </c>
      <c r="R154" s="1013" t="s">
        <v>7723</v>
      </c>
      <c r="S154" s="1013" t="s">
        <v>7724</v>
      </c>
      <c r="T154" s="1014" t="s">
        <v>7724</v>
      </c>
      <c r="U154" s="1014">
        <v>2</v>
      </c>
      <c r="V154" s="1014">
        <v>59</v>
      </c>
      <c r="W154" s="1014" t="s">
        <v>7724</v>
      </c>
      <c r="X154" s="1013">
        <v>1</v>
      </c>
      <c r="Y154" s="1013">
        <v>700</v>
      </c>
      <c r="Z154" s="1013" t="s">
        <v>7724</v>
      </c>
      <c r="AA154" s="1013" t="s">
        <v>7771</v>
      </c>
      <c r="AB154" s="1013" t="s">
        <v>7760</v>
      </c>
      <c r="AC154" s="1013" t="s">
        <v>7723</v>
      </c>
      <c r="AD154" s="1013" t="s">
        <v>7723</v>
      </c>
      <c r="AE154" s="1013">
        <v>60</v>
      </c>
      <c r="AF154" s="1013" t="s">
        <v>7723</v>
      </c>
      <c r="AG154" s="1013" t="s">
        <v>7723</v>
      </c>
      <c r="AH154" s="1013" t="s">
        <v>8126</v>
      </c>
      <c r="AI154" s="1013" t="s">
        <v>7723</v>
      </c>
      <c r="AJ154" s="1013">
        <v>19</v>
      </c>
      <c r="AK154" s="1013" t="s">
        <v>7724</v>
      </c>
      <c r="AL154" s="1013" t="s">
        <v>7724</v>
      </c>
      <c r="AM154" s="1013">
        <v>1</v>
      </c>
      <c r="AN154" s="1013" t="s">
        <v>7724</v>
      </c>
      <c r="AO154" s="1013" t="s">
        <v>7724</v>
      </c>
      <c r="AP154" s="1013" t="s">
        <v>7840</v>
      </c>
      <c r="AQ154" s="1013" t="s">
        <v>7726</v>
      </c>
      <c r="AR154" s="1013" t="s">
        <v>7724</v>
      </c>
      <c r="AS154" s="1013" t="s">
        <v>7724</v>
      </c>
      <c r="AT154" s="1013" t="s">
        <v>7724</v>
      </c>
      <c r="AU154" s="1013" t="s">
        <v>7724</v>
      </c>
      <c r="AV154" s="1013" t="s">
        <v>7724</v>
      </c>
      <c r="AW154" s="1013" t="s">
        <v>7724</v>
      </c>
      <c r="AX154" s="1013">
        <v>11</v>
      </c>
      <c r="AY154" s="1013">
        <v>1</v>
      </c>
      <c r="AZ154" s="1013">
        <v>0</v>
      </c>
      <c r="BA154" s="1013">
        <v>3</v>
      </c>
      <c r="BB154" s="1013">
        <v>1</v>
      </c>
      <c r="BC154" s="1013">
        <v>1</v>
      </c>
      <c r="BD154" s="1013">
        <v>3</v>
      </c>
      <c r="BE154" s="1023">
        <v>0.59791666666666665</v>
      </c>
      <c r="BF154" s="1013" t="s">
        <v>7736</v>
      </c>
      <c r="BG154" s="1023">
        <v>0.62569444444444444</v>
      </c>
      <c r="BH154" s="1024">
        <v>43696</v>
      </c>
      <c r="BI154" s="1013" t="s">
        <v>7727</v>
      </c>
      <c r="BJ154" s="1013" t="s">
        <v>8031</v>
      </c>
      <c r="BK154" s="1013">
        <v>1419</v>
      </c>
      <c r="BL154" s="1013" t="s">
        <v>7724</v>
      </c>
      <c r="BM154" s="1013" t="s">
        <v>7724</v>
      </c>
      <c r="BN154" s="1013" t="s">
        <v>7724</v>
      </c>
      <c r="BO154" s="1013">
        <v>8</v>
      </c>
      <c r="BP154" s="1013">
        <v>7</v>
      </c>
      <c r="BQ154" s="1013">
        <v>4</v>
      </c>
      <c r="BR154" s="1013">
        <v>1</v>
      </c>
      <c r="BS154" s="1013">
        <v>36</v>
      </c>
      <c r="BT154" s="1013">
        <v>54</v>
      </c>
      <c r="BU154" s="1013">
        <v>1</v>
      </c>
      <c r="BV154" s="1013">
        <v>2</v>
      </c>
      <c r="BW154" s="1013">
        <v>1</v>
      </c>
      <c r="BX154" s="1013">
        <v>21</v>
      </c>
      <c r="BY154" s="1013">
        <v>21</v>
      </c>
      <c r="BZ154" s="1013">
        <v>101</v>
      </c>
      <c r="CA154" s="1013">
        <v>208</v>
      </c>
      <c r="CB154" s="1013">
        <v>29.732498</v>
      </c>
      <c r="CC154" s="1013">
        <v>-95.380412000000007</v>
      </c>
      <c r="CD154" s="1013" t="s">
        <v>7724</v>
      </c>
      <c r="CE154" s="1013" t="s">
        <v>7724</v>
      </c>
      <c r="CF154" s="1013" t="s">
        <v>7724</v>
      </c>
      <c r="CG154" s="1013" t="s">
        <v>7724</v>
      </c>
      <c r="CH154" s="1013" t="s">
        <v>8053</v>
      </c>
      <c r="CI154" s="1013" t="s">
        <v>7724</v>
      </c>
      <c r="CJ154" s="1013" t="s">
        <v>7724</v>
      </c>
      <c r="CK154" s="1013" t="s">
        <v>7724</v>
      </c>
      <c r="CL154" s="1013" t="s">
        <v>7724</v>
      </c>
      <c r="CM154" s="1013" t="s">
        <v>7724</v>
      </c>
      <c r="CN154" s="1013" t="s">
        <v>7724</v>
      </c>
      <c r="CO154" s="1013" t="s">
        <v>7724</v>
      </c>
      <c r="CP154" s="1013" t="s">
        <v>7724</v>
      </c>
      <c r="CQ154" s="1013" t="s">
        <v>7724</v>
      </c>
      <c r="CR154" s="1013" t="s">
        <v>7724</v>
      </c>
      <c r="CS154" s="1013" t="s">
        <v>7724</v>
      </c>
      <c r="CT154" s="1013" t="s">
        <v>7724</v>
      </c>
      <c r="CU154" s="1013" t="s">
        <v>7724</v>
      </c>
      <c r="CV154" s="1013" t="s">
        <v>7724</v>
      </c>
      <c r="CW154" s="1013" t="s">
        <v>7723</v>
      </c>
      <c r="CX154" s="1013" t="s">
        <v>7723</v>
      </c>
      <c r="CY154" s="1013" t="s">
        <v>7723</v>
      </c>
      <c r="CZ154" s="1013">
        <v>5</v>
      </c>
      <c r="DA154" s="1013">
        <v>9</v>
      </c>
      <c r="DB154" s="1013" t="s">
        <v>7727</v>
      </c>
      <c r="DC154" s="1013" t="s">
        <v>7743</v>
      </c>
      <c r="DD154" s="1013" t="s">
        <v>7724</v>
      </c>
      <c r="DE154" s="1013" t="s">
        <v>7724</v>
      </c>
      <c r="DF154" s="1013" t="s">
        <v>7724</v>
      </c>
      <c r="DG154" s="1013" t="s">
        <v>7724</v>
      </c>
      <c r="DH154" s="1013" t="s">
        <v>7724</v>
      </c>
      <c r="DI154" s="1013" t="s">
        <v>7724</v>
      </c>
      <c r="DJ154" s="1013" t="s">
        <v>7724</v>
      </c>
      <c r="DK154" s="1013" t="s">
        <v>7724</v>
      </c>
      <c r="DL154" s="1013" t="s">
        <v>7724</v>
      </c>
      <c r="DM154" s="1013" t="s">
        <v>7724</v>
      </c>
      <c r="DN154" s="1013" t="s">
        <v>7724</v>
      </c>
      <c r="DO154" s="1013" t="s">
        <v>7724</v>
      </c>
      <c r="DP154" s="1013" t="s">
        <v>7724</v>
      </c>
      <c r="DQ154" s="1013" t="s">
        <v>7724</v>
      </c>
      <c r="DR154" s="1013" t="s">
        <v>7724</v>
      </c>
      <c r="DS154" s="1013" t="s">
        <v>7724</v>
      </c>
      <c r="DT154" s="1013" t="s">
        <v>7724</v>
      </c>
      <c r="DU154" s="1013" t="s">
        <v>7724</v>
      </c>
      <c r="DV154" s="1013" t="s">
        <v>7724</v>
      </c>
      <c r="DW154" s="1013" t="s">
        <v>7724</v>
      </c>
      <c r="DX154" s="1013" t="s">
        <v>7724</v>
      </c>
      <c r="DY154" s="1013" t="s">
        <v>7724</v>
      </c>
      <c r="DZ154" s="1013" t="s">
        <v>7724</v>
      </c>
      <c r="EA154" s="1013" t="s">
        <v>7724</v>
      </c>
      <c r="EB154" s="1013" t="s">
        <v>7724</v>
      </c>
      <c r="EC154" s="1013" t="s">
        <v>7724</v>
      </c>
      <c r="ED154" s="1013" t="s">
        <v>7724</v>
      </c>
      <c r="EE154" s="1013" t="s">
        <v>7724</v>
      </c>
      <c r="EF154" s="1013" t="s">
        <v>7724</v>
      </c>
      <c r="EG154" s="1013" t="s">
        <v>7724</v>
      </c>
      <c r="EH154" s="1013" t="s">
        <v>7724</v>
      </c>
      <c r="EI154" s="1013" t="s">
        <v>7724</v>
      </c>
      <c r="EJ154" s="1013" t="s">
        <v>7724</v>
      </c>
      <c r="EK154" s="1013" t="s">
        <v>7724</v>
      </c>
      <c r="EL154" s="1013" t="s">
        <v>7724</v>
      </c>
      <c r="EM154" s="1013" t="s">
        <v>7724</v>
      </c>
      <c r="EN154" s="1013" t="s">
        <v>7724</v>
      </c>
      <c r="EO154" s="1013" t="s">
        <v>7724</v>
      </c>
      <c r="EP154" s="1013" t="s">
        <v>7724</v>
      </c>
      <c r="EQ154" s="1013" t="s">
        <v>7724</v>
      </c>
      <c r="ER154" s="1013" t="s">
        <v>7724</v>
      </c>
      <c r="ES154" s="1013" t="s">
        <v>7724</v>
      </c>
      <c r="ET154" s="1013" t="s">
        <v>7724</v>
      </c>
      <c r="EU154" s="1013" t="s">
        <v>7724</v>
      </c>
      <c r="EV154" s="1013" t="s">
        <v>7724</v>
      </c>
      <c r="EW154" s="1013" t="s">
        <v>7724</v>
      </c>
      <c r="EX154" s="1013" t="s">
        <v>7724</v>
      </c>
      <c r="EY154" s="1013" t="s">
        <v>7724</v>
      </c>
      <c r="EZ154" s="1013" t="s">
        <v>7724</v>
      </c>
      <c r="FA154" s="1013" t="s">
        <v>7724</v>
      </c>
      <c r="FB154" s="1013" t="s">
        <v>7724</v>
      </c>
      <c r="FC154" s="1013" t="s">
        <v>7724</v>
      </c>
      <c r="FD154" s="1013" t="s">
        <v>7724</v>
      </c>
      <c r="FE154" s="1013" t="s">
        <v>7724</v>
      </c>
      <c r="FF154" s="1013" t="s">
        <v>7724</v>
      </c>
      <c r="FG154" s="1013">
        <v>0</v>
      </c>
      <c r="FH154" s="1013">
        <v>0</v>
      </c>
      <c r="FI154" s="1013">
        <v>0</v>
      </c>
      <c r="FJ154" s="1013">
        <v>3</v>
      </c>
      <c r="FK154" s="1013">
        <v>0</v>
      </c>
      <c r="FL154" s="1013">
        <v>0</v>
      </c>
      <c r="FM154" s="1013">
        <v>0</v>
      </c>
      <c r="FN154" s="1013">
        <v>15</v>
      </c>
      <c r="FO154" s="1013">
        <v>1369</v>
      </c>
      <c r="FP154" s="1013" t="s">
        <v>7724</v>
      </c>
      <c r="FQ154" s="1013" t="s">
        <v>7724</v>
      </c>
      <c r="FR154" s="1013" t="s">
        <v>7724</v>
      </c>
      <c r="FS154" s="1013" t="s">
        <v>7724</v>
      </c>
      <c r="FT154" s="1013" t="s">
        <v>7724</v>
      </c>
      <c r="FU154" s="1013" t="s">
        <v>7724</v>
      </c>
      <c r="FV154" s="1013" t="s">
        <v>7724</v>
      </c>
      <c r="FW154" s="1013" t="s">
        <v>7724</v>
      </c>
      <c r="FX154" s="1013" t="s">
        <v>7724</v>
      </c>
      <c r="FY154" s="1013" t="s">
        <v>7724</v>
      </c>
      <c r="FZ154" s="1013" t="s">
        <v>7724</v>
      </c>
      <c r="GA154" s="1013" t="s">
        <v>7724</v>
      </c>
      <c r="GB154" s="1013" t="s">
        <v>7724</v>
      </c>
      <c r="GC154" s="1013">
        <v>2019</v>
      </c>
      <c r="GD154" s="1013" t="s">
        <v>1404</v>
      </c>
      <c r="GE154" s="1013">
        <v>5</v>
      </c>
      <c r="GF154" s="1013" t="s">
        <v>1407</v>
      </c>
      <c r="GG154" s="1013" t="s">
        <v>1407</v>
      </c>
      <c r="GH154" s="1013" t="s">
        <v>8127</v>
      </c>
      <c r="GI154" s="1013" t="s">
        <v>8128</v>
      </c>
      <c r="GJ154" s="1013" t="s">
        <v>8129</v>
      </c>
      <c r="GK154" s="1013" t="s">
        <v>8129</v>
      </c>
      <c r="GL154" s="1013" t="s">
        <v>8129</v>
      </c>
    </row>
    <row r="155" spans="1:194" hidden="1">
      <c r="A155" s="1013">
        <v>112</v>
      </c>
      <c r="B155" s="1013" t="s">
        <v>7722</v>
      </c>
      <c r="C155" s="1013">
        <v>17300114</v>
      </c>
      <c r="D155" s="1013" t="s">
        <v>7723</v>
      </c>
      <c r="E155" s="1013" t="s">
        <v>7723</v>
      </c>
      <c r="F155" s="1013" t="s">
        <v>7723</v>
      </c>
      <c r="G155" s="1013" t="s">
        <v>7723</v>
      </c>
      <c r="H155" s="1013" t="s">
        <v>7723</v>
      </c>
      <c r="I155" s="1013" t="s">
        <v>7723</v>
      </c>
      <c r="J155" s="1013" t="s">
        <v>7723</v>
      </c>
      <c r="K155" s="1024">
        <v>43714</v>
      </c>
      <c r="L155" s="1023">
        <v>0.65069444444444446</v>
      </c>
      <c r="M155" s="1013" t="s">
        <v>8130</v>
      </c>
      <c r="N155" s="1013" t="s">
        <v>7724</v>
      </c>
      <c r="O155" s="1013">
        <v>101</v>
      </c>
      <c r="P155" s="1013">
        <v>208</v>
      </c>
      <c r="Q155" s="1013" t="s">
        <v>7723</v>
      </c>
      <c r="R155" s="1013" t="s">
        <v>7727</v>
      </c>
      <c r="S155" s="1013" t="s">
        <v>7724</v>
      </c>
      <c r="T155" s="1014" t="s">
        <v>7724</v>
      </c>
      <c r="U155" s="1014">
        <v>2</v>
      </c>
      <c r="V155" s="1014">
        <v>59</v>
      </c>
      <c r="W155" s="1014" t="s">
        <v>7724</v>
      </c>
      <c r="X155" s="1013">
        <v>1</v>
      </c>
      <c r="Y155" s="1013">
        <v>600</v>
      </c>
      <c r="Z155" s="1013" t="s">
        <v>7770</v>
      </c>
      <c r="AA155" s="1013" t="s">
        <v>7771</v>
      </c>
      <c r="AB155" s="1013" t="s">
        <v>7760</v>
      </c>
      <c r="AC155" s="1013" t="s">
        <v>7723</v>
      </c>
      <c r="AD155" s="1013" t="s">
        <v>7723</v>
      </c>
      <c r="AE155" s="1013">
        <v>60</v>
      </c>
      <c r="AF155" s="1013" t="s">
        <v>7723</v>
      </c>
      <c r="AG155" s="1013" t="s">
        <v>7723</v>
      </c>
      <c r="AH155" s="1013" t="s">
        <v>8131</v>
      </c>
      <c r="AI155" s="1013" t="s">
        <v>7723</v>
      </c>
      <c r="AJ155" s="1013">
        <v>19</v>
      </c>
      <c r="AK155" s="1013" t="s">
        <v>7724</v>
      </c>
      <c r="AL155" s="1013" t="s">
        <v>7724</v>
      </c>
      <c r="AM155" s="1013">
        <v>1</v>
      </c>
      <c r="AN155" s="1013">
        <v>1300</v>
      </c>
      <c r="AO155" s="1013" t="s">
        <v>7724</v>
      </c>
      <c r="AP155" s="1013" t="s">
        <v>7725</v>
      </c>
      <c r="AQ155" s="1013" t="s">
        <v>7726</v>
      </c>
      <c r="AR155" s="1013" t="s">
        <v>7724</v>
      </c>
      <c r="AS155" s="1013" t="s">
        <v>7724</v>
      </c>
      <c r="AT155" s="1013" t="s">
        <v>7724</v>
      </c>
      <c r="AU155" s="1013" t="s">
        <v>7724</v>
      </c>
      <c r="AV155" s="1013" t="s">
        <v>7724</v>
      </c>
      <c r="AW155" s="1013" t="s">
        <v>7724</v>
      </c>
      <c r="AX155" s="1013">
        <v>11</v>
      </c>
      <c r="AY155" s="1013">
        <v>1</v>
      </c>
      <c r="AZ155" s="1013">
        <v>0</v>
      </c>
      <c r="BA155" s="1013">
        <v>3</v>
      </c>
      <c r="BB155" s="1013">
        <v>1</v>
      </c>
      <c r="BC155" s="1013">
        <v>1</v>
      </c>
      <c r="BD155" s="1013">
        <v>20</v>
      </c>
      <c r="BE155" s="1023">
        <v>0.65208333333333335</v>
      </c>
      <c r="BF155" s="1013" t="s">
        <v>7729</v>
      </c>
      <c r="BG155" s="1023">
        <v>0.66527777777777775</v>
      </c>
      <c r="BH155" s="1024">
        <v>43727</v>
      </c>
      <c r="BI155" s="1013" t="s">
        <v>7727</v>
      </c>
      <c r="BJ155" s="1013" t="s">
        <v>7730</v>
      </c>
      <c r="BK155" s="1013">
        <v>2469</v>
      </c>
      <c r="BL155" s="1013" t="s">
        <v>7724</v>
      </c>
      <c r="BM155" s="1013" t="s">
        <v>7724</v>
      </c>
      <c r="BN155" s="1013">
        <v>113</v>
      </c>
      <c r="BO155" s="1013">
        <v>8</v>
      </c>
      <c r="BP155" s="1013">
        <v>2</v>
      </c>
      <c r="BQ155" s="1013">
        <v>4</v>
      </c>
      <c r="BR155" s="1013">
        <v>21</v>
      </c>
      <c r="BS155" s="1013">
        <v>64</v>
      </c>
      <c r="BT155" s="1013">
        <v>54</v>
      </c>
      <c r="BU155" s="1013">
        <v>1</v>
      </c>
      <c r="BV155" s="1013">
        <v>2</v>
      </c>
      <c r="BW155" s="1013">
        <v>1</v>
      </c>
      <c r="BX155" s="1013">
        <v>21</v>
      </c>
      <c r="BY155" s="1013">
        <v>21</v>
      </c>
      <c r="BZ155" s="1013">
        <v>101</v>
      </c>
      <c r="CA155" s="1013">
        <v>208</v>
      </c>
      <c r="CB155" s="1013">
        <v>29.732530000000001</v>
      </c>
      <c r="CC155" s="1013">
        <v>-95.380399999999995</v>
      </c>
      <c r="CD155" s="1013" t="s">
        <v>8016</v>
      </c>
      <c r="CE155" s="1013">
        <v>69</v>
      </c>
      <c r="CF155" s="1013" t="s">
        <v>7724</v>
      </c>
      <c r="CG155" s="1013">
        <v>33.588999999999999</v>
      </c>
      <c r="CH155" s="1013" t="s">
        <v>8017</v>
      </c>
      <c r="CI155" s="1013" t="s">
        <v>7724</v>
      </c>
      <c r="CJ155" s="1013">
        <v>27</v>
      </c>
      <c r="CK155" s="1013">
        <v>13</v>
      </c>
      <c r="CL155" s="1013">
        <v>13.885999999999999</v>
      </c>
      <c r="CM155" s="1013">
        <v>128</v>
      </c>
      <c r="CN155" s="1013">
        <v>0.33</v>
      </c>
      <c r="CO155" s="1013" t="s">
        <v>7724</v>
      </c>
      <c r="CP155" s="1013" t="s">
        <v>7724</v>
      </c>
      <c r="CQ155" s="1013" t="s">
        <v>7724</v>
      </c>
      <c r="CR155" s="1013" t="s">
        <v>7724</v>
      </c>
      <c r="CS155" s="1013" t="s">
        <v>7724</v>
      </c>
      <c r="CT155" s="1013" t="s">
        <v>7724</v>
      </c>
      <c r="CU155" s="1013" t="s">
        <v>7724</v>
      </c>
      <c r="CV155" s="1013" t="s">
        <v>7724</v>
      </c>
      <c r="CW155" s="1013" t="s">
        <v>7727</v>
      </c>
      <c r="CX155" s="1013" t="s">
        <v>7727</v>
      </c>
      <c r="CY155" s="1013" t="s">
        <v>7723</v>
      </c>
      <c r="CZ155" s="1013">
        <v>3</v>
      </c>
      <c r="DA155" s="1013">
        <v>9</v>
      </c>
      <c r="DB155" s="1013" t="s">
        <v>7727</v>
      </c>
      <c r="DC155" s="1013" t="s">
        <v>7759</v>
      </c>
      <c r="DD155" s="1013">
        <v>5</v>
      </c>
      <c r="DE155" s="1013" t="s">
        <v>7724</v>
      </c>
      <c r="DF155" s="1013">
        <v>20</v>
      </c>
      <c r="DG155" s="1013">
        <v>20</v>
      </c>
      <c r="DH155" s="1013">
        <v>5</v>
      </c>
      <c r="DI155" s="1013" t="s">
        <v>7724</v>
      </c>
      <c r="DJ155" s="1013">
        <v>8</v>
      </c>
      <c r="DK155" s="1013">
        <v>400</v>
      </c>
      <c r="DL155" s="1013">
        <v>138</v>
      </c>
      <c r="DM155" s="1013">
        <v>98</v>
      </c>
      <c r="DN155" s="1013">
        <v>1</v>
      </c>
      <c r="DO155" s="1013">
        <v>0</v>
      </c>
      <c r="DP155" s="1013">
        <v>0</v>
      </c>
      <c r="DQ155" s="1013">
        <v>1</v>
      </c>
      <c r="DR155" s="1013">
        <v>20</v>
      </c>
      <c r="DS155" s="1013">
        <v>5</v>
      </c>
      <c r="DT155" s="1013">
        <v>1</v>
      </c>
      <c r="DU155" s="1013">
        <v>20</v>
      </c>
      <c r="DV155" s="1013">
        <v>5</v>
      </c>
      <c r="DW155" s="1013">
        <v>7</v>
      </c>
      <c r="DX155" s="1013">
        <v>5</v>
      </c>
      <c r="DY155" s="1013">
        <v>4</v>
      </c>
      <c r="DZ155" s="1013">
        <v>1</v>
      </c>
      <c r="EA155" s="1013">
        <v>185410</v>
      </c>
      <c r="EB155" s="1013">
        <v>2019</v>
      </c>
      <c r="EC155" s="1013">
        <v>185410</v>
      </c>
      <c r="ED155" s="1013">
        <v>2.2999999999999998</v>
      </c>
      <c r="EE155" s="1013">
        <v>2.5</v>
      </c>
      <c r="EF155" s="1013">
        <v>4.8</v>
      </c>
      <c r="EG155" s="1013" t="s">
        <v>7724</v>
      </c>
      <c r="EH155" s="1013" t="s">
        <v>7724</v>
      </c>
      <c r="EI155" s="1013" t="s">
        <v>7724</v>
      </c>
      <c r="EJ155" s="1013" t="s">
        <v>7724</v>
      </c>
      <c r="EK155" s="1013" t="s">
        <v>7724</v>
      </c>
      <c r="EL155" s="1013" t="s">
        <v>7724</v>
      </c>
      <c r="EM155" s="1013" t="s">
        <v>7724</v>
      </c>
      <c r="EN155" s="1013" t="s">
        <v>7724</v>
      </c>
      <c r="EO155" s="1013" t="s">
        <v>7724</v>
      </c>
      <c r="EP155" s="1013" t="s">
        <v>7724</v>
      </c>
      <c r="EQ155" s="1013" t="s">
        <v>7724</v>
      </c>
      <c r="ER155" s="1013" t="s">
        <v>7724</v>
      </c>
      <c r="ES155" s="1013" t="s">
        <v>7724</v>
      </c>
      <c r="ET155" s="1013" t="s">
        <v>7724</v>
      </c>
      <c r="EU155" s="1013" t="s">
        <v>7724</v>
      </c>
      <c r="EV155" s="1013" t="s">
        <v>7724</v>
      </c>
      <c r="EW155" s="1013" t="s">
        <v>7724</v>
      </c>
      <c r="EX155" s="1013" t="s">
        <v>7724</v>
      </c>
      <c r="EY155" s="1013" t="s">
        <v>7724</v>
      </c>
      <c r="EZ155" s="1013" t="s">
        <v>7724</v>
      </c>
      <c r="FA155" s="1013" t="s">
        <v>7724</v>
      </c>
      <c r="FB155" s="1013" t="s">
        <v>7724</v>
      </c>
      <c r="FC155" s="1013" t="s">
        <v>7724</v>
      </c>
      <c r="FD155" s="1013" t="s">
        <v>7724</v>
      </c>
      <c r="FE155" s="1013" t="s">
        <v>7724</v>
      </c>
      <c r="FF155" s="1013" t="s">
        <v>7724</v>
      </c>
      <c r="FG155" s="1013">
        <v>0</v>
      </c>
      <c r="FH155" s="1013">
        <v>0</v>
      </c>
      <c r="FI155" s="1013">
        <v>1</v>
      </c>
      <c r="FJ155" s="1013">
        <v>2</v>
      </c>
      <c r="FK155" s="1013">
        <v>0</v>
      </c>
      <c r="FL155" s="1013">
        <v>1</v>
      </c>
      <c r="FM155" s="1013">
        <v>0</v>
      </c>
      <c r="FN155" s="1013">
        <v>15</v>
      </c>
      <c r="FO155" s="1013">
        <v>29</v>
      </c>
      <c r="FP155" s="1013">
        <v>6</v>
      </c>
      <c r="FQ155" s="1013" t="s">
        <v>7724</v>
      </c>
      <c r="FR155" s="1013" t="s">
        <v>7724</v>
      </c>
      <c r="FS155" s="1013" t="s">
        <v>7724</v>
      </c>
      <c r="FT155" s="1013" t="s">
        <v>7724</v>
      </c>
      <c r="FU155" s="1013" t="s">
        <v>7724</v>
      </c>
      <c r="FV155" s="1013" t="s">
        <v>7724</v>
      </c>
      <c r="FW155" s="1013" t="s">
        <v>7724</v>
      </c>
      <c r="FX155" s="1013" t="s">
        <v>7724</v>
      </c>
      <c r="FY155" s="1013" t="s">
        <v>7724</v>
      </c>
      <c r="FZ155" s="1013" t="s">
        <v>7724</v>
      </c>
      <c r="GA155" s="1013" t="s">
        <v>7724</v>
      </c>
      <c r="GB155" s="1013" t="s">
        <v>7724</v>
      </c>
      <c r="GC155" s="1013">
        <v>2019</v>
      </c>
      <c r="GD155" s="1013" t="s">
        <v>1407</v>
      </c>
      <c r="GE155" s="1013">
        <v>3</v>
      </c>
      <c r="GF155" s="1013" t="s">
        <v>1407</v>
      </c>
      <c r="GG155" s="1013" t="s">
        <v>1407</v>
      </c>
      <c r="GH155" s="1013" t="s">
        <v>7979</v>
      </c>
      <c r="GI155" s="1013" t="s">
        <v>7980</v>
      </c>
      <c r="GJ155" s="1013" t="s">
        <v>7980</v>
      </c>
      <c r="GK155" s="1013" t="s">
        <v>7980</v>
      </c>
      <c r="GL155" s="1013" t="s">
        <v>7980</v>
      </c>
    </row>
    <row r="156" spans="1:194" hidden="1">
      <c r="A156" s="1013">
        <v>113</v>
      </c>
      <c r="B156" s="1013" t="s">
        <v>7722</v>
      </c>
      <c r="C156" s="1013">
        <v>17303327</v>
      </c>
      <c r="D156" s="1013" t="s">
        <v>7723</v>
      </c>
      <c r="E156" s="1013" t="s">
        <v>7723</v>
      </c>
      <c r="F156" s="1013" t="s">
        <v>7723</v>
      </c>
      <c r="G156" s="1013" t="s">
        <v>7723</v>
      </c>
      <c r="H156" s="1013" t="s">
        <v>7723</v>
      </c>
      <c r="I156" s="1013" t="s">
        <v>7723</v>
      </c>
      <c r="J156" s="1013" t="s">
        <v>7723</v>
      </c>
      <c r="K156" s="1024">
        <v>43724</v>
      </c>
      <c r="L156" s="1023">
        <v>0.92638888888888893</v>
      </c>
      <c r="M156" s="1013" t="s">
        <v>8132</v>
      </c>
      <c r="N156" s="1013" t="s">
        <v>8022</v>
      </c>
      <c r="O156" s="1013">
        <v>79</v>
      </c>
      <c r="P156" s="1013">
        <v>9999</v>
      </c>
      <c r="Q156" s="1013" t="s">
        <v>7727</v>
      </c>
      <c r="R156" s="1013" t="s">
        <v>7727</v>
      </c>
      <c r="S156" s="1013" t="s">
        <v>7724</v>
      </c>
      <c r="T156" s="1014" t="s">
        <v>7724</v>
      </c>
      <c r="U156" s="1014">
        <v>19</v>
      </c>
      <c r="V156" s="1014" t="s">
        <v>7724</v>
      </c>
      <c r="W156" s="1014" t="s">
        <v>7724</v>
      </c>
      <c r="X156" s="1013">
        <v>1</v>
      </c>
      <c r="Y156" s="1013">
        <v>4100</v>
      </c>
      <c r="Z156" s="1013" t="s">
        <v>7724</v>
      </c>
      <c r="AA156" s="1013" t="s">
        <v>8003</v>
      </c>
      <c r="AB156" s="1013" t="s">
        <v>8004</v>
      </c>
      <c r="AC156" s="1013" t="s">
        <v>7723</v>
      </c>
      <c r="AD156" s="1013" t="s">
        <v>7723</v>
      </c>
      <c r="AE156" s="1013">
        <v>45</v>
      </c>
      <c r="AF156" s="1013" t="s">
        <v>7723</v>
      </c>
      <c r="AG156" s="1013" t="s">
        <v>7723</v>
      </c>
      <c r="AH156" s="1013" t="s">
        <v>7724</v>
      </c>
      <c r="AI156" s="1013" t="s">
        <v>7723</v>
      </c>
      <c r="AJ156" s="1013">
        <v>2</v>
      </c>
      <c r="AK156" s="1013">
        <v>59</v>
      </c>
      <c r="AL156" s="1013" t="s">
        <v>7724</v>
      </c>
      <c r="AM156" s="1013">
        <v>2</v>
      </c>
      <c r="AN156" s="1013" t="s">
        <v>7724</v>
      </c>
      <c r="AO156" s="1013" t="s">
        <v>7724</v>
      </c>
      <c r="AP156" s="1013" t="s">
        <v>950</v>
      </c>
      <c r="AQ156" s="1013" t="s">
        <v>7724</v>
      </c>
      <c r="AR156" s="1013" t="s">
        <v>7724</v>
      </c>
      <c r="AS156" s="1013" t="s">
        <v>7724</v>
      </c>
      <c r="AT156" s="1013" t="s">
        <v>7724</v>
      </c>
      <c r="AU156" s="1013" t="s">
        <v>7724</v>
      </c>
      <c r="AV156" s="1013" t="s">
        <v>7724</v>
      </c>
      <c r="AW156" s="1013" t="s">
        <v>7724</v>
      </c>
      <c r="AX156" s="1013">
        <v>11</v>
      </c>
      <c r="AY156" s="1013">
        <v>4</v>
      </c>
      <c r="AZ156" s="1013">
        <v>0</v>
      </c>
      <c r="BA156" s="1013">
        <v>2</v>
      </c>
      <c r="BB156" s="1013">
        <v>4</v>
      </c>
      <c r="BC156" s="1013">
        <v>1</v>
      </c>
      <c r="BD156" s="1013">
        <v>5</v>
      </c>
      <c r="BE156" s="1023">
        <v>0.92847222222222225</v>
      </c>
      <c r="BF156" s="1013" t="s">
        <v>7729</v>
      </c>
      <c r="BG156" s="1023">
        <v>0.92986111111111114</v>
      </c>
      <c r="BH156" s="1024">
        <v>43725</v>
      </c>
      <c r="BI156" s="1013" t="s">
        <v>7727</v>
      </c>
      <c r="BJ156" s="1013" t="s">
        <v>8005</v>
      </c>
      <c r="BK156" s="1013">
        <v>1312</v>
      </c>
      <c r="BL156" s="1013" t="s">
        <v>7724</v>
      </c>
      <c r="BM156" s="1013" t="s">
        <v>7724</v>
      </c>
      <c r="BN156" s="1013">
        <v>18</v>
      </c>
      <c r="BO156" s="1013">
        <v>8</v>
      </c>
      <c r="BP156" s="1013">
        <v>2</v>
      </c>
      <c r="BQ156" s="1013">
        <v>4</v>
      </c>
      <c r="BR156" s="1013">
        <v>17</v>
      </c>
      <c r="BS156" s="1013">
        <v>64</v>
      </c>
      <c r="BT156" s="1013">
        <v>54</v>
      </c>
      <c r="BU156" s="1013">
        <v>1</v>
      </c>
      <c r="BV156" s="1013">
        <v>5</v>
      </c>
      <c r="BW156" s="1013">
        <v>1</v>
      </c>
      <c r="BX156" s="1013">
        <v>21</v>
      </c>
      <c r="BY156" s="1013">
        <v>21</v>
      </c>
      <c r="BZ156" s="1013">
        <v>101</v>
      </c>
      <c r="CA156" s="1013">
        <v>208</v>
      </c>
      <c r="CB156" s="1013">
        <v>29.732811000000002</v>
      </c>
      <c r="CC156" s="1013">
        <v>-95.380853999999999</v>
      </c>
      <c r="CD156" s="1013" t="s">
        <v>7724</v>
      </c>
      <c r="CE156" s="1013" t="s">
        <v>7724</v>
      </c>
      <c r="CF156" s="1013" t="s">
        <v>7724</v>
      </c>
      <c r="CG156" s="1013" t="s">
        <v>7724</v>
      </c>
      <c r="CH156" s="1013" t="s">
        <v>7731</v>
      </c>
      <c r="CI156" s="1013">
        <v>1253</v>
      </c>
      <c r="CJ156" s="1013" t="s">
        <v>7724</v>
      </c>
      <c r="CK156" s="1013" t="s">
        <v>7724</v>
      </c>
      <c r="CL156" s="1013" t="s">
        <v>7724</v>
      </c>
      <c r="CM156" s="1013" t="s">
        <v>7724</v>
      </c>
      <c r="CN156" s="1013" t="s">
        <v>7724</v>
      </c>
      <c r="CO156" s="1013" t="s">
        <v>7724</v>
      </c>
      <c r="CP156" s="1013" t="s">
        <v>7724</v>
      </c>
      <c r="CQ156" s="1013" t="s">
        <v>7724</v>
      </c>
      <c r="CR156" s="1013" t="s">
        <v>7724</v>
      </c>
      <c r="CS156" s="1013" t="s">
        <v>7724</v>
      </c>
      <c r="CT156" s="1013" t="s">
        <v>7724</v>
      </c>
      <c r="CU156" s="1013" t="s">
        <v>7724</v>
      </c>
      <c r="CV156" s="1013" t="s">
        <v>7724</v>
      </c>
      <c r="CW156" s="1013" t="s">
        <v>7727</v>
      </c>
      <c r="CX156" s="1013" t="s">
        <v>7723</v>
      </c>
      <c r="CY156" s="1013" t="s">
        <v>7723</v>
      </c>
      <c r="CZ156" s="1013">
        <v>2</v>
      </c>
      <c r="DA156" s="1013">
        <v>9</v>
      </c>
      <c r="DB156" s="1013" t="s">
        <v>7727</v>
      </c>
      <c r="DC156" s="1013" t="s">
        <v>7743</v>
      </c>
      <c r="DD156" s="1013" t="s">
        <v>7724</v>
      </c>
      <c r="DE156" s="1013" t="s">
        <v>7724</v>
      </c>
      <c r="DF156" s="1013" t="s">
        <v>7724</v>
      </c>
      <c r="DG156" s="1013" t="s">
        <v>7724</v>
      </c>
      <c r="DH156" s="1013" t="s">
        <v>7724</v>
      </c>
      <c r="DI156" s="1013" t="s">
        <v>7724</v>
      </c>
      <c r="DJ156" s="1013" t="s">
        <v>7724</v>
      </c>
      <c r="DK156" s="1013" t="s">
        <v>7724</v>
      </c>
      <c r="DL156" s="1013" t="s">
        <v>7724</v>
      </c>
      <c r="DM156" s="1013" t="s">
        <v>7724</v>
      </c>
      <c r="DN156" s="1013" t="s">
        <v>7724</v>
      </c>
      <c r="DO156" s="1013" t="s">
        <v>7724</v>
      </c>
      <c r="DP156" s="1013" t="s">
        <v>7724</v>
      </c>
      <c r="DQ156" s="1013" t="s">
        <v>7724</v>
      </c>
      <c r="DR156" s="1013" t="s">
        <v>7724</v>
      </c>
      <c r="DS156" s="1013" t="s">
        <v>7724</v>
      </c>
      <c r="DT156" s="1013" t="s">
        <v>7724</v>
      </c>
      <c r="DU156" s="1013" t="s">
        <v>7724</v>
      </c>
      <c r="DV156" s="1013" t="s">
        <v>7724</v>
      </c>
      <c r="DW156" s="1013" t="s">
        <v>7724</v>
      </c>
      <c r="DX156" s="1013" t="s">
        <v>7724</v>
      </c>
      <c r="DY156" s="1013" t="s">
        <v>7724</v>
      </c>
      <c r="DZ156" s="1013" t="s">
        <v>7724</v>
      </c>
      <c r="EA156" s="1013" t="s">
        <v>7724</v>
      </c>
      <c r="EB156" s="1013" t="s">
        <v>7724</v>
      </c>
      <c r="EC156" s="1013" t="s">
        <v>7724</v>
      </c>
      <c r="ED156" s="1013" t="s">
        <v>7724</v>
      </c>
      <c r="EE156" s="1013" t="s">
        <v>7724</v>
      </c>
      <c r="EF156" s="1013" t="s">
        <v>7724</v>
      </c>
      <c r="EG156" s="1013" t="s">
        <v>7724</v>
      </c>
      <c r="EH156" s="1013" t="s">
        <v>7724</v>
      </c>
      <c r="EI156" s="1013" t="s">
        <v>7724</v>
      </c>
      <c r="EJ156" s="1013" t="s">
        <v>7724</v>
      </c>
      <c r="EK156" s="1013" t="s">
        <v>7724</v>
      </c>
      <c r="EL156" s="1013" t="s">
        <v>7724</v>
      </c>
      <c r="EM156" s="1013" t="s">
        <v>7724</v>
      </c>
      <c r="EN156" s="1013" t="s">
        <v>7724</v>
      </c>
      <c r="EO156" s="1013" t="s">
        <v>7724</v>
      </c>
      <c r="EP156" s="1013" t="s">
        <v>7724</v>
      </c>
      <c r="EQ156" s="1013" t="s">
        <v>7724</v>
      </c>
      <c r="ER156" s="1013" t="s">
        <v>7724</v>
      </c>
      <c r="ES156" s="1013" t="s">
        <v>7724</v>
      </c>
      <c r="ET156" s="1013" t="s">
        <v>7724</v>
      </c>
      <c r="EU156" s="1013" t="s">
        <v>7724</v>
      </c>
      <c r="EV156" s="1013" t="s">
        <v>7724</v>
      </c>
      <c r="EW156" s="1013" t="s">
        <v>7724</v>
      </c>
      <c r="EX156" s="1013" t="s">
        <v>7724</v>
      </c>
      <c r="EY156" s="1013" t="s">
        <v>7724</v>
      </c>
      <c r="EZ156" s="1013" t="s">
        <v>7724</v>
      </c>
      <c r="FA156" s="1013" t="s">
        <v>7724</v>
      </c>
      <c r="FB156" s="1013" t="s">
        <v>7724</v>
      </c>
      <c r="FC156" s="1013" t="s">
        <v>7724</v>
      </c>
      <c r="FD156" s="1013" t="s">
        <v>7724</v>
      </c>
      <c r="FE156" s="1013" t="s">
        <v>7724</v>
      </c>
      <c r="FF156" s="1013" t="s">
        <v>7724</v>
      </c>
      <c r="FG156" s="1013">
        <v>0</v>
      </c>
      <c r="FH156" s="1013">
        <v>2</v>
      </c>
      <c r="FI156" s="1013">
        <v>0</v>
      </c>
      <c r="FJ156" s="1013">
        <v>0</v>
      </c>
      <c r="FK156" s="1013">
        <v>0</v>
      </c>
      <c r="FL156" s="1013">
        <v>2</v>
      </c>
      <c r="FM156" s="1013">
        <v>0</v>
      </c>
      <c r="FN156" s="1013">
        <v>15</v>
      </c>
      <c r="FO156" s="1013">
        <v>44</v>
      </c>
      <c r="FP156" s="1013">
        <v>1</v>
      </c>
      <c r="FQ156" s="1013" t="s">
        <v>7724</v>
      </c>
      <c r="FR156" s="1013" t="s">
        <v>7724</v>
      </c>
      <c r="FS156" s="1013" t="s">
        <v>7724</v>
      </c>
      <c r="FT156" s="1013" t="s">
        <v>7724</v>
      </c>
      <c r="FU156" s="1013" t="s">
        <v>7724</v>
      </c>
      <c r="FV156" s="1013" t="s">
        <v>7724</v>
      </c>
      <c r="FW156" s="1013" t="s">
        <v>7724</v>
      </c>
      <c r="FX156" s="1013" t="s">
        <v>7724</v>
      </c>
      <c r="FY156" s="1013" t="s">
        <v>7724</v>
      </c>
      <c r="FZ156" s="1013" t="s">
        <v>7724</v>
      </c>
      <c r="GA156" s="1013" t="s">
        <v>7724</v>
      </c>
      <c r="GB156" s="1013" t="s">
        <v>7724</v>
      </c>
      <c r="GC156" s="1013">
        <v>2019</v>
      </c>
      <c r="GD156" s="1013" t="s">
        <v>1407</v>
      </c>
      <c r="GE156" s="1013">
        <v>2</v>
      </c>
      <c r="GF156" s="1013" t="s">
        <v>1407</v>
      </c>
      <c r="GG156" s="1013" t="s">
        <v>1407</v>
      </c>
      <c r="GH156" s="1013" t="s">
        <v>8023</v>
      </c>
      <c r="GI156" s="1013" t="s">
        <v>8076</v>
      </c>
      <c r="GJ156" s="1013" t="s">
        <v>8133</v>
      </c>
      <c r="GK156" s="1013" t="s">
        <v>7974</v>
      </c>
      <c r="GL156" s="1013" t="s">
        <v>7974</v>
      </c>
    </row>
    <row r="157" spans="1:194" hidden="1">
      <c r="A157" s="1013">
        <v>114</v>
      </c>
      <c r="B157" s="1013" t="s">
        <v>7722</v>
      </c>
      <c r="C157" s="1013">
        <v>17312140</v>
      </c>
      <c r="D157" s="1013" t="s">
        <v>7723</v>
      </c>
      <c r="E157" s="1013" t="s">
        <v>7723</v>
      </c>
      <c r="F157" s="1013" t="s">
        <v>7723</v>
      </c>
      <c r="G157" s="1013" t="s">
        <v>7723</v>
      </c>
      <c r="H157" s="1013" t="s">
        <v>7723</v>
      </c>
      <c r="I157" s="1013" t="s">
        <v>7723</v>
      </c>
      <c r="J157" s="1013" t="s">
        <v>7723</v>
      </c>
      <c r="K157" s="1024">
        <v>43734</v>
      </c>
      <c r="L157" s="1023">
        <v>0.74930555555555556</v>
      </c>
      <c r="M157" s="1013" t="s">
        <v>8134</v>
      </c>
      <c r="N157" s="1013" t="s">
        <v>7744</v>
      </c>
      <c r="O157" s="1013">
        <v>101</v>
      </c>
      <c r="P157" s="1013">
        <v>208</v>
      </c>
      <c r="Q157" s="1013" t="s">
        <v>7723</v>
      </c>
      <c r="R157" s="1013" t="s">
        <v>7727</v>
      </c>
      <c r="S157" s="1013" t="s">
        <v>7724</v>
      </c>
      <c r="T157" s="1014" t="s">
        <v>7724</v>
      </c>
      <c r="U157" s="1014">
        <v>2</v>
      </c>
      <c r="V157" s="1014">
        <v>59</v>
      </c>
      <c r="W157" s="1014" t="s">
        <v>7724</v>
      </c>
      <c r="X157" s="1013">
        <v>1</v>
      </c>
      <c r="Y157" s="1013">
        <v>600</v>
      </c>
      <c r="Z157" s="1013" t="s">
        <v>7770</v>
      </c>
      <c r="AA157" s="1013" t="s">
        <v>7771</v>
      </c>
      <c r="AB157" s="1013" t="s">
        <v>7760</v>
      </c>
      <c r="AC157" s="1013" t="s">
        <v>7723</v>
      </c>
      <c r="AD157" s="1013" t="s">
        <v>7723</v>
      </c>
      <c r="AE157" s="1013">
        <v>70</v>
      </c>
      <c r="AF157" s="1013" t="s">
        <v>7723</v>
      </c>
      <c r="AG157" s="1013" t="s">
        <v>7723</v>
      </c>
      <c r="AH157" s="1013" t="s">
        <v>7739</v>
      </c>
      <c r="AI157" s="1013" t="s">
        <v>7723</v>
      </c>
      <c r="AJ157" s="1013">
        <v>2</v>
      </c>
      <c r="AK157" s="1013">
        <v>59</v>
      </c>
      <c r="AL157" s="1013" t="s">
        <v>7724</v>
      </c>
      <c r="AM157" s="1013">
        <v>1</v>
      </c>
      <c r="AN157" s="1013" t="s">
        <v>7724</v>
      </c>
      <c r="AO157" s="1013" t="s">
        <v>7724</v>
      </c>
      <c r="AP157" s="1013" t="s">
        <v>8135</v>
      </c>
      <c r="AQ157" s="1013" t="s">
        <v>7726</v>
      </c>
      <c r="AR157" s="1013" t="s">
        <v>7724</v>
      </c>
      <c r="AS157" s="1013" t="s">
        <v>7724</v>
      </c>
      <c r="AT157" s="1013" t="s">
        <v>7724</v>
      </c>
      <c r="AU157" s="1013" t="s">
        <v>7724</v>
      </c>
      <c r="AV157" s="1013" t="s">
        <v>7724</v>
      </c>
      <c r="AW157" s="1013" t="s">
        <v>7724</v>
      </c>
      <c r="AX157" s="1013">
        <v>11</v>
      </c>
      <c r="AY157" s="1013">
        <v>1</v>
      </c>
      <c r="AZ157" s="1013">
        <v>0</v>
      </c>
      <c r="BA157" s="1013">
        <v>4</v>
      </c>
      <c r="BB157" s="1013">
        <v>1</v>
      </c>
      <c r="BC157" s="1013">
        <v>1</v>
      </c>
      <c r="BD157" s="1013">
        <v>1</v>
      </c>
      <c r="BE157" s="1023">
        <v>0.74930555555555556</v>
      </c>
      <c r="BF157" s="1013" t="s">
        <v>7782</v>
      </c>
      <c r="BG157" s="1023">
        <v>0.7631944444444444</v>
      </c>
      <c r="BH157" s="1024">
        <v>43734</v>
      </c>
      <c r="BI157" s="1013" t="s">
        <v>7727</v>
      </c>
      <c r="BJ157" s="1013" t="s">
        <v>7730</v>
      </c>
      <c r="BK157" s="1013">
        <v>2469</v>
      </c>
      <c r="BL157" s="1013" t="s">
        <v>7724</v>
      </c>
      <c r="BM157" s="1013" t="s">
        <v>7724</v>
      </c>
      <c r="BN157" s="1013">
        <v>113</v>
      </c>
      <c r="BO157" s="1013">
        <v>8</v>
      </c>
      <c r="BP157" s="1013">
        <v>2</v>
      </c>
      <c r="BQ157" s="1013">
        <v>4</v>
      </c>
      <c r="BR157" s="1013">
        <v>22</v>
      </c>
      <c r="BS157" s="1013">
        <v>64</v>
      </c>
      <c r="BT157" s="1013">
        <v>36</v>
      </c>
      <c r="BU157" s="1013">
        <v>1</v>
      </c>
      <c r="BV157" s="1013">
        <v>2</v>
      </c>
      <c r="BW157" s="1013">
        <v>1</v>
      </c>
      <c r="BX157" s="1013">
        <v>21</v>
      </c>
      <c r="BY157" s="1013">
        <v>21</v>
      </c>
      <c r="BZ157" s="1013">
        <v>101</v>
      </c>
      <c r="CA157" s="1013">
        <v>208</v>
      </c>
      <c r="CB157" s="1013">
        <v>29.732527999999999</v>
      </c>
      <c r="CC157" s="1013">
        <v>-95.380414000000002</v>
      </c>
      <c r="CD157" s="1013" t="s">
        <v>8016</v>
      </c>
      <c r="CE157" s="1013">
        <v>69</v>
      </c>
      <c r="CF157" s="1013" t="s">
        <v>7724</v>
      </c>
      <c r="CG157" s="1013">
        <v>33.588000000000001</v>
      </c>
      <c r="CH157" s="1013" t="s">
        <v>8017</v>
      </c>
      <c r="CI157" s="1013" t="s">
        <v>7724</v>
      </c>
      <c r="CJ157" s="1013">
        <v>27</v>
      </c>
      <c r="CK157" s="1013">
        <v>13</v>
      </c>
      <c r="CL157" s="1013">
        <v>13.885999999999999</v>
      </c>
      <c r="CM157" s="1013">
        <v>128</v>
      </c>
      <c r="CN157" s="1013">
        <v>0.32900000000000001</v>
      </c>
      <c r="CO157" s="1013" t="s">
        <v>7724</v>
      </c>
      <c r="CP157" s="1013" t="s">
        <v>7724</v>
      </c>
      <c r="CQ157" s="1013" t="s">
        <v>7724</v>
      </c>
      <c r="CR157" s="1013" t="s">
        <v>7724</v>
      </c>
      <c r="CS157" s="1013" t="s">
        <v>7724</v>
      </c>
      <c r="CT157" s="1013" t="s">
        <v>7724</v>
      </c>
      <c r="CU157" s="1013" t="s">
        <v>7724</v>
      </c>
      <c r="CV157" s="1013" t="s">
        <v>7724</v>
      </c>
      <c r="CW157" s="1013" t="s">
        <v>7727</v>
      </c>
      <c r="CX157" s="1013" t="s">
        <v>7727</v>
      </c>
      <c r="CY157" s="1013" t="s">
        <v>7723</v>
      </c>
      <c r="CZ157" s="1013">
        <v>5</v>
      </c>
      <c r="DA157" s="1013">
        <v>9</v>
      </c>
      <c r="DB157" s="1013" t="s">
        <v>7727</v>
      </c>
      <c r="DC157" s="1013" t="s">
        <v>7740</v>
      </c>
      <c r="DD157" s="1013">
        <v>5</v>
      </c>
      <c r="DE157" s="1013" t="s">
        <v>7724</v>
      </c>
      <c r="DF157" s="1013">
        <v>20</v>
      </c>
      <c r="DG157" s="1013">
        <v>20</v>
      </c>
      <c r="DH157" s="1013">
        <v>5</v>
      </c>
      <c r="DI157" s="1013" t="s">
        <v>7724</v>
      </c>
      <c r="DJ157" s="1013">
        <v>8</v>
      </c>
      <c r="DK157" s="1013">
        <v>400</v>
      </c>
      <c r="DL157" s="1013">
        <v>138</v>
      </c>
      <c r="DM157" s="1013">
        <v>98</v>
      </c>
      <c r="DN157" s="1013">
        <v>1</v>
      </c>
      <c r="DO157" s="1013">
        <v>0</v>
      </c>
      <c r="DP157" s="1013">
        <v>0</v>
      </c>
      <c r="DQ157" s="1013">
        <v>1</v>
      </c>
      <c r="DR157" s="1013">
        <v>20</v>
      </c>
      <c r="DS157" s="1013">
        <v>5</v>
      </c>
      <c r="DT157" s="1013">
        <v>1</v>
      </c>
      <c r="DU157" s="1013">
        <v>20</v>
      </c>
      <c r="DV157" s="1013">
        <v>5</v>
      </c>
      <c r="DW157" s="1013">
        <v>7</v>
      </c>
      <c r="DX157" s="1013">
        <v>5</v>
      </c>
      <c r="DY157" s="1013">
        <v>4</v>
      </c>
      <c r="DZ157" s="1013">
        <v>1</v>
      </c>
      <c r="EA157" s="1013">
        <v>185410</v>
      </c>
      <c r="EB157" s="1013">
        <v>2019</v>
      </c>
      <c r="EC157" s="1013">
        <v>185410</v>
      </c>
      <c r="ED157" s="1013">
        <v>2.2999999999999998</v>
      </c>
      <c r="EE157" s="1013">
        <v>2.5</v>
      </c>
      <c r="EF157" s="1013">
        <v>4.8</v>
      </c>
      <c r="EG157" s="1013" t="s">
        <v>7724</v>
      </c>
      <c r="EH157" s="1013" t="s">
        <v>7724</v>
      </c>
      <c r="EI157" s="1013" t="s">
        <v>7724</v>
      </c>
      <c r="EJ157" s="1013" t="s">
        <v>7724</v>
      </c>
      <c r="EK157" s="1013" t="s">
        <v>7724</v>
      </c>
      <c r="EL157" s="1013" t="s">
        <v>7724</v>
      </c>
      <c r="EM157" s="1013" t="s">
        <v>7724</v>
      </c>
      <c r="EN157" s="1013" t="s">
        <v>7724</v>
      </c>
      <c r="EO157" s="1013" t="s">
        <v>7724</v>
      </c>
      <c r="EP157" s="1013" t="s">
        <v>7724</v>
      </c>
      <c r="EQ157" s="1013" t="s">
        <v>7724</v>
      </c>
      <c r="ER157" s="1013" t="s">
        <v>7724</v>
      </c>
      <c r="ES157" s="1013" t="s">
        <v>7724</v>
      </c>
      <c r="ET157" s="1013" t="s">
        <v>7724</v>
      </c>
      <c r="EU157" s="1013" t="s">
        <v>7724</v>
      </c>
      <c r="EV157" s="1013" t="s">
        <v>7724</v>
      </c>
      <c r="EW157" s="1013" t="s">
        <v>7724</v>
      </c>
      <c r="EX157" s="1013" t="s">
        <v>7724</v>
      </c>
      <c r="EY157" s="1013" t="s">
        <v>7724</v>
      </c>
      <c r="EZ157" s="1013" t="s">
        <v>7724</v>
      </c>
      <c r="FA157" s="1013" t="s">
        <v>7724</v>
      </c>
      <c r="FB157" s="1013" t="s">
        <v>7724</v>
      </c>
      <c r="FC157" s="1013" t="s">
        <v>7724</v>
      </c>
      <c r="FD157" s="1013" t="s">
        <v>7724</v>
      </c>
      <c r="FE157" s="1013" t="s">
        <v>7724</v>
      </c>
      <c r="FF157" s="1013" t="s">
        <v>7724</v>
      </c>
      <c r="FG157" s="1013">
        <v>0</v>
      </c>
      <c r="FH157" s="1013">
        <v>0</v>
      </c>
      <c r="FI157" s="1013">
        <v>0</v>
      </c>
      <c r="FJ157" s="1013">
        <v>1</v>
      </c>
      <c r="FK157" s="1013">
        <v>1</v>
      </c>
      <c r="FL157" s="1013">
        <v>0</v>
      </c>
      <c r="FM157" s="1013">
        <v>0</v>
      </c>
      <c r="FN157" s="1013">
        <v>15</v>
      </c>
      <c r="FO157" s="1013">
        <v>29</v>
      </c>
      <c r="FP157" s="1013">
        <v>6</v>
      </c>
      <c r="FQ157" s="1013" t="s">
        <v>7724</v>
      </c>
      <c r="FR157" s="1013" t="s">
        <v>7724</v>
      </c>
      <c r="FS157" s="1013" t="s">
        <v>7724</v>
      </c>
      <c r="FT157" s="1013" t="s">
        <v>7724</v>
      </c>
      <c r="FU157" s="1013" t="s">
        <v>7724</v>
      </c>
      <c r="FV157" s="1013" t="s">
        <v>7724</v>
      </c>
      <c r="FW157" s="1013" t="s">
        <v>7724</v>
      </c>
      <c r="FX157" s="1013" t="s">
        <v>7724</v>
      </c>
      <c r="FY157" s="1013" t="s">
        <v>7724</v>
      </c>
      <c r="FZ157" s="1013" t="s">
        <v>7724</v>
      </c>
      <c r="GA157" s="1013" t="s">
        <v>7724</v>
      </c>
      <c r="GB157" s="1013" t="s">
        <v>7724</v>
      </c>
      <c r="GC157" s="1013">
        <v>2019</v>
      </c>
      <c r="GD157" s="1013" t="s">
        <v>1407</v>
      </c>
      <c r="GE157" s="1013">
        <v>2</v>
      </c>
      <c r="GF157" s="1013" t="s">
        <v>1407</v>
      </c>
      <c r="GG157" s="1013" t="s">
        <v>1407</v>
      </c>
      <c r="GH157" s="1013" t="s">
        <v>8023</v>
      </c>
      <c r="GI157" s="1013" t="s">
        <v>7974</v>
      </c>
      <c r="GJ157" s="1013" t="s">
        <v>7974</v>
      </c>
      <c r="GK157" s="1013" t="s">
        <v>8136</v>
      </c>
      <c r="GL157" s="1013" t="s">
        <v>8068</v>
      </c>
    </row>
    <row r="158" spans="1:194" hidden="1">
      <c r="A158" s="1013">
        <v>117</v>
      </c>
      <c r="B158" s="1013" t="s">
        <v>7722</v>
      </c>
      <c r="C158" s="1013">
        <v>17388161</v>
      </c>
      <c r="D158" s="1013" t="s">
        <v>7723</v>
      </c>
      <c r="E158" s="1013" t="s">
        <v>7723</v>
      </c>
      <c r="F158" s="1013" t="s">
        <v>7723</v>
      </c>
      <c r="G158" s="1013" t="s">
        <v>7723</v>
      </c>
      <c r="H158" s="1013" t="s">
        <v>7723</v>
      </c>
      <c r="I158" s="1013" t="s">
        <v>7723</v>
      </c>
      <c r="J158" s="1013" t="s">
        <v>7723</v>
      </c>
      <c r="K158" s="1024">
        <v>43763</v>
      </c>
      <c r="L158" s="1023">
        <v>0.21111111111111111</v>
      </c>
      <c r="M158" s="1013" t="s">
        <v>7813</v>
      </c>
      <c r="N158" s="1013" t="s">
        <v>7724</v>
      </c>
      <c r="O158" s="1013">
        <v>101</v>
      </c>
      <c r="P158" s="1013">
        <v>208</v>
      </c>
      <c r="Q158" s="1013" t="s">
        <v>7723</v>
      </c>
      <c r="R158" s="1013" t="s">
        <v>7727</v>
      </c>
      <c r="S158" s="1013" t="s">
        <v>7724</v>
      </c>
      <c r="T158" s="1014" t="s">
        <v>7724</v>
      </c>
      <c r="U158" s="1014">
        <v>19</v>
      </c>
      <c r="V158" s="1014" t="s">
        <v>7724</v>
      </c>
      <c r="W158" s="1014" t="s">
        <v>7724</v>
      </c>
      <c r="X158" s="1013">
        <v>3</v>
      </c>
      <c r="Y158" s="1013">
        <v>4500</v>
      </c>
      <c r="Z158" s="1013" t="s">
        <v>7724</v>
      </c>
      <c r="AA158" s="1013" t="s">
        <v>7728</v>
      </c>
      <c r="AB158" s="1013" t="s">
        <v>7726</v>
      </c>
      <c r="AC158" s="1013" t="s">
        <v>7723</v>
      </c>
      <c r="AD158" s="1013" t="s">
        <v>7723</v>
      </c>
      <c r="AE158" s="1013">
        <v>35</v>
      </c>
      <c r="AF158" s="1013" t="s">
        <v>7723</v>
      </c>
      <c r="AG158" s="1013" t="s">
        <v>7723</v>
      </c>
      <c r="AH158" s="1013" t="s">
        <v>7739</v>
      </c>
      <c r="AI158" s="1013" t="s">
        <v>7723</v>
      </c>
      <c r="AJ158" s="1013">
        <v>2</v>
      </c>
      <c r="AK158" s="1013">
        <v>59</v>
      </c>
      <c r="AL158" s="1013" t="s">
        <v>7724</v>
      </c>
      <c r="AM158" s="1013">
        <v>1</v>
      </c>
      <c r="AN158" s="1013">
        <v>2600</v>
      </c>
      <c r="AO158" s="1013" t="s">
        <v>7724</v>
      </c>
      <c r="AP158" s="1013" t="s">
        <v>7771</v>
      </c>
      <c r="AQ158" s="1013" t="s">
        <v>7760</v>
      </c>
      <c r="AR158" s="1013" t="s">
        <v>7724</v>
      </c>
      <c r="AS158" s="1013" t="s">
        <v>7724</v>
      </c>
      <c r="AT158" s="1013" t="s">
        <v>7724</v>
      </c>
      <c r="AU158" s="1013" t="s">
        <v>7724</v>
      </c>
      <c r="AV158" s="1013" t="s">
        <v>7724</v>
      </c>
      <c r="AW158" s="1013" t="s">
        <v>7724</v>
      </c>
      <c r="AX158" s="1013">
        <v>2</v>
      </c>
      <c r="AY158" s="1013">
        <v>4</v>
      </c>
      <c r="AZ158" s="1013">
        <v>0</v>
      </c>
      <c r="BA158" s="1013">
        <v>4</v>
      </c>
      <c r="BB158" s="1013">
        <v>5</v>
      </c>
      <c r="BC158" s="1013">
        <v>3</v>
      </c>
      <c r="BD158" s="1013">
        <v>20</v>
      </c>
      <c r="BE158" s="1023">
        <v>0.27430555555555558</v>
      </c>
      <c r="BF158" s="1013" t="s">
        <v>7729</v>
      </c>
      <c r="BG158" s="1023">
        <v>0.2986111111111111</v>
      </c>
      <c r="BH158" s="1024">
        <v>43763</v>
      </c>
      <c r="BI158" s="1013" t="s">
        <v>7727</v>
      </c>
      <c r="BJ158" s="1013" t="s">
        <v>7730</v>
      </c>
      <c r="BK158" s="1013">
        <v>2469</v>
      </c>
      <c r="BL158" s="1013" t="s">
        <v>7724</v>
      </c>
      <c r="BM158" s="1013" t="s">
        <v>7724</v>
      </c>
      <c r="BN158" s="1013">
        <v>113</v>
      </c>
      <c r="BO158" s="1013">
        <v>8</v>
      </c>
      <c r="BP158" s="1013">
        <v>7</v>
      </c>
      <c r="BQ158" s="1013">
        <v>4</v>
      </c>
      <c r="BR158" s="1013">
        <v>1</v>
      </c>
      <c r="BS158" s="1013">
        <v>56</v>
      </c>
      <c r="BT158" s="1013">
        <v>1</v>
      </c>
      <c r="BU158" s="1013">
        <v>3</v>
      </c>
      <c r="BV158" s="1013">
        <v>5</v>
      </c>
      <c r="BW158" s="1013">
        <v>2</v>
      </c>
      <c r="BX158" s="1013">
        <v>21</v>
      </c>
      <c r="BY158" s="1013">
        <v>21</v>
      </c>
      <c r="BZ158" s="1013">
        <v>101</v>
      </c>
      <c r="CA158" s="1013">
        <v>208</v>
      </c>
      <c r="CB158" s="1013">
        <v>29.732278000000001</v>
      </c>
      <c r="CC158" s="1013">
        <v>-95.381932000000006</v>
      </c>
      <c r="CD158" s="1013" t="s">
        <v>7724</v>
      </c>
      <c r="CE158" s="1013" t="s">
        <v>7724</v>
      </c>
      <c r="CF158" s="1013" t="s">
        <v>7724</v>
      </c>
      <c r="CG158" s="1013" t="s">
        <v>7724</v>
      </c>
      <c r="CH158" s="1013" t="s">
        <v>7732</v>
      </c>
      <c r="CI158" s="1013" t="s">
        <v>7724</v>
      </c>
      <c r="CJ158" s="1013" t="s">
        <v>7724</v>
      </c>
      <c r="CK158" s="1013" t="s">
        <v>7724</v>
      </c>
      <c r="CL158" s="1013" t="s">
        <v>7724</v>
      </c>
      <c r="CM158" s="1013" t="s">
        <v>7724</v>
      </c>
      <c r="CN158" s="1013" t="s">
        <v>7724</v>
      </c>
      <c r="CO158" s="1013" t="s">
        <v>7724</v>
      </c>
      <c r="CP158" s="1013" t="s">
        <v>7724</v>
      </c>
      <c r="CQ158" s="1013" t="s">
        <v>7724</v>
      </c>
      <c r="CR158" s="1013" t="s">
        <v>7724</v>
      </c>
      <c r="CS158" s="1013" t="s">
        <v>7724</v>
      </c>
      <c r="CT158" s="1013" t="s">
        <v>7724</v>
      </c>
      <c r="CU158" s="1013" t="s">
        <v>7724</v>
      </c>
      <c r="CV158" s="1013" t="s">
        <v>7724</v>
      </c>
      <c r="CW158" s="1013" t="s">
        <v>7727</v>
      </c>
      <c r="CX158" s="1013" t="s">
        <v>7723</v>
      </c>
      <c r="CY158" s="1013" t="s">
        <v>7723</v>
      </c>
      <c r="CZ158" s="1013">
        <v>5</v>
      </c>
      <c r="DA158" s="1013">
        <v>9</v>
      </c>
      <c r="DB158" s="1013" t="s">
        <v>7727</v>
      </c>
      <c r="DC158" s="1013" t="s">
        <v>7759</v>
      </c>
      <c r="DD158" s="1013" t="s">
        <v>7724</v>
      </c>
      <c r="DE158" s="1013" t="s">
        <v>7724</v>
      </c>
      <c r="DF158" s="1013" t="s">
        <v>7724</v>
      </c>
      <c r="DG158" s="1013" t="s">
        <v>7724</v>
      </c>
      <c r="DH158" s="1013" t="s">
        <v>7724</v>
      </c>
      <c r="DI158" s="1013" t="s">
        <v>7724</v>
      </c>
      <c r="DJ158" s="1013" t="s">
        <v>7724</v>
      </c>
      <c r="DK158" s="1013" t="s">
        <v>7724</v>
      </c>
      <c r="DL158" s="1013" t="s">
        <v>7724</v>
      </c>
      <c r="DM158" s="1013" t="s">
        <v>7724</v>
      </c>
      <c r="DN158" s="1013" t="s">
        <v>7724</v>
      </c>
      <c r="DO158" s="1013" t="s">
        <v>7724</v>
      </c>
      <c r="DP158" s="1013" t="s">
        <v>7724</v>
      </c>
      <c r="DQ158" s="1013" t="s">
        <v>7724</v>
      </c>
      <c r="DR158" s="1013" t="s">
        <v>7724</v>
      </c>
      <c r="DS158" s="1013" t="s">
        <v>7724</v>
      </c>
      <c r="DT158" s="1013" t="s">
        <v>7724</v>
      </c>
      <c r="DU158" s="1013" t="s">
        <v>7724</v>
      </c>
      <c r="DV158" s="1013" t="s">
        <v>7724</v>
      </c>
      <c r="DW158" s="1013" t="s">
        <v>7724</v>
      </c>
      <c r="DX158" s="1013" t="s">
        <v>7724</v>
      </c>
      <c r="DY158" s="1013" t="s">
        <v>7724</v>
      </c>
      <c r="DZ158" s="1013" t="s">
        <v>7724</v>
      </c>
      <c r="EA158" s="1013" t="s">
        <v>7724</v>
      </c>
      <c r="EB158" s="1013" t="s">
        <v>7724</v>
      </c>
      <c r="EC158" s="1013" t="s">
        <v>7724</v>
      </c>
      <c r="ED158" s="1013" t="s">
        <v>7724</v>
      </c>
      <c r="EE158" s="1013" t="s">
        <v>7724</v>
      </c>
      <c r="EF158" s="1013" t="s">
        <v>7724</v>
      </c>
      <c r="EG158" s="1013" t="s">
        <v>7724</v>
      </c>
      <c r="EH158" s="1013" t="s">
        <v>7724</v>
      </c>
      <c r="EI158" s="1013" t="s">
        <v>7724</v>
      </c>
      <c r="EJ158" s="1013" t="s">
        <v>7724</v>
      </c>
      <c r="EK158" s="1013" t="s">
        <v>7724</v>
      </c>
      <c r="EL158" s="1013" t="s">
        <v>7724</v>
      </c>
      <c r="EM158" s="1013" t="s">
        <v>7724</v>
      </c>
      <c r="EN158" s="1013" t="s">
        <v>7724</v>
      </c>
      <c r="EO158" s="1013" t="s">
        <v>7724</v>
      </c>
      <c r="EP158" s="1013" t="s">
        <v>7724</v>
      </c>
      <c r="EQ158" s="1013" t="s">
        <v>7724</v>
      </c>
      <c r="ER158" s="1013" t="s">
        <v>7724</v>
      </c>
      <c r="ES158" s="1013" t="s">
        <v>7724</v>
      </c>
      <c r="ET158" s="1013" t="s">
        <v>7724</v>
      </c>
      <c r="EU158" s="1013" t="s">
        <v>7724</v>
      </c>
      <c r="EV158" s="1013" t="s">
        <v>7724</v>
      </c>
      <c r="EW158" s="1013" t="s">
        <v>7724</v>
      </c>
      <c r="EX158" s="1013" t="s">
        <v>7724</v>
      </c>
      <c r="EY158" s="1013" t="s">
        <v>7724</v>
      </c>
      <c r="EZ158" s="1013" t="s">
        <v>7724</v>
      </c>
      <c r="FA158" s="1013" t="s">
        <v>7724</v>
      </c>
      <c r="FB158" s="1013" t="s">
        <v>7724</v>
      </c>
      <c r="FC158" s="1013" t="s">
        <v>7724</v>
      </c>
      <c r="FD158" s="1013" t="s">
        <v>7724</v>
      </c>
      <c r="FE158" s="1013" t="s">
        <v>7724</v>
      </c>
      <c r="FF158" s="1013" t="s">
        <v>7724</v>
      </c>
      <c r="FG158" s="1013">
        <v>0</v>
      </c>
      <c r="FH158" s="1013">
        <v>0</v>
      </c>
      <c r="FI158" s="1013">
        <v>0</v>
      </c>
      <c r="FJ158" s="1013">
        <v>1</v>
      </c>
      <c r="FK158" s="1013">
        <v>0</v>
      </c>
      <c r="FL158" s="1013">
        <v>0</v>
      </c>
      <c r="FM158" s="1013">
        <v>0</v>
      </c>
      <c r="FN158" s="1013">
        <v>15</v>
      </c>
      <c r="FO158" s="1013">
        <v>29</v>
      </c>
      <c r="FP158" s="1013">
        <v>9</v>
      </c>
      <c r="FQ158" s="1013" t="s">
        <v>7724</v>
      </c>
      <c r="FR158" s="1013" t="s">
        <v>7724</v>
      </c>
      <c r="FS158" s="1013" t="s">
        <v>7724</v>
      </c>
      <c r="FT158" s="1013" t="s">
        <v>7724</v>
      </c>
      <c r="FU158" s="1013" t="s">
        <v>7724</v>
      </c>
      <c r="FV158" s="1013" t="s">
        <v>7724</v>
      </c>
      <c r="FW158" s="1013" t="s">
        <v>7724</v>
      </c>
      <c r="FX158" s="1013" t="s">
        <v>7724</v>
      </c>
      <c r="FY158" s="1013" t="s">
        <v>7724</v>
      </c>
      <c r="FZ158" s="1013" t="s">
        <v>7724</v>
      </c>
      <c r="GA158" s="1013" t="s">
        <v>7724</v>
      </c>
      <c r="GB158" s="1013" t="s">
        <v>7724</v>
      </c>
      <c r="GC158" s="1013">
        <v>2019</v>
      </c>
      <c r="GD158" s="1013" t="s">
        <v>1404</v>
      </c>
      <c r="GE158" s="1013">
        <v>1</v>
      </c>
      <c r="GF158" s="1013" t="s">
        <v>1407</v>
      </c>
      <c r="GG158" s="1013" t="s">
        <v>1407</v>
      </c>
      <c r="GH158" s="1013">
        <v>23</v>
      </c>
      <c r="GI158" s="1013" t="s">
        <v>8006</v>
      </c>
      <c r="GJ158" s="1013" t="s">
        <v>8006</v>
      </c>
      <c r="GK158" s="1013" t="s">
        <v>8006</v>
      </c>
      <c r="GL158" s="1013" t="s">
        <v>8006</v>
      </c>
    </row>
    <row r="159" spans="1:194" hidden="1">
      <c r="A159" s="1013">
        <v>121</v>
      </c>
      <c r="B159" s="1013" t="s">
        <v>7722</v>
      </c>
      <c r="C159" s="1013">
        <v>17463701</v>
      </c>
      <c r="D159" s="1013" t="s">
        <v>7723</v>
      </c>
      <c r="E159" s="1013" t="s">
        <v>7723</v>
      </c>
      <c r="F159" s="1013" t="s">
        <v>7723</v>
      </c>
      <c r="G159" s="1013" t="s">
        <v>7723</v>
      </c>
      <c r="H159" s="1013" t="s">
        <v>7723</v>
      </c>
      <c r="I159" s="1013" t="s">
        <v>7723</v>
      </c>
      <c r="J159" s="1013" t="s">
        <v>7723</v>
      </c>
      <c r="K159" s="1024">
        <v>43811</v>
      </c>
      <c r="L159" s="1023">
        <v>0.375</v>
      </c>
      <c r="M159" s="1013" t="s">
        <v>8137</v>
      </c>
      <c r="N159" s="1013" t="s">
        <v>7744</v>
      </c>
      <c r="O159" s="1013">
        <v>101</v>
      </c>
      <c r="P159" s="1013">
        <v>208</v>
      </c>
      <c r="Q159" s="1013" t="s">
        <v>7723</v>
      </c>
      <c r="R159" s="1013" t="s">
        <v>7727</v>
      </c>
      <c r="S159" s="1013" t="s">
        <v>7724</v>
      </c>
      <c r="T159" s="1014" t="s">
        <v>7724</v>
      </c>
      <c r="U159" s="1014">
        <v>2</v>
      </c>
      <c r="V159" s="1014">
        <v>59</v>
      </c>
      <c r="W159" s="1014" t="s">
        <v>7724</v>
      </c>
      <c r="X159" s="1013">
        <v>1</v>
      </c>
      <c r="Y159" s="1013">
        <v>1200</v>
      </c>
      <c r="Z159" s="1013" t="s">
        <v>7770</v>
      </c>
      <c r="AA159" s="1013" t="s">
        <v>7771</v>
      </c>
      <c r="AB159" s="1013" t="s">
        <v>7760</v>
      </c>
      <c r="AC159" s="1013" t="s">
        <v>7723</v>
      </c>
      <c r="AD159" s="1013" t="s">
        <v>7723</v>
      </c>
      <c r="AE159" s="1013">
        <v>60</v>
      </c>
      <c r="AF159" s="1013" t="s">
        <v>7723</v>
      </c>
      <c r="AG159" s="1013" t="s">
        <v>7723</v>
      </c>
      <c r="AH159" s="1013" t="s">
        <v>8138</v>
      </c>
      <c r="AI159" s="1013" t="s">
        <v>7723</v>
      </c>
      <c r="AJ159" s="1013">
        <v>19</v>
      </c>
      <c r="AK159" s="1013" t="s">
        <v>7724</v>
      </c>
      <c r="AL159" s="1013" t="s">
        <v>7724</v>
      </c>
      <c r="AM159" s="1013">
        <v>1</v>
      </c>
      <c r="AN159" s="1013">
        <v>4300</v>
      </c>
      <c r="AO159" s="1013" t="s">
        <v>7724</v>
      </c>
      <c r="AP159" s="1013" t="s">
        <v>7745</v>
      </c>
      <c r="AQ159" s="1013" t="s">
        <v>7726</v>
      </c>
      <c r="AR159" s="1013" t="s">
        <v>7724</v>
      </c>
      <c r="AS159" s="1013" t="s">
        <v>7724</v>
      </c>
      <c r="AT159" s="1013" t="s">
        <v>7724</v>
      </c>
      <c r="AU159" s="1013" t="s">
        <v>7724</v>
      </c>
      <c r="AV159" s="1013" t="s">
        <v>7724</v>
      </c>
      <c r="AW159" s="1013" t="s">
        <v>7724</v>
      </c>
      <c r="AX159" s="1013">
        <v>11</v>
      </c>
      <c r="AY159" s="1013">
        <v>4</v>
      </c>
      <c r="AZ159" s="1013">
        <v>0</v>
      </c>
      <c r="BA159" s="1013">
        <v>4</v>
      </c>
      <c r="BB159" s="1013">
        <v>1</v>
      </c>
      <c r="BC159" s="1013">
        <v>1</v>
      </c>
      <c r="BD159" s="1013">
        <v>20</v>
      </c>
      <c r="BE159" s="1023">
        <v>0.375</v>
      </c>
      <c r="BF159" s="1013" t="s">
        <v>8139</v>
      </c>
      <c r="BG159" s="1023">
        <v>0.375</v>
      </c>
      <c r="BH159" s="1024">
        <v>43812</v>
      </c>
      <c r="BI159" s="1013" t="s">
        <v>7727</v>
      </c>
      <c r="BJ159" s="1013" t="s">
        <v>7730</v>
      </c>
      <c r="BK159" s="1013">
        <v>2469</v>
      </c>
      <c r="BL159" s="1013" t="s">
        <v>7724</v>
      </c>
      <c r="BM159" s="1013" t="s">
        <v>7724</v>
      </c>
      <c r="BN159" s="1013">
        <v>121</v>
      </c>
      <c r="BO159" s="1013">
        <v>8</v>
      </c>
      <c r="BP159" s="1013">
        <v>2</v>
      </c>
      <c r="BQ159" s="1013">
        <v>4</v>
      </c>
      <c r="BR159" s="1013">
        <v>22</v>
      </c>
      <c r="BS159" s="1013">
        <v>64</v>
      </c>
      <c r="BT159" s="1013">
        <v>42</v>
      </c>
      <c r="BU159" s="1013">
        <v>1</v>
      </c>
      <c r="BV159" s="1013">
        <v>2</v>
      </c>
      <c r="BW159" s="1013">
        <v>1</v>
      </c>
      <c r="BX159" s="1013">
        <v>21</v>
      </c>
      <c r="BY159" s="1013">
        <v>21</v>
      </c>
      <c r="BZ159" s="1013">
        <v>101</v>
      </c>
      <c r="CA159" s="1013">
        <v>208</v>
      </c>
      <c r="CB159" s="1013">
        <v>29.732505</v>
      </c>
      <c r="CC159" s="1013">
        <v>-95.380274</v>
      </c>
      <c r="CD159" s="1013" t="s">
        <v>7724</v>
      </c>
      <c r="CE159" s="1013" t="s">
        <v>7724</v>
      </c>
      <c r="CF159" s="1013" t="s">
        <v>7724</v>
      </c>
      <c r="CG159" s="1013" t="s">
        <v>7724</v>
      </c>
      <c r="CH159" s="1013" t="s">
        <v>8053</v>
      </c>
      <c r="CI159" s="1013" t="s">
        <v>7724</v>
      </c>
      <c r="CJ159" s="1013" t="s">
        <v>7724</v>
      </c>
      <c r="CK159" s="1013" t="s">
        <v>7724</v>
      </c>
      <c r="CL159" s="1013" t="s">
        <v>7724</v>
      </c>
      <c r="CM159" s="1013" t="s">
        <v>7724</v>
      </c>
      <c r="CN159" s="1013" t="s">
        <v>7724</v>
      </c>
      <c r="CO159" s="1013" t="s">
        <v>7724</v>
      </c>
      <c r="CP159" s="1013" t="s">
        <v>7724</v>
      </c>
      <c r="CQ159" s="1013" t="s">
        <v>7724</v>
      </c>
      <c r="CR159" s="1013" t="s">
        <v>7724</v>
      </c>
      <c r="CS159" s="1013" t="s">
        <v>7724</v>
      </c>
      <c r="CT159" s="1013" t="s">
        <v>7724</v>
      </c>
      <c r="CU159" s="1013" t="s">
        <v>7724</v>
      </c>
      <c r="CV159" s="1013" t="s">
        <v>7724</v>
      </c>
      <c r="CW159" s="1013" t="s">
        <v>7727</v>
      </c>
      <c r="CX159" s="1013" t="s">
        <v>7723</v>
      </c>
      <c r="CY159" s="1013" t="s">
        <v>7723</v>
      </c>
      <c r="CZ159" s="1013">
        <v>3</v>
      </c>
      <c r="DA159" s="1013">
        <v>9</v>
      </c>
      <c r="DB159" s="1013" t="s">
        <v>7727</v>
      </c>
      <c r="DC159" s="1013" t="s">
        <v>7740</v>
      </c>
      <c r="DD159" s="1013" t="s">
        <v>7724</v>
      </c>
      <c r="DE159" s="1013" t="s">
        <v>7724</v>
      </c>
      <c r="DF159" s="1013" t="s">
        <v>7724</v>
      </c>
      <c r="DG159" s="1013" t="s">
        <v>7724</v>
      </c>
      <c r="DH159" s="1013" t="s">
        <v>7724</v>
      </c>
      <c r="DI159" s="1013" t="s">
        <v>7724</v>
      </c>
      <c r="DJ159" s="1013" t="s">
        <v>7724</v>
      </c>
      <c r="DK159" s="1013" t="s">
        <v>7724</v>
      </c>
      <c r="DL159" s="1013" t="s">
        <v>7724</v>
      </c>
      <c r="DM159" s="1013" t="s">
        <v>7724</v>
      </c>
      <c r="DN159" s="1013" t="s">
        <v>7724</v>
      </c>
      <c r="DO159" s="1013" t="s">
        <v>7724</v>
      </c>
      <c r="DP159" s="1013" t="s">
        <v>7724</v>
      </c>
      <c r="DQ159" s="1013" t="s">
        <v>7724</v>
      </c>
      <c r="DR159" s="1013" t="s">
        <v>7724</v>
      </c>
      <c r="DS159" s="1013" t="s">
        <v>7724</v>
      </c>
      <c r="DT159" s="1013" t="s">
        <v>7724</v>
      </c>
      <c r="DU159" s="1013" t="s">
        <v>7724</v>
      </c>
      <c r="DV159" s="1013" t="s">
        <v>7724</v>
      </c>
      <c r="DW159" s="1013" t="s">
        <v>7724</v>
      </c>
      <c r="DX159" s="1013" t="s">
        <v>7724</v>
      </c>
      <c r="DY159" s="1013" t="s">
        <v>7724</v>
      </c>
      <c r="DZ159" s="1013" t="s">
        <v>7724</v>
      </c>
      <c r="EA159" s="1013" t="s">
        <v>7724</v>
      </c>
      <c r="EB159" s="1013" t="s">
        <v>7724</v>
      </c>
      <c r="EC159" s="1013" t="s">
        <v>7724</v>
      </c>
      <c r="ED159" s="1013" t="s">
        <v>7724</v>
      </c>
      <c r="EE159" s="1013" t="s">
        <v>7724</v>
      </c>
      <c r="EF159" s="1013" t="s">
        <v>7724</v>
      </c>
      <c r="EG159" s="1013" t="s">
        <v>7724</v>
      </c>
      <c r="EH159" s="1013" t="s">
        <v>7724</v>
      </c>
      <c r="EI159" s="1013" t="s">
        <v>7724</v>
      </c>
      <c r="EJ159" s="1013" t="s">
        <v>7724</v>
      </c>
      <c r="EK159" s="1013" t="s">
        <v>7724</v>
      </c>
      <c r="EL159" s="1013" t="s">
        <v>7724</v>
      </c>
      <c r="EM159" s="1013" t="s">
        <v>7724</v>
      </c>
      <c r="EN159" s="1013" t="s">
        <v>7724</v>
      </c>
      <c r="EO159" s="1013" t="s">
        <v>7724</v>
      </c>
      <c r="EP159" s="1013" t="s">
        <v>7724</v>
      </c>
      <c r="EQ159" s="1013" t="s">
        <v>7724</v>
      </c>
      <c r="ER159" s="1013" t="s">
        <v>7724</v>
      </c>
      <c r="ES159" s="1013" t="s">
        <v>7724</v>
      </c>
      <c r="ET159" s="1013" t="s">
        <v>7724</v>
      </c>
      <c r="EU159" s="1013" t="s">
        <v>7724</v>
      </c>
      <c r="EV159" s="1013" t="s">
        <v>7724</v>
      </c>
      <c r="EW159" s="1013" t="s">
        <v>7724</v>
      </c>
      <c r="EX159" s="1013" t="s">
        <v>7724</v>
      </c>
      <c r="EY159" s="1013" t="s">
        <v>7724</v>
      </c>
      <c r="EZ159" s="1013" t="s">
        <v>7724</v>
      </c>
      <c r="FA159" s="1013" t="s">
        <v>7724</v>
      </c>
      <c r="FB159" s="1013" t="s">
        <v>7724</v>
      </c>
      <c r="FC159" s="1013" t="s">
        <v>7724</v>
      </c>
      <c r="FD159" s="1013" t="s">
        <v>7724</v>
      </c>
      <c r="FE159" s="1013" t="s">
        <v>7724</v>
      </c>
      <c r="FF159" s="1013" t="s">
        <v>7724</v>
      </c>
      <c r="FG159" s="1013">
        <v>0</v>
      </c>
      <c r="FH159" s="1013">
        <v>0</v>
      </c>
      <c r="FI159" s="1013">
        <v>1</v>
      </c>
      <c r="FJ159" s="1013">
        <v>0</v>
      </c>
      <c r="FK159" s="1013">
        <v>1</v>
      </c>
      <c r="FL159" s="1013">
        <v>1</v>
      </c>
      <c r="FM159" s="1013">
        <v>0</v>
      </c>
      <c r="FN159" s="1013">
        <v>15</v>
      </c>
      <c r="FO159" s="1013">
        <v>35</v>
      </c>
      <c r="FP159" s="1013">
        <v>18</v>
      </c>
      <c r="FQ159" s="1013" t="s">
        <v>7724</v>
      </c>
      <c r="FR159" s="1013" t="s">
        <v>7724</v>
      </c>
      <c r="FS159" s="1013" t="s">
        <v>7724</v>
      </c>
      <c r="FT159" s="1013" t="s">
        <v>7724</v>
      </c>
      <c r="FU159" s="1013" t="s">
        <v>7724</v>
      </c>
      <c r="FV159" s="1013" t="s">
        <v>7724</v>
      </c>
      <c r="FW159" s="1013" t="s">
        <v>7724</v>
      </c>
      <c r="FX159" s="1013" t="s">
        <v>7724</v>
      </c>
      <c r="FY159" s="1013" t="s">
        <v>7724</v>
      </c>
      <c r="FZ159" s="1013" t="s">
        <v>7724</v>
      </c>
      <c r="GA159" s="1013" t="s">
        <v>7724</v>
      </c>
      <c r="GB159" s="1013" t="s">
        <v>7724</v>
      </c>
      <c r="GC159" s="1013">
        <v>2019</v>
      </c>
      <c r="GD159" s="1013" t="s">
        <v>1407</v>
      </c>
      <c r="GE159" s="1013">
        <v>2</v>
      </c>
      <c r="GF159" s="1013" t="s">
        <v>1407</v>
      </c>
      <c r="GG159" s="1013" t="s">
        <v>1407</v>
      </c>
      <c r="GH159" s="1013" t="s">
        <v>8023</v>
      </c>
      <c r="GI159" s="1013" t="s">
        <v>7974</v>
      </c>
      <c r="GJ159" s="1013" t="s">
        <v>7974</v>
      </c>
      <c r="GK159" s="1013" t="s">
        <v>7974</v>
      </c>
      <c r="GL159" s="1013" t="s">
        <v>7974</v>
      </c>
    </row>
    <row r="160" spans="1:194" hidden="1">
      <c r="A160" s="1013">
        <v>124</v>
      </c>
      <c r="B160" s="1013" t="s">
        <v>7722</v>
      </c>
      <c r="C160" s="1013">
        <v>19505671</v>
      </c>
      <c r="D160" s="1013" t="s">
        <v>7723</v>
      </c>
      <c r="E160" s="1013" t="s">
        <v>7723</v>
      </c>
      <c r="F160" s="1013" t="s">
        <v>7723</v>
      </c>
      <c r="G160" s="1013" t="s">
        <v>7723</v>
      </c>
      <c r="H160" s="1013" t="s">
        <v>7723</v>
      </c>
      <c r="I160" s="1013" t="s">
        <v>7723</v>
      </c>
      <c r="J160" s="1013" t="s">
        <v>7723</v>
      </c>
      <c r="K160" s="1024">
        <v>45019</v>
      </c>
      <c r="L160" s="1023">
        <v>0.47916666666666669</v>
      </c>
      <c r="M160" s="1013" t="s">
        <v>8140</v>
      </c>
      <c r="N160" s="1013" t="s">
        <v>7724</v>
      </c>
      <c r="O160" s="1013">
        <v>101</v>
      </c>
      <c r="P160" s="1013">
        <v>208</v>
      </c>
      <c r="Q160" s="1013" t="s">
        <v>7723</v>
      </c>
      <c r="R160" s="1013" t="s">
        <v>7727</v>
      </c>
      <c r="S160" s="1013" t="s">
        <v>7724</v>
      </c>
      <c r="T160" s="1014" t="s">
        <v>7724</v>
      </c>
      <c r="U160" s="1014">
        <v>2</v>
      </c>
      <c r="V160" s="1014">
        <v>59</v>
      </c>
      <c r="W160" s="1014" t="s">
        <v>7724</v>
      </c>
      <c r="X160" s="1013">
        <v>1</v>
      </c>
      <c r="Y160" s="1013">
        <v>800</v>
      </c>
      <c r="Z160" s="1013" t="s">
        <v>7723</v>
      </c>
      <c r="AA160" s="1013" t="s">
        <v>8141</v>
      </c>
      <c r="AB160" s="1013" t="s">
        <v>7760</v>
      </c>
      <c r="AC160" s="1013" t="s">
        <v>7723</v>
      </c>
      <c r="AD160" s="1013" t="s">
        <v>7723</v>
      </c>
      <c r="AE160" s="1013">
        <v>60</v>
      </c>
      <c r="AF160" s="1013" t="s">
        <v>7723</v>
      </c>
      <c r="AG160" s="1013" t="s">
        <v>7723</v>
      </c>
      <c r="AH160" s="1013" t="s">
        <v>7724</v>
      </c>
      <c r="AI160" s="1013" t="s">
        <v>7723</v>
      </c>
      <c r="AJ160" s="1013">
        <v>19</v>
      </c>
      <c r="AK160" s="1013" t="s">
        <v>7724</v>
      </c>
      <c r="AL160" s="1013" t="s">
        <v>7724</v>
      </c>
      <c r="AM160" s="1013">
        <v>1</v>
      </c>
      <c r="AN160" s="1013">
        <v>800</v>
      </c>
      <c r="AO160" s="1013" t="s">
        <v>7724</v>
      </c>
      <c r="AP160" s="1013" t="s">
        <v>8142</v>
      </c>
      <c r="AQ160" s="1013" t="s">
        <v>7726</v>
      </c>
      <c r="AR160" s="1013" t="s">
        <v>7724</v>
      </c>
      <c r="AS160" s="1013" t="s">
        <v>7724</v>
      </c>
      <c r="AT160" s="1013" t="s">
        <v>7724</v>
      </c>
      <c r="AU160" s="1013" t="s">
        <v>7724</v>
      </c>
      <c r="AV160" s="1013" t="s">
        <v>7724</v>
      </c>
      <c r="AW160" s="1013" t="s">
        <v>7724</v>
      </c>
      <c r="AX160" s="1013">
        <v>11</v>
      </c>
      <c r="AY160" s="1013">
        <v>1</v>
      </c>
      <c r="AZ160" s="1013">
        <v>0</v>
      </c>
      <c r="BA160" s="1013">
        <v>4</v>
      </c>
      <c r="BB160" s="1013">
        <v>1</v>
      </c>
      <c r="BC160" s="1013">
        <v>1</v>
      </c>
      <c r="BD160" s="1013">
        <v>20</v>
      </c>
      <c r="BE160" s="1023">
        <v>0.49722222222222223</v>
      </c>
      <c r="BF160" s="1013" t="s">
        <v>8143</v>
      </c>
      <c r="BG160" s="1023">
        <v>0.51041666666666663</v>
      </c>
      <c r="BH160" s="1024">
        <v>45040</v>
      </c>
      <c r="BI160" s="1013" t="s">
        <v>7727</v>
      </c>
      <c r="BJ160" s="1013" t="s">
        <v>7730</v>
      </c>
      <c r="BK160" s="1013">
        <v>2469</v>
      </c>
      <c r="BL160" s="1013" t="s">
        <v>7724</v>
      </c>
      <c r="BM160" s="1013" t="s">
        <v>7724</v>
      </c>
      <c r="BN160" s="1013">
        <v>121</v>
      </c>
      <c r="BO160" s="1013">
        <v>8</v>
      </c>
      <c r="BP160" s="1013">
        <v>2</v>
      </c>
      <c r="BQ160" s="1013">
        <v>4</v>
      </c>
      <c r="BR160" s="1013">
        <v>21</v>
      </c>
      <c r="BS160" s="1013">
        <v>64</v>
      </c>
      <c r="BT160" s="1013">
        <v>9</v>
      </c>
      <c r="BU160" s="1013">
        <v>1</v>
      </c>
      <c r="BV160" s="1013">
        <v>2</v>
      </c>
      <c r="BW160" s="1013">
        <v>1</v>
      </c>
      <c r="BX160" s="1013">
        <v>21</v>
      </c>
      <c r="BY160" s="1013">
        <v>21</v>
      </c>
      <c r="BZ160" s="1013">
        <v>101</v>
      </c>
      <c r="CA160" s="1013">
        <v>208</v>
      </c>
      <c r="CB160" s="1013">
        <v>29.732423000000001</v>
      </c>
      <c r="CC160" s="1013">
        <v>-95.381754999999998</v>
      </c>
      <c r="CD160" s="1013" t="s">
        <v>8016</v>
      </c>
      <c r="CE160" s="1013">
        <v>69</v>
      </c>
      <c r="CF160" s="1013" t="s">
        <v>7724</v>
      </c>
      <c r="CG160" s="1013">
        <v>33.506999999999998</v>
      </c>
      <c r="CH160" s="1013" t="s">
        <v>8017</v>
      </c>
      <c r="CI160" s="1013" t="s">
        <v>7724</v>
      </c>
      <c r="CJ160" s="1013">
        <v>27</v>
      </c>
      <c r="CK160" s="1013">
        <v>13</v>
      </c>
      <c r="CL160" s="1013">
        <v>13.801</v>
      </c>
      <c r="CM160" s="1013">
        <v>128</v>
      </c>
      <c r="CN160" s="1013">
        <v>0.248</v>
      </c>
      <c r="CO160" s="1013" t="s">
        <v>7724</v>
      </c>
      <c r="CP160" s="1013" t="s">
        <v>7724</v>
      </c>
      <c r="CQ160" s="1013" t="s">
        <v>7724</v>
      </c>
      <c r="CR160" s="1013" t="s">
        <v>7724</v>
      </c>
      <c r="CS160" s="1013" t="s">
        <v>7724</v>
      </c>
      <c r="CT160" s="1013" t="s">
        <v>7724</v>
      </c>
      <c r="CU160" s="1013" t="s">
        <v>7724</v>
      </c>
      <c r="CV160" s="1013" t="s">
        <v>7724</v>
      </c>
      <c r="CW160" s="1013" t="s">
        <v>7727</v>
      </c>
      <c r="CX160" s="1013" t="s">
        <v>7727</v>
      </c>
      <c r="CY160" s="1013" t="s">
        <v>7723</v>
      </c>
      <c r="CZ160" s="1013">
        <v>5</v>
      </c>
      <c r="DA160" s="1013">
        <v>9</v>
      </c>
      <c r="DB160" s="1013" t="s">
        <v>7727</v>
      </c>
      <c r="DC160" s="1013" t="s">
        <v>7743</v>
      </c>
      <c r="DD160" s="1013">
        <v>5</v>
      </c>
      <c r="DE160" s="1013" t="s">
        <v>7724</v>
      </c>
      <c r="DF160" s="1013">
        <v>20</v>
      </c>
      <c r="DG160" s="1013">
        <v>20</v>
      </c>
      <c r="DH160" s="1013">
        <v>5</v>
      </c>
      <c r="DI160" s="1013" t="s">
        <v>7724</v>
      </c>
      <c r="DJ160" s="1013">
        <v>8</v>
      </c>
      <c r="DK160" s="1013">
        <v>400</v>
      </c>
      <c r="DL160" s="1013">
        <v>138</v>
      </c>
      <c r="DM160" s="1013">
        <v>98</v>
      </c>
      <c r="DN160" s="1013">
        <v>1</v>
      </c>
      <c r="DO160" s="1013">
        <v>0</v>
      </c>
      <c r="DP160" s="1013">
        <v>0</v>
      </c>
      <c r="DQ160" s="1013">
        <v>1</v>
      </c>
      <c r="DR160" s="1013">
        <v>20</v>
      </c>
      <c r="DS160" s="1013">
        <v>5</v>
      </c>
      <c r="DT160" s="1013">
        <v>1</v>
      </c>
      <c r="DU160" s="1013">
        <v>20</v>
      </c>
      <c r="DV160" s="1013">
        <v>5</v>
      </c>
      <c r="DW160" s="1013">
        <v>7</v>
      </c>
      <c r="DX160" s="1013">
        <v>5</v>
      </c>
      <c r="DY160" s="1013">
        <v>4</v>
      </c>
      <c r="DZ160" s="1013">
        <v>1</v>
      </c>
      <c r="EA160" s="1013">
        <v>185410</v>
      </c>
      <c r="EB160" s="1013">
        <v>2019</v>
      </c>
      <c r="EC160" s="1013">
        <v>185410</v>
      </c>
      <c r="ED160" s="1013">
        <v>2.2999999999999998</v>
      </c>
      <c r="EE160" s="1013">
        <v>2.5</v>
      </c>
      <c r="EF160" s="1013">
        <v>4.8</v>
      </c>
      <c r="EG160" s="1013" t="s">
        <v>7724</v>
      </c>
      <c r="EH160" s="1013" t="s">
        <v>7724</v>
      </c>
      <c r="EI160" s="1013" t="s">
        <v>7724</v>
      </c>
      <c r="EJ160" s="1013" t="s">
        <v>7724</v>
      </c>
      <c r="EK160" s="1013" t="s">
        <v>7724</v>
      </c>
      <c r="EL160" s="1013" t="s">
        <v>7724</v>
      </c>
      <c r="EM160" s="1013" t="s">
        <v>7724</v>
      </c>
      <c r="EN160" s="1013" t="s">
        <v>7724</v>
      </c>
      <c r="EO160" s="1013" t="s">
        <v>7724</v>
      </c>
      <c r="EP160" s="1013" t="s">
        <v>7724</v>
      </c>
      <c r="EQ160" s="1013" t="s">
        <v>7724</v>
      </c>
      <c r="ER160" s="1013" t="s">
        <v>7724</v>
      </c>
      <c r="ES160" s="1013" t="s">
        <v>7724</v>
      </c>
      <c r="ET160" s="1013" t="s">
        <v>7724</v>
      </c>
      <c r="EU160" s="1013" t="s">
        <v>7724</v>
      </c>
      <c r="EV160" s="1013" t="s">
        <v>7724</v>
      </c>
      <c r="EW160" s="1013" t="s">
        <v>7724</v>
      </c>
      <c r="EX160" s="1013" t="s">
        <v>7724</v>
      </c>
      <c r="EY160" s="1013" t="s">
        <v>7724</v>
      </c>
      <c r="EZ160" s="1013" t="s">
        <v>7724</v>
      </c>
      <c r="FA160" s="1013" t="s">
        <v>7724</v>
      </c>
      <c r="FB160" s="1013" t="s">
        <v>7724</v>
      </c>
      <c r="FC160" s="1013" t="s">
        <v>7724</v>
      </c>
      <c r="FD160" s="1013" t="s">
        <v>7724</v>
      </c>
      <c r="FE160" s="1013" t="s">
        <v>7724</v>
      </c>
      <c r="FF160" s="1013" t="s">
        <v>7724</v>
      </c>
      <c r="FG160" s="1013">
        <v>0</v>
      </c>
      <c r="FH160" s="1013">
        <v>0</v>
      </c>
      <c r="FI160" s="1013">
        <v>0</v>
      </c>
      <c r="FJ160" s="1013">
        <v>2</v>
      </c>
      <c r="FK160" s="1013">
        <v>0</v>
      </c>
      <c r="FL160" s="1013">
        <v>0</v>
      </c>
      <c r="FM160" s="1013">
        <v>0</v>
      </c>
      <c r="FN160" s="1013">
        <v>15</v>
      </c>
      <c r="FO160" s="1013">
        <v>35</v>
      </c>
      <c r="FP160" s="1013">
        <v>16</v>
      </c>
      <c r="FQ160" s="1013" t="s">
        <v>7724</v>
      </c>
      <c r="FR160" s="1013" t="s">
        <v>7724</v>
      </c>
      <c r="FS160" s="1013" t="s">
        <v>7724</v>
      </c>
      <c r="FT160" s="1013" t="s">
        <v>7723</v>
      </c>
      <c r="FU160" s="1013" t="s">
        <v>7770</v>
      </c>
      <c r="FV160" s="1013">
        <v>-1</v>
      </c>
      <c r="FW160" s="1023">
        <v>0.58680555555555558</v>
      </c>
      <c r="FX160" s="1023">
        <v>0.58680555555555558</v>
      </c>
      <c r="FY160" s="1024">
        <v>45019</v>
      </c>
      <c r="FZ160" s="1024">
        <v>45019</v>
      </c>
      <c r="GA160" s="1024">
        <v>45019</v>
      </c>
      <c r="GB160" s="1024">
        <v>45019</v>
      </c>
      <c r="GC160" s="1013">
        <v>2023</v>
      </c>
      <c r="GD160" s="1013" t="s">
        <v>1404</v>
      </c>
      <c r="GE160" s="1013">
        <v>2</v>
      </c>
      <c r="GF160" s="1013" t="s">
        <v>1407</v>
      </c>
      <c r="GG160" s="1013" t="s">
        <v>1407</v>
      </c>
      <c r="GH160" s="1013" t="s">
        <v>7995</v>
      </c>
      <c r="GI160" s="1013" t="s">
        <v>7974</v>
      </c>
      <c r="GJ160" s="1013" t="s">
        <v>7974</v>
      </c>
      <c r="GK160" s="1013" t="s">
        <v>7974</v>
      </c>
      <c r="GL160" s="1013" t="s">
        <v>7974</v>
      </c>
    </row>
    <row r="161" spans="1:194" hidden="1">
      <c r="A161" s="1013">
        <v>125</v>
      </c>
      <c r="B161" s="1013" t="s">
        <v>7722</v>
      </c>
      <c r="C161" s="1013">
        <v>19531801</v>
      </c>
      <c r="D161" s="1013" t="s">
        <v>7727</v>
      </c>
      <c r="E161" s="1013" t="s">
        <v>7723</v>
      </c>
      <c r="F161" s="1013" t="s">
        <v>7723</v>
      </c>
      <c r="G161" s="1013" t="s">
        <v>7723</v>
      </c>
      <c r="H161" s="1013" t="s">
        <v>7723</v>
      </c>
      <c r="I161" s="1013" t="s">
        <v>7727</v>
      </c>
      <c r="J161" s="1013" t="s">
        <v>7723</v>
      </c>
      <c r="K161" s="1024">
        <v>45051</v>
      </c>
      <c r="L161" s="1023">
        <v>0.55277777777777781</v>
      </c>
      <c r="M161" s="1013" t="s">
        <v>8144</v>
      </c>
      <c r="N161" s="1013" t="s">
        <v>7724</v>
      </c>
      <c r="O161" s="1013">
        <v>101</v>
      </c>
      <c r="P161" s="1013">
        <v>208</v>
      </c>
      <c r="Q161" s="1013" t="s">
        <v>7723</v>
      </c>
      <c r="R161" s="1013" t="s">
        <v>7723</v>
      </c>
      <c r="S161" s="1013" t="s">
        <v>7724</v>
      </c>
      <c r="T161" s="1014" t="s">
        <v>7724</v>
      </c>
      <c r="U161" s="1014">
        <v>2</v>
      </c>
      <c r="V161" s="1014">
        <v>59</v>
      </c>
      <c r="W161" s="1014" t="s">
        <v>7724</v>
      </c>
      <c r="X161" s="1013">
        <v>1</v>
      </c>
      <c r="Y161" s="1013">
        <v>300</v>
      </c>
      <c r="Z161" s="1013" t="s">
        <v>7770</v>
      </c>
      <c r="AA161" s="1013" t="s">
        <v>7771</v>
      </c>
      <c r="AB161" s="1013" t="s">
        <v>7760</v>
      </c>
      <c r="AC161" s="1013" t="s">
        <v>7723</v>
      </c>
      <c r="AD161" s="1013" t="s">
        <v>7723</v>
      </c>
      <c r="AE161" s="1013">
        <v>60</v>
      </c>
      <c r="AF161" s="1013" t="s">
        <v>7723</v>
      </c>
      <c r="AG161" s="1013" t="s">
        <v>7723</v>
      </c>
      <c r="AH161" s="1013" t="s">
        <v>7739</v>
      </c>
      <c r="AI161" s="1013" t="s">
        <v>7723</v>
      </c>
      <c r="AJ161" s="1013">
        <v>19</v>
      </c>
      <c r="AK161" s="1013" t="s">
        <v>7724</v>
      </c>
      <c r="AL161" s="1013" t="s">
        <v>7724</v>
      </c>
      <c r="AM161" s="1013">
        <v>1</v>
      </c>
      <c r="AN161" s="1013">
        <v>4600</v>
      </c>
      <c r="AO161" s="1013" t="s">
        <v>7724</v>
      </c>
      <c r="AP161" s="1013" t="s">
        <v>8030</v>
      </c>
      <c r="AQ161" s="1013" t="s">
        <v>7726</v>
      </c>
      <c r="AR161" s="1013" t="s">
        <v>7724</v>
      </c>
      <c r="AS161" s="1013" t="s">
        <v>7724</v>
      </c>
      <c r="AT161" s="1013" t="s">
        <v>7724</v>
      </c>
      <c r="AU161" s="1013" t="s">
        <v>7724</v>
      </c>
      <c r="AV161" s="1013" t="s">
        <v>7739</v>
      </c>
      <c r="AW161" s="1013" t="s">
        <v>7724</v>
      </c>
      <c r="AX161" s="1013">
        <v>11</v>
      </c>
      <c r="AY161" s="1013">
        <v>1</v>
      </c>
      <c r="AZ161" s="1013">
        <v>0</v>
      </c>
      <c r="BA161" s="1013">
        <v>4</v>
      </c>
      <c r="BB161" s="1013">
        <v>1</v>
      </c>
      <c r="BC161" s="1013">
        <v>1</v>
      </c>
      <c r="BD161" s="1013">
        <v>20</v>
      </c>
      <c r="BE161" s="1023">
        <v>0.55902777777777779</v>
      </c>
      <c r="BF161" s="1013" t="s">
        <v>7736</v>
      </c>
      <c r="BG161" s="1023">
        <v>0.56111111111111112</v>
      </c>
      <c r="BH161" s="1024">
        <v>45194</v>
      </c>
      <c r="BI161" s="1013" t="s">
        <v>7727</v>
      </c>
      <c r="BJ161" s="1013" t="s">
        <v>7730</v>
      </c>
      <c r="BK161" s="1013">
        <v>2469</v>
      </c>
      <c r="BL161" s="1013" t="s">
        <v>7724</v>
      </c>
      <c r="BM161" s="1013" t="s">
        <v>7724</v>
      </c>
      <c r="BN161" s="1013">
        <v>113</v>
      </c>
      <c r="BO161" s="1013">
        <v>8</v>
      </c>
      <c r="BP161" s="1013">
        <v>2</v>
      </c>
      <c r="BQ161" s="1013">
        <v>4</v>
      </c>
      <c r="BR161" s="1013">
        <v>20</v>
      </c>
      <c r="BS161" s="1013">
        <v>64</v>
      </c>
      <c r="BT161" s="1013">
        <v>42</v>
      </c>
      <c r="BU161" s="1013">
        <v>1</v>
      </c>
      <c r="BV161" s="1013">
        <v>2</v>
      </c>
      <c r="BW161" s="1013">
        <v>1</v>
      </c>
      <c r="BX161" s="1013">
        <v>21</v>
      </c>
      <c r="BY161" s="1013">
        <v>21</v>
      </c>
      <c r="BZ161" s="1013">
        <v>101</v>
      </c>
      <c r="CA161" s="1013">
        <v>208</v>
      </c>
      <c r="CB161" s="1013">
        <v>29.732538999999999</v>
      </c>
      <c r="CC161" s="1013">
        <v>-95.380251999999999</v>
      </c>
      <c r="CD161" s="1013" t="s">
        <v>8016</v>
      </c>
      <c r="CE161" s="1013">
        <v>69</v>
      </c>
      <c r="CF161" s="1013" t="s">
        <v>7724</v>
      </c>
      <c r="CG161" s="1013">
        <v>33.597999999999999</v>
      </c>
      <c r="CH161" s="1013" t="s">
        <v>8017</v>
      </c>
      <c r="CI161" s="1013" t="s">
        <v>7724</v>
      </c>
      <c r="CJ161" s="1013">
        <v>27</v>
      </c>
      <c r="CK161" s="1013">
        <v>13</v>
      </c>
      <c r="CL161" s="1013">
        <v>13.896000000000001</v>
      </c>
      <c r="CM161" s="1013">
        <v>128</v>
      </c>
      <c r="CN161" s="1013">
        <v>0.33900000000000002</v>
      </c>
      <c r="CO161" s="1013" t="s">
        <v>7724</v>
      </c>
      <c r="CP161" s="1013" t="s">
        <v>7724</v>
      </c>
      <c r="CQ161" s="1013" t="s">
        <v>7724</v>
      </c>
      <c r="CR161" s="1013" t="s">
        <v>7724</v>
      </c>
      <c r="CS161" s="1013" t="s">
        <v>7724</v>
      </c>
      <c r="CT161" s="1013" t="s">
        <v>7724</v>
      </c>
      <c r="CU161" s="1013" t="s">
        <v>7724</v>
      </c>
      <c r="CV161" s="1013" t="s">
        <v>7724</v>
      </c>
      <c r="CW161" s="1013" t="s">
        <v>7727</v>
      </c>
      <c r="CX161" s="1013" t="s">
        <v>7727</v>
      </c>
      <c r="CY161" s="1013" t="s">
        <v>7723</v>
      </c>
      <c r="CZ161" s="1013">
        <v>4</v>
      </c>
      <c r="DA161" s="1013">
        <v>9</v>
      </c>
      <c r="DB161" s="1013" t="s">
        <v>7727</v>
      </c>
      <c r="DC161" s="1013" t="s">
        <v>7759</v>
      </c>
      <c r="DD161" s="1013">
        <v>5</v>
      </c>
      <c r="DE161" s="1013" t="s">
        <v>7724</v>
      </c>
      <c r="DF161" s="1013">
        <v>20</v>
      </c>
      <c r="DG161" s="1013">
        <v>20</v>
      </c>
      <c r="DH161" s="1013">
        <v>5</v>
      </c>
      <c r="DI161" s="1013" t="s">
        <v>7724</v>
      </c>
      <c r="DJ161" s="1013">
        <v>8</v>
      </c>
      <c r="DK161" s="1013">
        <v>400</v>
      </c>
      <c r="DL161" s="1013">
        <v>138</v>
      </c>
      <c r="DM161" s="1013">
        <v>98</v>
      </c>
      <c r="DN161" s="1013">
        <v>1</v>
      </c>
      <c r="DO161" s="1013">
        <v>0</v>
      </c>
      <c r="DP161" s="1013">
        <v>0</v>
      </c>
      <c r="DQ161" s="1013">
        <v>1</v>
      </c>
      <c r="DR161" s="1013">
        <v>20</v>
      </c>
      <c r="DS161" s="1013">
        <v>5</v>
      </c>
      <c r="DT161" s="1013">
        <v>1</v>
      </c>
      <c r="DU161" s="1013">
        <v>20</v>
      </c>
      <c r="DV161" s="1013">
        <v>5</v>
      </c>
      <c r="DW161" s="1013">
        <v>7</v>
      </c>
      <c r="DX161" s="1013">
        <v>5</v>
      </c>
      <c r="DY161" s="1013">
        <v>4</v>
      </c>
      <c r="DZ161" s="1013">
        <v>1</v>
      </c>
      <c r="EA161" s="1013">
        <v>185410</v>
      </c>
      <c r="EB161" s="1013">
        <v>2019</v>
      </c>
      <c r="EC161" s="1013">
        <v>185410</v>
      </c>
      <c r="ED161" s="1013">
        <v>2.2999999999999998</v>
      </c>
      <c r="EE161" s="1013">
        <v>2.5</v>
      </c>
      <c r="EF161" s="1013">
        <v>4.8</v>
      </c>
      <c r="EG161" s="1013" t="s">
        <v>7724</v>
      </c>
      <c r="EH161" s="1013" t="s">
        <v>7724</v>
      </c>
      <c r="EI161" s="1013" t="s">
        <v>7724</v>
      </c>
      <c r="EJ161" s="1013" t="s">
        <v>7724</v>
      </c>
      <c r="EK161" s="1013" t="s">
        <v>7724</v>
      </c>
      <c r="EL161" s="1013" t="s">
        <v>7724</v>
      </c>
      <c r="EM161" s="1013" t="s">
        <v>7724</v>
      </c>
      <c r="EN161" s="1013" t="s">
        <v>7724</v>
      </c>
      <c r="EO161" s="1013" t="s">
        <v>7724</v>
      </c>
      <c r="EP161" s="1013" t="s">
        <v>7724</v>
      </c>
      <c r="EQ161" s="1013" t="s">
        <v>7724</v>
      </c>
      <c r="ER161" s="1013" t="s">
        <v>7724</v>
      </c>
      <c r="ES161" s="1013" t="s">
        <v>7724</v>
      </c>
      <c r="ET161" s="1013" t="s">
        <v>7724</v>
      </c>
      <c r="EU161" s="1013" t="s">
        <v>7724</v>
      </c>
      <c r="EV161" s="1013" t="s">
        <v>7724</v>
      </c>
      <c r="EW161" s="1013" t="s">
        <v>7724</v>
      </c>
      <c r="EX161" s="1013" t="s">
        <v>7724</v>
      </c>
      <c r="EY161" s="1013" t="s">
        <v>7724</v>
      </c>
      <c r="EZ161" s="1013" t="s">
        <v>7724</v>
      </c>
      <c r="FA161" s="1013" t="s">
        <v>7724</v>
      </c>
      <c r="FB161" s="1013" t="s">
        <v>7724</v>
      </c>
      <c r="FC161" s="1013" t="s">
        <v>7724</v>
      </c>
      <c r="FD161" s="1013" t="s">
        <v>7724</v>
      </c>
      <c r="FE161" s="1013" t="s">
        <v>7724</v>
      </c>
      <c r="FF161" s="1013" t="s">
        <v>7724</v>
      </c>
      <c r="FG161" s="1013">
        <v>0</v>
      </c>
      <c r="FH161" s="1013">
        <v>0</v>
      </c>
      <c r="FI161" s="1013">
        <v>0</v>
      </c>
      <c r="FJ161" s="1013">
        <v>5</v>
      </c>
      <c r="FK161" s="1013">
        <v>0</v>
      </c>
      <c r="FL161" s="1013">
        <v>0</v>
      </c>
      <c r="FM161" s="1013">
        <v>1</v>
      </c>
      <c r="FN161" s="1013">
        <v>15</v>
      </c>
      <c r="FO161" s="1013">
        <v>29</v>
      </c>
      <c r="FP161" s="1013">
        <v>6</v>
      </c>
      <c r="FQ161" s="1013" t="s">
        <v>7724</v>
      </c>
      <c r="FR161" s="1013" t="s">
        <v>7724</v>
      </c>
      <c r="FS161" s="1013" t="s">
        <v>7724</v>
      </c>
      <c r="FT161" s="1013" t="s">
        <v>7723</v>
      </c>
      <c r="FU161" s="1013" t="s">
        <v>7723</v>
      </c>
      <c r="FV161" s="1013">
        <v>-1</v>
      </c>
      <c r="FW161" s="1023">
        <v>0.57361111111111107</v>
      </c>
      <c r="FX161" s="1023">
        <v>0.57361111111111107</v>
      </c>
      <c r="FY161" s="1024">
        <v>45051</v>
      </c>
      <c r="FZ161" s="1024">
        <v>45051</v>
      </c>
      <c r="GA161" s="1024">
        <v>45051</v>
      </c>
      <c r="GB161" s="1024">
        <v>45051</v>
      </c>
      <c r="GC161" s="1013">
        <v>2023</v>
      </c>
      <c r="GD161" s="1013" t="s">
        <v>1407</v>
      </c>
      <c r="GE161" s="1013">
        <v>3</v>
      </c>
      <c r="GF161" s="1013" t="s">
        <v>1407</v>
      </c>
      <c r="GG161" s="1013" t="s">
        <v>1407</v>
      </c>
      <c r="GH161" s="1013" t="s">
        <v>7979</v>
      </c>
      <c r="GI161" s="1013" t="s">
        <v>7980</v>
      </c>
      <c r="GJ161" s="1013" t="s">
        <v>7980</v>
      </c>
      <c r="GK161" s="1013" t="s">
        <v>7980</v>
      </c>
      <c r="GL161" s="1013" t="s">
        <v>7980</v>
      </c>
    </row>
    <row r="162" spans="1:194" hidden="1">
      <c r="A162" s="1013">
        <v>127</v>
      </c>
      <c r="B162" s="1013" t="s">
        <v>7722</v>
      </c>
      <c r="C162" s="1013">
        <v>19547533</v>
      </c>
      <c r="D162" s="1013" t="s">
        <v>7723</v>
      </c>
      <c r="E162" s="1013" t="s">
        <v>7723</v>
      </c>
      <c r="F162" s="1013" t="s">
        <v>7723</v>
      </c>
      <c r="G162" s="1013" t="s">
        <v>7723</v>
      </c>
      <c r="H162" s="1013" t="s">
        <v>7723</v>
      </c>
      <c r="I162" s="1013" t="s">
        <v>7723</v>
      </c>
      <c r="J162" s="1013" t="s">
        <v>7723</v>
      </c>
      <c r="K162" s="1024">
        <v>45056</v>
      </c>
      <c r="L162" s="1023">
        <v>0.21319444444444444</v>
      </c>
      <c r="M162" s="1013" t="s">
        <v>8145</v>
      </c>
      <c r="N162" s="1013" t="s">
        <v>7724</v>
      </c>
      <c r="O162" s="1013">
        <v>101</v>
      </c>
      <c r="P162" s="1013">
        <v>208</v>
      </c>
      <c r="Q162" s="1013" t="s">
        <v>7723</v>
      </c>
      <c r="R162" s="1013" t="s">
        <v>7723</v>
      </c>
      <c r="S162" s="1013" t="s">
        <v>7724</v>
      </c>
      <c r="T162" s="1014" t="s">
        <v>7724</v>
      </c>
      <c r="U162" s="1014">
        <v>19</v>
      </c>
      <c r="V162" s="1014" t="s">
        <v>7724</v>
      </c>
      <c r="W162" s="1014" t="s">
        <v>7724</v>
      </c>
      <c r="X162" s="1013">
        <v>1</v>
      </c>
      <c r="Y162" s="1013">
        <v>4600</v>
      </c>
      <c r="Z162" s="1013" t="s">
        <v>7724</v>
      </c>
      <c r="AA162" s="1013" t="s">
        <v>7728</v>
      </c>
      <c r="AB162" s="1013" t="s">
        <v>7724</v>
      </c>
      <c r="AC162" s="1013" t="s">
        <v>7723</v>
      </c>
      <c r="AD162" s="1013" t="s">
        <v>7723</v>
      </c>
      <c r="AE162" s="1013">
        <v>35</v>
      </c>
      <c r="AF162" s="1013" t="s">
        <v>7723</v>
      </c>
      <c r="AG162" s="1013" t="s">
        <v>7723</v>
      </c>
      <c r="AH162" s="1013" t="s">
        <v>7724</v>
      </c>
      <c r="AI162" s="1013" t="s">
        <v>7723</v>
      </c>
      <c r="AJ162" s="1013">
        <v>19</v>
      </c>
      <c r="AK162" s="1013" t="s">
        <v>7724</v>
      </c>
      <c r="AL162" s="1013" t="s">
        <v>7724</v>
      </c>
      <c r="AM162" s="1013">
        <v>1</v>
      </c>
      <c r="AN162" s="1013">
        <v>1100</v>
      </c>
      <c r="AO162" s="1013" t="s">
        <v>7724</v>
      </c>
      <c r="AP162" s="1013" t="s">
        <v>7757</v>
      </c>
      <c r="AQ162" s="1013" t="s">
        <v>7726</v>
      </c>
      <c r="AR162" s="1013" t="s">
        <v>7724</v>
      </c>
      <c r="AS162" s="1013" t="s">
        <v>7724</v>
      </c>
      <c r="AT162" s="1013" t="s">
        <v>7724</v>
      </c>
      <c r="AU162" s="1013" t="s">
        <v>7724</v>
      </c>
      <c r="AV162" s="1013" t="s">
        <v>7724</v>
      </c>
      <c r="AW162" s="1013" t="s">
        <v>7724</v>
      </c>
      <c r="AX162" s="1013">
        <v>2</v>
      </c>
      <c r="AY162" s="1013">
        <v>4</v>
      </c>
      <c r="AZ162" s="1013">
        <v>4</v>
      </c>
      <c r="BA162" s="1013">
        <v>4</v>
      </c>
      <c r="BB162" s="1013">
        <v>1</v>
      </c>
      <c r="BC162" s="1013">
        <v>2</v>
      </c>
      <c r="BD162" s="1013">
        <v>20</v>
      </c>
      <c r="BE162" s="1023">
        <v>0.21666666666666667</v>
      </c>
      <c r="BF162" s="1013" t="s">
        <v>7736</v>
      </c>
      <c r="BG162" s="1023">
        <v>0.21944444444444444</v>
      </c>
      <c r="BH162" s="1024">
        <v>45056</v>
      </c>
      <c r="BI162" s="1013" t="s">
        <v>7727</v>
      </c>
      <c r="BJ162" s="1013" t="s">
        <v>7730</v>
      </c>
      <c r="BK162" s="1013">
        <v>2469</v>
      </c>
      <c r="BL162" s="1013" t="s">
        <v>7724</v>
      </c>
      <c r="BM162" s="1013" t="s">
        <v>7724</v>
      </c>
      <c r="BN162" s="1013">
        <v>113</v>
      </c>
      <c r="BO162" s="1013">
        <v>8</v>
      </c>
      <c r="BP162" s="1013">
        <v>2</v>
      </c>
      <c r="BQ162" s="1013">
        <v>4</v>
      </c>
      <c r="BR162" s="1013">
        <v>21</v>
      </c>
      <c r="BS162" s="1013">
        <v>64</v>
      </c>
      <c r="BT162" s="1013">
        <v>54</v>
      </c>
      <c r="BU162" s="1013">
        <v>1</v>
      </c>
      <c r="BV162" s="1013">
        <v>5</v>
      </c>
      <c r="BW162" s="1013">
        <v>1</v>
      </c>
      <c r="BX162" s="1013">
        <v>21</v>
      </c>
      <c r="BY162" s="1013">
        <v>21</v>
      </c>
      <c r="BZ162" s="1013">
        <v>101</v>
      </c>
      <c r="CA162" s="1013">
        <v>208</v>
      </c>
      <c r="CB162" s="1013">
        <v>29.731258</v>
      </c>
      <c r="CC162" s="1013">
        <v>-95.382735999999994</v>
      </c>
      <c r="CD162" s="1013" t="s">
        <v>7724</v>
      </c>
      <c r="CE162" s="1013" t="s">
        <v>7724</v>
      </c>
      <c r="CF162" s="1013" t="s">
        <v>7724</v>
      </c>
      <c r="CG162" s="1013" t="s">
        <v>7724</v>
      </c>
      <c r="CH162" s="1013" t="s">
        <v>7732</v>
      </c>
      <c r="CI162" s="1013">
        <v>4694</v>
      </c>
      <c r="CJ162" s="1013" t="s">
        <v>7724</v>
      </c>
      <c r="CK162" s="1013" t="s">
        <v>7724</v>
      </c>
      <c r="CL162" s="1013" t="s">
        <v>7724</v>
      </c>
      <c r="CM162" s="1013" t="s">
        <v>7724</v>
      </c>
      <c r="CN162" s="1013" t="s">
        <v>7724</v>
      </c>
      <c r="CO162" s="1013" t="s">
        <v>7724</v>
      </c>
      <c r="CP162" s="1013" t="s">
        <v>7724</v>
      </c>
      <c r="CQ162" s="1013" t="s">
        <v>7724</v>
      </c>
      <c r="CR162" s="1013" t="s">
        <v>7724</v>
      </c>
      <c r="CS162" s="1013" t="s">
        <v>7724</v>
      </c>
      <c r="CT162" s="1013" t="s">
        <v>7724</v>
      </c>
      <c r="CU162" s="1013" t="s">
        <v>7724</v>
      </c>
      <c r="CV162" s="1013" t="s">
        <v>7724</v>
      </c>
      <c r="CW162" s="1013" t="s">
        <v>7727</v>
      </c>
      <c r="CX162" s="1013" t="s">
        <v>7723</v>
      </c>
      <c r="CY162" s="1013" t="s">
        <v>7723</v>
      </c>
      <c r="CZ162" s="1013">
        <v>3</v>
      </c>
      <c r="DA162" s="1013">
        <v>9</v>
      </c>
      <c r="DB162" s="1013" t="s">
        <v>7727</v>
      </c>
      <c r="DC162" s="1013" t="s">
        <v>7756</v>
      </c>
      <c r="DD162" s="1013" t="s">
        <v>7724</v>
      </c>
      <c r="DE162" s="1013" t="s">
        <v>7724</v>
      </c>
      <c r="DF162" s="1013" t="s">
        <v>7724</v>
      </c>
      <c r="DG162" s="1013" t="s">
        <v>7724</v>
      </c>
      <c r="DH162" s="1013" t="s">
        <v>7724</v>
      </c>
      <c r="DI162" s="1013" t="s">
        <v>7724</v>
      </c>
      <c r="DJ162" s="1013" t="s">
        <v>7724</v>
      </c>
      <c r="DK162" s="1013" t="s">
        <v>7724</v>
      </c>
      <c r="DL162" s="1013" t="s">
        <v>7724</v>
      </c>
      <c r="DM162" s="1013" t="s">
        <v>7724</v>
      </c>
      <c r="DN162" s="1013" t="s">
        <v>7724</v>
      </c>
      <c r="DO162" s="1013" t="s">
        <v>7724</v>
      </c>
      <c r="DP162" s="1013" t="s">
        <v>7724</v>
      </c>
      <c r="DQ162" s="1013" t="s">
        <v>7724</v>
      </c>
      <c r="DR162" s="1013" t="s">
        <v>7724</v>
      </c>
      <c r="DS162" s="1013" t="s">
        <v>7724</v>
      </c>
      <c r="DT162" s="1013" t="s">
        <v>7724</v>
      </c>
      <c r="DU162" s="1013" t="s">
        <v>7724</v>
      </c>
      <c r="DV162" s="1013" t="s">
        <v>7724</v>
      </c>
      <c r="DW162" s="1013" t="s">
        <v>7724</v>
      </c>
      <c r="DX162" s="1013" t="s">
        <v>7724</v>
      </c>
      <c r="DY162" s="1013" t="s">
        <v>7724</v>
      </c>
      <c r="DZ162" s="1013" t="s">
        <v>7724</v>
      </c>
      <c r="EA162" s="1013" t="s">
        <v>7724</v>
      </c>
      <c r="EB162" s="1013" t="s">
        <v>7724</v>
      </c>
      <c r="EC162" s="1013" t="s">
        <v>7724</v>
      </c>
      <c r="ED162" s="1013" t="s">
        <v>7724</v>
      </c>
      <c r="EE162" s="1013" t="s">
        <v>7724</v>
      </c>
      <c r="EF162" s="1013" t="s">
        <v>7724</v>
      </c>
      <c r="EG162" s="1013" t="s">
        <v>7724</v>
      </c>
      <c r="EH162" s="1013" t="s">
        <v>7724</v>
      </c>
      <c r="EI162" s="1013" t="s">
        <v>7724</v>
      </c>
      <c r="EJ162" s="1013" t="s">
        <v>7724</v>
      </c>
      <c r="EK162" s="1013" t="s">
        <v>7724</v>
      </c>
      <c r="EL162" s="1013" t="s">
        <v>7724</v>
      </c>
      <c r="EM162" s="1013" t="s">
        <v>7724</v>
      </c>
      <c r="EN162" s="1013" t="s">
        <v>7724</v>
      </c>
      <c r="EO162" s="1013" t="s">
        <v>7724</v>
      </c>
      <c r="EP162" s="1013" t="s">
        <v>7724</v>
      </c>
      <c r="EQ162" s="1013" t="s">
        <v>7724</v>
      </c>
      <c r="ER162" s="1013" t="s">
        <v>7724</v>
      </c>
      <c r="ES162" s="1013" t="s">
        <v>7724</v>
      </c>
      <c r="ET162" s="1013" t="s">
        <v>7724</v>
      </c>
      <c r="EU162" s="1013" t="s">
        <v>7724</v>
      </c>
      <c r="EV162" s="1013" t="s">
        <v>7724</v>
      </c>
      <c r="EW162" s="1013" t="s">
        <v>7724</v>
      </c>
      <c r="EX162" s="1013" t="s">
        <v>7724</v>
      </c>
      <c r="EY162" s="1013" t="s">
        <v>7724</v>
      </c>
      <c r="EZ162" s="1013" t="s">
        <v>7724</v>
      </c>
      <c r="FA162" s="1013" t="s">
        <v>7724</v>
      </c>
      <c r="FB162" s="1013" t="s">
        <v>7724</v>
      </c>
      <c r="FC162" s="1013" t="s">
        <v>7724</v>
      </c>
      <c r="FD162" s="1013" t="s">
        <v>7724</v>
      </c>
      <c r="FE162" s="1013" t="s">
        <v>7724</v>
      </c>
      <c r="FF162" s="1013" t="s">
        <v>7724</v>
      </c>
      <c r="FG162" s="1013">
        <v>0</v>
      </c>
      <c r="FH162" s="1013">
        <v>0</v>
      </c>
      <c r="FI162" s="1013">
        <v>1</v>
      </c>
      <c r="FJ162" s="1013">
        <v>2</v>
      </c>
      <c r="FK162" s="1013">
        <v>0</v>
      </c>
      <c r="FL162" s="1013">
        <v>1</v>
      </c>
      <c r="FM162" s="1013">
        <v>0</v>
      </c>
      <c r="FN162" s="1013">
        <v>15</v>
      </c>
      <c r="FO162" s="1013">
        <v>29</v>
      </c>
      <c r="FP162" s="1013">
        <v>9</v>
      </c>
      <c r="FQ162" s="1013" t="s">
        <v>7724</v>
      </c>
      <c r="FR162" s="1013" t="s">
        <v>7724</v>
      </c>
      <c r="FS162" s="1013" t="s">
        <v>7724</v>
      </c>
      <c r="FT162" s="1013" t="s">
        <v>7723</v>
      </c>
      <c r="FU162" s="1013" t="s">
        <v>7723</v>
      </c>
      <c r="FV162" s="1013">
        <v>-1</v>
      </c>
      <c r="FW162" s="1023">
        <v>0.22569444444444445</v>
      </c>
      <c r="FX162" s="1023">
        <v>0.24652777777777779</v>
      </c>
      <c r="FY162" s="1024">
        <v>45056</v>
      </c>
      <c r="FZ162" s="1024">
        <v>45056</v>
      </c>
      <c r="GA162" s="1024">
        <v>45056</v>
      </c>
      <c r="GB162" s="1024">
        <v>45056</v>
      </c>
      <c r="GC162" s="1013">
        <v>2023</v>
      </c>
      <c r="GD162" s="1013" t="s">
        <v>1407</v>
      </c>
      <c r="GE162" s="1013">
        <v>2</v>
      </c>
      <c r="GF162" s="1013" t="s">
        <v>1407</v>
      </c>
      <c r="GG162" s="1013" t="s">
        <v>1407</v>
      </c>
      <c r="GH162" s="1013" t="s">
        <v>8012</v>
      </c>
      <c r="GI162" s="1013" t="s">
        <v>7974</v>
      </c>
      <c r="GJ162" s="1013" t="s">
        <v>7974</v>
      </c>
      <c r="GK162" s="1013" t="s">
        <v>7974</v>
      </c>
      <c r="GL162" s="1013" t="s">
        <v>7974</v>
      </c>
    </row>
    <row r="163" spans="1:194" hidden="1">
      <c r="A163" s="1013">
        <v>128</v>
      </c>
      <c r="B163" s="1013" t="s">
        <v>7722</v>
      </c>
      <c r="C163" s="1013">
        <v>19564292</v>
      </c>
      <c r="D163" s="1013" t="s">
        <v>7723</v>
      </c>
      <c r="E163" s="1013" t="s">
        <v>7723</v>
      </c>
      <c r="F163" s="1013" t="s">
        <v>7723</v>
      </c>
      <c r="G163" s="1013" t="s">
        <v>7723</v>
      </c>
      <c r="H163" s="1013" t="s">
        <v>7723</v>
      </c>
      <c r="I163" s="1013" t="s">
        <v>7723</v>
      </c>
      <c r="J163" s="1013" t="s">
        <v>7723</v>
      </c>
      <c r="K163" s="1024">
        <v>45065</v>
      </c>
      <c r="L163" s="1023">
        <v>0.36805555555555558</v>
      </c>
      <c r="M163" s="1013" t="s">
        <v>8146</v>
      </c>
      <c r="N163" s="1013" t="s">
        <v>7724</v>
      </c>
      <c r="O163" s="1013">
        <v>101</v>
      </c>
      <c r="P163" s="1013">
        <v>208</v>
      </c>
      <c r="Q163" s="1013" t="s">
        <v>7723</v>
      </c>
      <c r="R163" s="1013" t="s">
        <v>7723</v>
      </c>
      <c r="S163" s="1013" t="s">
        <v>7724</v>
      </c>
      <c r="T163" s="1014" t="s">
        <v>7724</v>
      </c>
      <c r="U163" s="1014">
        <v>2</v>
      </c>
      <c r="V163" s="1014">
        <v>59</v>
      </c>
      <c r="W163" s="1014" t="s">
        <v>7724</v>
      </c>
      <c r="X163" s="1013">
        <v>1</v>
      </c>
      <c r="Y163" s="1013">
        <v>500</v>
      </c>
      <c r="Z163" s="1013" t="s">
        <v>7770</v>
      </c>
      <c r="AA163" s="1013" t="s">
        <v>7771</v>
      </c>
      <c r="AB163" s="1013" t="s">
        <v>7760</v>
      </c>
      <c r="AC163" s="1013" t="s">
        <v>7723</v>
      </c>
      <c r="AD163" s="1013" t="s">
        <v>7723</v>
      </c>
      <c r="AE163" s="1013">
        <v>55</v>
      </c>
      <c r="AF163" s="1013" t="s">
        <v>7723</v>
      </c>
      <c r="AG163" s="1013" t="s">
        <v>7723</v>
      </c>
      <c r="AH163" s="1013" t="s">
        <v>7724</v>
      </c>
      <c r="AI163" s="1013" t="s">
        <v>7723</v>
      </c>
      <c r="AJ163" s="1013">
        <v>19</v>
      </c>
      <c r="AK163" s="1013" t="s">
        <v>7724</v>
      </c>
      <c r="AL163" s="1013" t="s">
        <v>7724</v>
      </c>
      <c r="AM163" s="1013">
        <v>1</v>
      </c>
      <c r="AN163" s="1013">
        <v>4600</v>
      </c>
      <c r="AO163" s="1013" t="s">
        <v>7724</v>
      </c>
      <c r="AP163" s="1013" t="s">
        <v>7840</v>
      </c>
      <c r="AQ163" s="1013" t="s">
        <v>7726</v>
      </c>
      <c r="AR163" s="1013" t="s">
        <v>7724</v>
      </c>
      <c r="AS163" s="1013" t="s">
        <v>7724</v>
      </c>
      <c r="AT163" s="1013" t="s">
        <v>7724</v>
      </c>
      <c r="AU163" s="1013" t="s">
        <v>7724</v>
      </c>
      <c r="AV163" s="1013" t="s">
        <v>7724</v>
      </c>
      <c r="AW163" s="1013" t="s">
        <v>7724</v>
      </c>
      <c r="AX163" s="1013">
        <v>11</v>
      </c>
      <c r="AY163" s="1013">
        <v>1</v>
      </c>
      <c r="AZ163" s="1013">
        <v>0</v>
      </c>
      <c r="BA163" s="1013">
        <v>4</v>
      </c>
      <c r="BB163" s="1013">
        <v>1</v>
      </c>
      <c r="BC163" s="1013">
        <v>1</v>
      </c>
      <c r="BD163" s="1013">
        <v>20</v>
      </c>
      <c r="BE163" s="1023">
        <v>0.37361111111111112</v>
      </c>
      <c r="BF163" s="1013" t="s">
        <v>7748</v>
      </c>
      <c r="BG163" s="1023">
        <v>0.37777777777777777</v>
      </c>
      <c r="BH163" s="1024">
        <v>45065</v>
      </c>
      <c r="BI163" s="1013" t="s">
        <v>7727</v>
      </c>
      <c r="BJ163" s="1013" t="s">
        <v>7730</v>
      </c>
      <c r="BK163" s="1013">
        <v>2469</v>
      </c>
      <c r="BL163" s="1013" t="s">
        <v>7724</v>
      </c>
      <c r="BM163" s="1013" t="s">
        <v>7724</v>
      </c>
      <c r="BN163" s="1013">
        <v>113</v>
      </c>
      <c r="BO163" s="1013">
        <v>8</v>
      </c>
      <c r="BP163" s="1013">
        <v>2</v>
      </c>
      <c r="BQ163" s="1013">
        <v>4</v>
      </c>
      <c r="BR163" s="1013">
        <v>20</v>
      </c>
      <c r="BS163" s="1013">
        <v>64</v>
      </c>
      <c r="BT163" s="1013">
        <v>54</v>
      </c>
      <c r="BU163" s="1013">
        <v>1</v>
      </c>
      <c r="BV163" s="1013">
        <v>2</v>
      </c>
      <c r="BW163" s="1013">
        <v>1</v>
      </c>
      <c r="BX163" s="1013">
        <v>21</v>
      </c>
      <c r="BY163" s="1013">
        <v>21</v>
      </c>
      <c r="BZ163" s="1013">
        <v>101</v>
      </c>
      <c r="CA163" s="1013">
        <v>208</v>
      </c>
      <c r="CB163" s="1013">
        <v>29.732396999999999</v>
      </c>
      <c r="CC163" s="1013">
        <v>-95.381669000000002</v>
      </c>
      <c r="CD163" s="1013" t="s">
        <v>7724</v>
      </c>
      <c r="CE163" s="1013" t="s">
        <v>7724</v>
      </c>
      <c r="CF163" s="1013" t="s">
        <v>7724</v>
      </c>
      <c r="CG163" s="1013" t="s">
        <v>7724</v>
      </c>
      <c r="CH163" s="1013" t="s">
        <v>8053</v>
      </c>
      <c r="CI163" s="1013" t="s">
        <v>7724</v>
      </c>
      <c r="CJ163" s="1013" t="s">
        <v>7724</v>
      </c>
      <c r="CK163" s="1013" t="s">
        <v>7724</v>
      </c>
      <c r="CL163" s="1013" t="s">
        <v>7724</v>
      </c>
      <c r="CM163" s="1013" t="s">
        <v>7724</v>
      </c>
      <c r="CN163" s="1013" t="s">
        <v>7724</v>
      </c>
      <c r="CO163" s="1013" t="s">
        <v>7724</v>
      </c>
      <c r="CP163" s="1013" t="s">
        <v>7724</v>
      </c>
      <c r="CQ163" s="1013" t="s">
        <v>7724</v>
      </c>
      <c r="CR163" s="1013" t="s">
        <v>7724</v>
      </c>
      <c r="CS163" s="1013" t="s">
        <v>7724</v>
      </c>
      <c r="CT163" s="1013" t="s">
        <v>7724</v>
      </c>
      <c r="CU163" s="1013" t="s">
        <v>7724</v>
      </c>
      <c r="CV163" s="1013" t="s">
        <v>7724</v>
      </c>
      <c r="CW163" s="1013" t="s">
        <v>7727</v>
      </c>
      <c r="CX163" s="1013" t="s">
        <v>7723</v>
      </c>
      <c r="CY163" s="1013" t="s">
        <v>7723</v>
      </c>
      <c r="CZ163" s="1013">
        <v>3</v>
      </c>
      <c r="DA163" s="1013">
        <v>9</v>
      </c>
      <c r="DB163" s="1013" t="s">
        <v>7727</v>
      </c>
      <c r="DC163" s="1013" t="s">
        <v>7759</v>
      </c>
      <c r="DD163" s="1013" t="s">
        <v>7724</v>
      </c>
      <c r="DE163" s="1013" t="s">
        <v>7724</v>
      </c>
      <c r="DF163" s="1013" t="s">
        <v>7724</v>
      </c>
      <c r="DG163" s="1013" t="s">
        <v>7724</v>
      </c>
      <c r="DH163" s="1013" t="s">
        <v>7724</v>
      </c>
      <c r="DI163" s="1013" t="s">
        <v>7724</v>
      </c>
      <c r="DJ163" s="1013" t="s">
        <v>7724</v>
      </c>
      <c r="DK163" s="1013" t="s">
        <v>7724</v>
      </c>
      <c r="DL163" s="1013" t="s">
        <v>7724</v>
      </c>
      <c r="DM163" s="1013" t="s">
        <v>7724</v>
      </c>
      <c r="DN163" s="1013" t="s">
        <v>7724</v>
      </c>
      <c r="DO163" s="1013" t="s">
        <v>7724</v>
      </c>
      <c r="DP163" s="1013" t="s">
        <v>7724</v>
      </c>
      <c r="DQ163" s="1013" t="s">
        <v>7724</v>
      </c>
      <c r="DR163" s="1013" t="s">
        <v>7724</v>
      </c>
      <c r="DS163" s="1013" t="s">
        <v>7724</v>
      </c>
      <c r="DT163" s="1013" t="s">
        <v>7724</v>
      </c>
      <c r="DU163" s="1013" t="s">
        <v>7724</v>
      </c>
      <c r="DV163" s="1013" t="s">
        <v>7724</v>
      </c>
      <c r="DW163" s="1013" t="s">
        <v>7724</v>
      </c>
      <c r="DX163" s="1013" t="s">
        <v>7724</v>
      </c>
      <c r="DY163" s="1013" t="s">
        <v>7724</v>
      </c>
      <c r="DZ163" s="1013" t="s">
        <v>7724</v>
      </c>
      <c r="EA163" s="1013" t="s">
        <v>7724</v>
      </c>
      <c r="EB163" s="1013" t="s">
        <v>7724</v>
      </c>
      <c r="EC163" s="1013" t="s">
        <v>7724</v>
      </c>
      <c r="ED163" s="1013" t="s">
        <v>7724</v>
      </c>
      <c r="EE163" s="1013" t="s">
        <v>7724</v>
      </c>
      <c r="EF163" s="1013" t="s">
        <v>7724</v>
      </c>
      <c r="EG163" s="1013" t="s">
        <v>7724</v>
      </c>
      <c r="EH163" s="1013" t="s">
        <v>7724</v>
      </c>
      <c r="EI163" s="1013" t="s">
        <v>7724</v>
      </c>
      <c r="EJ163" s="1013" t="s">
        <v>7724</v>
      </c>
      <c r="EK163" s="1013" t="s">
        <v>7724</v>
      </c>
      <c r="EL163" s="1013" t="s">
        <v>7724</v>
      </c>
      <c r="EM163" s="1013" t="s">
        <v>7724</v>
      </c>
      <c r="EN163" s="1013" t="s">
        <v>7724</v>
      </c>
      <c r="EO163" s="1013" t="s">
        <v>7724</v>
      </c>
      <c r="EP163" s="1013" t="s">
        <v>7724</v>
      </c>
      <c r="EQ163" s="1013" t="s">
        <v>7724</v>
      </c>
      <c r="ER163" s="1013" t="s">
        <v>7724</v>
      </c>
      <c r="ES163" s="1013" t="s">
        <v>7724</v>
      </c>
      <c r="ET163" s="1013" t="s">
        <v>7724</v>
      </c>
      <c r="EU163" s="1013" t="s">
        <v>7724</v>
      </c>
      <c r="EV163" s="1013" t="s">
        <v>7724</v>
      </c>
      <c r="EW163" s="1013" t="s">
        <v>7724</v>
      </c>
      <c r="EX163" s="1013" t="s">
        <v>7724</v>
      </c>
      <c r="EY163" s="1013" t="s">
        <v>7724</v>
      </c>
      <c r="EZ163" s="1013" t="s">
        <v>7724</v>
      </c>
      <c r="FA163" s="1013" t="s">
        <v>7724</v>
      </c>
      <c r="FB163" s="1013" t="s">
        <v>7724</v>
      </c>
      <c r="FC163" s="1013" t="s">
        <v>7724</v>
      </c>
      <c r="FD163" s="1013" t="s">
        <v>7724</v>
      </c>
      <c r="FE163" s="1013" t="s">
        <v>7724</v>
      </c>
      <c r="FF163" s="1013" t="s">
        <v>7724</v>
      </c>
      <c r="FG163" s="1013">
        <v>0</v>
      </c>
      <c r="FH163" s="1013">
        <v>0</v>
      </c>
      <c r="FI163" s="1013">
        <v>1</v>
      </c>
      <c r="FJ163" s="1013">
        <v>1</v>
      </c>
      <c r="FK163" s="1013">
        <v>0</v>
      </c>
      <c r="FL163" s="1013">
        <v>1</v>
      </c>
      <c r="FM163" s="1013">
        <v>0</v>
      </c>
      <c r="FN163" s="1013">
        <v>15</v>
      </c>
      <c r="FO163" s="1013">
        <v>29</v>
      </c>
      <c r="FP163" s="1013">
        <v>6</v>
      </c>
      <c r="FQ163" s="1013" t="s">
        <v>7724</v>
      </c>
      <c r="FR163" s="1013" t="s">
        <v>7724</v>
      </c>
      <c r="FS163" s="1013" t="s">
        <v>7724</v>
      </c>
      <c r="FT163" s="1013" t="s">
        <v>7723</v>
      </c>
      <c r="FU163" s="1013" t="s">
        <v>7842</v>
      </c>
      <c r="FV163" s="1013">
        <v>-1</v>
      </c>
      <c r="FW163" s="1023">
        <v>0.3840277777777778</v>
      </c>
      <c r="FX163" s="1023">
        <v>0.39583333333333331</v>
      </c>
      <c r="FY163" s="1024">
        <v>45065</v>
      </c>
      <c r="FZ163" s="1024">
        <v>45065</v>
      </c>
      <c r="GA163" s="1024">
        <v>45065</v>
      </c>
      <c r="GB163" s="1024">
        <v>45065</v>
      </c>
      <c r="GC163" s="1013">
        <v>2023</v>
      </c>
      <c r="GD163" s="1013" t="s">
        <v>1407</v>
      </c>
      <c r="GE163" s="1013">
        <v>2</v>
      </c>
      <c r="GF163" s="1013" t="s">
        <v>1407</v>
      </c>
      <c r="GG163" s="1013" t="s">
        <v>1407</v>
      </c>
      <c r="GH163" s="1013" t="s">
        <v>8023</v>
      </c>
      <c r="GI163" s="1013" t="s">
        <v>7974</v>
      </c>
      <c r="GJ163" s="1013" t="s">
        <v>7974</v>
      </c>
      <c r="GK163" s="1013" t="s">
        <v>7974</v>
      </c>
      <c r="GL163" s="1013" t="s">
        <v>7974</v>
      </c>
    </row>
    <row r="164" spans="1:194" hidden="1">
      <c r="A164" s="1013">
        <v>129</v>
      </c>
      <c r="B164" s="1013" t="s">
        <v>7722</v>
      </c>
      <c r="C164" s="1013">
        <v>19575859</v>
      </c>
      <c r="D164" s="1013" t="s">
        <v>7723</v>
      </c>
      <c r="E164" s="1013" t="s">
        <v>7723</v>
      </c>
      <c r="F164" s="1013" t="s">
        <v>7723</v>
      </c>
      <c r="G164" s="1013" t="s">
        <v>7723</v>
      </c>
      <c r="H164" s="1013" t="s">
        <v>7723</v>
      </c>
      <c r="I164" s="1013" t="s">
        <v>7723</v>
      </c>
      <c r="J164" s="1013" t="s">
        <v>7723</v>
      </c>
      <c r="K164" s="1024">
        <v>45076</v>
      </c>
      <c r="L164" s="1023">
        <v>0.59027777777777779</v>
      </c>
      <c r="M164" s="1013" t="s">
        <v>8147</v>
      </c>
      <c r="N164" s="1013" t="s">
        <v>7724</v>
      </c>
      <c r="O164" s="1013">
        <v>101</v>
      </c>
      <c r="P164" s="1013">
        <v>208</v>
      </c>
      <c r="Q164" s="1013" t="s">
        <v>7723</v>
      </c>
      <c r="R164" s="1013" t="s">
        <v>7727</v>
      </c>
      <c r="S164" s="1013" t="s">
        <v>7724</v>
      </c>
      <c r="T164" s="1014" t="s">
        <v>7724</v>
      </c>
      <c r="U164" s="1014">
        <v>19</v>
      </c>
      <c r="V164" s="1014" t="s">
        <v>7724</v>
      </c>
      <c r="W164" s="1014" t="s">
        <v>7724</v>
      </c>
      <c r="X164" s="1013">
        <v>1</v>
      </c>
      <c r="Y164" s="1013">
        <v>4900</v>
      </c>
      <c r="Z164" s="1013" t="s">
        <v>7724</v>
      </c>
      <c r="AA164" s="1013" t="s">
        <v>7728</v>
      </c>
      <c r="AB164" s="1013" t="s">
        <v>7726</v>
      </c>
      <c r="AC164" s="1013" t="s">
        <v>7723</v>
      </c>
      <c r="AD164" s="1013" t="s">
        <v>7723</v>
      </c>
      <c r="AE164" s="1013">
        <v>30</v>
      </c>
      <c r="AF164" s="1013" t="s">
        <v>7723</v>
      </c>
      <c r="AG164" s="1013" t="s">
        <v>7723</v>
      </c>
      <c r="AH164" s="1013" t="s">
        <v>8148</v>
      </c>
      <c r="AI164" s="1013" t="s">
        <v>7723</v>
      </c>
      <c r="AJ164" s="1013">
        <v>19</v>
      </c>
      <c r="AK164" s="1013" t="s">
        <v>7724</v>
      </c>
      <c r="AL164" s="1013" t="s">
        <v>7724</v>
      </c>
      <c r="AM164" s="1013">
        <v>1</v>
      </c>
      <c r="AN164" s="1013" t="s">
        <v>7724</v>
      </c>
      <c r="AO164" s="1013" t="s">
        <v>7724</v>
      </c>
      <c r="AP164" s="1013" t="s">
        <v>8149</v>
      </c>
      <c r="AQ164" s="1013" t="s">
        <v>7726</v>
      </c>
      <c r="AR164" s="1013" t="s">
        <v>7724</v>
      </c>
      <c r="AS164" s="1013" t="s">
        <v>7724</v>
      </c>
      <c r="AT164" s="1013" t="s">
        <v>7724</v>
      </c>
      <c r="AU164" s="1013" t="s">
        <v>7724</v>
      </c>
      <c r="AV164" s="1013" t="s">
        <v>8148</v>
      </c>
      <c r="AW164" s="1013" t="s">
        <v>7724</v>
      </c>
      <c r="AX164" s="1013">
        <v>11</v>
      </c>
      <c r="AY164" s="1013">
        <v>1</v>
      </c>
      <c r="AZ164" s="1013">
        <v>2</v>
      </c>
      <c r="BA164" s="1013">
        <v>4</v>
      </c>
      <c r="BB164" s="1013">
        <v>1</v>
      </c>
      <c r="BC164" s="1013">
        <v>1</v>
      </c>
      <c r="BD164" s="1013">
        <v>20</v>
      </c>
      <c r="BE164" s="1023">
        <v>0.66666666666666663</v>
      </c>
      <c r="BF164" s="1013" t="s">
        <v>7761</v>
      </c>
      <c r="BG164" s="1023">
        <v>0.66666666666666663</v>
      </c>
      <c r="BH164" s="1024">
        <v>45076</v>
      </c>
      <c r="BI164" s="1013" t="s">
        <v>7727</v>
      </c>
      <c r="BJ164" s="1013" t="s">
        <v>7730</v>
      </c>
      <c r="BK164" s="1013">
        <v>2469</v>
      </c>
      <c r="BL164" s="1013" t="s">
        <v>7724</v>
      </c>
      <c r="BM164" s="1013" t="s">
        <v>7724</v>
      </c>
      <c r="BN164" s="1013">
        <v>113</v>
      </c>
      <c r="BO164" s="1013">
        <v>8</v>
      </c>
      <c r="BP164" s="1013">
        <v>2</v>
      </c>
      <c r="BQ164" s="1013">
        <v>4</v>
      </c>
      <c r="BR164" s="1013">
        <v>21</v>
      </c>
      <c r="BS164" s="1013">
        <v>64</v>
      </c>
      <c r="BT164" s="1013">
        <v>9</v>
      </c>
      <c r="BU164" s="1013">
        <v>1</v>
      </c>
      <c r="BV164" s="1013">
        <v>5</v>
      </c>
      <c r="BW164" s="1013">
        <v>1</v>
      </c>
      <c r="BX164" s="1013">
        <v>21</v>
      </c>
      <c r="BY164" s="1013">
        <v>21</v>
      </c>
      <c r="BZ164" s="1013">
        <v>101</v>
      </c>
      <c r="CA164" s="1013">
        <v>208</v>
      </c>
      <c r="CB164" s="1013">
        <v>29.731619999999999</v>
      </c>
      <c r="CC164" s="1013">
        <v>-95.382451000000003</v>
      </c>
      <c r="CD164" s="1013" t="s">
        <v>7724</v>
      </c>
      <c r="CE164" s="1013" t="s">
        <v>7724</v>
      </c>
      <c r="CF164" s="1013" t="s">
        <v>7724</v>
      </c>
      <c r="CG164" s="1013" t="s">
        <v>7724</v>
      </c>
      <c r="CH164" s="1013" t="s">
        <v>7732</v>
      </c>
      <c r="CI164" s="1013">
        <v>4606</v>
      </c>
      <c r="CJ164" s="1013" t="s">
        <v>7724</v>
      </c>
      <c r="CK164" s="1013" t="s">
        <v>7724</v>
      </c>
      <c r="CL164" s="1013" t="s">
        <v>7724</v>
      </c>
      <c r="CM164" s="1013" t="s">
        <v>7724</v>
      </c>
      <c r="CN164" s="1013" t="s">
        <v>7724</v>
      </c>
      <c r="CO164" s="1013" t="s">
        <v>7724</v>
      </c>
      <c r="CP164" s="1013" t="s">
        <v>7724</v>
      </c>
      <c r="CQ164" s="1013" t="s">
        <v>7724</v>
      </c>
      <c r="CR164" s="1013" t="s">
        <v>7724</v>
      </c>
      <c r="CS164" s="1013" t="s">
        <v>7724</v>
      </c>
      <c r="CT164" s="1013" t="s">
        <v>7724</v>
      </c>
      <c r="CU164" s="1013" t="s">
        <v>7724</v>
      </c>
      <c r="CV164" s="1013" t="s">
        <v>7724</v>
      </c>
      <c r="CW164" s="1013" t="s">
        <v>7727</v>
      </c>
      <c r="CX164" s="1013" t="s">
        <v>7723</v>
      </c>
      <c r="CY164" s="1013" t="s">
        <v>7723</v>
      </c>
      <c r="CZ164" s="1013">
        <v>5</v>
      </c>
      <c r="DA164" s="1013">
        <v>9</v>
      </c>
      <c r="DB164" s="1013" t="s">
        <v>7727</v>
      </c>
      <c r="DC164" s="1013" t="s">
        <v>7737</v>
      </c>
      <c r="DD164" s="1013" t="s">
        <v>7724</v>
      </c>
      <c r="DE164" s="1013" t="s">
        <v>7724</v>
      </c>
      <c r="DF164" s="1013" t="s">
        <v>7724</v>
      </c>
      <c r="DG164" s="1013" t="s">
        <v>7724</v>
      </c>
      <c r="DH164" s="1013" t="s">
        <v>7724</v>
      </c>
      <c r="DI164" s="1013" t="s">
        <v>7724</v>
      </c>
      <c r="DJ164" s="1013" t="s">
        <v>7724</v>
      </c>
      <c r="DK164" s="1013" t="s">
        <v>7724</v>
      </c>
      <c r="DL164" s="1013" t="s">
        <v>7724</v>
      </c>
      <c r="DM164" s="1013" t="s">
        <v>7724</v>
      </c>
      <c r="DN164" s="1013" t="s">
        <v>7724</v>
      </c>
      <c r="DO164" s="1013" t="s">
        <v>7724</v>
      </c>
      <c r="DP164" s="1013" t="s">
        <v>7724</v>
      </c>
      <c r="DQ164" s="1013" t="s">
        <v>7724</v>
      </c>
      <c r="DR164" s="1013" t="s">
        <v>7724</v>
      </c>
      <c r="DS164" s="1013" t="s">
        <v>7724</v>
      </c>
      <c r="DT164" s="1013" t="s">
        <v>7724</v>
      </c>
      <c r="DU164" s="1013" t="s">
        <v>7724</v>
      </c>
      <c r="DV164" s="1013" t="s">
        <v>7724</v>
      </c>
      <c r="DW164" s="1013" t="s">
        <v>7724</v>
      </c>
      <c r="DX164" s="1013" t="s">
        <v>7724</v>
      </c>
      <c r="DY164" s="1013" t="s">
        <v>7724</v>
      </c>
      <c r="DZ164" s="1013" t="s">
        <v>7724</v>
      </c>
      <c r="EA164" s="1013" t="s">
        <v>7724</v>
      </c>
      <c r="EB164" s="1013" t="s">
        <v>7724</v>
      </c>
      <c r="EC164" s="1013" t="s">
        <v>7724</v>
      </c>
      <c r="ED164" s="1013" t="s">
        <v>7724</v>
      </c>
      <c r="EE164" s="1013" t="s">
        <v>7724</v>
      </c>
      <c r="EF164" s="1013" t="s">
        <v>7724</v>
      </c>
      <c r="EG164" s="1013" t="s">
        <v>7724</v>
      </c>
      <c r="EH164" s="1013" t="s">
        <v>7724</v>
      </c>
      <c r="EI164" s="1013" t="s">
        <v>7724</v>
      </c>
      <c r="EJ164" s="1013" t="s">
        <v>7724</v>
      </c>
      <c r="EK164" s="1013" t="s">
        <v>7724</v>
      </c>
      <c r="EL164" s="1013" t="s">
        <v>7724</v>
      </c>
      <c r="EM164" s="1013" t="s">
        <v>7724</v>
      </c>
      <c r="EN164" s="1013" t="s">
        <v>7724</v>
      </c>
      <c r="EO164" s="1013" t="s">
        <v>7724</v>
      </c>
      <c r="EP164" s="1013" t="s">
        <v>7724</v>
      </c>
      <c r="EQ164" s="1013" t="s">
        <v>7724</v>
      </c>
      <c r="ER164" s="1013" t="s">
        <v>7724</v>
      </c>
      <c r="ES164" s="1013" t="s">
        <v>7724</v>
      </c>
      <c r="ET164" s="1013" t="s">
        <v>7724</v>
      </c>
      <c r="EU164" s="1013" t="s">
        <v>7724</v>
      </c>
      <c r="EV164" s="1013" t="s">
        <v>7724</v>
      </c>
      <c r="EW164" s="1013" t="s">
        <v>7724</v>
      </c>
      <c r="EX164" s="1013" t="s">
        <v>7724</v>
      </c>
      <c r="EY164" s="1013" t="s">
        <v>7724</v>
      </c>
      <c r="EZ164" s="1013" t="s">
        <v>7724</v>
      </c>
      <c r="FA164" s="1013" t="s">
        <v>7724</v>
      </c>
      <c r="FB164" s="1013" t="s">
        <v>7724</v>
      </c>
      <c r="FC164" s="1013" t="s">
        <v>7724</v>
      </c>
      <c r="FD164" s="1013" t="s">
        <v>7724</v>
      </c>
      <c r="FE164" s="1013" t="s">
        <v>7724</v>
      </c>
      <c r="FF164" s="1013" t="s">
        <v>7724</v>
      </c>
      <c r="FG164" s="1013">
        <v>0</v>
      </c>
      <c r="FH164" s="1013">
        <v>0</v>
      </c>
      <c r="FI164" s="1013">
        <v>0</v>
      </c>
      <c r="FJ164" s="1013">
        <v>2</v>
      </c>
      <c r="FK164" s="1013">
        <v>0</v>
      </c>
      <c r="FL164" s="1013">
        <v>0</v>
      </c>
      <c r="FM164" s="1013">
        <v>0</v>
      </c>
      <c r="FN164" s="1013">
        <v>15</v>
      </c>
      <c r="FO164" s="1013">
        <v>29</v>
      </c>
      <c r="FP164" s="1013">
        <v>9</v>
      </c>
      <c r="FQ164" s="1013" t="s">
        <v>7724</v>
      </c>
      <c r="FR164" s="1013" t="s">
        <v>7724</v>
      </c>
      <c r="FS164" s="1013" t="s">
        <v>7724</v>
      </c>
      <c r="FT164" s="1013" t="s">
        <v>7723</v>
      </c>
      <c r="FU164" s="1013" t="s">
        <v>7723</v>
      </c>
      <c r="FV164" s="1013">
        <v>-1</v>
      </c>
      <c r="FW164" s="1023">
        <v>0.66666666666666663</v>
      </c>
      <c r="FX164" s="1023">
        <v>0.66666666666666663</v>
      </c>
      <c r="FY164" s="1024">
        <v>45076</v>
      </c>
      <c r="FZ164" s="1024">
        <v>45076</v>
      </c>
      <c r="GA164" s="1024">
        <v>45076</v>
      </c>
      <c r="GB164" s="1024">
        <v>45076</v>
      </c>
      <c r="GC164" s="1013">
        <v>2023</v>
      </c>
      <c r="GD164" s="1013" t="s">
        <v>1404</v>
      </c>
      <c r="GE164" s="1013">
        <v>2</v>
      </c>
      <c r="GF164" s="1013" t="s">
        <v>1407</v>
      </c>
      <c r="GG164" s="1013" t="s">
        <v>1407</v>
      </c>
      <c r="GH164" s="1013" t="s">
        <v>7995</v>
      </c>
      <c r="GI164" s="1013" t="s">
        <v>7974</v>
      </c>
      <c r="GJ164" s="1013" t="s">
        <v>7974</v>
      </c>
      <c r="GK164" s="1013" t="s">
        <v>7974</v>
      </c>
      <c r="GL164" s="1013" t="s">
        <v>7974</v>
      </c>
    </row>
    <row r="165" spans="1:194" hidden="1">
      <c r="A165" s="1013">
        <v>134</v>
      </c>
      <c r="B165" s="1013" t="s">
        <v>7722</v>
      </c>
      <c r="C165" s="1013">
        <v>19668272</v>
      </c>
      <c r="D165" s="1013" t="s">
        <v>7723</v>
      </c>
      <c r="E165" s="1013" t="s">
        <v>7723</v>
      </c>
      <c r="F165" s="1013" t="s">
        <v>7723</v>
      </c>
      <c r="G165" s="1013" t="s">
        <v>7723</v>
      </c>
      <c r="H165" s="1013" t="s">
        <v>7723</v>
      </c>
      <c r="I165" s="1013" t="s">
        <v>7723</v>
      </c>
      <c r="J165" s="1013" t="s">
        <v>7723</v>
      </c>
      <c r="K165" s="1024">
        <v>45131</v>
      </c>
      <c r="L165" s="1023">
        <v>0.67152777777777772</v>
      </c>
      <c r="M165" s="1013" t="s">
        <v>8150</v>
      </c>
      <c r="N165" s="1013" t="s">
        <v>7724</v>
      </c>
      <c r="O165" s="1013">
        <v>101</v>
      </c>
      <c r="P165" s="1013">
        <v>9999</v>
      </c>
      <c r="Q165" s="1013" t="s">
        <v>7727</v>
      </c>
      <c r="R165" s="1013" t="s">
        <v>7727</v>
      </c>
      <c r="S165" s="1013" t="s">
        <v>7724</v>
      </c>
      <c r="T165" s="1014" t="s">
        <v>7724</v>
      </c>
      <c r="U165" s="1014">
        <v>19</v>
      </c>
      <c r="V165" s="1014" t="s">
        <v>7724</v>
      </c>
      <c r="W165" s="1014" t="s">
        <v>7724</v>
      </c>
      <c r="X165" s="1013">
        <v>3</v>
      </c>
      <c r="Y165" s="1013">
        <v>4500</v>
      </c>
      <c r="Z165" s="1013" t="s">
        <v>7724</v>
      </c>
      <c r="AA165" s="1013" t="s">
        <v>7728</v>
      </c>
      <c r="AB165" s="1013" t="s">
        <v>7726</v>
      </c>
      <c r="AC165" s="1013" t="s">
        <v>7723</v>
      </c>
      <c r="AD165" s="1013" t="s">
        <v>7723</v>
      </c>
      <c r="AE165" s="1013">
        <v>45</v>
      </c>
      <c r="AF165" s="1013" t="s">
        <v>7723</v>
      </c>
      <c r="AG165" s="1013" t="s">
        <v>7723</v>
      </c>
      <c r="AH165" s="1013" t="s">
        <v>7739</v>
      </c>
      <c r="AI165" s="1013" t="s">
        <v>7723</v>
      </c>
      <c r="AJ165" s="1013">
        <v>3</v>
      </c>
      <c r="AK165" s="1013">
        <v>59</v>
      </c>
      <c r="AL165" s="1013" t="s">
        <v>7724</v>
      </c>
      <c r="AM165" s="1013">
        <v>2</v>
      </c>
      <c r="AN165" s="1013" t="s">
        <v>7724</v>
      </c>
      <c r="AO165" s="1013" t="s">
        <v>7724</v>
      </c>
      <c r="AP165" s="1013" t="s">
        <v>950</v>
      </c>
      <c r="AQ165" s="1013" t="s">
        <v>7724</v>
      </c>
      <c r="AR165" s="1013" t="s">
        <v>7724</v>
      </c>
      <c r="AS165" s="1013" t="s">
        <v>7724</v>
      </c>
      <c r="AT165" s="1013" t="s">
        <v>7724</v>
      </c>
      <c r="AU165" s="1013" t="s">
        <v>7724</v>
      </c>
      <c r="AV165" s="1013" t="s">
        <v>7739</v>
      </c>
      <c r="AW165" s="1013" t="s">
        <v>7724</v>
      </c>
      <c r="AX165" s="1013">
        <v>11</v>
      </c>
      <c r="AY165" s="1013">
        <v>1</v>
      </c>
      <c r="AZ165" s="1013">
        <v>0</v>
      </c>
      <c r="BA165" s="1013">
        <v>4</v>
      </c>
      <c r="BB165" s="1013">
        <v>2</v>
      </c>
      <c r="BC165" s="1013">
        <v>1</v>
      </c>
      <c r="BD165" s="1013">
        <v>20</v>
      </c>
      <c r="BE165" s="1023">
        <v>0.67152777777777772</v>
      </c>
      <c r="BF165" s="1013" t="s">
        <v>7780</v>
      </c>
      <c r="BG165" s="1023">
        <v>0.67986111111111114</v>
      </c>
      <c r="BH165" s="1024">
        <v>45131</v>
      </c>
      <c r="BI165" s="1013" t="s">
        <v>7727</v>
      </c>
      <c r="BJ165" s="1013" t="s">
        <v>7730</v>
      </c>
      <c r="BK165" s="1013">
        <v>2469</v>
      </c>
      <c r="BL165" s="1013" t="s">
        <v>7724</v>
      </c>
      <c r="BM165" s="1013" t="s">
        <v>7724</v>
      </c>
      <c r="BN165" s="1013" t="s">
        <v>7724</v>
      </c>
      <c r="BO165" s="1013">
        <v>8</v>
      </c>
      <c r="BP165" s="1013">
        <v>2</v>
      </c>
      <c r="BQ165" s="1013">
        <v>4</v>
      </c>
      <c r="BR165" s="1013">
        <v>20</v>
      </c>
      <c r="BS165" s="1013">
        <v>64</v>
      </c>
      <c r="BT165" s="1013">
        <v>54</v>
      </c>
      <c r="BU165" s="1013">
        <v>3</v>
      </c>
      <c r="BV165" s="1013">
        <v>2</v>
      </c>
      <c r="BW165" s="1013">
        <v>1</v>
      </c>
      <c r="BX165" s="1013">
        <v>21</v>
      </c>
      <c r="BY165" s="1013">
        <v>21</v>
      </c>
      <c r="BZ165" s="1013">
        <v>101</v>
      </c>
      <c r="CA165" s="1013">
        <v>208</v>
      </c>
      <c r="CB165" s="1013">
        <v>29.732386999999999</v>
      </c>
      <c r="CC165" s="1013">
        <v>-95.381831000000005</v>
      </c>
      <c r="CD165" s="1013" t="s">
        <v>7724</v>
      </c>
      <c r="CE165" s="1013" t="s">
        <v>7724</v>
      </c>
      <c r="CF165" s="1013" t="s">
        <v>7724</v>
      </c>
      <c r="CG165" s="1013" t="s">
        <v>7724</v>
      </c>
      <c r="CH165" s="1013" t="s">
        <v>7732</v>
      </c>
      <c r="CI165" s="1013" t="s">
        <v>7724</v>
      </c>
      <c r="CJ165" s="1013" t="s">
        <v>7724</v>
      </c>
      <c r="CK165" s="1013" t="s">
        <v>7724</v>
      </c>
      <c r="CL165" s="1013" t="s">
        <v>7724</v>
      </c>
      <c r="CM165" s="1013" t="s">
        <v>7724</v>
      </c>
      <c r="CN165" s="1013" t="s">
        <v>7724</v>
      </c>
      <c r="CO165" s="1013" t="s">
        <v>7724</v>
      </c>
      <c r="CP165" s="1013" t="s">
        <v>7724</v>
      </c>
      <c r="CQ165" s="1013" t="s">
        <v>7724</v>
      </c>
      <c r="CR165" s="1013" t="s">
        <v>7724</v>
      </c>
      <c r="CS165" s="1013" t="s">
        <v>7724</v>
      </c>
      <c r="CT165" s="1013" t="s">
        <v>7724</v>
      </c>
      <c r="CU165" s="1013" t="s">
        <v>7724</v>
      </c>
      <c r="CV165" s="1013" t="s">
        <v>7724</v>
      </c>
      <c r="CW165" s="1013" t="s">
        <v>7727</v>
      </c>
      <c r="CX165" s="1013" t="s">
        <v>7723</v>
      </c>
      <c r="CY165" s="1013" t="s">
        <v>7723</v>
      </c>
      <c r="CZ165" s="1013">
        <v>5</v>
      </c>
      <c r="DA165" s="1013">
        <v>9</v>
      </c>
      <c r="DB165" s="1013" t="s">
        <v>7727</v>
      </c>
      <c r="DC165" s="1013" t="s">
        <v>7743</v>
      </c>
      <c r="DD165" s="1013" t="s">
        <v>7724</v>
      </c>
      <c r="DE165" s="1013" t="s">
        <v>7724</v>
      </c>
      <c r="DF165" s="1013" t="s">
        <v>7724</v>
      </c>
      <c r="DG165" s="1013" t="s">
        <v>7724</v>
      </c>
      <c r="DH165" s="1013" t="s">
        <v>7724</v>
      </c>
      <c r="DI165" s="1013" t="s">
        <v>7724</v>
      </c>
      <c r="DJ165" s="1013" t="s">
        <v>7724</v>
      </c>
      <c r="DK165" s="1013" t="s">
        <v>7724</v>
      </c>
      <c r="DL165" s="1013" t="s">
        <v>7724</v>
      </c>
      <c r="DM165" s="1013" t="s">
        <v>7724</v>
      </c>
      <c r="DN165" s="1013" t="s">
        <v>7724</v>
      </c>
      <c r="DO165" s="1013" t="s">
        <v>7724</v>
      </c>
      <c r="DP165" s="1013" t="s">
        <v>7724</v>
      </c>
      <c r="DQ165" s="1013" t="s">
        <v>7724</v>
      </c>
      <c r="DR165" s="1013" t="s">
        <v>7724</v>
      </c>
      <c r="DS165" s="1013" t="s">
        <v>7724</v>
      </c>
      <c r="DT165" s="1013" t="s">
        <v>7724</v>
      </c>
      <c r="DU165" s="1013" t="s">
        <v>7724</v>
      </c>
      <c r="DV165" s="1013" t="s">
        <v>7724</v>
      </c>
      <c r="DW165" s="1013" t="s">
        <v>7724</v>
      </c>
      <c r="DX165" s="1013" t="s">
        <v>7724</v>
      </c>
      <c r="DY165" s="1013" t="s">
        <v>7724</v>
      </c>
      <c r="DZ165" s="1013" t="s">
        <v>7724</v>
      </c>
      <c r="EA165" s="1013" t="s">
        <v>7724</v>
      </c>
      <c r="EB165" s="1013" t="s">
        <v>7724</v>
      </c>
      <c r="EC165" s="1013" t="s">
        <v>7724</v>
      </c>
      <c r="ED165" s="1013" t="s">
        <v>7724</v>
      </c>
      <c r="EE165" s="1013" t="s">
        <v>7724</v>
      </c>
      <c r="EF165" s="1013" t="s">
        <v>7724</v>
      </c>
      <c r="EG165" s="1013" t="s">
        <v>7724</v>
      </c>
      <c r="EH165" s="1013" t="s">
        <v>7724</v>
      </c>
      <c r="EI165" s="1013" t="s">
        <v>7724</v>
      </c>
      <c r="EJ165" s="1013" t="s">
        <v>7724</v>
      </c>
      <c r="EK165" s="1013" t="s">
        <v>7724</v>
      </c>
      <c r="EL165" s="1013" t="s">
        <v>7724</v>
      </c>
      <c r="EM165" s="1013" t="s">
        <v>7724</v>
      </c>
      <c r="EN165" s="1013" t="s">
        <v>7724</v>
      </c>
      <c r="EO165" s="1013" t="s">
        <v>7724</v>
      </c>
      <c r="EP165" s="1013" t="s">
        <v>7724</v>
      </c>
      <c r="EQ165" s="1013" t="s">
        <v>7724</v>
      </c>
      <c r="ER165" s="1013" t="s">
        <v>7724</v>
      </c>
      <c r="ES165" s="1013" t="s">
        <v>7724</v>
      </c>
      <c r="ET165" s="1013" t="s">
        <v>7724</v>
      </c>
      <c r="EU165" s="1013" t="s">
        <v>7724</v>
      </c>
      <c r="EV165" s="1013" t="s">
        <v>7724</v>
      </c>
      <c r="EW165" s="1013" t="s">
        <v>7724</v>
      </c>
      <c r="EX165" s="1013" t="s">
        <v>7724</v>
      </c>
      <c r="EY165" s="1013" t="s">
        <v>7724</v>
      </c>
      <c r="EZ165" s="1013" t="s">
        <v>7724</v>
      </c>
      <c r="FA165" s="1013" t="s">
        <v>7724</v>
      </c>
      <c r="FB165" s="1013" t="s">
        <v>7724</v>
      </c>
      <c r="FC165" s="1013" t="s">
        <v>7724</v>
      </c>
      <c r="FD165" s="1013" t="s">
        <v>7724</v>
      </c>
      <c r="FE165" s="1013" t="s">
        <v>7724</v>
      </c>
      <c r="FF165" s="1013" t="s">
        <v>7724</v>
      </c>
      <c r="FG165" s="1013">
        <v>0</v>
      </c>
      <c r="FH165" s="1013">
        <v>0</v>
      </c>
      <c r="FI165" s="1013">
        <v>0</v>
      </c>
      <c r="FJ165" s="1013">
        <v>4</v>
      </c>
      <c r="FK165" s="1013">
        <v>0</v>
      </c>
      <c r="FL165" s="1013">
        <v>0</v>
      </c>
      <c r="FM165" s="1013">
        <v>0</v>
      </c>
      <c r="FN165" s="1013">
        <v>15</v>
      </c>
      <c r="FO165" s="1013">
        <v>207</v>
      </c>
      <c r="FP165" s="1013" t="s">
        <v>7724</v>
      </c>
      <c r="FQ165" s="1013" t="s">
        <v>7724</v>
      </c>
      <c r="FR165" s="1013" t="s">
        <v>7724</v>
      </c>
      <c r="FS165" s="1013" t="s">
        <v>7724</v>
      </c>
      <c r="FT165" s="1013" t="s">
        <v>7723</v>
      </c>
      <c r="FU165" s="1013" t="s">
        <v>7790</v>
      </c>
      <c r="FV165" s="1013">
        <v>-1</v>
      </c>
      <c r="FW165" s="1023">
        <v>0.67986111111111114</v>
      </c>
      <c r="FX165" s="1023">
        <v>0.67986111111111114</v>
      </c>
      <c r="FY165" s="1024">
        <v>45131</v>
      </c>
      <c r="FZ165" s="1024">
        <v>45131</v>
      </c>
      <c r="GA165" s="1024">
        <v>45131</v>
      </c>
      <c r="GB165" s="1024">
        <v>45131</v>
      </c>
      <c r="GC165" s="1013">
        <v>2023</v>
      </c>
      <c r="GD165" s="1013" t="s">
        <v>1404</v>
      </c>
      <c r="GE165" s="1013">
        <v>2</v>
      </c>
      <c r="GF165" s="1013" t="s">
        <v>1407</v>
      </c>
      <c r="GG165" s="1013" t="s">
        <v>1407</v>
      </c>
      <c r="GH165" s="1013" t="s">
        <v>8023</v>
      </c>
      <c r="GI165" s="1013" t="s">
        <v>7974</v>
      </c>
      <c r="GJ165" s="1013" t="s">
        <v>7974</v>
      </c>
      <c r="GK165" s="1013" t="s">
        <v>7974</v>
      </c>
      <c r="GL165" s="1013" t="s">
        <v>7974</v>
      </c>
    </row>
    <row r="166" spans="1:194" hidden="1">
      <c r="A166" s="1013">
        <v>138</v>
      </c>
      <c r="B166" s="1013" t="s">
        <v>7722</v>
      </c>
      <c r="C166" s="1013">
        <v>19704339</v>
      </c>
      <c r="D166" s="1013" t="s">
        <v>7723</v>
      </c>
      <c r="E166" s="1013" t="s">
        <v>7723</v>
      </c>
      <c r="F166" s="1013" t="s">
        <v>7723</v>
      </c>
      <c r="G166" s="1013" t="s">
        <v>7723</v>
      </c>
      <c r="H166" s="1013" t="s">
        <v>7723</v>
      </c>
      <c r="I166" s="1013" t="s">
        <v>7723</v>
      </c>
      <c r="J166" s="1013" t="s">
        <v>7723</v>
      </c>
      <c r="K166" s="1024">
        <v>45152</v>
      </c>
      <c r="L166" s="1023">
        <v>0.75694444444444442</v>
      </c>
      <c r="M166" s="1013" t="s">
        <v>8151</v>
      </c>
      <c r="N166" s="1013" t="s">
        <v>7724</v>
      </c>
      <c r="O166" s="1013">
        <v>101</v>
      </c>
      <c r="P166" s="1013">
        <v>208</v>
      </c>
      <c r="Q166" s="1013" t="s">
        <v>7723</v>
      </c>
      <c r="R166" s="1013" t="s">
        <v>7727</v>
      </c>
      <c r="S166" s="1013" t="s">
        <v>7724</v>
      </c>
      <c r="T166" s="1014" t="s">
        <v>7724</v>
      </c>
      <c r="U166" s="1014">
        <v>19</v>
      </c>
      <c r="V166" s="1014" t="s">
        <v>7724</v>
      </c>
      <c r="W166" s="1014" t="s">
        <v>7724</v>
      </c>
      <c r="X166" s="1013">
        <v>1</v>
      </c>
      <c r="Y166" s="1013">
        <v>1200</v>
      </c>
      <c r="Z166" s="1013" t="s">
        <v>7724</v>
      </c>
      <c r="AA166" s="1013" t="s">
        <v>7725</v>
      </c>
      <c r="AB166" s="1013" t="s">
        <v>7735</v>
      </c>
      <c r="AC166" s="1013" t="s">
        <v>7723</v>
      </c>
      <c r="AD166" s="1013" t="s">
        <v>7723</v>
      </c>
      <c r="AE166" s="1013">
        <v>35</v>
      </c>
      <c r="AF166" s="1013" t="s">
        <v>7723</v>
      </c>
      <c r="AG166" s="1013" t="s">
        <v>7723</v>
      </c>
      <c r="AH166" s="1013" t="s">
        <v>7724</v>
      </c>
      <c r="AI166" s="1013" t="s">
        <v>7727</v>
      </c>
      <c r="AJ166" s="1013">
        <v>19</v>
      </c>
      <c r="AK166" s="1013" t="s">
        <v>7724</v>
      </c>
      <c r="AL166" s="1013" t="s">
        <v>7724</v>
      </c>
      <c r="AM166" s="1013">
        <v>1</v>
      </c>
      <c r="AN166" s="1013">
        <v>4400</v>
      </c>
      <c r="AO166" s="1013" t="s">
        <v>7724</v>
      </c>
      <c r="AP166" s="1013" t="s">
        <v>7728</v>
      </c>
      <c r="AQ166" s="1013" t="s">
        <v>7726</v>
      </c>
      <c r="AR166" s="1013" t="s">
        <v>7724</v>
      </c>
      <c r="AS166" s="1013" t="s">
        <v>7724</v>
      </c>
      <c r="AT166" s="1013" t="s">
        <v>7724</v>
      </c>
      <c r="AU166" s="1013" t="s">
        <v>7724</v>
      </c>
      <c r="AV166" s="1013" t="s">
        <v>7724</v>
      </c>
      <c r="AW166" s="1013" t="s">
        <v>7724</v>
      </c>
      <c r="AX166" s="1013">
        <v>11</v>
      </c>
      <c r="AY166" s="1013">
        <v>1</v>
      </c>
      <c r="AZ166" s="1013">
        <v>4</v>
      </c>
      <c r="BA166" s="1013">
        <v>1</v>
      </c>
      <c r="BB166" s="1013">
        <v>1</v>
      </c>
      <c r="BC166" s="1013">
        <v>1</v>
      </c>
      <c r="BD166" s="1013">
        <v>5</v>
      </c>
      <c r="BE166" s="1023">
        <v>0.89722222222222225</v>
      </c>
      <c r="BF166" s="1013" t="s">
        <v>7828</v>
      </c>
      <c r="BG166" s="1023">
        <v>0.89722222222222225</v>
      </c>
      <c r="BH166" s="1024">
        <v>45153</v>
      </c>
      <c r="BI166" s="1013" t="s">
        <v>7727</v>
      </c>
      <c r="BJ166" s="1013" t="s">
        <v>7730</v>
      </c>
      <c r="BK166" s="1013">
        <v>2469</v>
      </c>
      <c r="BL166" s="1013" t="s">
        <v>7724</v>
      </c>
      <c r="BM166" s="1013" t="s">
        <v>7724</v>
      </c>
      <c r="BN166" s="1013">
        <v>113</v>
      </c>
      <c r="BO166" s="1013">
        <v>8</v>
      </c>
      <c r="BP166" s="1013">
        <v>2</v>
      </c>
      <c r="BQ166" s="1013">
        <v>4</v>
      </c>
      <c r="BR166" s="1013">
        <v>21</v>
      </c>
      <c r="BS166" s="1013">
        <v>64</v>
      </c>
      <c r="BT166" s="1013">
        <v>54</v>
      </c>
      <c r="BU166" s="1013">
        <v>1</v>
      </c>
      <c r="BV166" s="1013">
        <v>5</v>
      </c>
      <c r="BW166" s="1013">
        <v>1</v>
      </c>
      <c r="BX166" s="1013">
        <v>21</v>
      </c>
      <c r="BY166" s="1013">
        <v>21</v>
      </c>
      <c r="BZ166" s="1013">
        <v>101</v>
      </c>
      <c r="CA166" s="1013">
        <v>208</v>
      </c>
      <c r="CB166" s="1013">
        <v>29.733094999999999</v>
      </c>
      <c r="CC166" s="1013">
        <v>-95.381282999999996</v>
      </c>
      <c r="CD166" s="1013" t="s">
        <v>7724</v>
      </c>
      <c r="CE166" s="1013" t="s">
        <v>7724</v>
      </c>
      <c r="CF166" s="1013" t="s">
        <v>7724</v>
      </c>
      <c r="CG166" s="1013" t="s">
        <v>7724</v>
      </c>
      <c r="CH166" s="1013" t="s">
        <v>7731</v>
      </c>
      <c r="CI166" s="1013">
        <v>1201</v>
      </c>
      <c r="CJ166" s="1013" t="s">
        <v>7724</v>
      </c>
      <c r="CK166" s="1013" t="s">
        <v>7724</v>
      </c>
      <c r="CL166" s="1013" t="s">
        <v>7724</v>
      </c>
      <c r="CM166" s="1013" t="s">
        <v>7724</v>
      </c>
      <c r="CN166" s="1013" t="s">
        <v>7724</v>
      </c>
      <c r="CO166" s="1013" t="s">
        <v>7724</v>
      </c>
      <c r="CP166" s="1013" t="s">
        <v>7724</v>
      </c>
      <c r="CQ166" s="1013" t="s">
        <v>7724</v>
      </c>
      <c r="CR166" s="1013" t="s">
        <v>7724</v>
      </c>
      <c r="CS166" s="1013" t="s">
        <v>7724</v>
      </c>
      <c r="CT166" s="1013" t="s">
        <v>7724</v>
      </c>
      <c r="CU166" s="1013" t="s">
        <v>7724</v>
      </c>
      <c r="CV166" s="1013" t="s">
        <v>7724</v>
      </c>
      <c r="CW166" s="1013" t="s">
        <v>7727</v>
      </c>
      <c r="CX166" s="1013" t="s">
        <v>7723</v>
      </c>
      <c r="CY166" s="1013" t="s">
        <v>7723</v>
      </c>
      <c r="CZ166" s="1013">
        <v>5</v>
      </c>
      <c r="DA166" s="1013">
        <v>9</v>
      </c>
      <c r="DB166" s="1013" t="s">
        <v>7727</v>
      </c>
      <c r="DC166" s="1013" t="s">
        <v>7743</v>
      </c>
      <c r="DD166" s="1013" t="s">
        <v>7724</v>
      </c>
      <c r="DE166" s="1013" t="s">
        <v>7724</v>
      </c>
      <c r="DF166" s="1013" t="s">
        <v>7724</v>
      </c>
      <c r="DG166" s="1013" t="s">
        <v>7724</v>
      </c>
      <c r="DH166" s="1013" t="s">
        <v>7724</v>
      </c>
      <c r="DI166" s="1013" t="s">
        <v>7724</v>
      </c>
      <c r="DJ166" s="1013" t="s">
        <v>7724</v>
      </c>
      <c r="DK166" s="1013" t="s">
        <v>7724</v>
      </c>
      <c r="DL166" s="1013" t="s">
        <v>7724</v>
      </c>
      <c r="DM166" s="1013" t="s">
        <v>7724</v>
      </c>
      <c r="DN166" s="1013" t="s">
        <v>7724</v>
      </c>
      <c r="DO166" s="1013" t="s">
        <v>7724</v>
      </c>
      <c r="DP166" s="1013" t="s">
        <v>7724</v>
      </c>
      <c r="DQ166" s="1013" t="s">
        <v>7724</v>
      </c>
      <c r="DR166" s="1013" t="s">
        <v>7724</v>
      </c>
      <c r="DS166" s="1013" t="s">
        <v>7724</v>
      </c>
      <c r="DT166" s="1013" t="s">
        <v>7724</v>
      </c>
      <c r="DU166" s="1013" t="s">
        <v>7724</v>
      </c>
      <c r="DV166" s="1013" t="s">
        <v>7724</v>
      </c>
      <c r="DW166" s="1013" t="s">
        <v>7724</v>
      </c>
      <c r="DX166" s="1013" t="s">
        <v>7724</v>
      </c>
      <c r="DY166" s="1013" t="s">
        <v>7724</v>
      </c>
      <c r="DZ166" s="1013" t="s">
        <v>7724</v>
      </c>
      <c r="EA166" s="1013" t="s">
        <v>7724</v>
      </c>
      <c r="EB166" s="1013" t="s">
        <v>7724</v>
      </c>
      <c r="EC166" s="1013" t="s">
        <v>7724</v>
      </c>
      <c r="ED166" s="1013" t="s">
        <v>7724</v>
      </c>
      <c r="EE166" s="1013" t="s">
        <v>7724</v>
      </c>
      <c r="EF166" s="1013" t="s">
        <v>7724</v>
      </c>
      <c r="EG166" s="1013" t="s">
        <v>7724</v>
      </c>
      <c r="EH166" s="1013" t="s">
        <v>7724</v>
      </c>
      <c r="EI166" s="1013" t="s">
        <v>7724</v>
      </c>
      <c r="EJ166" s="1013" t="s">
        <v>7724</v>
      </c>
      <c r="EK166" s="1013" t="s">
        <v>7724</v>
      </c>
      <c r="EL166" s="1013" t="s">
        <v>7724</v>
      </c>
      <c r="EM166" s="1013" t="s">
        <v>7724</v>
      </c>
      <c r="EN166" s="1013" t="s">
        <v>7724</v>
      </c>
      <c r="EO166" s="1013" t="s">
        <v>7724</v>
      </c>
      <c r="EP166" s="1013" t="s">
        <v>7724</v>
      </c>
      <c r="EQ166" s="1013" t="s">
        <v>7724</v>
      </c>
      <c r="ER166" s="1013" t="s">
        <v>7724</v>
      </c>
      <c r="ES166" s="1013" t="s">
        <v>7724</v>
      </c>
      <c r="ET166" s="1013" t="s">
        <v>7724</v>
      </c>
      <c r="EU166" s="1013" t="s">
        <v>7724</v>
      </c>
      <c r="EV166" s="1013" t="s">
        <v>7724</v>
      </c>
      <c r="EW166" s="1013" t="s">
        <v>7724</v>
      </c>
      <c r="EX166" s="1013" t="s">
        <v>7724</v>
      </c>
      <c r="EY166" s="1013" t="s">
        <v>7724</v>
      </c>
      <c r="EZ166" s="1013" t="s">
        <v>7724</v>
      </c>
      <c r="FA166" s="1013" t="s">
        <v>7724</v>
      </c>
      <c r="FB166" s="1013" t="s">
        <v>7724</v>
      </c>
      <c r="FC166" s="1013" t="s">
        <v>7724</v>
      </c>
      <c r="FD166" s="1013" t="s">
        <v>7724</v>
      </c>
      <c r="FE166" s="1013" t="s">
        <v>7724</v>
      </c>
      <c r="FF166" s="1013" t="s">
        <v>7724</v>
      </c>
      <c r="FG166" s="1013">
        <v>0</v>
      </c>
      <c r="FH166" s="1013">
        <v>0</v>
      </c>
      <c r="FI166" s="1013">
        <v>0</v>
      </c>
      <c r="FJ166" s="1013">
        <v>1</v>
      </c>
      <c r="FK166" s="1013">
        <v>1</v>
      </c>
      <c r="FL166" s="1013">
        <v>0</v>
      </c>
      <c r="FM166" s="1013">
        <v>0</v>
      </c>
      <c r="FN166" s="1013">
        <v>15</v>
      </c>
      <c r="FO166" s="1013">
        <v>29</v>
      </c>
      <c r="FP166" s="1013">
        <v>6</v>
      </c>
      <c r="FQ166" s="1013" t="s">
        <v>7724</v>
      </c>
      <c r="FR166" s="1013" t="s">
        <v>7724</v>
      </c>
      <c r="FS166" s="1013" t="s">
        <v>7724</v>
      </c>
      <c r="FT166" s="1013" t="s">
        <v>7723</v>
      </c>
      <c r="FU166" s="1013" t="s">
        <v>7790</v>
      </c>
      <c r="FV166" s="1013">
        <v>35</v>
      </c>
      <c r="FW166" s="1023">
        <v>0.89722222222222225</v>
      </c>
      <c r="FX166" s="1023">
        <v>0.89722222222222225</v>
      </c>
      <c r="FY166" s="1024">
        <v>45153</v>
      </c>
      <c r="FZ166" s="1024">
        <v>45153</v>
      </c>
      <c r="GA166" s="1024">
        <v>45153</v>
      </c>
      <c r="GB166" s="1024">
        <v>45153</v>
      </c>
      <c r="GC166" s="1013">
        <v>2023</v>
      </c>
      <c r="GD166" s="1013" t="s">
        <v>1407</v>
      </c>
      <c r="GE166" s="1013">
        <v>2</v>
      </c>
      <c r="GF166" s="1013" t="s">
        <v>1407</v>
      </c>
      <c r="GG166" s="1013" t="s">
        <v>1407</v>
      </c>
      <c r="GH166" s="1013" t="s">
        <v>8152</v>
      </c>
      <c r="GI166" s="1013" t="s">
        <v>7974</v>
      </c>
      <c r="GJ166" s="1013" t="s">
        <v>7974</v>
      </c>
      <c r="GK166" s="1013" t="s">
        <v>7974</v>
      </c>
      <c r="GL166" s="1013" t="s">
        <v>7974</v>
      </c>
    </row>
    <row r="167" spans="1:194" hidden="1">
      <c r="A167" s="1013">
        <v>139</v>
      </c>
      <c r="B167" s="1013" t="s">
        <v>7722</v>
      </c>
      <c r="C167" s="1013">
        <v>19711661</v>
      </c>
      <c r="D167" s="1013" t="s">
        <v>7723</v>
      </c>
      <c r="E167" s="1013" t="s">
        <v>7727</v>
      </c>
      <c r="F167" s="1013" t="s">
        <v>7723</v>
      </c>
      <c r="G167" s="1013" t="s">
        <v>7723</v>
      </c>
      <c r="H167" s="1013" t="s">
        <v>7723</v>
      </c>
      <c r="I167" s="1013" t="s">
        <v>7723</v>
      </c>
      <c r="J167" s="1013" t="s">
        <v>7723</v>
      </c>
      <c r="K167" s="1024">
        <v>45157</v>
      </c>
      <c r="L167" s="1023">
        <v>0.88680555555555551</v>
      </c>
      <c r="M167" s="1013" t="s">
        <v>8153</v>
      </c>
      <c r="N167" s="1013" t="s">
        <v>7724</v>
      </c>
      <c r="O167" s="1013">
        <v>101</v>
      </c>
      <c r="P167" s="1013">
        <v>208</v>
      </c>
      <c r="Q167" s="1013" t="s">
        <v>7723</v>
      </c>
      <c r="R167" s="1013" t="s">
        <v>7727</v>
      </c>
      <c r="S167" s="1013" t="s">
        <v>7724</v>
      </c>
      <c r="T167" s="1014" t="s">
        <v>7724</v>
      </c>
      <c r="U167" s="1014">
        <v>2</v>
      </c>
      <c r="V167" s="1014">
        <v>59</v>
      </c>
      <c r="W167" s="1014" t="s">
        <v>7724</v>
      </c>
      <c r="X167" s="1013">
        <v>1</v>
      </c>
      <c r="Y167" s="1013">
        <v>1500</v>
      </c>
      <c r="Z167" s="1013" t="s">
        <v>7770</v>
      </c>
      <c r="AA167" s="1013" t="s">
        <v>7771</v>
      </c>
      <c r="AB167" s="1013" t="s">
        <v>7760</v>
      </c>
      <c r="AC167" s="1013" t="s">
        <v>7723</v>
      </c>
      <c r="AD167" s="1013" t="s">
        <v>7723</v>
      </c>
      <c r="AE167" s="1013">
        <v>65</v>
      </c>
      <c r="AF167" s="1013" t="s">
        <v>7723</v>
      </c>
      <c r="AG167" s="1013" t="s">
        <v>7723</v>
      </c>
      <c r="AH167" s="1013" t="s">
        <v>7739</v>
      </c>
      <c r="AI167" s="1013" t="s">
        <v>7723</v>
      </c>
      <c r="AJ167" s="1013">
        <v>19</v>
      </c>
      <c r="AK167" s="1013" t="s">
        <v>7724</v>
      </c>
      <c r="AL167" s="1013" t="s">
        <v>7724</v>
      </c>
      <c r="AM167" s="1013">
        <v>1</v>
      </c>
      <c r="AN167" s="1013">
        <v>2000</v>
      </c>
      <c r="AO167" s="1013" t="s">
        <v>7724</v>
      </c>
      <c r="AP167" s="1013" t="s">
        <v>7745</v>
      </c>
      <c r="AQ167" s="1013" t="s">
        <v>7726</v>
      </c>
      <c r="AR167" s="1013" t="s">
        <v>7724</v>
      </c>
      <c r="AS167" s="1013" t="s">
        <v>7724</v>
      </c>
      <c r="AT167" s="1013" t="s">
        <v>7724</v>
      </c>
      <c r="AU167" s="1013" t="s">
        <v>7724</v>
      </c>
      <c r="AV167" s="1013" t="s">
        <v>7724</v>
      </c>
      <c r="AW167" s="1013" t="s">
        <v>7724</v>
      </c>
      <c r="AX167" s="1013">
        <v>11</v>
      </c>
      <c r="AY167" s="1013">
        <v>4</v>
      </c>
      <c r="AZ167" s="1013">
        <v>0</v>
      </c>
      <c r="BA167" s="1013">
        <v>3</v>
      </c>
      <c r="BB167" s="1013">
        <v>1</v>
      </c>
      <c r="BC167" s="1013">
        <v>1</v>
      </c>
      <c r="BD167" s="1013">
        <v>21</v>
      </c>
      <c r="BE167" s="1023">
        <v>0.88680555555555551</v>
      </c>
      <c r="BF167" s="1013" t="s">
        <v>7736</v>
      </c>
      <c r="BG167" s="1023">
        <v>0.90486111111111112</v>
      </c>
      <c r="BH167" s="1024">
        <v>45158</v>
      </c>
      <c r="BI167" s="1013" t="s">
        <v>7727</v>
      </c>
      <c r="BJ167" s="1013" t="s">
        <v>7730</v>
      </c>
      <c r="BK167" s="1013">
        <v>2469</v>
      </c>
      <c r="BL167" s="1013" t="s">
        <v>7724</v>
      </c>
      <c r="BM167" s="1013" t="s">
        <v>7724</v>
      </c>
      <c r="BN167" s="1013">
        <v>121</v>
      </c>
      <c r="BO167" s="1013">
        <v>8</v>
      </c>
      <c r="BP167" s="1013">
        <v>2</v>
      </c>
      <c r="BQ167" s="1013">
        <v>4</v>
      </c>
      <c r="BR167" s="1013">
        <v>21</v>
      </c>
      <c r="BS167" s="1013">
        <v>64</v>
      </c>
      <c r="BT167" s="1013">
        <v>9</v>
      </c>
      <c r="BU167" s="1013">
        <v>1</v>
      </c>
      <c r="BV167" s="1013">
        <v>2</v>
      </c>
      <c r="BW167" s="1013">
        <v>1</v>
      </c>
      <c r="BX167" s="1013">
        <v>21</v>
      </c>
      <c r="BY167" s="1013">
        <v>21</v>
      </c>
      <c r="BZ167" s="1013">
        <v>101</v>
      </c>
      <c r="CA167" s="1013">
        <v>208</v>
      </c>
      <c r="CB167" s="1013">
        <v>29.732486000000002</v>
      </c>
      <c r="CC167" s="1013">
        <v>-95.380510000000001</v>
      </c>
      <c r="CD167" s="1013" t="s">
        <v>7724</v>
      </c>
      <c r="CE167" s="1013" t="s">
        <v>7724</v>
      </c>
      <c r="CF167" s="1013" t="s">
        <v>7724</v>
      </c>
      <c r="CG167" s="1013" t="s">
        <v>7724</v>
      </c>
      <c r="CH167" s="1013" t="s">
        <v>8053</v>
      </c>
      <c r="CI167" s="1013" t="s">
        <v>7724</v>
      </c>
      <c r="CJ167" s="1013" t="s">
        <v>7724</v>
      </c>
      <c r="CK167" s="1013" t="s">
        <v>7724</v>
      </c>
      <c r="CL167" s="1013" t="s">
        <v>7724</v>
      </c>
      <c r="CM167" s="1013" t="s">
        <v>7724</v>
      </c>
      <c r="CN167" s="1013" t="s">
        <v>7724</v>
      </c>
      <c r="CO167" s="1013" t="s">
        <v>7724</v>
      </c>
      <c r="CP167" s="1013" t="s">
        <v>7724</v>
      </c>
      <c r="CQ167" s="1013" t="s">
        <v>7724</v>
      </c>
      <c r="CR167" s="1013" t="s">
        <v>7724</v>
      </c>
      <c r="CS167" s="1013" t="s">
        <v>7724</v>
      </c>
      <c r="CT167" s="1013" t="s">
        <v>7724</v>
      </c>
      <c r="CU167" s="1013" t="s">
        <v>7724</v>
      </c>
      <c r="CV167" s="1013" t="s">
        <v>7724</v>
      </c>
      <c r="CW167" s="1013" t="s">
        <v>7727</v>
      </c>
      <c r="CX167" s="1013" t="s">
        <v>7723</v>
      </c>
      <c r="CY167" s="1013" t="s">
        <v>7723</v>
      </c>
      <c r="CZ167" s="1013">
        <v>5</v>
      </c>
      <c r="DA167" s="1013">
        <v>9</v>
      </c>
      <c r="DB167" s="1013" t="s">
        <v>7727</v>
      </c>
      <c r="DC167" s="1013" t="s">
        <v>7733</v>
      </c>
      <c r="DD167" s="1013" t="s">
        <v>7724</v>
      </c>
      <c r="DE167" s="1013" t="s">
        <v>7724</v>
      </c>
      <c r="DF167" s="1013" t="s">
        <v>7724</v>
      </c>
      <c r="DG167" s="1013" t="s">
        <v>7724</v>
      </c>
      <c r="DH167" s="1013" t="s">
        <v>7724</v>
      </c>
      <c r="DI167" s="1013" t="s">
        <v>7724</v>
      </c>
      <c r="DJ167" s="1013" t="s">
        <v>7724</v>
      </c>
      <c r="DK167" s="1013" t="s">
        <v>7724</v>
      </c>
      <c r="DL167" s="1013" t="s">
        <v>7724</v>
      </c>
      <c r="DM167" s="1013" t="s">
        <v>7724</v>
      </c>
      <c r="DN167" s="1013" t="s">
        <v>7724</v>
      </c>
      <c r="DO167" s="1013" t="s">
        <v>7724</v>
      </c>
      <c r="DP167" s="1013" t="s">
        <v>7724</v>
      </c>
      <c r="DQ167" s="1013" t="s">
        <v>7724</v>
      </c>
      <c r="DR167" s="1013" t="s">
        <v>7724</v>
      </c>
      <c r="DS167" s="1013" t="s">
        <v>7724</v>
      </c>
      <c r="DT167" s="1013" t="s">
        <v>7724</v>
      </c>
      <c r="DU167" s="1013" t="s">
        <v>7724</v>
      </c>
      <c r="DV167" s="1013" t="s">
        <v>7724</v>
      </c>
      <c r="DW167" s="1013" t="s">
        <v>7724</v>
      </c>
      <c r="DX167" s="1013" t="s">
        <v>7724</v>
      </c>
      <c r="DY167" s="1013" t="s">
        <v>7724</v>
      </c>
      <c r="DZ167" s="1013" t="s">
        <v>7724</v>
      </c>
      <c r="EA167" s="1013" t="s">
        <v>7724</v>
      </c>
      <c r="EB167" s="1013" t="s">
        <v>7724</v>
      </c>
      <c r="EC167" s="1013" t="s">
        <v>7724</v>
      </c>
      <c r="ED167" s="1013" t="s">
        <v>7724</v>
      </c>
      <c r="EE167" s="1013" t="s">
        <v>7724</v>
      </c>
      <c r="EF167" s="1013" t="s">
        <v>7724</v>
      </c>
      <c r="EG167" s="1013" t="s">
        <v>7724</v>
      </c>
      <c r="EH167" s="1013" t="s">
        <v>7724</v>
      </c>
      <c r="EI167" s="1013" t="s">
        <v>7724</v>
      </c>
      <c r="EJ167" s="1013" t="s">
        <v>7724</v>
      </c>
      <c r="EK167" s="1013" t="s">
        <v>7724</v>
      </c>
      <c r="EL167" s="1013" t="s">
        <v>7724</v>
      </c>
      <c r="EM167" s="1013" t="s">
        <v>7724</v>
      </c>
      <c r="EN167" s="1013" t="s">
        <v>7724</v>
      </c>
      <c r="EO167" s="1013" t="s">
        <v>7724</v>
      </c>
      <c r="EP167" s="1013" t="s">
        <v>7724</v>
      </c>
      <c r="EQ167" s="1013" t="s">
        <v>7724</v>
      </c>
      <c r="ER167" s="1013" t="s">
        <v>7724</v>
      </c>
      <c r="ES167" s="1013" t="s">
        <v>7724</v>
      </c>
      <c r="ET167" s="1013" t="s">
        <v>7724</v>
      </c>
      <c r="EU167" s="1013" t="s">
        <v>7724</v>
      </c>
      <c r="EV167" s="1013" t="s">
        <v>7724</v>
      </c>
      <c r="EW167" s="1013" t="s">
        <v>7724</v>
      </c>
      <c r="EX167" s="1013" t="s">
        <v>7724</v>
      </c>
      <c r="EY167" s="1013" t="s">
        <v>7724</v>
      </c>
      <c r="EZ167" s="1013" t="s">
        <v>7724</v>
      </c>
      <c r="FA167" s="1013" t="s">
        <v>7724</v>
      </c>
      <c r="FB167" s="1013" t="s">
        <v>7724</v>
      </c>
      <c r="FC167" s="1013" t="s">
        <v>7724</v>
      </c>
      <c r="FD167" s="1013" t="s">
        <v>7724</v>
      </c>
      <c r="FE167" s="1013" t="s">
        <v>7724</v>
      </c>
      <c r="FF167" s="1013" t="s">
        <v>7724</v>
      </c>
      <c r="FG167" s="1013">
        <v>0</v>
      </c>
      <c r="FH167" s="1013">
        <v>0</v>
      </c>
      <c r="FI167" s="1013">
        <v>0</v>
      </c>
      <c r="FJ167" s="1013">
        <v>3</v>
      </c>
      <c r="FK167" s="1013">
        <v>0</v>
      </c>
      <c r="FL167" s="1013">
        <v>0</v>
      </c>
      <c r="FM167" s="1013">
        <v>0</v>
      </c>
      <c r="FN167" s="1013">
        <v>15</v>
      </c>
      <c r="FO167" s="1013">
        <v>35</v>
      </c>
      <c r="FP167" s="1013">
        <v>18</v>
      </c>
      <c r="FQ167" s="1013" t="s">
        <v>7724</v>
      </c>
      <c r="FR167" s="1013" t="s">
        <v>7724</v>
      </c>
      <c r="FS167" s="1013" t="s">
        <v>7724</v>
      </c>
      <c r="FT167" s="1013" t="s">
        <v>7723</v>
      </c>
      <c r="FU167" s="1013" t="s">
        <v>7770</v>
      </c>
      <c r="FV167" s="1013">
        <v>-1</v>
      </c>
      <c r="FW167" s="1023">
        <v>0.91388888888888886</v>
      </c>
      <c r="FX167" s="1023">
        <v>0.91388888888888886</v>
      </c>
      <c r="FY167" s="1024">
        <v>45157</v>
      </c>
      <c r="FZ167" s="1024">
        <v>45157</v>
      </c>
      <c r="GA167" s="1024">
        <v>45157</v>
      </c>
      <c r="GB167" s="1024">
        <v>45157</v>
      </c>
      <c r="GC167" s="1013">
        <v>2023</v>
      </c>
      <c r="GD167" s="1013" t="s">
        <v>1404</v>
      </c>
      <c r="GE167" s="1013">
        <v>3</v>
      </c>
      <c r="GF167" s="1013" t="s">
        <v>1407</v>
      </c>
      <c r="GG167" s="1013" t="s">
        <v>1407</v>
      </c>
      <c r="GH167" s="1013" t="s">
        <v>8043</v>
      </c>
      <c r="GI167" s="1013" t="s">
        <v>7980</v>
      </c>
      <c r="GJ167" s="1013" t="s">
        <v>7980</v>
      </c>
      <c r="GK167" s="1013" t="s">
        <v>7980</v>
      </c>
      <c r="GL167" s="1013" t="s">
        <v>7980</v>
      </c>
    </row>
    <row r="168" spans="1:194" hidden="1">
      <c r="A168" s="1013">
        <v>144</v>
      </c>
      <c r="B168" s="1013" t="s">
        <v>7722</v>
      </c>
      <c r="C168" s="1013">
        <v>19391902</v>
      </c>
      <c r="D168" s="1013" t="s">
        <v>7723</v>
      </c>
      <c r="E168" s="1013" t="s">
        <v>7723</v>
      </c>
      <c r="F168" s="1013" t="s">
        <v>7723</v>
      </c>
      <c r="G168" s="1013" t="s">
        <v>7723</v>
      </c>
      <c r="H168" s="1013" t="s">
        <v>7723</v>
      </c>
      <c r="I168" s="1013" t="s">
        <v>7723</v>
      </c>
      <c r="J168" s="1013" t="s">
        <v>7723</v>
      </c>
      <c r="K168" s="1024">
        <v>44971</v>
      </c>
      <c r="L168" s="1023">
        <v>0.85972222222222228</v>
      </c>
      <c r="M168" s="1013" t="s">
        <v>8154</v>
      </c>
      <c r="N168" s="1013" t="s">
        <v>7724</v>
      </c>
      <c r="O168" s="1013">
        <v>101</v>
      </c>
      <c r="P168" s="1013">
        <v>208</v>
      </c>
      <c r="Q168" s="1013" t="s">
        <v>7723</v>
      </c>
      <c r="R168" s="1013" t="s">
        <v>7727</v>
      </c>
      <c r="S168" s="1013" t="s">
        <v>7724</v>
      </c>
      <c r="T168" s="1014" t="s">
        <v>7724</v>
      </c>
      <c r="U168" s="1014">
        <v>19</v>
      </c>
      <c r="V168" s="1014" t="s">
        <v>7724</v>
      </c>
      <c r="W168" s="1014" t="s">
        <v>7724</v>
      </c>
      <c r="X168" s="1013">
        <v>1</v>
      </c>
      <c r="Y168" s="1013">
        <v>4200</v>
      </c>
      <c r="Z168" s="1013" t="s">
        <v>7724</v>
      </c>
      <c r="AA168" s="1013" t="s">
        <v>7745</v>
      </c>
      <c r="AB168" s="1013" t="s">
        <v>7726</v>
      </c>
      <c r="AC168" s="1013" t="s">
        <v>7723</v>
      </c>
      <c r="AD168" s="1013" t="s">
        <v>7723</v>
      </c>
      <c r="AE168" s="1013">
        <v>35</v>
      </c>
      <c r="AF168" s="1013" t="s">
        <v>7723</v>
      </c>
      <c r="AG168" s="1013" t="s">
        <v>7723</v>
      </c>
      <c r="AH168" s="1013" t="s">
        <v>7724</v>
      </c>
      <c r="AI168" s="1013" t="s">
        <v>7723</v>
      </c>
      <c r="AJ168" s="1013">
        <v>19</v>
      </c>
      <c r="AK168" s="1013" t="s">
        <v>7724</v>
      </c>
      <c r="AL168" s="1013" t="s">
        <v>7724</v>
      </c>
      <c r="AM168" s="1013">
        <v>1</v>
      </c>
      <c r="AN168" s="1013" t="s">
        <v>7724</v>
      </c>
      <c r="AO168" s="1013" t="s">
        <v>7724</v>
      </c>
      <c r="AP168" s="1013" t="s">
        <v>7725</v>
      </c>
      <c r="AQ168" s="1013" t="s">
        <v>7735</v>
      </c>
      <c r="AR168" s="1013" t="s">
        <v>7724</v>
      </c>
      <c r="AS168" s="1013" t="s">
        <v>7724</v>
      </c>
      <c r="AT168" s="1013" t="s">
        <v>7724</v>
      </c>
      <c r="AU168" s="1013" t="s">
        <v>7724</v>
      </c>
      <c r="AV168" s="1013" t="s">
        <v>7724</v>
      </c>
      <c r="AW168" s="1013" t="s">
        <v>7724</v>
      </c>
      <c r="AX168" s="1013">
        <v>11</v>
      </c>
      <c r="AY168" s="1013">
        <v>4</v>
      </c>
      <c r="AZ168" s="1013">
        <v>0</v>
      </c>
      <c r="BA168" s="1013">
        <v>4</v>
      </c>
      <c r="BB168" s="1013">
        <v>1</v>
      </c>
      <c r="BC168" s="1013">
        <v>1</v>
      </c>
      <c r="BD168" s="1013">
        <v>20</v>
      </c>
      <c r="BE168" s="1023">
        <v>0.4284722222222222</v>
      </c>
      <c r="BF168" s="1013" t="s">
        <v>7761</v>
      </c>
      <c r="BG168" s="1023">
        <v>0.4284722222222222</v>
      </c>
      <c r="BH168" s="1024">
        <v>44972</v>
      </c>
      <c r="BI168" s="1013" t="s">
        <v>7727</v>
      </c>
      <c r="BJ168" s="1013" t="s">
        <v>7730</v>
      </c>
      <c r="BK168" s="1013">
        <v>2469</v>
      </c>
      <c r="BL168" s="1013" t="s">
        <v>7724</v>
      </c>
      <c r="BM168" s="1013" t="s">
        <v>7724</v>
      </c>
      <c r="BN168" s="1013">
        <v>113</v>
      </c>
      <c r="BO168" s="1013">
        <v>8</v>
      </c>
      <c r="BP168" s="1013">
        <v>4</v>
      </c>
      <c r="BQ168" s="1013">
        <v>3</v>
      </c>
      <c r="BR168" s="1013">
        <v>2</v>
      </c>
      <c r="BS168" s="1013">
        <v>64</v>
      </c>
      <c r="BT168" s="1013">
        <v>13</v>
      </c>
      <c r="BU168" s="1013">
        <v>1</v>
      </c>
      <c r="BV168" s="1013">
        <v>5</v>
      </c>
      <c r="BW168" s="1013">
        <v>1</v>
      </c>
      <c r="BX168" s="1013">
        <v>32</v>
      </c>
      <c r="BY168" s="1013">
        <v>21</v>
      </c>
      <c r="BZ168" s="1013">
        <v>101</v>
      </c>
      <c r="CA168" s="1013">
        <v>208</v>
      </c>
      <c r="CB168" s="1013">
        <v>29.732792</v>
      </c>
      <c r="CC168" s="1013">
        <v>-95.380285999999998</v>
      </c>
      <c r="CD168" s="1013" t="s">
        <v>7724</v>
      </c>
      <c r="CE168" s="1013" t="s">
        <v>7724</v>
      </c>
      <c r="CF168" s="1013" t="s">
        <v>7724</v>
      </c>
      <c r="CG168" s="1013" t="s">
        <v>7724</v>
      </c>
      <c r="CH168" s="1013" t="s">
        <v>7746</v>
      </c>
      <c r="CI168" s="1013" t="s">
        <v>7724</v>
      </c>
      <c r="CJ168" s="1013" t="s">
        <v>7724</v>
      </c>
      <c r="CK168" s="1013" t="s">
        <v>7724</v>
      </c>
      <c r="CL168" s="1013" t="s">
        <v>7724</v>
      </c>
      <c r="CM168" s="1013" t="s">
        <v>7724</v>
      </c>
      <c r="CN168" s="1013" t="s">
        <v>7724</v>
      </c>
      <c r="CO168" s="1013" t="s">
        <v>7724</v>
      </c>
      <c r="CP168" s="1013" t="s">
        <v>7724</v>
      </c>
      <c r="CQ168" s="1013" t="s">
        <v>7724</v>
      </c>
      <c r="CR168" s="1013" t="s">
        <v>7724</v>
      </c>
      <c r="CS168" s="1013" t="s">
        <v>7724</v>
      </c>
      <c r="CT168" s="1013" t="s">
        <v>7724</v>
      </c>
      <c r="CU168" s="1013" t="s">
        <v>7724</v>
      </c>
      <c r="CV168" s="1013" t="s">
        <v>7724</v>
      </c>
      <c r="CW168" s="1013" t="s">
        <v>7727</v>
      </c>
      <c r="CX168" s="1013" t="s">
        <v>7723</v>
      </c>
      <c r="CY168" s="1013" t="s">
        <v>7723</v>
      </c>
      <c r="CZ168" s="1013">
        <v>5</v>
      </c>
      <c r="DA168" s="1013">
        <v>9</v>
      </c>
      <c r="DB168" s="1013" t="s">
        <v>7727</v>
      </c>
      <c r="DC168" s="1013" t="s">
        <v>7737</v>
      </c>
      <c r="DD168" s="1013" t="s">
        <v>7724</v>
      </c>
      <c r="DE168" s="1013" t="s">
        <v>7724</v>
      </c>
      <c r="DF168" s="1013" t="s">
        <v>7724</v>
      </c>
      <c r="DG168" s="1013" t="s">
        <v>7724</v>
      </c>
      <c r="DH168" s="1013" t="s">
        <v>7724</v>
      </c>
      <c r="DI168" s="1013" t="s">
        <v>7724</v>
      </c>
      <c r="DJ168" s="1013" t="s">
        <v>7724</v>
      </c>
      <c r="DK168" s="1013" t="s">
        <v>7724</v>
      </c>
      <c r="DL168" s="1013" t="s">
        <v>7724</v>
      </c>
      <c r="DM168" s="1013" t="s">
        <v>7724</v>
      </c>
      <c r="DN168" s="1013" t="s">
        <v>7724</v>
      </c>
      <c r="DO168" s="1013" t="s">
        <v>7724</v>
      </c>
      <c r="DP168" s="1013" t="s">
        <v>7724</v>
      </c>
      <c r="DQ168" s="1013" t="s">
        <v>7724</v>
      </c>
      <c r="DR168" s="1013" t="s">
        <v>7724</v>
      </c>
      <c r="DS168" s="1013" t="s">
        <v>7724</v>
      </c>
      <c r="DT168" s="1013" t="s">
        <v>7724</v>
      </c>
      <c r="DU168" s="1013" t="s">
        <v>7724</v>
      </c>
      <c r="DV168" s="1013" t="s">
        <v>7724</v>
      </c>
      <c r="DW168" s="1013" t="s">
        <v>7724</v>
      </c>
      <c r="DX168" s="1013" t="s">
        <v>7724</v>
      </c>
      <c r="DY168" s="1013" t="s">
        <v>7724</v>
      </c>
      <c r="DZ168" s="1013" t="s">
        <v>7724</v>
      </c>
      <c r="EA168" s="1013" t="s">
        <v>7724</v>
      </c>
      <c r="EB168" s="1013" t="s">
        <v>7724</v>
      </c>
      <c r="EC168" s="1013" t="s">
        <v>7724</v>
      </c>
      <c r="ED168" s="1013" t="s">
        <v>7724</v>
      </c>
      <c r="EE168" s="1013" t="s">
        <v>7724</v>
      </c>
      <c r="EF168" s="1013" t="s">
        <v>7724</v>
      </c>
      <c r="EG168" s="1013" t="s">
        <v>7724</v>
      </c>
      <c r="EH168" s="1013" t="s">
        <v>7724</v>
      </c>
      <c r="EI168" s="1013" t="s">
        <v>7724</v>
      </c>
      <c r="EJ168" s="1013" t="s">
        <v>7724</v>
      </c>
      <c r="EK168" s="1013" t="s">
        <v>7724</v>
      </c>
      <c r="EL168" s="1013" t="s">
        <v>7724</v>
      </c>
      <c r="EM168" s="1013" t="s">
        <v>7724</v>
      </c>
      <c r="EN168" s="1013" t="s">
        <v>7724</v>
      </c>
      <c r="EO168" s="1013" t="s">
        <v>7724</v>
      </c>
      <c r="EP168" s="1013" t="s">
        <v>7724</v>
      </c>
      <c r="EQ168" s="1013" t="s">
        <v>7724</v>
      </c>
      <c r="ER168" s="1013" t="s">
        <v>7724</v>
      </c>
      <c r="ES168" s="1013" t="s">
        <v>7724</v>
      </c>
      <c r="ET168" s="1013" t="s">
        <v>7724</v>
      </c>
      <c r="EU168" s="1013" t="s">
        <v>7724</v>
      </c>
      <c r="EV168" s="1013" t="s">
        <v>7724</v>
      </c>
      <c r="EW168" s="1013" t="s">
        <v>7724</v>
      </c>
      <c r="EX168" s="1013" t="s">
        <v>7724</v>
      </c>
      <c r="EY168" s="1013" t="s">
        <v>7724</v>
      </c>
      <c r="EZ168" s="1013" t="s">
        <v>7724</v>
      </c>
      <c r="FA168" s="1013" t="s">
        <v>7724</v>
      </c>
      <c r="FB168" s="1013" t="s">
        <v>7724</v>
      </c>
      <c r="FC168" s="1013" t="s">
        <v>7724</v>
      </c>
      <c r="FD168" s="1013" t="s">
        <v>7724</v>
      </c>
      <c r="FE168" s="1013" t="s">
        <v>7724</v>
      </c>
      <c r="FF168" s="1013" t="s">
        <v>7724</v>
      </c>
      <c r="FG168" s="1013">
        <v>0</v>
      </c>
      <c r="FH168" s="1013">
        <v>0</v>
      </c>
      <c r="FI168" s="1013">
        <v>0</v>
      </c>
      <c r="FJ168" s="1013">
        <v>1</v>
      </c>
      <c r="FK168" s="1013">
        <v>0</v>
      </c>
      <c r="FL168" s="1013">
        <v>0</v>
      </c>
      <c r="FM168" s="1013">
        <v>0</v>
      </c>
      <c r="FN168" s="1013">
        <v>15</v>
      </c>
      <c r="FO168" s="1013">
        <v>29</v>
      </c>
      <c r="FP168" s="1013">
        <v>6</v>
      </c>
      <c r="FQ168" s="1013" t="s">
        <v>7724</v>
      </c>
      <c r="FR168" s="1013" t="s">
        <v>7724</v>
      </c>
      <c r="FS168" s="1013" t="s">
        <v>7724</v>
      </c>
      <c r="FT168" s="1013" t="s">
        <v>7724</v>
      </c>
      <c r="FU168" s="1013" t="s">
        <v>7724</v>
      </c>
      <c r="FV168" s="1013" t="s">
        <v>7724</v>
      </c>
      <c r="FW168" s="1013" t="s">
        <v>7724</v>
      </c>
      <c r="FX168" s="1013" t="s">
        <v>7724</v>
      </c>
      <c r="FY168" s="1013" t="s">
        <v>7724</v>
      </c>
      <c r="FZ168" s="1013" t="s">
        <v>7724</v>
      </c>
      <c r="GA168" s="1013" t="s">
        <v>7724</v>
      </c>
      <c r="GB168" s="1013" t="s">
        <v>7724</v>
      </c>
      <c r="GC168" s="1013">
        <v>2023</v>
      </c>
      <c r="GD168" s="1013" t="s">
        <v>1404</v>
      </c>
      <c r="GE168" s="1013">
        <v>2</v>
      </c>
      <c r="GF168" s="1013" t="s">
        <v>1407</v>
      </c>
      <c r="GG168" s="1013" t="s">
        <v>1407</v>
      </c>
      <c r="GH168" s="1013" t="s">
        <v>8012</v>
      </c>
      <c r="GI168" s="1013" t="s">
        <v>7974</v>
      </c>
      <c r="GJ168" s="1013" t="s">
        <v>7974</v>
      </c>
      <c r="GK168" s="1013" t="s">
        <v>7974</v>
      </c>
      <c r="GL168" s="1013" t="s">
        <v>7974</v>
      </c>
    </row>
    <row r="169" spans="1:194" hidden="1">
      <c r="A169" s="1013">
        <v>145</v>
      </c>
      <c r="B169" s="1013" t="s">
        <v>7722</v>
      </c>
      <c r="C169" s="1013">
        <v>19395670</v>
      </c>
      <c r="D169" s="1013" t="s">
        <v>7723</v>
      </c>
      <c r="E169" s="1013" t="s">
        <v>7723</v>
      </c>
      <c r="F169" s="1013" t="s">
        <v>7723</v>
      </c>
      <c r="G169" s="1013" t="s">
        <v>7723</v>
      </c>
      <c r="H169" s="1013" t="s">
        <v>7723</v>
      </c>
      <c r="I169" s="1013" t="s">
        <v>7723</v>
      </c>
      <c r="J169" s="1013" t="s">
        <v>7723</v>
      </c>
      <c r="K169" s="1024">
        <v>44974</v>
      </c>
      <c r="L169" s="1023">
        <v>0.28194444444444444</v>
      </c>
      <c r="M169" s="1013" t="s">
        <v>8155</v>
      </c>
      <c r="N169" s="1013" t="s">
        <v>7724</v>
      </c>
      <c r="O169" s="1013">
        <v>101</v>
      </c>
      <c r="P169" s="1013">
        <v>208</v>
      </c>
      <c r="Q169" s="1013" t="s">
        <v>7723</v>
      </c>
      <c r="R169" s="1013" t="s">
        <v>7727</v>
      </c>
      <c r="S169" s="1013" t="s">
        <v>7724</v>
      </c>
      <c r="T169" s="1014" t="s">
        <v>7724</v>
      </c>
      <c r="U169" s="1014">
        <v>19</v>
      </c>
      <c r="V169" s="1014" t="s">
        <v>7724</v>
      </c>
      <c r="W169" s="1014" t="s">
        <v>7724</v>
      </c>
      <c r="X169" s="1013">
        <v>1</v>
      </c>
      <c r="Y169" s="1013">
        <v>4500</v>
      </c>
      <c r="Z169" s="1013" t="s">
        <v>7724</v>
      </c>
      <c r="AA169" s="1013" t="s">
        <v>7728</v>
      </c>
      <c r="AB169" s="1013" t="s">
        <v>7724</v>
      </c>
      <c r="AC169" s="1013" t="s">
        <v>7723</v>
      </c>
      <c r="AD169" s="1013" t="s">
        <v>7723</v>
      </c>
      <c r="AE169" s="1013">
        <v>35</v>
      </c>
      <c r="AF169" s="1013" t="s">
        <v>7723</v>
      </c>
      <c r="AG169" s="1013" t="s">
        <v>7723</v>
      </c>
      <c r="AH169" s="1013" t="s">
        <v>7724</v>
      </c>
      <c r="AI169" s="1013" t="s">
        <v>7723</v>
      </c>
      <c r="AJ169" s="1013">
        <v>19</v>
      </c>
      <c r="AK169" s="1013" t="s">
        <v>7724</v>
      </c>
      <c r="AL169" s="1013" t="s">
        <v>7724</v>
      </c>
      <c r="AM169" s="1013">
        <v>1</v>
      </c>
      <c r="AN169" s="1013" t="s">
        <v>7724</v>
      </c>
      <c r="AO169" s="1013" t="s">
        <v>7724</v>
      </c>
      <c r="AP169" s="1013" t="s">
        <v>7757</v>
      </c>
      <c r="AQ169" s="1013" t="s">
        <v>7726</v>
      </c>
      <c r="AR169" s="1013" t="s">
        <v>7724</v>
      </c>
      <c r="AS169" s="1013" t="s">
        <v>7724</v>
      </c>
      <c r="AT169" s="1013" t="s">
        <v>7724</v>
      </c>
      <c r="AU169" s="1013" t="s">
        <v>7724</v>
      </c>
      <c r="AV169" s="1013" t="s">
        <v>7724</v>
      </c>
      <c r="AW169" s="1013" t="s">
        <v>7724</v>
      </c>
      <c r="AX169" s="1013">
        <v>11</v>
      </c>
      <c r="AY169" s="1013">
        <v>1</v>
      </c>
      <c r="AZ169" s="1013">
        <v>4</v>
      </c>
      <c r="BA169" s="1013">
        <v>4</v>
      </c>
      <c r="BB169" s="1013">
        <v>1</v>
      </c>
      <c r="BC169" s="1013">
        <v>1</v>
      </c>
      <c r="BD169" s="1013">
        <v>20</v>
      </c>
      <c r="BE169" s="1023">
        <v>0.28263888888888888</v>
      </c>
      <c r="BF169" s="1013" t="s">
        <v>7729</v>
      </c>
      <c r="BG169" s="1023">
        <v>0.28611111111111109</v>
      </c>
      <c r="BH169" s="1024">
        <v>44974</v>
      </c>
      <c r="BI169" s="1013" t="s">
        <v>7727</v>
      </c>
      <c r="BJ169" s="1013" t="s">
        <v>7730</v>
      </c>
      <c r="BK169" s="1013">
        <v>2469</v>
      </c>
      <c r="BL169" s="1013" t="s">
        <v>7724</v>
      </c>
      <c r="BM169" s="1013" t="s">
        <v>7724</v>
      </c>
      <c r="BN169" s="1013">
        <v>113</v>
      </c>
      <c r="BO169" s="1013">
        <v>8</v>
      </c>
      <c r="BP169" s="1013">
        <v>2</v>
      </c>
      <c r="BQ169" s="1013">
        <v>4</v>
      </c>
      <c r="BR169" s="1013">
        <v>21</v>
      </c>
      <c r="BS169" s="1013">
        <v>64</v>
      </c>
      <c r="BT169" s="1013">
        <v>35</v>
      </c>
      <c r="BU169" s="1013">
        <v>1</v>
      </c>
      <c r="BV169" s="1013">
        <v>5</v>
      </c>
      <c r="BW169" s="1013">
        <v>1</v>
      </c>
      <c r="BX169" s="1013">
        <v>21</v>
      </c>
      <c r="BY169" s="1013">
        <v>21</v>
      </c>
      <c r="BZ169" s="1013">
        <v>101</v>
      </c>
      <c r="CA169" s="1013">
        <v>208</v>
      </c>
      <c r="CB169" s="1013">
        <v>29.731337</v>
      </c>
      <c r="CC169" s="1013">
        <v>-95.382671999999999</v>
      </c>
      <c r="CD169" s="1013" t="s">
        <v>7724</v>
      </c>
      <c r="CE169" s="1013" t="s">
        <v>7724</v>
      </c>
      <c r="CF169" s="1013" t="s">
        <v>7724</v>
      </c>
      <c r="CG169" s="1013" t="s">
        <v>7724</v>
      </c>
      <c r="CH169" s="1013" t="s">
        <v>7732</v>
      </c>
      <c r="CI169" s="1013">
        <v>4682</v>
      </c>
      <c r="CJ169" s="1013" t="s">
        <v>7724</v>
      </c>
      <c r="CK169" s="1013" t="s">
        <v>7724</v>
      </c>
      <c r="CL169" s="1013" t="s">
        <v>7724</v>
      </c>
      <c r="CM169" s="1013" t="s">
        <v>7724</v>
      </c>
      <c r="CN169" s="1013" t="s">
        <v>7724</v>
      </c>
      <c r="CO169" s="1013" t="s">
        <v>7724</v>
      </c>
      <c r="CP169" s="1013" t="s">
        <v>7724</v>
      </c>
      <c r="CQ169" s="1013" t="s">
        <v>7724</v>
      </c>
      <c r="CR169" s="1013" t="s">
        <v>7724</v>
      </c>
      <c r="CS169" s="1013" t="s">
        <v>7724</v>
      </c>
      <c r="CT169" s="1013" t="s">
        <v>7724</v>
      </c>
      <c r="CU169" s="1013" t="s">
        <v>7724</v>
      </c>
      <c r="CV169" s="1013" t="s">
        <v>7724</v>
      </c>
      <c r="CW169" s="1013" t="s">
        <v>7727</v>
      </c>
      <c r="CX169" s="1013" t="s">
        <v>7723</v>
      </c>
      <c r="CY169" s="1013" t="s">
        <v>7723</v>
      </c>
      <c r="CZ169" s="1013">
        <v>5</v>
      </c>
      <c r="DA169" s="1013">
        <v>9</v>
      </c>
      <c r="DB169" s="1013" t="s">
        <v>7727</v>
      </c>
      <c r="DC169" s="1013" t="s">
        <v>7759</v>
      </c>
      <c r="DD169" s="1013" t="s">
        <v>7724</v>
      </c>
      <c r="DE169" s="1013" t="s">
        <v>7724</v>
      </c>
      <c r="DF169" s="1013" t="s">
        <v>7724</v>
      </c>
      <c r="DG169" s="1013" t="s">
        <v>7724</v>
      </c>
      <c r="DH169" s="1013" t="s">
        <v>7724</v>
      </c>
      <c r="DI169" s="1013" t="s">
        <v>7724</v>
      </c>
      <c r="DJ169" s="1013" t="s">
        <v>7724</v>
      </c>
      <c r="DK169" s="1013" t="s">
        <v>7724</v>
      </c>
      <c r="DL169" s="1013" t="s">
        <v>7724</v>
      </c>
      <c r="DM169" s="1013" t="s">
        <v>7724</v>
      </c>
      <c r="DN169" s="1013" t="s">
        <v>7724</v>
      </c>
      <c r="DO169" s="1013" t="s">
        <v>7724</v>
      </c>
      <c r="DP169" s="1013" t="s">
        <v>7724</v>
      </c>
      <c r="DQ169" s="1013" t="s">
        <v>7724</v>
      </c>
      <c r="DR169" s="1013" t="s">
        <v>7724</v>
      </c>
      <c r="DS169" s="1013" t="s">
        <v>7724</v>
      </c>
      <c r="DT169" s="1013" t="s">
        <v>7724</v>
      </c>
      <c r="DU169" s="1013" t="s">
        <v>7724</v>
      </c>
      <c r="DV169" s="1013" t="s">
        <v>7724</v>
      </c>
      <c r="DW169" s="1013" t="s">
        <v>7724</v>
      </c>
      <c r="DX169" s="1013" t="s">
        <v>7724</v>
      </c>
      <c r="DY169" s="1013" t="s">
        <v>7724</v>
      </c>
      <c r="DZ169" s="1013" t="s">
        <v>7724</v>
      </c>
      <c r="EA169" s="1013" t="s">
        <v>7724</v>
      </c>
      <c r="EB169" s="1013" t="s">
        <v>7724</v>
      </c>
      <c r="EC169" s="1013" t="s">
        <v>7724</v>
      </c>
      <c r="ED169" s="1013" t="s">
        <v>7724</v>
      </c>
      <c r="EE169" s="1013" t="s">
        <v>7724</v>
      </c>
      <c r="EF169" s="1013" t="s">
        <v>7724</v>
      </c>
      <c r="EG169" s="1013" t="s">
        <v>7724</v>
      </c>
      <c r="EH169" s="1013" t="s">
        <v>7724</v>
      </c>
      <c r="EI169" s="1013" t="s">
        <v>7724</v>
      </c>
      <c r="EJ169" s="1013" t="s">
        <v>7724</v>
      </c>
      <c r="EK169" s="1013" t="s">
        <v>7724</v>
      </c>
      <c r="EL169" s="1013" t="s">
        <v>7724</v>
      </c>
      <c r="EM169" s="1013" t="s">
        <v>7724</v>
      </c>
      <c r="EN169" s="1013" t="s">
        <v>7724</v>
      </c>
      <c r="EO169" s="1013" t="s">
        <v>7724</v>
      </c>
      <c r="EP169" s="1013" t="s">
        <v>7724</v>
      </c>
      <c r="EQ169" s="1013" t="s">
        <v>7724</v>
      </c>
      <c r="ER169" s="1013" t="s">
        <v>7724</v>
      </c>
      <c r="ES169" s="1013" t="s">
        <v>7724</v>
      </c>
      <c r="ET169" s="1013" t="s">
        <v>7724</v>
      </c>
      <c r="EU169" s="1013" t="s">
        <v>7724</v>
      </c>
      <c r="EV169" s="1013" t="s">
        <v>7724</v>
      </c>
      <c r="EW169" s="1013" t="s">
        <v>7724</v>
      </c>
      <c r="EX169" s="1013" t="s">
        <v>7724</v>
      </c>
      <c r="EY169" s="1013" t="s">
        <v>7724</v>
      </c>
      <c r="EZ169" s="1013" t="s">
        <v>7724</v>
      </c>
      <c r="FA169" s="1013" t="s">
        <v>7724</v>
      </c>
      <c r="FB169" s="1013" t="s">
        <v>7724</v>
      </c>
      <c r="FC169" s="1013" t="s">
        <v>7724</v>
      </c>
      <c r="FD169" s="1013" t="s">
        <v>7724</v>
      </c>
      <c r="FE169" s="1013" t="s">
        <v>7724</v>
      </c>
      <c r="FF169" s="1013" t="s">
        <v>7724</v>
      </c>
      <c r="FG169" s="1013">
        <v>0</v>
      </c>
      <c r="FH169" s="1013">
        <v>0</v>
      </c>
      <c r="FI169" s="1013">
        <v>0</v>
      </c>
      <c r="FJ169" s="1013">
        <v>4</v>
      </c>
      <c r="FK169" s="1013">
        <v>0</v>
      </c>
      <c r="FL169" s="1013">
        <v>0</v>
      </c>
      <c r="FM169" s="1013">
        <v>0</v>
      </c>
      <c r="FN169" s="1013">
        <v>15</v>
      </c>
      <c r="FO169" s="1013">
        <v>29</v>
      </c>
      <c r="FP169" s="1013">
        <v>9</v>
      </c>
      <c r="FQ169" s="1013" t="s">
        <v>7724</v>
      </c>
      <c r="FR169" s="1013" t="s">
        <v>7724</v>
      </c>
      <c r="FS169" s="1013" t="s">
        <v>7724</v>
      </c>
      <c r="FT169" s="1013" t="s">
        <v>7724</v>
      </c>
      <c r="FU169" s="1013" t="s">
        <v>7724</v>
      </c>
      <c r="FV169" s="1013" t="s">
        <v>7724</v>
      </c>
      <c r="FW169" s="1013" t="s">
        <v>7724</v>
      </c>
      <c r="FX169" s="1013" t="s">
        <v>7724</v>
      </c>
      <c r="FY169" s="1013" t="s">
        <v>7724</v>
      </c>
      <c r="FZ169" s="1013" t="s">
        <v>7724</v>
      </c>
      <c r="GA169" s="1013" t="s">
        <v>7724</v>
      </c>
      <c r="GB169" s="1013" t="s">
        <v>7724</v>
      </c>
      <c r="GC169" s="1013">
        <v>2023</v>
      </c>
      <c r="GD169" s="1013" t="s">
        <v>1404</v>
      </c>
      <c r="GE169" s="1013">
        <v>2</v>
      </c>
      <c r="GF169" s="1013" t="s">
        <v>1407</v>
      </c>
      <c r="GG169" s="1013" t="s">
        <v>1407</v>
      </c>
      <c r="GH169" s="1013" t="s">
        <v>8109</v>
      </c>
      <c r="GI169" s="1013" t="s">
        <v>7974</v>
      </c>
      <c r="GJ169" s="1013" t="s">
        <v>7974</v>
      </c>
      <c r="GK169" s="1013" t="s">
        <v>7974</v>
      </c>
      <c r="GL169" s="1013" t="s">
        <v>7974</v>
      </c>
    </row>
    <row r="170" spans="1:194" hidden="1">
      <c r="A170" s="1013">
        <v>147</v>
      </c>
      <c r="B170" s="1013" t="s">
        <v>7722</v>
      </c>
      <c r="C170" s="1013">
        <v>19404062</v>
      </c>
      <c r="D170" s="1013" t="s">
        <v>7723</v>
      </c>
      <c r="E170" s="1013" t="s">
        <v>7723</v>
      </c>
      <c r="F170" s="1013" t="s">
        <v>7723</v>
      </c>
      <c r="G170" s="1013" t="s">
        <v>7723</v>
      </c>
      <c r="H170" s="1013" t="s">
        <v>7723</v>
      </c>
      <c r="I170" s="1013" t="s">
        <v>7723</v>
      </c>
      <c r="J170" s="1013" t="s">
        <v>7723</v>
      </c>
      <c r="K170" s="1024">
        <v>44978</v>
      </c>
      <c r="L170" s="1023">
        <v>0.89583333333333337</v>
      </c>
      <c r="M170" s="1013" t="s">
        <v>8156</v>
      </c>
      <c r="N170" s="1013" t="s">
        <v>7744</v>
      </c>
      <c r="O170" s="1013">
        <v>101</v>
      </c>
      <c r="P170" s="1013">
        <v>208</v>
      </c>
      <c r="Q170" s="1013" t="s">
        <v>7723</v>
      </c>
      <c r="R170" s="1013" t="s">
        <v>7727</v>
      </c>
      <c r="S170" s="1013" t="s">
        <v>7724</v>
      </c>
      <c r="T170" s="1014" t="s">
        <v>7724</v>
      </c>
      <c r="U170" s="1014">
        <v>2</v>
      </c>
      <c r="V170" s="1014">
        <v>59</v>
      </c>
      <c r="W170" s="1014" t="s">
        <v>7724</v>
      </c>
      <c r="X170" s="1013">
        <v>1</v>
      </c>
      <c r="Y170" s="1013">
        <v>600</v>
      </c>
      <c r="Z170" s="1013" t="s">
        <v>7723</v>
      </c>
      <c r="AA170" s="1013" t="s">
        <v>8141</v>
      </c>
      <c r="AB170" s="1013" t="s">
        <v>7760</v>
      </c>
      <c r="AC170" s="1013" t="s">
        <v>7723</v>
      </c>
      <c r="AD170" s="1013" t="s">
        <v>7723</v>
      </c>
      <c r="AE170" s="1013">
        <v>60</v>
      </c>
      <c r="AF170" s="1013" t="s">
        <v>7723</v>
      </c>
      <c r="AG170" s="1013" t="s">
        <v>7723</v>
      </c>
      <c r="AH170" s="1013" t="s">
        <v>7779</v>
      </c>
      <c r="AI170" s="1013" t="s">
        <v>7723</v>
      </c>
      <c r="AJ170" s="1013">
        <v>19</v>
      </c>
      <c r="AK170" s="1013" t="s">
        <v>7724</v>
      </c>
      <c r="AL170" s="1013" t="s">
        <v>7724</v>
      </c>
      <c r="AM170" s="1013">
        <v>1</v>
      </c>
      <c r="AN170" s="1013">
        <v>4300</v>
      </c>
      <c r="AO170" s="1013" t="s">
        <v>7724</v>
      </c>
      <c r="AP170" s="1013" t="s">
        <v>7728</v>
      </c>
      <c r="AQ170" s="1013" t="s">
        <v>7726</v>
      </c>
      <c r="AR170" s="1013" t="s">
        <v>7724</v>
      </c>
      <c r="AS170" s="1013" t="s">
        <v>7724</v>
      </c>
      <c r="AT170" s="1013" t="s">
        <v>7724</v>
      </c>
      <c r="AU170" s="1013" t="s">
        <v>7724</v>
      </c>
      <c r="AV170" s="1013" t="s">
        <v>7724</v>
      </c>
      <c r="AW170" s="1013" t="s">
        <v>7724</v>
      </c>
      <c r="AX170" s="1013">
        <v>11</v>
      </c>
      <c r="AY170" s="1013">
        <v>4</v>
      </c>
      <c r="AZ170" s="1013">
        <v>0</v>
      </c>
      <c r="BA170" s="1013">
        <v>4</v>
      </c>
      <c r="BB170" s="1013">
        <v>1</v>
      </c>
      <c r="BC170" s="1013">
        <v>1</v>
      </c>
      <c r="BD170" s="1013">
        <v>20</v>
      </c>
      <c r="BE170" s="1023">
        <v>0.89583333333333337</v>
      </c>
      <c r="BF170" s="1013" t="s">
        <v>7736</v>
      </c>
      <c r="BG170" s="1023">
        <v>0.89583333333333337</v>
      </c>
      <c r="BH170" s="1024">
        <v>44979</v>
      </c>
      <c r="BI170" s="1013" t="s">
        <v>7727</v>
      </c>
      <c r="BJ170" s="1013" t="s">
        <v>7730</v>
      </c>
      <c r="BK170" s="1013">
        <v>2469</v>
      </c>
      <c r="BL170" s="1013" t="s">
        <v>7724</v>
      </c>
      <c r="BM170" s="1013" t="s">
        <v>7724</v>
      </c>
      <c r="BN170" s="1013">
        <v>121</v>
      </c>
      <c r="BO170" s="1013">
        <v>8</v>
      </c>
      <c r="BP170" s="1013">
        <v>2</v>
      </c>
      <c r="BQ170" s="1013">
        <v>4</v>
      </c>
      <c r="BR170" s="1013">
        <v>22</v>
      </c>
      <c r="BS170" s="1013">
        <v>64</v>
      </c>
      <c r="BT170" s="1013">
        <v>36</v>
      </c>
      <c r="BU170" s="1013">
        <v>1</v>
      </c>
      <c r="BV170" s="1013">
        <v>2</v>
      </c>
      <c r="BW170" s="1013">
        <v>1</v>
      </c>
      <c r="BX170" s="1013">
        <v>21</v>
      </c>
      <c r="BY170" s="1013">
        <v>21</v>
      </c>
      <c r="BZ170" s="1013">
        <v>101</v>
      </c>
      <c r="CA170" s="1013">
        <v>208</v>
      </c>
      <c r="CB170" s="1013">
        <v>29.732408</v>
      </c>
      <c r="CC170" s="1013">
        <v>-95.381945999999999</v>
      </c>
      <c r="CD170" s="1013" t="s">
        <v>8016</v>
      </c>
      <c r="CE170" s="1013">
        <v>69</v>
      </c>
      <c r="CF170" s="1013" t="s">
        <v>7724</v>
      </c>
      <c r="CG170" s="1013">
        <v>33.494999999999997</v>
      </c>
      <c r="CH170" s="1013" t="s">
        <v>8017</v>
      </c>
      <c r="CI170" s="1013" t="s">
        <v>7724</v>
      </c>
      <c r="CJ170" s="1013">
        <v>27</v>
      </c>
      <c r="CK170" s="1013">
        <v>13</v>
      </c>
      <c r="CL170" s="1013">
        <v>13.789</v>
      </c>
      <c r="CM170" s="1013">
        <v>128</v>
      </c>
      <c r="CN170" s="1013">
        <v>0.23599999999999999</v>
      </c>
      <c r="CO170" s="1013" t="s">
        <v>7724</v>
      </c>
      <c r="CP170" s="1013" t="s">
        <v>7724</v>
      </c>
      <c r="CQ170" s="1013" t="s">
        <v>7724</v>
      </c>
      <c r="CR170" s="1013" t="s">
        <v>7724</v>
      </c>
      <c r="CS170" s="1013" t="s">
        <v>7724</v>
      </c>
      <c r="CT170" s="1013" t="s">
        <v>7724</v>
      </c>
      <c r="CU170" s="1013" t="s">
        <v>7724</v>
      </c>
      <c r="CV170" s="1013" t="s">
        <v>7724</v>
      </c>
      <c r="CW170" s="1013" t="s">
        <v>7727</v>
      </c>
      <c r="CX170" s="1013" t="s">
        <v>7727</v>
      </c>
      <c r="CY170" s="1013" t="s">
        <v>7723</v>
      </c>
      <c r="CZ170" s="1013">
        <v>5</v>
      </c>
      <c r="DA170" s="1013">
        <v>9</v>
      </c>
      <c r="DB170" s="1013" t="s">
        <v>7727</v>
      </c>
      <c r="DC170" s="1013" t="s">
        <v>7737</v>
      </c>
      <c r="DD170" s="1013">
        <v>5</v>
      </c>
      <c r="DE170" s="1013" t="s">
        <v>7724</v>
      </c>
      <c r="DF170" s="1013">
        <v>20</v>
      </c>
      <c r="DG170" s="1013">
        <v>20</v>
      </c>
      <c r="DH170" s="1013">
        <v>5</v>
      </c>
      <c r="DI170" s="1013" t="s">
        <v>7724</v>
      </c>
      <c r="DJ170" s="1013">
        <v>8</v>
      </c>
      <c r="DK170" s="1013">
        <v>400</v>
      </c>
      <c r="DL170" s="1013">
        <v>138</v>
      </c>
      <c r="DM170" s="1013">
        <v>98</v>
      </c>
      <c r="DN170" s="1013">
        <v>1</v>
      </c>
      <c r="DO170" s="1013">
        <v>0</v>
      </c>
      <c r="DP170" s="1013">
        <v>0</v>
      </c>
      <c r="DQ170" s="1013">
        <v>1</v>
      </c>
      <c r="DR170" s="1013">
        <v>20</v>
      </c>
      <c r="DS170" s="1013">
        <v>5</v>
      </c>
      <c r="DT170" s="1013">
        <v>1</v>
      </c>
      <c r="DU170" s="1013">
        <v>20</v>
      </c>
      <c r="DV170" s="1013">
        <v>5</v>
      </c>
      <c r="DW170" s="1013">
        <v>7</v>
      </c>
      <c r="DX170" s="1013">
        <v>5</v>
      </c>
      <c r="DY170" s="1013">
        <v>4</v>
      </c>
      <c r="DZ170" s="1013">
        <v>1</v>
      </c>
      <c r="EA170" s="1013">
        <v>185410</v>
      </c>
      <c r="EB170" s="1013">
        <v>2019</v>
      </c>
      <c r="EC170" s="1013">
        <v>185410</v>
      </c>
      <c r="ED170" s="1013">
        <v>2.2999999999999998</v>
      </c>
      <c r="EE170" s="1013">
        <v>2.5</v>
      </c>
      <c r="EF170" s="1013">
        <v>4.8</v>
      </c>
      <c r="EG170" s="1013" t="s">
        <v>7724</v>
      </c>
      <c r="EH170" s="1013" t="s">
        <v>7724</v>
      </c>
      <c r="EI170" s="1013" t="s">
        <v>7724</v>
      </c>
      <c r="EJ170" s="1013" t="s">
        <v>7724</v>
      </c>
      <c r="EK170" s="1013" t="s">
        <v>7724</v>
      </c>
      <c r="EL170" s="1013" t="s">
        <v>7724</v>
      </c>
      <c r="EM170" s="1013" t="s">
        <v>7724</v>
      </c>
      <c r="EN170" s="1013" t="s">
        <v>7724</v>
      </c>
      <c r="EO170" s="1013" t="s">
        <v>7724</v>
      </c>
      <c r="EP170" s="1013" t="s">
        <v>7724</v>
      </c>
      <c r="EQ170" s="1013" t="s">
        <v>7724</v>
      </c>
      <c r="ER170" s="1013" t="s">
        <v>7724</v>
      </c>
      <c r="ES170" s="1013" t="s">
        <v>7724</v>
      </c>
      <c r="ET170" s="1013" t="s">
        <v>7724</v>
      </c>
      <c r="EU170" s="1013" t="s">
        <v>7724</v>
      </c>
      <c r="EV170" s="1013" t="s">
        <v>7724</v>
      </c>
      <c r="EW170" s="1013" t="s">
        <v>7724</v>
      </c>
      <c r="EX170" s="1013" t="s">
        <v>7724</v>
      </c>
      <c r="EY170" s="1013" t="s">
        <v>7724</v>
      </c>
      <c r="EZ170" s="1013" t="s">
        <v>7724</v>
      </c>
      <c r="FA170" s="1013" t="s">
        <v>7724</v>
      </c>
      <c r="FB170" s="1013" t="s">
        <v>7724</v>
      </c>
      <c r="FC170" s="1013" t="s">
        <v>7724</v>
      </c>
      <c r="FD170" s="1013" t="s">
        <v>7724</v>
      </c>
      <c r="FE170" s="1013" t="s">
        <v>7724</v>
      </c>
      <c r="FF170" s="1013" t="s">
        <v>7724</v>
      </c>
      <c r="FG170" s="1013">
        <v>0</v>
      </c>
      <c r="FH170" s="1013">
        <v>0</v>
      </c>
      <c r="FI170" s="1013">
        <v>0</v>
      </c>
      <c r="FJ170" s="1013">
        <v>1</v>
      </c>
      <c r="FK170" s="1013">
        <v>1</v>
      </c>
      <c r="FL170" s="1013">
        <v>0</v>
      </c>
      <c r="FM170" s="1013">
        <v>0</v>
      </c>
      <c r="FN170" s="1013">
        <v>15</v>
      </c>
      <c r="FO170" s="1013">
        <v>35</v>
      </c>
      <c r="FP170" s="1013">
        <v>16</v>
      </c>
      <c r="FQ170" s="1013" t="s">
        <v>7724</v>
      </c>
      <c r="FR170" s="1013" t="s">
        <v>7724</v>
      </c>
      <c r="FS170" s="1013" t="s">
        <v>7724</v>
      </c>
      <c r="FT170" s="1013" t="s">
        <v>7724</v>
      </c>
      <c r="FU170" s="1013" t="s">
        <v>7724</v>
      </c>
      <c r="FV170" s="1013" t="s">
        <v>7724</v>
      </c>
      <c r="FW170" s="1013" t="s">
        <v>7724</v>
      </c>
      <c r="FX170" s="1013" t="s">
        <v>7724</v>
      </c>
      <c r="FY170" s="1013" t="s">
        <v>7724</v>
      </c>
      <c r="FZ170" s="1013" t="s">
        <v>7724</v>
      </c>
      <c r="GA170" s="1013" t="s">
        <v>7724</v>
      </c>
      <c r="GB170" s="1013" t="s">
        <v>7724</v>
      </c>
      <c r="GC170" s="1013">
        <v>2023</v>
      </c>
      <c r="GD170" s="1013" t="s">
        <v>1407</v>
      </c>
      <c r="GE170" s="1013">
        <v>2</v>
      </c>
      <c r="GF170" s="1013" t="s">
        <v>1407</v>
      </c>
      <c r="GG170" s="1013" t="s">
        <v>1407</v>
      </c>
      <c r="GH170" s="1013" t="s">
        <v>8023</v>
      </c>
      <c r="GI170" s="1013" t="s">
        <v>7974</v>
      </c>
      <c r="GJ170" s="1013" t="s">
        <v>7974</v>
      </c>
      <c r="GK170" s="1013" t="s">
        <v>7974</v>
      </c>
      <c r="GL170" s="1013" t="s">
        <v>7974</v>
      </c>
    </row>
    <row r="171" spans="1:194" hidden="1">
      <c r="A171" s="1013">
        <v>149</v>
      </c>
      <c r="B171" s="1013" t="s">
        <v>7722</v>
      </c>
      <c r="C171" s="1013">
        <v>19490641</v>
      </c>
      <c r="D171" s="1013" t="s">
        <v>7723</v>
      </c>
      <c r="E171" s="1013" t="s">
        <v>7723</v>
      </c>
      <c r="F171" s="1013" t="s">
        <v>7723</v>
      </c>
      <c r="G171" s="1013" t="s">
        <v>7723</v>
      </c>
      <c r="H171" s="1013" t="s">
        <v>7723</v>
      </c>
      <c r="I171" s="1013" t="s">
        <v>7723</v>
      </c>
      <c r="J171" s="1013" t="s">
        <v>7723</v>
      </c>
      <c r="K171" s="1024">
        <v>45003</v>
      </c>
      <c r="L171" s="1023">
        <v>0.8979166666666667</v>
      </c>
      <c r="M171" s="1013" t="s">
        <v>8157</v>
      </c>
      <c r="N171" s="1013" t="s">
        <v>7724</v>
      </c>
      <c r="O171" s="1013">
        <v>101</v>
      </c>
      <c r="P171" s="1013">
        <v>208</v>
      </c>
      <c r="Q171" s="1013" t="s">
        <v>7723</v>
      </c>
      <c r="R171" s="1013" t="s">
        <v>7727</v>
      </c>
      <c r="S171" s="1013" t="s">
        <v>7724</v>
      </c>
      <c r="T171" s="1014" t="s">
        <v>7724</v>
      </c>
      <c r="U171" s="1014">
        <v>2</v>
      </c>
      <c r="V171" s="1014">
        <v>59</v>
      </c>
      <c r="W171" s="1014" t="s">
        <v>7724</v>
      </c>
      <c r="X171" s="1013">
        <v>1</v>
      </c>
      <c r="Y171" s="1013">
        <v>803</v>
      </c>
      <c r="Z171" s="1013" t="s">
        <v>7770</v>
      </c>
      <c r="AA171" s="1013" t="s">
        <v>7771</v>
      </c>
      <c r="AB171" s="1013" t="s">
        <v>7760</v>
      </c>
      <c r="AC171" s="1013" t="s">
        <v>7723</v>
      </c>
      <c r="AD171" s="1013" t="s">
        <v>7723</v>
      </c>
      <c r="AE171" s="1013">
        <v>65</v>
      </c>
      <c r="AF171" s="1013" t="s">
        <v>7723</v>
      </c>
      <c r="AG171" s="1013" t="s">
        <v>7723</v>
      </c>
      <c r="AH171" s="1013" t="s">
        <v>7739</v>
      </c>
      <c r="AI171" s="1013" t="s">
        <v>7723</v>
      </c>
      <c r="AJ171" s="1013">
        <v>19</v>
      </c>
      <c r="AK171" s="1013" t="s">
        <v>7724</v>
      </c>
      <c r="AL171" s="1013" t="s">
        <v>7724</v>
      </c>
      <c r="AM171" s="1013">
        <v>1</v>
      </c>
      <c r="AN171" s="1013">
        <v>2100</v>
      </c>
      <c r="AO171" s="1013" t="s">
        <v>7724</v>
      </c>
      <c r="AP171" s="1013" t="s">
        <v>8158</v>
      </c>
      <c r="AQ171" s="1013" t="s">
        <v>7726</v>
      </c>
      <c r="AR171" s="1013" t="s">
        <v>7724</v>
      </c>
      <c r="AS171" s="1013" t="s">
        <v>7724</v>
      </c>
      <c r="AT171" s="1013" t="s">
        <v>7724</v>
      </c>
      <c r="AU171" s="1013" t="s">
        <v>7724</v>
      </c>
      <c r="AV171" s="1013" t="s">
        <v>7739</v>
      </c>
      <c r="AW171" s="1013" t="s">
        <v>7724</v>
      </c>
      <c r="AX171" s="1013">
        <v>11</v>
      </c>
      <c r="AY171" s="1013">
        <v>1</v>
      </c>
      <c r="AZ171" s="1013">
        <v>0</v>
      </c>
      <c r="BA171" s="1013">
        <v>4</v>
      </c>
      <c r="BB171" s="1013">
        <v>1</v>
      </c>
      <c r="BC171" s="1013">
        <v>1</v>
      </c>
      <c r="BD171" s="1013">
        <v>20</v>
      </c>
      <c r="BE171" s="1023">
        <v>0.8979166666666667</v>
      </c>
      <c r="BF171" s="1013" t="s">
        <v>7736</v>
      </c>
      <c r="BG171" s="1023">
        <v>0.90277777777777779</v>
      </c>
      <c r="BH171" s="1024">
        <v>45030</v>
      </c>
      <c r="BI171" s="1013" t="s">
        <v>7727</v>
      </c>
      <c r="BJ171" s="1013" t="s">
        <v>7730</v>
      </c>
      <c r="BK171" s="1013">
        <v>2469</v>
      </c>
      <c r="BL171" s="1013" t="s">
        <v>7724</v>
      </c>
      <c r="BM171" s="1013" t="s">
        <v>7724</v>
      </c>
      <c r="BN171" s="1013">
        <v>121</v>
      </c>
      <c r="BO171" s="1013">
        <v>8</v>
      </c>
      <c r="BP171" s="1013">
        <v>2</v>
      </c>
      <c r="BQ171" s="1013">
        <v>4</v>
      </c>
      <c r="BR171" s="1013">
        <v>20</v>
      </c>
      <c r="BS171" s="1013">
        <v>64</v>
      </c>
      <c r="BT171" s="1013">
        <v>54</v>
      </c>
      <c r="BU171" s="1013">
        <v>1</v>
      </c>
      <c r="BV171" s="1013">
        <v>2</v>
      </c>
      <c r="BW171" s="1013">
        <v>1</v>
      </c>
      <c r="BX171" s="1013">
        <v>21</v>
      </c>
      <c r="BY171" s="1013">
        <v>21</v>
      </c>
      <c r="BZ171" s="1013">
        <v>101</v>
      </c>
      <c r="CA171" s="1013">
        <v>208</v>
      </c>
      <c r="CB171" s="1013">
        <v>29.732430000000001</v>
      </c>
      <c r="CC171" s="1013">
        <v>-95.381669000000002</v>
      </c>
      <c r="CD171" s="1013" t="s">
        <v>8016</v>
      </c>
      <c r="CE171" s="1013">
        <v>69</v>
      </c>
      <c r="CF171" s="1013" t="s">
        <v>7724</v>
      </c>
      <c r="CG171" s="1013">
        <v>33.512</v>
      </c>
      <c r="CH171" s="1013" t="s">
        <v>8017</v>
      </c>
      <c r="CI171" s="1013" t="s">
        <v>7724</v>
      </c>
      <c r="CJ171" s="1013">
        <v>27</v>
      </c>
      <c r="CK171" s="1013">
        <v>13</v>
      </c>
      <c r="CL171" s="1013">
        <v>13.807</v>
      </c>
      <c r="CM171" s="1013">
        <v>128</v>
      </c>
      <c r="CN171" s="1013">
        <v>0.253</v>
      </c>
      <c r="CO171" s="1013" t="s">
        <v>7724</v>
      </c>
      <c r="CP171" s="1013" t="s">
        <v>7724</v>
      </c>
      <c r="CQ171" s="1013" t="s">
        <v>7724</v>
      </c>
      <c r="CR171" s="1013" t="s">
        <v>7724</v>
      </c>
      <c r="CS171" s="1013" t="s">
        <v>7724</v>
      </c>
      <c r="CT171" s="1013" t="s">
        <v>7724</v>
      </c>
      <c r="CU171" s="1013" t="s">
        <v>7724</v>
      </c>
      <c r="CV171" s="1013" t="s">
        <v>7724</v>
      </c>
      <c r="CW171" s="1013" t="s">
        <v>7727</v>
      </c>
      <c r="CX171" s="1013" t="s">
        <v>7727</v>
      </c>
      <c r="CY171" s="1013" t="s">
        <v>7723</v>
      </c>
      <c r="CZ171" s="1013">
        <v>1</v>
      </c>
      <c r="DA171" s="1013">
        <v>9</v>
      </c>
      <c r="DB171" s="1013" t="s">
        <v>7727</v>
      </c>
      <c r="DC171" s="1013" t="s">
        <v>7733</v>
      </c>
      <c r="DD171" s="1013">
        <v>5</v>
      </c>
      <c r="DE171" s="1013" t="s">
        <v>7724</v>
      </c>
      <c r="DF171" s="1013">
        <v>20</v>
      </c>
      <c r="DG171" s="1013">
        <v>20</v>
      </c>
      <c r="DH171" s="1013">
        <v>5</v>
      </c>
      <c r="DI171" s="1013" t="s">
        <v>7724</v>
      </c>
      <c r="DJ171" s="1013">
        <v>8</v>
      </c>
      <c r="DK171" s="1013">
        <v>400</v>
      </c>
      <c r="DL171" s="1013">
        <v>138</v>
      </c>
      <c r="DM171" s="1013">
        <v>98</v>
      </c>
      <c r="DN171" s="1013">
        <v>1</v>
      </c>
      <c r="DO171" s="1013">
        <v>0</v>
      </c>
      <c r="DP171" s="1013">
        <v>0</v>
      </c>
      <c r="DQ171" s="1013">
        <v>1</v>
      </c>
      <c r="DR171" s="1013">
        <v>20</v>
      </c>
      <c r="DS171" s="1013">
        <v>5</v>
      </c>
      <c r="DT171" s="1013">
        <v>1</v>
      </c>
      <c r="DU171" s="1013">
        <v>20</v>
      </c>
      <c r="DV171" s="1013">
        <v>5</v>
      </c>
      <c r="DW171" s="1013">
        <v>7</v>
      </c>
      <c r="DX171" s="1013">
        <v>5</v>
      </c>
      <c r="DY171" s="1013">
        <v>4</v>
      </c>
      <c r="DZ171" s="1013">
        <v>1</v>
      </c>
      <c r="EA171" s="1013">
        <v>185410</v>
      </c>
      <c r="EB171" s="1013">
        <v>2019</v>
      </c>
      <c r="EC171" s="1013">
        <v>185410</v>
      </c>
      <c r="ED171" s="1013">
        <v>2.2999999999999998</v>
      </c>
      <c r="EE171" s="1013">
        <v>2.5</v>
      </c>
      <c r="EF171" s="1013">
        <v>4.8</v>
      </c>
      <c r="EG171" s="1013" t="s">
        <v>7724</v>
      </c>
      <c r="EH171" s="1013" t="s">
        <v>7724</v>
      </c>
      <c r="EI171" s="1013" t="s">
        <v>7724</v>
      </c>
      <c r="EJ171" s="1013" t="s">
        <v>7724</v>
      </c>
      <c r="EK171" s="1013" t="s">
        <v>7724</v>
      </c>
      <c r="EL171" s="1013" t="s">
        <v>7724</v>
      </c>
      <c r="EM171" s="1013" t="s">
        <v>7724</v>
      </c>
      <c r="EN171" s="1013" t="s">
        <v>7724</v>
      </c>
      <c r="EO171" s="1013" t="s">
        <v>7724</v>
      </c>
      <c r="EP171" s="1013" t="s">
        <v>7724</v>
      </c>
      <c r="EQ171" s="1013" t="s">
        <v>7724</v>
      </c>
      <c r="ER171" s="1013" t="s">
        <v>7724</v>
      </c>
      <c r="ES171" s="1013" t="s">
        <v>7724</v>
      </c>
      <c r="ET171" s="1013" t="s">
        <v>7724</v>
      </c>
      <c r="EU171" s="1013" t="s">
        <v>7724</v>
      </c>
      <c r="EV171" s="1013" t="s">
        <v>7724</v>
      </c>
      <c r="EW171" s="1013" t="s">
        <v>7724</v>
      </c>
      <c r="EX171" s="1013" t="s">
        <v>7724</v>
      </c>
      <c r="EY171" s="1013" t="s">
        <v>7724</v>
      </c>
      <c r="EZ171" s="1013" t="s">
        <v>7724</v>
      </c>
      <c r="FA171" s="1013" t="s">
        <v>7724</v>
      </c>
      <c r="FB171" s="1013" t="s">
        <v>7724</v>
      </c>
      <c r="FC171" s="1013" t="s">
        <v>7724</v>
      </c>
      <c r="FD171" s="1013" t="s">
        <v>7724</v>
      </c>
      <c r="FE171" s="1013" t="s">
        <v>7724</v>
      </c>
      <c r="FF171" s="1013" t="s">
        <v>7724</v>
      </c>
      <c r="FG171" s="1013">
        <v>1</v>
      </c>
      <c r="FH171" s="1013">
        <v>0</v>
      </c>
      <c r="FI171" s="1013">
        <v>0</v>
      </c>
      <c r="FJ171" s="1013">
        <v>1</v>
      </c>
      <c r="FK171" s="1013">
        <v>0</v>
      </c>
      <c r="FL171" s="1013">
        <v>1</v>
      </c>
      <c r="FM171" s="1013">
        <v>0</v>
      </c>
      <c r="FN171" s="1013">
        <v>15</v>
      </c>
      <c r="FO171" s="1013">
        <v>35</v>
      </c>
      <c r="FP171" s="1013">
        <v>24</v>
      </c>
      <c r="FQ171" s="1013" t="s">
        <v>7724</v>
      </c>
      <c r="FR171" s="1013" t="s">
        <v>7724</v>
      </c>
      <c r="FS171" s="1013" t="s">
        <v>7724</v>
      </c>
      <c r="FT171" s="1013" t="s">
        <v>7724</v>
      </c>
      <c r="FU171" s="1013" t="s">
        <v>7724</v>
      </c>
      <c r="FV171" s="1013" t="s">
        <v>7724</v>
      </c>
      <c r="FW171" s="1013" t="s">
        <v>7724</v>
      </c>
      <c r="FX171" s="1013" t="s">
        <v>7724</v>
      </c>
      <c r="FY171" s="1013" t="s">
        <v>7724</v>
      </c>
      <c r="FZ171" s="1013" t="s">
        <v>7724</v>
      </c>
      <c r="GA171" s="1013" t="s">
        <v>7724</v>
      </c>
      <c r="GB171" s="1013" t="s">
        <v>7724</v>
      </c>
      <c r="GC171" s="1013">
        <v>2023</v>
      </c>
      <c r="GD171" s="1013" t="s">
        <v>1407</v>
      </c>
      <c r="GE171" s="1013">
        <v>2</v>
      </c>
      <c r="GF171" s="1013" t="s">
        <v>1407</v>
      </c>
      <c r="GG171" s="1013" t="s">
        <v>1407</v>
      </c>
      <c r="GH171" s="1013" t="s">
        <v>8023</v>
      </c>
      <c r="GI171" s="1013" t="s">
        <v>7974</v>
      </c>
      <c r="GJ171" s="1013" t="s">
        <v>7974</v>
      </c>
      <c r="GK171" s="1013" t="s">
        <v>7974</v>
      </c>
      <c r="GL171" s="1013" t="s">
        <v>7974</v>
      </c>
    </row>
    <row r="172" spans="1:194" hidden="1">
      <c r="A172" s="1013">
        <v>151</v>
      </c>
      <c r="B172" s="1013" t="s">
        <v>7722</v>
      </c>
      <c r="C172" s="1013">
        <v>19856321</v>
      </c>
      <c r="D172" s="1013" t="s">
        <v>7723</v>
      </c>
      <c r="E172" s="1013" t="s">
        <v>7723</v>
      </c>
      <c r="F172" s="1013" t="s">
        <v>7723</v>
      </c>
      <c r="G172" s="1013" t="s">
        <v>7723</v>
      </c>
      <c r="H172" s="1013" t="s">
        <v>7723</v>
      </c>
      <c r="I172" s="1013" t="s">
        <v>7723</v>
      </c>
      <c r="J172" s="1013" t="s">
        <v>7723</v>
      </c>
      <c r="K172" s="1024">
        <v>45236</v>
      </c>
      <c r="L172" s="1023">
        <v>0.625</v>
      </c>
      <c r="M172" s="1013" t="s">
        <v>8159</v>
      </c>
      <c r="N172" s="1013" t="s">
        <v>7724</v>
      </c>
      <c r="O172" s="1013">
        <v>101</v>
      </c>
      <c r="P172" s="1013">
        <v>208</v>
      </c>
      <c r="Q172" s="1013" t="s">
        <v>7723</v>
      </c>
      <c r="R172" s="1013" t="s">
        <v>7727</v>
      </c>
      <c r="S172" s="1013" t="s">
        <v>7724</v>
      </c>
      <c r="T172" s="1014" t="s">
        <v>7724</v>
      </c>
      <c r="U172" s="1014">
        <v>2</v>
      </c>
      <c r="V172" s="1014">
        <v>59</v>
      </c>
      <c r="W172" s="1014" t="s">
        <v>7724</v>
      </c>
      <c r="X172" s="1013">
        <v>1</v>
      </c>
      <c r="Y172" s="1013">
        <v>2200</v>
      </c>
      <c r="Z172" s="1013" t="s">
        <v>7770</v>
      </c>
      <c r="AA172" s="1013" t="s">
        <v>7771</v>
      </c>
      <c r="AB172" s="1013" t="s">
        <v>7760</v>
      </c>
      <c r="AC172" s="1013" t="s">
        <v>7723</v>
      </c>
      <c r="AD172" s="1013" t="s">
        <v>7723</v>
      </c>
      <c r="AE172" s="1013">
        <v>60</v>
      </c>
      <c r="AF172" s="1013" t="s">
        <v>7723</v>
      </c>
      <c r="AG172" s="1013" t="s">
        <v>7723</v>
      </c>
      <c r="AH172" s="1013" t="s">
        <v>7739</v>
      </c>
      <c r="AI172" s="1013" t="s">
        <v>7723</v>
      </c>
      <c r="AJ172" s="1013">
        <v>19</v>
      </c>
      <c r="AK172" s="1013" t="s">
        <v>7724</v>
      </c>
      <c r="AL172" s="1013" t="s">
        <v>7724</v>
      </c>
      <c r="AM172" s="1013">
        <v>4</v>
      </c>
      <c r="AN172" s="1013" t="s">
        <v>7724</v>
      </c>
      <c r="AO172" s="1013" t="s">
        <v>7724</v>
      </c>
      <c r="AP172" s="1013" t="s">
        <v>8003</v>
      </c>
      <c r="AQ172" s="1013" t="s">
        <v>7735</v>
      </c>
      <c r="AR172" s="1013" t="s">
        <v>7724</v>
      </c>
      <c r="AS172" s="1013" t="s">
        <v>7724</v>
      </c>
      <c r="AT172" s="1013" t="s">
        <v>7724</v>
      </c>
      <c r="AU172" s="1013" t="s">
        <v>7724</v>
      </c>
      <c r="AV172" s="1013" t="s">
        <v>7739</v>
      </c>
      <c r="AW172" s="1013" t="s">
        <v>7724</v>
      </c>
      <c r="AX172" s="1013">
        <v>11</v>
      </c>
      <c r="AY172" s="1013">
        <v>1</v>
      </c>
      <c r="AZ172" s="1013">
        <v>0</v>
      </c>
      <c r="BA172" s="1013">
        <v>4</v>
      </c>
      <c r="BB172" s="1013">
        <v>1</v>
      </c>
      <c r="BC172" s="1013">
        <v>1</v>
      </c>
      <c r="BD172" s="1013">
        <v>20</v>
      </c>
      <c r="BE172" s="1023">
        <v>0.625</v>
      </c>
      <c r="BF172" s="1013" t="s">
        <v>8160</v>
      </c>
      <c r="BG172" s="1023">
        <v>0.625</v>
      </c>
      <c r="BH172" s="1024">
        <v>45236</v>
      </c>
      <c r="BI172" s="1013" t="s">
        <v>7727</v>
      </c>
      <c r="BJ172" s="1013" t="s">
        <v>7730</v>
      </c>
      <c r="BK172" s="1013">
        <v>2469</v>
      </c>
      <c r="BL172" s="1013" t="s">
        <v>7724</v>
      </c>
      <c r="BM172" s="1013" t="s">
        <v>7724</v>
      </c>
      <c r="BN172" s="1013">
        <v>113</v>
      </c>
      <c r="BO172" s="1013">
        <v>8</v>
      </c>
      <c r="BP172" s="1013">
        <v>2</v>
      </c>
      <c r="BQ172" s="1013">
        <v>4</v>
      </c>
      <c r="BR172" s="1013">
        <v>20</v>
      </c>
      <c r="BS172" s="1013">
        <v>64</v>
      </c>
      <c r="BT172" s="1013">
        <v>54</v>
      </c>
      <c r="BU172" s="1013">
        <v>1</v>
      </c>
      <c r="BV172" s="1013">
        <v>2</v>
      </c>
      <c r="BW172" s="1013">
        <v>1</v>
      </c>
      <c r="BX172" s="1013">
        <v>21</v>
      </c>
      <c r="BY172" s="1013">
        <v>21</v>
      </c>
      <c r="BZ172" s="1013">
        <v>101</v>
      </c>
      <c r="CA172" s="1013">
        <v>208</v>
      </c>
      <c r="CB172" s="1013">
        <v>29.732424999999999</v>
      </c>
      <c r="CC172" s="1013">
        <v>-95.381735000000006</v>
      </c>
      <c r="CD172" s="1013" t="s">
        <v>8016</v>
      </c>
      <c r="CE172" s="1013">
        <v>69</v>
      </c>
      <c r="CF172" s="1013" t="s">
        <v>7724</v>
      </c>
      <c r="CG172" s="1013">
        <v>33.508000000000003</v>
      </c>
      <c r="CH172" s="1013" t="s">
        <v>8017</v>
      </c>
      <c r="CI172" s="1013" t="s">
        <v>7724</v>
      </c>
      <c r="CJ172" s="1013">
        <v>27</v>
      </c>
      <c r="CK172" s="1013">
        <v>13</v>
      </c>
      <c r="CL172" s="1013">
        <v>13.803000000000001</v>
      </c>
      <c r="CM172" s="1013">
        <v>128</v>
      </c>
      <c r="CN172" s="1013">
        <v>0.249</v>
      </c>
      <c r="CO172" s="1013" t="s">
        <v>7724</v>
      </c>
      <c r="CP172" s="1013" t="s">
        <v>7724</v>
      </c>
      <c r="CQ172" s="1013" t="s">
        <v>7724</v>
      </c>
      <c r="CR172" s="1013" t="s">
        <v>7724</v>
      </c>
      <c r="CS172" s="1013" t="s">
        <v>7724</v>
      </c>
      <c r="CT172" s="1013" t="s">
        <v>7724</v>
      </c>
      <c r="CU172" s="1013" t="s">
        <v>7724</v>
      </c>
      <c r="CV172" s="1013" t="s">
        <v>7724</v>
      </c>
      <c r="CW172" s="1013" t="s">
        <v>7727</v>
      </c>
      <c r="CX172" s="1013" t="s">
        <v>7727</v>
      </c>
      <c r="CY172" s="1013" t="s">
        <v>7723</v>
      </c>
      <c r="CZ172" s="1013">
        <v>5</v>
      </c>
      <c r="DA172" s="1013">
        <v>9</v>
      </c>
      <c r="DB172" s="1013" t="s">
        <v>7727</v>
      </c>
      <c r="DC172" s="1013" t="s">
        <v>7743</v>
      </c>
      <c r="DD172" s="1013">
        <v>5</v>
      </c>
      <c r="DE172" s="1013" t="s">
        <v>7724</v>
      </c>
      <c r="DF172" s="1013">
        <v>20</v>
      </c>
      <c r="DG172" s="1013">
        <v>20</v>
      </c>
      <c r="DH172" s="1013">
        <v>5</v>
      </c>
      <c r="DI172" s="1013" t="s">
        <v>7724</v>
      </c>
      <c r="DJ172" s="1013">
        <v>8</v>
      </c>
      <c r="DK172" s="1013">
        <v>400</v>
      </c>
      <c r="DL172" s="1013">
        <v>138</v>
      </c>
      <c r="DM172" s="1013">
        <v>98</v>
      </c>
      <c r="DN172" s="1013">
        <v>1</v>
      </c>
      <c r="DO172" s="1013">
        <v>0</v>
      </c>
      <c r="DP172" s="1013">
        <v>0</v>
      </c>
      <c r="DQ172" s="1013">
        <v>1</v>
      </c>
      <c r="DR172" s="1013">
        <v>20</v>
      </c>
      <c r="DS172" s="1013">
        <v>5</v>
      </c>
      <c r="DT172" s="1013">
        <v>1</v>
      </c>
      <c r="DU172" s="1013">
        <v>20</v>
      </c>
      <c r="DV172" s="1013">
        <v>5</v>
      </c>
      <c r="DW172" s="1013">
        <v>7</v>
      </c>
      <c r="DX172" s="1013">
        <v>5</v>
      </c>
      <c r="DY172" s="1013">
        <v>4</v>
      </c>
      <c r="DZ172" s="1013">
        <v>1</v>
      </c>
      <c r="EA172" s="1013">
        <v>185410</v>
      </c>
      <c r="EB172" s="1013">
        <v>2019</v>
      </c>
      <c r="EC172" s="1013">
        <v>185410</v>
      </c>
      <c r="ED172" s="1013">
        <v>2.2999999999999998</v>
      </c>
      <c r="EE172" s="1013">
        <v>2.5</v>
      </c>
      <c r="EF172" s="1013">
        <v>4.8</v>
      </c>
      <c r="EG172" s="1013" t="s">
        <v>7724</v>
      </c>
      <c r="EH172" s="1013" t="s">
        <v>7724</v>
      </c>
      <c r="EI172" s="1013" t="s">
        <v>7724</v>
      </c>
      <c r="EJ172" s="1013" t="s">
        <v>7724</v>
      </c>
      <c r="EK172" s="1013" t="s">
        <v>7724</v>
      </c>
      <c r="EL172" s="1013" t="s">
        <v>7724</v>
      </c>
      <c r="EM172" s="1013" t="s">
        <v>7724</v>
      </c>
      <c r="EN172" s="1013" t="s">
        <v>7724</v>
      </c>
      <c r="EO172" s="1013" t="s">
        <v>7724</v>
      </c>
      <c r="EP172" s="1013" t="s">
        <v>7724</v>
      </c>
      <c r="EQ172" s="1013" t="s">
        <v>7724</v>
      </c>
      <c r="ER172" s="1013" t="s">
        <v>7724</v>
      </c>
      <c r="ES172" s="1013" t="s">
        <v>7724</v>
      </c>
      <c r="ET172" s="1013" t="s">
        <v>7724</v>
      </c>
      <c r="EU172" s="1013" t="s">
        <v>7724</v>
      </c>
      <c r="EV172" s="1013" t="s">
        <v>7724</v>
      </c>
      <c r="EW172" s="1013" t="s">
        <v>7724</v>
      </c>
      <c r="EX172" s="1013" t="s">
        <v>7724</v>
      </c>
      <c r="EY172" s="1013" t="s">
        <v>7724</v>
      </c>
      <c r="EZ172" s="1013" t="s">
        <v>7724</v>
      </c>
      <c r="FA172" s="1013" t="s">
        <v>7724</v>
      </c>
      <c r="FB172" s="1013" t="s">
        <v>7724</v>
      </c>
      <c r="FC172" s="1013" t="s">
        <v>7724</v>
      </c>
      <c r="FD172" s="1013" t="s">
        <v>7724</v>
      </c>
      <c r="FE172" s="1013" t="s">
        <v>7724</v>
      </c>
      <c r="FF172" s="1013" t="s">
        <v>7724</v>
      </c>
      <c r="FG172" s="1013">
        <v>0</v>
      </c>
      <c r="FH172" s="1013">
        <v>0</v>
      </c>
      <c r="FI172" s="1013">
        <v>0</v>
      </c>
      <c r="FJ172" s="1013">
        <v>7</v>
      </c>
      <c r="FK172" s="1013">
        <v>0</v>
      </c>
      <c r="FL172" s="1013">
        <v>0</v>
      </c>
      <c r="FM172" s="1013">
        <v>0</v>
      </c>
      <c r="FN172" s="1013">
        <v>15</v>
      </c>
      <c r="FO172" s="1013">
        <v>29</v>
      </c>
      <c r="FP172" s="1013">
        <v>51</v>
      </c>
      <c r="FQ172" s="1013" t="s">
        <v>7724</v>
      </c>
      <c r="FR172" s="1013" t="s">
        <v>7724</v>
      </c>
      <c r="FS172" s="1013" t="s">
        <v>7724</v>
      </c>
      <c r="FT172" s="1013" t="s">
        <v>7723</v>
      </c>
      <c r="FU172" s="1013" t="s">
        <v>7723</v>
      </c>
      <c r="FV172" s="1013">
        <v>-1</v>
      </c>
      <c r="FW172" s="1023">
        <v>0.625</v>
      </c>
      <c r="FX172" s="1023">
        <v>0.625</v>
      </c>
      <c r="FY172" s="1024">
        <v>45236</v>
      </c>
      <c r="FZ172" s="1024">
        <v>45236</v>
      </c>
      <c r="GA172" s="1024">
        <v>45236</v>
      </c>
      <c r="GB172" s="1024">
        <v>45236</v>
      </c>
      <c r="GC172" s="1013">
        <v>2023</v>
      </c>
      <c r="GD172" s="1013" t="s">
        <v>1404</v>
      </c>
      <c r="GE172" s="1013">
        <v>3</v>
      </c>
      <c r="GF172" s="1013" t="s">
        <v>1407</v>
      </c>
      <c r="GG172" s="1013" t="s">
        <v>1407</v>
      </c>
      <c r="GH172" s="1013" t="s">
        <v>7979</v>
      </c>
      <c r="GI172" s="1013" t="s">
        <v>7980</v>
      </c>
      <c r="GJ172" s="1013" t="s">
        <v>7980</v>
      </c>
      <c r="GK172" s="1013" t="s">
        <v>7980</v>
      </c>
      <c r="GL172" s="1013" t="s">
        <v>7980</v>
      </c>
    </row>
    <row r="173" spans="1:194" hidden="1">
      <c r="A173" s="1013">
        <v>155</v>
      </c>
      <c r="B173" s="1013" t="s">
        <v>7722</v>
      </c>
      <c r="C173" s="1013">
        <v>19917321</v>
      </c>
      <c r="D173" s="1013" t="s">
        <v>7723</v>
      </c>
      <c r="E173" s="1013" t="s">
        <v>7723</v>
      </c>
      <c r="F173" s="1013" t="s">
        <v>7723</v>
      </c>
      <c r="G173" s="1013" t="s">
        <v>7723</v>
      </c>
      <c r="H173" s="1013" t="s">
        <v>7723</v>
      </c>
      <c r="I173" s="1013" t="s">
        <v>7723</v>
      </c>
      <c r="J173" s="1013" t="s">
        <v>7723</v>
      </c>
      <c r="K173" s="1024">
        <v>45271</v>
      </c>
      <c r="L173" s="1023">
        <v>0.77152777777777781</v>
      </c>
      <c r="M173" s="1013" t="s">
        <v>8161</v>
      </c>
      <c r="N173" s="1013" t="s">
        <v>7724</v>
      </c>
      <c r="O173" s="1013">
        <v>101</v>
      </c>
      <c r="P173" s="1013">
        <v>208</v>
      </c>
      <c r="Q173" s="1013" t="s">
        <v>7723</v>
      </c>
      <c r="R173" s="1013" t="s">
        <v>7727</v>
      </c>
      <c r="S173" s="1013" t="s">
        <v>7724</v>
      </c>
      <c r="T173" s="1014" t="s">
        <v>7724</v>
      </c>
      <c r="U173" s="1014">
        <v>2</v>
      </c>
      <c r="V173" s="1014">
        <v>59</v>
      </c>
      <c r="W173" s="1014" t="s">
        <v>7724</v>
      </c>
      <c r="X173" s="1013">
        <v>1</v>
      </c>
      <c r="Y173" s="1013">
        <v>600</v>
      </c>
      <c r="Z173" s="1013" t="s">
        <v>7770</v>
      </c>
      <c r="AA173" s="1013" t="s">
        <v>7771</v>
      </c>
      <c r="AB173" s="1013" t="s">
        <v>7760</v>
      </c>
      <c r="AC173" s="1013" t="s">
        <v>7723</v>
      </c>
      <c r="AD173" s="1013" t="s">
        <v>7723</v>
      </c>
      <c r="AE173" s="1013">
        <v>60</v>
      </c>
      <c r="AF173" s="1013" t="s">
        <v>7723</v>
      </c>
      <c r="AG173" s="1013" t="s">
        <v>7723</v>
      </c>
      <c r="AH173" s="1013" t="s">
        <v>8162</v>
      </c>
      <c r="AI173" s="1013" t="s">
        <v>7723</v>
      </c>
      <c r="AJ173" s="1013">
        <v>19</v>
      </c>
      <c r="AK173" s="1013" t="s">
        <v>7724</v>
      </c>
      <c r="AL173" s="1013" t="s">
        <v>7724</v>
      </c>
      <c r="AM173" s="1013">
        <v>1</v>
      </c>
      <c r="AN173" s="1013">
        <v>4500</v>
      </c>
      <c r="AO173" s="1013" t="s">
        <v>7724</v>
      </c>
      <c r="AP173" s="1013" t="s">
        <v>7728</v>
      </c>
      <c r="AQ173" s="1013" t="s">
        <v>7726</v>
      </c>
      <c r="AR173" s="1013" t="s">
        <v>7724</v>
      </c>
      <c r="AS173" s="1013" t="s">
        <v>7724</v>
      </c>
      <c r="AT173" s="1013" t="s">
        <v>7724</v>
      </c>
      <c r="AU173" s="1013" t="s">
        <v>7724</v>
      </c>
      <c r="AV173" s="1013" t="s">
        <v>8162</v>
      </c>
      <c r="AW173" s="1013" t="s">
        <v>7724</v>
      </c>
      <c r="AX173" s="1013">
        <v>11</v>
      </c>
      <c r="AY173" s="1013">
        <v>1</v>
      </c>
      <c r="AZ173" s="1013">
        <v>4</v>
      </c>
      <c r="BA173" s="1013">
        <v>4</v>
      </c>
      <c r="BB173" s="1013">
        <v>1</v>
      </c>
      <c r="BC173" s="1013">
        <v>1</v>
      </c>
      <c r="BD173" s="1013">
        <v>20</v>
      </c>
      <c r="BE173" s="1023">
        <v>0.77152777777777781</v>
      </c>
      <c r="BF173" s="1013" t="s">
        <v>7736</v>
      </c>
      <c r="BG173" s="1023">
        <v>0.77152777777777781</v>
      </c>
      <c r="BH173" s="1024">
        <v>45271</v>
      </c>
      <c r="BI173" s="1013" t="s">
        <v>7727</v>
      </c>
      <c r="BJ173" s="1013" t="s">
        <v>7730</v>
      </c>
      <c r="BK173" s="1013">
        <v>2469</v>
      </c>
      <c r="BL173" s="1013" t="s">
        <v>7724</v>
      </c>
      <c r="BM173" s="1013" t="s">
        <v>7724</v>
      </c>
      <c r="BN173" s="1013">
        <v>113</v>
      </c>
      <c r="BO173" s="1013">
        <v>8</v>
      </c>
      <c r="BP173" s="1013">
        <v>2</v>
      </c>
      <c r="BQ173" s="1013">
        <v>4</v>
      </c>
      <c r="BR173" s="1013">
        <v>21</v>
      </c>
      <c r="BS173" s="1013">
        <v>64</v>
      </c>
      <c r="BT173" s="1013">
        <v>9</v>
      </c>
      <c r="BU173" s="1013">
        <v>1</v>
      </c>
      <c r="BV173" s="1013">
        <v>2</v>
      </c>
      <c r="BW173" s="1013">
        <v>1</v>
      </c>
      <c r="BX173" s="1013">
        <v>21</v>
      </c>
      <c r="BY173" s="1013">
        <v>21</v>
      </c>
      <c r="BZ173" s="1013">
        <v>101</v>
      </c>
      <c r="CA173" s="1013">
        <v>208</v>
      </c>
      <c r="CB173" s="1013">
        <v>29.732396000000001</v>
      </c>
      <c r="CC173" s="1013">
        <v>-95.381675999999999</v>
      </c>
      <c r="CD173" s="1013" t="s">
        <v>7724</v>
      </c>
      <c r="CE173" s="1013" t="s">
        <v>7724</v>
      </c>
      <c r="CF173" s="1013" t="s">
        <v>7724</v>
      </c>
      <c r="CG173" s="1013" t="s">
        <v>7724</v>
      </c>
      <c r="CH173" s="1013" t="s">
        <v>8053</v>
      </c>
      <c r="CI173" s="1013" t="s">
        <v>7724</v>
      </c>
      <c r="CJ173" s="1013" t="s">
        <v>7724</v>
      </c>
      <c r="CK173" s="1013" t="s">
        <v>7724</v>
      </c>
      <c r="CL173" s="1013" t="s">
        <v>7724</v>
      </c>
      <c r="CM173" s="1013" t="s">
        <v>7724</v>
      </c>
      <c r="CN173" s="1013" t="s">
        <v>7724</v>
      </c>
      <c r="CO173" s="1013" t="s">
        <v>7724</v>
      </c>
      <c r="CP173" s="1013" t="s">
        <v>7724</v>
      </c>
      <c r="CQ173" s="1013" t="s">
        <v>7724</v>
      </c>
      <c r="CR173" s="1013" t="s">
        <v>7724</v>
      </c>
      <c r="CS173" s="1013" t="s">
        <v>7724</v>
      </c>
      <c r="CT173" s="1013" t="s">
        <v>7724</v>
      </c>
      <c r="CU173" s="1013" t="s">
        <v>7724</v>
      </c>
      <c r="CV173" s="1013" t="s">
        <v>7724</v>
      </c>
      <c r="CW173" s="1013" t="s">
        <v>7727</v>
      </c>
      <c r="CX173" s="1013" t="s">
        <v>7723</v>
      </c>
      <c r="CY173" s="1013" t="s">
        <v>7723</v>
      </c>
      <c r="CZ173" s="1013">
        <v>3</v>
      </c>
      <c r="DA173" s="1013">
        <v>9</v>
      </c>
      <c r="DB173" s="1013" t="s">
        <v>7727</v>
      </c>
      <c r="DC173" s="1013" t="s">
        <v>7743</v>
      </c>
      <c r="DD173" s="1013" t="s">
        <v>7724</v>
      </c>
      <c r="DE173" s="1013" t="s">
        <v>7724</v>
      </c>
      <c r="DF173" s="1013" t="s">
        <v>7724</v>
      </c>
      <c r="DG173" s="1013" t="s">
        <v>7724</v>
      </c>
      <c r="DH173" s="1013" t="s">
        <v>7724</v>
      </c>
      <c r="DI173" s="1013" t="s">
        <v>7724</v>
      </c>
      <c r="DJ173" s="1013" t="s">
        <v>7724</v>
      </c>
      <c r="DK173" s="1013" t="s">
        <v>7724</v>
      </c>
      <c r="DL173" s="1013" t="s">
        <v>7724</v>
      </c>
      <c r="DM173" s="1013" t="s">
        <v>7724</v>
      </c>
      <c r="DN173" s="1013" t="s">
        <v>7724</v>
      </c>
      <c r="DO173" s="1013" t="s">
        <v>7724</v>
      </c>
      <c r="DP173" s="1013" t="s">
        <v>7724</v>
      </c>
      <c r="DQ173" s="1013" t="s">
        <v>7724</v>
      </c>
      <c r="DR173" s="1013" t="s">
        <v>7724</v>
      </c>
      <c r="DS173" s="1013" t="s">
        <v>7724</v>
      </c>
      <c r="DT173" s="1013" t="s">
        <v>7724</v>
      </c>
      <c r="DU173" s="1013" t="s">
        <v>7724</v>
      </c>
      <c r="DV173" s="1013" t="s">
        <v>7724</v>
      </c>
      <c r="DW173" s="1013" t="s">
        <v>7724</v>
      </c>
      <c r="DX173" s="1013" t="s">
        <v>7724</v>
      </c>
      <c r="DY173" s="1013" t="s">
        <v>7724</v>
      </c>
      <c r="DZ173" s="1013" t="s">
        <v>7724</v>
      </c>
      <c r="EA173" s="1013" t="s">
        <v>7724</v>
      </c>
      <c r="EB173" s="1013" t="s">
        <v>7724</v>
      </c>
      <c r="EC173" s="1013" t="s">
        <v>7724</v>
      </c>
      <c r="ED173" s="1013" t="s">
        <v>7724</v>
      </c>
      <c r="EE173" s="1013" t="s">
        <v>7724</v>
      </c>
      <c r="EF173" s="1013" t="s">
        <v>7724</v>
      </c>
      <c r="EG173" s="1013" t="s">
        <v>7724</v>
      </c>
      <c r="EH173" s="1013" t="s">
        <v>7724</v>
      </c>
      <c r="EI173" s="1013" t="s">
        <v>7724</v>
      </c>
      <c r="EJ173" s="1013" t="s">
        <v>7724</v>
      </c>
      <c r="EK173" s="1013" t="s">
        <v>7724</v>
      </c>
      <c r="EL173" s="1013" t="s">
        <v>7724</v>
      </c>
      <c r="EM173" s="1013" t="s">
        <v>7724</v>
      </c>
      <c r="EN173" s="1013" t="s">
        <v>7724</v>
      </c>
      <c r="EO173" s="1013" t="s">
        <v>7724</v>
      </c>
      <c r="EP173" s="1013" t="s">
        <v>7724</v>
      </c>
      <c r="EQ173" s="1013" t="s">
        <v>7724</v>
      </c>
      <c r="ER173" s="1013" t="s">
        <v>7724</v>
      </c>
      <c r="ES173" s="1013" t="s">
        <v>7724</v>
      </c>
      <c r="ET173" s="1013" t="s">
        <v>7724</v>
      </c>
      <c r="EU173" s="1013" t="s">
        <v>7724</v>
      </c>
      <c r="EV173" s="1013" t="s">
        <v>7724</v>
      </c>
      <c r="EW173" s="1013" t="s">
        <v>7724</v>
      </c>
      <c r="EX173" s="1013" t="s">
        <v>7724</v>
      </c>
      <c r="EY173" s="1013" t="s">
        <v>7724</v>
      </c>
      <c r="EZ173" s="1013" t="s">
        <v>7724</v>
      </c>
      <c r="FA173" s="1013" t="s">
        <v>7724</v>
      </c>
      <c r="FB173" s="1013" t="s">
        <v>7724</v>
      </c>
      <c r="FC173" s="1013" t="s">
        <v>7724</v>
      </c>
      <c r="FD173" s="1013" t="s">
        <v>7724</v>
      </c>
      <c r="FE173" s="1013" t="s">
        <v>7724</v>
      </c>
      <c r="FF173" s="1013" t="s">
        <v>7724</v>
      </c>
      <c r="FG173" s="1013">
        <v>0</v>
      </c>
      <c r="FH173" s="1013">
        <v>0</v>
      </c>
      <c r="FI173" s="1013">
        <v>1</v>
      </c>
      <c r="FJ173" s="1013">
        <v>1</v>
      </c>
      <c r="FK173" s="1013">
        <v>0</v>
      </c>
      <c r="FL173" s="1013">
        <v>1</v>
      </c>
      <c r="FM173" s="1013">
        <v>0</v>
      </c>
      <c r="FN173" s="1013">
        <v>15</v>
      </c>
      <c r="FO173" s="1013">
        <v>29</v>
      </c>
      <c r="FP173" s="1013">
        <v>6</v>
      </c>
      <c r="FQ173" s="1013" t="s">
        <v>7724</v>
      </c>
      <c r="FR173" s="1013" t="s">
        <v>7724</v>
      </c>
      <c r="FS173" s="1013" t="s">
        <v>7724</v>
      </c>
      <c r="FT173" s="1013" t="s">
        <v>7723</v>
      </c>
      <c r="FU173" s="1013" t="s">
        <v>7790</v>
      </c>
      <c r="FV173" s="1013">
        <v>30</v>
      </c>
      <c r="FW173" s="1023">
        <v>0.77152777777777781</v>
      </c>
      <c r="FX173" s="1023">
        <v>0.77152777777777781</v>
      </c>
      <c r="FY173" s="1024">
        <v>45271</v>
      </c>
      <c r="FZ173" s="1024">
        <v>45271</v>
      </c>
      <c r="GA173" s="1024">
        <v>45271</v>
      </c>
      <c r="GB173" s="1024">
        <v>45271</v>
      </c>
      <c r="GC173" s="1013">
        <v>2023</v>
      </c>
      <c r="GD173" s="1013" t="s">
        <v>1407</v>
      </c>
      <c r="GE173" s="1013">
        <v>2</v>
      </c>
      <c r="GF173" s="1013" t="s">
        <v>1407</v>
      </c>
      <c r="GG173" s="1013" t="s">
        <v>1407</v>
      </c>
      <c r="GH173" s="1013" t="s">
        <v>8047</v>
      </c>
      <c r="GI173" s="1013" t="s">
        <v>7974</v>
      </c>
      <c r="GJ173" s="1013" t="s">
        <v>7974</v>
      </c>
      <c r="GK173" s="1013" t="s">
        <v>8032</v>
      </c>
      <c r="GL173" s="1013" t="s">
        <v>7974</v>
      </c>
    </row>
    <row r="174" spans="1:194" hidden="1">
      <c r="A174" s="1013">
        <v>156</v>
      </c>
      <c r="B174" s="1013" t="s">
        <v>7722</v>
      </c>
      <c r="C174" s="1013">
        <v>19938060</v>
      </c>
      <c r="D174" s="1013" t="s">
        <v>7723</v>
      </c>
      <c r="E174" s="1013" t="s">
        <v>7723</v>
      </c>
      <c r="F174" s="1013" t="s">
        <v>7723</v>
      </c>
      <c r="G174" s="1013" t="s">
        <v>7723</v>
      </c>
      <c r="H174" s="1013" t="s">
        <v>7723</v>
      </c>
      <c r="I174" s="1013" t="s">
        <v>7723</v>
      </c>
      <c r="J174" s="1013" t="s">
        <v>7723</v>
      </c>
      <c r="K174" s="1024">
        <v>45281</v>
      </c>
      <c r="L174" s="1023">
        <v>0.70138888888888884</v>
      </c>
      <c r="M174" s="1013" t="s">
        <v>8163</v>
      </c>
      <c r="N174" s="1013" t="s">
        <v>7744</v>
      </c>
      <c r="O174" s="1013">
        <v>101</v>
      </c>
      <c r="P174" s="1013">
        <v>208</v>
      </c>
      <c r="Q174" s="1013" t="s">
        <v>7723</v>
      </c>
      <c r="R174" s="1013" t="s">
        <v>7727</v>
      </c>
      <c r="S174" s="1013" t="s">
        <v>7724</v>
      </c>
      <c r="T174" s="1014" t="s">
        <v>7724</v>
      </c>
      <c r="U174" s="1014">
        <v>2</v>
      </c>
      <c r="V174" s="1014">
        <v>59</v>
      </c>
      <c r="W174" s="1014" t="s">
        <v>7724</v>
      </c>
      <c r="X174" s="1013">
        <v>1</v>
      </c>
      <c r="Y174" s="1013">
        <v>600</v>
      </c>
      <c r="Z174" s="1013" t="s">
        <v>7770</v>
      </c>
      <c r="AA174" s="1013" t="s">
        <v>7771</v>
      </c>
      <c r="AB174" s="1013" t="s">
        <v>7760</v>
      </c>
      <c r="AC174" s="1013" t="s">
        <v>7723</v>
      </c>
      <c r="AD174" s="1013" t="s">
        <v>7723</v>
      </c>
      <c r="AE174" s="1013">
        <v>60</v>
      </c>
      <c r="AF174" s="1013" t="s">
        <v>7723</v>
      </c>
      <c r="AG174" s="1013" t="s">
        <v>7723</v>
      </c>
      <c r="AH174" s="1013" t="s">
        <v>8164</v>
      </c>
      <c r="AI174" s="1013" t="s">
        <v>7723</v>
      </c>
      <c r="AJ174" s="1013">
        <v>19</v>
      </c>
      <c r="AK174" s="1013" t="s">
        <v>7724</v>
      </c>
      <c r="AL174" s="1013" t="s">
        <v>7724</v>
      </c>
      <c r="AM174" s="1013">
        <v>1</v>
      </c>
      <c r="AN174" s="1013">
        <v>4900</v>
      </c>
      <c r="AO174" s="1013" t="s">
        <v>7724</v>
      </c>
      <c r="AP174" s="1013" t="s">
        <v>7840</v>
      </c>
      <c r="AQ174" s="1013" t="s">
        <v>7724</v>
      </c>
      <c r="AR174" s="1013" t="s">
        <v>7724</v>
      </c>
      <c r="AS174" s="1013" t="s">
        <v>7724</v>
      </c>
      <c r="AT174" s="1013" t="s">
        <v>7724</v>
      </c>
      <c r="AU174" s="1013" t="s">
        <v>7724</v>
      </c>
      <c r="AV174" s="1013" t="s">
        <v>7837</v>
      </c>
      <c r="AW174" s="1013" t="s">
        <v>7724</v>
      </c>
      <c r="AX174" s="1013">
        <v>12</v>
      </c>
      <c r="AY174" s="1013">
        <v>1</v>
      </c>
      <c r="AZ174" s="1013">
        <v>3</v>
      </c>
      <c r="BA174" s="1013">
        <v>3</v>
      </c>
      <c r="BB174" s="1013">
        <v>1</v>
      </c>
      <c r="BC174" s="1013">
        <v>1</v>
      </c>
      <c r="BD174" s="1013">
        <v>20</v>
      </c>
      <c r="BE174" s="1023">
        <v>0.70902777777777781</v>
      </c>
      <c r="BF174" s="1013" t="s">
        <v>7736</v>
      </c>
      <c r="BG174" s="1023">
        <v>0.71250000000000002</v>
      </c>
      <c r="BH174" s="1024">
        <v>45281</v>
      </c>
      <c r="BI174" s="1013" t="s">
        <v>7727</v>
      </c>
      <c r="BJ174" s="1013" t="s">
        <v>7730</v>
      </c>
      <c r="BK174" s="1013">
        <v>2469</v>
      </c>
      <c r="BL174" s="1013" t="s">
        <v>7724</v>
      </c>
      <c r="BM174" s="1013" t="s">
        <v>7724</v>
      </c>
      <c r="BN174" s="1013">
        <v>113</v>
      </c>
      <c r="BO174" s="1013">
        <v>8</v>
      </c>
      <c r="BP174" s="1013">
        <v>2</v>
      </c>
      <c r="BQ174" s="1013">
        <v>4</v>
      </c>
      <c r="BR174" s="1013">
        <v>21</v>
      </c>
      <c r="BS174" s="1013">
        <v>64</v>
      </c>
      <c r="BT174" s="1013">
        <v>9</v>
      </c>
      <c r="BU174" s="1013">
        <v>1</v>
      </c>
      <c r="BV174" s="1013">
        <v>2</v>
      </c>
      <c r="BW174" s="1013">
        <v>1</v>
      </c>
      <c r="BX174" s="1013">
        <v>21</v>
      </c>
      <c r="BY174" s="1013">
        <v>21</v>
      </c>
      <c r="BZ174" s="1013">
        <v>101</v>
      </c>
      <c r="CA174" s="1013">
        <v>208</v>
      </c>
      <c r="CB174" s="1013">
        <v>29.732396999999999</v>
      </c>
      <c r="CC174" s="1013">
        <v>-95.381669000000002</v>
      </c>
      <c r="CD174" s="1013" t="s">
        <v>7724</v>
      </c>
      <c r="CE174" s="1013" t="s">
        <v>7724</v>
      </c>
      <c r="CF174" s="1013" t="s">
        <v>7724</v>
      </c>
      <c r="CG174" s="1013" t="s">
        <v>7724</v>
      </c>
      <c r="CH174" s="1013" t="s">
        <v>8053</v>
      </c>
      <c r="CI174" s="1013" t="s">
        <v>7724</v>
      </c>
      <c r="CJ174" s="1013" t="s">
        <v>7724</v>
      </c>
      <c r="CK174" s="1013" t="s">
        <v>7724</v>
      </c>
      <c r="CL174" s="1013" t="s">
        <v>7724</v>
      </c>
      <c r="CM174" s="1013" t="s">
        <v>7724</v>
      </c>
      <c r="CN174" s="1013" t="s">
        <v>7724</v>
      </c>
      <c r="CO174" s="1013" t="s">
        <v>7724</v>
      </c>
      <c r="CP174" s="1013" t="s">
        <v>7724</v>
      </c>
      <c r="CQ174" s="1013" t="s">
        <v>7724</v>
      </c>
      <c r="CR174" s="1013" t="s">
        <v>7724</v>
      </c>
      <c r="CS174" s="1013" t="s">
        <v>7724</v>
      </c>
      <c r="CT174" s="1013" t="s">
        <v>7724</v>
      </c>
      <c r="CU174" s="1013" t="s">
        <v>7724</v>
      </c>
      <c r="CV174" s="1013" t="s">
        <v>7724</v>
      </c>
      <c r="CW174" s="1013" t="s">
        <v>7727</v>
      </c>
      <c r="CX174" s="1013" t="s">
        <v>7723</v>
      </c>
      <c r="CY174" s="1013" t="s">
        <v>7723</v>
      </c>
      <c r="CZ174" s="1013">
        <v>5</v>
      </c>
      <c r="DA174" s="1013">
        <v>9</v>
      </c>
      <c r="DB174" s="1013" t="s">
        <v>7727</v>
      </c>
      <c r="DC174" s="1013" t="s">
        <v>7740</v>
      </c>
      <c r="DD174" s="1013" t="s">
        <v>7724</v>
      </c>
      <c r="DE174" s="1013" t="s">
        <v>7724</v>
      </c>
      <c r="DF174" s="1013" t="s">
        <v>7724</v>
      </c>
      <c r="DG174" s="1013" t="s">
        <v>7724</v>
      </c>
      <c r="DH174" s="1013" t="s">
        <v>7724</v>
      </c>
      <c r="DI174" s="1013" t="s">
        <v>7724</v>
      </c>
      <c r="DJ174" s="1013" t="s">
        <v>7724</v>
      </c>
      <c r="DK174" s="1013" t="s">
        <v>7724</v>
      </c>
      <c r="DL174" s="1013" t="s">
        <v>7724</v>
      </c>
      <c r="DM174" s="1013" t="s">
        <v>7724</v>
      </c>
      <c r="DN174" s="1013" t="s">
        <v>7724</v>
      </c>
      <c r="DO174" s="1013" t="s">
        <v>7724</v>
      </c>
      <c r="DP174" s="1013" t="s">
        <v>7724</v>
      </c>
      <c r="DQ174" s="1013" t="s">
        <v>7724</v>
      </c>
      <c r="DR174" s="1013" t="s">
        <v>7724</v>
      </c>
      <c r="DS174" s="1013" t="s">
        <v>7724</v>
      </c>
      <c r="DT174" s="1013" t="s">
        <v>7724</v>
      </c>
      <c r="DU174" s="1013" t="s">
        <v>7724</v>
      </c>
      <c r="DV174" s="1013" t="s">
        <v>7724</v>
      </c>
      <c r="DW174" s="1013" t="s">
        <v>7724</v>
      </c>
      <c r="DX174" s="1013" t="s">
        <v>7724</v>
      </c>
      <c r="DY174" s="1013" t="s">
        <v>7724</v>
      </c>
      <c r="DZ174" s="1013" t="s">
        <v>7724</v>
      </c>
      <c r="EA174" s="1013" t="s">
        <v>7724</v>
      </c>
      <c r="EB174" s="1013" t="s">
        <v>7724</v>
      </c>
      <c r="EC174" s="1013" t="s">
        <v>7724</v>
      </c>
      <c r="ED174" s="1013" t="s">
        <v>7724</v>
      </c>
      <c r="EE174" s="1013" t="s">
        <v>7724</v>
      </c>
      <c r="EF174" s="1013" t="s">
        <v>7724</v>
      </c>
      <c r="EG174" s="1013" t="s">
        <v>7724</v>
      </c>
      <c r="EH174" s="1013" t="s">
        <v>7724</v>
      </c>
      <c r="EI174" s="1013" t="s">
        <v>7724</v>
      </c>
      <c r="EJ174" s="1013" t="s">
        <v>7724</v>
      </c>
      <c r="EK174" s="1013" t="s">
        <v>7724</v>
      </c>
      <c r="EL174" s="1013" t="s">
        <v>7724</v>
      </c>
      <c r="EM174" s="1013" t="s">
        <v>7724</v>
      </c>
      <c r="EN174" s="1013" t="s">
        <v>7724</v>
      </c>
      <c r="EO174" s="1013" t="s">
        <v>7724</v>
      </c>
      <c r="EP174" s="1013" t="s">
        <v>7724</v>
      </c>
      <c r="EQ174" s="1013" t="s">
        <v>7724</v>
      </c>
      <c r="ER174" s="1013" t="s">
        <v>7724</v>
      </c>
      <c r="ES174" s="1013" t="s">
        <v>7724</v>
      </c>
      <c r="ET174" s="1013" t="s">
        <v>7724</v>
      </c>
      <c r="EU174" s="1013" t="s">
        <v>7724</v>
      </c>
      <c r="EV174" s="1013" t="s">
        <v>7724</v>
      </c>
      <c r="EW174" s="1013" t="s">
        <v>7724</v>
      </c>
      <c r="EX174" s="1013" t="s">
        <v>7724</v>
      </c>
      <c r="EY174" s="1013" t="s">
        <v>7724</v>
      </c>
      <c r="EZ174" s="1013" t="s">
        <v>7724</v>
      </c>
      <c r="FA174" s="1013" t="s">
        <v>7724</v>
      </c>
      <c r="FB174" s="1013" t="s">
        <v>7724</v>
      </c>
      <c r="FC174" s="1013" t="s">
        <v>7724</v>
      </c>
      <c r="FD174" s="1013" t="s">
        <v>7724</v>
      </c>
      <c r="FE174" s="1013" t="s">
        <v>7724</v>
      </c>
      <c r="FF174" s="1013" t="s">
        <v>7724</v>
      </c>
      <c r="FG174" s="1013">
        <v>0</v>
      </c>
      <c r="FH174" s="1013">
        <v>0</v>
      </c>
      <c r="FI174" s="1013">
        <v>0</v>
      </c>
      <c r="FJ174" s="1013">
        <v>1</v>
      </c>
      <c r="FK174" s="1013">
        <v>1</v>
      </c>
      <c r="FL174" s="1013">
        <v>0</v>
      </c>
      <c r="FM174" s="1013">
        <v>0</v>
      </c>
      <c r="FN174" s="1013">
        <v>15</v>
      </c>
      <c r="FO174" s="1013">
        <v>29</v>
      </c>
      <c r="FP174" s="1013">
        <v>6</v>
      </c>
      <c r="FQ174" s="1013" t="s">
        <v>7724</v>
      </c>
      <c r="FR174" s="1013" t="s">
        <v>7724</v>
      </c>
      <c r="FS174" s="1013" t="s">
        <v>7724</v>
      </c>
      <c r="FT174" s="1013" t="s">
        <v>7723</v>
      </c>
      <c r="FU174" s="1013" t="s">
        <v>7842</v>
      </c>
      <c r="FV174" s="1013">
        <v>35</v>
      </c>
      <c r="FW174" s="1023">
        <v>0.71875</v>
      </c>
      <c r="FX174" s="1023">
        <v>0.71875</v>
      </c>
      <c r="FY174" s="1024">
        <v>45281</v>
      </c>
      <c r="FZ174" s="1024">
        <v>45281</v>
      </c>
      <c r="GA174" s="1024">
        <v>45281</v>
      </c>
      <c r="GB174" s="1024">
        <v>45281</v>
      </c>
      <c r="GC174" s="1013">
        <v>2023</v>
      </c>
      <c r="GD174" s="1013" t="s">
        <v>1407</v>
      </c>
      <c r="GE174" s="1013">
        <v>2</v>
      </c>
      <c r="GF174" s="1013" t="s">
        <v>1407</v>
      </c>
      <c r="GG174" s="1013" t="s">
        <v>1407</v>
      </c>
      <c r="GH174" s="1013" t="s">
        <v>7995</v>
      </c>
      <c r="GI174" s="1013" t="s">
        <v>7974</v>
      </c>
      <c r="GJ174" s="1013" t="s">
        <v>7974</v>
      </c>
      <c r="GK174" s="1013" t="s">
        <v>7974</v>
      </c>
      <c r="GL174" s="1013" t="s">
        <v>7974</v>
      </c>
    </row>
    <row r="175" spans="1:194" hidden="1">
      <c r="A175" s="1013">
        <v>157</v>
      </c>
      <c r="B175" s="1013" t="s">
        <v>7722</v>
      </c>
      <c r="C175" s="1013">
        <v>19948091</v>
      </c>
      <c r="D175" s="1013" t="s">
        <v>7723</v>
      </c>
      <c r="E175" s="1013" t="s">
        <v>7723</v>
      </c>
      <c r="F175" s="1013" t="s">
        <v>7723</v>
      </c>
      <c r="G175" s="1013" t="s">
        <v>7723</v>
      </c>
      <c r="H175" s="1013" t="s">
        <v>7723</v>
      </c>
      <c r="I175" s="1013" t="s">
        <v>7723</v>
      </c>
      <c r="J175" s="1013" t="s">
        <v>7723</v>
      </c>
      <c r="K175" s="1024">
        <v>45275</v>
      </c>
      <c r="L175" s="1023">
        <v>0.82499999999999996</v>
      </c>
      <c r="M175" s="1013" t="s">
        <v>8165</v>
      </c>
      <c r="N175" s="1013" t="s">
        <v>7724</v>
      </c>
      <c r="O175" s="1013">
        <v>101</v>
      </c>
      <c r="P175" s="1013">
        <v>208</v>
      </c>
      <c r="Q175" s="1013" t="s">
        <v>7723</v>
      </c>
      <c r="R175" s="1013" t="s">
        <v>7727</v>
      </c>
      <c r="S175" s="1013" t="s">
        <v>7724</v>
      </c>
      <c r="T175" s="1014" t="s">
        <v>7724</v>
      </c>
      <c r="U175" s="1014">
        <v>2</v>
      </c>
      <c r="V175" s="1014">
        <v>59</v>
      </c>
      <c r="W175" s="1014" t="s">
        <v>7724</v>
      </c>
      <c r="X175" s="1013">
        <v>1</v>
      </c>
      <c r="Y175" s="1013">
        <v>600</v>
      </c>
      <c r="Z175" s="1013" t="s">
        <v>7723</v>
      </c>
      <c r="AA175" s="1013" t="s">
        <v>8141</v>
      </c>
      <c r="AB175" s="1013" t="s">
        <v>7760</v>
      </c>
      <c r="AC175" s="1013" t="s">
        <v>7723</v>
      </c>
      <c r="AD175" s="1013" t="s">
        <v>7723</v>
      </c>
      <c r="AE175" s="1013">
        <v>65</v>
      </c>
      <c r="AF175" s="1013" t="s">
        <v>7723</v>
      </c>
      <c r="AG175" s="1013" t="s">
        <v>7723</v>
      </c>
      <c r="AH175" s="1013" t="s">
        <v>7724</v>
      </c>
      <c r="AI175" s="1013" t="s">
        <v>7723</v>
      </c>
      <c r="AJ175" s="1013">
        <v>19</v>
      </c>
      <c r="AK175" s="1013" t="s">
        <v>7724</v>
      </c>
      <c r="AL175" s="1013" t="s">
        <v>7724</v>
      </c>
      <c r="AM175" s="1013">
        <v>1</v>
      </c>
      <c r="AN175" s="1013">
        <v>4400</v>
      </c>
      <c r="AO175" s="1013" t="s">
        <v>7724</v>
      </c>
      <c r="AP175" s="1013" t="s">
        <v>7728</v>
      </c>
      <c r="AQ175" s="1013" t="s">
        <v>7726</v>
      </c>
      <c r="AR175" s="1013" t="s">
        <v>7724</v>
      </c>
      <c r="AS175" s="1013" t="s">
        <v>7724</v>
      </c>
      <c r="AT175" s="1013" t="s">
        <v>7724</v>
      </c>
      <c r="AU175" s="1013" t="s">
        <v>7724</v>
      </c>
      <c r="AV175" s="1013" t="s">
        <v>7724</v>
      </c>
      <c r="AW175" s="1013" t="s">
        <v>7724</v>
      </c>
      <c r="AX175" s="1013">
        <v>2</v>
      </c>
      <c r="AY175" s="1013">
        <v>6</v>
      </c>
      <c r="AZ175" s="1013">
        <v>4</v>
      </c>
      <c r="BA175" s="1013">
        <v>3</v>
      </c>
      <c r="BB175" s="1013">
        <v>1</v>
      </c>
      <c r="BC175" s="1013">
        <v>2</v>
      </c>
      <c r="BD175" s="1013">
        <v>20</v>
      </c>
      <c r="BE175" s="1023">
        <v>0.82499999999999996</v>
      </c>
      <c r="BF175" s="1013" t="s">
        <v>7736</v>
      </c>
      <c r="BG175" s="1023">
        <v>0.83750000000000002</v>
      </c>
      <c r="BH175" s="1024">
        <v>45275</v>
      </c>
      <c r="BI175" s="1013" t="s">
        <v>7727</v>
      </c>
      <c r="BJ175" s="1013" t="s">
        <v>7730</v>
      </c>
      <c r="BK175" s="1013">
        <v>2469</v>
      </c>
      <c r="BL175" s="1013" t="s">
        <v>7724</v>
      </c>
      <c r="BM175" s="1013" t="s">
        <v>7724</v>
      </c>
      <c r="BN175" s="1013">
        <v>121</v>
      </c>
      <c r="BO175" s="1013">
        <v>8</v>
      </c>
      <c r="BP175" s="1013">
        <v>2</v>
      </c>
      <c r="BQ175" s="1013">
        <v>4</v>
      </c>
      <c r="BR175" s="1013">
        <v>21</v>
      </c>
      <c r="BS175" s="1013">
        <v>64</v>
      </c>
      <c r="BT175" s="1013">
        <v>54</v>
      </c>
      <c r="BU175" s="1013">
        <v>1</v>
      </c>
      <c r="BV175" s="1013">
        <v>2</v>
      </c>
      <c r="BW175" s="1013">
        <v>1</v>
      </c>
      <c r="BX175" s="1013">
        <v>21</v>
      </c>
      <c r="BY175" s="1013">
        <v>21</v>
      </c>
      <c r="BZ175" s="1013">
        <v>101</v>
      </c>
      <c r="CA175" s="1013">
        <v>208</v>
      </c>
      <c r="CB175" s="1013">
        <v>29.732367</v>
      </c>
      <c r="CC175" s="1013">
        <v>-95.381990000000002</v>
      </c>
      <c r="CD175" s="1013" t="s">
        <v>7724</v>
      </c>
      <c r="CE175" s="1013" t="s">
        <v>7724</v>
      </c>
      <c r="CF175" s="1013" t="s">
        <v>7724</v>
      </c>
      <c r="CG175" s="1013" t="s">
        <v>7724</v>
      </c>
      <c r="CH175" s="1013" t="s">
        <v>8053</v>
      </c>
      <c r="CI175" s="1013" t="s">
        <v>7724</v>
      </c>
      <c r="CJ175" s="1013" t="s">
        <v>7724</v>
      </c>
      <c r="CK175" s="1013" t="s">
        <v>7724</v>
      </c>
      <c r="CL175" s="1013" t="s">
        <v>7724</v>
      </c>
      <c r="CM175" s="1013" t="s">
        <v>7724</v>
      </c>
      <c r="CN175" s="1013" t="s">
        <v>7724</v>
      </c>
      <c r="CO175" s="1013" t="s">
        <v>7724</v>
      </c>
      <c r="CP175" s="1013" t="s">
        <v>7724</v>
      </c>
      <c r="CQ175" s="1013" t="s">
        <v>7724</v>
      </c>
      <c r="CR175" s="1013" t="s">
        <v>7724</v>
      </c>
      <c r="CS175" s="1013" t="s">
        <v>7724</v>
      </c>
      <c r="CT175" s="1013" t="s">
        <v>7724</v>
      </c>
      <c r="CU175" s="1013" t="s">
        <v>7724</v>
      </c>
      <c r="CV175" s="1013" t="s">
        <v>7724</v>
      </c>
      <c r="CW175" s="1013" t="s">
        <v>7727</v>
      </c>
      <c r="CX175" s="1013" t="s">
        <v>7723</v>
      </c>
      <c r="CY175" s="1013" t="s">
        <v>7723</v>
      </c>
      <c r="CZ175" s="1013">
        <v>5</v>
      </c>
      <c r="DA175" s="1013">
        <v>9</v>
      </c>
      <c r="DB175" s="1013" t="s">
        <v>7727</v>
      </c>
      <c r="DC175" s="1013" t="s">
        <v>7759</v>
      </c>
      <c r="DD175" s="1013" t="s">
        <v>7724</v>
      </c>
      <c r="DE175" s="1013" t="s">
        <v>7724</v>
      </c>
      <c r="DF175" s="1013" t="s">
        <v>7724</v>
      </c>
      <c r="DG175" s="1013" t="s">
        <v>7724</v>
      </c>
      <c r="DH175" s="1013" t="s">
        <v>7724</v>
      </c>
      <c r="DI175" s="1013" t="s">
        <v>7724</v>
      </c>
      <c r="DJ175" s="1013" t="s">
        <v>7724</v>
      </c>
      <c r="DK175" s="1013" t="s">
        <v>7724</v>
      </c>
      <c r="DL175" s="1013" t="s">
        <v>7724</v>
      </c>
      <c r="DM175" s="1013" t="s">
        <v>7724</v>
      </c>
      <c r="DN175" s="1013" t="s">
        <v>7724</v>
      </c>
      <c r="DO175" s="1013" t="s">
        <v>7724</v>
      </c>
      <c r="DP175" s="1013" t="s">
        <v>7724</v>
      </c>
      <c r="DQ175" s="1013" t="s">
        <v>7724</v>
      </c>
      <c r="DR175" s="1013" t="s">
        <v>7724</v>
      </c>
      <c r="DS175" s="1013" t="s">
        <v>7724</v>
      </c>
      <c r="DT175" s="1013" t="s">
        <v>7724</v>
      </c>
      <c r="DU175" s="1013" t="s">
        <v>7724</v>
      </c>
      <c r="DV175" s="1013" t="s">
        <v>7724</v>
      </c>
      <c r="DW175" s="1013" t="s">
        <v>7724</v>
      </c>
      <c r="DX175" s="1013" t="s">
        <v>7724</v>
      </c>
      <c r="DY175" s="1013" t="s">
        <v>7724</v>
      </c>
      <c r="DZ175" s="1013" t="s">
        <v>7724</v>
      </c>
      <c r="EA175" s="1013" t="s">
        <v>7724</v>
      </c>
      <c r="EB175" s="1013" t="s">
        <v>7724</v>
      </c>
      <c r="EC175" s="1013" t="s">
        <v>7724</v>
      </c>
      <c r="ED175" s="1013" t="s">
        <v>7724</v>
      </c>
      <c r="EE175" s="1013" t="s">
        <v>7724</v>
      </c>
      <c r="EF175" s="1013" t="s">
        <v>7724</v>
      </c>
      <c r="EG175" s="1013" t="s">
        <v>7724</v>
      </c>
      <c r="EH175" s="1013" t="s">
        <v>7724</v>
      </c>
      <c r="EI175" s="1013" t="s">
        <v>7724</v>
      </c>
      <c r="EJ175" s="1013" t="s">
        <v>7724</v>
      </c>
      <c r="EK175" s="1013" t="s">
        <v>7724</v>
      </c>
      <c r="EL175" s="1013" t="s">
        <v>7724</v>
      </c>
      <c r="EM175" s="1013" t="s">
        <v>7724</v>
      </c>
      <c r="EN175" s="1013" t="s">
        <v>7724</v>
      </c>
      <c r="EO175" s="1013" t="s">
        <v>7724</v>
      </c>
      <c r="EP175" s="1013" t="s">
        <v>7724</v>
      </c>
      <c r="EQ175" s="1013" t="s">
        <v>7724</v>
      </c>
      <c r="ER175" s="1013" t="s">
        <v>7724</v>
      </c>
      <c r="ES175" s="1013" t="s">
        <v>7724</v>
      </c>
      <c r="ET175" s="1013" t="s">
        <v>7724</v>
      </c>
      <c r="EU175" s="1013" t="s">
        <v>7724</v>
      </c>
      <c r="EV175" s="1013" t="s">
        <v>7724</v>
      </c>
      <c r="EW175" s="1013" t="s">
        <v>7724</v>
      </c>
      <c r="EX175" s="1013" t="s">
        <v>7724</v>
      </c>
      <c r="EY175" s="1013" t="s">
        <v>7724</v>
      </c>
      <c r="EZ175" s="1013" t="s">
        <v>7724</v>
      </c>
      <c r="FA175" s="1013" t="s">
        <v>7724</v>
      </c>
      <c r="FB175" s="1013" t="s">
        <v>7724</v>
      </c>
      <c r="FC175" s="1013" t="s">
        <v>7724</v>
      </c>
      <c r="FD175" s="1013" t="s">
        <v>7724</v>
      </c>
      <c r="FE175" s="1013" t="s">
        <v>7724</v>
      </c>
      <c r="FF175" s="1013" t="s">
        <v>7724</v>
      </c>
      <c r="FG175" s="1013">
        <v>0</v>
      </c>
      <c r="FH175" s="1013">
        <v>0</v>
      </c>
      <c r="FI175" s="1013">
        <v>0</v>
      </c>
      <c r="FJ175" s="1013">
        <v>2</v>
      </c>
      <c r="FK175" s="1013">
        <v>0</v>
      </c>
      <c r="FL175" s="1013">
        <v>0</v>
      </c>
      <c r="FM175" s="1013">
        <v>0</v>
      </c>
      <c r="FN175" s="1013">
        <v>15</v>
      </c>
      <c r="FO175" s="1013">
        <v>35</v>
      </c>
      <c r="FP175" s="1013">
        <v>16</v>
      </c>
      <c r="FQ175" s="1013" t="s">
        <v>7724</v>
      </c>
      <c r="FR175" s="1013" t="s">
        <v>7724</v>
      </c>
      <c r="FS175" s="1013" t="s">
        <v>7724</v>
      </c>
      <c r="FT175" s="1013" t="s">
        <v>7723</v>
      </c>
      <c r="FU175" s="1013" t="s">
        <v>7723</v>
      </c>
      <c r="FV175" s="1013">
        <v>-1</v>
      </c>
      <c r="FW175" s="1023">
        <v>0.83958333333333335</v>
      </c>
      <c r="FX175" s="1023">
        <v>0.84097222222222223</v>
      </c>
      <c r="FY175" s="1024">
        <v>45275</v>
      </c>
      <c r="FZ175" s="1024">
        <v>45275</v>
      </c>
      <c r="GA175" s="1024">
        <v>45275</v>
      </c>
      <c r="GB175" s="1024">
        <v>45275</v>
      </c>
      <c r="GC175" s="1013">
        <v>2023</v>
      </c>
      <c r="GD175" s="1013" t="s">
        <v>1404</v>
      </c>
      <c r="GE175" s="1013">
        <v>2</v>
      </c>
      <c r="GF175" s="1013" t="s">
        <v>1407</v>
      </c>
      <c r="GG175" s="1013" t="s">
        <v>1407</v>
      </c>
      <c r="GH175" s="1013" t="s">
        <v>7995</v>
      </c>
      <c r="GI175" s="1013" t="s">
        <v>7974</v>
      </c>
      <c r="GJ175" s="1013" t="s">
        <v>7974</v>
      </c>
      <c r="GK175" s="1013" t="s">
        <v>7974</v>
      </c>
      <c r="GL175" s="1013" t="s">
        <v>7974</v>
      </c>
    </row>
    <row r="176" spans="1:194" hidden="1">
      <c r="A176" s="1013">
        <v>158</v>
      </c>
      <c r="B176" s="1013" t="s">
        <v>7722</v>
      </c>
      <c r="C176" s="1013">
        <v>19954652</v>
      </c>
      <c r="D176" s="1013" t="s">
        <v>7723</v>
      </c>
      <c r="E176" s="1013" t="s">
        <v>7723</v>
      </c>
      <c r="F176" s="1013" t="s">
        <v>7723</v>
      </c>
      <c r="G176" s="1013" t="s">
        <v>7723</v>
      </c>
      <c r="H176" s="1013" t="s">
        <v>7723</v>
      </c>
      <c r="I176" s="1013" t="s">
        <v>7723</v>
      </c>
      <c r="J176" s="1013" t="s">
        <v>7723</v>
      </c>
      <c r="K176" s="1024">
        <v>45289</v>
      </c>
      <c r="L176" s="1023">
        <v>0.83194444444444449</v>
      </c>
      <c r="M176" s="1013" t="s">
        <v>8166</v>
      </c>
      <c r="N176" s="1013" t="s">
        <v>7724</v>
      </c>
      <c r="O176" s="1013">
        <v>101</v>
      </c>
      <c r="P176" s="1013">
        <v>208</v>
      </c>
      <c r="Q176" s="1013" t="s">
        <v>7723</v>
      </c>
      <c r="R176" s="1013" t="s">
        <v>7727</v>
      </c>
      <c r="S176" s="1013" t="s">
        <v>7724</v>
      </c>
      <c r="T176" s="1014" t="s">
        <v>7724</v>
      </c>
      <c r="U176" s="1014">
        <v>2</v>
      </c>
      <c r="V176" s="1014">
        <v>59</v>
      </c>
      <c r="W176" s="1014" t="s">
        <v>7724</v>
      </c>
      <c r="X176" s="1013">
        <v>1</v>
      </c>
      <c r="Y176" s="1013">
        <v>4300</v>
      </c>
      <c r="Z176" s="1013" t="s">
        <v>7724</v>
      </c>
      <c r="AA176" s="1013" t="s">
        <v>8014</v>
      </c>
      <c r="AB176" s="1013" t="s">
        <v>7724</v>
      </c>
      <c r="AC176" s="1013" t="s">
        <v>7723</v>
      </c>
      <c r="AD176" s="1013" t="s">
        <v>7723</v>
      </c>
      <c r="AE176" s="1013">
        <v>65</v>
      </c>
      <c r="AF176" s="1013" t="s">
        <v>7723</v>
      </c>
      <c r="AG176" s="1013" t="s">
        <v>7723</v>
      </c>
      <c r="AH176" s="1013" t="s">
        <v>7724</v>
      </c>
      <c r="AI176" s="1013" t="s">
        <v>7723</v>
      </c>
      <c r="AJ176" s="1013">
        <v>2</v>
      </c>
      <c r="AK176" s="1013">
        <v>59</v>
      </c>
      <c r="AL176" s="1013" t="s">
        <v>7724</v>
      </c>
      <c r="AM176" s="1013">
        <v>1</v>
      </c>
      <c r="AN176" s="1013" t="s">
        <v>7724</v>
      </c>
      <c r="AO176" s="1013" t="s">
        <v>7724</v>
      </c>
      <c r="AP176" s="1013" t="s">
        <v>950</v>
      </c>
      <c r="AQ176" s="1013" t="s">
        <v>7724</v>
      </c>
      <c r="AR176" s="1013" t="s">
        <v>7724</v>
      </c>
      <c r="AS176" s="1013" t="s">
        <v>7724</v>
      </c>
      <c r="AT176" s="1013" t="s">
        <v>7724</v>
      </c>
      <c r="AU176" s="1013" t="s">
        <v>7724</v>
      </c>
      <c r="AV176" s="1013" t="s">
        <v>8135</v>
      </c>
      <c r="AW176" s="1013" t="s">
        <v>7724</v>
      </c>
      <c r="AX176" s="1013">
        <v>11</v>
      </c>
      <c r="AY176" s="1013">
        <v>6</v>
      </c>
      <c r="AZ176" s="1013">
        <v>2</v>
      </c>
      <c r="BA176" s="1013">
        <v>3</v>
      </c>
      <c r="BB176" s="1013">
        <v>1</v>
      </c>
      <c r="BC176" s="1013">
        <v>1</v>
      </c>
      <c r="BD176" s="1013">
        <v>20</v>
      </c>
      <c r="BE176" s="1023">
        <v>0.83194444444444449</v>
      </c>
      <c r="BF176" s="1013" t="s">
        <v>7729</v>
      </c>
      <c r="BG176" s="1023">
        <v>0.84375</v>
      </c>
      <c r="BH176" s="1024">
        <v>45289</v>
      </c>
      <c r="BI176" s="1013" t="s">
        <v>7727</v>
      </c>
      <c r="BJ176" s="1013" t="s">
        <v>7730</v>
      </c>
      <c r="BK176" s="1013">
        <v>2469</v>
      </c>
      <c r="BL176" s="1013" t="s">
        <v>7724</v>
      </c>
      <c r="BM176" s="1013" t="s">
        <v>7724</v>
      </c>
      <c r="BN176" s="1013">
        <v>113</v>
      </c>
      <c r="BO176" s="1013">
        <v>8</v>
      </c>
      <c r="BP176" s="1013">
        <v>2</v>
      </c>
      <c r="BQ176" s="1013">
        <v>4</v>
      </c>
      <c r="BR176" s="1013">
        <v>21</v>
      </c>
      <c r="BS176" s="1013">
        <v>64</v>
      </c>
      <c r="BT176" s="1013">
        <v>9</v>
      </c>
      <c r="BU176" s="1013">
        <v>1</v>
      </c>
      <c r="BV176" s="1013">
        <v>2</v>
      </c>
      <c r="BW176" s="1013">
        <v>1</v>
      </c>
      <c r="BX176" s="1013">
        <v>21</v>
      </c>
      <c r="BY176" s="1013">
        <v>21</v>
      </c>
      <c r="BZ176" s="1013">
        <v>101</v>
      </c>
      <c r="CA176" s="1013">
        <v>208</v>
      </c>
      <c r="CB176" s="1013">
        <v>29.732530000000001</v>
      </c>
      <c r="CC176" s="1013">
        <v>-95.380387999999996</v>
      </c>
      <c r="CD176" s="1013" t="s">
        <v>8016</v>
      </c>
      <c r="CE176" s="1013">
        <v>69</v>
      </c>
      <c r="CF176" s="1013" t="s">
        <v>7724</v>
      </c>
      <c r="CG176" s="1013">
        <v>33.590000000000003</v>
      </c>
      <c r="CH176" s="1013" t="s">
        <v>8017</v>
      </c>
      <c r="CI176" s="1013" t="s">
        <v>7724</v>
      </c>
      <c r="CJ176" s="1013">
        <v>27</v>
      </c>
      <c r="CK176" s="1013">
        <v>13</v>
      </c>
      <c r="CL176" s="1013">
        <v>13.887</v>
      </c>
      <c r="CM176" s="1013">
        <v>128</v>
      </c>
      <c r="CN176" s="1013">
        <v>0.33100000000000002</v>
      </c>
      <c r="CO176" s="1013" t="s">
        <v>7724</v>
      </c>
      <c r="CP176" s="1013" t="s">
        <v>7724</v>
      </c>
      <c r="CQ176" s="1013" t="s">
        <v>7724</v>
      </c>
      <c r="CR176" s="1013" t="s">
        <v>7724</v>
      </c>
      <c r="CS176" s="1013" t="s">
        <v>7724</v>
      </c>
      <c r="CT176" s="1013" t="s">
        <v>7724</v>
      </c>
      <c r="CU176" s="1013" t="s">
        <v>7724</v>
      </c>
      <c r="CV176" s="1013" t="s">
        <v>7724</v>
      </c>
      <c r="CW176" s="1013" t="s">
        <v>7727</v>
      </c>
      <c r="CX176" s="1013" t="s">
        <v>7727</v>
      </c>
      <c r="CY176" s="1013" t="s">
        <v>7723</v>
      </c>
      <c r="CZ176" s="1013">
        <v>3</v>
      </c>
      <c r="DA176" s="1013">
        <v>9</v>
      </c>
      <c r="DB176" s="1013" t="s">
        <v>7727</v>
      </c>
      <c r="DC176" s="1013" t="s">
        <v>7759</v>
      </c>
      <c r="DD176" s="1013">
        <v>5</v>
      </c>
      <c r="DE176" s="1013" t="s">
        <v>7724</v>
      </c>
      <c r="DF176" s="1013">
        <v>20</v>
      </c>
      <c r="DG176" s="1013">
        <v>20</v>
      </c>
      <c r="DH176" s="1013">
        <v>5</v>
      </c>
      <c r="DI176" s="1013" t="s">
        <v>7724</v>
      </c>
      <c r="DJ176" s="1013">
        <v>8</v>
      </c>
      <c r="DK176" s="1013">
        <v>400</v>
      </c>
      <c r="DL176" s="1013">
        <v>138</v>
      </c>
      <c r="DM176" s="1013">
        <v>98</v>
      </c>
      <c r="DN176" s="1013">
        <v>1</v>
      </c>
      <c r="DO176" s="1013">
        <v>0</v>
      </c>
      <c r="DP176" s="1013">
        <v>0</v>
      </c>
      <c r="DQ176" s="1013">
        <v>1</v>
      </c>
      <c r="DR176" s="1013">
        <v>20</v>
      </c>
      <c r="DS176" s="1013">
        <v>5</v>
      </c>
      <c r="DT176" s="1013">
        <v>1</v>
      </c>
      <c r="DU176" s="1013">
        <v>20</v>
      </c>
      <c r="DV176" s="1013">
        <v>5</v>
      </c>
      <c r="DW176" s="1013">
        <v>7</v>
      </c>
      <c r="DX176" s="1013">
        <v>5</v>
      </c>
      <c r="DY176" s="1013">
        <v>4</v>
      </c>
      <c r="DZ176" s="1013">
        <v>1</v>
      </c>
      <c r="EA176" s="1013">
        <v>185410</v>
      </c>
      <c r="EB176" s="1013">
        <v>2019</v>
      </c>
      <c r="EC176" s="1013">
        <v>185410</v>
      </c>
      <c r="ED176" s="1013">
        <v>2.2999999999999998</v>
      </c>
      <c r="EE176" s="1013">
        <v>2.5</v>
      </c>
      <c r="EF176" s="1013">
        <v>4.8</v>
      </c>
      <c r="EG176" s="1013" t="s">
        <v>7724</v>
      </c>
      <c r="EH176" s="1013" t="s">
        <v>7724</v>
      </c>
      <c r="EI176" s="1013" t="s">
        <v>7724</v>
      </c>
      <c r="EJ176" s="1013" t="s">
        <v>7724</v>
      </c>
      <c r="EK176" s="1013" t="s">
        <v>7724</v>
      </c>
      <c r="EL176" s="1013" t="s">
        <v>7724</v>
      </c>
      <c r="EM176" s="1013" t="s">
        <v>7724</v>
      </c>
      <c r="EN176" s="1013" t="s">
        <v>7724</v>
      </c>
      <c r="EO176" s="1013" t="s">
        <v>7724</v>
      </c>
      <c r="EP176" s="1013" t="s">
        <v>7724</v>
      </c>
      <c r="EQ176" s="1013" t="s">
        <v>7724</v>
      </c>
      <c r="ER176" s="1013" t="s">
        <v>7724</v>
      </c>
      <c r="ES176" s="1013" t="s">
        <v>7724</v>
      </c>
      <c r="ET176" s="1013" t="s">
        <v>7724</v>
      </c>
      <c r="EU176" s="1013" t="s">
        <v>7724</v>
      </c>
      <c r="EV176" s="1013" t="s">
        <v>7724</v>
      </c>
      <c r="EW176" s="1013" t="s">
        <v>7724</v>
      </c>
      <c r="EX176" s="1013" t="s">
        <v>7724</v>
      </c>
      <c r="EY176" s="1013" t="s">
        <v>7724</v>
      </c>
      <c r="EZ176" s="1013" t="s">
        <v>7724</v>
      </c>
      <c r="FA176" s="1013" t="s">
        <v>7724</v>
      </c>
      <c r="FB176" s="1013" t="s">
        <v>7724</v>
      </c>
      <c r="FC176" s="1013" t="s">
        <v>7724</v>
      </c>
      <c r="FD176" s="1013" t="s">
        <v>7724</v>
      </c>
      <c r="FE176" s="1013" t="s">
        <v>7724</v>
      </c>
      <c r="FF176" s="1013" t="s">
        <v>7724</v>
      </c>
      <c r="FG176" s="1013">
        <v>0</v>
      </c>
      <c r="FH176" s="1013">
        <v>0</v>
      </c>
      <c r="FI176" s="1013">
        <v>3</v>
      </c>
      <c r="FJ176" s="1013">
        <v>2</v>
      </c>
      <c r="FK176" s="1013">
        <v>1</v>
      </c>
      <c r="FL176" s="1013">
        <v>3</v>
      </c>
      <c r="FM176" s="1013">
        <v>0</v>
      </c>
      <c r="FN176" s="1013">
        <v>15</v>
      </c>
      <c r="FO176" s="1013">
        <v>29</v>
      </c>
      <c r="FP176" s="1013">
        <v>6</v>
      </c>
      <c r="FQ176" s="1013" t="s">
        <v>7724</v>
      </c>
      <c r="FR176" s="1013" t="s">
        <v>7724</v>
      </c>
      <c r="FS176" s="1013" t="s">
        <v>7724</v>
      </c>
      <c r="FT176" s="1013" t="s">
        <v>7723</v>
      </c>
      <c r="FU176" s="1013" t="s">
        <v>8167</v>
      </c>
      <c r="FV176" s="1013">
        <v>-1</v>
      </c>
      <c r="FW176" s="1023">
        <v>0.85069444444444442</v>
      </c>
      <c r="FX176" s="1023">
        <v>0.85416666666666663</v>
      </c>
      <c r="FY176" s="1024">
        <v>45289</v>
      </c>
      <c r="FZ176" s="1024">
        <v>45289</v>
      </c>
      <c r="GA176" s="1024">
        <v>45289</v>
      </c>
      <c r="GB176" s="1024">
        <v>45289</v>
      </c>
      <c r="GC176" s="1013">
        <v>2023</v>
      </c>
      <c r="GD176" s="1013" t="s">
        <v>1407</v>
      </c>
      <c r="GE176" s="1013">
        <v>2</v>
      </c>
      <c r="GF176" s="1013" t="s">
        <v>1407</v>
      </c>
      <c r="GG176" s="1013" t="s">
        <v>1407</v>
      </c>
      <c r="GH176" s="1013" t="s">
        <v>8049</v>
      </c>
      <c r="GI176" s="1013" t="s">
        <v>7974</v>
      </c>
      <c r="GJ176" s="1013" t="s">
        <v>7974</v>
      </c>
      <c r="GK176" s="1013" t="s">
        <v>7974</v>
      </c>
      <c r="GL176" s="1013" t="s">
        <v>7974</v>
      </c>
    </row>
    <row r="177" spans="1:194" hidden="1">
      <c r="A177" s="1013">
        <v>159</v>
      </c>
      <c r="B177" s="1013" t="s">
        <v>7722</v>
      </c>
      <c r="C177" s="1013">
        <v>19970153</v>
      </c>
      <c r="D177" s="1013" t="s">
        <v>7723</v>
      </c>
      <c r="E177" s="1013" t="s">
        <v>7723</v>
      </c>
      <c r="F177" s="1013" t="s">
        <v>7723</v>
      </c>
      <c r="G177" s="1013" t="s">
        <v>7723</v>
      </c>
      <c r="H177" s="1013" t="s">
        <v>7723</v>
      </c>
      <c r="I177" s="1013" t="s">
        <v>7723</v>
      </c>
      <c r="J177" s="1013" t="s">
        <v>7723</v>
      </c>
      <c r="K177" s="1024">
        <v>45288</v>
      </c>
      <c r="L177" s="1023">
        <v>0.66666666666666663</v>
      </c>
      <c r="M177" s="1013" t="s">
        <v>8168</v>
      </c>
      <c r="N177" s="1013" t="s">
        <v>7744</v>
      </c>
      <c r="O177" s="1013">
        <v>101</v>
      </c>
      <c r="P177" s="1013">
        <v>208</v>
      </c>
      <c r="Q177" s="1013" t="s">
        <v>7723</v>
      </c>
      <c r="R177" s="1013" t="s">
        <v>7727</v>
      </c>
      <c r="S177" s="1013" t="s">
        <v>7724</v>
      </c>
      <c r="T177" s="1014" t="s">
        <v>7724</v>
      </c>
      <c r="U177" s="1014">
        <v>19</v>
      </c>
      <c r="V177" s="1014" t="s">
        <v>7724</v>
      </c>
      <c r="W177" s="1014" t="s">
        <v>7724</v>
      </c>
      <c r="X177" s="1013">
        <v>1</v>
      </c>
      <c r="Y177" s="1013">
        <v>4600</v>
      </c>
      <c r="Z177" s="1013" t="s">
        <v>7724</v>
      </c>
      <c r="AA177" s="1013" t="s">
        <v>7728</v>
      </c>
      <c r="AB177" s="1013" t="s">
        <v>7726</v>
      </c>
      <c r="AC177" s="1013" t="s">
        <v>7723</v>
      </c>
      <c r="AD177" s="1013" t="s">
        <v>7723</v>
      </c>
      <c r="AE177" s="1013">
        <v>30</v>
      </c>
      <c r="AF177" s="1013" t="s">
        <v>7723</v>
      </c>
      <c r="AG177" s="1013" t="s">
        <v>7723</v>
      </c>
      <c r="AH177" s="1013" t="s">
        <v>7779</v>
      </c>
      <c r="AI177" s="1013" t="s">
        <v>7723</v>
      </c>
      <c r="AJ177" s="1013">
        <v>19</v>
      </c>
      <c r="AK177" s="1013" t="s">
        <v>7724</v>
      </c>
      <c r="AL177" s="1013" t="s">
        <v>7724</v>
      </c>
      <c r="AM177" s="1013">
        <v>1</v>
      </c>
      <c r="AN177" s="1013" t="s">
        <v>7724</v>
      </c>
      <c r="AO177" s="1013" t="s">
        <v>7724</v>
      </c>
      <c r="AP177" s="1013" t="s">
        <v>7725</v>
      </c>
      <c r="AQ177" s="1013" t="s">
        <v>7726</v>
      </c>
      <c r="AR177" s="1013" t="s">
        <v>7724</v>
      </c>
      <c r="AS177" s="1013" t="s">
        <v>7724</v>
      </c>
      <c r="AT177" s="1013" t="s">
        <v>7724</v>
      </c>
      <c r="AU177" s="1013" t="s">
        <v>7724</v>
      </c>
      <c r="AV177" s="1013" t="s">
        <v>7779</v>
      </c>
      <c r="AW177" s="1013" t="s">
        <v>7724</v>
      </c>
      <c r="AX177" s="1013">
        <v>11</v>
      </c>
      <c r="AY177" s="1013">
        <v>1</v>
      </c>
      <c r="AZ177" s="1013">
        <v>4</v>
      </c>
      <c r="BA177" s="1013">
        <v>4</v>
      </c>
      <c r="BB177" s="1013">
        <v>1</v>
      </c>
      <c r="BC177" s="1013">
        <v>1</v>
      </c>
      <c r="BD177" s="1013">
        <v>20</v>
      </c>
      <c r="BE177" s="1023">
        <v>0.67569444444444449</v>
      </c>
      <c r="BF177" s="1013" t="s">
        <v>7765</v>
      </c>
      <c r="BG177" s="1023">
        <v>0.67569444444444449</v>
      </c>
      <c r="BH177" s="1024">
        <v>45301</v>
      </c>
      <c r="BI177" s="1013" t="s">
        <v>7727</v>
      </c>
      <c r="BJ177" s="1013" t="s">
        <v>7730</v>
      </c>
      <c r="BK177" s="1013">
        <v>2469</v>
      </c>
      <c r="BL177" s="1013" t="s">
        <v>7724</v>
      </c>
      <c r="BM177" s="1013" t="s">
        <v>7724</v>
      </c>
      <c r="BN177" s="1013">
        <v>113</v>
      </c>
      <c r="BO177" s="1013">
        <v>8</v>
      </c>
      <c r="BP177" s="1013">
        <v>2</v>
      </c>
      <c r="BQ177" s="1013">
        <v>4</v>
      </c>
      <c r="BR177" s="1013">
        <v>20</v>
      </c>
      <c r="BS177" s="1013">
        <v>64</v>
      </c>
      <c r="BT177" s="1013">
        <v>54</v>
      </c>
      <c r="BU177" s="1013">
        <v>1</v>
      </c>
      <c r="BV177" s="1013">
        <v>5</v>
      </c>
      <c r="BW177" s="1013">
        <v>1</v>
      </c>
      <c r="BX177" s="1013">
        <v>21</v>
      </c>
      <c r="BY177" s="1013">
        <v>21</v>
      </c>
      <c r="BZ177" s="1013">
        <v>101</v>
      </c>
      <c r="CA177" s="1013">
        <v>208</v>
      </c>
      <c r="CB177" s="1013">
        <v>29.732645000000002</v>
      </c>
      <c r="CC177" s="1013">
        <v>-95.381641999999999</v>
      </c>
      <c r="CD177" s="1013" t="s">
        <v>7724</v>
      </c>
      <c r="CE177" s="1013" t="s">
        <v>7724</v>
      </c>
      <c r="CF177" s="1013" t="s">
        <v>7724</v>
      </c>
      <c r="CG177" s="1013" t="s">
        <v>7724</v>
      </c>
      <c r="CH177" s="1013" t="s">
        <v>7732</v>
      </c>
      <c r="CI177" s="1013" t="s">
        <v>7724</v>
      </c>
      <c r="CJ177" s="1013" t="s">
        <v>7724</v>
      </c>
      <c r="CK177" s="1013" t="s">
        <v>7724</v>
      </c>
      <c r="CL177" s="1013" t="s">
        <v>7724</v>
      </c>
      <c r="CM177" s="1013" t="s">
        <v>7724</v>
      </c>
      <c r="CN177" s="1013" t="s">
        <v>7724</v>
      </c>
      <c r="CO177" s="1013" t="s">
        <v>7724</v>
      </c>
      <c r="CP177" s="1013" t="s">
        <v>7724</v>
      </c>
      <c r="CQ177" s="1013" t="s">
        <v>7724</v>
      </c>
      <c r="CR177" s="1013" t="s">
        <v>7724</v>
      </c>
      <c r="CS177" s="1013" t="s">
        <v>7724</v>
      </c>
      <c r="CT177" s="1013" t="s">
        <v>7724</v>
      </c>
      <c r="CU177" s="1013" t="s">
        <v>7724</v>
      </c>
      <c r="CV177" s="1013" t="s">
        <v>7724</v>
      </c>
      <c r="CW177" s="1013" t="s">
        <v>7727</v>
      </c>
      <c r="CX177" s="1013" t="s">
        <v>7723</v>
      </c>
      <c r="CY177" s="1013" t="s">
        <v>7723</v>
      </c>
      <c r="CZ177" s="1013">
        <v>5</v>
      </c>
      <c r="DA177" s="1013">
        <v>9</v>
      </c>
      <c r="DB177" s="1013" t="s">
        <v>7727</v>
      </c>
      <c r="DC177" s="1013" t="s">
        <v>7740</v>
      </c>
      <c r="DD177" s="1013" t="s">
        <v>7724</v>
      </c>
      <c r="DE177" s="1013" t="s">
        <v>7724</v>
      </c>
      <c r="DF177" s="1013" t="s">
        <v>7724</v>
      </c>
      <c r="DG177" s="1013" t="s">
        <v>7724</v>
      </c>
      <c r="DH177" s="1013" t="s">
        <v>7724</v>
      </c>
      <c r="DI177" s="1013" t="s">
        <v>7724</v>
      </c>
      <c r="DJ177" s="1013" t="s">
        <v>7724</v>
      </c>
      <c r="DK177" s="1013" t="s">
        <v>7724</v>
      </c>
      <c r="DL177" s="1013" t="s">
        <v>7724</v>
      </c>
      <c r="DM177" s="1013" t="s">
        <v>7724</v>
      </c>
      <c r="DN177" s="1013" t="s">
        <v>7724</v>
      </c>
      <c r="DO177" s="1013" t="s">
        <v>7724</v>
      </c>
      <c r="DP177" s="1013" t="s">
        <v>7724</v>
      </c>
      <c r="DQ177" s="1013" t="s">
        <v>7724</v>
      </c>
      <c r="DR177" s="1013" t="s">
        <v>7724</v>
      </c>
      <c r="DS177" s="1013" t="s">
        <v>7724</v>
      </c>
      <c r="DT177" s="1013" t="s">
        <v>7724</v>
      </c>
      <c r="DU177" s="1013" t="s">
        <v>7724</v>
      </c>
      <c r="DV177" s="1013" t="s">
        <v>7724</v>
      </c>
      <c r="DW177" s="1013" t="s">
        <v>7724</v>
      </c>
      <c r="DX177" s="1013" t="s">
        <v>7724</v>
      </c>
      <c r="DY177" s="1013" t="s">
        <v>7724</v>
      </c>
      <c r="DZ177" s="1013" t="s">
        <v>7724</v>
      </c>
      <c r="EA177" s="1013" t="s">
        <v>7724</v>
      </c>
      <c r="EB177" s="1013" t="s">
        <v>7724</v>
      </c>
      <c r="EC177" s="1013" t="s">
        <v>7724</v>
      </c>
      <c r="ED177" s="1013" t="s">
        <v>7724</v>
      </c>
      <c r="EE177" s="1013" t="s">
        <v>7724</v>
      </c>
      <c r="EF177" s="1013" t="s">
        <v>7724</v>
      </c>
      <c r="EG177" s="1013" t="s">
        <v>7724</v>
      </c>
      <c r="EH177" s="1013" t="s">
        <v>7724</v>
      </c>
      <c r="EI177" s="1013" t="s">
        <v>7724</v>
      </c>
      <c r="EJ177" s="1013" t="s">
        <v>7724</v>
      </c>
      <c r="EK177" s="1013" t="s">
        <v>7724</v>
      </c>
      <c r="EL177" s="1013" t="s">
        <v>7724</v>
      </c>
      <c r="EM177" s="1013" t="s">
        <v>7724</v>
      </c>
      <c r="EN177" s="1013" t="s">
        <v>7724</v>
      </c>
      <c r="EO177" s="1013" t="s">
        <v>7724</v>
      </c>
      <c r="EP177" s="1013" t="s">
        <v>7724</v>
      </c>
      <c r="EQ177" s="1013" t="s">
        <v>7724</v>
      </c>
      <c r="ER177" s="1013" t="s">
        <v>7724</v>
      </c>
      <c r="ES177" s="1013" t="s">
        <v>7724</v>
      </c>
      <c r="ET177" s="1013" t="s">
        <v>7724</v>
      </c>
      <c r="EU177" s="1013" t="s">
        <v>7724</v>
      </c>
      <c r="EV177" s="1013" t="s">
        <v>7724</v>
      </c>
      <c r="EW177" s="1013" t="s">
        <v>7724</v>
      </c>
      <c r="EX177" s="1013" t="s">
        <v>7724</v>
      </c>
      <c r="EY177" s="1013" t="s">
        <v>7724</v>
      </c>
      <c r="EZ177" s="1013" t="s">
        <v>7724</v>
      </c>
      <c r="FA177" s="1013" t="s">
        <v>7724</v>
      </c>
      <c r="FB177" s="1013" t="s">
        <v>7724</v>
      </c>
      <c r="FC177" s="1013" t="s">
        <v>7724</v>
      </c>
      <c r="FD177" s="1013" t="s">
        <v>7724</v>
      </c>
      <c r="FE177" s="1013" t="s">
        <v>7724</v>
      </c>
      <c r="FF177" s="1013" t="s">
        <v>7724</v>
      </c>
      <c r="FG177" s="1013">
        <v>0</v>
      </c>
      <c r="FH177" s="1013">
        <v>0</v>
      </c>
      <c r="FI177" s="1013">
        <v>0</v>
      </c>
      <c r="FJ177" s="1013">
        <v>2</v>
      </c>
      <c r="FK177" s="1013">
        <v>0</v>
      </c>
      <c r="FL177" s="1013">
        <v>0</v>
      </c>
      <c r="FM177" s="1013">
        <v>0</v>
      </c>
      <c r="FN177" s="1013">
        <v>15</v>
      </c>
      <c r="FO177" s="1013">
        <v>29</v>
      </c>
      <c r="FP177" s="1013">
        <v>9</v>
      </c>
      <c r="FQ177" s="1013" t="s">
        <v>7724</v>
      </c>
      <c r="FR177" s="1013" t="s">
        <v>7724</v>
      </c>
      <c r="FS177" s="1013" t="s">
        <v>7724</v>
      </c>
      <c r="FT177" s="1013" t="s">
        <v>7723</v>
      </c>
      <c r="FU177" s="1013" t="s">
        <v>7723</v>
      </c>
      <c r="FV177" s="1013">
        <v>-1</v>
      </c>
      <c r="FW177" s="1023">
        <v>0.70138888888888884</v>
      </c>
      <c r="FX177" s="1023">
        <v>0.70138888888888884</v>
      </c>
      <c r="FY177" s="1024">
        <v>45288</v>
      </c>
      <c r="FZ177" s="1024">
        <v>45288</v>
      </c>
      <c r="GA177" s="1024">
        <v>45288</v>
      </c>
      <c r="GB177" s="1024">
        <v>45288</v>
      </c>
      <c r="GC177" s="1013">
        <v>2023</v>
      </c>
      <c r="GD177" s="1013" t="s">
        <v>1404</v>
      </c>
      <c r="GE177" s="1013">
        <v>2</v>
      </c>
      <c r="GF177" s="1013" t="s">
        <v>1407</v>
      </c>
      <c r="GG177" s="1013" t="s">
        <v>1407</v>
      </c>
      <c r="GH177" s="1013" t="s">
        <v>8023</v>
      </c>
      <c r="GI177" s="1013" t="s">
        <v>7974</v>
      </c>
      <c r="GJ177" s="1013" t="s">
        <v>7974</v>
      </c>
      <c r="GK177" s="1013" t="s">
        <v>7974</v>
      </c>
      <c r="GL177" s="1013" t="s">
        <v>7974</v>
      </c>
    </row>
    <row r="178" spans="1:194" hidden="1">
      <c r="A178" s="1013">
        <v>160</v>
      </c>
      <c r="B178" s="1013" t="s">
        <v>7722</v>
      </c>
      <c r="C178" s="1013">
        <v>18042757</v>
      </c>
      <c r="D178" s="1013" t="s">
        <v>7723</v>
      </c>
      <c r="E178" s="1013" t="s">
        <v>7723</v>
      </c>
      <c r="F178" s="1013" t="s">
        <v>7723</v>
      </c>
      <c r="G178" s="1013" t="s">
        <v>7723</v>
      </c>
      <c r="H178" s="1013" t="s">
        <v>7723</v>
      </c>
      <c r="I178" s="1013" t="s">
        <v>7723</v>
      </c>
      <c r="J178" s="1013" t="s">
        <v>7723</v>
      </c>
      <c r="K178" s="1024">
        <v>44198</v>
      </c>
      <c r="L178" s="1023">
        <v>0.58611111111111114</v>
      </c>
      <c r="M178" s="1013" t="s">
        <v>8169</v>
      </c>
      <c r="N178" s="1013" t="s">
        <v>7724</v>
      </c>
      <c r="O178" s="1013">
        <v>101</v>
      </c>
      <c r="P178" s="1013">
        <v>208</v>
      </c>
      <c r="Q178" s="1013" t="s">
        <v>7723</v>
      </c>
      <c r="R178" s="1013" t="s">
        <v>7727</v>
      </c>
      <c r="S178" s="1013" t="s">
        <v>7724</v>
      </c>
      <c r="T178" s="1014" t="s">
        <v>7724</v>
      </c>
      <c r="U178" s="1014">
        <v>2</v>
      </c>
      <c r="V178" s="1014">
        <v>59</v>
      </c>
      <c r="W178" s="1014" t="s">
        <v>7724</v>
      </c>
      <c r="X178" s="1013">
        <v>1</v>
      </c>
      <c r="Y178" s="1013">
        <v>800</v>
      </c>
      <c r="Z178" s="1013" t="s">
        <v>7770</v>
      </c>
      <c r="AA178" s="1013" t="s">
        <v>7771</v>
      </c>
      <c r="AB178" s="1013" t="s">
        <v>7760</v>
      </c>
      <c r="AC178" s="1013" t="s">
        <v>7723</v>
      </c>
      <c r="AD178" s="1013" t="s">
        <v>7723</v>
      </c>
      <c r="AE178" s="1013">
        <v>60</v>
      </c>
      <c r="AF178" s="1013" t="s">
        <v>7723</v>
      </c>
      <c r="AG178" s="1013" t="s">
        <v>7723</v>
      </c>
      <c r="AH178" s="1013" t="s">
        <v>7724</v>
      </c>
      <c r="AI178" s="1013" t="s">
        <v>7723</v>
      </c>
      <c r="AJ178" s="1013">
        <v>19</v>
      </c>
      <c r="AK178" s="1013" t="s">
        <v>7724</v>
      </c>
      <c r="AL178" s="1013" t="s">
        <v>7724</v>
      </c>
      <c r="AM178" s="1013">
        <v>1</v>
      </c>
      <c r="AN178" s="1013">
        <v>4700</v>
      </c>
      <c r="AO178" s="1013" t="s">
        <v>7724</v>
      </c>
      <c r="AP178" s="1013" t="s">
        <v>8030</v>
      </c>
      <c r="AQ178" s="1013" t="s">
        <v>7726</v>
      </c>
      <c r="AR178" s="1013" t="s">
        <v>7724</v>
      </c>
      <c r="AS178" s="1013" t="s">
        <v>7724</v>
      </c>
      <c r="AT178" s="1013" t="s">
        <v>7724</v>
      </c>
      <c r="AU178" s="1013" t="s">
        <v>7724</v>
      </c>
      <c r="AV178" s="1013" t="s">
        <v>7724</v>
      </c>
      <c r="AW178" s="1013" t="s">
        <v>7724</v>
      </c>
      <c r="AX178" s="1013">
        <v>11</v>
      </c>
      <c r="AY178" s="1013">
        <v>1</v>
      </c>
      <c r="AZ178" s="1013">
        <v>0</v>
      </c>
      <c r="BA178" s="1013">
        <v>3</v>
      </c>
      <c r="BB178" s="1013">
        <v>1</v>
      </c>
      <c r="BC178" s="1013">
        <v>1</v>
      </c>
      <c r="BD178" s="1013">
        <v>20</v>
      </c>
      <c r="BE178" s="1023">
        <v>0.6</v>
      </c>
      <c r="BF178" s="1013" t="s">
        <v>7736</v>
      </c>
      <c r="BG178" s="1023">
        <v>0.6020833333333333</v>
      </c>
      <c r="BH178" s="1024">
        <v>44198</v>
      </c>
      <c r="BI178" s="1013" t="s">
        <v>7727</v>
      </c>
      <c r="BJ178" s="1013" t="s">
        <v>7730</v>
      </c>
      <c r="BK178" s="1013">
        <v>2469</v>
      </c>
      <c r="BL178" s="1013" t="s">
        <v>7724</v>
      </c>
      <c r="BM178" s="1013" t="s">
        <v>7724</v>
      </c>
      <c r="BN178" s="1013">
        <v>113</v>
      </c>
      <c r="BO178" s="1013">
        <v>8</v>
      </c>
      <c r="BP178" s="1013">
        <v>2</v>
      </c>
      <c r="BQ178" s="1013">
        <v>4</v>
      </c>
      <c r="BR178" s="1013">
        <v>20</v>
      </c>
      <c r="BS178" s="1013">
        <v>64</v>
      </c>
      <c r="BT178" s="1013">
        <v>54</v>
      </c>
      <c r="BU178" s="1013">
        <v>1</v>
      </c>
      <c r="BV178" s="1013">
        <v>2</v>
      </c>
      <c r="BW178" s="1013">
        <v>1</v>
      </c>
      <c r="BX178" s="1013">
        <v>21</v>
      </c>
      <c r="BY178" s="1013">
        <v>21</v>
      </c>
      <c r="BZ178" s="1013">
        <v>101</v>
      </c>
      <c r="CA178" s="1013">
        <v>208</v>
      </c>
      <c r="CB178" s="1013">
        <v>29.732413000000001</v>
      </c>
      <c r="CC178" s="1013">
        <v>-95.381888000000004</v>
      </c>
      <c r="CD178" s="1013" t="s">
        <v>8016</v>
      </c>
      <c r="CE178" s="1013">
        <v>69</v>
      </c>
      <c r="CF178" s="1013" t="s">
        <v>7724</v>
      </c>
      <c r="CG178" s="1013">
        <v>33.499000000000002</v>
      </c>
      <c r="CH178" s="1013" t="s">
        <v>8017</v>
      </c>
      <c r="CI178" s="1013" t="s">
        <v>7724</v>
      </c>
      <c r="CJ178" s="1013">
        <v>27</v>
      </c>
      <c r="CK178" s="1013">
        <v>13</v>
      </c>
      <c r="CL178" s="1013">
        <v>13.792999999999999</v>
      </c>
      <c r="CM178" s="1013">
        <v>128</v>
      </c>
      <c r="CN178" s="1013">
        <v>0.24</v>
      </c>
      <c r="CO178" s="1013" t="s">
        <v>7724</v>
      </c>
      <c r="CP178" s="1013" t="s">
        <v>7724</v>
      </c>
      <c r="CQ178" s="1013" t="s">
        <v>7724</v>
      </c>
      <c r="CR178" s="1013" t="s">
        <v>7724</v>
      </c>
      <c r="CS178" s="1013" t="s">
        <v>7724</v>
      </c>
      <c r="CT178" s="1013" t="s">
        <v>7724</v>
      </c>
      <c r="CU178" s="1013" t="s">
        <v>7724</v>
      </c>
      <c r="CV178" s="1013" t="s">
        <v>7724</v>
      </c>
      <c r="CW178" s="1013" t="s">
        <v>7727</v>
      </c>
      <c r="CX178" s="1013" t="s">
        <v>7727</v>
      </c>
      <c r="CY178" s="1013" t="s">
        <v>7723</v>
      </c>
      <c r="CZ178" s="1013">
        <v>5</v>
      </c>
      <c r="DA178" s="1013">
        <v>9</v>
      </c>
      <c r="DB178" s="1013" t="s">
        <v>7727</v>
      </c>
      <c r="DC178" s="1013" t="s">
        <v>7733</v>
      </c>
      <c r="DD178" s="1013">
        <v>5</v>
      </c>
      <c r="DE178" s="1013" t="s">
        <v>7724</v>
      </c>
      <c r="DF178" s="1013">
        <v>20</v>
      </c>
      <c r="DG178" s="1013">
        <v>20</v>
      </c>
      <c r="DH178" s="1013">
        <v>5</v>
      </c>
      <c r="DI178" s="1013" t="s">
        <v>7724</v>
      </c>
      <c r="DJ178" s="1013">
        <v>8</v>
      </c>
      <c r="DK178" s="1013">
        <v>400</v>
      </c>
      <c r="DL178" s="1013">
        <v>138</v>
      </c>
      <c r="DM178" s="1013">
        <v>98</v>
      </c>
      <c r="DN178" s="1013">
        <v>1</v>
      </c>
      <c r="DO178" s="1013">
        <v>0</v>
      </c>
      <c r="DP178" s="1013">
        <v>0</v>
      </c>
      <c r="DQ178" s="1013">
        <v>1</v>
      </c>
      <c r="DR178" s="1013">
        <v>20</v>
      </c>
      <c r="DS178" s="1013">
        <v>5</v>
      </c>
      <c r="DT178" s="1013">
        <v>1</v>
      </c>
      <c r="DU178" s="1013">
        <v>20</v>
      </c>
      <c r="DV178" s="1013">
        <v>5</v>
      </c>
      <c r="DW178" s="1013">
        <v>7</v>
      </c>
      <c r="DX178" s="1013">
        <v>5</v>
      </c>
      <c r="DY178" s="1013">
        <v>4</v>
      </c>
      <c r="DZ178" s="1013">
        <v>1</v>
      </c>
      <c r="EA178" s="1013">
        <v>185410</v>
      </c>
      <c r="EB178" s="1013">
        <v>2019</v>
      </c>
      <c r="EC178" s="1013">
        <v>185410</v>
      </c>
      <c r="ED178" s="1013">
        <v>2.2999999999999998</v>
      </c>
      <c r="EE178" s="1013">
        <v>2.5</v>
      </c>
      <c r="EF178" s="1013">
        <v>4.8</v>
      </c>
      <c r="EG178" s="1013" t="s">
        <v>7724</v>
      </c>
      <c r="EH178" s="1013" t="s">
        <v>7724</v>
      </c>
      <c r="EI178" s="1013" t="s">
        <v>7724</v>
      </c>
      <c r="EJ178" s="1013" t="s">
        <v>7724</v>
      </c>
      <c r="EK178" s="1013" t="s">
        <v>7724</v>
      </c>
      <c r="EL178" s="1013" t="s">
        <v>7724</v>
      </c>
      <c r="EM178" s="1013" t="s">
        <v>7724</v>
      </c>
      <c r="EN178" s="1013" t="s">
        <v>7724</v>
      </c>
      <c r="EO178" s="1013" t="s">
        <v>7724</v>
      </c>
      <c r="EP178" s="1013" t="s">
        <v>7724</v>
      </c>
      <c r="EQ178" s="1013" t="s">
        <v>7724</v>
      </c>
      <c r="ER178" s="1013" t="s">
        <v>7724</v>
      </c>
      <c r="ES178" s="1013" t="s">
        <v>7724</v>
      </c>
      <c r="ET178" s="1013" t="s">
        <v>7724</v>
      </c>
      <c r="EU178" s="1013" t="s">
        <v>7724</v>
      </c>
      <c r="EV178" s="1013" t="s">
        <v>7724</v>
      </c>
      <c r="EW178" s="1013" t="s">
        <v>7724</v>
      </c>
      <c r="EX178" s="1013" t="s">
        <v>7724</v>
      </c>
      <c r="EY178" s="1013" t="s">
        <v>7724</v>
      </c>
      <c r="EZ178" s="1013" t="s">
        <v>7724</v>
      </c>
      <c r="FA178" s="1013" t="s">
        <v>7724</v>
      </c>
      <c r="FB178" s="1013" t="s">
        <v>7724</v>
      </c>
      <c r="FC178" s="1013" t="s">
        <v>7724</v>
      </c>
      <c r="FD178" s="1013" t="s">
        <v>7724</v>
      </c>
      <c r="FE178" s="1013" t="s">
        <v>7724</v>
      </c>
      <c r="FF178" s="1013" t="s">
        <v>7724</v>
      </c>
      <c r="FG178" s="1013">
        <v>0</v>
      </c>
      <c r="FH178" s="1013">
        <v>0</v>
      </c>
      <c r="FI178" s="1013">
        <v>0</v>
      </c>
      <c r="FJ178" s="1013">
        <v>2</v>
      </c>
      <c r="FK178" s="1013">
        <v>0</v>
      </c>
      <c r="FL178" s="1013">
        <v>0</v>
      </c>
      <c r="FM178" s="1013">
        <v>0</v>
      </c>
      <c r="FN178" s="1013">
        <v>15</v>
      </c>
      <c r="FO178" s="1013">
        <v>29</v>
      </c>
      <c r="FP178" s="1013">
        <v>51</v>
      </c>
      <c r="FQ178" s="1013" t="s">
        <v>7724</v>
      </c>
      <c r="FR178" s="1013" t="s">
        <v>7724</v>
      </c>
      <c r="FS178" s="1013" t="s">
        <v>7724</v>
      </c>
      <c r="FT178" s="1013" t="s">
        <v>7724</v>
      </c>
      <c r="FU178" s="1013" t="s">
        <v>7724</v>
      </c>
      <c r="FV178" s="1013" t="s">
        <v>7724</v>
      </c>
      <c r="FW178" s="1013" t="s">
        <v>7724</v>
      </c>
      <c r="FX178" s="1013" t="s">
        <v>7724</v>
      </c>
      <c r="FY178" s="1013" t="s">
        <v>7724</v>
      </c>
      <c r="FZ178" s="1013" t="s">
        <v>7724</v>
      </c>
      <c r="GA178" s="1013" t="s">
        <v>7724</v>
      </c>
      <c r="GB178" s="1013" t="s">
        <v>7724</v>
      </c>
      <c r="GC178" s="1013">
        <v>2021</v>
      </c>
      <c r="GD178" s="1013" t="s">
        <v>1404</v>
      </c>
      <c r="GE178" s="1013">
        <v>2</v>
      </c>
      <c r="GF178" s="1013" t="s">
        <v>1407</v>
      </c>
      <c r="GG178" s="1013" t="s">
        <v>1407</v>
      </c>
      <c r="GH178" s="1013" t="s">
        <v>8023</v>
      </c>
      <c r="GI178" s="1013" t="s">
        <v>7974</v>
      </c>
      <c r="GJ178" s="1013" t="s">
        <v>7974</v>
      </c>
      <c r="GK178" s="1013" t="s">
        <v>7974</v>
      </c>
      <c r="GL178" s="1013" t="s">
        <v>7974</v>
      </c>
    </row>
    <row r="179" spans="1:194" hidden="1">
      <c r="A179" s="1013">
        <v>161</v>
      </c>
      <c r="B179" s="1013" t="s">
        <v>7722</v>
      </c>
      <c r="C179" s="1013">
        <v>18063075</v>
      </c>
      <c r="D179" s="1013" t="s">
        <v>7723</v>
      </c>
      <c r="E179" s="1013" t="s">
        <v>7723</v>
      </c>
      <c r="F179" s="1013" t="s">
        <v>7723</v>
      </c>
      <c r="G179" s="1013" t="s">
        <v>7723</v>
      </c>
      <c r="H179" s="1013" t="s">
        <v>7723</v>
      </c>
      <c r="I179" s="1013" t="s">
        <v>7723</v>
      </c>
      <c r="J179" s="1013" t="s">
        <v>7723</v>
      </c>
      <c r="K179" s="1024">
        <v>44212</v>
      </c>
      <c r="L179" s="1023">
        <v>0.7680555555555556</v>
      </c>
      <c r="M179" s="1013" t="s">
        <v>8170</v>
      </c>
      <c r="N179" s="1013" t="s">
        <v>7744</v>
      </c>
      <c r="O179" s="1013">
        <v>101</v>
      </c>
      <c r="P179" s="1013">
        <v>208</v>
      </c>
      <c r="Q179" s="1013" t="s">
        <v>7723</v>
      </c>
      <c r="R179" s="1013" t="s">
        <v>7727</v>
      </c>
      <c r="S179" s="1013" t="s">
        <v>7724</v>
      </c>
      <c r="T179" s="1014" t="s">
        <v>7724</v>
      </c>
      <c r="U179" s="1014">
        <v>2</v>
      </c>
      <c r="V179" s="1014">
        <v>59</v>
      </c>
      <c r="W179" s="1014" t="s">
        <v>7724</v>
      </c>
      <c r="X179" s="1013">
        <v>1</v>
      </c>
      <c r="Y179" s="1013">
        <v>5900</v>
      </c>
      <c r="Z179" s="1013" t="s">
        <v>7770</v>
      </c>
      <c r="AA179" s="1013" t="s">
        <v>7771</v>
      </c>
      <c r="AB179" s="1013" t="s">
        <v>7760</v>
      </c>
      <c r="AC179" s="1013" t="s">
        <v>7723</v>
      </c>
      <c r="AD179" s="1013" t="s">
        <v>7723</v>
      </c>
      <c r="AE179" s="1013">
        <v>70</v>
      </c>
      <c r="AF179" s="1013" t="s">
        <v>7723</v>
      </c>
      <c r="AG179" s="1013" t="s">
        <v>7723</v>
      </c>
      <c r="AH179" s="1013" t="s">
        <v>7724</v>
      </c>
      <c r="AI179" s="1013" t="s">
        <v>7723</v>
      </c>
      <c r="AJ179" s="1013">
        <v>19</v>
      </c>
      <c r="AK179" s="1013" t="s">
        <v>7724</v>
      </c>
      <c r="AL179" s="1013" t="s">
        <v>7724</v>
      </c>
      <c r="AM179" s="1013">
        <v>1</v>
      </c>
      <c r="AN179" s="1013">
        <v>5100</v>
      </c>
      <c r="AO179" s="1013" t="s">
        <v>7724</v>
      </c>
      <c r="AP179" s="1013" t="s">
        <v>8003</v>
      </c>
      <c r="AQ179" s="1013" t="s">
        <v>7735</v>
      </c>
      <c r="AR179" s="1013" t="s">
        <v>7724</v>
      </c>
      <c r="AS179" s="1013" t="s">
        <v>7724</v>
      </c>
      <c r="AT179" s="1013" t="s">
        <v>7724</v>
      </c>
      <c r="AU179" s="1013" t="s">
        <v>7724</v>
      </c>
      <c r="AV179" s="1013" t="s">
        <v>7724</v>
      </c>
      <c r="AW179" s="1013" t="s">
        <v>7724</v>
      </c>
      <c r="AX179" s="1013">
        <v>11</v>
      </c>
      <c r="AY179" s="1013">
        <v>4</v>
      </c>
      <c r="AZ179" s="1013">
        <v>0</v>
      </c>
      <c r="BA179" s="1013">
        <v>3</v>
      </c>
      <c r="BB179" s="1013">
        <v>1</v>
      </c>
      <c r="BC179" s="1013">
        <v>1</v>
      </c>
      <c r="BD179" s="1013">
        <v>20</v>
      </c>
      <c r="BE179" s="1023">
        <v>0.7680555555555556</v>
      </c>
      <c r="BF179" s="1013" t="s">
        <v>7736</v>
      </c>
      <c r="BG179" s="1023">
        <v>0.78402777777777777</v>
      </c>
      <c r="BH179" s="1024">
        <v>44212</v>
      </c>
      <c r="BI179" s="1013" t="s">
        <v>7727</v>
      </c>
      <c r="BJ179" s="1013" t="s">
        <v>7730</v>
      </c>
      <c r="BK179" s="1013">
        <v>2469</v>
      </c>
      <c r="BL179" s="1013" t="s">
        <v>7724</v>
      </c>
      <c r="BM179" s="1013" t="s">
        <v>7724</v>
      </c>
      <c r="BN179" s="1013">
        <v>106</v>
      </c>
      <c r="BO179" s="1013">
        <v>8</v>
      </c>
      <c r="BP179" s="1013">
        <v>2</v>
      </c>
      <c r="BQ179" s="1013">
        <v>4</v>
      </c>
      <c r="BR179" s="1013">
        <v>20</v>
      </c>
      <c r="BS179" s="1013">
        <v>64</v>
      </c>
      <c r="BT179" s="1013">
        <v>54</v>
      </c>
      <c r="BU179" s="1013">
        <v>1</v>
      </c>
      <c r="BV179" s="1013">
        <v>2</v>
      </c>
      <c r="BW179" s="1013">
        <v>1</v>
      </c>
      <c r="BX179" s="1013">
        <v>21</v>
      </c>
      <c r="BY179" s="1013">
        <v>21</v>
      </c>
      <c r="BZ179" s="1013">
        <v>101</v>
      </c>
      <c r="CA179" s="1013">
        <v>208</v>
      </c>
      <c r="CB179" s="1013">
        <v>29.732420000000001</v>
      </c>
      <c r="CC179" s="1013">
        <v>-95.381788999999998</v>
      </c>
      <c r="CD179" s="1013" t="s">
        <v>8016</v>
      </c>
      <c r="CE179" s="1013">
        <v>69</v>
      </c>
      <c r="CF179" s="1013" t="s">
        <v>7724</v>
      </c>
      <c r="CG179" s="1013">
        <v>33.505000000000003</v>
      </c>
      <c r="CH179" s="1013" t="s">
        <v>8017</v>
      </c>
      <c r="CI179" s="1013" t="s">
        <v>7724</v>
      </c>
      <c r="CJ179" s="1013">
        <v>27</v>
      </c>
      <c r="CK179" s="1013">
        <v>13</v>
      </c>
      <c r="CL179" s="1013">
        <v>13.798999999999999</v>
      </c>
      <c r="CM179" s="1013">
        <v>128</v>
      </c>
      <c r="CN179" s="1013">
        <v>0.246</v>
      </c>
      <c r="CO179" s="1013" t="s">
        <v>7724</v>
      </c>
      <c r="CP179" s="1013" t="s">
        <v>7724</v>
      </c>
      <c r="CQ179" s="1013" t="s">
        <v>7724</v>
      </c>
      <c r="CR179" s="1013" t="s">
        <v>7724</v>
      </c>
      <c r="CS179" s="1013" t="s">
        <v>7724</v>
      </c>
      <c r="CT179" s="1013" t="s">
        <v>7724</v>
      </c>
      <c r="CU179" s="1013" t="s">
        <v>7724</v>
      </c>
      <c r="CV179" s="1013" t="s">
        <v>7724</v>
      </c>
      <c r="CW179" s="1013" t="s">
        <v>7727</v>
      </c>
      <c r="CX179" s="1013" t="s">
        <v>7727</v>
      </c>
      <c r="CY179" s="1013" t="s">
        <v>7723</v>
      </c>
      <c r="CZ179" s="1013">
        <v>5</v>
      </c>
      <c r="DA179" s="1013">
        <v>9</v>
      </c>
      <c r="DB179" s="1013" t="s">
        <v>7727</v>
      </c>
      <c r="DC179" s="1013" t="s">
        <v>7733</v>
      </c>
      <c r="DD179" s="1013">
        <v>5</v>
      </c>
      <c r="DE179" s="1013" t="s">
        <v>7724</v>
      </c>
      <c r="DF179" s="1013">
        <v>20</v>
      </c>
      <c r="DG179" s="1013">
        <v>20</v>
      </c>
      <c r="DH179" s="1013">
        <v>5</v>
      </c>
      <c r="DI179" s="1013" t="s">
        <v>7724</v>
      </c>
      <c r="DJ179" s="1013">
        <v>8</v>
      </c>
      <c r="DK179" s="1013">
        <v>400</v>
      </c>
      <c r="DL179" s="1013">
        <v>138</v>
      </c>
      <c r="DM179" s="1013">
        <v>98</v>
      </c>
      <c r="DN179" s="1013">
        <v>1</v>
      </c>
      <c r="DO179" s="1013">
        <v>0</v>
      </c>
      <c r="DP179" s="1013">
        <v>0</v>
      </c>
      <c r="DQ179" s="1013">
        <v>1</v>
      </c>
      <c r="DR179" s="1013">
        <v>20</v>
      </c>
      <c r="DS179" s="1013">
        <v>5</v>
      </c>
      <c r="DT179" s="1013">
        <v>1</v>
      </c>
      <c r="DU179" s="1013">
        <v>20</v>
      </c>
      <c r="DV179" s="1013">
        <v>5</v>
      </c>
      <c r="DW179" s="1013">
        <v>7</v>
      </c>
      <c r="DX179" s="1013">
        <v>5</v>
      </c>
      <c r="DY179" s="1013">
        <v>4</v>
      </c>
      <c r="DZ179" s="1013">
        <v>1</v>
      </c>
      <c r="EA179" s="1013">
        <v>185410</v>
      </c>
      <c r="EB179" s="1013">
        <v>2019</v>
      </c>
      <c r="EC179" s="1013">
        <v>185410</v>
      </c>
      <c r="ED179" s="1013">
        <v>2.2999999999999998</v>
      </c>
      <c r="EE179" s="1013">
        <v>2.5</v>
      </c>
      <c r="EF179" s="1013">
        <v>4.8</v>
      </c>
      <c r="EG179" s="1013" t="s">
        <v>7724</v>
      </c>
      <c r="EH179" s="1013" t="s">
        <v>7724</v>
      </c>
      <c r="EI179" s="1013" t="s">
        <v>7724</v>
      </c>
      <c r="EJ179" s="1013" t="s">
        <v>7724</v>
      </c>
      <c r="EK179" s="1013" t="s">
        <v>7724</v>
      </c>
      <c r="EL179" s="1013" t="s">
        <v>7724</v>
      </c>
      <c r="EM179" s="1013" t="s">
        <v>7724</v>
      </c>
      <c r="EN179" s="1013" t="s">
        <v>7724</v>
      </c>
      <c r="EO179" s="1013" t="s">
        <v>7724</v>
      </c>
      <c r="EP179" s="1013" t="s">
        <v>7724</v>
      </c>
      <c r="EQ179" s="1013" t="s">
        <v>7724</v>
      </c>
      <c r="ER179" s="1013" t="s">
        <v>7724</v>
      </c>
      <c r="ES179" s="1013" t="s">
        <v>7724</v>
      </c>
      <c r="ET179" s="1013" t="s">
        <v>7724</v>
      </c>
      <c r="EU179" s="1013" t="s">
        <v>7724</v>
      </c>
      <c r="EV179" s="1013" t="s">
        <v>7724</v>
      </c>
      <c r="EW179" s="1013" t="s">
        <v>7724</v>
      </c>
      <c r="EX179" s="1013" t="s">
        <v>7724</v>
      </c>
      <c r="EY179" s="1013" t="s">
        <v>7724</v>
      </c>
      <c r="EZ179" s="1013" t="s">
        <v>7724</v>
      </c>
      <c r="FA179" s="1013" t="s">
        <v>7724</v>
      </c>
      <c r="FB179" s="1013" t="s">
        <v>7724</v>
      </c>
      <c r="FC179" s="1013" t="s">
        <v>7724</v>
      </c>
      <c r="FD179" s="1013" t="s">
        <v>7724</v>
      </c>
      <c r="FE179" s="1013" t="s">
        <v>7724</v>
      </c>
      <c r="FF179" s="1013" t="s">
        <v>7724</v>
      </c>
      <c r="FG179" s="1013">
        <v>0</v>
      </c>
      <c r="FH179" s="1013">
        <v>0</v>
      </c>
      <c r="FI179" s="1013">
        <v>0</v>
      </c>
      <c r="FJ179" s="1013">
        <v>2</v>
      </c>
      <c r="FK179" s="1013">
        <v>2</v>
      </c>
      <c r="FL179" s="1013">
        <v>0</v>
      </c>
      <c r="FM179" s="1013">
        <v>0</v>
      </c>
      <c r="FN179" s="1013">
        <v>15</v>
      </c>
      <c r="FO179" s="1013">
        <v>54</v>
      </c>
      <c r="FP179" s="1013">
        <v>18</v>
      </c>
      <c r="FQ179" s="1013" t="s">
        <v>7724</v>
      </c>
      <c r="FR179" s="1013" t="s">
        <v>7724</v>
      </c>
      <c r="FS179" s="1013" t="s">
        <v>7724</v>
      </c>
      <c r="FT179" s="1013" t="s">
        <v>7724</v>
      </c>
      <c r="FU179" s="1013" t="s">
        <v>7724</v>
      </c>
      <c r="FV179" s="1013" t="s">
        <v>7724</v>
      </c>
      <c r="FW179" s="1013" t="s">
        <v>7724</v>
      </c>
      <c r="FX179" s="1013" t="s">
        <v>7724</v>
      </c>
      <c r="FY179" s="1013" t="s">
        <v>7724</v>
      </c>
      <c r="FZ179" s="1013" t="s">
        <v>7724</v>
      </c>
      <c r="GA179" s="1013" t="s">
        <v>7724</v>
      </c>
      <c r="GB179" s="1013" t="s">
        <v>7724</v>
      </c>
      <c r="GC179" s="1013">
        <v>2021</v>
      </c>
      <c r="GD179" s="1013" t="s">
        <v>1407</v>
      </c>
      <c r="GE179" s="1013">
        <v>4</v>
      </c>
      <c r="GF179" s="1013" t="s">
        <v>1407</v>
      </c>
      <c r="GG179" s="1013" t="s">
        <v>1407</v>
      </c>
      <c r="GH179" s="1013" t="s">
        <v>8171</v>
      </c>
      <c r="GI179" s="1013" t="s">
        <v>8055</v>
      </c>
      <c r="GJ179" s="1013" t="s">
        <v>8055</v>
      </c>
      <c r="GK179" s="1013" t="s">
        <v>8172</v>
      </c>
      <c r="GL179" s="1013" t="s">
        <v>8055</v>
      </c>
    </row>
    <row r="180" spans="1:194" hidden="1">
      <c r="A180" s="1013">
        <v>162</v>
      </c>
      <c r="B180" s="1013" t="s">
        <v>7722</v>
      </c>
      <c r="C180" s="1013">
        <v>18069341</v>
      </c>
      <c r="D180" s="1013" t="s">
        <v>7723</v>
      </c>
      <c r="E180" s="1013" t="s">
        <v>7723</v>
      </c>
      <c r="F180" s="1013" t="s">
        <v>7723</v>
      </c>
      <c r="G180" s="1013" t="s">
        <v>7723</v>
      </c>
      <c r="H180" s="1013" t="s">
        <v>7723</v>
      </c>
      <c r="I180" s="1013" t="s">
        <v>7723</v>
      </c>
      <c r="J180" s="1013" t="s">
        <v>7723</v>
      </c>
      <c r="K180" s="1024">
        <v>44213</v>
      </c>
      <c r="L180" s="1023">
        <v>0.59375</v>
      </c>
      <c r="M180" s="1013" t="s">
        <v>8173</v>
      </c>
      <c r="N180" s="1013" t="s">
        <v>7744</v>
      </c>
      <c r="O180" s="1013">
        <v>101</v>
      </c>
      <c r="P180" s="1013">
        <v>208</v>
      </c>
      <c r="Q180" s="1013" t="s">
        <v>7723</v>
      </c>
      <c r="R180" s="1013" t="s">
        <v>7727</v>
      </c>
      <c r="S180" s="1013" t="s">
        <v>7724</v>
      </c>
      <c r="T180" s="1014" t="s">
        <v>7724</v>
      </c>
      <c r="U180" s="1014">
        <v>2</v>
      </c>
      <c r="V180" s="1014">
        <v>59</v>
      </c>
      <c r="W180" s="1014" t="s">
        <v>7724</v>
      </c>
      <c r="X180" s="1013">
        <v>1</v>
      </c>
      <c r="Y180" s="1013">
        <v>600</v>
      </c>
      <c r="Z180" s="1013" t="s">
        <v>7770</v>
      </c>
      <c r="AA180" s="1013" t="s">
        <v>7771</v>
      </c>
      <c r="AB180" s="1013" t="s">
        <v>7760</v>
      </c>
      <c r="AC180" s="1013" t="s">
        <v>7723</v>
      </c>
      <c r="AD180" s="1013" t="s">
        <v>7723</v>
      </c>
      <c r="AE180" s="1013">
        <v>55</v>
      </c>
      <c r="AF180" s="1013" t="s">
        <v>7723</v>
      </c>
      <c r="AG180" s="1013" t="s">
        <v>7723</v>
      </c>
      <c r="AH180" s="1013" t="s">
        <v>7739</v>
      </c>
      <c r="AI180" s="1013" t="s">
        <v>7723</v>
      </c>
      <c r="AJ180" s="1013">
        <v>19</v>
      </c>
      <c r="AK180" s="1013" t="s">
        <v>7724</v>
      </c>
      <c r="AL180" s="1013" t="s">
        <v>7724</v>
      </c>
      <c r="AM180" s="1013">
        <v>4</v>
      </c>
      <c r="AN180" s="1013" t="s">
        <v>7724</v>
      </c>
      <c r="AO180" s="1013" t="s">
        <v>7724</v>
      </c>
      <c r="AP180" s="1013" t="s">
        <v>7840</v>
      </c>
      <c r="AQ180" s="1013" t="s">
        <v>7726</v>
      </c>
      <c r="AR180" s="1013" t="s">
        <v>7724</v>
      </c>
      <c r="AS180" s="1013" t="s">
        <v>7724</v>
      </c>
      <c r="AT180" s="1013" t="s">
        <v>7724</v>
      </c>
      <c r="AU180" s="1013" t="s">
        <v>7724</v>
      </c>
      <c r="AV180" s="1013" t="s">
        <v>7724</v>
      </c>
      <c r="AW180" s="1013" t="s">
        <v>7724</v>
      </c>
      <c r="AX180" s="1013">
        <v>11</v>
      </c>
      <c r="AY180" s="1013">
        <v>1</v>
      </c>
      <c r="AZ180" s="1013">
        <v>4</v>
      </c>
      <c r="BA180" s="1013">
        <v>3</v>
      </c>
      <c r="BB180" s="1013">
        <v>1</v>
      </c>
      <c r="BC180" s="1013">
        <v>1</v>
      </c>
      <c r="BD180" s="1013">
        <v>20</v>
      </c>
      <c r="BE180" s="1023">
        <v>0.60624999999999996</v>
      </c>
      <c r="BF180" s="1013" t="s">
        <v>7729</v>
      </c>
      <c r="BG180" s="1023">
        <v>0.60902777777777772</v>
      </c>
      <c r="BH180" s="1024">
        <v>44213</v>
      </c>
      <c r="BI180" s="1013" t="s">
        <v>7727</v>
      </c>
      <c r="BJ180" s="1013" t="s">
        <v>7730</v>
      </c>
      <c r="BK180" s="1013">
        <v>2469</v>
      </c>
      <c r="BL180" s="1013" t="s">
        <v>7724</v>
      </c>
      <c r="BM180" s="1013" t="s">
        <v>7724</v>
      </c>
      <c r="BN180" s="1013">
        <v>113</v>
      </c>
      <c r="BO180" s="1013">
        <v>8</v>
      </c>
      <c r="BP180" s="1013">
        <v>2</v>
      </c>
      <c r="BQ180" s="1013">
        <v>4</v>
      </c>
      <c r="BR180" s="1013">
        <v>21</v>
      </c>
      <c r="BS180" s="1013">
        <v>64</v>
      </c>
      <c r="BT180" s="1013">
        <v>9</v>
      </c>
      <c r="BU180" s="1013">
        <v>1</v>
      </c>
      <c r="BV180" s="1013">
        <v>2</v>
      </c>
      <c r="BW180" s="1013">
        <v>1</v>
      </c>
      <c r="BX180" s="1013">
        <v>21</v>
      </c>
      <c r="BY180" s="1013">
        <v>21</v>
      </c>
      <c r="BZ180" s="1013">
        <v>101</v>
      </c>
      <c r="CA180" s="1013">
        <v>208</v>
      </c>
      <c r="CB180" s="1013">
        <v>29.732541000000001</v>
      </c>
      <c r="CC180" s="1013">
        <v>-95.380228000000002</v>
      </c>
      <c r="CD180" s="1013" t="s">
        <v>8016</v>
      </c>
      <c r="CE180" s="1013">
        <v>69</v>
      </c>
      <c r="CF180" s="1013" t="s">
        <v>7724</v>
      </c>
      <c r="CG180" s="1013">
        <v>33.598999999999997</v>
      </c>
      <c r="CH180" s="1013" t="s">
        <v>8017</v>
      </c>
      <c r="CI180" s="1013" t="s">
        <v>7724</v>
      </c>
      <c r="CJ180" s="1013">
        <v>27</v>
      </c>
      <c r="CK180" s="1013">
        <v>13</v>
      </c>
      <c r="CL180" s="1013">
        <v>13.897</v>
      </c>
      <c r="CM180" s="1013">
        <v>128</v>
      </c>
      <c r="CN180" s="1013">
        <v>0.34</v>
      </c>
      <c r="CO180" s="1013" t="s">
        <v>7724</v>
      </c>
      <c r="CP180" s="1013" t="s">
        <v>7724</v>
      </c>
      <c r="CQ180" s="1013" t="s">
        <v>7724</v>
      </c>
      <c r="CR180" s="1013" t="s">
        <v>7724</v>
      </c>
      <c r="CS180" s="1013" t="s">
        <v>7724</v>
      </c>
      <c r="CT180" s="1013" t="s">
        <v>7724</v>
      </c>
      <c r="CU180" s="1013" t="s">
        <v>7724</v>
      </c>
      <c r="CV180" s="1013" t="s">
        <v>7724</v>
      </c>
      <c r="CW180" s="1013" t="s">
        <v>7727</v>
      </c>
      <c r="CX180" s="1013" t="s">
        <v>7727</v>
      </c>
      <c r="CY180" s="1013" t="s">
        <v>7723</v>
      </c>
      <c r="CZ180" s="1013">
        <v>5</v>
      </c>
      <c r="DA180" s="1013">
        <v>9</v>
      </c>
      <c r="DB180" s="1013" t="s">
        <v>7727</v>
      </c>
      <c r="DC180" s="1013" t="s">
        <v>7747</v>
      </c>
      <c r="DD180" s="1013">
        <v>5</v>
      </c>
      <c r="DE180" s="1013" t="s">
        <v>7724</v>
      </c>
      <c r="DF180" s="1013">
        <v>20</v>
      </c>
      <c r="DG180" s="1013">
        <v>20</v>
      </c>
      <c r="DH180" s="1013">
        <v>5</v>
      </c>
      <c r="DI180" s="1013" t="s">
        <v>7724</v>
      </c>
      <c r="DJ180" s="1013">
        <v>8</v>
      </c>
      <c r="DK180" s="1013">
        <v>400</v>
      </c>
      <c r="DL180" s="1013">
        <v>138</v>
      </c>
      <c r="DM180" s="1013">
        <v>98</v>
      </c>
      <c r="DN180" s="1013">
        <v>1</v>
      </c>
      <c r="DO180" s="1013">
        <v>0</v>
      </c>
      <c r="DP180" s="1013">
        <v>0</v>
      </c>
      <c r="DQ180" s="1013">
        <v>1</v>
      </c>
      <c r="DR180" s="1013">
        <v>20</v>
      </c>
      <c r="DS180" s="1013">
        <v>5</v>
      </c>
      <c r="DT180" s="1013">
        <v>1</v>
      </c>
      <c r="DU180" s="1013">
        <v>20</v>
      </c>
      <c r="DV180" s="1013">
        <v>5</v>
      </c>
      <c r="DW180" s="1013">
        <v>7</v>
      </c>
      <c r="DX180" s="1013">
        <v>5</v>
      </c>
      <c r="DY180" s="1013">
        <v>4</v>
      </c>
      <c r="DZ180" s="1013">
        <v>1</v>
      </c>
      <c r="EA180" s="1013">
        <v>185410</v>
      </c>
      <c r="EB180" s="1013">
        <v>2019</v>
      </c>
      <c r="EC180" s="1013">
        <v>185410</v>
      </c>
      <c r="ED180" s="1013">
        <v>2.2999999999999998</v>
      </c>
      <c r="EE180" s="1013">
        <v>2.5</v>
      </c>
      <c r="EF180" s="1013">
        <v>4.8</v>
      </c>
      <c r="EG180" s="1013" t="s">
        <v>7724</v>
      </c>
      <c r="EH180" s="1013" t="s">
        <v>7724</v>
      </c>
      <c r="EI180" s="1013" t="s">
        <v>7724</v>
      </c>
      <c r="EJ180" s="1013" t="s">
        <v>7724</v>
      </c>
      <c r="EK180" s="1013" t="s">
        <v>7724</v>
      </c>
      <c r="EL180" s="1013" t="s">
        <v>7724</v>
      </c>
      <c r="EM180" s="1013" t="s">
        <v>7724</v>
      </c>
      <c r="EN180" s="1013" t="s">
        <v>7724</v>
      </c>
      <c r="EO180" s="1013" t="s">
        <v>7724</v>
      </c>
      <c r="EP180" s="1013" t="s">
        <v>7724</v>
      </c>
      <c r="EQ180" s="1013" t="s">
        <v>7724</v>
      </c>
      <c r="ER180" s="1013" t="s">
        <v>7724</v>
      </c>
      <c r="ES180" s="1013" t="s">
        <v>7724</v>
      </c>
      <c r="ET180" s="1013" t="s">
        <v>7724</v>
      </c>
      <c r="EU180" s="1013" t="s">
        <v>7724</v>
      </c>
      <c r="EV180" s="1013" t="s">
        <v>7724</v>
      </c>
      <c r="EW180" s="1013" t="s">
        <v>7724</v>
      </c>
      <c r="EX180" s="1013" t="s">
        <v>7724</v>
      </c>
      <c r="EY180" s="1013" t="s">
        <v>7724</v>
      </c>
      <c r="EZ180" s="1013" t="s">
        <v>7724</v>
      </c>
      <c r="FA180" s="1013" t="s">
        <v>7724</v>
      </c>
      <c r="FB180" s="1013" t="s">
        <v>7724</v>
      </c>
      <c r="FC180" s="1013" t="s">
        <v>7724</v>
      </c>
      <c r="FD180" s="1013" t="s">
        <v>7724</v>
      </c>
      <c r="FE180" s="1013" t="s">
        <v>7724</v>
      </c>
      <c r="FF180" s="1013" t="s">
        <v>7724</v>
      </c>
      <c r="FG180" s="1013">
        <v>0</v>
      </c>
      <c r="FH180" s="1013">
        <v>0</v>
      </c>
      <c r="FI180" s="1013">
        <v>0</v>
      </c>
      <c r="FJ180" s="1013">
        <v>1</v>
      </c>
      <c r="FK180" s="1013">
        <v>1</v>
      </c>
      <c r="FL180" s="1013">
        <v>0</v>
      </c>
      <c r="FM180" s="1013">
        <v>0</v>
      </c>
      <c r="FN180" s="1013">
        <v>15</v>
      </c>
      <c r="FO180" s="1013">
        <v>29</v>
      </c>
      <c r="FP180" s="1013">
        <v>6</v>
      </c>
      <c r="FQ180" s="1013" t="s">
        <v>7724</v>
      </c>
      <c r="FR180" s="1013" t="s">
        <v>7724</v>
      </c>
      <c r="FS180" s="1013" t="s">
        <v>7724</v>
      </c>
      <c r="FT180" s="1013" t="s">
        <v>7724</v>
      </c>
      <c r="FU180" s="1013" t="s">
        <v>7724</v>
      </c>
      <c r="FV180" s="1013" t="s">
        <v>7724</v>
      </c>
      <c r="FW180" s="1013" t="s">
        <v>7724</v>
      </c>
      <c r="FX180" s="1013" t="s">
        <v>7724</v>
      </c>
      <c r="FY180" s="1013" t="s">
        <v>7724</v>
      </c>
      <c r="FZ180" s="1013" t="s">
        <v>7724</v>
      </c>
      <c r="GA180" s="1013" t="s">
        <v>7724</v>
      </c>
      <c r="GB180" s="1013" t="s">
        <v>7724</v>
      </c>
      <c r="GC180" s="1013">
        <v>2021</v>
      </c>
      <c r="GD180" s="1013" t="s">
        <v>1407</v>
      </c>
      <c r="GE180" s="1013">
        <v>2</v>
      </c>
      <c r="GF180" s="1013" t="s">
        <v>1407</v>
      </c>
      <c r="GG180" s="1013" t="s">
        <v>1407</v>
      </c>
      <c r="GH180" s="1013" t="s">
        <v>7995</v>
      </c>
      <c r="GI180" s="1013" t="s">
        <v>7974</v>
      </c>
      <c r="GJ180" s="1013" t="s">
        <v>7974</v>
      </c>
      <c r="GK180" s="1013" t="s">
        <v>7974</v>
      </c>
      <c r="GL180" s="1013" t="s">
        <v>7974</v>
      </c>
    </row>
    <row r="181" spans="1:194" hidden="1">
      <c r="A181" s="1013">
        <v>163</v>
      </c>
      <c r="B181" s="1013" t="s">
        <v>7722</v>
      </c>
      <c r="C181" s="1013">
        <v>18074480</v>
      </c>
      <c r="D181" s="1013" t="s">
        <v>7723</v>
      </c>
      <c r="E181" s="1013" t="s">
        <v>7723</v>
      </c>
      <c r="F181" s="1013" t="s">
        <v>7723</v>
      </c>
      <c r="G181" s="1013" t="s">
        <v>7723</v>
      </c>
      <c r="H181" s="1013" t="s">
        <v>7723</v>
      </c>
      <c r="I181" s="1013" t="s">
        <v>7723</v>
      </c>
      <c r="J181" s="1013" t="s">
        <v>7723</v>
      </c>
      <c r="K181" s="1024">
        <v>44218</v>
      </c>
      <c r="L181" s="1023">
        <v>4.1666666666666666E-3</v>
      </c>
      <c r="M181" s="1013" t="s">
        <v>8174</v>
      </c>
      <c r="N181" s="1013" t="s">
        <v>7724</v>
      </c>
      <c r="O181" s="1013">
        <v>101</v>
      </c>
      <c r="P181" s="1013">
        <v>208</v>
      </c>
      <c r="Q181" s="1013" t="s">
        <v>7723</v>
      </c>
      <c r="R181" s="1013" t="s">
        <v>7727</v>
      </c>
      <c r="S181" s="1013" t="s">
        <v>7724</v>
      </c>
      <c r="T181" s="1014" t="s">
        <v>7724</v>
      </c>
      <c r="U181" s="1014">
        <v>2</v>
      </c>
      <c r="V181" s="1014">
        <v>59</v>
      </c>
      <c r="W181" s="1014" t="s">
        <v>7724</v>
      </c>
      <c r="X181" s="1013">
        <v>3</v>
      </c>
      <c r="Y181" s="1013">
        <v>501</v>
      </c>
      <c r="Z181" s="1013" t="s">
        <v>7770</v>
      </c>
      <c r="AA181" s="1013" t="s">
        <v>7771</v>
      </c>
      <c r="AB181" s="1013" t="s">
        <v>7760</v>
      </c>
      <c r="AC181" s="1013" t="s">
        <v>7723</v>
      </c>
      <c r="AD181" s="1013" t="s">
        <v>7723</v>
      </c>
      <c r="AE181" s="1013">
        <v>45</v>
      </c>
      <c r="AF181" s="1013" t="s">
        <v>7723</v>
      </c>
      <c r="AG181" s="1013" t="s">
        <v>7723</v>
      </c>
      <c r="AH181" s="1013" t="s">
        <v>7724</v>
      </c>
      <c r="AI181" s="1013" t="s">
        <v>7723</v>
      </c>
      <c r="AJ181" s="1013">
        <v>19</v>
      </c>
      <c r="AK181" s="1013" t="s">
        <v>7724</v>
      </c>
      <c r="AL181" s="1013" t="s">
        <v>7724</v>
      </c>
      <c r="AM181" s="1013">
        <v>1</v>
      </c>
      <c r="AN181" s="1013">
        <v>4500</v>
      </c>
      <c r="AO181" s="1013" t="s">
        <v>7724</v>
      </c>
      <c r="AP181" s="1013" t="s">
        <v>7728</v>
      </c>
      <c r="AQ181" s="1013" t="s">
        <v>7726</v>
      </c>
      <c r="AR181" s="1013" t="s">
        <v>7724</v>
      </c>
      <c r="AS181" s="1013" t="s">
        <v>7724</v>
      </c>
      <c r="AT181" s="1013" t="s">
        <v>7724</v>
      </c>
      <c r="AU181" s="1013" t="s">
        <v>7724</v>
      </c>
      <c r="AV181" s="1013" t="s">
        <v>7724</v>
      </c>
      <c r="AW181" s="1013" t="s">
        <v>7724</v>
      </c>
      <c r="AX181" s="1013">
        <v>2</v>
      </c>
      <c r="AY181" s="1013">
        <v>4</v>
      </c>
      <c r="AZ181" s="1013">
        <v>0</v>
      </c>
      <c r="BA181" s="1013">
        <v>4</v>
      </c>
      <c r="BB181" s="1013">
        <v>5</v>
      </c>
      <c r="BC181" s="1013">
        <v>2</v>
      </c>
      <c r="BD181" s="1013">
        <v>20</v>
      </c>
      <c r="BE181" s="1023">
        <v>4.1666666666666666E-3</v>
      </c>
      <c r="BF181" s="1013" t="s">
        <v>7736</v>
      </c>
      <c r="BG181" s="1023">
        <v>4.1666666666666666E-3</v>
      </c>
      <c r="BH181" s="1024">
        <v>44218</v>
      </c>
      <c r="BI181" s="1013" t="s">
        <v>7727</v>
      </c>
      <c r="BJ181" s="1013" t="s">
        <v>7730</v>
      </c>
      <c r="BK181" s="1013">
        <v>2469</v>
      </c>
      <c r="BL181" s="1013" t="s">
        <v>7724</v>
      </c>
      <c r="BM181" s="1013" t="s">
        <v>7724</v>
      </c>
      <c r="BN181" s="1013">
        <v>113</v>
      </c>
      <c r="BO181" s="1013">
        <v>8</v>
      </c>
      <c r="BP181" s="1013">
        <v>7</v>
      </c>
      <c r="BQ181" s="1013">
        <v>4</v>
      </c>
      <c r="BR181" s="1013">
        <v>1</v>
      </c>
      <c r="BS181" s="1013">
        <v>23</v>
      </c>
      <c r="BT181" s="1013">
        <v>1</v>
      </c>
      <c r="BU181" s="1013">
        <v>3</v>
      </c>
      <c r="BV181" s="1013">
        <v>2</v>
      </c>
      <c r="BW181" s="1013">
        <v>2</v>
      </c>
      <c r="BX181" s="1013">
        <v>21</v>
      </c>
      <c r="BY181" s="1013">
        <v>21</v>
      </c>
      <c r="BZ181" s="1013">
        <v>101</v>
      </c>
      <c r="CA181" s="1013">
        <v>208</v>
      </c>
      <c r="CB181" s="1013">
        <v>29.732415</v>
      </c>
      <c r="CC181" s="1013">
        <v>-95.381862999999996</v>
      </c>
      <c r="CD181" s="1013" t="s">
        <v>8016</v>
      </c>
      <c r="CE181" s="1013">
        <v>69</v>
      </c>
      <c r="CF181" s="1013" t="s">
        <v>7724</v>
      </c>
      <c r="CG181" s="1013">
        <v>33.5</v>
      </c>
      <c r="CH181" s="1013" t="s">
        <v>8017</v>
      </c>
      <c r="CI181" s="1013" t="s">
        <v>7724</v>
      </c>
      <c r="CJ181" s="1013">
        <v>27</v>
      </c>
      <c r="CK181" s="1013">
        <v>13</v>
      </c>
      <c r="CL181" s="1013">
        <v>13.795</v>
      </c>
      <c r="CM181" s="1013">
        <v>128</v>
      </c>
      <c r="CN181" s="1013">
        <v>0.24099999999999999</v>
      </c>
      <c r="CO181" s="1013" t="s">
        <v>7724</v>
      </c>
      <c r="CP181" s="1013" t="s">
        <v>7724</v>
      </c>
      <c r="CQ181" s="1013" t="s">
        <v>7724</v>
      </c>
      <c r="CR181" s="1013" t="s">
        <v>7724</v>
      </c>
      <c r="CS181" s="1013" t="s">
        <v>7724</v>
      </c>
      <c r="CT181" s="1013" t="s">
        <v>7724</v>
      </c>
      <c r="CU181" s="1013" t="s">
        <v>7724</v>
      </c>
      <c r="CV181" s="1013" t="s">
        <v>7724</v>
      </c>
      <c r="CW181" s="1013" t="s">
        <v>7727</v>
      </c>
      <c r="CX181" s="1013" t="s">
        <v>7727</v>
      </c>
      <c r="CY181" s="1013" t="s">
        <v>7723</v>
      </c>
      <c r="CZ181" s="1013">
        <v>3</v>
      </c>
      <c r="DA181" s="1013">
        <v>9</v>
      </c>
      <c r="DB181" s="1013" t="s">
        <v>7727</v>
      </c>
      <c r="DC181" s="1013" t="s">
        <v>7759</v>
      </c>
      <c r="DD181" s="1013">
        <v>5</v>
      </c>
      <c r="DE181" s="1013" t="s">
        <v>7724</v>
      </c>
      <c r="DF181" s="1013">
        <v>20</v>
      </c>
      <c r="DG181" s="1013">
        <v>20</v>
      </c>
      <c r="DH181" s="1013">
        <v>5</v>
      </c>
      <c r="DI181" s="1013" t="s">
        <v>7724</v>
      </c>
      <c r="DJ181" s="1013">
        <v>8</v>
      </c>
      <c r="DK181" s="1013">
        <v>400</v>
      </c>
      <c r="DL181" s="1013">
        <v>138</v>
      </c>
      <c r="DM181" s="1013">
        <v>98</v>
      </c>
      <c r="DN181" s="1013">
        <v>1</v>
      </c>
      <c r="DO181" s="1013">
        <v>0</v>
      </c>
      <c r="DP181" s="1013">
        <v>0</v>
      </c>
      <c r="DQ181" s="1013">
        <v>1</v>
      </c>
      <c r="DR181" s="1013">
        <v>20</v>
      </c>
      <c r="DS181" s="1013">
        <v>5</v>
      </c>
      <c r="DT181" s="1013">
        <v>1</v>
      </c>
      <c r="DU181" s="1013">
        <v>20</v>
      </c>
      <c r="DV181" s="1013">
        <v>5</v>
      </c>
      <c r="DW181" s="1013">
        <v>7</v>
      </c>
      <c r="DX181" s="1013">
        <v>5</v>
      </c>
      <c r="DY181" s="1013">
        <v>4</v>
      </c>
      <c r="DZ181" s="1013">
        <v>1</v>
      </c>
      <c r="EA181" s="1013">
        <v>185410</v>
      </c>
      <c r="EB181" s="1013">
        <v>2019</v>
      </c>
      <c r="EC181" s="1013">
        <v>185410</v>
      </c>
      <c r="ED181" s="1013">
        <v>2.2999999999999998</v>
      </c>
      <c r="EE181" s="1013">
        <v>2.5</v>
      </c>
      <c r="EF181" s="1013">
        <v>4.8</v>
      </c>
      <c r="EG181" s="1013" t="s">
        <v>7724</v>
      </c>
      <c r="EH181" s="1013" t="s">
        <v>7724</v>
      </c>
      <c r="EI181" s="1013" t="s">
        <v>7724</v>
      </c>
      <c r="EJ181" s="1013" t="s">
        <v>7724</v>
      </c>
      <c r="EK181" s="1013" t="s">
        <v>7724</v>
      </c>
      <c r="EL181" s="1013" t="s">
        <v>7724</v>
      </c>
      <c r="EM181" s="1013" t="s">
        <v>7724</v>
      </c>
      <c r="EN181" s="1013" t="s">
        <v>7724</v>
      </c>
      <c r="EO181" s="1013" t="s">
        <v>7724</v>
      </c>
      <c r="EP181" s="1013" t="s">
        <v>7724</v>
      </c>
      <c r="EQ181" s="1013" t="s">
        <v>7724</v>
      </c>
      <c r="ER181" s="1013" t="s">
        <v>7724</v>
      </c>
      <c r="ES181" s="1013" t="s">
        <v>7724</v>
      </c>
      <c r="ET181" s="1013" t="s">
        <v>7724</v>
      </c>
      <c r="EU181" s="1013" t="s">
        <v>7724</v>
      </c>
      <c r="EV181" s="1013" t="s">
        <v>7724</v>
      </c>
      <c r="EW181" s="1013" t="s">
        <v>7724</v>
      </c>
      <c r="EX181" s="1013" t="s">
        <v>7724</v>
      </c>
      <c r="EY181" s="1013" t="s">
        <v>7724</v>
      </c>
      <c r="EZ181" s="1013" t="s">
        <v>7724</v>
      </c>
      <c r="FA181" s="1013" t="s">
        <v>7724</v>
      </c>
      <c r="FB181" s="1013" t="s">
        <v>7724</v>
      </c>
      <c r="FC181" s="1013" t="s">
        <v>7724</v>
      </c>
      <c r="FD181" s="1013" t="s">
        <v>7724</v>
      </c>
      <c r="FE181" s="1013" t="s">
        <v>7724</v>
      </c>
      <c r="FF181" s="1013" t="s">
        <v>7724</v>
      </c>
      <c r="FG181" s="1013">
        <v>0</v>
      </c>
      <c r="FH181" s="1013">
        <v>0</v>
      </c>
      <c r="FI181" s="1013">
        <v>1</v>
      </c>
      <c r="FJ181" s="1013">
        <v>0</v>
      </c>
      <c r="FK181" s="1013">
        <v>0</v>
      </c>
      <c r="FL181" s="1013">
        <v>1</v>
      </c>
      <c r="FM181" s="1013">
        <v>0</v>
      </c>
      <c r="FN181" s="1013">
        <v>15</v>
      </c>
      <c r="FO181" s="1013">
        <v>29</v>
      </c>
      <c r="FP181" s="1013">
        <v>9</v>
      </c>
      <c r="FQ181" s="1013" t="s">
        <v>7724</v>
      </c>
      <c r="FR181" s="1013" t="s">
        <v>7724</v>
      </c>
      <c r="FS181" s="1013" t="s">
        <v>7724</v>
      </c>
      <c r="FT181" s="1013" t="s">
        <v>7724</v>
      </c>
      <c r="FU181" s="1013" t="s">
        <v>7724</v>
      </c>
      <c r="FV181" s="1013" t="s">
        <v>7724</v>
      </c>
      <c r="FW181" s="1013" t="s">
        <v>7724</v>
      </c>
      <c r="FX181" s="1013" t="s">
        <v>7724</v>
      </c>
      <c r="FY181" s="1013" t="s">
        <v>7724</v>
      </c>
      <c r="FZ181" s="1013" t="s">
        <v>7724</v>
      </c>
      <c r="GA181" s="1013" t="s">
        <v>7724</v>
      </c>
      <c r="GB181" s="1013" t="s">
        <v>7724</v>
      </c>
      <c r="GC181" s="1013">
        <v>2021</v>
      </c>
      <c r="GD181" s="1013" t="s">
        <v>1407</v>
      </c>
      <c r="GE181" s="1013">
        <v>1</v>
      </c>
      <c r="GF181" s="1013" t="s">
        <v>1407</v>
      </c>
      <c r="GG181" s="1013" t="s">
        <v>1407</v>
      </c>
      <c r="GH181" s="1013">
        <v>41</v>
      </c>
      <c r="GI181" s="1013" t="s">
        <v>8006</v>
      </c>
      <c r="GJ181" s="1013" t="s">
        <v>8006</v>
      </c>
      <c r="GK181" s="1013" t="s">
        <v>8006</v>
      </c>
      <c r="GL181" s="1013" t="s">
        <v>8006</v>
      </c>
    </row>
    <row r="182" spans="1:194" hidden="1">
      <c r="A182" s="1013">
        <v>164</v>
      </c>
      <c r="B182" s="1013" t="s">
        <v>7722</v>
      </c>
      <c r="C182" s="1013">
        <v>18092242</v>
      </c>
      <c r="D182" s="1013" t="s">
        <v>7723</v>
      </c>
      <c r="E182" s="1013" t="s">
        <v>7727</v>
      </c>
      <c r="F182" s="1013" t="s">
        <v>7723</v>
      </c>
      <c r="G182" s="1013" t="s">
        <v>7723</v>
      </c>
      <c r="H182" s="1013" t="s">
        <v>7723</v>
      </c>
      <c r="I182" s="1013" t="s">
        <v>7723</v>
      </c>
      <c r="J182" s="1013" t="s">
        <v>7723</v>
      </c>
      <c r="K182" s="1024">
        <v>44204</v>
      </c>
      <c r="L182" s="1023">
        <v>0.86250000000000004</v>
      </c>
      <c r="M182" s="1013" t="s">
        <v>8175</v>
      </c>
      <c r="N182" s="1013" t="s">
        <v>7724</v>
      </c>
      <c r="O182" s="1013">
        <v>101</v>
      </c>
      <c r="P182" s="1013">
        <v>208</v>
      </c>
      <c r="Q182" s="1013" t="s">
        <v>7723</v>
      </c>
      <c r="R182" s="1013" t="s">
        <v>7727</v>
      </c>
      <c r="S182" s="1013" t="s">
        <v>7724</v>
      </c>
      <c r="T182" s="1014" t="s">
        <v>7724</v>
      </c>
      <c r="U182" s="1014">
        <v>2</v>
      </c>
      <c r="V182" s="1014">
        <v>59</v>
      </c>
      <c r="W182" s="1014" t="s">
        <v>7724</v>
      </c>
      <c r="X182" s="1013">
        <v>1</v>
      </c>
      <c r="Y182" s="1013">
        <v>300</v>
      </c>
      <c r="Z182" s="1013" t="s">
        <v>7770</v>
      </c>
      <c r="AA182" s="1013" t="s">
        <v>7771</v>
      </c>
      <c r="AB182" s="1013" t="s">
        <v>7760</v>
      </c>
      <c r="AC182" s="1013" t="s">
        <v>7723</v>
      </c>
      <c r="AD182" s="1013" t="s">
        <v>7723</v>
      </c>
      <c r="AE182" s="1013">
        <v>65</v>
      </c>
      <c r="AF182" s="1013" t="s">
        <v>7723</v>
      </c>
      <c r="AG182" s="1013" t="s">
        <v>7723</v>
      </c>
      <c r="AH182" s="1013" t="s">
        <v>7789</v>
      </c>
      <c r="AI182" s="1013" t="s">
        <v>7723</v>
      </c>
      <c r="AJ182" s="1013">
        <v>19</v>
      </c>
      <c r="AK182" s="1013" t="s">
        <v>7724</v>
      </c>
      <c r="AL182" s="1013" t="s">
        <v>7724</v>
      </c>
      <c r="AM182" s="1013">
        <v>1</v>
      </c>
      <c r="AN182" s="1013">
        <v>4200</v>
      </c>
      <c r="AO182" s="1013" t="s">
        <v>7724</v>
      </c>
      <c r="AP182" s="1013" t="s">
        <v>7728</v>
      </c>
      <c r="AQ182" s="1013" t="s">
        <v>7726</v>
      </c>
      <c r="AR182" s="1013" t="s">
        <v>7724</v>
      </c>
      <c r="AS182" s="1013" t="s">
        <v>7724</v>
      </c>
      <c r="AT182" s="1013" t="s">
        <v>7724</v>
      </c>
      <c r="AU182" s="1013" t="s">
        <v>7724</v>
      </c>
      <c r="AV182" s="1013" t="s">
        <v>7724</v>
      </c>
      <c r="AW182" s="1013" t="s">
        <v>7724</v>
      </c>
      <c r="AX182" s="1013">
        <v>11</v>
      </c>
      <c r="AY182" s="1013">
        <v>4</v>
      </c>
      <c r="AZ182" s="1013">
        <v>0</v>
      </c>
      <c r="BA182" s="1013">
        <v>3</v>
      </c>
      <c r="BB182" s="1013">
        <v>1</v>
      </c>
      <c r="BC182" s="1013">
        <v>1</v>
      </c>
      <c r="BD182" s="1013">
        <v>20</v>
      </c>
      <c r="BE182" s="1023">
        <v>0.86250000000000004</v>
      </c>
      <c r="BF182" s="1013" t="s">
        <v>7729</v>
      </c>
      <c r="BG182" s="1023">
        <v>0.86250000000000004</v>
      </c>
      <c r="BH182" s="1024">
        <v>44230</v>
      </c>
      <c r="BI182" s="1013" t="s">
        <v>7727</v>
      </c>
      <c r="BJ182" s="1013" t="s">
        <v>7730</v>
      </c>
      <c r="BK182" s="1013">
        <v>2469</v>
      </c>
      <c r="BL182" s="1013" t="s">
        <v>7724</v>
      </c>
      <c r="BM182" s="1013" t="s">
        <v>7724</v>
      </c>
      <c r="BN182" s="1013">
        <v>113</v>
      </c>
      <c r="BO182" s="1013">
        <v>8</v>
      </c>
      <c r="BP182" s="1013">
        <v>2</v>
      </c>
      <c r="BQ182" s="1013">
        <v>4</v>
      </c>
      <c r="BR182" s="1013">
        <v>21</v>
      </c>
      <c r="BS182" s="1013">
        <v>64</v>
      </c>
      <c r="BT182" s="1013">
        <v>9</v>
      </c>
      <c r="BU182" s="1013">
        <v>1</v>
      </c>
      <c r="BV182" s="1013">
        <v>2</v>
      </c>
      <c r="BW182" s="1013">
        <v>1</v>
      </c>
      <c r="BX182" s="1013">
        <v>21</v>
      </c>
      <c r="BY182" s="1013">
        <v>21</v>
      </c>
      <c r="BZ182" s="1013">
        <v>101</v>
      </c>
      <c r="CA182" s="1013">
        <v>208</v>
      </c>
      <c r="CB182" s="1013">
        <v>29.732517999999999</v>
      </c>
      <c r="CC182" s="1013">
        <v>-95.380550999999997</v>
      </c>
      <c r="CD182" s="1013" t="s">
        <v>8016</v>
      </c>
      <c r="CE182" s="1013">
        <v>69</v>
      </c>
      <c r="CF182" s="1013" t="s">
        <v>7724</v>
      </c>
      <c r="CG182" s="1013">
        <v>33.58</v>
      </c>
      <c r="CH182" s="1013" t="s">
        <v>8017</v>
      </c>
      <c r="CI182" s="1013" t="s">
        <v>7724</v>
      </c>
      <c r="CJ182" s="1013">
        <v>27</v>
      </c>
      <c r="CK182" s="1013">
        <v>13</v>
      </c>
      <c r="CL182" s="1013">
        <v>13.877000000000001</v>
      </c>
      <c r="CM182" s="1013">
        <v>128</v>
      </c>
      <c r="CN182" s="1013">
        <v>0.32100000000000001</v>
      </c>
      <c r="CO182" s="1013" t="s">
        <v>7724</v>
      </c>
      <c r="CP182" s="1013" t="s">
        <v>7724</v>
      </c>
      <c r="CQ182" s="1013" t="s">
        <v>7724</v>
      </c>
      <c r="CR182" s="1013" t="s">
        <v>7724</v>
      </c>
      <c r="CS182" s="1013" t="s">
        <v>7724</v>
      </c>
      <c r="CT182" s="1013" t="s">
        <v>7724</v>
      </c>
      <c r="CU182" s="1013" t="s">
        <v>7724</v>
      </c>
      <c r="CV182" s="1013" t="s">
        <v>7724</v>
      </c>
      <c r="CW182" s="1013" t="s">
        <v>7727</v>
      </c>
      <c r="CX182" s="1013" t="s">
        <v>7727</v>
      </c>
      <c r="CY182" s="1013" t="s">
        <v>7723</v>
      </c>
      <c r="CZ182" s="1013">
        <v>5</v>
      </c>
      <c r="DA182" s="1013">
        <v>9</v>
      </c>
      <c r="DB182" s="1013" t="s">
        <v>7727</v>
      </c>
      <c r="DC182" s="1013" t="s">
        <v>7759</v>
      </c>
      <c r="DD182" s="1013">
        <v>5</v>
      </c>
      <c r="DE182" s="1013" t="s">
        <v>7724</v>
      </c>
      <c r="DF182" s="1013">
        <v>20</v>
      </c>
      <c r="DG182" s="1013">
        <v>20</v>
      </c>
      <c r="DH182" s="1013">
        <v>5</v>
      </c>
      <c r="DI182" s="1013" t="s">
        <v>7724</v>
      </c>
      <c r="DJ182" s="1013">
        <v>8</v>
      </c>
      <c r="DK182" s="1013">
        <v>400</v>
      </c>
      <c r="DL182" s="1013">
        <v>138</v>
      </c>
      <c r="DM182" s="1013">
        <v>98</v>
      </c>
      <c r="DN182" s="1013">
        <v>1</v>
      </c>
      <c r="DO182" s="1013">
        <v>0</v>
      </c>
      <c r="DP182" s="1013">
        <v>0</v>
      </c>
      <c r="DQ182" s="1013">
        <v>1</v>
      </c>
      <c r="DR182" s="1013">
        <v>20</v>
      </c>
      <c r="DS182" s="1013">
        <v>5</v>
      </c>
      <c r="DT182" s="1013">
        <v>1</v>
      </c>
      <c r="DU182" s="1013">
        <v>20</v>
      </c>
      <c r="DV182" s="1013">
        <v>5</v>
      </c>
      <c r="DW182" s="1013">
        <v>7</v>
      </c>
      <c r="DX182" s="1013">
        <v>5</v>
      </c>
      <c r="DY182" s="1013">
        <v>4</v>
      </c>
      <c r="DZ182" s="1013">
        <v>1</v>
      </c>
      <c r="EA182" s="1013">
        <v>185410</v>
      </c>
      <c r="EB182" s="1013">
        <v>2019</v>
      </c>
      <c r="EC182" s="1013">
        <v>185410</v>
      </c>
      <c r="ED182" s="1013">
        <v>2.2999999999999998</v>
      </c>
      <c r="EE182" s="1013">
        <v>2.5</v>
      </c>
      <c r="EF182" s="1013">
        <v>4.8</v>
      </c>
      <c r="EG182" s="1013" t="s">
        <v>7724</v>
      </c>
      <c r="EH182" s="1013" t="s">
        <v>7724</v>
      </c>
      <c r="EI182" s="1013" t="s">
        <v>7724</v>
      </c>
      <c r="EJ182" s="1013" t="s">
        <v>7724</v>
      </c>
      <c r="EK182" s="1013" t="s">
        <v>7724</v>
      </c>
      <c r="EL182" s="1013" t="s">
        <v>7724</v>
      </c>
      <c r="EM182" s="1013" t="s">
        <v>7724</v>
      </c>
      <c r="EN182" s="1013" t="s">
        <v>7724</v>
      </c>
      <c r="EO182" s="1013" t="s">
        <v>7724</v>
      </c>
      <c r="EP182" s="1013" t="s">
        <v>7724</v>
      </c>
      <c r="EQ182" s="1013" t="s">
        <v>7724</v>
      </c>
      <c r="ER182" s="1013" t="s">
        <v>7724</v>
      </c>
      <c r="ES182" s="1013" t="s">
        <v>7724</v>
      </c>
      <c r="ET182" s="1013" t="s">
        <v>7724</v>
      </c>
      <c r="EU182" s="1013" t="s">
        <v>7724</v>
      </c>
      <c r="EV182" s="1013" t="s">
        <v>7724</v>
      </c>
      <c r="EW182" s="1013" t="s">
        <v>7724</v>
      </c>
      <c r="EX182" s="1013" t="s">
        <v>7724</v>
      </c>
      <c r="EY182" s="1013" t="s">
        <v>7724</v>
      </c>
      <c r="EZ182" s="1013" t="s">
        <v>7724</v>
      </c>
      <c r="FA182" s="1013" t="s">
        <v>7724</v>
      </c>
      <c r="FB182" s="1013" t="s">
        <v>7724</v>
      </c>
      <c r="FC182" s="1013" t="s">
        <v>7724</v>
      </c>
      <c r="FD182" s="1013" t="s">
        <v>7724</v>
      </c>
      <c r="FE182" s="1013" t="s">
        <v>7724</v>
      </c>
      <c r="FF182" s="1013" t="s">
        <v>7724</v>
      </c>
      <c r="FG182" s="1013">
        <v>0</v>
      </c>
      <c r="FH182" s="1013">
        <v>0</v>
      </c>
      <c r="FI182" s="1013">
        <v>0</v>
      </c>
      <c r="FJ182" s="1013">
        <v>2</v>
      </c>
      <c r="FK182" s="1013">
        <v>0</v>
      </c>
      <c r="FL182" s="1013">
        <v>0</v>
      </c>
      <c r="FM182" s="1013">
        <v>0</v>
      </c>
      <c r="FN182" s="1013">
        <v>15</v>
      </c>
      <c r="FO182" s="1013">
        <v>29</v>
      </c>
      <c r="FP182" s="1013">
        <v>6</v>
      </c>
      <c r="FQ182" s="1013" t="s">
        <v>7724</v>
      </c>
      <c r="FR182" s="1013" t="s">
        <v>7724</v>
      </c>
      <c r="FS182" s="1013" t="s">
        <v>7724</v>
      </c>
      <c r="FT182" s="1013" t="s">
        <v>7724</v>
      </c>
      <c r="FU182" s="1013" t="s">
        <v>7724</v>
      </c>
      <c r="FV182" s="1013" t="s">
        <v>7724</v>
      </c>
      <c r="FW182" s="1013" t="s">
        <v>7724</v>
      </c>
      <c r="FX182" s="1013" t="s">
        <v>7724</v>
      </c>
      <c r="FY182" s="1013" t="s">
        <v>7724</v>
      </c>
      <c r="FZ182" s="1013" t="s">
        <v>7724</v>
      </c>
      <c r="GA182" s="1013" t="s">
        <v>7724</v>
      </c>
      <c r="GB182" s="1013" t="s">
        <v>7724</v>
      </c>
      <c r="GC182" s="1013">
        <v>2021</v>
      </c>
      <c r="GD182" s="1013" t="s">
        <v>1404</v>
      </c>
      <c r="GE182" s="1013">
        <v>3</v>
      </c>
      <c r="GF182" s="1013" t="s">
        <v>1407</v>
      </c>
      <c r="GG182" s="1013" t="s">
        <v>1407</v>
      </c>
      <c r="GH182" s="1013" t="s">
        <v>8043</v>
      </c>
      <c r="GI182" s="1013" t="s">
        <v>7980</v>
      </c>
      <c r="GJ182" s="1013" t="s">
        <v>7980</v>
      </c>
      <c r="GK182" s="1013" t="s">
        <v>7980</v>
      </c>
      <c r="GL182" s="1013" t="s">
        <v>7980</v>
      </c>
    </row>
    <row r="183" spans="1:194" hidden="1">
      <c r="A183" s="1013">
        <v>165</v>
      </c>
      <c r="B183" s="1013" t="s">
        <v>7722</v>
      </c>
      <c r="C183" s="1013">
        <v>18101688</v>
      </c>
      <c r="D183" s="1013" t="s">
        <v>7723</v>
      </c>
      <c r="E183" s="1013" t="s">
        <v>7723</v>
      </c>
      <c r="F183" s="1013" t="s">
        <v>7723</v>
      </c>
      <c r="G183" s="1013" t="s">
        <v>7723</v>
      </c>
      <c r="H183" s="1013" t="s">
        <v>7723</v>
      </c>
      <c r="I183" s="1013" t="s">
        <v>7723</v>
      </c>
      <c r="J183" s="1013" t="s">
        <v>7723</v>
      </c>
      <c r="K183" s="1024">
        <v>44234</v>
      </c>
      <c r="L183" s="1023">
        <v>0.83333333333333337</v>
      </c>
      <c r="M183" s="1013" t="s">
        <v>8176</v>
      </c>
      <c r="N183" s="1013" t="s">
        <v>7744</v>
      </c>
      <c r="O183" s="1013">
        <v>101</v>
      </c>
      <c r="P183" s="1013">
        <v>208</v>
      </c>
      <c r="Q183" s="1013" t="s">
        <v>7723</v>
      </c>
      <c r="R183" s="1013" t="s">
        <v>7727</v>
      </c>
      <c r="S183" s="1013" t="s">
        <v>7724</v>
      </c>
      <c r="T183" s="1014" t="s">
        <v>7724</v>
      </c>
      <c r="U183" s="1014">
        <v>2</v>
      </c>
      <c r="V183" s="1014">
        <v>59</v>
      </c>
      <c r="W183" s="1014" t="s">
        <v>7724</v>
      </c>
      <c r="X183" s="1013">
        <v>1</v>
      </c>
      <c r="Y183" s="1013">
        <v>571</v>
      </c>
      <c r="Z183" s="1013" t="s">
        <v>7770</v>
      </c>
      <c r="AA183" s="1013" t="s">
        <v>7771</v>
      </c>
      <c r="AB183" s="1013" t="s">
        <v>7760</v>
      </c>
      <c r="AC183" s="1013" t="s">
        <v>7723</v>
      </c>
      <c r="AD183" s="1013" t="s">
        <v>7723</v>
      </c>
      <c r="AE183" s="1013">
        <v>60</v>
      </c>
      <c r="AF183" s="1013" t="s">
        <v>7723</v>
      </c>
      <c r="AG183" s="1013" t="s">
        <v>7723</v>
      </c>
      <c r="AH183" s="1013" t="s">
        <v>7739</v>
      </c>
      <c r="AI183" s="1013" t="s">
        <v>7723</v>
      </c>
      <c r="AJ183" s="1013">
        <v>19</v>
      </c>
      <c r="AK183" s="1013" t="s">
        <v>7724</v>
      </c>
      <c r="AL183" s="1013" t="s">
        <v>7724</v>
      </c>
      <c r="AM183" s="1013">
        <v>1</v>
      </c>
      <c r="AN183" s="1013">
        <v>4500</v>
      </c>
      <c r="AO183" s="1013" t="s">
        <v>7724</v>
      </c>
      <c r="AP183" s="1013" t="s">
        <v>7728</v>
      </c>
      <c r="AQ183" s="1013" t="s">
        <v>7726</v>
      </c>
      <c r="AR183" s="1013" t="s">
        <v>7724</v>
      </c>
      <c r="AS183" s="1013" t="s">
        <v>7724</v>
      </c>
      <c r="AT183" s="1013" t="s">
        <v>7724</v>
      </c>
      <c r="AU183" s="1013" t="s">
        <v>7724</v>
      </c>
      <c r="AV183" s="1013" t="s">
        <v>7724</v>
      </c>
      <c r="AW183" s="1013" t="s">
        <v>7724</v>
      </c>
      <c r="AX183" s="1013">
        <v>11</v>
      </c>
      <c r="AY183" s="1013">
        <v>4</v>
      </c>
      <c r="AZ183" s="1013">
        <v>0</v>
      </c>
      <c r="BA183" s="1013">
        <v>4</v>
      </c>
      <c r="BB183" s="1013">
        <v>1</v>
      </c>
      <c r="BC183" s="1013">
        <v>1</v>
      </c>
      <c r="BD183" s="1013">
        <v>20</v>
      </c>
      <c r="BE183" s="1023">
        <v>0.83333333333333337</v>
      </c>
      <c r="BF183" s="1013" t="s">
        <v>7736</v>
      </c>
      <c r="BG183" s="1023">
        <v>0.83680555555555558</v>
      </c>
      <c r="BH183" s="1024">
        <v>44234</v>
      </c>
      <c r="BI183" s="1013" t="s">
        <v>7727</v>
      </c>
      <c r="BJ183" s="1013" t="s">
        <v>7730</v>
      </c>
      <c r="BK183" s="1013">
        <v>2469</v>
      </c>
      <c r="BL183" s="1013" t="s">
        <v>7724</v>
      </c>
      <c r="BM183" s="1013" t="s">
        <v>7724</v>
      </c>
      <c r="BN183" s="1013">
        <v>113</v>
      </c>
      <c r="BO183" s="1013">
        <v>8</v>
      </c>
      <c r="BP183" s="1013">
        <v>2</v>
      </c>
      <c r="BQ183" s="1013">
        <v>4</v>
      </c>
      <c r="BR183" s="1013">
        <v>20</v>
      </c>
      <c r="BS183" s="1013">
        <v>64</v>
      </c>
      <c r="BT183" s="1013">
        <v>54</v>
      </c>
      <c r="BU183" s="1013">
        <v>1</v>
      </c>
      <c r="BV183" s="1013">
        <v>2</v>
      </c>
      <c r="BW183" s="1013">
        <v>1</v>
      </c>
      <c r="BX183" s="1013">
        <v>21</v>
      </c>
      <c r="BY183" s="1013">
        <v>21</v>
      </c>
      <c r="BZ183" s="1013">
        <v>101</v>
      </c>
      <c r="CA183" s="1013">
        <v>208</v>
      </c>
      <c r="CB183" s="1013">
        <v>29.732533</v>
      </c>
      <c r="CC183" s="1013">
        <v>-95.380351000000005</v>
      </c>
      <c r="CD183" s="1013" t="s">
        <v>8016</v>
      </c>
      <c r="CE183" s="1013">
        <v>69</v>
      </c>
      <c r="CF183" s="1013" t="s">
        <v>7724</v>
      </c>
      <c r="CG183" s="1013">
        <v>33.591999999999999</v>
      </c>
      <c r="CH183" s="1013" t="s">
        <v>8017</v>
      </c>
      <c r="CI183" s="1013">
        <v>4396</v>
      </c>
      <c r="CJ183" s="1013">
        <v>27</v>
      </c>
      <c r="CK183" s="1013">
        <v>13</v>
      </c>
      <c r="CL183" s="1013">
        <v>13.888999999999999</v>
      </c>
      <c r="CM183" s="1013">
        <v>128</v>
      </c>
      <c r="CN183" s="1013">
        <v>0.33300000000000002</v>
      </c>
      <c r="CO183" s="1013" t="s">
        <v>7724</v>
      </c>
      <c r="CP183" s="1013" t="s">
        <v>7724</v>
      </c>
      <c r="CQ183" s="1013" t="s">
        <v>7724</v>
      </c>
      <c r="CR183" s="1013" t="s">
        <v>7724</v>
      </c>
      <c r="CS183" s="1013" t="s">
        <v>7724</v>
      </c>
      <c r="CT183" s="1013" t="s">
        <v>7724</v>
      </c>
      <c r="CU183" s="1013" t="s">
        <v>7724</v>
      </c>
      <c r="CV183" s="1013" t="s">
        <v>7724</v>
      </c>
      <c r="CW183" s="1013" t="s">
        <v>7727</v>
      </c>
      <c r="CX183" s="1013" t="s">
        <v>7727</v>
      </c>
      <c r="CY183" s="1013" t="s">
        <v>7723</v>
      </c>
      <c r="CZ183" s="1013">
        <v>5</v>
      </c>
      <c r="DA183" s="1013">
        <v>9</v>
      </c>
      <c r="DB183" s="1013" t="s">
        <v>7727</v>
      </c>
      <c r="DC183" s="1013" t="s">
        <v>7747</v>
      </c>
      <c r="DD183" s="1013">
        <v>5</v>
      </c>
      <c r="DE183" s="1013" t="s">
        <v>7724</v>
      </c>
      <c r="DF183" s="1013">
        <v>20</v>
      </c>
      <c r="DG183" s="1013">
        <v>20</v>
      </c>
      <c r="DH183" s="1013">
        <v>5</v>
      </c>
      <c r="DI183" s="1013" t="s">
        <v>7724</v>
      </c>
      <c r="DJ183" s="1013">
        <v>8</v>
      </c>
      <c r="DK183" s="1013">
        <v>400</v>
      </c>
      <c r="DL183" s="1013">
        <v>138</v>
      </c>
      <c r="DM183" s="1013">
        <v>98</v>
      </c>
      <c r="DN183" s="1013">
        <v>1</v>
      </c>
      <c r="DO183" s="1013">
        <v>0</v>
      </c>
      <c r="DP183" s="1013">
        <v>0</v>
      </c>
      <c r="DQ183" s="1013">
        <v>1</v>
      </c>
      <c r="DR183" s="1013">
        <v>20</v>
      </c>
      <c r="DS183" s="1013">
        <v>5</v>
      </c>
      <c r="DT183" s="1013">
        <v>1</v>
      </c>
      <c r="DU183" s="1013">
        <v>20</v>
      </c>
      <c r="DV183" s="1013">
        <v>5</v>
      </c>
      <c r="DW183" s="1013">
        <v>7</v>
      </c>
      <c r="DX183" s="1013">
        <v>5</v>
      </c>
      <c r="DY183" s="1013">
        <v>4</v>
      </c>
      <c r="DZ183" s="1013">
        <v>1</v>
      </c>
      <c r="EA183" s="1013">
        <v>185410</v>
      </c>
      <c r="EB183" s="1013">
        <v>2019</v>
      </c>
      <c r="EC183" s="1013">
        <v>185410</v>
      </c>
      <c r="ED183" s="1013">
        <v>2.2999999999999998</v>
      </c>
      <c r="EE183" s="1013">
        <v>2.5</v>
      </c>
      <c r="EF183" s="1013">
        <v>4.8</v>
      </c>
      <c r="EG183" s="1013" t="s">
        <v>7724</v>
      </c>
      <c r="EH183" s="1013" t="s">
        <v>7724</v>
      </c>
      <c r="EI183" s="1013" t="s">
        <v>7724</v>
      </c>
      <c r="EJ183" s="1013" t="s">
        <v>7724</v>
      </c>
      <c r="EK183" s="1013" t="s">
        <v>7724</v>
      </c>
      <c r="EL183" s="1013" t="s">
        <v>7724</v>
      </c>
      <c r="EM183" s="1013" t="s">
        <v>7724</v>
      </c>
      <c r="EN183" s="1013" t="s">
        <v>7724</v>
      </c>
      <c r="EO183" s="1013" t="s">
        <v>7724</v>
      </c>
      <c r="EP183" s="1013" t="s">
        <v>7724</v>
      </c>
      <c r="EQ183" s="1013" t="s">
        <v>7724</v>
      </c>
      <c r="ER183" s="1013" t="s">
        <v>7724</v>
      </c>
      <c r="ES183" s="1013" t="s">
        <v>7724</v>
      </c>
      <c r="ET183" s="1013" t="s">
        <v>7724</v>
      </c>
      <c r="EU183" s="1013" t="s">
        <v>7724</v>
      </c>
      <c r="EV183" s="1013" t="s">
        <v>7724</v>
      </c>
      <c r="EW183" s="1013" t="s">
        <v>7724</v>
      </c>
      <c r="EX183" s="1013" t="s">
        <v>7724</v>
      </c>
      <c r="EY183" s="1013" t="s">
        <v>7724</v>
      </c>
      <c r="EZ183" s="1013" t="s">
        <v>7724</v>
      </c>
      <c r="FA183" s="1013" t="s">
        <v>7724</v>
      </c>
      <c r="FB183" s="1013" t="s">
        <v>7724</v>
      </c>
      <c r="FC183" s="1013" t="s">
        <v>7724</v>
      </c>
      <c r="FD183" s="1013" t="s">
        <v>7724</v>
      </c>
      <c r="FE183" s="1013" t="s">
        <v>7724</v>
      </c>
      <c r="FF183" s="1013" t="s">
        <v>7724</v>
      </c>
      <c r="FG183" s="1013">
        <v>0</v>
      </c>
      <c r="FH183" s="1013">
        <v>0</v>
      </c>
      <c r="FI183" s="1013">
        <v>0</v>
      </c>
      <c r="FJ183" s="1013">
        <v>1</v>
      </c>
      <c r="FK183" s="1013">
        <v>1</v>
      </c>
      <c r="FL183" s="1013">
        <v>0</v>
      </c>
      <c r="FM183" s="1013">
        <v>0</v>
      </c>
      <c r="FN183" s="1013">
        <v>15</v>
      </c>
      <c r="FO183" s="1013">
        <v>29</v>
      </c>
      <c r="FP183" s="1013">
        <v>6</v>
      </c>
      <c r="FQ183" s="1013" t="s">
        <v>7724</v>
      </c>
      <c r="FR183" s="1013" t="s">
        <v>7724</v>
      </c>
      <c r="FS183" s="1013" t="s">
        <v>7724</v>
      </c>
      <c r="FT183" s="1013" t="s">
        <v>7724</v>
      </c>
      <c r="FU183" s="1013" t="s">
        <v>7724</v>
      </c>
      <c r="FV183" s="1013" t="s">
        <v>7724</v>
      </c>
      <c r="FW183" s="1013" t="s">
        <v>7724</v>
      </c>
      <c r="FX183" s="1013" t="s">
        <v>7724</v>
      </c>
      <c r="FY183" s="1013" t="s">
        <v>7724</v>
      </c>
      <c r="FZ183" s="1013" t="s">
        <v>7724</v>
      </c>
      <c r="GA183" s="1013" t="s">
        <v>7724</v>
      </c>
      <c r="GB183" s="1013" t="s">
        <v>7724</v>
      </c>
      <c r="GC183" s="1013">
        <v>2021</v>
      </c>
      <c r="GD183" s="1013" t="s">
        <v>1407</v>
      </c>
      <c r="GE183" s="1013">
        <v>2</v>
      </c>
      <c r="GF183" s="1013" t="s">
        <v>1407</v>
      </c>
      <c r="GG183" s="1013" t="s">
        <v>1407</v>
      </c>
      <c r="GH183" s="1013" t="s">
        <v>8023</v>
      </c>
      <c r="GI183" s="1013" t="s">
        <v>7974</v>
      </c>
      <c r="GJ183" s="1013" t="s">
        <v>7974</v>
      </c>
      <c r="GK183" s="1013" t="s">
        <v>7974</v>
      </c>
      <c r="GL183" s="1013" t="s">
        <v>7974</v>
      </c>
    </row>
    <row r="184" spans="1:194" hidden="1">
      <c r="A184" s="1013">
        <v>170</v>
      </c>
      <c r="B184" s="1013" t="s">
        <v>7722</v>
      </c>
      <c r="C184" s="1013">
        <v>18230406</v>
      </c>
      <c r="D184" s="1013" t="s">
        <v>7723</v>
      </c>
      <c r="E184" s="1013" t="s">
        <v>7723</v>
      </c>
      <c r="F184" s="1013" t="s">
        <v>7723</v>
      </c>
      <c r="G184" s="1013" t="s">
        <v>7723</v>
      </c>
      <c r="H184" s="1013" t="s">
        <v>7723</v>
      </c>
      <c r="I184" s="1013" t="s">
        <v>7723</v>
      </c>
      <c r="J184" s="1013" t="s">
        <v>7723</v>
      </c>
      <c r="K184" s="1024">
        <v>44311</v>
      </c>
      <c r="L184" s="1023">
        <v>0.54166666666666663</v>
      </c>
      <c r="M184" s="1013" t="s">
        <v>8177</v>
      </c>
      <c r="N184" s="1013" t="s">
        <v>7744</v>
      </c>
      <c r="O184" s="1013">
        <v>101</v>
      </c>
      <c r="P184" s="1013">
        <v>208</v>
      </c>
      <c r="Q184" s="1013" t="s">
        <v>7723</v>
      </c>
      <c r="R184" s="1013" t="s">
        <v>7727</v>
      </c>
      <c r="S184" s="1013" t="s">
        <v>7724</v>
      </c>
      <c r="T184" s="1014" t="s">
        <v>7724</v>
      </c>
      <c r="U184" s="1014">
        <v>2</v>
      </c>
      <c r="V184" s="1014">
        <v>59</v>
      </c>
      <c r="W184" s="1014" t="s">
        <v>7724</v>
      </c>
      <c r="X184" s="1013">
        <v>1</v>
      </c>
      <c r="Y184" s="1013">
        <v>300</v>
      </c>
      <c r="Z184" s="1013" t="s">
        <v>7770</v>
      </c>
      <c r="AA184" s="1013" t="s">
        <v>7771</v>
      </c>
      <c r="AB184" s="1013" t="s">
        <v>7760</v>
      </c>
      <c r="AC184" s="1013" t="s">
        <v>7723</v>
      </c>
      <c r="AD184" s="1013" t="s">
        <v>7723</v>
      </c>
      <c r="AE184" s="1013">
        <v>70</v>
      </c>
      <c r="AF184" s="1013" t="s">
        <v>7723</v>
      </c>
      <c r="AG184" s="1013" t="s">
        <v>7723</v>
      </c>
      <c r="AH184" s="1013" t="s">
        <v>7724</v>
      </c>
      <c r="AI184" s="1013" t="s">
        <v>7723</v>
      </c>
      <c r="AJ184" s="1013">
        <v>19</v>
      </c>
      <c r="AK184" s="1013" t="s">
        <v>7724</v>
      </c>
      <c r="AL184" s="1013" t="s">
        <v>7724</v>
      </c>
      <c r="AM184" s="1013">
        <v>1</v>
      </c>
      <c r="AN184" s="1013" t="s">
        <v>7724</v>
      </c>
      <c r="AO184" s="1013" t="s">
        <v>7724</v>
      </c>
      <c r="AP184" s="1013" t="s">
        <v>7728</v>
      </c>
      <c r="AQ184" s="1013" t="s">
        <v>7724</v>
      </c>
      <c r="AR184" s="1013" t="s">
        <v>7724</v>
      </c>
      <c r="AS184" s="1013" t="s">
        <v>7724</v>
      </c>
      <c r="AT184" s="1013" t="s">
        <v>7724</v>
      </c>
      <c r="AU184" s="1013" t="s">
        <v>7724</v>
      </c>
      <c r="AV184" s="1013" t="s">
        <v>7724</v>
      </c>
      <c r="AW184" s="1013" t="s">
        <v>7724</v>
      </c>
      <c r="AX184" s="1013">
        <v>11</v>
      </c>
      <c r="AY184" s="1013">
        <v>1</v>
      </c>
      <c r="AZ184" s="1013">
        <v>0</v>
      </c>
      <c r="BA184" s="1013">
        <v>4</v>
      </c>
      <c r="BB184" s="1013">
        <v>1</v>
      </c>
      <c r="BC184" s="1013">
        <v>1</v>
      </c>
      <c r="BD184" s="1013">
        <v>20</v>
      </c>
      <c r="BE184" s="1023">
        <v>0.59652777777777777</v>
      </c>
      <c r="BF184" s="1013" t="s">
        <v>8178</v>
      </c>
      <c r="BG184" s="1023">
        <v>0.59652777777777777</v>
      </c>
      <c r="BH184" s="1024">
        <v>44311</v>
      </c>
      <c r="BI184" s="1013" t="s">
        <v>7727</v>
      </c>
      <c r="BJ184" s="1013" t="s">
        <v>7730</v>
      </c>
      <c r="BK184" s="1013">
        <v>2469</v>
      </c>
      <c r="BL184" s="1013" t="s">
        <v>7724</v>
      </c>
      <c r="BM184" s="1013" t="s">
        <v>7724</v>
      </c>
      <c r="BN184" s="1013">
        <v>113</v>
      </c>
      <c r="BO184" s="1013">
        <v>8</v>
      </c>
      <c r="BP184" s="1013">
        <v>2</v>
      </c>
      <c r="BQ184" s="1013">
        <v>4</v>
      </c>
      <c r="BR184" s="1013">
        <v>20</v>
      </c>
      <c r="BS184" s="1013">
        <v>64</v>
      </c>
      <c r="BT184" s="1013">
        <v>54</v>
      </c>
      <c r="BU184" s="1013">
        <v>1</v>
      </c>
      <c r="BV184" s="1013">
        <v>2</v>
      </c>
      <c r="BW184" s="1013">
        <v>1</v>
      </c>
      <c r="BX184" s="1013">
        <v>21</v>
      </c>
      <c r="BY184" s="1013">
        <v>21</v>
      </c>
      <c r="BZ184" s="1013">
        <v>101</v>
      </c>
      <c r="CA184" s="1013">
        <v>208</v>
      </c>
      <c r="CB184" s="1013">
        <v>29.732408</v>
      </c>
      <c r="CC184" s="1013">
        <v>-95.381946999999997</v>
      </c>
      <c r="CD184" s="1013" t="s">
        <v>8016</v>
      </c>
      <c r="CE184" s="1013">
        <v>69</v>
      </c>
      <c r="CF184" s="1013" t="s">
        <v>7724</v>
      </c>
      <c r="CG184" s="1013">
        <v>33.494999999999997</v>
      </c>
      <c r="CH184" s="1013" t="s">
        <v>8017</v>
      </c>
      <c r="CI184" s="1013" t="s">
        <v>7724</v>
      </c>
      <c r="CJ184" s="1013">
        <v>27</v>
      </c>
      <c r="CK184" s="1013">
        <v>13</v>
      </c>
      <c r="CL184" s="1013">
        <v>13.789</v>
      </c>
      <c r="CM184" s="1013">
        <v>128</v>
      </c>
      <c r="CN184" s="1013">
        <v>0.23599999999999999</v>
      </c>
      <c r="CO184" s="1013" t="s">
        <v>7724</v>
      </c>
      <c r="CP184" s="1013" t="s">
        <v>7724</v>
      </c>
      <c r="CQ184" s="1013" t="s">
        <v>7724</v>
      </c>
      <c r="CR184" s="1013" t="s">
        <v>7724</v>
      </c>
      <c r="CS184" s="1013" t="s">
        <v>7724</v>
      </c>
      <c r="CT184" s="1013" t="s">
        <v>7724</v>
      </c>
      <c r="CU184" s="1013" t="s">
        <v>7724</v>
      </c>
      <c r="CV184" s="1013" t="s">
        <v>7724</v>
      </c>
      <c r="CW184" s="1013" t="s">
        <v>7727</v>
      </c>
      <c r="CX184" s="1013" t="s">
        <v>7727</v>
      </c>
      <c r="CY184" s="1013" t="s">
        <v>7723</v>
      </c>
      <c r="CZ184" s="1013">
        <v>5</v>
      </c>
      <c r="DA184" s="1013">
        <v>9</v>
      </c>
      <c r="DB184" s="1013" t="s">
        <v>7727</v>
      </c>
      <c r="DC184" s="1013" t="s">
        <v>7747</v>
      </c>
      <c r="DD184" s="1013">
        <v>5</v>
      </c>
      <c r="DE184" s="1013" t="s">
        <v>7724</v>
      </c>
      <c r="DF184" s="1013">
        <v>20</v>
      </c>
      <c r="DG184" s="1013">
        <v>20</v>
      </c>
      <c r="DH184" s="1013">
        <v>5</v>
      </c>
      <c r="DI184" s="1013" t="s">
        <v>7724</v>
      </c>
      <c r="DJ184" s="1013">
        <v>8</v>
      </c>
      <c r="DK184" s="1013">
        <v>400</v>
      </c>
      <c r="DL184" s="1013">
        <v>138</v>
      </c>
      <c r="DM184" s="1013">
        <v>98</v>
      </c>
      <c r="DN184" s="1013">
        <v>1</v>
      </c>
      <c r="DO184" s="1013">
        <v>0</v>
      </c>
      <c r="DP184" s="1013">
        <v>0</v>
      </c>
      <c r="DQ184" s="1013">
        <v>1</v>
      </c>
      <c r="DR184" s="1013">
        <v>20</v>
      </c>
      <c r="DS184" s="1013">
        <v>5</v>
      </c>
      <c r="DT184" s="1013">
        <v>1</v>
      </c>
      <c r="DU184" s="1013">
        <v>20</v>
      </c>
      <c r="DV184" s="1013">
        <v>5</v>
      </c>
      <c r="DW184" s="1013">
        <v>7</v>
      </c>
      <c r="DX184" s="1013">
        <v>5</v>
      </c>
      <c r="DY184" s="1013">
        <v>4</v>
      </c>
      <c r="DZ184" s="1013">
        <v>1</v>
      </c>
      <c r="EA184" s="1013">
        <v>185410</v>
      </c>
      <c r="EB184" s="1013">
        <v>2019</v>
      </c>
      <c r="EC184" s="1013">
        <v>185410</v>
      </c>
      <c r="ED184" s="1013">
        <v>2.2999999999999998</v>
      </c>
      <c r="EE184" s="1013">
        <v>2.5</v>
      </c>
      <c r="EF184" s="1013">
        <v>4.8</v>
      </c>
      <c r="EG184" s="1013" t="s">
        <v>7724</v>
      </c>
      <c r="EH184" s="1013" t="s">
        <v>7724</v>
      </c>
      <c r="EI184" s="1013" t="s">
        <v>7724</v>
      </c>
      <c r="EJ184" s="1013" t="s">
        <v>7724</v>
      </c>
      <c r="EK184" s="1013" t="s">
        <v>7724</v>
      </c>
      <c r="EL184" s="1013" t="s">
        <v>7724</v>
      </c>
      <c r="EM184" s="1013" t="s">
        <v>7724</v>
      </c>
      <c r="EN184" s="1013" t="s">
        <v>7724</v>
      </c>
      <c r="EO184" s="1013" t="s">
        <v>7724</v>
      </c>
      <c r="EP184" s="1013" t="s">
        <v>7724</v>
      </c>
      <c r="EQ184" s="1013" t="s">
        <v>7724</v>
      </c>
      <c r="ER184" s="1013" t="s">
        <v>7724</v>
      </c>
      <c r="ES184" s="1013" t="s">
        <v>7724</v>
      </c>
      <c r="ET184" s="1013" t="s">
        <v>7724</v>
      </c>
      <c r="EU184" s="1013" t="s">
        <v>7724</v>
      </c>
      <c r="EV184" s="1013" t="s">
        <v>7724</v>
      </c>
      <c r="EW184" s="1013" t="s">
        <v>7724</v>
      </c>
      <c r="EX184" s="1013" t="s">
        <v>7724</v>
      </c>
      <c r="EY184" s="1013" t="s">
        <v>7724</v>
      </c>
      <c r="EZ184" s="1013" t="s">
        <v>7724</v>
      </c>
      <c r="FA184" s="1013" t="s">
        <v>7724</v>
      </c>
      <c r="FB184" s="1013" t="s">
        <v>7724</v>
      </c>
      <c r="FC184" s="1013" t="s">
        <v>7724</v>
      </c>
      <c r="FD184" s="1013" t="s">
        <v>7724</v>
      </c>
      <c r="FE184" s="1013" t="s">
        <v>7724</v>
      </c>
      <c r="FF184" s="1013" t="s">
        <v>7724</v>
      </c>
      <c r="FG184" s="1013">
        <v>0</v>
      </c>
      <c r="FH184" s="1013">
        <v>0</v>
      </c>
      <c r="FI184" s="1013">
        <v>0</v>
      </c>
      <c r="FJ184" s="1013">
        <v>5</v>
      </c>
      <c r="FK184" s="1013">
        <v>1</v>
      </c>
      <c r="FL184" s="1013">
        <v>0</v>
      </c>
      <c r="FM184" s="1013">
        <v>0</v>
      </c>
      <c r="FN184" s="1013">
        <v>15</v>
      </c>
      <c r="FO184" s="1013">
        <v>29</v>
      </c>
      <c r="FP184" s="1013">
        <v>6</v>
      </c>
      <c r="FQ184" s="1013" t="s">
        <v>7724</v>
      </c>
      <c r="FR184" s="1013" t="s">
        <v>7724</v>
      </c>
      <c r="FS184" s="1013" t="s">
        <v>7724</v>
      </c>
      <c r="FT184" s="1013" t="s">
        <v>7724</v>
      </c>
      <c r="FU184" s="1013" t="s">
        <v>7724</v>
      </c>
      <c r="FV184" s="1013" t="s">
        <v>7724</v>
      </c>
      <c r="FW184" s="1013" t="s">
        <v>7724</v>
      </c>
      <c r="FX184" s="1013" t="s">
        <v>7724</v>
      </c>
      <c r="FY184" s="1013" t="s">
        <v>7724</v>
      </c>
      <c r="FZ184" s="1013" t="s">
        <v>7724</v>
      </c>
      <c r="GA184" s="1013" t="s">
        <v>7724</v>
      </c>
      <c r="GB184" s="1013" t="s">
        <v>7724</v>
      </c>
      <c r="GC184" s="1013">
        <v>2021</v>
      </c>
      <c r="GD184" s="1013" t="s">
        <v>1407</v>
      </c>
      <c r="GE184" s="1013">
        <v>2</v>
      </c>
      <c r="GF184" s="1013" t="s">
        <v>1407</v>
      </c>
      <c r="GG184" s="1013" t="s">
        <v>1407</v>
      </c>
      <c r="GH184" s="1013" t="s">
        <v>8067</v>
      </c>
      <c r="GI184" s="1013" t="s">
        <v>7974</v>
      </c>
      <c r="GJ184" s="1013" t="s">
        <v>7974</v>
      </c>
      <c r="GK184" s="1013" t="s">
        <v>8179</v>
      </c>
      <c r="GL184" s="1013" t="s">
        <v>7974</v>
      </c>
    </row>
    <row r="185" spans="1:194" hidden="1">
      <c r="A185" s="1013">
        <v>171</v>
      </c>
      <c r="B185" s="1013" t="s">
        <v>7722</v>
      </c>
      <c r="C185" s="1013">
        <v>18231181</v>
      </c>
      <c r="D185" s="1013" t="s">
        <v>7723</v>
      </c>
      <c r="E185" s="1013" t="s">
        <v>7723</v>
      </c>
      <c r="F185" s="1013" t="s">
        <v>7723</v>
      </c>
      <c r="G185" s="1013" t="s">
        <v>7723</v>
      </c>
      <c r="H185" s="1013" t="s">
        <v>7723</v>
      </c>
      <c r="I185" s="1013" t="s">
        <v>7723</v>
      </c>
      <c r="J185" s="1013" t="s">
        <v>7723</v>
      </c>
      <c r="K185" s="1024">
        <v>44315</v>
      </c>
      <c r="L185" s="1023">
        <v>0.33333333333333331</v>
      </c>
      <c r="M185" s="1013" t="s">
        <v>8180</v>
      </c>
      <c r="N185" s="1013" t="s">
        <v>7744</v>
      </c>
      <c r="O185" s="1013">
        <v>101</v>
      </c>
      <c r="P185" s="1013">
        <v>208</v>
      </c>
      <c r="Q185" s="1013" t="s">
        <v>7723</v>
      </c>
      <c r="R185" s="1013" t="s">
        <v>7727</v>
      </c>
      <c r="S185" s="1013" t="s">
        <v>7724</v>
      </c>
      <c r="T185" s="1014" t="s">
        <v>7724</v>
      </c>
      <c r="U185" s="1014">
        <v>2</v>
      </c>
      <c r="V185" s="1014">
        <v>59</v>
      </c>
      <c r="W185" s="1014" t="s">
        <v>7724</v>
      </c>
      <c r="X185" s="1013">
        <v>1</v>
      </c>
      <c r="Y185" s="1013">
        <v>200</v>
      </c>
      <c r="Z185" s="1013" t="s">
        <v>7770</v>
      </c>
      <c r="AA185" s="1013" t="s">
        <v>7771</v>
      </c>
      <c r="AB185" s="1013" t="s">
        <v>7760</v>
      </c>
      <c r="AC185" s="1013" t="s">
        <v>7723</v>
      </c>
      <c r="AD185" s="1013" t="s">
        <v>7723</v>
      </c>
      <c r="AE185" s="1013">
        <v>60</v>
      </c>
      <c r="AF185" s="1013" t="s">
        <v>7723</v>
      </c>
      <c r="AG185" s="1013" t="s">
        <v>7723</v>
      </c>
      <c r="AH185" s="1013" t="s">
        <v>8181</v>
      </c>
      <c r="AI185" s="1013" t="s">
        <v>7723</v>
      </c>
      <c r="AJ185" s="1013">
        <v>19</v>
      </c>
      <c r="AK185" s="1013" t="s">
        <v>7724</v>
      </c>
      <c r="AL185" s="1013" t="s">
        <v>7724</v>
      </c>
      <c r="AM185" s="1013">
        <v>1</v>
      </c>
      <c r="AN185" s="1013">
        <v>4200</v>
      </c>
      <c r="AO185" s="1013" t="s">
        <v>7724</v>
      </c>
      <c r="AP185" s="1013" t="s">
        <v>7728</v>
      </c>
      <c r="AQ185" s="1013" t="s">
        <v>7726</v>
      </c>
      <c r="AR185" s="1013" t="s">
        <v>7724</v>
      </c>
      <c r="AS185" s="1013" t="s">
        <v>7724</v>
      </c>
      <c r="AT185" s="1013" t="s">
        <v>7724</v>
      </c>
      <c r="AU185" s="1013" t="s">
        <v>7724</v>
      </c>
      <c r="AV185" s="1013" t="s">
        <v>7724</v>
      </c>
      <c r="AW185" s="1013" t="s">
        <v>7724</v>
      </c>
      <c r="AX185" s="1013">
        <v>12</v>
      </c>
      <c r="AY185" s="1013">
        <v>1</v>
      </c>
      <c r="AZ185" s="1013">
        <v>0</v>
      </c>
      <c r="BA185" s="1013">
        <v>4</v>
      </c>
      <c r="BB185" s="1013">
        <v>1</v>
      </c>
      <c r="BC185" s="1013">
        <v>1</v>
      </c>
      <c r="BD185" s="1013">
        <v>1</v>
      </c>
      <c r="BE185" s="1023">
        <v>0.3576388888888889</v>
      </c>
      <c r="BF185" s="1013" t="s">
        <v>7729</v>
      </c>
      <c r="BG185" s="1023">
        <v>0.3611111111111111</v>
      </c>
      <c r="BH185" s="1024">
        <v>44315</v>
      </c>
      <c r="BI185" s="1013" t="s">
        <v>7727</v>
      </c>
      <c r="BJ185" s="1013" t="s">
        <v>7730</v>
      </c>
      <c r="BK185" s="1013">
        <v>2469</v>
      </c>
      <c r="BL185" s="1013" t="s">
        <v>7724</v>
      </c>
      <c r="BM185" s="1013" t="s">
        <v>7724</v>
      </c>
      <c r="BN185" s="1013">
        <v>113</v>
      </c>
      <c r="BO185" s="1013">
        <v>8</v>
      </c>
      <c r="BP185" s="1013">
        <v>2</v>
      </c>
      <c r="BQ185" s="1013">
        <v>4</v>
      </c>
      <c r="BR185" s="1013">
        <v>20</v>
      </c>
      <c r="BS185" s="1013">
        <v>64</v>
      </c>
      <c r="BT185" s="1013">
        <v>54</v>
      </c>
      <c r="BU185" s="1013">
        <v>1</v>
      </c>
      <c r="BV185" s="1013">
        <v>2</v>
      </c>
      <c r="BW185" s="1013">
        <v>1</v>
      </c>
      <c r="BX185" s="1013">
        <v>21</v>
      </c>
      <c r="BY185" s="1013">
        <v>21</v>
      </c>
      <c r="BZ185" s="1013">
        <v>101</v>
      </c>
      <c r="CA185" s="1013">
        <v>208</v>
      </c>
      <c r="CB185" s="1013">
        <v>29.732419</v>
      </c>
      <c r="CC185" s="1013">
        <v>-95.381810000000002</v>
      </c>
      <c r="CD185" s="1013" t="s">
        <v>8016</v>
      </c>
      <c r="CE185" s="1013">
        <v>69</v>
      </c>
      <c r="CF185" s="1013" t="s">
        <v>7724</v>
      </c>
      <c r="CG185" s="1013">
        <v>33.503999999999998</v>
      </c>
      <c r="CH185" s="1013" t="s">
        <v>8017</v>
      </c>
      <c r="CI185" s="1013" t="s">
        <v>7724</v>
      </c>
      <c r="CJ185" s="1013">
        <v>27</v>
      </c>
      <c r="CK185" s="1013">
        <v>13</v>
      </c>
      <c r="CL185" s="1013">
        <v>13.798</v>
      </c>
      <c r="CM185" s="1013">
        <v>128</v>
      </c>
      <c r="CN185" s="1013">
        <v>0.245</v>
      </c>
      <c r="CO185" s="1013" t="s">
        <v>7724</v>
      </c>
      <c r="CP185" s="1013" t="s">
        <v>7724</v>
      </c>
      <c r="CQ185" s="1013" t="s">
        <v>7724</v>
      </c>
      <c r="CR185" s="1013" t="s">
        <v>7724</v>
      </c>
      <c r="CS185" s="1013" t="s">
        <v>7724</v>
      </c>
      <c r="CT185" s="1013" t="s">
        <v>7724</v>
      </c>
      <c r="CU185" s="1013" t="s">
        <v>7724</v>
      </c>
      <c r="CV185" s="1013" t="s">
        <v>7724</v>
      </c>
      <c r="CW185" s="1013" t="s">
        <v>7727</v>
      </c>
      <c r="CX185" s="1013" t="s">
        <v>7727</v>
      </c>
      <c r="CY185" s="1013" t="s">
        <v>7723</v>
      </c>
      <c r="CZ185" s="1013">
        <v>2</v>
      </c>
      <c r="DA185" s="1013">
        <v>9</v>
      </c>
      <c r="DB185" s="1013" t="s">
        <v>7727</v>
      </c>
      <c r="DC185" s="1013" t="s">
        <v>7740</v>
      </c>
      <c r="DD185" s="1013">
        <v>5</v>
      </c>
      <c r="DE185" s="1013" t="s">
        <v>7724</v>
      </c>
      <c r="DF185" s="1013">
        <v>20</v>
      </c>
      <c r="DG185" s="1013">
        <v>20</v>
      </c>
      <c r="DH185" s="1013">
        <v>5</v>
      </c>
      <c r="DI185" s="1013" t="s">
        <v>7724</v>
      </c>
      <c r="DJ185" s="1013">
        <v>8</v>
      </c>
      <c r="DK185" s="1013">
        <v>400</v>
      </c>
      <c r="DL185" s="1013">
        <v>138</v>
      </c>
      <c r="DM185" s="1013">
        <v>98</v>
      </c>
      <c r="DN185" s="1013">
        <v>1</v>
      </c>
      <c r="DO185" s="1013">
        <v>0</v>
      </c>
      <c r="DP185" s="1013">
        <v>0</v>
      </c>
      <c r="DQ185" s="1013">
        <v>1</v>
      </c>
      <c r="DR185" s="1013">
        <v>20</v>
      </c>
      <c r="DS185" s="1013">
        <v>5</v>
      </c>
      <c r="DT185" s="1013">
        <v>1</v>
      </c>
      <c r="DU185" s="1013">
        <v>20</v>
      </c>
      <c r="DV185" s="1013">
        <v>5</v>
      </c>
      <c r="DW185" s="1013">
        <v>7</v>
      </c>
      <c r="DX185" s="1013">
        <v>5</v>
      </c>
      <c r="DY185" s="1013">
        <v>4</v>
      </c>
      <c r="DZ185" s="1013">
        <v>1</v>
      </c>
      <c r="EA185" s="1013">
        <v>185410</v>
      </c>
      <c r="EB185" s="1013">
        <v>2019</v>
      </c>
      <c r="EC185" s="1013">
        <v>185410</v>
      </c>
      <c r="ED185" s="1013">
        <v>2.2999999999999998</v>
      </c>
      <c r="EE185" s="1013">
        <v>2.5</v>
      </c>
      <c r="EF185" s="1013">
        <v>4.8</v>
      </c>
      <c r="EG185" s="1013" t="s">
        <v>7724</v>
      </c>
      <c r="EH185" s="1013" t="s">
        <v>7724</v>
      </c>
      <c r="EI185" s="1013" t="s">
        <v>7724</v>
      </c>
      <c r="EJ185" s="1013" t="s">
        <v>7724</v>
      </c>
      <c r="EK185" s="1013" t="s">
        <v>7724</v>
      </c>
      <c r="EL185" s="1013" t="s">
        <v>7724</v>
      </c>
      <c r="EM185" s="1013" t="s">
        <v>7724</v>
      </c>
      <c r="EN185" s="1013" t="s">
        <v>7724</v>
      </c>
      <c r="EO185" s="1013" t="s">
        <v>7724</v>
      </c>
      <c r="EP185" s="1013" t="s">
        <v>7724</v>
      </c>
      <c r="EQ185" s="1013" t="s">
        <v>7724</v>
      </c>
      <c r="ER185" s="1013" t="s">
        <v>7724</v>
      </c>
      <c r="ES185" s="1013" t="s">
        <v>7724</v>
      </c>
      <c r="ET185" s="1013" t="s">
        <v>7724</v>
      </c>
      <c r="EU185" s="1013" t="s">
        <v>7724</v>
      </c>
      <c r="EV185" s="1013" t="s">
        <v>7724</v>
      </c>
      <c r="EW185" s="1013" t="s">
        <v>7724</v>
      </c>
      <c r="EX185" s="1013" t="s">
        <v>7724</v>
      </c>
      <c r="EY185" s="1013" t="s">
        <v>7724</v>
      </c>
      <c r="EZ185" s="1013" t="s">
        <v>7724</v>
      </c>
      <c r="FA185" s="1013" t="s">
        <v>7724</v>
      </c>
      <c r="FB185" s="1013" t="s">
        <v>7724</v>
      </c>
      <c r="FC185" s="1013" t="s">
        <v>7724</v>
      </c>
      <c r="FD185" s="1013" t="s">
        <v>7724</v>
      </c>
      <c r="FE185" s="1013" t="s">
        <v>7724</v>
      </c>
      <c r="FF185" s="1013" t="s">
        <v>7724</v>
      </c>
      <c r="FG185" s="1013">
        <v>0</v>
      </c>
      <c r="FH185" s="1013">
        <v>1</v>
      </c>
      <c r="FI185" s="1013">
        <v>0</v>
      </c>
      <c r="FJ185" s="1013">
        <v>1</v>
      </c>
      <c r="FK185" s="1013">
        <v>1</v>
      </c>
      <c r="FL185" s="1013">
        <v>1</v>
      </c>
      <c r="FM185" s="1013">
        <v>0</v>
      </c>
      <c r="FN185" s="1013">
        <v>15</v>
      </c>
      <c r="FO185" s="1013">
        <v>29</v>
      </c>
      <c r="FP185" s="1013">
        <v>6</v>
      </c>
      <c r="FQ185" s="1013" t="s">
        <v>7724</v>
      </c>
      <c r="FR185" s="1013" t="s">
        <v>7724</v>
      </c>
      <c r="FS185" s="1013" t="s">
        <v>7724</v>
      </c>
      <c r="FT185" s="1013" t="s">
        <v>7724</v>
      </c>
      <c r="FU185" s="1013" t="s">
        <v>7724</v>
      </c>
      <c r="FV185" s="1013" t="s">
        <v>7724</v>
      </c>
      <c r="FW185" s="1013" t="s">
        <v>7724</v>
      </c>
      <c r="FX185" s="1013" t="s">
        <v>7724</v>
      </c>
      <c r="FY185" s="1013" t="s">
        <v>7724</v>
      </c>
      <c r="FZ185" s="1013" t="s">
        <v>7724</v>
      </c>
      <c r="GA185" s="1013" t="s">
        <v>7724</v>
      </c>
      <c r="GB185" s="1013" t="s">
        <v>7724</v>
      </c>
      <c r="GC185" s="1013">
        <v>2021</v>
      </c>
      <c r="GD185" s="1013" t="s">
        <v>1407</v>
      </c>
      <c r="GE185" s="1013">
        <v>3</v>
      </c>
      <c r="GF185" s="1013" t="s">
        <v>1407</v>
      </c>
      <c r="GG185" s="1013" t="s">
        <v>1407</v>
      </c>
      <c r="GH185" s="1013" t="s">
        <v>8182</v>
      </c>
      <c r="GI185" s="1013" t="s">
        <v>7980</v>
      </c>
      <c r="GJ185" s="1013" t="s">
        <v>7980</v>
      </c>
      <c r="GK185" s="1013" t="s">
        <v>8183</v>
      </c>
      <c r="GL185" s="1013" t="s">
        <v>7980</v>
      </c>
    </row>
    <row r="186" spans="1:194" hidden="1">
      <c r="A186" s="1013">
        <v>172</v>
      </c>
      <c r="B186" s="1013" t="s">
        <v>7722</v>
      </c>
      <c r="C186" s="1013">
        <v>18250620</v>
      </c>
      <c r="D186" s="1013" t="s">
        <v>7723</v>
      </c>
      <c r="E186" s="1013" t="s">
        <v>7723</v>
      </c>
      <c r="F186" s="1013" t="s">
        <v>7723</v>
      </c>
      <c r="G186" s="1013" t="s">
        <v>7723</v>
      </c>
      <c r="H186" s="1013" t="s">
        <v>7723</v>
      </c>
      <c r="I186" s="1013" t="s">
        <v>7723</v>
      </c>
      <c r="J186" s="1013" t="s">
        <v>7723</v>
      </c>
      <c r="K186" s="1024">
        <v>44327</v>
      </c>
      <c r="L186" s="1023">
        <v>0.7270833333333333</v>
      </c>
      <c r="M186" s="1013" t="s">
        <v>8184</v>
      </c>
      <c r="N186" s="1013" t="s">
        <v>7724</v>
      </c>
      <c r="O186" s="1013">
        <v>101</v>
      </c>
      <c r="P186" s="1013">
        <v>208</v>
      </c>
      <c r="Q186" s="1013" t="s">
        <v>7723</v>
      </c>
      <c r="R186" s="1013" t="s">
        <v>7727</v>
      </c>
      <c r="S186" s="1013" t="s">
        <v>7724</v>
      </c>
      <c r="T186" s="1014" t="s">
        <v>7724</v>
      </c>
      <c r="U186" s="1014">
        <v>2</v>
      </c>
      <c r="V186" s="1014">
        <v>59</v>
      </c>
      <c r="W186" s="1014" t="s">
        <v>7724</v>
      </c>
      <c r="X186" s="1013">
        <v>1</v>
      </c>
      <c r="Y186" s="1013">
        <v>500</v>
      </c>
      <c r="Z186" s="1013" t="s">
        <v>7770</v>
      </c>
      <c r="AA186" s="1013" t="s">
        <v>7771</v>
      </c>
      <c r="AB186" s="1013" t="s">
        <v>7760</v>
      </c>
      <c r="AC186" s="1013" t="s">
        <v>7723</v>
      </c>
      <c r="AD186" s="1013" t="s">
        <v>7723</v>
      </c>
      <c r="AE186" s="1013">
        <v>60</v>
      </c>
      <c r="AF186" s="1013" t="s">
        <v>7723</v>
      </c>
      <c r="AG186" s="1013" t="s">
        <v>7723</v>
      </c>
      <c r="AH186" s="1013" t="s">
        <v>7739</v>
      </c>
      <c r="AI186" s="1013" t="s">
        <v>7723</v>
      </c>
      <c r="AJ186" s="1013">
        <v>19</v>
      </c>
      <c r="AK186" s="1013" t="s">
        <v>7724</v>
      </c>
      <c r="AL186" s="1013" t="s">
        <v>7724</v>
      </c>
      <c r="AM186" s="1013">
        <v>1</v>
      </c>
      <c r="AN186" s="1013" t="s">
        <v>7724</v>
      </c>
      <c r="AO186" s="1013" t="s">
        <v>7724</v>
      </c>
      <c r="AP186" s="1013" t="s">
        <v>7840</v>
      </c>
      <c r="AQ186" s="1013" t="s">
        <v>7726</v>
      </c>
      <c r="AR186" s="1013" t="s">
        <v>7724</v>
      </c>
      <c r="AS186" s="1013" t="s">
        <v>7724</v>
      </c>
      <c r="AT186" s="1013" t="s">
        <v>7724</v>
      </c>
      <c r="AU186" s="1013" t="s">
        <v>7724</v>
      </c>
      <c r="AV186" s="1013" t="s">
        <v>7724</v>
      </c>
      <c r="AW186" s="1013" t="s">
        <v>7724</v>
      </c>
      <c r="AX186" s="1013">
        <v>11</v>
      </c>
      <c r="AY186" s="1013">
        <v>1</v>
      </c>
      <c r="AZ186" s="1013">
        <v>0</v>
      </c>
      <c r="BA186" s="1013">
        <v>3</v>
      </c>
      <c r="BB186" s="1013">
        <v>1</v>
      </c>
      <c r="BC186" s="1013">
        <v>1</v>
      </c>
      <c r="BD186" s="1013">
        <v>20</v>
      </c>
      <c r="BE186" s="1023">
        <v>0.72777777777777775</v>
      </c>
      <c r="BF186" s="1013" t="s">
        <v>7729</v>
      </c>
      <c r="BG186" s="1023">
        <v>0.7319444444444444</v>
      </c>
      <c r="BH186" s="1024">
        <v>44327</v>
      </c>
      <c r="BI186" s="1013" t="s">
        <v>7727</v>
      </c>
      <c r="BJ186" s="1013" t="s">
        <v>7730</v>
      </c>
      <c r="BK186" s="1013">
        <v>2469</v>
      </c>
      <c r="BL186" s="1013" t="s">
        <v>7724</v>
      </c>
      <c r="BM186" s="1013" t="s">
        <v>7724</v>
      </c>
      <c r="BN186" s="1013">
        <v>113</v>
      </c>
      <c r="BO186" s="1013">
        <v>8</v>
      </c>
      <c r="BP186" s="1013">
        <v>2</v>
      </c>
      <c r="BQ186" s="1013">
        <v>4</v>
      </c>
      <c r="BR186" s="1013">
        <v>20</v>
      </c>
      <c r="BS186" s="1013">
        <v>64</v>
      </c>
      <c r="BT186" s="1013">
        <v>54</v>
      </c>
      <c r="BU186" s="1013">
        <v>1</v>
      </c>
      <c r="BV186" s="1013">
        <v>2</v>
      </c>
      <c r="BW186" s="1013">
        <v>1</v>
      </c>
      <c r="BX186" s="1013">
        <v>21</v>
      </c>
      <c r="BY186" s="1013">
        <v>21</v>
      </c>
      <c r="BZ186" s="1013">
        <v>101</v>
      </c>
      <c r="CA186" s="1013">
        <v>208</v>
      </c>
      <c r="CB186" s="1013">
        <v>29.732415</v>
      </c>
      <c r="CC186" s="1013">
        <v>-95.381855000000002</v>
      </c>
      <c r="CD186" s="1013" t="s">
        <v>8016</v>
      </c>
      <c r="CE186" s="1013">
        <v>69</v>
      </c>
      <c r="CF186" s="1013" t="s">
        <v>7724</v>
      </c>
      <c r="CG186" s="1013">
        <v>33.500999999999998</v>
      </c>
      <c r="CH186" s="1013" t="s">
        <v>8017</v>
      </c>
      <c r="CI186" s="1013" t="s">
        <v>7724</v>
      </c>
      <c r="CJ186" s="1013">
        <v>27</v>
      </c>
      <c r="CK186" s="1013">
        <v>13</v>
      </c>
      <c r="CL186" s="1013">
        <v>13.795</v>
      </c>
      <c r="CM186" s="1013">
        <v>128</v>
      </c>
      <c r="CN186" s="1013">
        <v>0.24199999999999999</v>
      </c>
      <c r="CO186" s="1013" t="s">
        <v>7724</v>
      </c>
      <c r="CP186" s="1013" t="s">
        <v>7724</v>
      </c>
      <c r="CQ186" s="1013" t="s">
        <v>7724</v>
      </c>
      <c r="CR186" s="1013" t="s">
        <v>7724</v>
      </c>
      <c r="CS186" s="1013" t="s">
        <v>7724</v>
      </c>
      <c r="CT186" s="1013" t="s">
        <v>7724</v>
      </c>
      <c r="CU186" s="1013" t="s">
        <v>7724</v>
      </c>
      <c r="CV186" s="1013" t="s">
        <v>7724</v>
      </c>
      <c r="CW186" s="1013" t="s">
        <v>7727</v>
      </c>
      <c r="CX186" s="1013" t="s">
        <v>7727</v>
      </c>
      <c r="CY186" s="1013" t="s">
        <v>7723</v>
      </c>
      <c r="CZ186" s="1013">
        <v>5</v>
      </c>
      <c r="DA186" s="1013">
        <v>9</v>
      </c>
      <c r="DB186" s="1013" t="s">
        <v>7727</v>
      </c>
      <c r="DC186" s="1013" t="s">
        <v>7737</v>
      </c>
      <c r="DD186" s="1013">
        <v>5</v>
      </c>
      <c r="DE186" s="1013" t="s">
        <v>7724</v>
      </c>
      <c r="DF186" s="1013">
        <v>20</v>
      </c>
      <c r="DG186" s="1013">
        <v>20</v>
      </c>
      <c r="DH186" s="1013">
        <v>5</v>
      </c>
      <c r="DI186" s="1013" t="s">
        <v>7724</v>
      </c>
      <c r="DJ186" s="1013">
        <v>8</v>
      </c>
      <c r="DK186" s="1013">
        <v>400</v>
      </c>
      <c r="DL186" s="1013">
        <v>138</v>
      </c>
      <c r="DM186" s="1013">
        <v>98</v>
      </c>
      <c r="DN186" s="1013">
        <v>1</v>
      </c>
      <c r="DO186" s="1013">
        <v>0</v>
      </c>
      <c r="DP186" s="1013">
        <v>0</v>
      </c>
      <c r="DQ186" s="1013">
        <v>1</v>
      </c>
      <c r="DR186" s="1013">
        <v>20</v>
      </c>
      <c r="DS186" s="1013">
        <v>5</v>
      </c>
      <c r="DT186" s="1013">
        <v>1</v>
      </c>
      <c r="DU186" s="1013">
        <v>20</v>
      </c>
      <c r="DV186" s="1013">
        <v>5</v>
      </c>
      <c r="DW186" s="1013">
        <v>7</v>
      </c>
      <c r="DX186" s="1013">
        <v>5</v>
      </c>
      <c r="DY186" s="1013">
        <v>4</v>
      </c>
      <c r="DZ186" s="1013">
        <v>1</v>
      </c>
      <c r="EA186" s="1013">
        <v>185410</v>
      </c>
      <c r="EB186" s="1013">
        <v>2019</v>
      </c>
      <c r="EC186" s="1013">
        <v>185410</v>
      </c>
      <c r="ED186" s="1013">
        <v>2.2999999999999998</v>
      </c>
      <c r="EE186" s="1013">
        <v>2.5</v>
      </c>
      <c r="EF186" s="1013">
        <v>4.8</v>
      </c>
      <c r="EG186" s="1013" t="s">
        <v>7724</v>
      </c>
      <c r="EH186" s="1013" t="s">
        <v>7724</v>
      </c>
      <c r="EI186" s="1013" t="s">
        <v>7724</v>
      </c>
      <c r="EJ186" s="1013" t="s">
        <v>7724</v>
      </c>
      <c r="EK186" s="1013" t="s">
        <v>7724</v>
      </c>
      <c r="EL186" s="1013" t="s">
        <v>7724</v>
      </c>
      <c r="EM186" s="1013" t="s">
        <v>7724</v>
      </c>
      <c r="EN186" s="1013" t="s">
        <v>7724</v>
      </c>
      <c r="EO186" s="1013" t="s">
        <v>7724</v>
      </c>
      <c r="EP186" s="1013" t="s">
        <v>7724</v>
      </c>
      <c r="EQ186" s="1013" t="s">
        <v>7724</v>
      </c>
      <c r="ER186" s="1013" t="s">
        <v>7724</v>
      </c>
      <c r="ES186" s="1013" t="s">
        <v>7724</v>
      </c>
      <c r="ET186" s="1013" t="s">
        <v>7724</v>
      </c>
      <c r="EU186" s="1013" t="s">
        <v>7724</v>
      </c>
      <c r="EV186" s="1013" t="s">
        <v>7724</v>
      </c>
      <c r="EW186" s="1013" t="s">
        <v>7724</v>
      </c>
      <c r="EX186" s="1013" t="s">
        <v>7724</v>
      </c>
      <c r="EY186" s="1013" t="s">
        <v>7724</v>
      </c>
      <c r="EZ186" s="1013" t="s">
        <v>7724</v>
      </c>
      <c r="FA186" s="1013" t="s">
        <v>7724</v>
      </c>
      <c r="FB186" s="1013" t="s">
        <v>7724</v>
      </c>
      <c r="FC186" s="1013" t="s">
        <v>7724</v>
      </c>
      <c r="FD186" s="1013" t="s">
        <v>7724</v>
      </c>
      <c r="FE186" s="1013" t="s">
        <v>7724</v>
      </c>
      <c r="FF186" s="1013" t="s">
        <v>7724</v>
      </c>
      <c r="FG186" s="1013">
        <v>0</v>
      </c>
      <c r="FH186" s="1013">
        <v>0</v>
      </c>
      <c r="FI186" s="1013">
        <v>0</v>
      </c>
      <c r="FJ186" s="1013">
        <v>2</v>
      </c>
      <c r="FK186" s="1013">
        <v>0</v>
      </c>
      <c r="FL186" s="1013">
        <v>0</v>
      </c>
      <c r="FM186" s="1013">
        <v>0</v>
      </c>
      <c r="FN186" s="1013">
        <v>15</v>
      </c>
      <c r="FO186" s="1013">
        <v>29</v>
      </c>
      <c r="FP186" s="1013">
        <v>6</v>
      </c>
      <c r="FQ186" s="1013" t="s">
        <v>7724</v>
      </c>
      <c r="FR186" s="1013" t="s">
        <v>7724</v>
      </c>
      <c r="FS186" s="1013" t="s">
        <v>7724</v>
      </c>
      <c r="FT186" s="1013" t="s">
        <v>7724</v>
      </c>
      <c r="FU186" s="1013" t="s">
        <v>7724</v>
      </c>
      <c r="FV186" s="1013" t="s">
        <v>7724</v>
      </c>
      <c r="FW186" s="1013" t="s">
        <v>7724</v>
      </c>
      <c r="FX186" s="1013" t="s">
        <v>7724</v>
      </c>
      <c r="FY186" s="1013" t="s">
        <v>7724</v>
      </c>
      <c r="FZ186" s="1013" t="s">
        <v>7724</v>
      </c>
      <c r="GA186" s="1013" t="s">
        <v>7724</v>
      </c>
      <c r="GB186" s="1013" t="s">
        <v>7724</v>
      </c>
      <c r="GC186" s="1013">
        <v>2021</v>
      </c>
      <c r="GD186" s="1013" t="s">
        <v>1404</v>
      </c>
      <c r="GE186" s="1013">
        <v>2</v>
      </c>
      <c r="GF186" s="1013" t="s">
        <v>1407</v>
      </c>
      <c r="GG186" s="1013" t="s">
        <v>1407</v>
      </c>
      <c r="GH186" s="1013" t="s">
        <v>8023</v>
      </c>
      <c r="GI186" s="1013" t="s">
        <v>7974</v>
      </c>
      <c r="GJ186" s="1013" t="s">
        <v>7974</v>
      </c>
      <c r="GK186" s="1013" t="s">
        <v>7974</v>
      </c>
      <c r="GL186" s="1013" t="s">
        <v>7974</v>
      </c>
    </row>
    <row r="187" spans="1:194" hidden="1">
      <c r="A187" s="1013">
        <v>173</v>
      </c>
      <c r="B187" s="1013" t="s">
        <v>7722</v>
      </c>
      <c r="C187" s="1013">
        <v>18253717</v>
      </c>
      <c r="D187" s="1013" t="s">
        <v>7723</v>
      </c>
      <c r="E187" s="1013" t="s">
        <v>7723</v>
      </c>
      <c r="F187" s="1013" t="s">
        <v>7723</v>
      </c>
      <c r="G187" s="1013" t="s">
        <v>7723</v>
      </c>
      <c r="H187" s="1013" t="s">
        <v>7723</v>
      </c>
      <c r="I187" s="1013" t="s">
        <v>7723</v>
      </c>
      <c r="J187" s="1013" t="s">
        <v>7723</v>
      </c>
      <c r="K187" s="1024">
        <v>44328</v>
      </c>
      <c r="L187" s="1023">
        <v>0.71597222222222223</v>
      </c>
      <c r="M187" s="1013" t="s">
        <v>8185</v>
      </c>
      <c r="N187" s="1013" t="s">
        <v>7724</v>
      </c>
      <c r="O187" s="1013">
        <v>101</v>
      </c>
      <c r="P187" s="1013">
        <v>208</v>
      </c>
      <c r="Q187" s="1013" t="s">
        <v>7723</v>
      </c>
      <c r="R187" s="1013" t="s">
        <v>7727</v>
      </c>
      <c r="S187" s="1013" t="s">
        <v>7724</v>
      </c>
      <c r="T187" s="1014" t="s">
        <v>7724</v>
      </c>
      <c r="U187" s="1014">
        <v>2</v>
      </c>
      <c r="V187" s="1014">
        <v>59</v>
      </c>
      <c r="W187" s="1014" t="s">
        <v>7724</v>
      </c>
      <c r="X187" s="1013">
        <v>1</v>
      </c>
      <c r="Y187" s="1013">
        <v>600</v>
      </c>
      <c r="Z187" s="1013" t="s">
        <v>7770</v>
      </c>
      <c r="AA187" s="1013" t="s">
        <v>7771</v>
      </c>
      <c r="AB187" s="1013" t="s">
        <v>7760</v>
      </c>
      <c r="AC187" s="1013" t="s">
        <v>7723</v>
      </c>
      <c r="AD187" s="1013" t="s">
        <v>7723</v>
      </c>
      <c r="AE187" s="1013">
        <v>60</v>
      </c>
      <c r="AF187" s="1013" t="s">
        <v>7723</v>
      </c>
      <c r="AG187" s="1013" t="s">
        <v>7723</v>
      </c>
      <c r="AH187" s="1013" t="s">
        <v>7724</v>
      </c>
      <c r="AI187" s="1013" t="s">
        <v>7723</v>
      </c>
      <c r="AJ187" s="1013">
        <v>19</v>
      </c>
      <c r="AK187" s="1013" t="s">
        <v>7724</v>
      </c>
      <c r="AL187" s="1013" t="s">
        <v>7724</v>
      </c>
      <c r="AM187" s="1013">
        <v>1</v>
      </c>
      <c r="AN187" s="1013" t="s">
        <v>7724</v>
      </c>
      <c r="AO187" s="1013" t="s">
        <v>7723</v>
      </c>
      <c r="AP187" s="1013" t="s">
        <v>8030</v>
      </c>
      <c r="AQ187" s="1013" t="s">
        <v>7835</v>
      </c>
      <c r="AR187" s="1013" t="s">
        <v>7724</v>
      </c>
      <c r="AS187" s="1013" t="s">
        <v>7724</v>
      </c>
      <c r="AT187" s="1013" t="s">
        <v>7724</v>
      </c>
      <c r="AU187" s="1013" t="s">
        <v>7724</v>
      </c>
      <c r="AV187" s="1013" t="s">
        <v>7724</v>
      </c>
      <c r="AW187" s="1013" t="s">
        <v>7724</v>
      </c>
      <c r="AX187" s="1013">
        <v>12</v>
      </c>
      <c r="AY187" s="1013">
        <v>1</v>
      </c>
      <c r="AZ187" s="1013">
        <v>4</v>
      </c>
      <c r="BA187" s="1013">
        <v>4</v>
      </c>
      <c r="BB187" s="1013">
        <v>1</v>
      </c>
      <c r="BC187" s="1013">
        <v>1</v>
      </c>
      <c r="BD187" s="1013">
        <v>20</v>
      </c>
      <c r="BE187" s="1023">
        <v>0.71666666666666667</v>
      </c>
      <c r="BF187" s="1013" t="s">
        <v>7736</v>
      </c>
      <c r="BG187" s="1023">
        <v>0.72638888888888886</v>
      </c>
      <c r="BH187" s="1024">
        <v>44328</v>
      </c>
      <c r="BI187" s="1013" t="s">
        <v>7727</v>
      </c>
      <c r="BJ187" s="1013" t="s">
        <v>7730</v>
      </c>
      <c r="BK187" s="1013">
        <v>2469</v>
      </c>
      <c r="BL187" s="1013" t="s">
        <v>7724</v>
      </c>
      <c r="BM187" s="1013" t="s">
        <v>7724</v>
      </c>
      <c r="BN187" s="1013">
        <v>113</v>
      </c>
      <c r="BO187" s="1013">
        <v>8</v>
      </c>
      <c r="BP187" s="1013">
        <v>2</v>
      </c>
      <c r="BQ187" s="1013">
        <v>4</v>
      </c>
      <c r="BR187" s="1013">
        <v>20</v>
      </c>
      <c r="BS187" s="1013">
        <v>64</v>
      </c>
      <c r="BT187" s="1013">
        <v>54</v>
      </c>
      <c r="BU187" s="1013">
        <v>1</v>
      </c>
      <c r="BV187" s="1013">
        <v>2</v>
      </c>
      <c r="BW187" s="1013">
        <v>1</v>
      </c>
      <c r="BX187" s="1013">
        <v>21</v>
      </c>
      <c r="BY187" s="1013">
        <v>21</v>
      </c>
      <c r="BZ187" s="1013">
        <v>101</v>
      </c>
      <c r="CA187" s="1013">
        <v>208</v>
      </c>
      <c r="CB187" s="1013">
        <v>29.732423000000001</v>
      </c>
      <c r="CC187" s="1013">
        <v>-95.381752000000006</v>
      </c>
      <c r="CD187" s="1013" t="s">
        <v>8016</v>
      </c>
      <c r="CE187" s="1013">
        <v>69</v>
      </c>
      <c r="CF187" s="1013" t="s">
        <v>7724</v>
      </c>
      <c r="CG187" s="1013">
        <v>33.506999999999998</v>
      </c>
      <c r="CH187" s="1013" t="s">
        <v>8017</v>
      </c>
      <c r="CI187" s="1013" t="s">
        <v>7724</v>
      </c>
      <c r="CJ187" s="1013">
        <v>27</v>
      </c>
      <c r="CK187" s="1013">
        <v>13</v>
      </c>
      <c r="CL187" s="1013">
        <v>13.802</v>
      </c>
      <c r="CM187" s="1013">
        <v>128</v>
      </c>
      <c r="CN187" s="1013">
        <v>0.248</v>
      </c>
      <c r="CO187" s="1013" t="s">
        <v>7724</v>
      </c>
      <c r="CP187" s="1013" t="s">
        <v>7724</v>
      </c>
      <c r="CQ187" s="1013" t="s">
        <v>7724</v>
      </c>
      <c r="CR187" s="1013" t="s">
        <v>7724</v>
      </c>
      <c r="CS187" s="1013" t="s">
        <v>7724</v>
      </c>
      <c r="CT187" s="1013" t="s">
        <v>7724</v>
      </c>
      <c r="CU187" s="1013" t="s">
        <v>7724</v>
      </c>
      <c r="CV187" s="1013" t="s">
        <v>7724</v>
      </c>
      <c r="CW187" s="1013" t="s">
        <v>7727</v>
      </c>
      <c r="CX187" s="1013" t="s">
        <v>7727</v>
      </c>
      <c r="CY187" s="1013" t="s">
        <v>7723</v>
      </c>
      <c r="CZ187" s="1013">
        <v>5</v>
      </c>
      <c r="DA187" s="1013">
        <v>9</v>
      </c>
      <c r="DB187" s="1013" t="s">
        <v>7727</v>
      </c>
      <c r="DC187" s="1013" t="s">
        <v>7756</v>
      </c>
      <c r="DD187" s="1013">
        <v>5</v>
      </c>
      <c r="DE187" s="1013" t="s">
        <v>7724</v>
      </c>
      <c r="DF187" s="1013">
        <v>20</v>
      </c>
      <c r="DG187" s="1013">
        <v>20</v>
      </c>
      <c r="DH187" s="1013">
        <v>5</v>
      </c>
      <c r="DI187" s="1013" t="s">
        <v>7724</v>
      </c>
      <c r="DJ187" s="1013">
        <v>8</v>
      </c>
      <c r="DK187" s="1013">
        <v>400</v>
      </c>
      <c r="DL187" s="1013">
        <v>138</v>
      </c>
      <c r="DM187" s="1013">
        <v>98</v>
      </c>
      <c r="DN187" s="1013">
        <v>1</v>
      </c>
      <c r="DO187" s="1013">
        <v>0</v>
      </c>
      <c r="DP187" s="1013">
        <v>0</v>
      </c>
      <c r="DQ187" s="1013">
        <v>1</v>
      </c>
      <c r="DR187" s="1013">
        <v>20</v>
      </c>
      <c r="DS187" s="1013">
        <v>5</v>
      </c>
      <c r="DT187" s="1013">
        <v>1</v>
      </c>
      <c r="DU187" s="1013">
        <v>20</v>
      </c>
      <c r="DV187" s="1013">
        <v>5</v>
      </c>
      <c r="DW187" s="1013">
        <v>7</v>
      </c>
      <c r="DX187" s="1013">
        <v>5</v>
      </c>
      <c r="DY187" s="1013">
        <v>4</v>
      </c>
      <c r="DZ187" s="1013">
        <v>1</v>
      </c>
      <c r="EA187" s="1013">
        <v>185410</v>
      </c>
      <c r="EB187" s="1013">
        <v>2019</v>
      </c>
      <c r="EC187" s="1013">
        <v>185410</v>
      </c>
      <c r="ED187" s="1013">
        <v>2.2999999999999998</v>
      </c>
      <c r="EE187" s="1013">
        <v>2.5</v>
      </c>
      <c r="EF187" s="1013">
        <v>4.8</v>
      </c>
      <c r="EG187" s="1013" t="s">
        <v>7724</v>
      </c>
      <c r="EH187" s="1013" t="s">
        <v>7724</v>
      </c>
      <c r="EI187" s="1013" t="s">
        <v>7724</v>
      </c>
      <c r="EJ187" s="1013" t="s">
        <v>7724</v>
      </c>
      <c r="EK187" s="1013" t="s">
        <v>7724</v>
      </c>
      <c r="EL187" s="1013" t="s">
        <v>7724</v>
      </c>
      <c r="EM187" s="1013" t="s">
        <v>7724</v>
      </c>
      <c r="EN187" s="1013" t="s">
        <v>7724</v>
      </c>
      <c r="EO187" s="1013" t="s">
        <v>7724</v>
      </c>
      <c r="EP187" s="1013" t="s">
        <v>7724</v>
      </c>
      <c r="EQ187" s="1013" t="s">
        <v>7724</v>
      </c>
      <c r="ER187" s="1013" t="s">
        <v>7724</v>
      </c>
      <c r="ES187" s="1013" t="s">
        <v>7724</v>
      </c>
      <c r="ET187" s="1013" t="s">
        <v>7724</v>
      </c>
      <c r="EU187" s="1013" t="s">
        <v>7724</v>
      </c>
      <c r="EV187" s="1013" t="s">
        <v>7724</v>
      </c>
      <c r="EW187" s="1013" t="s">
        <v>7724</v>
      </c>
      <c r="EX187" s="1013" t="s">
        <v>7724</v>
      </c>
      <c r="EY187" s="1013" t="s">
        <v>7724</v>
      </c>
      <c r="EZ187" s="1013" t="s">
        <v>7724</v>
      </c>
      <c r="FA187" s="1013" t="s">
        <v>7724</v>
      </c>
      <c r="FB187" s="1013" t="s">
        <v>7724</v>
      </c>
      <c r="FC187" s="1013" t="s">
        <v>7724</v>
      </c>
      <c r="FD187" s="1013" t="s">
        <v>7724</v>
      </c>
      <c r="FE187" s="1013" t="s">
        <v>7724</v>
      </c>
      <c r="FF187" s="1013" t="s">
        <v>7724</v>
      </c>
      <c r="FG187" s="1013">
        <v>0</v>
      </c>
      <c r="FH187" s="1013">
        <v>0</v>
      </c>
      <c r="FI187" s="1013">
        <v>0</v>
      </c>
      <c r="FJ187" s="1013">
        <v>2</v>
      </c>
      <c r="FK187" s="1013">
        <v>0</v>
      </c>
      <c r="FL187" s="1013">
        <v>0</v>
      </c>
      <c r="FM187" s="1013">
        <v>0</v>
      </c>
      <c r="FN187" s="1013">
        <v>15</v>
      </c>
      <c r="FO187" s="1013">
        <v>29</v>
      </c>
      <c r="FP187" s="1013">
        <v>6</v>
      </c>
      <c r="FQ187" s="1013" t="s">
        <v>7724</v>
      </c>
      <c r="FR187" s="1013" t="s">
        <v>7724</v>
      </c>
      <c r="FS187" s="1013" t="s">
        <v>7724</v>
      </c>
      <c r="FT187" s="1013" t="s">
        <v>7724</v>
      </c>
      <c r="FU187" s="1013" t="s">
        <v>7724</v>
      </c>
      <c r="FV187" s="1013" t="s">
        <v>7724</v>
      </c>
      <c r="FW187" s="1013" t="s">
        <v>7724</v>
      </c>
      <c r="FX187" s="1013" t="s">
        <v>7724</v>
      </c>
      <c r="FY187" s="1013" t="s">
        <v>7724</v>
      </c>
      <c r="FZ187" s="1013" t="s">
        <v>7724</v>
      </c>
      <c r="GA187" s="1013" t="s">
        <v>7724</v>
      </c>
      <c r="GB187" s="1013" t="s">
        <v>7724</v>
      </c>
      <c r="GC187" s="1013">
        <v>2021</v>
      </c>
      <c r="GD187" s="1013" t="s">
        <v>1404</v>
      </c>
      <c r="GE187" s="1013">
        <v>2</v>
      </c>
      <c r="GF187" s="1013" t="s">
        <v>1407</v>
      </c>
      <c r="GG187" s="1013" t="s">
        <v>1407</v>
      </c>
      <c r="GH187" s="1013" t="s">
        <v>8023</v>
      </c>
      <c r="GI187" s="1013" t="s">
        <v>7974</v>
      </c>
      <c r="GJ187" s="1013" t="s">
        <v>7974</v>
      </c>
      <c r="GK187" s="1013" t="s">
        <v>7974</v>
      </c>
      <c r="GL187" s="1013" t="s">
        <v>7974</v>
      </c>
    </row>
    <row r="188" spans="1:194" hidden="1">
      <c r="A188" s="1013">
        <v>174</v>
      </c>
      <c r="B188" s="1013" t="s">
        <v>7722</v>
      </c>
      <c r="C188" s="1013">
        <v>18293122</v>
      </c>
      <c r="D188" s="1013" t="s">
        <v>7723</v>
      </c>
      <c r="E188" s="1013" t="s">
        <v>7723</v>
      </c>
      <c r="F188" s="1013" t="s">
        <v>7723</v>
      </c>
      <c r="G188" s="1013" t="s">
        <v>7723</v>
      </c>
      <c r="H188" s="1013" t="s">
        <v>7723</v>
      </c>
      <c r="I188" s="1013" t="s">
        <v>7723</v>
      </c>
      <c r="J188" s="1013" t="s">
        <v>7723</v>
      </c>
      <c r="K188" s="1024">
        <v>44348</v>
      </c>
      <c r="L188" s="1023">
        <v>0.39583333333333331</v>
      </c>
      <c r="M188" s="1013" t="s">
        <v>8186</v>
      </c>
      <c r="N188" s="1013" t="s">
        <v>7724</v>
      </c>
      <c r="O188" s="1013">
        <v>101</v>
      </c>
      <c r="P188" s="1013">
        <v>208</v>
      </c>
      <c r="Q188" s="1013" t="s">
        <v>7723</v>
      </c>
      <c r="R188" s="1013" t="s">
        <v>7727</v>
      </c>
      <c r="S188" s="1013" t="s">
        <v>7724</v>
      </c>
      <c r="T188" s="1014" t="s">
        <v>7724</v>
      </c>
      <c r="U188" s="1014">
        <v>2</v>
      </c>
      <c r="V188" s="1014">
        <v>59</v>
      </c>
      <c r="W188" s="1014" t="s">
        <v>7724</v>
      </c>
      <c r="X188" s="1013">
        <v>1</v>
      </c>
      <c r="Y188" s="1013">
        <v>600</v>
      </c>
      <c r="Z188" s="1013" t="s">
        <v>7770</v>
      </c>
      <c r="AA188" s="1013" t="s">
        <v>7771</v>
      </c>
      <c r="AB188" s="1013" t="s">
        <v>7760</v>
      </c>
      <c r="AC188" s="1013" t="s">
        <v>7723</v>
      </c>
      <c r="AD188" s="1013" t="s">
        <v>7723</v>
      </c>
      <c r="AE188" s="1013">
        <v>60</v>
      </c>
      <c r="AF188" s="1013" t="s">
        <v>7723</v>
      </c>
      <c r="AG188" s="1013" t="s">
        <v>7723</v>
      </c>
      <c r="AH188" s="1013" t="s">
        <v>7724</v>
      </c>
      <c r="AI188" s="1013" t="s">
        <v>7723</v>
      </c>
      <c r="AJ188" s="1013">
        <v>19</v>
      </c>
      <c r="AK188" s="1013" t="s">
        <v>7724</v>
      </c>
      <c r="AL188" s="1013" t="s">
        <v>7724</v>
      </c>
      <c r="AM188" s="1013">
        <v>1</v>
      </c>
      <c r="AN188" s="1013">
        <v>4800</v>
      </c>
      <c r="AO188" s="1013" t="s">
        <v>7724</v>
      </c>
      <c r="AP188" s="1013" t="s">
        <v>7840</v>
      </c>
      <c r="AQ188" s="1013" t="s">
        <v>7726</v>
      </c>
      <c r="AR188" s="1013" t="s">
        <v>7724</v>
      </c>
      <c r="AS188" s="1013" t="s">
        <v>7724</v>
      </c>
      <c r="AT188" s="1013" t="s">
        <v>7724</v>
      </c>
      <c r="AU188" s="1013" t="s">
        <v>7724</v>
      </c>
      <c r="AV188" s="1013" t="s">
        <v>7724</v>
      </c>
      <c r="AW188" s="1013" t="s">
        <v>7724</v>
      </c>
      <c r="AX188" s="1013">
        <v>11</v>
      </c>
      <c r="AY188" s="1013">
        <v>1</v>
      </c>
      <c r="AZ188" s="1013">
        <v>0</v>
      </c>
      <c r="BA188" s="1013">
        <v>4</v>
      </c>
      <c r="BB188" s="1013">
        <v>1</v>
      </c>
      <c r="BC188" s="1013">
        <v>1</v>
      </c>
      <c r="BD188" s="1013">
        <v>1</v>
      </c>
      <c r="BE188" s="1023">
        <v>0.40277777777777779</v>
      </c>
      <c r="BF188" s="1013" t="s">
        <v>7761</v>
      </c>
      <c r="BG188" s="1023">
        <v>0.40277777777777779</v>
      </c>
      <c r="BH188" s="1024">
        <v>44348</v>
      </c>
      <c r="BI188" s="1013" t="s">
        <v>7727</v>
      </c>
      <c r="BJ188" s="1013" t="s">
        <v>7730</v>
      </c>
      <c r="BK188" s="1013">
        <v>2469</v>
      </c>
      <c r="BL188" s="1013" t="s">
        <v>7724</v>
      </c>
      <c r="BM188" s="1013" t="s">
        <v>7724</v>
      </c>
      <c r="BN188" s="1013">
        <v>113</v>
      </c>
      <c r="BO188" s="1013">
        <v>8</v>
      </c>
      <c r="BP188" s="1013">
        <v>2</v>
      </c>
      <c r="BQ188" s="1013">
        <v>4</v>
      </c>
      <c r="BR188" s="1013">
        <v>21</v>
      </c>
      <c r="BS188" s="1013">
        <v>64</v>
      </c>
      <c r="BT188" s="1013">
        <v>9</v>
      </c>
      <c r="BU188" s="1013">
        <v>1</v>
      </c>
      <c r="BV188" s="1013">
        <v>2</v>
      </c>
      <c r="BW188" s="1013">
        <v>1</v>
      </c>
      <c r="BX188" s="1013">
        <v>21</v>
      </c>
      <c r="BY188" s="1013">
        <v>21</v>
      </c>
      <c r="BZ188" s="1013">
        <v>101</v>
      </c>
      <c r="CA188" s="1013">
        <v>208</v>
      </c>
      <c r="CB188" s="1013">
        <v>29.732531999999999</v>
      </c>
      <c r="CC188" s="1013">
        <v>-95.380358999999999</v>
      </c>
      <c r="CD188" s="1013" t="s">
        <v>8016</v>
      </c>
      <c r="CE188" s="1013">
        <v>69</v>
      </c>
      <c r="CF188" s="1013" t="s">
        <v>7724</v>
      </c>
      <c r="CG188" s="1013">
        <v>33.591000000000001</v>
      </c>
      <c r="CH188" s="1013" t="s">
        <v>8017</v>
      </c>
      <c r="CI188" s="1013">
        <v>4397</v>
      </c>
      <c r="CJ188" s="1013">
        <v>27</v>
      </c>
      <c r="CK188" s="1013">
        <v>13</v>
      </c>
      <c r="CL188" s="1013">
        <v>13.888999999999999</v>
      </c>
      <c r="CM188" s="1013">
        <v>128</v>
      </c>
      <c r="CN188" s="1013">
        <v>0.33200000000000002</v>
      </c>
      <c r="CO188" s="1013" t="s">
        <v>7724</v>
      </c>
      <c r="CP188" s="1013" t="s">
        <v>7724</v>
      </c>
      <c r="CQ188" s="1013" t="s">
        <v>7724</v>
      </c>
      <c r="CR188" s="1013" t="s">
        <v>7724</v>
      </c>
      <c r="CS188" s="1013" t="s">
        <v>7724</v>
      </c>
      <c r="CT188" s="1013" t="s">
        <v>7724</v>
      </c>
      <c r="CU188" s="1013" t="s">
        <v>7724</v>
      </c>
      <c r="CV188" s="1013" t="s">
        <v>7724</v>
      </c>
      <c r="CW188" s="1013" t="s">
        <v>7727</v>
      </c>
      <c r="CX188" s="1013" t="s">
        <v>7727</v>
      </c>
      <c r="CY188" s="1013" t="s">
        <v>7723</v>
      </c>
      <c r="CZ188" s="1013">
        <v>5</v>
      </c>
      <c r="DA188" s="1013">
        <v>9</v>
      </c>
      <c r="DB188" s="1013" t="s">
        <v>7727</v>
      </c>
      <c r="DC188" s="1013" t="s">
        <v>7737</v>
      </c>
      <c r="DD188" s="1013">
        <v>5</v>
      </c>
      <c r="DE188" s="1013" t="s">
        <v>7724</v>
      </c>
      <c r="DF188" s="1013">
        <v>20</v>
      </c>
      <c r="DG188" s="1013">
        <v>20</v>
      </c>
      <c r="DH188" s="1013">
        <v>5</v>
      </c>
      <c r="DI188" s="1013" t="s">
        <v>7724</v>
      </c>
      <c r="DJ188" s="1013">
        <v>8</v>
      </c>
      <c r="DK188" s="1013">
        <v>400</v>
      </c>
      <c r="DL188" s="1013">
        <v>138</v>
      </c>
      <c r="DM188" s="1013">
        <v>98</v>
      </c>
      <c r="DN188" s="1013">
        <v>1</v>
      </c>
      <c r="DO188" s="1013">
        <v>0</v>
      </c>
      <c r="DP188" s="1013">
        <v>0</v>
      </c>
      <c r="DQ188" s="1013">
        <v>1</v>
      </c>
      <c r="DR188" s="1013">
        <v>20</v>
      </c>
      <c r="DS188" s="1013">
        <v>5</v>
      </c>
      <c r="DT188" s="1013">
        <v>1</v>
      </c>
      <c r="DU188" s="1013">
        <v>20</v>
      </c>
      <c r="DV188" s="1013">
        <v>5</v>
      </c>
      <c r="DW188" s="1013">
        <v>7</v>
      </c>
      <c r="DX188" s="1013">
        <v>5</v>
      </c>
      <c r="DY188" s="1013">
        <v>4</v>
      </c>
      <c r="DZ188" s="1013">
        <v>1</v>
      </c>
      <c r="EA188" s="1013">
        <v>185410</v>
      </c>
      <c r="EB188" s="1013">
        <v>2019</v>
      </c>
      <c r="EC188" s="1013">
        <v>185410</v>
      </c>
      <c r="ED188" s="1013">
        <v>2.2999999999999998</v>
      </c>
      <c r="EE188" s="1013">
        <v>2.5</v>
      </c>
      <c r="EF188" s="1013">
        <v>4.8</v>
      </c>
      <c r="EG188" s="1013" t="s">
        <v>7724</v>
      </c>
      <c r="EH188" s="1013" t="s">
        <v>7724</v>
      </c>
      <c r="EI188" s="1013" t="s">
        <v>7724</v>
      </c>
      <c r="EJ188" s="1013" t="s">
        <v>7724</v>
      </c>
      <c r="EK188" s="1013" t="s">
        <v>7724</v>
      </c>
      <c r="EL188" s="1013" t="s">
        <v>7724</v>
      </c>
      <c r="EM188" s="1013" t="s">
        <v>7724</v>
      </c>
      <c r="EN188" s="1013" t="s">
        <v>7724</v>
      </c>
      <c r="EO188" s="1013" t="s">
        <v>7724</v>
      </c>
      <c r="EP188" s="1013" t="s">
        <v>7724</v>
      </c>
      <c r="EQ188" s="1013" t="s">
        <v>7724</v>
      </c>
      <c r="ER188" s="1013" t="s">
        <v>7724</v>
      </c>
      <c r="ES188" s="1013" t="s">
        <v>7724</v>
      </c>
      <c r="ET188" s="1013" t="s">
        <v>7724</v>
      </c>
      <c r="EU188" s="1013" t="s">
        <v>7724</v>
      </c>
      <c r="EV188" s="1013" t="s">
        <v>7724</v>
      </c>
      <c r="EW188" s="1013" t="s">
        <v>7724</v>
      </c>
      <c r="EX188" s="1013" t="s">
        <v>7724</v>
      </c>
      <c r="EY188" s="1013" t="s">
        <v>7724</v>
      </c>
      <c r="EZ188" s="1013" t="s">
        <v>7724</v>
      </c>
      <c r="FA188" s="1013" t="s">
        <v>7724</v>
      </c>
      <c r="FB188" s="1013" t="s">
        <v>7724</v>
      </c>
      <c r="FC188" s="1013" t="s">
        <v>7724</v>
      </c>
      <c r="FD188" s="1013" t="s">
        <v>7724</v>
      </c>
      <c r="FE188" s="1013" t="s">
        <v>7724</v>
      </c>
      <c r="FF188" s="1013" t="s">
        <v>7724</v>
      </c>
      <c r="FG188" s="1013">
        <v>0</v>
      </c>
      <c r="FH188" s="1013">
        <v>0</v>
      </c>
      <c r="FI188" s="1013">
        <v>0</v>
      </c>
      <c r="FJ188" s="1013">
        <v>1</v>
      </c>
      <c r="FK188" s="1013">
        <v>3</v>
      </c>
      <c r="FL188" s="1013">
        <v>0</v>
      </c>
      <c r="FM188" s="1013">
        <v>0</v>
      </c>
      <c r="FN188" s="1013">
        <v>15</v>
      </c>
      <c r="FO188" s="1013">
        <v>29</v>
      </c>
      <c r="FP188" s="1013">
        <v>51</v>
      </c>
      <c r="FQ188" s="1013" t="s">
        <v>7724</v>
      </c>
      <c r="FR188" s="1013" t="s">
        <v>7724</v>
      </c>
      <c r="FS188" s="1013" t="s">
        <v>7724</v>
      </c>
      <c r="FT188" s="1013" t="s">
        <v>7724</v>
      </c>
      <c r="FU188" s="1013" t="s">
        <v>7724</v>
      </c>
      <c r="FV188" s="1013" t="s">
        <v>7724</v>
      </c>
      <c r="FW188" s="1013" t="s">
        <v>7724</v>
      </c>
      <c r="FX188" s="1013" t="s">
        <v>7724</v>
      </c>
      <c r="FY188" s="1013" t="s">
        <v>7724</v>
      </c>
      <c r="FZ188" s="1013" t="s">
        <v>7724</v>
      </c>
      <c r="GA188" s="1013" t="s">
        <v>7724</v>
      </c>
      <c r="GB188" s="1013" t="s">
        <v>7724</v>
      </c>
      <c r="GC188" s="1013">
        <v>2021</v>
      </c>
      <c r="GD188" s="1013" t="s">
        <v>1407</v>
      </c>
      <c r="GE188" s="1013">
        <v>2</v>
      </c>
      <c r="GF188" s="1013" t="s">
        <v>1407</v>
      </c>
      <c r="GG188" s="1013" t="s">
        <v>1407</v>
      </c>
      <c r="GH188" s="1013" t="s">
        <v>8067</v>
      </c>
      <c r="GI188" s="1013" t="s">
        <v>7974</v>
      </c>
      <c r="GJ188" s="1013" t="s">
        <v>7974</v>
      </c>
      <c r="GK188" s="1013" t="s">
        <v>8113</v>
      </c>
      <c r="GL188" s="1013" t="s">
        <v>7974</v>
      </c>
    </row>
    <row r="189" spans="1:194" hidden="1">
      <c r="A189" s="1013">
        <v>177</v>
      </c>
      <c r="B189" s="1013" t="s">
        <v>7722</v>
      </c>
      <c r="C189" s="1013">
        <v>18380938</v>
      </c>
      <c r="D189" s="1013" t="s">
        <v>7723</v>
      </c>
      <c r="E189" s="1013" t="s">
        <v>7723</v>
      </c>
      <c r="F189" s="1013" t="s">
        <v>7723</v>
      </c>
      <c r="G189" s="1013" t="s">
        <v>7723</v>
      </c>
      <c r="H189" s="1013" t="s">
        <v>7723</v>
      </c>
      <c r="I189" s="1013" t="s">
        <v>7723</v>
      </c>
      <c r="J189" s="1013" t="s">
        <v>7723</v>
      </c>
      <c r="K189" s="1024">
        <v>44397</v>
      </c>
      <c r="L189" s="1023">
        <v>0.76388888888888884</v>
      </c>
      <c r="M189" s="1013" t="s">
        <v>8187</v>
      </c>
      <c r="N189" s="1013" t="s">
        <v>7744</v>
      </c>
      <c r="O189" s="1013">
        <v>101</v>
      </c>
      <c r="P189" s="1013">
        <v>208</v>
      </c>
      <c r="Q189" s="1013" t="s">
        <v>7723</v>
      </c>
      <c r="R189" s="1013" t="s">
        <v>7727</v>
      </c>
      <c r="S189" s="1013" t="s">
        <v>7724</v>
      </c>
      <c r="T189" s="1014" t="s">
        <v>7724</v>
      </c>
      <c r="U189" s="1014">
        <v>2</v>
      </c>
      <c r="V189" s="1014">
        <v>59</v>
      </c>
      <c r="W189" s="1014" t="s">
        <v>7724</v>
      </c>
      <c r="X189" s="1013">
        <v>1</v>
      </c>
      <c r="Y189" s="1013">
        <v>609</v>
      </c>
      <c r="Z189" s="1013" t="s">
        <v>7770</v>
      </c>
      <c r="AA189" s="1013" t="s">
        <v>7771</v>
      </c>
      <c r="AB189" s="1013" t="s">
        <v>7760</v>
      </c>
      <c r="AC189" s="1013" t="s">
        <v>7723</v>
      </c>
      <c r="AD189" s="1013" t="s">
        <v>7723</v>
      </c>
      <c r="AE189" s="1013">
        <v>70</v>
      </c>
      <c r="AF189" s="1013" t="s">
        <v>7723</v>
      </c>
      <c r="AG189" s="1013" t="s">
        <v>7723</v>
      </c>
      <c r="AH189" s="1013" t="s">
        <v>7724</v>
      </c>
      <c r="AI189" s="1013" t="s">
        <v>7723</v>
      </c>
      <c r="AJ189" s="1013">
        <v>19</v>
      </c>
      <c r="AK189" s="1013" t="s">
        <v>7724</v>
      </c>
      <c r="AL189" s="1013" t="s">
        <v>7724</v>
      </c>
      <c r="AM189" s="1013">
        <v>1</v>
      </c>
      <c r="AN189" s="1013" t="s">
        <v>7724</v>
      </c>
      <c r="AO189" s="1013" t="s">
        <v>7724</v>
      </c>
      <c r="AP189" s="1013" t="s">
        <v>7728</v>
      </c>
      <c r="AQ189" s="1013" t="s">
        <v>7726</v>
      </c>
      <c r="AR189" s="1013" t="s">
        <v>7724</v>
      </c>
      <c r="AS189" s="1013" t="s">
        <v>7724</v>
      </c>
      <c r="AT189" s="1013" t="s">
        <v>7724</v>
      </c>
      <c r="AU189" s="1013" t="s">
        <v>7724</v>
      </c>
      <c r="AV189" s="1013" t="s">
        <v>7724</v>
      </c>
      <c r="AW189" s="1013" t="s">
        <v>7724</v>
      </c>
      <c r="AX189" s="1013">
        <v>11</v>
      </c>
      <c r="AY189" s="1013">
        <v>1</v>
      </c>
      <c r="AZ189" s="1013">
        <v>0</v>
      </c>
      <c r="BA189" s="1013">
        <v>4</v>
      </c>
      <c r="BB189" s="1013">
        <v>1</v>
      </c>
      <c r="BC189" s="1013">
        <v>1</v>
      </c>
      <c r="BD189" s="1013">
        <v>20</v>
      </c>
      <c r="BE189" s="1023">
        <v>0.76736111111111116</v>
      </c>
      <c r="BF189" s="1013" t="s">
        <v>7865</v>
      </c>
      <c r="BG189" s="1023">
        <v>0.76736111111111116</v>
      </c>
      <c r="BH189" s="1024">
        <v>44397</v>
      </c>
      <c r="BI189" s="1013" t="s">
        <v>7727</v>
      </c>
      <c r="BJ189" s="1013" t="s">
        <v>7730</v>
      </c>
      <c r="BK189" s="1013">
        <v>2469</v>
      </c>
      <c r="BL189" s="1013" t="s">
        <v>7724</v>
      </c>
      <c r="BM189" s="1013" t="s">
        <v>7724</v>
      </c>
      <c r="BN189" s="1013">
        <v>113</v>
      </c>
      <c r="BO189" s="1013">
        <v>8</v>
      </c>
      <c r="BP189" s="1013">
        <v>2</v>
      </c>
      <c r="BQ189" s="1013">
        <v>4</v>
      </c>
      <c r="BR189" s="1013">
        <v>21</v>
      </c>
      <c r="BS189" s="1013">
        <v>64</v>
      </c>
      <c r="BT189" s="1013">
        <v>54</v>
      </c>
      <c r="BU189" s="1013">
        <v>1</v>
      </c>
      <c r="BV189" s="1013">
        <v>2</v>
      </c>
      <c r="BW189" s="1013">
        <v>1</v>
      </c>
      <c r="BX189" s="1013">
        <v>21</v>
      </c>
      <c r="BY189" s="1013">
        <v>21</v>
      </c>
      <c r="BZ189" s="1013">
        <v>101</v>
      </c>
      <c r="CA189" s="1013">
        <v>208</v>
      </c>
      <c r="CB189" s="1013">
        <v>29.732408</v>
      </c>
      <c r="CC189" s="1013">
        <v>-95.381944000000004</v>
      </c>
      <c r="CD189" s="1013" t="s">
        <v>8016</v>
      </c>
      <c r="CE189" s="1013">
        <v>69</v>
      </c>
      <c r="CF189" s="1013" t="s">
        <v>7724</v>
      </c>
      <c r="CG189" s="1013">
        <v>33.496000000000002</v>
      </c>
      <c r="CH189" s="1013" t="s">
        <v>8017</v>
      </c>
      <c r="CI189" s="1013" t="s">
        <v>7724</v>
      </c>
      <c r="CJ189" s="1013">
        <v>27</v>
      </c>
      <c r="CK189" s="1013">
        <v>13</v>
      </c>
      <c r="CL189" s="1013">
        <v>13.79</v>
      </c>
      <c r="CM189" s="1013">
        <v>128</v>
      </c>
      <c r="CN189" s="1013">
        <v>0.23699999999999999</v>
      </c>
      <c r="CO189" s="1013" t="s">
        <v>7724</v>
      </c>
      <c r="CP189" s="1013" t="s">
        <v>7724</v>
      </c>
      <c r="CQ189" s="1013" t="s">
        <v>7724</v>
      </c>
      <c r="CR189" s="1013" t="s">
        <v>7724</v>
      </c>
      <c r="CS189" s="1013" t="s">
        <v>7724</v>
      </c>
      <c r="CT189" s="1013" t="s">
        <v>7724</v>
      </c>
      <c r="CU189" s="1013" t="s">
        <v>7724</v>
      </c>
      <c r="CV189" s="1013" t="s">
        <v>7724</v>
      </c>
      <c r="CW189" s="1013" t="s">
        <v>7727</v>
      </c>
      <c r="CX189" s="1013" t="s">
        <v>7727</v>
      </c>
      <c r="CY189" s="1013" t="s">
        <v>7723</v>
      </c>
      <c r="CZ189" s="1013">
        <v>5</v>
      </c>
      <c r="DA189" s="1013">
        <v>9</v>
      </c>
      <c r="DB189" s="1013" t="s">
        <v>7727</v>
      </c>
      <c r="DC189" s="1013" t="s">
        <v>7737</v>
      </c>
      <c r="DD189" s="1013">
        <v>5</v>
      </c>
      <c r="DE189" s="1013" t="s">
        <v>7724</v>
      </c>
      <c r="DF189" s="1013">
        <v>20</v>
      </c>
      <c r="DG189" s="1013">
        <v>20</v>
      </c>
      <c r="DH189" s="1013">
        <v>5</v>
      </c>
      <c r="DI189" s="1013" t="s">
        <v>7724</v>
      </c>
      <c r="DJ189" s="1013">
        <v>8</v>
      </c>
      <c r="DK189" s="1013">
        <v>400</v>
      </c>
      <c r="DL189" s="1013">
        <v>138</v>
      </c>
      <c r="DM189" s="1013">
        <v>98</v>
      </c>
      <c r="DN189" s="1013">
        <v>1</v>
      </c>
      <c r="DO189" s="1013">
        <v>0</v>
      </c>
      <c r="DP189" s="1013">
        <v>0</v>
      </c>
      <c r="DQ189" s="1013">
        <v>1</v>
      </c>
      <c r="DR189" s="1013">
        <v>20</v>
      </c>
      <c r="DS189" s="1013">
        <v>5</v>
      </c>
      <c r="DT189" s="1013">
        <v>1</v>
      </c>
      <c r="DU189" s="1013">
        <v>20</v>
      </c>
      <c r="DV189" s="1013">
        <v>5</v>
      </c>
      <c r="DW189" s="1013">
        <v>7</v>
      </c>
      <c r="DX189" s="1013">
        <v>5</v>
      </c>
      <c r="DY189" s="1013">
        <v>4</v>
      </c>
      <c r="DZ189" s="1013">
        <v>1</v>
      </c>
      <c r="EA189" s="1013">
        <v>185410</v>
      </c>
      <c r="EB189" s="1013">
        <v>2019</v>
      </c>
      <c r="EC189" s="1013">
        <v>185410</v>
      </c>
      <c r="ED189" s="1013">
        <v>2.2999999999999998</v>
      </c>
      <c r="EE189" s="1013">
        <v>2.5</v>
      </c>
      <c r="EF189" s="1013">
        <v>4.8</v>
      </c>
      <c r="EG189" s="1013" t="s">
        <v>7724</v>
      </c>
      <c r="EH189" s="1013" t="s">
        <v>7724</v>
      </c>
      <c r="EI189" s="1013" t="s">
        <v>7724</v>
      </c>
      <c r="EJ189" s="1013" t="s">
        <v>7724</v>
      </c>
      <c r="EK189" s="1013" t="s">
        <v>7724</v>
      </c>
      <c r="EL189" s="1013" t="s">
        <v>7724</v>
      </c>
      <c r="EM189" s="1013" t="s">
        <v>7724</v>
      </c>
      <c r="EN189" s="1013" t="s">
        <v>7724</v>
      </c>
      <c r="EO189" s="1013" t="s">
        <v>7724</v>
      </c>
      <c r="EP189" s="1013" t="s">
        <v>7724</v>
      </c>
      <c r="EQ189" s="1013" t="s">
        <v>7724</v>
      </c>
      <c r="ER189" s="1013" t="s">
        <v>7724</v>
      </c>
      <c r="ES189" s="1013" t="s">
        <v>7724</v>
      </c>
      <c r="ET189" s="1013" t="s">
        <v>7724</v>
      </c>
      <c r="EU189" s="1013" t="s">
        <v>7724</v>
      </c>
      <c r="EV189" s="1013" t="s">
        <v>7724</v>
      </c>
      <c r="EW189" s="1013" t="s">
        <v>7724</v>
      </c>
      <c r="EX189" s="1013" t="s">
        <v>7724</v>
      </c>
      <c r="EY189" s="1013" t="s">
        <v>7724</v>
      </c>
      <c r="EZ189" s="1013" t="s">
        <v>7724</v>
      </c>
      <c r="FA189" s="1013" t="s">
        <v>7724</v>
      </c>
      <c r="FB189" s="1013" t="s">
        <v>7724</v>
      </c>
      <c r="FC189" s="1013" t="s">
        <v>7724</v>
      </c>
      <c r="FD189" s="1013" t="s">
        <v>7724</v>
      </c>
      <c r="FE189" s="1013" t="s">
        <v>7724</v>
      </c>
      <c r="FF189" s="1013" t="s">
        <v>7724</v>
      </c>
      <c r="FG189" s="1013">
        <v>0</v>
      </c>
      <c r="FH189" s="1013">
        <v>0</v>
      </c>
      <c r="FI189" s="1013">
        <v>0</v>
      </c>
      <c r="FJ189" s="1013">
        <v>6</v>
      </c>
      <c r="FK189" s="1013">
        <v>1</v>
      </c>
      <c r="FL189" s="1013">
        <v>0</v>
      </c>
      <c r="FM189" s="1013">
        <v>0</v>
      </c>
      <c r="FN189" s="1013">
        <v>15</v>
      </c>
      <c r="FO189" s="1013">
        <v>29</v>
      </c>
      <c r="FP189" s="1013">
        <v>6</v>
      </c>
      <c r="FQ189" s="1013" t="s">
        <v>7724</v>
      </c>
      <c r="FR189" s="1013" t="s">
        <v>7724</v>
      </c>
      <c r="FS189" s="1013" t="s">
        <v>7724</v>
      </c>
      <c r="FT189" s="1013" t="s">
        <v>7724</v>
      </c>
      <c r="FU189" s="1013" t="s">
        <v>7724</v>
      </c>
      <c r="FV189" s="1013" t="s">
        <v>7724</v>
      </c>
      <c r="FW189" s="1013" t="s">
        <v>7724</v>
      </c>
      <c r="FX189" s="1013" t="s">
        <v>7724</v>
      </c>
      <c r="FY189" s="1013" t="s">
        <v>7724</v>
      </c>
      <c r="FZ189" s="1013" t="s">
        <v>7724</v>
      </c>
      <c r="GA189" s="1013" t="s">
        <v>7724</v>
      </c>
      <c r="GB189" s="1013" t="s">
        <v>7724</v>
      </c>
      <c r="GC189" s="1013">
        <v>2021</v>
      </c>
      <c r="GD189" s="1013" t="s">
        <v>1407</v>
      </c>
      <c r="GE189" s="1013">
        <v>5</v>
      </c>
      <c r="GF189" s="1013" t="s">
        <v>1407</v>
      </c>
      <c r="GG189" s="1013" t="s">
        <v>1407</v>
      </c>
      <c r="GH189" s="1013" t="s">
        <v>8188</v>
      </c>
      <c r="GI189" s="1013" t="s">
        <v>8129</v>
      </c>
      <c r="GJ189" s="1013" t="s">
        <v>8129</v>
      </c>
      <c r="GK189" s="1013" t="s">
        <v>8129</v>
      </c>
      <c r="GL189" s="1013" t="s">
        <v>8129</v>
      </c>
    </row>
    <row r="190" spans="1:194" hidden="1">
      <c r="A190" s="1013">
        <v>182</v>
      </c>
      <c r="B190" s="1013" t="s">
        <v>7722</v>
      </c>
      <c r="C190" s="1013">
        <v>18508342</v>
      </c>
      <c r="D190" s="1013" t="s">
        <v>7723</v>
      </c>
      <c r="E190" s="1013" t="s">
        <v>7723</v>
      </c>
      <c r="F190" s="1013" t="s">
        <v>7723</v>
      </c>
      <c r="G190" s="1013" t="s">
        <v>7723</v>
      </c>
      <c r="H190" s="1013" t="s">
        <v>7723</v>
      </c>
      <c r="I190" s="1013" t="s">
        <v>7723</v>
      </c>
      <c r="J190" s="1013" t="s">
        <v>7723</v>
      </c>
      <c r="K190" s="1024">
        <v>44472</v>
      </c>
      <c r="L190" s="1023">
        <v>0.46666666666666667</v>
      </c>
      <c r="M190" s="1013" t="s">
        <v>8189</v>
      </c>
      <c r="N190" s="1013" t="s">
        <v>7724</v>
      </c>
      <c r="O190" s="1013">
        <v>101</v>
      </c>
      <c r="P190" s="1013">
        <v>208</v>
      </c>
      <c r="Q190" s="1013" t="s">
        <v>7723</v>
      </c>
      <c r="R190" s="1013" t="s">
        <v>7727</v>
      </c>
      <c r="S190" s="1013" t="s">
        <v>7724</v>
      </c>
      <c r="T190" s="1014" t="s">
        <v>7724</v>
      </c>
      <c r="U190" s="1014">
        <v>2</v>
      </c>
      <c r="V190" s="1014">
        <v>59</v>
      </c>
      <c r="W190" s="1014" t="s">
        <v>7724</v>
      </c>
      <c r="X190" s="1013">
        <v>1</v>
      </c>
      <c r="Y190" s="1013">
        <v>500</v>
      </c>
      <c r="Z190" s="1013" t="s">
        <v>7723</v>
      </c>
      <c r="AA190" s="1013" t="s">
        <v>8141</v>
      </c>
      <c r="AB190" s="1013" t="s">
        <v>7760</v>
      </c>
      <c r="AC190" s="1013" t="s">
        <v>7723</v>
      </c>
      <c r="AD190" s="1013" t="s">
        <v>7723</v>
      </c>
      <c r="AE190" s="1013">
        <v>65</v>
      </c>
      <c r="AF190" s="1013" t="s">
        <v>7723</v>
      </c>
      <c r="AG190" s="1013" t="s">
        <v>7723</v>
      </c>
      <c r="AH190" s="1013" t="s">
        <v>7739</v>
      </c>
      <c r="AI190" s="1013" t="s">
        <v>7723</v>
      </c>
      <c r="AJ190" s="1013">
        <v>19</v>
      </c>
      <c r="AK190" s="1013" t="s">
        <v>7724</v>
      </c>
      <c r="AL190" s="1013" t="s">
        <v>7724</v>
      </c>
      <c r="AM190" s="1013">
        <v>1</v>
      </c>
      <c r="AN190" s="1013" t="s">
        <v>7724</v>
      </c>
      <c r="AO190" s="1013" t="s">
        <v>7724</v>
      </c>
      <c r="AP190" s="1013" t="s">
        <v>7728</v>
      </c>
      <c r="AQ190" s="1013" t="s">
        <v>7726</v>
      </c>
      <c r="AR190" s="1013" t="s">
        <v>7724</v>
      </c>
      <c r="AS190" s="1013" t="s">
        <v>7724</v>
      </c>
      <c r="AT190" s="1013" t="s">
        <v>7724</v>
      </c>
      <c r="AU190" s="1013" t="s">
        <v>7724</v>
      </c>
      <c r="AV190" s="1013" t="s">
        <v>7724</v>
      </c>
      <c r="AW190" s="1013" t="s">
        <v>7724</v>
      </c>
      <c r="AX190" s="1013">
        <v>11</v>
      </c>
      <c r="AY190" s="1013">
        <v>1</v>
      </c>
      <c r="AZ190" s="1013">
        <v>0</v>
      </c>
      <c r="BA190" s="1013">
        <v>4</v>
      </c>
      <c r="BB190" s="1013">
        <v>1</v>
      </c>
      <c r="BC190" s="1013">
        <v>1</v>
      </c>
      <c r="BD190" s="1013">
        <v>20</v>
      </c>
      <c r="BE190" s="1023">
        <v>0.46666666666666667</v>
      </c>
      <c r="BF190" s="1013" t="s">
        <v>7736</v>
      </c>
      <c r="BG190" s="1023">
        <v>0.47499999999999998</v>
      </c>
      <c r="BH190" s="1024">
        <v>44472</v>
      </c>
      <c r="BI190" s="1013" t="s">
        <v>7727</v>
      </c>
      <c r="BJ190" s="1013" t="s">
        <v>7730</v>
      </c>
      <c r="BK190" s="1013">
        <v>2469</v>
      </c>
      <c r="BL190" s="1013" t="s">
        <v>7724</v>
      </c>
      <c r="BM190" s="1013" t="s">
        <v>7724</v>
      </c>
      <c r="BN190" s="1013">
        <v>121</v>
      </c>
      <c r="BO190" s="1013">
        <v>8</v>
      </c>
      <c r="BP190" s="1013">
        <v>2</v>
      </c>
      <c r="BQ190" s="1013">
        <v>4</v>
      </c>
      <c r="BR190" s="1013">
        <v>21</v>
      </c>
      <c r="BS190" s="1013">
        <v>64</v>
      </c>
      <c r="BT190" s="1013">
        <v>54</v>
      </c>
      <c r="BU190" s="1013">
        <v>1</v>
      </c>
      <c r="BV190" s="1013">
        <v>2</v>
      </c>
      <c r="BW190" s="1013">
        <v>1</v>
      </c>
      <c r="BX190" s="1013">
        <v>21</v>
      </c>
      <c r="BY190" s="1013">
        <v>21</v>
      </c>
      <c r="BZ190" s="1013">
        <v>101</v>
      </c>
      <c r="CA190" s="1013">
        <v>208</v>
      </c>
      <c r="CB190" s="1013">
        <v>29.732419</v>
      </c>
      <c r="CC190" s="1013">
        <v>-95.381804000000002</v>
      </c>
      <c r="CD190" s="1013" t="s">
        <v>8016</v>
      </c>
      <c r="CE190" s="1013">
        <v>69</v>
      </c>
      <c r="CF190" s="1013" t="s">
        <v>7724</v>
      </c>
      <c r="CG190" s="1013">
        <v>33.503999999999998</v>
      </c>
      <c r="CH190" s="1013" t="s">
        <v>8017</v>
      </c>
      <c r="CI190" s="1013" t="s">
        <v>7724</v>
      </c>
      <c r="CJ190" s="1013">
        <v>27</v>
      </c>
      <c r="CK190" s="1013">
        <v>13</v>
      </c>
      <c r="CL190" s="1013">
        <v>13.798</v>
      </c>
      <c r="CM190" s="1013">
        <v>128</v>
      </c>
      <c r="CN190" s="1013">
        <v>0.245</v>
      </c>
      <c r="CO190" s="1013" t="s">
        <v>7724</v>
      </c>
      <c r="CP190" s="1013" t="s">
        <v>7724</v>
      </c>
      <c r="CQ190" s="1013" t="s">
        <v>7724</v>
      </c>
      <c r="CR190" s="1013" t="s">
        <v>7724</v>
      </c>
      <c r="CS190" s="1013" t="s">
        <v>7724</v>
      </c>
      <c r="CT190" s="1013" t="s">
        <v>7724</v>
      </c>
      <c r="CU190" s="1013" t="s">
        <v>7724</v>
      </c>
      <c r="CV190" s="1013" t="s">
        <v>7724</v>
      </c>
      <c r="CW190" s="1013" t="s">
        <v>7727</v>
      </c>
      <c r="CX190" s="1013" t="s">
        <v>7727</v>
      </c>
      <c r="CY190" s="1013" t="s">
        <v>7723</v>
      </c>
      <c r="CZ190" s="1013">
        <v>5</v>
      </c>
      <c r="DA190" s="1013">
        <v>9</v>
      </c>
      <c r="DB190" s="1013" t="s">
        <v>7727</v>
      </c>
      <c r="DC190" s="1013" t="s">
        <v>7747</v>
      </c>
      <c r="DD190" s="1013">
        <v>5</v>
      </c>
      <c r="DE190" s="1013" t="s">
        <v>7724</v>
      </c>
      <c r="DF190" s="1013">
        <v>20</v>
      </c>
      <c r="DG190" s="1013">
        <v>20</v>
      </c>
      <c r="DH190" s="1013">
        <v>5</v>
      </c>
      <c r="DI190" s="1013" t="s">
        <v>7724</v>
      </c>
      <c r="DJ190" s="1013">
        <v>8</v>
      </c>
      <c r="DK190" s="1013">
        <v>400</v>
      </c>
      <c r="DL190" s="1013">
        <v>138</v>
      </c>
      <c r="DM190" s="1013">
        <v>98</v>
      </c>
      <c r="DN190" s="1013">
        <v>1</v>
      </c>
      <c r="DO190" s="1013">
        <v>0</v>
      </c>
      <c r="DP190" s="1013">
        <v>0</v>
      </c>
      <c r="DQ190" s="1013">
        <v>1</v>
      </c>
      <c r="DR190" s="1013">
        <v>20</v>
      </c>
      <c r="DS190" s="1013">
        <v>5</v>
      </c>
      <c r="DT190" s="1013">
        <v>1</v>
      </c>
      <c r="DU190" s="1013">
        <v>20</v>
      </c>
      <c r="DV190" s="1013">
        <v>5</v>
      </c>
      <c r="DW190" s="1013">
        <v>7</v>
      </c>
      <c r="DX190" s="1013">
        <v>5</v>
      </c>
      <c r="DY190" s="1013">
        <v>4</v>
      </c>
      <c r="DZ190" s="1013">
        <v>1</v>
      </c>
      <c r="EA190" s="1013">
        <v>185410</v>
      </c>
      <c r="EB190" s="1013">
        <v>2019</v>
      </c>
      <c r="EC190" s="1013">
        <v>185410</v>
      </c>
      <c r="ED190" s="1013">
        <v>2.2999999999999998</v>
      </c>
      <c r="EE190" s="1013">
        <v>2.5</v>
      </c>
      <c r="EF190" s="1013">
        <v>4.8</v>
      </c>
      <c r="EG190" s="1013" t="s">
        <v>7724</v>
      </c>
      <c r="EH190" s="1013" t="s">
        <v>7724</v>
      </c>
      <c r="EI190" s="1013" t="s">
        <v>7724</v>
      </c>
      <c r="EJ190" s="1013" t="s">
        <v>7724</v>
      </c>
      <c r="EK190" s="1013" t="s">
        <v>7724</v>
      </c>
      <c r="EL190" s="1013" t="s">
        <v>7724</v>
      </c>
      <c r="EM190" s="1013" t="s">
        <v>7724</v>
      </c>
      <c r="EN190" s="1013" t="s">
        <v>7724</v>
      </c>
      <c r="EO190" s="1013" t="s">
        <v>7724</v>
      </c>
      <c r="EP190" s="1013" t="s">
        <v>7724</v>
      </c>
      <c r="EQ190" s="1013" t="s">
        <v>7724</v>
      </c>
      <c r="ER190" s="1013" t="s">
        <v>7724</v>
      </c>
      <c r="ES190" s="1013" t="s">
        <v>7724</v>
      </c>
      <c r="ET190" s="1013" t="s">
        <v>7724</v>
      </c>
      <c r="EU190" s="1013" t="s">
        <v>7724</v>
      </c>
      <c r="EV190" s="1013" t="s">
        <v>7724</v>
      </c>
      <c r="EW190" s="1013" t="s">
        <v>7724</v>
      </c>
      <c r="EX190" s="1013" t="s">
        <v>7724</v>
      </c>
      <c r="EY190" s="1013" t="s">
        <v>7724</v>
      </c>
      <c r="EZ190" s="1013" t="s">
        <v>7724</v>
      </c>
      <c r="FA190" s="1013" t="s">
        <v>7724</v>
      </c>
      <c r="FB190" s="1013" t="s">
        <v>7724</v>
      </c>
      <c r="FC190" s="1013" t="s">
        <v>7724</v>
      </c>
      <c r="FD190" s="1013" t="s">
        <v>7724</v>
      </c>
      <c r="FE190" s="1013" t="s">
        <v>7724</v>
      </c>
      <c r="FF190" s="1013" t="s">
        <v>7724</v>
      </c>
      <c r="FG190" s="1013">
        <v>0</v>
      </c>
      <c r="FH190" s="1013">
        <v>0</v>
      </c>
      <c r="FI190" s="1013">
        <v>0</v>
      </c>
      <c r="FJ190" s="1013">
        <v>2</v>
      </c>
      <c r="FK190" s="1013">
        <v>0</v>
      </c>
      <c r="FL190" s="1013">
        <v>0</v>
      </c>
      <c r="FM190" s="1013">
        <v>0</v>
      </c>
      <c r="FN190" s="1013">
        <v>15</v>
      </c>
      <c r="FO190" s="1013">
        <v>35</v>
      </c>
      <c r="FP190" s="1013">
        <v>16</v>
      </c>
      <c r="FQ190" s="1013" t="s">
        <v>7724</v>
      </c>
      <c r="FR190" s="1013" t="s">
        <v>7724</v>
      </c>
      <c r="FS190" s="1013" t="s">
        <v>7724</v>
      </c>
      <c r="FT190" s="1013" t="s">
        <v>7724</v>
      </c>
      <c r="FU190" s="1013" t="s">
        <v>7724</v>
      </c>
      <c r="FV190" s="1013" t="s">
        <v>7724</v>
      </c>
      <c r="FW190" s="1013" t="s">
        <v>7724</v>
      </c>
      <c r="FX190" s="1013" t="s">
        <v>7724</v>
      </c>
      <c r="FY190" s="1013" t="s">
        <v>7724</v>
      </c>
      <c r="FZ190" s="1013" t="s">
        <v>7724</v>
      </c>
      <c r="GA190" s="1013" t="s">
        <v>7724</v>
      </c>
      <c r="GB190" s="1013" t="s">
        <v>7724</v>
      </c>
      <c r="GC190" s="1013">
        <v>2021</v>
      </c>
      <c r="GD190" s="1013" t="s">
        <v>1404</v>
      </c>
      <c r="GE190" s="1013">
        <v>2</v>
      </c>
      <c r="GF190" s="1013" t="s">
        <v>1407</v>
      </c>
      <c r="GG190" s="1013" t="s">
        <v>1407</v>
      </c>
      <c r="GH190" s="1013" t="s">
        <v>8012</v>
      </c>
      <c r="GI190" s="1013" t="s">
        <v>7974</v>
      </c>
      <c r="GJ190" s="1013" t="s">
        <v>7974</v>
      </c>
      <c r="GK190" s="1013" t="s">
        <v>7974</v>
      </c>
      <c r="GL190" s="1013" t="s">
        <v>7974</v>
      </c>
    </row>
    <row r="191" spans="1:194" hidden="1">
      <c r="A191" s="1013">
        <v>184</v>
      </c>
      <c r="B191" s="1013" t="s">
        <v>7722</v>
      </c>
      <c r="C191" s="1013">
        <v>18557693</v>
      </c>
      <c r="D191" s="1013" t="s">
        <v>7723</v>
      </c>
      <c r="E191" s="1013" t="s">
        <v>7727</v>
      </c>
      <c r="F191" s="1013" t="s">
        <v>7723</v>
      </c>
      <c r="G191" s="1013" t="s">
        <v>7723</v>
      </c>
      <c r="H191" s="1013" t="s">
        <v>7723</v>
      </c>
      <c r="I191" s="1013" t="s">
        <v>7723</v>
      </c>
      <c r="J191" s="1013" t="s">
        <v>7723</v>
      </c>
      <c r="K191" s="1024">
        <v>44496</v>
      </c>
      <c r="L191" s="1023">
        <v>0.53402777777777777</v>
      </c>
      <c r="M191" s="1013" t="s">
        <v>8190</v>
      </c>
      <c r="N191" s="1013" t="s">
        <v>7724</v>
      </c>
      <c r="O191" s="1013">
        <v>101</v>
      </c>
      <c r="P191" s="1013">
        <v>208</v>
      </c>
      <c r="Q191" s="1013" t="s">
        <v>7723</v>
      </c>
      <c r="R191" s="1013" t="s">
        <v>7727</v>
      </c>
      <c r="S191" s="1013" t="s">
        <v>7724</v>
      </c>
      <c r="T191" s="1014" t="s">
        <v>7724</v>
      </c>
      <c r="U191" s="1014">
        <v>2</v>
      </c>
      <c r="V191" s="1014">
        <v>59</v>
      </c>
      <c r="W191" s="1014" t="s">
        <v>7724</v>
      </c>
      <c r="X191" s="1013">
        <v>1</v>
      </c>
      <c r="Y191" s="1013">
        <v>800</v>
      </c>
      <c r="Z191" s="1013" t="s">
        <v>7770</v>
      </c>
      <c r="AA191" s="1013" t="s">
        <v>7771</v>
      </c>
      <c r="AB191" s="1013" t="s">
        <v>7760</v>
      </c>
      <c r="AC191" s="1013" t="s">
        <v>7723</v>
      </c>
      <c r="AD191" s="1013" t="s">
        <v>7723</v>
      </c>
      <c r="AE191" s="1013">
        <v>60</v>
      </c>
      <c r="AF191" s="1013" t="s">
        <v>7723</v>
      </c>
      <c r="AG191" s="1013" t="s">
        <v>7723</v>
      </c>
      <c r="AH191" s="1013" t="s">
        <v>7739</v>
      </c>
      <c r="AI191" s="1013" t="s">
        <v>7723</v>
      </c>
      <c r="AJ191" s="1013">
        <v>19</v>
      </c>
      <c r="AK191" s="1013" t="s">
        <v>7724</v>
      </c>
      <c r="AL191" s="1013" t="s">
        <v>7724</v>
      </c>
      <c r="AM191" s="1013">
        <v>1</v>
      </c>
      <c r="AN191" s="1013">
        <v>4500</v>
      </c>
      <c r="AO191" s="1013" t="s">
        <v>7724</v>
      </c>
      <c r="AP191" s="1013" t="s">
        <v>8191</v>
      </c>
      <c r="AQ191" s="1013" t="s">
        <v>8192</v>
      </c>
      <c r="AR191" s="1013" t="s">
        <v>7724</v>
      </c>
      <c r="AS191" s="1013" t="s">
        <v>7724</v>
      </c>
      <c r="AT191" s="1013" t="s">
        <v>7724</v>
      </c>
      <c r="AU191" s="1013" t="s">
        <v>7724</v>
      </c>
      <c r="AV191" s="1013" t="s">
        <v>7724</v>
      </c>
      <c r="AW191" s="1013" t="s">
        <v>7724</v>
      </c>
      <c r="AX191" s="1013">
        <v>12</v>
      </c>
      <c r="AY191" s="1013">
        <v>1</v>
      </c>
      <c r="AZ191" s="1013">
        <v>0</v>
      </c>
      <c r="BA191" s="1013">
        <v>4</v>
      </c>
      <c r="BB191" s="1013">
        <v>1</v>
      </c>
      <c r="BC191" s="1013">
        <v>1</v>
      </c>
      <c r="BD191" s="1013">
        <v>1</v>
      </c>
      <c r="BE191" s="1023">
        <v>0.53472222222222221</v>
      </c>
      <c r="BF191" s="1013" t="s">
        <v>7729</v>
      </c>
      <c r="BG191" s="1023">
        <v>0.54166666666666663</v>
      </c>
      <c r="BH191" s="1024">
        <v>44498</v>
      </c>
      <c r="BI191" s="1013" t="s">
        <v>7727</v>
      </c>
      <c r="BJ191" s="1013" t="s">
        <v>7730</v>
      </c>
      <c r="BK191" s="1013">
        <v>2469</v>
      </c>
      <c r="BL191" s="1013" t="s">
        <v>7724</v>
      </c>
      <c r="BM191" s="1013" t="s">
        <v>7724</v>
      </c>
      <c r="BN191" s="1013">
        <v>113</v>
      </c>
      <c r="BO191" s="1013">
        <v>8</v>
      </c>
      <c r="BP191" s="1013">
        <v>2</v>
      </c>
      <c r="BQ191" s="1013">
        <v>4</v>
      </c>
      <c r="BR191" s="1013">
        <v>21</v>
      </c>
      <c r="BS191" s="1013">
        <v>64</v>
      </c>
      <c r="BT191" s="1013">
        <v>54</v>
      </c>
      <c r="BU191" s="1013">
        <v>1</v>
      </c>
      <c r="BV191" s="1013">
        <v>2</v>
      </c>
      <c r="BW191" s="1013">
        <v>1</v>
      </c>
      <c r="BX191" s="1013">
        <v>21</v>
      </c>
      <c r="BY191" s="1013">
        <v>21</v>
      </c>
      <c r="BZ191" s="1013">
        <v>101</v>
      </c>
      <c r="CA191" s="1013">
        <v>208</v>
      </c>
      <c r="CB191" s="1013">
        <v>29.732430999999998</v>
      </c>
      <c r="CC191" s="1013">
        <v>-95.381654999999995</v>
      </c>
      <c r="CD191" s="1013" t="s">
        <v>8016</v>
      </c>
      <c r="CE191" s="1013">
        <v>69</v>
      </c>
      <c r="CF191" s="1013" t="s">
        <v>7724</v>
      </c>
      <c r="CG191" s="1013">
        <v>33.512999999999998</v>
      </c>
      <c r="CH191" s="1013" t="s">
        <v>8017</v>
      </c>
      <c r="CI191" s="1013" t="s">
        <v>7724</v>
      </c>
      <c r="CJ191" s="1013">
        <v>27</v>
      </c>
      <c r="CK191" s="1013">
        <v>13</v>
      </c>
      <c r="CL191" s="1013">
        <v>13.808</v>
      </c>
      <c r="CM191" s="1013">
        <v>128</v>
      </c>
      <c r="CN191" s="1013">
        <v>0.254</v>
      </c>
      <c r="CO191" s="1013" t="s">
        <v>7724</v>
      </c>
      <c r="CP191" s="1013" t="s">
        <v>7724</v>
      </c>
      <c r="CQ191" s="1013" t="s">
        <v>7724</v>
      </c>
      <c r="CR191" s="1013" t="s">
        <v>7724</v>
      </c>
      <c r="CS191" s="1013" t="s">
        <v>7724</v>
      </c>
      <c r="CT191" s="1013" t="s">
        <v>7724</v>
      </c>
      <c r="CU191" s="1013" t="s">
        <v>7724</v>
      </c>
      <c r="CV191" s="1013" t="s">
        <v>7724</v>
      </c>
      <c r="CW191" s="1013" t="s">
        <v>7727</v>
      </c>
      <c r="CX191" s="1013" t="s">
        <v>7727</v>
      </c>
      <c r="CY191" s="1013" t="s">
        <v>7723</v>
      </c>
      <c r="CZ191" s="1013">
        <v>5</v>
      </c>
      <c r="DA191" s="1013">
        <v>9</v>
      </c>
      <c r="DB191" s="1013" t="s">
        <v>7727</v>
      </c>
      <c r="DC191" s="1013" t="s">
        <v>7756</v>
      </c>
      <c r="DD191" s="1013">
        <v>5</v>
      </c>
      <c r="DE191" s="1013" t="s">
        <v>7724</v>
      </c>
      <c r="DF191" s="1013">
        <v>20</v>
      </c>
      <c r="DG191" s="1013">
        <v>20</v>
      </c>
      <c r="DH191" s="1013">
        <v>5</v>
      </c>
      <c r="DI191" s="1013" t="s">
        <v>7724</v>
      </c>
      <c r="DJ191" s="1013">
        <v>8</v>
      </c>
      <c r="DK191" s="1013">
        <v>400</v>
      </c>
      <c r="DL191" s="1013">
        <v>138</v>
      </c>
      <c r="DM191" s="1013">
        <v>98</v>
      </c>
      <c r="DN191" s="1013">
        <v>1</v>
      </c>
      <c r="DO191" s="1013">
        <v>0</v>
      </c>
      <c r="DP191" s="1013">
        <v>0</v>
      </c>
      <c r="DQ191" s="1013">
        <v>1</v>
      </c>
      <c r="DR191" s="1013">
        <v>20</v>
      </c>
      <c r="DS191" s="1013">
        <v>5</v>
      </c>
      <c r="DT191" s="1013">
        <v>1</v>
      </c>
      <c r="DU191" s="1013">
        <v>20</v>
      </c>
      <c r="DV191" s="1013">
        <v>5</v>
      </c>
      <c r="DW191" s="1013">
        <v>7</v>
      </c>
      <c r="DX191" s="1013">
        <v>5</v>
      </c>
      <c r="DY191" s="1013">
        <v>4</v>
      </c>
      <c r="DZ191" s="1013">
        <v>1</v>
      </c>
      <c r="EA191" s="1013">
        <v>185410</v>
      </c>
      <c r="EB191" s="1013">
        <v>2019</v>
      </c>
      <c r="EC191" s="1013">
        <v>185410</v>
      </c>
      <c r="ED191" s="1013">
        <v>2.2999999999999998</v>
      </c>
      <c r="EE191" s="1013">
        <v>2.5</v>
      </c>
      <c r="EF191" s="1013">
        <v>4.8</v>
      </c>
      <c r="EG191" s="1013" t="s">
        <v>7724</v>
      </c>
      <c r="EH191" s="1013" t="s">
        <v>7724</v>
      </c>
      <c r="EI191" s="1013" t="s">
        <v>7724</v>
      </c>
      <c r="EJ191" s="1013" t="s">
        <v>7724</v>
      </c>
      <c r="EK191" s="1013" t="s">
        <v>7724</v>
      </c>
      <c r="EL191" s="1013" t="s">
        <v>7724</v>
      </c>
      <c r="EM191" s="1013" t="s">
        <v>7724</v>
      </c>
      <c r="EN191" s="1013" t="s">
        <v>7724</v>
      </c>
      <c r="EO191" s="1013" t="s">
        <v>7724</v>
      </c>
      <c r="EP191" s="1013" t="s">
        <v>7724</v>
      </c>
      <c r="EQ191" s="1013" t="s">
        <v>7724</v>
      </c>
      <c r="ER191" s="1013" t="s">
        <v>7724</v>
      </c>
      <c r="ES191" s="1013" t="s">
        <v>7724</v>
      </c>
      <c r="ET191" s="1013" t="s">
        <v>7724</v>
      </c>
      <c r="EU191" s="1013" t="s">
        <v>7724</v>
      </c>
      <c r="EV191" s="1013" t="s">
        <v>7724</v>
      </c>
      <c r="EW191" s="1013" t="s">
        <v>7724</v>
      </c>
      <c r="EX191" s="1013" t="s">
        <v>7724</v>
      </c>
      <c r="EY191" s="1013" t="s">
        <v>7724</v>
      </c>
      <c r="EZ191" s="1013" t="s">
        <v>7724</v>
      </c>
      <c r="FA191" s="1013" t="s">
        <v>7724</v>
      </c>
      <c r="FB191" s="1013" t="s">
        <v>7724</v>
      </c>
      <c r="FC191" s="1013" t="s">
        <v>7724</v>
      </c>
      <c r="FD191" s="1013" t="s">
        <v>7724</v>
      </c>
      <c r="FE191" s="1013" t="s">
        <v>7724</v>
      </c>
      <c r="FF191" s="1013" t="s">
        <v>7724</v>
      </c>
      <c r="FG191" s="1013">
        <v>0</v>
      </c>
      <c r="FH191" s="1013">
        <v>0</v>
      </c>
      <c r="FI191" s="1013">
        <v>0</v>
      </c>
      <c r="FJ191" s="1013">
        <v>2</v>
      </c>
      <c r="FK191" s="1013">
        <v>0</v>
      </c>
      <c r="FL191" s="1013">
        <v>0</v>
      </c>
      <c r="FM191" s="1013">
        <v>0</v>
      </c>
      <c r="FN191" s="1013">
        <v>15</v>
      </c>
      <c r="FO191" s="1013">
        <v>29</v>
      </c>
      <c r="FP191" s="1013">
        <v>51</v>
      </c>
      <c r="FQ191" s="1013" t="s">
        <v>7724</v>
      </c>
      <c r="FR191" s="1013" t="s">
        <v>7724</v>
      </c>
      <c r="FS191" s="1013" t="s">
        <v>7724</v>
      </c>
      <c r="FT191" s="1013" t="s">
        <v>7724</v>
      </c>
      <c r="FU191" s="1013" t="s">
        <v>7724</v>
      </c>
      <c r="FV191" s="1013" t="s">
        <v>7724</v>
      </c>
      <c r="FW191" s="1013" t="s">
        <v>7724</v>
      </c>
      <c r="FX191" s="1013" t="s">
        <v>7724</v>
      </c>
      <c r="FY191" s="1013" t="s">
        <v>7724</v>
      </c>
      <c r="FZ191" s="1013" t="s">
        <v>7724</v>
      </c>
      <c r="GA191" s="1013" t="s">
        <v>7724</v>
      </c>
      <c r="GB191" s="1013" t="s">
        <v>7724</v>
      </c>
      <c r="GC191" s="1013">
        <v>2021</v>
      </c>
      <c r="GD191" s="1013" t="s">
        <v>1404</v>
      </c>
      <c r="GE191" s="1013">
        <v>3</v>
      </c>
      <c r="GF191" s="1013" t="s">
        <v>1407</v>
      </c>
      <c r="GG191" s="1013" t="s">
        <v>1407</v>
      </c>
      <c r="GH191" s="1013" t="s">
        <v>7983</v>
      </c>
      <c r="GI191" s="1013" t="s">
        <v>7980</v>
      </c>
      <c r="GJ191" s="1013" t="s">
        <v>7980</v>
      </c>
      <c r="GK191" s="1013" t="s">
        <v>8193</v>
      </c>
      <c r="GL191" s="1013" t="s">
        <v>7980</v>
      </c>
    </row>
    <row r="192" spans="1:194" hidden="1">
      <c r="A192" s="1013">
        <v>185</v>
      </c>
      <c r="B192" s="1013" t="s">
        <v>7722</v>
      </c>
      <c r="C192" s="1013">
        <v>18568221</v>
      </c>
      <c r="D192" s="1013" t="s">
        <v>7723</v>
      </c>
      <c r="E192" s="1013" t="s">
        <v>7723</v>
      </c>
      <c r="F192" s="1013" t="s">
        <v>7723</v>
      </c>
      <c r="G192" s="1013" t="s">
        <v>7723</v>
      </c>
      <c r="H192" s="1013" t="s">
        <v>7723</v>
      </c>
      <c r="I192" s="1013" t="s">
        <v>7723</v>
      </c>
      <c r="J192" s="1013" t="s">
        <v>7723</v>
      </c>
      <c r="K192" s="1024">
        <v>44496</v>
      </c>
      <c r="L192" s="1023">
        <v>0.95833333333333337</v>
      </c>
      <c r="M192" s="1013" t="s">
        <v>8194</v>
      </c>
      <c r="N192" s="1013" t="s">
        <v>7724</v>
      </c>
      <c r="O192" s="1013">
        <v>101</v>
      </c>
      <c r="P192" s="1013">
        <v>208</v>
      </c>
      <c r="Q192" s="1013" t="s">
        <v>7723</v>
      </c>
      <c r="R192" s="1013" t="s">
        <v>7727</v>
      </c>
      <c r="S192" s="1013" t="s">
        <v>7724</v>
      </c>
      <c r="T192" s="1014" t="s">
        <v>7724</v>
      </c>
      <c r="U192" s="1014">
        <v>1</v>
      </c>
      <c r="V192" s="1014">
        <v>69</v>
      </c>
      <c r="W192" s="1014" t="s">
        <v>7724</v>
      </c>
      <c r="X192" s="1013">
        <v>1</v>
      </c>
      <c r="Y192" s="1013">
        <v>400</v>
      </c>
      <c r="Z192" s="1013" t="s">
        <v>7724</v>
      </c>
      <c r="AA192" s="1013" t="s">
        <v>7771</v>
      </c>
      <c r="AB192" s="1013" t="s">
        <v>7760</v>
      </c>
      <c r="AC192" s="1013" t="s">
        <v>7723</v>
      </c>
      <c r="AD192" s="1013" t="s">
        <v>7723</v>
      </c>
      <c r="AE192" s="1013">
        <v>60</v>
      </c>
      <c r="AF192" s="1013" t="s">
        <v>7723</v>
      </c>
      <c r="AG192" s="1013" t="s">
        <v>7723</v>
      </c>
      <c r="AH192" s="1013" t="s">
        <v>7724</v>
      </c>
      <c r="AI192" s="1013" t="s">
        <v>7723</v>
      </c>
      <c r="AJ192" s="1013">
        <v>19</v>
      </c>
      <c r="AK192" s="1013" t="s">
        <v>7724</v>
      </c>
      <c r="AL192" s="1013" t="s">
        <v>7724</v>
      </c>
      <c r="AM192" s="1013">
        <v>4</v>
      </c>
      <c r="AN192" s="1013">
        <v>4500</v>
      </c>
      <c r="AO192" s="1013" t="s">
        <v>7724</v>
      </c>
      <c r="AP192" s="1013" t="s">
        <v>7840</v>
      </c>
      <c r="AQ192" s="1013" t="s">
        <v>7726</v>
      </c>
      <c r="AR192" s="1013" t="s">
        <v>7724</v>
      </c>
      <c r="AS192" s="1013" t="s">
        <v>7724</v>
      </c>
      <c r="AT192" s="1013" t="s">
        <v>7724</v>
      </c>
      <c r="AU192" s="1013" t="s">
        <v>7724</v>
      </c>
      <c r="AV192" s="1013" t="s">
        <v>7724</v>
      </c>
      <c r="AW192" s="1013" t="s">
        <v>7724</v>
      </c>
      <c r="AX192" s="1013">
        <v>11</v>
      </c>
      <c r="AY192" s="1013">
        <v>4</v>
      </c>
      <c r="AZ192" s="1013">
        <v>0</v>
      </c>
      <c r="BA192" s="1013">
        <v>4</v>
      </c>
      <c r="BB192" s="1013">
        <v>1</v>
      </c>
      <c r="BC192" s="1013">
        <v>1</v>
      </c>
      <c r="BD192" s="1013">
        <v>20</v>
      </c>
      <c r="BE192" s="1023">
        <v>0.76597222222222228</v>
      </c>
      <c r="BF192" s="1013" t="s">
        <v>7736</v>
      </c>
      <c r="BG192" s="1023">
        <v>0.77916666666666667</v>
      </c>
      <c r="BH192" s="1024">
        <v>44497</v>
      </c>
      <c r="BI192" s="1013" t="s">
        <v>7727</v>
      </c>
      <c r="BJ192" s="1013" t="s">
        <v>8195</v>
      </c>
      <c r="BK192" s="1013">
        <v>2741</v>
      </c>
      <c r="BL192" s="1013" t="s">
        <v>7724</v>
      </c>
      <c r="BM192" s="1013" t="s">
        <v>7724</v>
      </c>
      <c r="BN192" s="1013" t="s">
        <v>7724</v>
      </c>
      <c r="BO192" s="1013">
        <v>8</v>
      </c>
      <c r="BP192" s="1013">
        <v>2</v>
      </c>
      <c r="BQ192" s="1013">
        <v>4</v>
      </c>
      <c r="BR192" s="1013">
        <v>20</v>
      </c>
      <c r="BS192" s="1013">
        <v>64</v>
      </c>
      <c r="BT192" s="1013">
        <v>54</v>
      </c>
      <c r="BU192" s="1013">
        <v>1</v>
      </c>
      <c r="BV192" s="1013">
        <v>1</v>
      </c>
      <c r="BW192" s="1013">
        <v>1</v>
      </c>
      <c r="BX192" s="1013">
        <v>21</v>
      </c>
      <c r="BY192" s="1013">
        <v>21</v>
      </c>
      <c r="BZ192" s="1013">
        <v>101</v>
      </c>
      <c r="CA192" s="1013">
        <v>208</v>
      </c>
      <c r="CB192" s="1013">
        <v>29.732538999999999</v>
      </c>
      <c r="CC192" s="1013">
        <v>-95.380249000000006</v>
      </c>
      <c r="CD192" s="1013" t="s">
        <v>8016</v>
      </c>
      <c r="CE192" s="1013">
        <v>69</v>
      </c>
      <c r="CF192" s="1013" t="s">
        <v>7724</v>
      </c>
      <c r="CG192" s="1013">
        <v>33.597999999999999</v>
      </c>
      <c r="CH192" s="1013" t="s">
        <v>8017</v>
      </c>
      <c r="CI192" s="1013" t="s">
        <v>7724</v>
      </c>
      <c r="CJ192" s="1013">
        <v>27</v>
      </c>
      <c r="CK192" s="1013">
        <v>13</v>
      </c>
      <c r="CL192" s="1013">
        <v>13.896000000000001</v>
      </c>
      <c r="CM192" s="1013">
        <v>128</v>
      </c>
      <c r="CN192" s="1013">
        <v>0.33900000000000002</v>
      </c>
      <c r="CO192" s="1013" t="s">
        <v>7724</v>
      </c>
      <c r="CP192" s="1013" t="s">
        <v>7724</v>
      </c>
      <c r="CQ192" s="1013" t="s">
        <v>7724</v>
      </c>
      <c r="CR192" s="1013" t="s">
        <v>7724</v>
      </c>
      <c r="CS192" s="1013" t="s">
        <v>7724</v>
      </c>
      <c r="CT192" s="1013" t="s">
        <v>7724</v>
      </c>
      <c r="CU192" s="1013" t="s">
        <v>7724</v>
      </c>
      <c r="CV192" s="1013" t="s">
        <v>7724</v>
      </c>
      <c r="CW192" s="1013" t="s">
        <v>7727</v>
      </c>
      <c r="CX192" s="1013" t="s">
        <v>7727</v>
      </c>
      <c r="CY192" s="1013" t="s">
        <v>7723</v>
      </c>
      <c r="CZ192" s="1013">
        <v>5</v>
      </c>
      <c r="DA192" s="1013">
        <v>9</v>
      </c>
      <c r="DB192" s="1013" t="s">
        <v>7727</v>
      </c>
      <c r="DC192" s="1013" t="s">
        <v>7756</v>
      </c>
      <c r="DD192" s="1013">
        <v>5</v>
      </c>
      <c r="DE192" s="1013" t="s">
        <v>7724</v>
      </c>
      <c r="DF192" s="1013">
        <v>20</v>
      </c>
      <c r="DG192" s="1013">
        <v>20</v>
      </c>
      <c r="DH192" s="1013">
        <v>5</v>
      </c>
      <c r="DI192" s="1013" t="s">
        <v>7724</v>
      </c>
      <c r="DJ192" s="1013">
        <v>8</v>
      </c>
      <c r="DK192" s="1013">
        <v>400</v>
      </c>
      <c r="DL192" s="1013">
        <v>138</v>
      </c>
      <c r="DM192" s="1013">
        <v>98</v>
      </c>
      <c r="DN192" s="1013">
        <v>1</v>
      </c>
      <c r="DO192" s="1013">
        <v>0</v>
      </c>
      <c r="DP192" s="1013">
        <v>0</v>
      </c>
      <c r="DQ192" s="1013">
        <v>1</v>
      </c>
      <c r="DR192" s="1013">
        <v>20</v>
      </c>
      <c r="DS192" s="1013">
        <v>5</v>
      </c>
      <c r="DT192" s="1013">
        <v>1</v>
      </c>
      <c r="DU192" s="1013">
        <v>20</v>
      </c>
      <c r="DV192" s="1013">
        <v>5</v>
      </c>
      <c r="DW192" s="1013">
        <v>7</v>
      </c>
      <c r="DX192" s="1013">
        <v>5</v>
      </c>
      <c r="DY192" s="1013">
        <v>4</v>
      </c>
      <c r="DZ192" s="1013">
        <v>1</v>
      </c>
      <c r="EA192" s="1013">
        <v>185410</v>
      </c>
      <c r="EB192" s="1013">
        <v>2019</v>
      </c>
      <c r="EC192" s="1013">
        <v>185410</v>
      </c>
      <c r="ED192" s="1013">
        <v>2.2999999999999998</v>
      </c>
      <c r="EE192" s="1013">
        <v>2.5</v>
      </c>
      <c r="EF192" s="1013">
        <v>4.8</v>
      </c>
      <c r="EG192" s="1013" t="s">
        <v>7724</v>
      </c>
      <c r="EH192" s="1013" t="s">
        <v>7724</v>
      </c>
      <c r="EI192" s="1013" t="s">
        <v>7724</v>
      </c>
      <c r="EJ192" s="1013" t="s">
        <v>7724</v>
      </c>
      <c r="EK192" s="1013" t="s">
        <v>7724</v>
      </c>
      <c r="EL192" s="1013" t="s">
        <v>7724</v>
      </c>
      <c r="EM192" s="1013" t="s">
        <v>7724</v>
      </c>
      <c r="EN192" s="1013" t="s">
        <v>7724</v>
      </c>
      <c r="EO192" s="1013" t="s">
        <v>7724</v>
      </c>
      <c r="EP192" s="1013" t="s">
        <v>7724</v>
      </c>
      <c r="EQ192" s="1013" t="s">
        <v>7724</v>
      </c>
      <c r="ER192" s="1013" t="s">
        <v>7724</v>
      </c>
      <c r="ES192" s="1013" t="s">
        <v>7724</v>
      </c>
      <c r="ET192" s="1013" t="s">
        <v>7724</v>
      </c>
      <c r="EU192" s="1013" t="s">
        <v>7724</v>
      </c>
      <c r="EV192" s="1013" t="s">
        <v>7724</v>
      </c>
      <c r="EW192" s="1013" t="s">
        <v>7724</v>
      </c>
      <c r="EX192" s="1013" t="s">
        <v>7724</v>
      </c>
      <c r="EY192" s="1013" t="s">
        <v>7724</v>
      </c>
      <c r="EZ192" s="1013" t="s">
        <v>7724</v>
      </c>
      <c r="FA192" s="1013" t="s">
        <v>7724</v>
      </c>
      <c r="FB192" s="1013" t="s">
        <v>7724</v>
      </c>
      <c r="FC192" s="1013" t="s">
        <v>7724</v>
      </c>
      <c r="FD192" s="1013" t="s">
        <v>7724</v>
      </c>
      <c r="FE192" s="1013" t="s">
        <v>7724</v>
      </c>
      <c r="FF192" s="1013" t="s">
        <v>7724</v>
      </c>
      <c r="FG192" s="1013">
        <v>0</v>
      </c>
      <c r="FH192" s="1013">
        <v>0</v>
      </c>
      <c r="FI192" s="1013">
        <v>0</v>
      </c>
      <c r="FJ192" s="1013">
        <v>2</v>
      </c>
      <c r="FK192" s="1013">
        <v>1</v>
      </c>
      <c r="FL192" s="1013">
        <v>0</v>
      </c>
      <c r="FM192" s="1013">
        <v>0</v>
      </c>
      <c r="FN192" s="1013">
        <v>15</v>
      </c>
      <c r="FO192" s="1013">
        <v>35</v>
      </c>
      <c r="FP192" s="1013" t="s">
        <v>7724</v>
      </c>
      <c r="FQ192" s="1013" t="s">
        <v>7724</v>
      </c>
      <c r="FR192" s="1013" t="s">
        <v>7724</v>
      </c>
      <c r="FS192" s="1013" t="s">
        <v>7724</v>
      </c>
      <c r="FT192" s="1013" t="s">
        <v>7724</v>
      </c>
      <c r="FU192" s="1013" t="s">
        <v>7724</v>
      </c>
      <c r="FV192" s="1013" t="s">
        <v>7724</v>
      </c>
      <c r="FW192" s="1013" t="s">
        <v>7724</v>
      </c>
      <c r="FX192" s="1013" t="s">
        <v>7724</v>
      </c>
      <c r="FY192" s="1013" t="s">
        <v>7724</v>
      </c>
      <c r="FZ192" s="1013" t="s">
        <v>7724</v>
      </c>
      <c r="GA192" s="1013" t="s">
        <v>7724</v>
      </c>
      <c r="GB192" s="1013" t="s">
        <v>7724</v>
      </c>
      <c r="GC192" s="1013">
        <v>2021</v>
      </c>
      <c r="GD192" s="1013" t="s">
        <v>1407</v>
      </c>
      <c r="GE192" s="1013">
        <v>2</v>
      </c>
      <c r="GF192" s="1013" t="s">
        <v>1407</v>
      </c>
      <c r="GG192" s="1013" t="s">
        <v>1407</v>
      </c>
      <c r="GH192" s="1013" t="s">
        <v>8196</v>
      </c>
      <c r="GI192" s="1013" t="s">
        <v>7974</v>
      </c>
      <c r="GJ192" s="1013" t="s">
        <v>7974</v>
      </c>
      <c r="GK192" s="1013" t="s">
        <v>7974</v>
      </c>
      <c r="GL192" s="1013" t="s">
        <v>7974</v>
      </c>
    </row>
    <row r="193" spans="1:194" hidden="1">
      <c r="A193" s="1013">
        <v>186</v>
      </c>
      <c r="B193" s="1013" t="s">
        <v>7722</v>
      </c>
      <c r="C193" s="1013">
        <v>18575281</v>
      </c>
      <c r="D193" s="1013" t="s">
        <v>7723</v>
      </c>
      <c r="E193" s="1013" t="s">
        <v>7723</v>
      </c>
      <c r="F193" s="1013" t="s">
        <v>7723</v>
      </c>
      <c r="G193" s="1013" t="s">
        <v>7723</v>
      </c>
      <c r="H193" s="1013" t="s">
        <v>7723</v>
      </c>
      <c r="I193" s="1013" t="s">
        <v>7723</v>
      </c>
      <c r="J193" s="1013" t="s">
        <v>7723</v>
      </c>
      <c r="K193" s="1024">
        <v>44506</v>
      </c>
      <c r="L193" s="1023">
        <v>0.83680555555555558</v>
      </c>
      <c r="M193" s="1013" t="s">
        <v>7857</v>
      </c>
      <c r="N193" s="1013" t="s">
        <v>7724</v>
      </c>
      <c r="O193" s="1013">
        <v>101</v>
      </c>
      <c r="P193" s="1013">
        <v>208</v>
      </c>
      <c r="Q193" s="1013" t="s">
        <v>7723</v>
      </c>
      <c r="R193" s="1013" t="s">
        <v>7727</v>
      </c>
      <c r="S193" s="1013" t="s">
        <v>7724</v>
      </c>
      <c r="T193" s="1014" t="s">
        <v>7724</v>
      </c>
      <c r="U193" s="1014">
        <v>19</v>
      </c>
      <c r="V193" s="1014" t="s">
        <v>7724</v>
      </c>
      <c r="W193" s="1014" t="s">
        <v>7724</v>
      </c>
      <c r="X193" s="1013">
        <v>1</v>
      </c>
      <c r="Y193" s="1013">
        <v>4600</v>
      </c>
      <c r="Z193" s="1013" t="s">
        <v>7724</v>
      </c>
      <c r="AA193" s="1013" t="s">
        <v>7728</v>
      </c>
      <c r="AB193" s="1013" t="s">
        <v>7724</v>
      </c>
      <c r="AC193" s="1013" t="s">
        <v>7723</v>
      </c>
      <c r="AD193" s="1013" t="s">
        <v>7723</v>
      </c>
      <c r="AE193" s="1013">
        <v>35</v>
      </c>
      <c r="AF193" s="1013" t="s">
        <v>7723</v>
      </c>
      <c r="AG193" s="1013" t="s">
        <v>7723</v>
      </c>
      <c r="AH193" s="1013" t="s">
        <v>7739</v>
      </c>
      <c r="AI193" s="1013" t="s">
        <v>7723</v>
      </c>
      <c r="AJ193" s="1013">
        <v>19</v>
      </c>
      <c r="AK193" s="1013" t="s">
        <v>7724</v>
      </c>
      <c r="AL193" s="1013" t="s">
        <v>7724</v>
      </c>
      <c r="AM193" s="1013">
        <v>1</v>
      </c>
      <c r="AN193" s="1013">
        <v>1200</v>
      </c>
      <c r="AO193" s="1013" t="s">
        <v>7724</v>
      </c>
      <c r="AP193" s="1013" t="s">
        <v>7757</v>
      </c>
      <c r="AQ193" s="1013" t="s">
        <v>7726</v>
      </c>
      <c r="AR193" s="1013" t="s">
        <v>7724</v>
      </c>
      <c r="AS193" s="1013" t="s">
        <v>7724</v>
      </c>
      <c r="AT193" s="1013" t="s">
        <v>7724</v>
      </c>
      <c r="AU193" s="1013" t="s">
        <v>7724</v>
      </c>
      <c r="AV193" s="1013" t="s">
        <v>7724</v>
      </c>
      <c r="AW193" s="1013" t="s">
        <v>7724</v>
      </c>
      <c r="AX193" s="1013">
        <v>11</v>
      </c>
      <c r="AY193" s="1013">
        <v>1</v>
      </c>
      <c r="AZ193" s="1013">
        <v>0</v>
      </c>
      <c r="BA193" s="1013">
        <v>4</v>
      </c>
      <c r="BB193" s="1013">
        <v>1</v>
      </c>
      <c r="BC193" s="1013">
        <v>1</v>
      </c>
      <c r="BD193" s="1013">
        <v>20</v>
      </c>
      <c r="BE193" s="1023">
        <v>0.83680555555555558</v>
      </c>
      <c r="BF193" s="1013" t="s">
        <v>7794</v>
      </c>
      <c r="BG193" s="1023">
        <v>0.83680555555555558</v>
      </c>
      <c r="BH193" s="1024">
        <v>44506</v>
      </c>
      <c r="BI193" s="1013" t="s">
        <v>7727</v>
      </c>
      <c r="BJ193" s="1013" t="s">
        <v>7730</v>
      </c>
      <c r="BK193" s="1013">
        <v>2469</v>
      </c>
      <c r="BL193" s="1013" t="s">
        <v>7724</v>
      </c>
      <c r="BM193" s="1013" t="s">
        <v>7724</v>
      </c>
      <c r="BN193" s="1013">
        <v>113</v>
      </c>
      <c r="BO193" s="1013">
        <v>8</v>
      </c>
      <c r="BP193" s="1013">
        <v>2</v>
      </c>
      <c r="BQ193" s="1013">
        <v>4</v>
      </c>
      <c r="BR193" s="1013">
        <v>21</v>
      </c>
      <c r="BS193" s="1013">
        <v>64</v>
      </c>
      <c r="BT193" s="1013">
        <v>9</v>
      </c>
      <c r="BU193" s="1013">
        <v>1</v>
      </c>
      <c r="BV193" s="1013">
        <v>5</v>
      </c>
      <c r="BW193" s="1013">
        <v>1</v>
      </c>
      <c r="BX193" s="1013">
        <v>21</v>
      </c>
      <c r="BY193" s="1013">
        <v>21</v>
      </c>
      <c r="BZ193" s="1013">
        <v>101</v>
      </c>
      <c r="CA193" s="1013">
        <v>208</v>
      </c>
      <c r="CB193" s="1013">
        <v>29.731715000000001</v>
      </c>
      <c r="CC193" s="1013">
        <v>-95.382378000000003</v>
      </c>
      <c r="CD193" s="1013" t="s">
        <v>7724</v>
      </c>
      <c r="CE193" s="1013" t="s">
        <v>7724</v>
      </c>
      <c r="CF193" s="1013" t="s">
        <v>7724</v>
      </c>
      <c r="CG193" s="1013" t="s">
        <v>7724</v>
      </c>
      <c r="CH193" s="1013" t="s">
        <v>7732</v>
      </c>
      <c r="CI193" s="1013">
        <v>4600</v>
      </c>
      <c r="CJ193" s="1013" t="s">
        <v>7724</v>
      </c>
      <c r="CK193" s="1013" t="s">
        <v>7724</v>
      </c>
      <c r="CL193" s="1013" t="s">
        <v>7724</v>
      </c>
      <c r="CM193" s="1013" t="s">
        <v>7724</v>
      </c>
      <c r="CN193" s="1013" t="s">
        <v>7724</v>
      </c>
      <c r="CO193" s="1013" t="s">
        <v>7724</v>
      </c>
      <c r="CP193" s="1013" t="s">
        <v>7724</v>
      </c>
      <c r="CQ193" s="1013" t="s">
        <v>7724</v>
      </c>
      <c r="CR193" s="1013" t="s">
        <v>7724</v>
      </c>
      <c r="CS193" s="1013" t="s">
        <v>7724</v>
      </c>
      <c r="CT193" s="1013" t="s">
        <v>7724</v>
      </c>
      <c r="CU193" s="1013" t="s">
        <v>7724</v>
      </c>
      <c r="CV193" s="1013" t="s">
        <v>7724</v>
      </c>
      <c r="CW193" s="1013" t="s">
        <v>7727</v>
      </c>
      <c r="CX193" s="1013" t="s">
        <v>7723</v>
      </c>
      <c r="CY193" s="1013" t="s">
        <v>7723</v>
      </c>
      <c r="CZ193" s="1013">
        <v>5</v>
      </c>
      <c r="DA193" s="1013">
        <v>9</v>
      </c>
      <c r="DB193" s="1013" t="s">
        <v>7727</v>
      </c>
      <c r="DC193" s="1013" t="s">
        <v>7733</v>
      </c>
      <c r="DD193" s="1013" t="s">
        <v>7724</v>
      </c>
      <c r="DE193" s="1013" t="s">
        <v>7724</v>
      </c>
      <c r="DF193" s="1013" t="s">
        <v>7724</v>
      </c>
      <c r="DG193" s="1013" t="s">
        <v>7724</v>
      </c>
      <c r="DH193" s="1013" t="s">
        <v>7724</v>
      </c>
      <c r="DI193" s="1013" t="s">
        <v>7724</v>
      </c>
      <c r="DJ193" s="1013" t="s">
        <v>7724</v>
      </c>
      <c r="DK193" s="1013" t="s">
        <v>7724</v>
      </c>
      <c r="DL193" s="1013" t="s">
        <v>7724</v>
      </c>
      <c r="DM193" s="1013" t="s">
        <v>7724</v>
      </c>
      <c r="DN193" s="1013" t="s">
        <v>7724</v>
      </c>
      <c r="DO193" s="1013" t="s">
        <v>7724</v>
      </c>
      <c r="DP193" s="1013" t="s">
        <v>7724</v>
      </c>
      <c r="DQ193" s="1013" t="s">
        <v>7724</v>
      </c>
      <c r="DR193" s="1013" t="s">
        <v>7724</v>
      </c>
      <c r="DS193" s="1013" t="s">
        <v>7724</v>
      </c>
      <c r="DT193" s="1013" t="s">
        <v>7724</v>
      </c>
      <c r="DU193" s="1013" t="s">
        <v>7724</v>
      </c>
      <c r="DV193" s="1013" t="s">
        <v>7724</v>
      </c>
      <c r="DW193" s="1013" t="s">
        <v>7724</v>
      </c>
      <c r="DX193" s="1013" t="s">
        <v>7724</v>
      </c>
      <c r="DY193" s="1013" t="s">
        <v>7724</v>
      </c>
      <c r="DZ193" s="1013" t="s">
        <v>7724</v>
      </c>
      <c r="EA193" s="1013" t="s">
        <v>7724</v>
      </c>
      <c r="EB193" s="1013" t="s">
        <v>7724</v>
      </c>
      <c r="EC193" s="1013" t="s">
        <v>7724</v>
      </c>
      <c r="ED193" s="1013" t="s">
        <v>7724</v>
      </c>
      <c r="EE193" s="1013" t="s">
        <v>7724</v>
      </c>
      <c r="EF193" s="1013" t="s">
        <v>7724</v>
      </c>
      <c r="EG193" s="1013" t="s">
        <v>7724</v>
      </c>
      <c r="EH193" s="1013" t="s">
        <v>7724</v>
      </c>
      <c r="EI193" s="1013" t="s">
        <v>7724</v>
      </c>
      <c r="EJ193" s="1013" t="s">
        <v>7724</v>
      </c>
      <c r="EK193" s="1013" t="s">
        <v>7724</v>
      </c>
      <c r="EL193" s="1013" t="s">
        <v>7724</v>
      </c>
      <c r="EM193" s="1013" t="s">
        <v>7724</v>
      </c>
      <c r="EN193" s="1013" t="s">
        <v>7724</v>
      </c>
      <c r="EO193" s="1013" t="s">
        <v>7724</v>
      </c>
      <c r="EP193" s="1013" t="s">
        <v>7724</v>
      </c>
      <c r="EQ193" s="1013" t="s">
        <v>7724</v>
      </c>
      <c r="ER193" s="1013" t="s">
        <v>7724</v>
      </c>
      <c r="ES193" s="1013" t="s">
        <v>7724</v>
      </c>
      <c r="ET193" s="1013" t="s">
        <v>7724</v>
      </c>
      <c r="EU193" s="1013" t="s">
        <v>7724</v>
      </c>
      <c r="EV193" s="1013" t="s">
        <v>7724</v>
      </c>
      <c r="EW193" s="1013" t="s">
        <v>7724</v>
      </c>
      <c r="EX193" s="1013" t="s">
        <v>7724</v>
      </c>
      <c r="EY193" s="1013" t="s">
        <v>7724</v>
      </c>
      <c r="EZ193" s="1013" t="s">
        <v>7724</v>
      </c>
      <c r="FA193" s="1013" t="s">
        <v>7724</v>
      </c>
      <c r="FB193" s="1013" t="s">
        <v>7724</v>
      </c>
      <c r="FC193" s="1013" t="s">
        <v>7724</v>
      </c>
      <c r="FD193" s="1013" t="s">
        <v>7724</v>
      </c>
      <c r="FE193" s="1013" t="s">
        <v>7724</v>
      </c>
      <c r="FF193" s="1013" t="s">
        <v>7724</v>
      </c>
      <c r="FG193" s="1013">
        <v>0</v>
      </c>
      <c r="FH193" s="1013">
        <v>0</v>
      </c>
      <c r="FI193" s="1013">
        <v>0</v>
      </c>
      <c r="FJ193" s="1013">
        <v>2</v>
      </c>
      <c r="FK193" s="1013">
        <v>0</v>
      </c>
      <c r="FL193" s="1013">
        <v>0</v>
      </c>
      <c r="FM193" s="1013">
        <v>0</v>
      </c>
      <c r="FN193" s="1013">
        <v>15</v>
      </c>
      <c r="FO193" s="1013">
        <v>29</v>
      </c>
      <c r="FP193" s="1013">
        <v>9</v>
      </c>
      <c r="FQ193" s="1013" t="s">
        <v>7724</v>
      </c>
      <c r="FR193" s="1013" t="s">
        <v>7724</v>
      </c>
      <c r="FS193" s="1013" t="s">
        <v>7724</v>
      </c>
      <c r="FT193" s="1013" t="s">
        <v>7724</v>
      </c>
      <c r="FU193" s="1013" t="s">
        <v>7724</v>
      </c>
      <c r="FV193" s="1013" t="s">
        <v>7724</v>
      </c>
      <c r="FW193" s="1013" t="s">
        <v>7724</v>
      </c>
      <c r="FX193" s="1013" t="s">
        <v>7724</v>
      </c>
      <c r="FY193" s="1013" t="s">
        <v>7724</v>
      </c>
      <c r="FZ193" s="1013" t="s">
        <v>7724</v>
      </c>
      <c r="GA193" s="1013" t="s">
        <v>7724</v>
      </c>
      <c r="GB193" s="1013" t="s">
        <v>7724</v>
      </c>
      <c r="GC193" s="1013">
        <v>2021</v>
      </c>
      <c r="GD193" s="1013" t="s">
        <v>1404</v>
      </c>
      <c r="GE193" s="1013">
        <v>2</v>
      </c>
      <c r="GF193" s="1013" t="s">
        <v>1407</v>
      </c>
      <c r="GG193" s="1013" t="s">
        <v>1407</v>
      </c>
      <c r="GH193" s="1013" t="s">
        <v>7995</v>
      </c>
      <c r="GI193" s="1013" t="s">
        <v>7974</v>
      </c>
      <c r="GJ193" s="1013" t="s">
        <v>7974</v>
      </c>
      <c r="GK193" s="1013" t="s">
        <v>7974</v>
      </c>
      <c r="GL193" s="1013" t="s">
        <v>7974</v>
      </c>
    </row>
    <row r="194" spans="1:194" hidden="1">
      <c r="A194" s="1013">
        <v>187</v>
      </c>
      <c r="B194" s="1013" t="s">
        <v>7722</v>
      </c>
      <c r="C194" s="1013">
        <v>18586360</v>
      </c>
      <c r="D194" s="1013" t="s">
        <v>7723</v>
      </c>
      <c r="E194" s="1013" t="s">
        <v>7723</v>
      </c>
      <c r="F194" s="1013" t="s">
        <v>7723</v>
      </c>
      <c r="G194" s="1013" t="s">
        <v>7723</v>
      </c>
      <c r="H194" s="1013" t="s">
        <v>7723</v>
      </c>
      <c r="I194" s="1013" t="s">
        <v>7723</v>
      </c>
      <c r="J194" s="1013" t="s">
        <v>7723</v>
      </c>
      <c r="K194" s="1024">
        <v>44506</v>
      </c>
      <c r="L194" s="1023">
        <v>0.82222222222222219</v>
      </c>
      <c r="M194" s="1013" t="s">
        <v>7858</v>
      </c>
      <c r="N194" s="1013" t="s">
        <v>7724</v>
      </c>
      <c r="O194" s="1013">
        <v>101</v>
      </c>
      <c r="P194" s="1013">
        <v>208</v>
      </c>
      <c r="Q194" s="1013" t="s">
        <v>7723</v>
      </c>
      <c r="R194" s="1013" t="s">
        <v>7727</v>
      </c>
      <c r="S194" s="1013" t="s">
        <v>7724</v>
      </c>
      <c r="T194" s="1014" t="s">
        <v>7724</v>
      </c>
      <c r="U194" s="1014">
        <v>19</v>
      </c>
      <c r="V194" s="1014" t="s">
        <v>7724</v>
      </c>
      <c r="W194" s="1014" t="s">
        <v>7724</v>
      </c>
      <c r="X194" s="1013">
        <v>3</v>
      </c>
      <c r="Y194" s="1013">
        <v>4700</v>
      </c>
      <c r="Z194" s="1013" t="s">
        <v>7724</v>
      </c>
      <c r="AA194" s="1013" t="s">
        <v>7728</v>
      </c>
      <c r="AB194" s="1013" t="s">
        <v>7724</v>
      </c>
      <c r="AC194" s="1013" t="s">
        <v>7723</v>
      </c>
      <c r="AD194" s="1013" t="s">
        <v>7723</v>
      </c>
      <c r="AE194" s="1013">
        <v>60</v>
      </c>
      <c r="AF194" s="1013" t="s">
        <v>7723</v>
      </c>
      <c r="AG194" s="1013" t="s">
        <v>7723</v>
      </c>
      <c r="AH194" s="1013" t="s">
        <v>7739</v>
      </c>
      <c r="AI194" s="1013" t="s">
        <v>7723</v>
      </c>
      <c r="AJ194" s="1013">
        <v>19</v>
      </c>
      <c r="AK194" s="1013" t="s">
        <v>7724</v>
      </c>
      <c r="AL194" s="1013" t="s">
        <v>7724</v>
      </c>
      <c r="AM194" s="1013">
        <v>1</v>
      </c>
      <c r="AN194" s="1013">
        <v>1200</v>
      </c>
      <c r="AO194" s="1013" t="s">
        <v>7724</v>
      </c>
      <c r="AP194" s="1013" t="s">
        <v>7859</v>
      </c>
      <c r="AQ194" s="1013" t="s">
        <v>7726</v>
      </c>
      <c r="AR194" s="1013" t="s">
        <v>7724</v>
      </c>
      <c r="AS194" s="1013" t="s">
        <v>7724</v>
      </c>
      <c r="AT194" s="1013" t="s">
        <v>7724</v>
      </c>
      <c r="AU194" s="1013" t="s">
        <v>7724</v>
      </c>
      <c r="AV194" s="1013" t="s">
        <v>7724</v>
      </c>
      <c r="AW194" s="1013" t="s">
        <v>7724</v>
      </c>
      <c r="AX194" s="1013">
        <v>11</v>
      </c>
      <c r="AY194" s="1013">
        <v>3</v>
      </c>
      <c r="AZ194" s="1013">
        <v>3</v>
      </c>
      <c r="BA194" s="1013">
        <v>4</v>
      </c>
      <c r="BB194" s="1013">
        <v>1</v>
      </c>
      <c r="BC194" s="1013">
        <v>1</v>
      </c>
      <c r="BD194" s="1013">
        <v>20</v>
      </c>
      <c r="BE194" s="1023">
        <v>0.82291666666666663</v>
      </c>
      <c r="BF194" s="1013" t="s">
        <v>7736</v>
      </c>
      <c r="BG194" s="1023">
        <v>0.83125000000000004</v>
      </c>
      <c r="BH194" s="1024">
        <v>44506</v>
      </c>
      <c r="BI194" s="1013" t="s">
        <v>7727</v>
      </c>
      <c r="BJ194" s="1013" t="s">
        <v>7730</v>
      </c>
      <c r="BK194" s="1013">
        <v>2469</v>
      </c>
      <c r="BL194" s="1013" t="s">
        <v>7724</v>
      </c>
      <c r="BM194" s="1013" t="s">
        <v>7724</v>
      </c>
      <c r="BN194" s="1013">
        <v>113</v>
      </c>
      <c r="BO194" s="1013">
        <v>8</v>
      </c>
      <c r="BP194" s="1013">
        <v>2</v>
      </c>
      <c r="BQ194" s="1013">
        <v>4</v>
      </c>
      <c r="BR194" s="1013">
        <v>20</v>
      </c>
      <c r="BS194" s="1013">
        <v>64</v>
      </c>
      <c r="BT194" s="1013">
        <v>54</v>
      </c>
      <c r="BU194" s="1013">
        <v>1</v>
      </c>
      <c r="BV194" s="1013">
        <v>5</v>
      </c>
      <c r="BW194" s="1013">
        <v>1</v>
      </c>
      <c r="BX194" s="1013">
        <v>21</v>
      </c>
      <c r="BY194" s="1013">
        <v>21</v>
      </c>
      <c r="BZ194" s="1013">
        <v>101</v>
      </c>
      <c r="CA194" s="1013">
        <v>208</v>
      </c>
      <c r="CB194" s="1013">
        <v>29.731224999999998</v>
      </c>
      <c r="CC194" s="1013">
        <v>-95.382762999999997</v>
      </c>
      <c r="CD194" s="1013" t="s">
        <v>7724</v>
      </c>
      <c r="CE194" s="1013" t="s">
        <v>7724</v>
      </c>
      <c r="CF194" s="1013" t="s">
        <v>7724</v>
      </c>
      <c r="CG194" s="1013" t="s">
        <v>7724</v>
      </c>
      <c r="CH194" s="1013" t="s">
        <v>7732</v>
      </c>
      <c r="CI194" s="1013">
        <v>4700</v>
      </c>
      <c r="CJ194" s="1013" t="s">
        <v>7724</v>
      </c>
      <c r="CK194" s="1013" t="s">
        <v>7724</v>
      </c>
      <c r="CL194" s="1013" t="s">
        <v>7724</v>
      </c>
      <c r="CM194" s="1013" t="s">
        <v>7724</v>
      </c>
      <c r="CN194" s="1013" t="s">
        <v>7724</v>
      </c>
      <c r="CO194" s="1013" t="s">
        <v>7724</v>
      </c>
      <c r="CP194" s="1013" t="s">
        <v>7724</v>
      </c>
      <c r="CQ194" s="1013" t="s">
        <v>7724</v>
      </c>
      <c r="CR194" s="1013" t="s">
        <v>7724</v>
      </c>
      <c r="CS194" s="1013" t="s">
        <v>7724</v>
      </c>
      <c r="CT194" s="1013" t="s">
        <v>7724</v>
      </c>
      <c r="CU194" s="1013" t="s">
        <v>7724</v>
      </c>
      <c r="CV194" s="1013" t="s">
        <v>7724</v>
      </c>
      <c r="CW194" s="1013" t="s">
        <v>7727</v>
      </c>
      <c r="CX194" s="1013" t="s">
        <v>7723</v>
      </c>
      <c r="CY194" s="1013" t="s">
        <v>7723</v>
      </c>
      <c r="CZ194" s="1013">
        <v>5</v>
      </c>
      <c r="DA194" s="1013">
        <v>9</v>
      </c>
      <c r="DB194" s="1013" t="s">
        <v>7727</v>
      </c>
      <c r="DC194" s="1013" t="s">
        <v>7733</v>
      </c>
      <c r="DD194" s="1013" t="s">
        <v>7724</v>
      </c>
      <c r="DE194" s="1013" t="s">
        <v>7724</v>
      </c>
      <c r="DF194" s="1013" t="s">
        <v>7724</v>
      </c>
      <c r="DG194" s="1013" t="s">
        <v>7724</v>
      </c>
      <c r="DH194" s="1013" t="s">
        <v>7724</v>
      </c>
      <c r="DI194" s="1013" t="s">
        <v>7724</v>
      </c>
      <c r="DJ194" s="1013" t="s">
        <v>7724</v>
      </c>
      <c r="DK194" s="1013" t="s">
        <v>7724</v>
      </c>
      <c r="DL194" s="1013" t="s">
        <v>7724</v>
      </c>
      <c r="DM194" s="1013" t="s">
        <v>7724</v>
      </c>
      <c r="DN194" s="1013" t="s">
        <v>7724</v>
      </c>
      <c r="DO194" s="1013" t="s">
        <v>7724</v>
      </c>
      <c r="DP194" s="1013" t="s">
        <v>7724</v>
      </c>
      <c r="DQ194" s="1013" t="s">
        <v>7724</v>
      </c>
      <c r="DR194" s="1013" t="s">
        <v>7724</v>
      </c>
      <c r="DS194" s="1013" t="s">
        <v>7724</v>
      </c>
      <c r="DT194" s="1013" t="s">
        <v>7724</v>
      </c>
      <c r="DU194" s="1013" t="s">
        <v>7724</v>
      </c>
      <c r="DV194" s="1013" t="s">
        <v>7724</v>
      </c>
      <c r="DW194" s="1013" t="s">
        <v>7724</v>
      </c>
      <c r="DX194" s="1013" t="s">
        <v>7724</v>
      </c>
      <c r="DY194" s="1013" t="s">
        <v>7724</v>
      </c>
      <c r="DZ194" s="1013" t="s">
        <v>7724</v>
      </c>
      <c r="EA194" s="1013" t="s">
        <v>7724</v>
      </c>
      <c r="EB194" s="1013" t="s">
        <v>7724</v>
      </c>
      <c r="EC194" s="1013" t="s">
        <v>7724</v>
      </c>
      <c r="ED194" s="1013" t="s">
        <v>7724</v>
      </c>
      <c r="EE194" s="1013" t="s">
        <v>7724</v>
      </c>
      <c r="EF194" s="1013" t="s">
        <v>7724</v>
      </c>
      <c r="EG194" s="1013" t="s">
        <v>7724</v>
      </c>
      <c r="EH194" s="1013" t="s">
        <v>7724</v>
      </c>
      <c r="EI194" s="1013" t="s">
        <v>7724</v>
      </c>
      <c r="EJ194" s="1013" t="s">
        <v>7724</v>
      </c>
      <c r="EK194" s="1013" t="s">
        <v>7724</v>
      </c>
      <c r="EL194" s="1013" t="s">
        <v>7724</v>
      </c>
      <c r="EM194" s="1013" t="s">
        <v>7724</v>
      </c>
      <c r="EN194" s="1013" t="s">
        <v>7724</v>
      </c>
      <c r="EO194" s="1013" t="s">
        <v>7724</v>
      </c>
      <c r="EP194" s="1013" t="s">
        <v>7724</v>
      </c>
      <c r="EQ194" s="1013" t="s">
        <v>7724</v>
      </c>
      <c r="ER194" s="1013" t="s">
        <v>7724</v>
      </c>
      <c r="ES194" s="1013" t="s">
        <v>7724</v>
      </c>
      <c r="ET194" s="1013" t="s">
        <v>7724</v>
      </c>
      <c r="EU194" s="1013" t="s">
        <v>7724</v>
      </c>
      <c r="EV194" s="1013" t="s">
        <v>7724</v>
      </c>
      <c r="EW194" s="1013" t="s">
        <v>7724</v>
      </c>
      <c r="EX194" s="1013" t="s">
        <v>7724</v>
      </c>
      <c r="EY194" s="1013" t="s">
        <v>7724</v>
      </c>
      <c r="EZ194" s="1013" t="s">
        <v>7724</v>
      </c>
      <c r="FA194" s="1013" t="s">
        <v>7724</v>
      </c>
      <c r="FB194" s="1013" t="s">
        <v>7724</v>
      </c>
      <c r="FC194" s="1013" t="s">
        <v>7724</v>
      </c>
      <c r="FD194" s="1013" t="s">
        <v>7724</v>
      </c>
      <c r="FE194" s="1013" t="s">
        <v>7724</v>
      </c>
      <c r="FF194" s="1013" t="s">
        <v>7724</v>
      </c>
      <c r="FG194" s="1013">
        <v>0</v>
      </c>
      <c r="FH194" s="1013">
        <v>0</v>
      </c>
      <c r="FI194" s="1013">
        <v>0</v>
      </c>
      <c r="FJ194" s="1013">
        <v>5</v>
      </c>
      <c r="FK194" s="1013">
        <v>0</v>
      </c>
      <c r="FL194" s="1013">
        <v>0</v>
      </c>
      <c r="FM194" s="1013">
        <v>0</v>
      </c>
      <c r="FN194" s="1013">
        <v>15</v>
      </c>
      <c r="FO194" s="1013">
        <v>29</v>
      </c>
      <c r="FP194" s="1013">
        <v>9</v>
      </c>
      <c r="FQ194" s="1013" t="s">
        <v>7724</v>
      </c>
      <c r="FR194" s="1013" t="s">
        <v>7724</v>
      </c>
      <c r="FS194" s="1013" t="s">
        <v>7724</v>
      </c>
      <c r="FT194" s="1013" t="s">
        <v>7724</v>
      </c>
      <c r="FU194" s="1013" t="s">
        <v>7724</v>
      </c>
      <c r="FV194" s="1013" t="s">
        <v>7724</v>
      </c>
      <c r="FW194" s="1013" t="s">
        <v>7724</v>
      </c>
      <c r="FX194" s="1013" t="s">
        <v>7724</v>
      </c>
      <c r="FY194" s="1013" t="s">
        <v>7724</v>
      </c>
      <c r="FZ194" s="1013" t="s">
        <v>7724</v>
      </c>
      <c r="GA194" s="1013" t="s">
        <v>7724</v>
      </c>
      <c r="GB194" s="1013" t="s">
        <v>7724</v>
      </c>
      <c r="GC194" s="1013">
        <v>2021</v>
      </c>
      <c r="GD194" s="1013" t="s">
        <v>1404</v>
      </c>
      <c r="GE194" s="1013">
        <v>3</v>
      </c>
      <c r="GF194" s="1013" t="s">
        <v>1407</v>
      </c>
      <c r="GG194" s="1013" t="s">
        <v>1407</v>
      </c>
      <c r="GH194" s="1013" t="s">
        <v>7979</v>
      </c>
      <c r="GI194" s="1013" t="s">
        <v>7980</v>
      </c>
      <c r="GJ194" s="1013" t="s">
        <v>7980</v>
      </c>
      <c r="GK194" s="1013" t="s">
        <v>7980</v>
      </c>
      <c r="GL194" s="1013" t="s">
        <v>7980</v>
      </c>
    </row>
    <row r="195" spans="1:194" hidden="1">
      <c r="A195" s="1013">
        <v>189</v>
      </c>
      <c r="B195" s="1013" t="s">
        <v>7722</v>
      </c>
      <c r="C195" s="1013">
        <v>18644964</v>
      </c>
      <c r="D195" s="1013" t="s">
        <v>7723</v>
      </c>
      <c r="E195" s="1013" t="s">
        <v>7723</v>
      </c>
      <c r="F195" s="1013" t="s">
        <v>7723</v>
      </c>
      <c r="G195" s="1013" t="s">
        <v>7723</v>
      </c>
      <c r="H195" s="1013" t="s">
        <v>7723</v>
      </c>
      <c r="I195" s="1013" t="s">
        <v>7723</v>
      </c>
      <c r="J195" s="1013" t="s">
        <v>7723</v>
      </c>
      <c r="K195" s="1024">
        <v>44485</v>
      </c>
      <c r="L195" s="1023">
        <v>0.59027777777777779</v>
      </c>
      <c r="M195" s="1013" t="s">
        <v>8197</v>
      </c>
      <c r="N195" s="1013" t="s">
        <v>7724</v>
      </c>
      <c r="O195" s="1013">
        <v>101</v>
      </c>
      <c r="P195" s="1013">
        <v>208</v>
      </c>
      <c r="Q195" s="1013" t="s">
        <v>7723</v>
      </c>
      <c r="R195" s="1013" t="s">
        <v>7727</v>
      </c>
      <c r="S195" s="1013" t="s">
        <v>7724</v>
      </c>
      <c r="T195" s="1014" t="s">
        <v>7724</v>
      </c>
      <c r="U195" s="1014">
        <v>2</v>
      </c>
      <c r="V195" s="1014">
        <v>59</v>
      </c>
      <c r="W195" s="1014" t="s">
        <v>7724</v>
      </c>
      <c r="X195" s="1013">
        <v>1</v>
      </c>
      <c r="Y195" s="1013">
        <v>210</v>
      </c>
      <c r="Z195" s="1013" t="s">
        <v>7770</v>
      </c>
      <c r="AA195" s="1013" t="s">
        <v>7771</v>
      </c>
      <c r="AB195" s="1013" t="s">
        <v>7760</v>
      </c>
      <c r="AC195" s="1013" t="s">
        <v>7723</v>
      </c>
      <c r="AD195" s="1013" t="s">
        <v>7723</v>
      </c>
      <c r="AE195" s="1013">
        <v>70</v>
      </c>
      <c r="AF195" s="1013" t="s">
        <v>7723</v>
      </c>
      <c r="AG195" s="1013" t="s">
        <v>7723</v>
      </c>
      <c r="AH195" s="1013" t="s">
        <v>7724</v>
      </c>
      <c r="AI195" s="1013" t="s">
        <v>7723</v>
      </c>
      <c r="AJ195" s="1013">
        <v>19</v>
      </c>
      <c r="AK195" s="1013" t="s">
        <v>7724</v>
      </c>
      <c r="AL195" s="1013" t="s">
        <v>7724</v>
      </c>
      <c r="AM195" s="1013">
        <v>1</v>
      </c>
      <c r="AN195" s="1013" t="s">
        <v>7724</v>
      </c>
      <c r="AO195" s="1013" t="s">
        <v>7724</v>
      </c>
      <c r="AP195" s="1013" t="s">
        <v>7728</v>
      </c>
      <c r="AQ195" s="1013" t="s">
        <v>7726</v>
      </c>
      <c r="AR195" s="1013" t="s">
        <v>7724</v>
      </c>
      <c r="AS195" s="1013" t="s">
        <v>7724</v>
      </c>
      <c r="AT195" s="1013" t="s">
        <v>7724</v>
      </c>
      <c r="AU195" s="1013" t="s">
        <v>7724</v>
      </c>
      <c r="AV195" s="1013" t="s">
        <v>7724</v>
      </c>
      <c r="AW195" s="1013" t="s">
        <v>7724</v>
      </c>
      <c r="AX195" s="1013">
        <v>11</v>
      </c>
      <c r="AY195" s="1013">
        <v>1</v>
      </c>
      <c r="AZ195" s="1013">
        <v>4</v>
      </c>
      <c r="BA195" s="1013">
        <v>4</v>
      </c>
      <c r="BB195" s="1013">
        <v>1</v>
      </c>
      <c r="BC195" s="1013">
        <v>1</v>
      </c>
      <c r="BD195" s="1013">
        <v>20</v>
      </c>
      <c r="BE195" s="1023">
        <v>0.6069444444444444</v>
      </c>
      <c r="BF195" s="1013" t="s">
        <v>7729</v>
      </c>
      <c r="BG195" s="1023">
        <v>0.62152777777777779</v>
      </c>
      <c r="BH195" s="1024">
        <v>44544</v>
      </c>
      <c r="BI195" s="1013" t="s">
        <v>7727</v>
      </c>
      <c r="BJ195" s="1013" t="s">
        <v>7730</v>
      </c>
      <c r="BK195" s="1013">
        <v>2469</v>
      </c>
      <c r="BL195" s="1013" t="s">
        <v>7724</v>
      </c>
      <c r="BM195" s="1013" t="s">
        <v>7724</v>
      </c>
      <c r="BN195" s="1013">
        <v>113</v>
      </c>
      <c r="BO195" s="1013">
        <v>8</v>
      </c>
      <c r="BP195" s="1013">
        <v>2</v>
      </c>
      <c r="BQ195" s="1013">
        <v>4</v>
      </c>
      <c r="BR195" s="1013">
        <v>20</v>
      </c>
      <c r="BS195" s="1013">
        <v>64</v>
      </c>
      <c r="BT195" s="1013">
        <v>3</v>
      </c>
      <c r="BU195" s="1013">
        <v>1</v>
      </c>
      <c r="BV195" s="1013">
        <v>2</v>
      </c>
      <c r="BW195" s="1013">
        <v>1</v>
      </c>
      <c r="BX195" s="1013">
        <v>21</v>
      </c>
      <c r="BY195" s="1013">
        <v>21</v>
      </c>
      <c r="BZ195" s="1013">
        <v>101</v>
      </c>
      <c r="CA195" s="1013">
        <v>208</v>
      </c>
      <c r="CB195" s="1013">
        <v>29.732396000000001</v>
      </c>
      <c r="CC195" s="1013">
        <v>-95.381675999999999</v>
      </c>
      <c r="CD195" s="1013" t="s">
        <v>7724</v>
      </c>
      <c r="CE195" s="1013" t="s">
        <v>7724</v>
      </c>
      <c r="CF195" s="1013" t="s">
        <v>7724</v>
      </c>
      <c r="CG195" s="1013" t="s">
        <v>7724</v>
      </c>
      <c r="CH195" s="1013" t="s">
        <v>8053</v>
      </c>
      <c r="CI195" s="1013" t="s">
        <v>7724</v>
      </c>
      <c r="CJ195" s="1013" t="s">
        <v>7724</v>
      </c>
      <c r="CK195" s="1013" t="s">
        <v>7724</v>
      </c>
      <c r="CL195" s="1013" t="s">
        <v>7724</v>
      </c>
      <c r="CM195" s="1013" t="s">
        <v>7724</v>
      </c>
      <c r="CN195" s="1013" t="s">
        <v>7724</v>
      </c>
      <c r="CO195" s="1013" t="s">
        <v>7724</v>
      </c>
      <c r="CP195" s="1013" t="s">
        <v>7724</v>
      </c>
      <c r="CQ195" s="1013" t="s">
        <v>7724</v>
      </c>
      <c r="CR195" s="1013" t="s">
        <v>7724</v>
      </c>
      <c r="CS195" s="1013" t="s">
        <v>7724</v>
      </c>
      <c r="CT195" s="1013" t="s">
        <v>7724</v>
      </c>
      <c r="CU195" s="1013" t="s">
        <v>7724</v>
      </c>
      <c r="CV195" s="1013" t="s">
        <v>7724</v>
      </c>
      <c r="CW195" s="1013" t="s">
        <v>7727</v>
      </c>
      <c r="CX195" s="1013" t="s">
        <v>7723</v>
      </c>
      <c r="CY195" s="1013" t="s">
        <v>7723</v>
      </c>
      <c r="CZ195" s="1013">
        <v>5</v>
      </c>
      <c r="DA195" s="1013">
        <v>9</v>
      </c>
      <c r="DB195" s="1013" t="s">
        <v>7727</v>
      </c>
      <c r="DC195" s="1013" t="s">
        <v>7733</v>
      </c>
      <c r="DD195" s="1013" t="s">
        <v>7724</v>
      </c>
      <c r="DE195" s="1013" t="s">
        <v>7724</v>
      </c>
      <c r="DF195" s="1013" t="s">
        <v>7724</v>
      </c>
      <c r="DG195" s="1013" t="s">
        <v>7724</v>
      </c>
      <c r="DH195" s="1013" t="s">
        <v>7724</v>
      </c>
      <c r="DI195" s="1013" t="s">
        <v>7724</v>
      </c>
      <c r="DJ195" s="1013" t="s">
        <v>7724</v>
      </c>
      <c r="DK195" s="1013" t="s">
        <v>7724</v>
      </c>
      <c r="DL195" s="1013" t="s">
        <v>7724</v>
      </c>
      <c r="DM195" s="1013" t="s">
        <v>7724</v>
      </c>
      <c r="DN195" s="1013" t="s">
        <v>7724</v>
      </c>
      <c r="DO195" s="1013" t="s">
        <v>7724</v>
      </c>
      <c r="DP195" s="1013" t="s">
        <v>7724</v>
      </c>
      <c r="DQ195" s="1013" t="s">
        <v>7724</v>
      </c>
      <c r="DR195" s="1013" t="s">
        <v>7724</v>
      </c>
      <c r="DS195" s="1013" t="s">
        <v>7724</v>
      </c>
      <c r="DT195" s="1013" t="s">
        <v>7724</v>
      </c>
      <c r="DU195" s="1013" t="s">
        <v>7724</v>
      </c>
      <c r="DV195" s="1013" t="s">
        <v>7724</v>
      </c>
      <c r="DW195" s="1013" t="s">
        <v>7724</v>
      </c>
      <c r="DX195" s="1013" t="s">
        <v>7724</v>
      </c>
      <c r="DY195" s="1013" t="s">
        <v>7724</v>
      </c>
      <c r="DZ195" s="1013" t="s">
        <v>7724</v>
      </c>
      <c r="EA195" s="1013" t="s">
        <v>7724</v>
      </c>
      <c r="EB195" s="1013" t="s">
        <v>7724</v>
      </c>
      <c r="EC195" s="1013" t="s">
        <v>7724</v>
      </c>
      <c r="ED195" s="1013" t="s">
        <v>7724</v>
      </c>
      <c r="EE195" s="1013" t="s">
        <v>7724</v>
      </c>
      <c r="EF195" s="1013" t="s">
        <v>7724</v>
      </c>
      <c r="EG195" s="1013" t="s">
        <v>7724</v>
      </c>
      <c r="EH195" s="1013" t="s">
        <v>7724</v>
      </c>
      <c r="EI195" s="1013" t="s">
        <v>7724</v>
      </c>
      <c r="EJ195" s="1013" t="s">
        <v>7724</v>
      </c>
      <c r="EK195" s="1013" t="s">
        <v>7724</v>
      </c>
      <c r="EL195" s="1013" t="s">
        <v>7724</v>
      </c>
      <c r="EM195" s="1013" t="s">
        <v>7724</v>
      </c>
      <c r="EN195" s="1013" t="s">
        <v>7724</v>
      </c>
      <c r="EO195" s="1013" t="s">
        <v>7724</v>
      </c>
      <c r="EP195" s="1013" t="s">
        <v>7724</v>
      </c>
      <c r="EQ195" s="1013" t="s">
        <v>7724</v>
      </c>
      <c r="ER195" s="1013" t="s">
        <v>7724</v>
      </c>
      <c r="ES195" s="1013" t="s">
        <v>7724</v>
      </c>
      <c r="ET195" s="1013" t="s">
        <v>7724</v>
      </c>
      <c r="EU195" s="1013" t="s">
        <v>7724</v>
      </c>
      <c r="EV195" s="1013" t="s">
        <v>7724</v>
      </c>
      <c r="EW195" s="1013" t="s">
        <v>7724</v>
      </c>
      <c r="EX195" s="1013" t="s">
        <v>7724</v>
      </c>
      <c r="EY195" s="1013" t="s">
        <v>7724</v>
      </c>
      <c r="EZ195" s="1013" t="s">
        <v>7724</v>
      </c>
      <c r="FA195" s="1013" t="s">
        <v>7724</v>
      </c>
      <c r="FB195" s="1013" t="s">
        <v>7724</v>
      </c>
      <c r="FC195" s="1013" t="s">
        <v>7724</v>
      </c>
      <c r="FD195" s="1013" t="s">
        <v>7724</v>
      </c>
      <c r="FE195" s="1013" t="s">
        <v>7724</v>
      </c>
      <c r="FF195" s="1013" t="s">
        <v>7724</v>
      </c>
      <c r="FG195" s="1013">
        <v>0</v>
      </c>
      <c r="FH195" s="1013">
        <v>0</v>
      </c>
      <c r="FI195" s="1013">
        <v>0</v>
      </c>
      <c r="FJ195" s="1013">
        <v>3</v>
      </c>
      <c r="FK195" s="1013">
        <v>0</v>
      </c>
      <c r="FL195" s="1013">
        <v>0</v>
      </c>
      <c r="FM195" s="1013">
        <v>0</v>
      </c>
      <c r="FN195" s="1013">
        <v>15</v>
      </c>
      <c r="FO195" s="1013">
        <v>29</v>
      </c>
      <c r="FP195" s="1013">
        <v>6</v>
      </c>
      <c r="FQ195" s="1013" t="s">
        <v>7724</v>
      </c>
      <c r="FR195" s="1013" t="s">
        <v>7724</v>
      </c>
      <c r="FS195" s="1013" t="s">
        <v>7724</v>
      </c>
      <c r="FT195" s="1013" t="s">
        <v>7724</v>
      </c>
      <c r="FU195" s="1013" t="s">
        <v>7724</v>
      </c>
      <c r="FV195" s="1013" t="s">
        <v>7724</v>
      </c>
      <c r="FW195" s="1013" t="s">
        <v>7724</v>
      </c>
      <c r="FX195" s="1013" t="s">
        <v>7724</v>
      </c>
      <c r="FY195" s="1013" t="s">
        <v>7724</v>
      </c>
      <c r="FZ195" s="1013" t="s">
        <v>7724</v>
      </c>
      <c r="GA195" s="1013" t="s">
        <v>7724</v>
      </c>
      <c r="GB195" s="1013" t="s">
        <v>7724</v>
      </c>
      <c r="GC195" s="1013">
        <v>2021</v>
      </c>
      <c r="GD195" s="1013" t="s">
        <v>1404</v>
      </c>
      <c r="GE195" s="1013">
        <v>2</v>
      </c>
      <c r="GF195" s="1013" t="s">
        <v>1407</v>
      </c>
      <c r="GG195" s="1013" t="s">
        <v>1407</v>
      </c>
      <c r="GH195" s="1013" t="s">
        <v>8023</v>
      </c>
      <c r="GI195" s="1013" t="s">
        <v>7974</v>
      </c>
      <c r="GJ195" s="1013" t="s">
        <v>7974</v>
      </c>
      <c r="GK195" s="1013" t="s">
        <v>7974</v>
      </c>
      <c r="GL195" s="1013" t="s">
        <v>7974</v>
      </c>
    </row>
    <row r="196" spans="1:194" hidden="1">
      <c r="A196" s="1013">
        <v>191</v>
      </c>
      <c r="B196" s="1013" t="s">
        <v>7722</v>
      </c>
      <c r="C196" s="1013">
        <v>18652927</v>
      </c>
      <c r="D196" s="1013" t="s">
        <v>7723</v>
      </c>
      <c r="E196" s="1013" t="s">
        <v>7723</v>
      </c>
      <c r="F196" s="1013" t="s">
        <v>7723</v>
      </c>
      <c r="G196" s="1013" t="s">
        <v>7723</v>
      </c>
      <c r="H196" s="1013" t="s">
        <v>7723</v>
      </c>
      <c r="I196" s="1013" t="s">
        <v>7723</v>
      </c>
      <c r="J196" s="1013" t="s">
        <v>7723</v>
      </c>
      <c r="K196" s="1024">
        <v>44528</v>
      </c>
      <c r="L196" s="1023">
        <v>0.10277777777777777</v>
      </c>
      <c r="M196" s="1013" t="s">
        <v>8198</v>
      </c>
      <c r="N196" s="1013" t="s">
        <v>7744</v>
      </c>
      <c r="O196" s="1013">
        <v>101</v>
      </c>
      <c r="P196" s="1013">
        <v>208</v>
      </c>
      <c r="Q196" s="1013" t="s">
        <v>7723</v>
      </c>
      <c r="R196" s="1013" t="s">
        <v>7727</v>
      </c>
      <c r="S196" s="1013" t="s">
        <v>7724</v>
      </c>
      <c r="T196" s="1014" t="s">
        <v>7724</v>
      </c>
      <c r="U196" s="1014">
        <v>2</v>
      </c>
      <c r="V196" s="1014">
        <v>59</v>
      </c>
      <c r="W196" s="1014" t="s">
        <v>7724</v>
      </c>
      <c r="X196" s="1013">
        <v>1</v>
      </c>
      <c r="Y196" s="1013">
        <v>215</v>
      </c>
      <c r="Z196" s="1013" t="s">
        <v>7770</v>
      </c>
      <c r="AA196" s="1013" t="s">
        <v>7771</v>
      </c>
      <c r="AB196" s="1013" t="s">
        <v>7760</v>
      </c>
      <c r="AC196" s="1013" t="s">
        <v>7723</v>
      </c>
      <c r="AD196" s="1013" t="s">
        <v>7723</v>
      </c>
      <c r="AE196" s="1013">
        <v>70</v>
      </c>
      <c r="AF196" s="1013" t="s">
        <v>7723</v>
      </c>
      <c r="AG196" s="1013" t="s">
        <v>7723</v>
      </c>
      <c r="AH196" s="1013" t="s">
        <v>7724</v>
      </c>
      <c r="AI196" s="1013" t="s">
        <v>7723</v>
      </c>
      <c r="AJ196" s="1013">
        <v>19</v>
      </c>
      <c r="AK196" s="1013" t="s">
        <v>7724</v>
      </c>
      <c r="AL196" s="1013" t="s">
        <v>7724</v>
      </c>
      <c r="AM196" s="1013">
        <v>1</v>
      </c>
      <c r="AN196" s="1013">
        <v>200</v>
      </c>
      <c r="AO196" s="1013" t="s">
        <v>7770</v>
      </c>
      <c r="AP196" s="1013" t="s">
        <v>8104</v>
      </c>
      <c r="AQ196" s="1013" t="s">
        <v>7726</v>
      </c>
      <c r="AR196" s="1013" t="s">
        <v>7724</v>
      </c>
      <c r="AS196" s="1013" t="s">
        <v>7724</v>
      </c>
      <c r="AT196" s="1013" t="s">
        <v>7724</v>
      </c>
      <c r="AU196" s="1013" t="s">
        <v>7724</v>
      </c>
      <c r="AV196" s="1013" t="s">
        <v>7724</v>
      </c>
      <c r="AW196" s="1013" t="s">
        <v>7724</v>
      </c>
      <c r="AX196" s="1013">
        <v>2</v>
      </c>
      <c r="AY196" s="1013">
        <v>4</v>
      </c>
      <c r="AZ196" s="1013">
        <v>0</v>
      </c>
      <c r="BA196" s="1013">
        <v>4</v>
      </c>
      <c r="BB196" s="1013">
        <v>1</v>
      </c>
      <c r="BC196" s="1013">
        <v>2</v>
      </c>
      <c r="BD196" s="1013">
        <v>20</v>
      </c>
      <c r="BE196" s="1023">
        <v>0.10277777777777777</v>
      </c>
      <c r="BF196" s="1013" t="s">
        <v>7736</v>
      </c>
      <c r="BG196" s="1023">
        <v>0.10694444444444444</v>
      </c>
      <c r="BH196" s="1024">
        <v>44548</v>
      </c>
      <c r="BI196" s="1013" t="s">
        <v>7727</v>
      </c>
      <c r="BJ196" s="1013" t="s">
        <v>7730</v>
      </c>
      <c r="BK196" s="1013">
        <v>2469</v>
      </c>
      <c r="BL196" s="1013" t="s">
        <v>7724</v>
      </c>
      <c r="BM196" s="1013" t="s">
        <v>7724</v>
      </c>
      <c r="BN196" s="1013">
        <v>113</v>
      </c>
      <c r="BO196" s="1013">
        <v>8</v>
      </c>
      <c r="BP196" s="1013">
        <v>7</v>
      </c>
      <c r="BQ196" s="1013">
        <v>4</v>
      </c>
      <c r="BR196" s="1013">
        <v>1</v>
      </c>
      <c r="BS196" s="1013">
        <v>39</v>
      </c>
      <c r="BT196" s="1013">
        <v>35</v>
      </c>
      <c r="BU196" s="1013">
        <v>1</v>
      </c>
      <c r="BV196" s="1013">
        <v>2</v>
      </c>
      <c r="BW196" s="1013">
        <v>4</v>
      </c>
      <c r="BX196" s="1013">
        <v>21</v>
      </c>
      <c r="BY196" s="1013">
        <v>21</v>
      </c>
      <c r="BZ196" s="1013">
        <v>101</v>
      </c>
      <c r="CA196" s="1013">
        <v>208</v>
      </c>
      <c r="CB196" s="1013">
        <v>29.732505</v>
      </c>
      <c r="CC196" s="1013">
        <v>-95.380334000000005</v>
      </c>
      <c r="CD196" s="1013" t="s">
        <v>7724</v>
      </c>
      <c r="CE196" s="1013" t="s">
        <v>7724</v>
      </c>
      <c r="CF196" s="1013" t="s">
        <v>7724</v>
      </c>
      <c r="CG196" s="1013" t="s">
        <v>7724</v>
      </c>
      <c r="CH196" s="1013" t="s">
        <v>8053</v>
      </c>
      <c r="CI196" s="1013" t="s">
        <v>7724</v>
      </c>
      <c r="CJ196" s="1013" t="s">
        <v>7724</v>
      </c>
      <c r="CK196" s="1013" t="s">
        <v>7724</v>
      </c>
      <c r="CL196" s="1013" t="s">
        <v>7724</v>
      </c>
      <c r="CM196" s="1013" t="s">
        <v>7724</v>
      </c>
      <c r="CN196" s="1013" t="s">
        <v>7724</v>
      </c>
      <c r="CO196" s="1013" t="s">
        <v>7724</v>
      </c>
      <c r="CP196" s="1013" t="s">
        <v>7724</v>
      </c>
      <c r="CQ196" s="1013" t="s">
        <v>7724</v>
      </c>
      <c r="CR196" s="1013" t="s">
        <v>7724</v>
      </c>
      <c r="CS196" s="1013" t="s">
        <v>7724</v>
      </c>
      <c r="CT196" s="1013" t="s">
        <v>7724</v>
      </c>
      <c r="CU196" s="1013" t="s">
        <v>7724</v>
      </c>
      <c r="CV196" s="1013" t="s">
        <v>7724</v>
      </c>
      <c r="CW196" s="1013" t="s">
        <v>7727</v>
      </c>
      <c r="CX196" s="1013" t="s">
        <v>7723</v>
      </c>
      <c r="CY196" s="1013" t="s">
        <v>7723</v>
      </c>
      <c r="CZ196" s="1013">
        <v>5</v>
      </c>
      <c r="DA196" s="1013">
        <v>9</v>
      </c>
      <c r="DB196" s="1013" t="s">
        <v>7727</v>
      </c>
      <c r="DC196" s="1013" t="s">
        <v>7747</v>
      </c>
      <c r="DD196" s="1013" t="s">
        <v>7724</v>
      </c>
      <c r="DE196" s="1013" t="s">
        <v>7724</v>
      </c>
      <c r="DF196" s="1013" t="s">
        <v>7724</v>
      </c>
      <c r="DG196" s="1013" t="s">
        <v>7724</v>
      </c>
      <c r="DH196" s="1013" t="s">
        <v>7724</v>
      </c>
      <c r="DI196" s="1013" t="s">
        <v>7724</v>
      </c>
      <c r="DJ196" s="1013" t="s">
        <v>7724</v>
      </c>
      <c r="DK196" s="1013" t="s">
        <v>7724</v>
      </c>
      <c r="DL196" s="1013" t="s">
        <v>7724</v>
      </c>
      <c r="DM196" s="1013" t="s">
        <v>7724</v>
      </c>
      <c r="DN196" s="1013" t="s">
        <v>7724</v>
      </c>
      <c r="DO196" s="1013" t="s">
        <v>7724</v>
      </c>
      <c r="DP196" s="1013" t="s">
        <v>7724</v>
      </c>
      <c r="DQ196" s="1013" t="s">
        <v>7724</v>
      </c>
      <c r="DR196" s="1013" t="s">
        <v>7724</v>
      </c>
      <c r="DS196" s="1013" t="s">
        <v>7724</v>
      </c>
      <c r="DT196" s="1013" t="s">
        <v>7724</v>
      </c>
      <c r="DU196" s="1013" t="s">
        <v>7724</v>
      </c>
      <c r="DV196" s="1013" t="s">
        <v>7724</v>
      </c>
      <c r="DW196" s="1013" t="s">
        <v>7724</v>
      </c>
      <c r="DX196" s="1013" t="s">
        <v>7724</v>
      </c>
      <c r="DY196" s="1013" t="s">
        <v>7724</v>
      </c>
      <c r="DZ196" s="1013" t="s">
        <v>7724</v>
      </c>
      <c r="EA196" s="1013" t="s">
        <v>7724</v>
      </c>
      <c r="EB196" s="1013" t="s">
        <v>7724</v>
      </c>
      <c r="EC196" s="1013" t="s">
        <v>7724</v>
      </c>
      <c r="ED196" s="1013" t="s">
        <v>7724</v>
      </c>
      <c r="EE196" s="1013" t="s">
        <v>7724</v>
      </c>
      <c r="EF196" s="1013" t="s">
        <v>7724</v>
      </c>
      <c r="EG196" s="1013" t="s">
        <v>7724</v>
      </c>
      <c r="EH196" s="1013" t="s">
        <v>7724</v>
      </c>
      <c r="EI196" s="1013" t="s">
        <v>7724</v>
      </c>
      <c r="EJ196" s="1013" t="s">
        <v>7724</v>
      </c>
      <c r="EK196" s="1013" t="s">
        <v>7724</v>
      </c>
      <c r="EL196" s="1013" t="s">
        <v>7724</v>
      </c>
      <c r="EM196" s="1013" t="s">
        <v>7724</v>
      </c>
      <c r="EN196" s="1013" t="s">
        <v>7724</v>
      </c>
      <c r="EO196" s="1013" t="s">
        <v>7724</v>
      </c>
      <c r="EP196" s="1013" t="s">
        <v>7724</v>
      </c>
      <c r="EQ196" s="1013" t="s">
        <v>7724</v>
      </c>
      <c r="ER196" s="1013" t="s">
        <v>7724</v>
      </c>
      <c r="ES196" s="1013" t="s">
        <v>7724</v>
      </c>
      <c r="ET196" s="1013" t="s">
        <v>7724</v>
      </c>
      <c r="EU196" s="1013" t="s">
        <v>7724</v>
      </c>
      <c r="EV196" s="1013" t="s">
        <v>7724</v>
      </c>
      <c r="EW196" s="1013" t="s">
        <v>7724</v>
      </c>
      <c r="EX196" s="1013" t="s">
        <v>7724</v>
      </c>
      <c r="EY196" s="1013" t="s">
        <v>7724</v>
      </c>
      <c r="EZ196" s="1013" t="s">
        <v>7724</v>
      </c>
      <c r="FA196" s="1013" t="s">
        <v>7724</v>
      </c>
      <c r="FB196" s="1013" t="s">
        <v>7724</v>
      </c>
      <c r="FC196" s="1013" t="s">
        <v>7724</v>
      </c>
      <c r="FD196" s="1013" t="s">
        <v>7724</v>
      </c>
      <c r="FE196" s="1013" t="s">
        <v>7724</v>
      </c>
      <c r="FF196" s="1013" t="s">
        <v>7724</v>
      </c>
      <c r="FG196" s="1013">
        <v>0</v>
      </c>
      <c r="FH196" s="1013">
        <v>0</v>
      </c>
      <c r="FI196" s="1013">
        <v>0</v>
      </c>
      <c r="FJ196" s="1013">
        <v>1</v>
      </c>
      <c r="FK196" s="1013">
        <v>0</v>
      </c>
      <c r="FL196" s="1013">
        <v>0</v>
      </c>
      <c r="FM196" s="1013">
        <v>0</v>
      </c>
      <c r="FN196" s="1013">
        <v>15</v>
      </c>
      <c r="FO196" s="1013">
        <v>29</v>
      </c>
      <c r="FP196" s="1013">
        <v>6</v>
      </c>
      <c r="FQ196" s="1013" t="s">
        <v>7724</v>
      </c>
      <c r="FR196" s="1013" t="s">
        <v>7724</v>
      </c>
      <c r="FS196" s="1013" t="s">
        <v>7724</v>
      </c>
      <c r="FT196" s="1013" t="s">
        <v>7724</v>
      </c>
      <c r="FU196" s="1013" t="s">
        <v>7724</v>
      </c>
      <c r="FV196" s="1013" t="s">
        <v>7724</v>
      </c>
      <c r="FW196" s="1013" t="s">
        <v>7724</v>
      </c>
      <c r="FX196" s="1013" t="s">
        <v>7724</v>
      </c>
      <c r="FY196" s="1013" t="s">
        <v>7724</v>
      </c>
      <c r="FZ196" s="1013" t="s">
        <v>7724</v>
      </c>
      <c r="GA196" s="1013" t="s">
        <v>7724</v>
      </c>
      <c r="GB196" s="1013" t="s">
        <v>7724</v>
      </c>
      <c r="GC196" s="1013">
        <v>2021</v>
      </c>
      <c r="GD196" s="1013" t="s">
        <v>1404</v>
      </c>
      <c r="GE196" s="1013">
        <v>2</v>
      </c>
      <c r="GF196" s="1013" t="s">
        <v>1407</v>
      </c>
      <c r="GG196" s="1013" t="s">
        <v>1407</v>
      </c>
      <c r="GH196" s="1013" t="s">
        <v>7988</v>
      </c>
      <c r="GI196" s="1013" t="s">
        <v>7974</v>
      </c>
      <c r="GJ196" s="1013" t="s">
        <v>7974</v>
      </c>
      <c r="GK196" s="1013" t="s">
        <v>7974</v>
      </c>
      <c r="GL196" s="1013" t="s">
        <v>7974</v>
      </c>
    </row>
  </sheetData>
  <sheetProtection algorithmName="SHA-512" hashValue="szFUdWMYHZpCCZylqgWPSoU3TfLgh2y12fIVofS04qr5jbWW/P61u0PV8+bJLZtS2OuwP5B0oliqyq7EfcnweA==" saltValue="zNLPicm+c2WtEU301GdZWA==" spinCount="100000" sheet="1" objects="1" scenarios="1"/>
  <autoFilter ref="A4:FW196" xr:uid="{BFD03FD0-1F19-420B-B99F-1CC54BDBB236}">
    <filterColumn colId="67">
      <filters>
        <filter val="5"/>
      </filters>
    </filterColumn>
  </autoFilter>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21875" style="3" customWidth="1"/>
    <col min="2" max="2" width="25.5546875" style="3" bestFit="1" customWidth="1"/>
    <col min="3" max="3" width="61.5546875" style="3" hidden="1" customWidth="1"/>
    <col min="4" max="4" width="23.44140625" style="41" bestFit="1" customWidth="1"/>
    <col min="5" max="5" width="15.77734375" style="41" bestFit="1" customWidth="1"/>
    <col min="6" max="6" width="5.44140625" style="3" customWidth="1"/>
    <col min="7" max="7" width="23.77734375" bestFit="1" customWidth="1"/>
    <col min="8" max="8" width="25.77734375" customWidth="1"/>
    <col min="9" max="9" width="28.44140625" customWidth="1"/>
    <col min="13" max="13" width="12.21875" bestFit="1" customWidth="1"/>
    <col min="14" max="14" width="16.77734375" bestFit="1" customWidth="1"/>
  </cols>
  <sheetData>
    <row r="1" spans="1:6" s="110" customFormat="1">
      <c r="A1" s="16"/>
      <c r="B1" s="16" t="s">
        <v>175</v>
      </c>
      <c r="C1" s="16" t="s">
        <v>176</v>
      </c>
      <c r="D1" s="18" t="s">
        <v>177</v>
      </c>
      <c r="E1" s="18" t="s">
        <v>178</v>
      </c>
      <c r="F1" s="16"/>
    </row>
    <row r="2" spans="1:6">
      <c r="A2" s="3">
        <v>1</v>
      </c>
      <c r="B2" s="3" t="str" cm="1">
        <f t="array" ref="B2">INDEX(SheetNames,A2)</f>
        <v>Table for Memo for HGAC</v>
      </c>
      <c r="C2" s="16"/>
      <c r="D2" s="41" t="s">
        <v>179</v>
      </c>
      <c r="E2" s="45" t="str">
        <f>HYPERLINK("#'"&amp;B2&amp;"'!A1","Go To Sheet")</f>
        <v>Go To Sheet</v>
      </c>
      <c r="F2" s="16"/>
    </row>
    <row r="3" spans="1:6">
      <c r="A3" s="3">
        <v>2</v>
      </c>
      <c r="B3" s="3" t="str" cm="1">
        <f t="array" ref="B3">INDEX(SheetNames,A3)</f>
        <v>Tables for Memo</v>
      </c>
      <c r="C3" s="3" t="str">
        <f ca="1">IF(INDIRECT("'"&amp;B3&amp;"'!B1")=0,"",INDIRECT("'"&amp;B3&amp;"'!B1"))</f>
        <v/>
      </c>
      <c r="D3" s="48" t="s">
        <v>180</v>
      </c>
      <c r="E3" s="45" t="str">
        <f t="shared" ref="E3:E66" si="0">HYPERLINK("#'"&amp;B3&amp;"'!A1","Go To Sheet")</f>
        <v>Go To Sheet</v>
      </c>
      <c r="F3" s="43"/>
    </row>
    <row r="4" spans="1:6">
      <c r="A4" s="3">
        <v>3</v>
      </c>
      <c r="B4" s="3" t="str" cm="1">
        <f t="array" ref="B4">INDEX(SheetNames,A4)</f>
        <v>Master Key</v>
      </c>
      <c r="C4" s="3" t="str">
        <f t="shared" ref="C4:C67" ca="1" si="1">IF(INDIRECT("'"&amp;B4&amp;"'!B1")=0,"",INDIRECT("'"&amp;B4&amp;"'!B1"))</f>
        <v>Worksheet</v>
      </c>
      <c r="D4" s="41" t="s">
        <v>7539</v>
      </c>
      <c r="E4" s="45" t="str">
        <f t="shared" si="0"/>
        <v>Go To Sheet</v>
      </c>
      <c r="F4" s="43"/>
    </row>
    <row r="5" spans="1:6" s="17" customFormat="1">
      <c r="A5" s="3">
        <v>4</v>
      </c>
      <c r="B5" s="3" t="str" cm="1">
        <f t="array" ref="B5">INDEX(SheetNames,A5)</f>
        <v>Major Assumption Key</v>
      </c>
      <c r="C5" s="3" t="str">
        <f t="shared" ca="1" si="1"/>
        <v xml:space="preserve">Assumptions Throughout Analysis </v>
      </c>
      <c r="D5" s="277" t="s">
        <v>181</v>
      </c>
      <c r="E5" s="45" t="str">
        <f t="shared" si="0"/>
        <v>Go To Sheet</v>
      </c>
      <c r="F5" s="43"/>
    </row>
    <row r="6" spans="1:6" s="17" customFormat="1" ht="12" customHeight="1">
      <c r="A6" s="3">
        <v>5</v>
      </c>
      <c r="B6" s="3" t="str" cm="1">
        <f t="array" ref="B6">INDEX(SheetNames,A6)</f>
        <v>BCA Guide - Parameter Values</v>
      </c>
      <c r="C6" s="3" t="str">
        <f t="shared" ca="1" si="1"/>
        <v>USDOT Benefit-Cost Analysis Guidance for Discretionary Grant Programs</v>
      </c>
      <c r="D6" s="47" t="s">
        <v>182</v>
      </c>
      <c r="E6" s="45" t="str">
        <f t="shared" si="0"/>
        <v>Go To Sheet</v>
      </c>
      <c r="F6" s="43"/>
    </row>
    <row r="7" spans="1:6">
      <c r="A7" s="3">
        <v>6</v>
      </c>
      <c r="B7" s="3" t="str" cm="1">
        <f t="array" ref="B7">INDEX(SheetNames,A7)</f>
        <v>BCA Summary</v>
      </c>
      <c r="C7" s="3" t="str">
        <f t="shared" ca="1" si="1"/>
        <v xml:space="preserve">Summary of costs and benefits </v>
      </c>
      <c r="D7" s="48" t="s">
        <v>180</v>
      </c>
      <c r="E7" s="45" t="str">
        <f t="shared" si="0"/>
        <v>Go To Sheet</v>
      </c>
      <c r="F7" s="43"/>
    </row>
    <row r="8" spans="1:6" ht="12" customHeight="1">
      <c r="A8" s="3">
        <v>7</v>
      </c>
      <c r="B8" s="3" t="str" cm="1">
        <f t="array" ref="B8">INDEX(SheetNames,A8)</f>
        <v>Cost Summary</v>
      </c>
      <c r="C8" s="3" t="str">
        <f t="shared" ca="1" si="1"/>
        <v>Summary of all costs</v>
      </c>
      <c r="D8" s="48" t="s">
        <v>180</v>
      </c>
      <c r="E8" s="45" t="str">
        <f t="shared" si="0"/>
        <v>Go To Sheet</v>
      </c>
      <c r="F8" s="43"/>
    </row>
    <row r="9" spans="1:6">
      <c r="A9" s="3">
        <v>8</v>
      </c>
      <c r="B9" s="3" t="str" cm="1">
        <f t="array" ref="B9">INDEX(SheetNames,A9)</f>
        <v>Benefits Summary</v>
      </c>
      <c r="C9" s="3" t="str">
        <f t="shared" ca="1" si="1"/>
        <v>Summary of all benefits</v>
      </c>
      <c r="D9" s="48" t="s">
        <v>180</v>
      </c>
      <c r="E9" s="45" t="str">
        <f t="shared" si="0"/>
        <v>Go To Sheet</v>
      </c>
      <c r="F9" s="43"/>
    </row>
    <row r="10" spans="1:6">
      <c r="A10" s="3">
        <v>9</v>
      </c>
      <c r="B10" s="3" t="str" cm="1">
        <f t="array" ref="B10">INDEX(SheetNames,A10)</f>
        <v>Useful Life</v>
      </c>
      <c r="C10" s="3" t="str">
        <f t="shared" ca="1" si="1"/>
        <v>Useful Life Benefit</v>
      </c>
      <c r="D10" s="41" t="s">
        <v>183</v>
      </c>
      <c r="E10" s="45" t="str">
        <f t="shared" si="0"/>
        <v>Go To Sheet</v>
      </c>
      <c r="F10" s="43"/>
    </row>
    <row r="11" spans="1:6">
      <c r="A11" s="3">
        <v>10</v>
      </c>
      <c r="B11" s="3" t="str" cm="1">
        <f t="array" ref="B11">INDEX(SheetNames,A11)</f>
        <v>Non-Roadway Maintenance</v>
      </c>
      <c r="C11" s="3" t="str">
        <f t="shared" ca="1" si="1"/>
        <v>Summary of Maintenance as a Disbenefit</v>
      </c>
      <c r="D11" s="46" t="s">
        <v>15</v>
      </c>
      <c r="E11" s="45" t="str">
        <f t="shared" si="0"/>
        <v>Go To Sheet</v>
      </c>
      <c r="F11" s="43"/>
    </row>
    <row r="12" spans="1:6">
      <c r="A12" s="3">
        <v>11</v>
      </c>
      <c r="B12" s="3" t="str" cm="1">
        <f t="array" ref="B12">INDEX(SheetNames,A12)</f>
        <v>State of Good Repair AP-CP</v>
      </c>
      <c r="C12" s="3" t="str">
        <f t="shared" ca="1" si="1"/>
        <v>State of Good Repair - Asphalt to Concrete</v>
      </c>
      <c r="D12" s="46" t="s">
        <v>15</v>
      </c>
      <c r="E12" s="45" t="str">
        <f t="shared" si="0"/>
        <v>Go To Sheet</v>
      </c>
      <c r="F12" s="43"/>
    </row>
    <row r="13" spans="1:6">
      <c r="A13" s="3">
        <v>12</v>
      </c>
      <c r="B13" s="3" t="str" cm="1">
        <f t="array" ref="B13">INDEX(SheetNames,A13)</f>
        <v>SOGR Supporting AP-CP</v>
      </c>
      <c r="C13" s="3" t="str">
        <f t="shared" ca="1" si="1"/>
        <v>Traffic growth rate and rehabilitation/vehicle costs - Asphalt</v>
      </c>
      <c r="D13" s="46" t="s">
        <v>15</v>
      </c>
      <c r="E13" s="45" t="str">
        <f t="shared" si="0"/>
        <v>Go To Sheet</v>
      </c>
      <c r="F13" s="43"/>
    </row>
    <row r="14" spans="1:6">
      <c r="A14" s="3">
        <v>13</v>
      </c>
      <c r="B14" s="3" t="str" cm="1">
        <f t="array" ref="B14">INDEX(SheetNames,A14)</f>
        <v>State of Good Repair - AP-AP</v>
      </c>
      <c r="C14" s="3" t="str">
        <f t="shared" ca="1" si="1"/>
        <v>State of Good Repair - Asphalt to Asphalt</v>
      </c>
      <c r="D14" s="47" t="s">
        <v>182</v>
      </c>
      <c r="E14" s="45" t="str">
        <f t="shared" si="0"/>
        <v>Go To Sheet</v>
      </c>
      <c r="F14" s="43"/>
    </row>
    <row r="15" spans="1:6">
      <c r="A15" s="3">
        <v>14</v>
      </c>
      <c r="B15" s="3" t="str" cm="1">
        <f t="array" ref="B15">INDEX(SheetNames,A15)</f>
        <v>SOGR Supporting AP-AP</v>
      </c>
      <c r="C15" s="3" t="str">
        <f t="shared" ca="1" si="1"/>
        <v>Traffic growth rate and rehabilitation/vehicle costs - Asphalt</v>
      </c>
      <c r="D15" s="46" t="s">
        <v>15</v>
      </c>
      <c r="E15" s="45" t="str">
        <f t="shared" si="0"/>
        <v>Go To Sheet</v>
      </c>
      <c r="F15" s="43"/>
    </row>
    <row r="16" spans="1:6" ht="12" customHeight="1">
      <c r="A16" s="3">
        <v>15</v>
      </c>
      <c r="B16" s="3" t="str" cm="1">
        <f t="array" ref="B16">INDEX(SheetNames,A16)</f>
        <v xml:space="preserve">State of Good Repair CP-CP </v>
      </c>
      <c r="C16" s="3" t="str">
        <f t="shared" ca="1" si="1"/>
        <v>State of Good Repair - Concrete to Concrete</v>
      </c>
      <c r="D16" s="47" t="s">
        <v>182</v>
      </c>
      <c r="E16" s="45" t="str">
        <f t="shared" si="0"/>
        <v>Go To Sheet</v>
      </c>
      <c r="F16" s="43"/>
    </row>
    <row r="17" spans="1:6">
      <c r="A17" s="3">
        <v>16</v>
      </c>
      <c r="B17" s="3" t="str" cm="1">
        <f t="array" ref="B17">INDEX(SheetNames,A17)</f>
        <v>SOGR Supporting CP-CP</v>
      </c>
      <c r="C17" s="3" t="str">
        <f t="shared" ca="1" si="1"/>
        <v>Traffic growth rate and rehabilitation/vehicle costs - Concrete</v>
      </c>
      <c r="D17" s="46" t="s">
        <v>15</v>
      </c>
      <c r="E17" s="45" t="str">
        <f t="shared" si="0"/>
        <v>Go To Sheet</v>
      </c>
      <c r="F17" s="43"/>
    </row>
    <row r="18" spans="1:6">
      <c r="A18" s="3">
        <v>17</v>
      </c>
      <c r="B18" s="3" t="str" cm="1">
        <f t="array" ref="B18">INDEX(SheetNames,A18)</f>
        <v>Cost of Rehab</v>
      </c>
      <c r="C18" s="3" t="str">
        <f t="shared" ca="1" si="1"/>
        <v>Costs for Preventive Maintenance and Rehibilitation</v>
      </c>
      <c r="D18" s="47" t="s">
        <v>182</v>
      </c>
      <c r="E18" s="45" t="str">
        <f t="shared" si="0"/>
        <v>Go To Sheet</v>
      </c>
      <c r="F18" s="43"/>
    </row>
    <row r="19" spans="1:6">
      <c r="A19" s="3">
        <v>18</v>
      </c>
      <c r="B19" s="3" t="str" cm="1">
        <f t="array" ref="B19">INDEX(SheetNames,A19)</f>
        <v>Life Cycle of Rehabilitation</v>
      </c>
      <c r="C19" s="3" t="str">
        <f t="shared" ca="1" si="1"/>
        <v>Life Cycle of Rehabilitation Supporting Sheet</v>
      </c>
      <c r="D19" s="47" t="s">
        <v>182</v>
      </c>
      <c r="E19" s="45" t="str">
        <f t="shared" si="0"/>
        <v>Go To Sheet</v>
      </c>
      <c r="F19" s="43"/>
    </row>
    <row r="20" spans="1:6">
      <c r="A20" s="3">
        <v>19</v>
      </c>
      <c r="B20" s="3" t="str" cm="1">
        <f t="array" ref="B20">INDEX(SheetNames,A20)</f>
        <v>Pavement Data</v>
      </c>
      <c r="C20" s="3" t="str">
        <f t="shared" ca="1" si="1"/>
        <v>Pavement Condition Data</v>
      </c>
      <c r="D20" s="47" t="s">
        <v>182</v>
      </c>
      <c r="E20" s="45" t="str">
        <f t="shared" si="0"/>
        <v>Go To Sheet</v>
      </c>
      <c r="F20" s="43"/>
    </row>
    <row r="21" spans="1:6">
      <c r="A21" s="3">
        <v>20</v>
      </c>
      <c r="B21" s="3" t="str" cm="1">
        <f t="array" ref="B21">INDEX(SheetNames,A21)</f>
        <v>Roadway Safety</v>
      </c>
      <c r="C21" s="3" t="str">
        <f t="shared" ca="1" si="1"/>
        <v>Roadway Safety Improvements</v>
      </c>
      <c r="D21" s="47" t="s">
        <v>182</v>
      </c>
      <c r="E21" s="45" t="str">
        <f t="shared" si="0"/>
        <v>Go To Sheet</v>
      </c>
      <c r="F21" s="43"/>
    </row>
    <row r="22" spans="1:6">
      <c r="A22" s="3">
        <v>21</v>
      </c>
      <c r="B22" s="3" t="str" cm="1">
        <f t="array" ref="B22">INDEX(SheetNames,A22)</f>
        <v>Road Safety CRTMeasure</v>
      </c>
      <c r="C22" s="3" t="str">
        <f t="shared" ca="1" si="1"/>
        <v>Roadway Safety Benefit supporting calculations</v>
      </c>
      <c r="D22" s="41" t="s">
        <v>183</v>
      </c>
      <c r="E22" s="45" t="str">
        <f t="shared" si="0"/>
        <v>Go To Sheet</v>
      </c>
      <c r="F22" s="43"/>
    </row>
    <row r="23" spans="1:6">
      <c r="A23" s="3">
        <v>22</v>
      </c>
      <c r="B23" s="3" t="str" cm="1">
        <f t="array" ref="B23">INDEX(SheetNames,A23)</f>
        <v>Road S Data CRTMeasure</v>
      </c>
      <c r="C23" s="3" t="str">
        <f t="shared" ca="1" si="1"/>
        <v>Traffic Crash Data except for Pedestrian and Bicycle Crashes</v>
      </c>
      <c r="D23" s="46" t="s">
        <v>15</v>
      </c>
      <c r="E23" s="45" t="str">
        <f t="shared" si="0"/>
        <v>Go To Sheet</v>
      </c>
      <c r="F23" s="43"/>
    </row>
    <row r="24" spans="1:6">
      <c r="A24" s="3">
        <v>23</v>
      </c>
      <c r="B24" s="3" t="str" cm="1">
        <f t="array" ref="B24">INDEX(SheetNames,A24)</f>
        <v>Pedestrian Safety</v>
      </c>
      <c r="C24" s="3" t="str">
        <f t="shared" ca="1" si="1"/>
        <v>Pedestrian Safety Improvements</v>
      </c>
      <c r="D24" s="47" t="s">
        <v>182</v>
      </c>
      <c r="E24" s="45" t="str">
        <f t="shared" si="0"/>
        <v>Go To Sheet</v>
      </c>
      <c r="F24" s="43"/>
    </row>
    <row r="25" spans="1:6">
      <c r="A25" s="3">
        <v>24</v>
      </c>
      <c r="B25" s="3" t="str" cm="1">
        <f t="array" ref="B25">INDEX(SheetNames,A25)</f>
        <v>Ped Safety CRTMeasure</v>
      </c>
      <c r="C25" s="3" t="str">
        <f t="shared" ca="1" si="1"/>
        <v xml:space="preserve">Pedestrian Safety Benefit supporting calculations </v>
      </c>
      <c r="D25" s="47" t="s">
        <v>182</v>
      </c>
      <c r="E25" s="45" t="str">
        <f t="shared" si="0"/>
        <v>Go To Sheet</v>
      </c>
      <c r="F25" s="43"/>
    </row>
    <row r="26" spans="1:6">
      <c r="A26" s="3">
        <v>25</v>
      </c>
      <c r="B26" s="3" t="str" cm="1">
        <f t="array" ref="B26">INDEX(SheetNames,A26)</f>
        <v>Ped S Data CRTMeasure</v>
      </c>
      <c r="C26" s="3" t="str">
        <f t="shared" ca="1" si="1"/>
        <v>Counter Measure _ Pedestrian Crash Data</v>
      </c>
      <c r="D26" s="46" t="s">
        <v>15</v>
      </c>
      <c r="E26" s="45" t="str">
        <f t="shared" si="0"/>
        <v>Go To Sheet</v>
      </c>
      <c r="F26" s="43"/>
    </row>
    <row r="27" spans="1:6">
      <c r="A27" s="3">
        <v>26</v>
      </c>
      <c r="B27" s="3" t="str" cm="1">
        <f t="array" ref="B27">INDEX(SheetNames,A27)</f>
        <v>Bike Safety</v>
      </c>
      <c r="C27" s="3" t="str">
        <f t="shared" ca="1" si="1"/>
        <v>Bike Safety Improvements</v>
      </c>
      <c r="D27" s="47" t="s">
        <v>182</v>
      </c>
      <c r="E27" s="45" t="str">
        <f t="shared" si="0"/>
        <v>Go To Sheet</v>
      </c>
      <c r="F27" s="43"/>
    </row>
    <row r="28" spans="1:6">
      <c r="A28" s="3">
        <v>27</v>
      </c>
      <c r="B28" s="3" t="str" cm="1">
        <f t="array" ref="B28">INDEX(SheetNames,A28)</f>
        <v>Bike Safety CRTMeasure</v>
      </c>
      <c r="C28" s="3" t="str">
        <f t="shared" ca="1" si="1"/>
        <v xml:space="preserve">Bike Safety Benefit supporting calculations </v>
      </c>
      <c r="D28" s="47" t="s">
        <v>182</v>
      </c>
      <c r="E28" s="45" t="str">
        <f t="shared" si="0"/>
        <v>Go To Sheet</v>
      </c>
      <c r="F28" s="43"/>
    </row>
    <row r="29" spans="1:6">
      <c r="A29" s="3">
        <v>28</v>
      </c>
      <c r="B29" s="3" t="str" cm="1">
        <f t="array" ref="B29">INDEX(SheetNames,A29)</f>
        <v xml:space="preserve">Bike S Data CRTMeasure </v>
      </c>
      <c r="C29" s="3" t="str">
        <f t="shared" ca="1" si="1"/>
        <v>Counter Measure _ Bike Crash Data</v>
      </c>
      <c r="D29" s="46" t="s">
        <v>15</v>
      </c>
      <c r="E29" s="45" t="str">
        <f t="shared" si="0"/>
        <v>Go To Sheet</v>
      </c>
      <c r="F29" s="43"/>
    </row>
    <row r="30" spans="1:6">
      <c r="A30" s="3">
        <v>29</v>
      </c>
      <c r="B30" s="3" t="str" cm="1">
        <f t="array" ref="B30">INDEX(SheetNames,A30)</f>
        <v>Safety Ref. - All Crash Data</v>
      </c>
      <c r="C30" s="3" t="str">
        <f t="shared" ca="1" si="1"/>
        <v>Crash data used for the safety benefits calculation extracted from the TxDOT Crash Record Information System (CRIS).</v>
      </c>
      <c r="D30" s="47" t="s">
        <v>182</v>
      </c>
      <c r="E30" s="45" t="str">
        <f t="shared" si="0"/>
        <v>Go To Sheet</v>
      </c>
      <c r="F30" s="43"/>
    </row>
    <row r="31" spans="1:6">
      <c r="A31" s="3">
        <v>30</v>
      </c>
      <c r="B31" s="3" t="str" cm="1">
        <f t="array" ref="B31">INDEX(SheetNames,A31)</f>
        <v>Safety Ref. CRIS Codes</v>
      </c>
      <c r="C31" s="3" t="str">
        <f t="shared" ca="1" si="1"/>
        <v>Texas Department of Transportation Crash Codes</v>
      </c>
      <c r="D31" s="47" t="s">
        <v>182</v>
      </c>
      <c r="E31" s="45" t="str">
        <f t="shared" si="0"/>
        <v>Go To Sheet</v>
      </c>
      <c r="F31" s="43"/>
    </row>
    <row r="32" spans="1:6">
      <c r="A32" s="3">
        <v>31</v>
      </c>
      <c r="B32" s="3" t="str" cm="1">
        <f t="array" ref="B32">INDEX(SheetNames,A32)</f>
        <v>Facility Improve - Ped</v>
      </c>
      <c r="C32" s="3" t="str">
        <f t="shared" ca="1" si="1"/>
        <v>Facility Improvement Benefit - Sidewalk</v>
      </c>
      <c r="D32" s="47" t="s">
        <v>182</v>
      </c>
      <c r="E32" s="45" t="str">
        <f t="shared" si="0"/>
        <v>Go To Sheet</v>
      </c>
      <c r="F32" s="43"/>
    </row>
    <row r="33" spans="1:7">
      <c r="A33" s="3">
        <v>32</v>
      </c>
      <c r="B33" s="3" t="str" cm="1">
        <f t="array" ref="B33">INDEX(SheetNames,A33)</f>
        <v>Facility Improve - Bike</v>
      </c>
      <c r="C33" s="3" t="str">
        <f t="shared" ca="1" si="1"/>
        <v>Facility Improvement Benefit - Bicycle Facility</v>
      </c>
      <c r="D33" s="47" t="s">
        <v>182</v>
      </c>
      <c r="E33" s="45" t="str">
        <f t="shared" si="0"/>
        <v>Go To Sheet</v>
      </c>
      <c r="F33" s="43"/>
    </row>
    <row r="34" spans="1:7">
      <c r="A34" s="3">
        <v>33</v>
      </c>
      <c r="B34" s="3" t="str" cm="1">
        <f t="array" ref="B34">INDEX(SheetNames,A34)</f>
        <v>Facility Improve - Transit Stop</v>
      </c>
      <c r="C34" s="3" t="str">
        <f t="shared" ca="1" si="1"/>
        <v>Transit Facility Amenity Improvement - Transit Stops</v>
      </c>
      <c r="D34" s="41" t="s">
        <v>183</v>
      </c>
      <c r="E34" s="45" t="str">
        <f t="shared" si="0"/>
        <v>Go To Sheet</v>
      </c>
      <c r="F34" s="43"/>
    </row>
    <row r="35" spans="1:7">
      <c r="A35" s="3">
        <v>34</v>
      </c>
      <c r="B35" s="3" t="str" cm="1">
        <f t="array" ref="B35">INDEX(SheetNames,A35)</f>
        <v>Serve Improve - Transit Mode</v>
      </c>
      <c r="C35" s="3" t="str">
        <f t="shared" ca="1" si="1"/>
        <v>Facility Improvement Benefit - Sidewalk</v>
      </c>
      <c r="D35" s="46" t="s">
        <v>15</v>
      </c>
      <c r="E35" s="45" t="str">
        <f t="shared" si="0"/>
        <v>Go To Sheet</v>
      </c>
      <c r="F35" s="43"/>
    </row>
    <row r="36" spans="1:7">
      <c r="A36" s="3">
        <v>35</v>
      </c>
      <c r="B36" s="3" t="str" cm="1">
        <f t="array" ref="B36">INDEX(SheetNames,A36)</f>
        <v xml:space="preserve">Amenity Improve - Transit Veh </v>
      </c>
      <c r="C36" s="3" t="str">
        <f t="shared" ca="1" si="1"/>
        <v>Transit Modal Shift Benefits</v>
      </c>
      <c r="D36" s="46" t="s">
        <v>15</v>
      </c>
      <c r="E36" s="45" t="str">
        <f t="shared" si="0"/>
        <v>Go To Sheet</v>
      </c>
    </row>
    <row r="37" spans="1:7">
      <c r="A37" s="3">
        <v>36</v>
      </c>
      <c r="B37" s="3" t="str" cm="1">
        <f t="array" ref="B37">INDEX(SheetNames,A37)</f>
        <v>Pedestrian Demand</v>
      </c>
      <c r="C37" s="3" t="str">
        <f t="shared" ca="1" si="1"/>
        <v/>
      </c>
      <c r="D37" s="46" t="s">
        <v>15</v>
      </c>
      <c r="E37" s="45" t="str">
        <f t="shared" si="0"/>
        <v>Go To Sheet</v>
      </c>
    </row>
    <row r="38" spans="1:7">
      <c r="A38" s="3">
        <v>37</v>
      </c>
      <c r="B38" s="3" t="str" cm="1">
        <f t="array" ref="B38">INDEX(SheetNames,A38)</f>
        <v>Bike Demand</v>
      </c>
      <c r="C38" s="3" t="str">
        <f t="shared" ca="1" si="1"/>
        <v>Estimating Bike/Shared Use Path Build Demand</v>
      </c>
      <c r="D38" s="46" t="s">
        <v>15</v>
      </c>
      <c r="E38" s="45" t="str">
        <f t="shared" si="0"/>
        <v>Go To Sheet</v>
      </c>
    </row>
    <row r="39" spans="1:7">
      <c r="A39" s="3">
        <v>38</v>
      </c>
      <c r="B39" s="3" t="str" cm="1">
        <f t="array" ref="B39">INDEX(SheetNames,A39)</f>
        <v>Transit Demand</v>
      </c>
      <c r="C39" s="3" t="str">
        <f t="shared" ca="1" si="1"/>
        <v>Estimating Change of Passenger Trips Due to Transit Facility Amenity or Transit Vehicle Improvement</v>
      </c>
      <c r="D39" s="46" t="s">
        <v>15</v>
      </c>
      <c r="E39" s="45" t="str">
        <f t="shared" si="0"/>
        <v>Go To Sheet</v>
      </c>
    </row>
    <row r="40" spans="1:7">
      <c r="A40" s="3">
        <v>39</v>
      </c>
      <c r="B40" s="3" t="str" cm="1">
        <f t="array" ref="B40">INDEX(SheetNames,A40)</f>
        <v>Transit Demand - Modal</v>
      </c>
      <c r="C40" s="3" t="str">
        <f t="shared" ca="1" si="1"/>
        <v>Estimating Change of Boardings and Passenger Hours due to Transit Modal Shift</v>
      </c>
      <c r="D40" s="679" t="s">
        <v>184</v>
      </c>
      <c r="E40" s="45" t="str">
        <f t="shared" si="0"/>
        <v>Go To Sheet</v>
      </c>
    </row>
    <row r="41" spans="1:7">
      <c r="A41" s="3">
        <v>40</v>
      </c>
      <c r="B41" s="3" t="str" cm="1">
        <f t="array" ref="B41">INDEX(SheetNames,A41)</f>
        <v>Amenity Condition</v>
      </c>
      <c r="C41" s="3" t="str">
        <f t="shared" ca="1" si="1"/>
        <v>Existence of amenities collected through field visit.</v>
      </c>
      <c r="D41" s="679" t="s">
        <v>184</v>
      </c>
      <c r="E41" s="45" t="str">
        <f t="shared" si="0"/>
        <v>Go To Sheet</v>
      </c>
    </row>
    <row r="42" spans="1:7">
      <c r="A42" s="3">
        <v>41</v>
      </c>
      <c r="B42" s="3" t="str" cm="1">
        <f t="array" ref="B42">INDEX(SheetNames,A42)</f>
        <v>BOOST Pilot Segment</v>
      </c>
      <c r="C42" s="3" t="str">
        <f t="shared" ca="1" si="1"/>
        <v>Change of Ridership on BOOST Pilot segment.</v>
      </c>
      <c r="D42" s="679" t="s">
        <v>184</v>
      </c>
      <c r="E42" s="45" t="str">
        <f t="shared" si="0"/>
        <v>Go To Sheet</v>
      </c>
    </row>
    <row r="43" spans="1:7">
      <c r="A43" s="3">
        <v>42</v>
      </c>
      <c r="B43" s="3" t="str" cm="1">
        <f t="array" ref="B43">INDEX(SheetNames,A43)</f>
        <v>Metro_Ridership</v>
      </c>
      <c r="C43" s="3" t="str">
        <f t="shared" ca="1" si="1"/>
        <v>Houston Metro Ridership Data</v>
      </c>
      <c r="D43" s="679" t="s">
        <v>184</v>
      </c>
      <c r="E43" s="45" t="str">
        <f t="shared" si="0"/>
        <v>Go To Sheet</v>
      </c>
      <c r="G43" s="52"/>
    </row>
    <row r="44" spans="1:7">
      <c r="A44" s="3">
        <v>43</v>
      </c>
      <c r="B44" s="3" t="str" cm="1">
        <f t="array" ref="B44">INDEX(SheetNames,A44)</f>
        <v>Break Note 4</v>
      </c>
      <c r="C44" s="3" t="str">
        <f t="shared" ca="1" si="1"/>
        <v/>
      </c>
      <c r="D44" s="47" t="s">
        <v>182</v>
      </c>
      <c r="E44" s="45" t="str">
        <f t="shared" si="0"/>
        <v>Go To Sheet</v>
      </c>
      <c r="G44" s="52"/>
    </row>
    <row r="45" spans="1:7">
      <c r="A45" s="3">
        <v>44</v>
      </c>
      <c r="B45" s="3" t="str" cm="1">
        <f t="array" ref="B45">INDEX(SheetNames,A45)</f>
        <v>Value of Travel Time</v>
      </c>
      <c r="C45" s="3" t="str">
        <f t="shared" ca="1" si="1"/>
        <v>Value of Travel Time Benefits</v>
      </c>
      <c r="D45" s="47" t="s">
        <v>182</v>
      </c>
      <c r="E45" s="45" t="str">
        <f t="shared" si="0"/>
        <v>Go To Sheet</v>
      </c>
      <c r="G45" s="52"/>
    </row>
    <row r="46" spans="1:7">
      <c r="A46" s="3">
        <v>45</v>
      </c>
      <c r="B46" s="3" t="str" cm="1">
        <f t="array" ref="B46">INDEX(SheetNames,A46)</f>
        <v>VOTT Supporting - Auto</v>
      </c>
      <c r="C46" s="3" t="str">
        <f t="shared" ca="1" si="1"/>
        <v>Traffic growth rate and micro simulation model results</v>
      </c>
      <c r="D46" s="47" t="s">
        <v>182</v>
      </c>
      <c r="E46" s="45" t="str">
        <f t="shared" si="0"/>
        <v>Go To Sheet</v>
      </c>
      <c r="G46" s="52"/>
    </row>
    <row r="47" spans="1:7">
      <c r="A47" s="3">
        <v>46</v>
      </c>
      <c r="B47" s="3" t="str" cm="1">
        <f t="array" ref="B47">INDEX(SheetNames,A47)</f>
        <v>VOTT Supporting - Transit TSP</v>
      </c>
      <c r="C47" s="3" t="str">
        <f t="shared" ca="1" si="1"/>
        <v>Transit delay reduction due to active TSP</v>
      </c>
      <c r="D47" s="41" t="s">
        <v>183</v>
      </c>
      <c r="E47" s="45" t="str">
        <f t="shared" si="0"/>
        <v>Go To Sheet</v>
      </c>
      <c r="G47" s="52"/>
    </row>
    <row r="48" spans="1:7">
      <c r="A48" s="3">
        <v>47</v>
      </c>
      <c r="B48" s="3" t="str" cm="1">
        <f t="array" ref="B48">INDEX(SheetNames,A48)</f>
        <v>VOTT Supporting - Transit</v>
      </c>
      <c r="C48" s="3" t="str">
        <f t="shared" ca="1" si="1"/>
        <v>Travel time savings result from transit service improvement (reduce waiting, standing, and transfer time)</v>
      </c>
      <c r="D48" s="46" t="s">
        <v>15</v>
      </c>
      <c r="E48" s="45" t="str">
        <f t="shared" si="0"/>
        <v>Go To Sheet</v>
      </c>
      <c r="G48" s="52"/>
    </row>
    <row r="49" spans="1:5">
      <c r="A49" s="3">
        <v>48</v>
      </c>
      <c r="B49" s="3" t="str" cm="1">
        <f t="array" ref="B49">INDEX(SheetNames,A49)</f>
        <v>VOTT Supporting - Walking</v>
      </c>
      <c r="C49" s="3" t="str">
        <f t="shared" ca="1" si="1"/>
        <v>Pedestrian Travel Time Saving</v>
      </c>
      <c r="D49" s="47" t="s">
        <v>182</v>
      </c>
      <c r="E49" s="45" t="str">
        <f t="shared" si="0"/>
        <v>Go To Sheet</v>
      </c>
    </row>
    <row r="50" spans="1:5">
      <c r="A50" s="3">
        <v>49</v>
      </c>
      <c r="B50" s="3" t="str" cm="1">
        <f t="array" ref="B50">INDEX(SheetNames,A50)</f>
        <v>VOTT Supporting - Cycling</v>
      </c>
      <c r="C50" s="3" t="str">
        <f t="shared" ca="1" si="1"/>
        <v>Bicyclists Travel Time Saving</v>
      </c>
      <c r="D50" s="47" t="s">
        <v>182</v>
      </c>
      <c r="E50" s="45" t="str">
        <f t="shared" si="0"/>
        <v>Go To Sheet</v>
      </c>
    </row>
    <row r="51" spans="1:5">
      <c r="A51" s="3">
        <v>50</v>
      </c>
      <c r="B51" s="3" t="str" cm="1">
        <f t="array" ref="B51">INDEX(SheetNames,A51)</f>
        <v>Break Note 5</v>
      </c>
      <c r="C51" s="3" t="str">
        <f t="shared" ca="1" si="1"/>
        <v/>
      </c>
      <c r="D51" s="47" t="s">
        <v>182</v>
      </c>
      <c r="E51" s="45" t="str">
        <f t="shared" si="0"/>
        <v>Go To Sheet</v>
      </c>
    </row>
    <row r="52" spans="1:5">
      <c r="A52" s="3">
        <v>51</v>
      </c>
      <c r="B52" s="3" t="str" cm="1">
        <f t="array" ref="B52">INDEX(SheetNames,A52)</f>
        <v>Operating Cost Savings</v>
      </c>
      <c r="C52" s="3" t="str">
        <f t="shared" ca="1" si="1"/>
        <v>Auto Benefit - Sidewalk</v>
      </c>
      <c r="D52" s="47" t="s">
        <v>182</v>
      </c>
      <c r="E52" s="45" t="str">
        <f t="shared" si="0"/>
        <v>Go To Sheet</v>
      </c>
    </row>
    <row r="53" spans="1:5">
      <c r="A53" s="3">
        <v>52</v>
      </c>
      <c r="B53" s="3" t="str" cm="1">
        <f t="array" ref="B53">INDEX(SheetNames,A53)</f>
        <v>Mortality Reduction - Walk</v>
      </c>
      <c r="C53" s="3" t="str">
        <f t="shared" ca="1" si="1"/>
        <v>Mortality Reduction Benefit - Walking</v>
      </c>
      <c r="D53" s="47" t="s">
        <v>182</v>
      </c>
      <c r="E53" s="45" t="str">
        <f t="shared" si="0"/>
        <v>Go To Sheet</v>
      </c>
    </row>
    <row r="54" spans="1:5">
      <c r="A54" s="3">
        <v>53</v>
      </c>
      <c r="B54" s="3" t="str" cm="1">
        <f t="array" ref="B54">INDEX(SheetNames,A54)</f>
        <v>Mortality Reduction - Bike</v>
      </c>
      <c r="C54" s="3" t="str">
        <f t="shared" ca="1" si="1"/>
        <v>Mortality Reduction Benefit of Induced Active Transportation - Cycling</v>
      </c>
      <c r="D54" s="41" t="s">
        <v>183</v>
      </c>
      <c r="E54" s="45" t="str">
        <f t="shared" si="0"/>
        <v>Go To Sheet</v>
      </c>
    </row>
    <row r="55" spans="1:5">
      <c r="A55" s="3">
        <v>54</v>
      </c>
      <c r="B55" s="3" t="str" cm="1">
        <f t="array" ref="B55">INDEX(SheetNames,A55)</f>
        <v>Emission Reduction (VMT)</v>
      </c>
      <c r="C55" s="3" t="str">
        <f t="shared" ca="1" si="1"/>
        <v>Emission Reduction based on VMT reduction</v>
      </c>
      <c r="D55" s="46" t="s">
        <v>15</v>
      </c>
      <c r="E55" s="45" t="str">
        <f t="shared" si="0"/>
        <v>Go To Sheet</v>
      </c>
    </row>
    <row r="56" spans="1:5">
      <c r="A56" s="3">
        <v>55</v>
      </c>
      <c r="B56" s="3" t="str" cm="1">
        <f t="array" ref="B56">INDEX(SheetNames,A56)</f>
        <v>Emission Reduction (Metric Ton)</v>
      </c>
      <c r="C56" s="3" t="str">
        <f t="shared" ca="1" si="1"/>
        <v>Emission Reduction based on calculation of metric ton</v>
      </c>
      <c r="D56" s="41" t="s">
        <v>183</v>
      </c>
      <c r="E56" s="45" t="str">
        <f t="shared" si="0"/>
        <v>Go To Sheet</v>
      </c>
    </row>
    <row r="57" spans="1:5">
      <c r="A57" s="3">
        <v>56</v>
      </c>
      <c r="B57" s="3" t="str" cm="1">
        <f t="array" ref="B57">INDEX(SheetNames,A57)</f>
        <v>Other Highway Use Externalities</v>
      </c>
      <c r="C57" s="3" t="str">
        <f t="shared" ca="1" si="1"/>
        <v>Noise Congestion Reduction</v>
      </c>
      <c r="D57" s="46" t="s">
        <v>15</v>
      </c>
      <c r="E57" s="45" t="str">
        <f t="shared" si="0"/>
        <v>Go To Sheet</v>
      </c>
    </row>
    <row r="58" spans="1:5">
      <c r="A58" s="3">
        <v>57</v>
      </c>
      <c r="B58" s="3" t="str" cm="1">
        <f t="array" ref="B58">INDEX(SheetNames,A58)</f>
        <v>VMT Reduction Supporting</v>
      </c>
      <c r="C58" s="3" t="str">
        <f t="shared" ca="1" si="1"/>
        <v>VMT reduction Calculation</v>
      </c>
      <c r="D58" s="46" t="s">
        <v>15</v>
      </c>
      <c r="E58" s="45" t="str">
        <f t="shared" si="0"/>
        <v>Go To Sheet</v>
      </c>
    </row>
    <row r="59" spans="1:5">
      <c r="A59" s="3">
        <v>58</v>
      </c>
      <c r="B59" s="3" t="str" cm="1">
        <f t="array" ref="B59">INDEX(SheetNames,A59)</f>
        <v>Emissions and Fuel</v>
      </c>
      <c r="C59" s="3" t="str">
        <f t="shared" ca="1" si="1"/>
        <v>Summary of Reduced Emissions, Fuel, VMT</v>
      </c>
      <c r="D59" s="41" t="s">
        <v>183</v>
      </c>
      <c r="E59" s="45" t="str">
        <f t="shared" si="0"/>
        <v>Go To Sheet</v>
      </c>
    </row>
    <row r="60" spans="1:5">
      <c r="A60" s="3">
        <v>59</v>
      </c>
      <c r="B60" s="3" t="str" cm="1">
        <f t="array" ref="B60">INDEX(SheetNames,A60)</f>
        <v>Emission Factors</v>
      </c>
      <c r="C60" s="3" t="str">
        <f t="shared" ca="1" si="1"/>
        <v>Passenger Car  - Gas Only</v>
      </c>
      <c r="D60" s="46" t="s">
        <v>15</v>
      </c>
      <c r="E60" s="45" t="str">
        <f t="shared" si="0"/>
        <v>Go To Sheet</v>
      </c>
    </row>
    <row r="61" spans="1:5">
      <c r="A61" s="3">
        <v>60</v>
      </c>
      <c r="B61" s="3" t="str" cm="1">
        <f t="array" ref="B61">INDEX(SheetNames,A61)</f>
        <v>Break Note 8</v>
      </c>
      <c r="C61" s="3" t="str">
        <f t="shared" ca="1" si="1"/>
        <v/>
      </c>
      <c r="D61" s="46" t="s">
        <v>15</v>
      </c>
      <c r="E61" s="45" t="str">
        <f t="shared" si="0"/>
        <v>Go To Sheet</v>
      </c>
    </row>
    <row r="62" spans="1:5">
      <c r="A62" s="3">
        <v>61</v>
      </c>
      <c r="B62" s="3" t="str" cm="1">
        <f t="array" ref="B62">INDEX(SheetNames,A62)</f>
        <v>Auto Idling Benefit - Fuel</v>
      </c>
      <c r="C62" s="3" t="str">
        <f t="shared" ca="1" si="1"/>
        <v>Auto Benefit - Fuel</v>
      </c>
      <c r="D62" s="46" t="s">
        <v>15</v>
      </c>
      <c r="E62" s="45" t="str">
        <f t="shared" si="0"/>
        <v>Go To Sheet</v>
      </c>
    </row>
    <row r="63" spans="1:5">
      <c r="A63" s="3">
        <v>62</v>
      </c>
      <c r="B63" s="3" t="str" cm="1">
        <f t="array" ref="B63">INDEX(SheetNames,A63)</f>
        <v>Auto Idling Env. Benefits</v>
      </c>
      <c r="C63" s="3" t="str">
        <f t="shared" ca="1" si="1"/>
        <v>Auto Idling - Environmental Benefit</v>
      </c>
      <c r="D63" s="47" t="s">
        <v>182</v>
      </c>
      <c r="E63" s="45" t="str">
        <f t="shared" si="0"/>
        <v>Go To Sheet</v>
      </c>
    </row>
    <row r="64" spans="1:5">
      <c r="A64" s="3">
        <v>63</v>
      </c>
      <c r="B64" s="3" t="str" cm="1">
        <f t="array" ref="B64">INDEX(SheetNames,A64)</f>
        <v>Auto Idling Supporting</v>
      </c>
      <c r="C64" s="3" t="str">
        <f t="shared" ca="1" si="1"/>
        <v>Environmental micro simulation model results</v>
      </c>
      <c r="D64" s="47" t="s">
        <v>182</v>
      </c>
      <c r="E64" s="45" t="str">
        <f t="shared" si="0"/>
        <v>Go To Sheet</v>
      </c>
    </row>
    <row r="65" spans="1:5">
      <c r="A65" s="3">
        <v>64</v>
      </c>
      <c r="B65" s="3" t="str" cm="1">
        <f t="array" ref="B65">INDEX(SheetNames,A65)</f>
        <v>Break Note 9</v>
      </c>
      <c r="C65" s="3" t="str">
        <f t="shared" ca="1" si="1"/>
        <v/>
      </c>
      <c r="D65" s="47" t="s">
        <v>182</v>
      </c>
      <c r="E65" s="45" t="str">
        <f t="shared" si="0"/>
        <v>Go To Sheet</v>
      </c>
    </row>
    <row r="66" spans="1:5">
      <c r="A66" s="3">
        <v>65</v>
      </c>
      <c r="B66" s="3" t="str" cm="1">
        <f t="array" ref="B66">INDEX(SheetNames,A66)</f>
        <v>Repurposed ROW</v>
      </c>
      <c r="C66" s="3" t="str">
        <f t="shared" ca="1" si="1"/>
        <v>Repurposed Right-Of-Way</v>
      </c>
      <c r="D66" s="41" t="s">
        <v>183</v>
      </c>
      <c r="E66" s="45" t="str">
        <f t="shared" si="0"/>
        <v>Go To Sheet</v>
      </c>
    </row>
    <row r="67" spans="1:5">
      <c r="A67" s="3">
        <v>66</v>
      </c>
      <c r="B67" s="3" t="str" cm="1">
        <f t="array" ref="B67">INDEX(SheetNames,A67)</f>
        <v>Break Note 10</v>
      </c>
      <c r="C67" s="3" t="str">
        <f t="shared" ca="1" si="1"/>
        <v/>
      </c>
      <c r="D67" s="46" t="s">
        <v>15</v>
      </c>
      <c r="E67" s="45" t="str">
        <f t="shared" ref="E67:E79" si="2">HYPERLINK("#'"&amp;B67&amp;"'!A1","Go To Sheet")</f>
        <v>Go To Sheet</v>
      </c>
    </row>
    <row r="68" spans="1:5">
      <c r="A68" s="3">
        <v>67</v>
      </c>
      <c r="B68" s="3" t="str" cm="1">
        <f t="array" ref="B68">INDEX(SheetNames,A68)</f>
        <v>Prop. Tax Inc Sidewalk</v>
      </c>
      <c r="C68" s="3" t="str">
        <f t="shared" ref="C68:C79" ca="1" si="3">IF(INDIRECT("'"&amp;B68&amp;"'!B1")=0,"",INDIRECT("'"&amp;B68&amp;"'!B1"))</f>
        <v>Property Tax Revenue Increase - Sidewalk</v>
      </c>
      <c r="D68" s="46" t="s">
        <v>15</v>
      </c>
      <c r="E68" s="45" t="str">
        <f t="shared" si="2"/>
        <v>Go To Sheet</v>
      </c>
    </row>
    <row r="69" spans="1:5">
      <c r="A69" s="3">
        <v>68</v>
      </c>
      <c r="B69" s="3" t="str" cm="1">
        <f t="array" ref="B69">INDEX(SheetNames,A69)</f>
        <v>Prop. Tax Inc Sidewalk Supp</v>
      </c>
      <c r="C69" s="3" t="str">
        <f t="shared" ca="1" si="3"/>
        <v>Appraisal District Data - Sidewalk</v>
      </c>
      <c r="D69" s="47" t="s">
        <v>182</v>
      </c>
      <c r="E69" s="45" t="str">
        <f t="shared" si="2"/>
        <v>Go To Sheet</v>
      </c>
    </row>
    <row r="70" spans="1:5">
      <c r="A70" s="3">
        <v>69</v>
      </c>
      <c r="B70" s="3" t="str" cm="1">
        <f t="array" ref="B70">INDEX(SheetNames,A70)</f>
        <v>Prop. Tax Inc Bike Lane</v>
      </c>
      <c r="C70" s="3" t="str">
        <f t="shared" ca="1" si="3"/>
        <v>Property Tax Revenue Increased - Bike Lane</v>
      </c>
      <c r="D70" s="41" t="s">
        <v>183</v>
      </c>
      <c r="E70" s="45" t="str">
        <f t="shared" si="2"/>
        <v>Go To Sheet</v>
      </c>
    </row>
    <row r="71" spans="1:5">
      <c r="A71" s="3">
        <v>70</v>
      </c>
      <c r="B71" s="3" t="str" cm="1">
        <f t="array" ref="B71">INDEX(SheetNames,A71)</f>
        <v>Prop. Tax Inc Bike Lane Supp</v>
      </c>
      <c r="C71" s="3" t="str">
        <f t="shared" ca="1" si="3"/>
        <v>Appraisal District Data - Bike Lane</v>
      </c>
      <c r="D71" s="46" t="s">
        <v>15</v>
      </c>
      <c r="E71" s="45" t="str">
        <f t="shared" si="2"/>
        <v>Go To Sheet</v>
      </c>
    </row>
    <row r="72" spans="1:5">
      <c r="A72" s="3">
        <v>71</v>
      </c>
      <c r="B72" s="3" t="str" cm="1">
        <f t="array" ref="B72">INDEX(SheetNames,A72)</f>
        <v>Prop. Tax Inc Sidewalk &amp; Bike</v>
      </c>
      <c r="C72" s="3" t="str">
        <f t="shared" ca="1" si="3"/>
        <v>Property Tax Revenue Increased - Sidewalk &amp; Bike Lane</v>
      </c>
      <c r="D72" s="47" t="s">
        <v>182</v>
      </c>
      <c r="E72" s="45" t="str">
        <f t="shared" si="2"/>
        <v>Go To Sheet</v>
      </c>
    </row>
    <row r="73" spans="1:5">
      <c r="A73" s="3">
        <v>72</v>
      </c>
      <c r="B73" s="3" t="str" cm="1">
        <f t="array" ref="B73">INDEX(SheetNames,A73)</f>
        <v>P. Tax Inc Sidewalk &amp; Bike Supp</v>
      </c>
      <c r="C73" s="3" t="str">
        <f t="shared" ca="1" si="3"/>
        <v>Appraisal District Data - Sidewalk &amp; Bike Lane</v>
      </c>
      <c r="D73" s="46" t="s">
        <v>15</v>
      </c>
      <c r="E73" s="45" t="str">
        <f t="shared" si="2"/>
        <v>Go To Sheet</v>
      </c>
    </row>
    <row r="74" spans="1:5">
      <c r="A74" s="3">
        <v>73</v>
      </c>
      <c r="B74" s="3" t="str" cm="1">
        <f t="array" ref="B74">INDEX(SheetNames,A74)</f>
        <v>Prop. Tax Inc Shared Use Path</v>
      </c>
      <c r="C74" s="3" t="str">
        <f t="shared" ca="1" si="3"/>
        <v>Property Tax Revenue Increased - Shared Use Path</v>
      </c>
      <c r="D74" s="47" t="s">
        <v>182</v>
      </c>
      <c r="E74" s="45" t="str">
        <f t="shared" si="2"/>
        <v>Go To Sheet</v>
      </c>
    </row>
    <row r="75" spans="1:5">
      <c r="A75" s="3">
        <v>74</v>
      </c>
      <c r="B75" s="3" t="str" cm="1">
        <f t="array" ref="B75">INDEX(SheetNames,A75)</f>
        <v>P. Tax Inc Shared Use Path Supp</v>
      </c>
      <c r="C75" s="3" t="str">
        <f t="shared" ca="1" si="3"/>
        <v>Appraisal District Data - Shared Use Path</v>
      </c>
      <c r="D75" s="46" t="s">
        <v>15</v>
      </c>
      <c r="E75" s="45" t="str">
        <f t="shared" si="2"/>
        <v>Go To Sheet</v>
      </c>
    </row>
    <row r="76" spans="1:5">
      <c r="A76" s="3">
        <v>75</v>
      </c>
      <c r="B76" s="3" t="str" cm="1">
        <f t="array" ref="B76">INDEX(SheetNames,A76)</f>
        <v>HCAD Data</v>
      </c>
      <c r="C76" s="3" t="str">
        <f t="shared" ca="1" si="3"/>
        <v>Appraisal District Data</v>
      </c>
      <c r="D76" s="47" t="s">
        <v>182</v>
      </c>
      <c r="E76" s="45" t="str">
        <f t="shared" si="2"/>
        <v>Go To Sheet</v>
      </c>
    </row>
    <row r="77" spans="1:5">
      <c r="A77" s="3">
        <v>76</v>
      </c>
      <c r="B77" s="3" t="str" cm="1">
        <f t="array" ref="B77">INDEX(SheetNames,A77)</f>
        <v>LU Codes</v>
      </c>
      <c r="C77" s="3" t="str">
        <f t="shared" ca="1" si="3"/>
        <v/>
      </c>
      <c r="D77" s="46" t="s">
        <v>15</v>
      </c>
      <c r="E77" s="45" t="str">
        <f t="shared" si="2"/>
        <v>Go To Sheet</v>
      </c>
    </row>
    <row r="78" spans="1:5">
      <c r="A78" s="3">
        <v>77</v>
      </c>
      <c r="B78" s="3" t="str" cm="1">
        <f t="array" ref="B78">INDEX(SheetNames,A78)</f>
        <v>Rail to Truck Emissions</v>
      </c>
      <c r="C78" s="3" t="str">
        <f t="shared" ca="1" si="3"/>
        <v/>
      </c>
      <c r="D78" s="47" t="s">
        <v>182</v>
      </c>
      <c r="E78" s="45" t="str">
        <f t="shared" si="2"/>
        <v>Go To Sheet</v>
      </c>
    </row>
    <row r="79" spans="1:5">
      <c r="A79" s="3">
        <v>78</v>
      </c>
      <c r="B79" s="3" t="e" cm="1">
        <f t="array" ref="B79">INDEX(SheetNames,A79)</f>
        <v>#REF!</v>
      </c>
      <c r="C79" s="3" t="e">
        <f t="shared" ca="1" si="3"/>
        <v>#REF!</v>
      </c>
      <c r="D79" s="46" t="s">
        <v>15</v>
      </c>
      <c r="E79" s="45" t="e">
        <f t="shared" si="2"/>
        <v>#REF!</v>
      </c>
    </row>
    <row r="80" spans="1:5">
      <c r="A80" s="3">
        <v>79</v>
      </c>
      <c r="B80" s="3" t="e" cm="1">
        <f t="array" ref="B80">INDEX(SheetNames,A80)</f>
        <v>#REF!</v>
      </c>
      <c r="C80" s="3" t="e">
        <f t="shared" ref="C80:C82" ca="1" si="4">IF(INDIRECT("'"&amp;B80&amp;"'!B1")=0,"",INDIRECT("'"&amp;B80&amp;"'!B1"))</f>
        <v>#REF!</v>
      </c>
      <c r="D80" s="47" t="s">
        <v>182</v>
      </c>
      <c r="E80" s="45" t="e">
        <f t="shared" ref="E80:E82" si="5">HYPERLINK("#'"&amp;B80&amp;"'!A1","Go To Sheet")</f>
        <v>#REF!</v>
      </c>
    </row>
    <row r="81" spans="1:5">
      <c r="A81" s="3">
        <v>80</v>
      </c>
      <c r="B81" s="3" t="e" cm="1">
        <f t="array" ref="B81">INDEX(SheetNames,A81)</f>
        <v>#REF!</v>
      </c>
      <c r="C81" s="3" t="e">
        <f t="shared" ca="1" si="4"/>
        <v>#REF!</v>
      </c>
      <c r="D81" s="47" t="s">
        <v>182</v>
      </c>
      <c r="E81" s="45" t="e">
        <f t="shared" si="5"/>
        <v>#REF!</v>
      </c>
    </row>
    <row r="82" spans="1:5">
      <c r="A82" s="3">
        <v>81</v>
      </c>
      <c r="B82" s="3" t="e" cm="1">
        <f t="array" ref="B82">INDEX(SheetNames,A82)</f>
        <v>#REF!</v>
      </c>
      <c r="C82" s="3" t="e">
        <f t="shared" ca="1" si="4"/>
        <v>#REF!</v>
      </c>
      <c r="D82" s="47" t="s">
        <v>182</v>
      </c>
      <c r="E82" s="45" t="e">
        <f t="shared" si="5"/>
        <v>#REF!</v>
      </c>
    </row>
    <row r="93" spans="1:5">
      <c r="A93" s="278"/>
    </row>
    <row r="94" spans="1:5">
      <c r="A94" s="278"/>
    </row>
    <row r="95" spans="1:5">
      <c r="A95" s="278"/>
    </row>
    <row r="96" spans="1:5">
      <c r="A96" s="278"/>
    </row>
    <row r="97" spans="1:1">
      <c r="A97" s="278"/>
    </row>
    <row r="98" spans="1:1">
      <c r="A98" s="278"/>
    </row>
  </sheetData>
  <autoFilter ref="A1:G82" xr:uid="{2668003A-8527-415E-A10D-07327FC90DC0}"/>
  <phoneticPr fontId="20"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sqref="A1:XFD1048576"/>
    </sheetView>
  </sheetViews>
  <sheetFormatPr defaultColWidth="8.77734375" defaultRowHeight="14.4"/>
  <cols>
    <col min="1" max="1" width="28.21875" style="1259" bestFit="1" customWidth="1"/>
    <col min="2" max="2" width="40.77734375" style="1259" customWidth="1"/>
    <col min="3" max="3" width="53" style="1259" bestFit="1" customWidth="1"/>
    <col min="4" max="5" width="8.77734375" style="1259"/>
    <col min="6" max="6" width="31" style="1259" customWidth="1"/>
    <col min="7" max="7" width="10.44140625" style="1259" bestFit="1" customWidth="1"/>
    <col min="8" max="16384" width="8.77734375" style="1259"/>
  </cols>
  <sheetData>
    <row r="1" spans="1:7" ht="25.2" customHeight="1">
      <c r="A1" s="1025" t="s">
        <v>413</v>
      </c>
      <c r="B1" s="1026" t="s">
        <v>881</v>
      </c>
      <c r="C1" s="1258"/>
      <c r="D1" s="1258"/>
      <c r="E1" s="1258"/>
      <c r="F1" s="1011"/>
      <c r="G1" s="1029"/>
    </row>
    <row r="2" spans="1:7">
      <c r="A2" s="1260" t="s">
        <v>882</v>
      </c>
      <c r="C2" s="1261" t="s">
        <v>95</v>
      </c>
    </row>
    <row r="3" spans="1:7">
      <c r="A3" s="1262">
        <v>1</v>
      </c>
      <c r="B3" s="1259" t="s">
        <v>883</v>
      </c>
      <c r="C3" s="1261" t="s">
        <v>884</v>
      </c>
    </row>
    <row r="4" spans="1:7">
      <c r="A4" s="1262">
        <v>2</v>
      </c>
      <c r="B4" s="1259" t="s">
        <v>885</v>
      </c>
      <c r="C4" s="1261" t="s">
        <v>886</v>
      </c>
    </row>
    <row r="5" spans="1:7">
      <c r="A5" s="1262">
        <v>3</v>
      </c>
      <c r="B5" s="1259" t="s">
        <v>887</v>
      </c>
      <c r="C5" s="1261" t="s">
        <v>888</v>
      </c>
    </row>
    <row r="6" spans="1:7">
      <c r="A6" s="1262">
        <v>4</v>
      </c>
      <c r="B6" s="1259" t="s">
        <v>889</v>
      </c>
      <c r="C6" s="1261" t="s">
        <v>890</v>
      </c>
    </row>
    <row r="7" spans="1:7">
      <c r="A7" s="1262">
        <v>5</v>
      </c>
      <c r="B7" s="1259" t="s">
        <v>891</v>
      </c>
      <c r="C7" s="1261" t="s">
        <v>892</v>
      </c>
    </row>
    <row r="8" spans="1:7">
      <c r="A8" s="1262">
        <v>10</v>
      </c>
      <c r="B8" s="1259" t="s">
        <v>893</v>
      </c>
      <c r="C8" s="1261" t="s">
        <v>893</v>
      </c>
    </row>
    <row r="9" spans="1:7">
      <c r="A9" s="1262">
        <v>11</v>
      </c>
      <c r="B9" s="1259" t="s">
        <v>894</v>
      </c>
      <c r="C9" s="1261" t="s">
        <v>894</v>
      </c>
    </row>
    <row r="10" spans="1:7">
      <c r="A10" s="1262">
        <v>12</v>
      </c>
      <c r="B10" s="1259" t="s">
        <v>895</v>
      </c>
      <c r="C10" s="1261" t="s">
        <v>895</v>
      </c>
    </row>
    <row r="11" spans="1:7">
      <c r="A11" s="1262">
        <v>13</v>
      </c>
      <c r="B11" s="1259" t="s">
        <v>896</v>
      </c>
      <c r="C11" s="1261" t="s">
        <v>896</v>
      </c>
    </row>
    <row r="12" spans="1:7">
      <c r="A12" s="1262">
        <v>14</v>
      </c>
      <c r="B12" s="1259" t="s">
        <v>897</v>
      </c>
      <c r="C12" s="1261" t="s">
        <v>897</v>
      </c>
    </row>
    <row r="13" spans="1:7">
      <c r="A13" s="1262">
        <v>15</v>
      </c>
      <c r="B13" s="1259" t="s">
        <v>898</v>
      </c>
      <c r="C13" s="1261" t="s">
        <v>898</v>
      </c>
    </row>
    <row r="14" spans="1:7">
      <c r="A14" s="1262">
        <v>16</v>
      </c>
      <c r="B14" s="1259" t="s">
        <v>899</v>
      </c>
      <c r="C14" s="1261" t="s">
        <v>899</v>
      </c>
    </row>
    <row r="15" spans="1:7">
      <c r="A15" s="1262">
        <v>17</v>
      </c>
      <c r="B15" s="1259" t="s">
        <v>900</v>
      </c>
      <c r="C15" s="1261" t="s">
        <v>900</v>
      </c>
    </row>
    <row r="16" spans="1:7">
      <c r="A16" s="1262">
        <v>18</v>
      </c>
      <c r="B16" s="1259" t="s">
        <v>901</v>
      </c>
      <c r="C16" s="1261" t="s">
        <v>901</v>
      </c>
    </row>
    <row r="17" spans="1:3">
      <c r="A17" s="1262">
        <v>19</v>
      </c>
      <c r="B17" s="1259" t="s">
        <v>902</v>
      </c>
      <c r="C17" s="1261" t="s">
        <v>902</v>
      </c>
    </row>
    <row r="18" spans="1:3">
      <c r="A18" s="1262">
        <v>20</v>
      </c>
      <c r="B18" s="1259" t="s">
        <v>903</v>
      </c>
      <c r="C18" s="1261" t="s">
        <v>904</v>
      </c>
    </row>
    <row r="19" spans="1:3">
      <c r="A19" s="1262">
        <v>21</v>
      </c>
      <c r="B19" s="1259" t="s">
        <v>905</v>
      </c>
      <c r="C19" s="1261" t="s">
        <v>906</v>
      </c>
    </row>
    <row r="20" spans="1:3">
      <c r="A20" s="1262">
        <v>22</v>
      </c>
      <c r="B20" s="1259" t="s">
        <v>907</v>
      </c>
      <c r="C20" s="1261" t="s">
        <v>908</v>
      </c>
    </row>
    <row r="21" spans="1:3">
      <c r="A21" s="1262">
        <v>23</v>
      </c>
      <c r="B21" s="1259" t="s">
        <v>909</v>
      </c>
      <c r="C21" s="1261" t="s">
        <v>910</v>
      </c>
    </row>
    <row r="22" spans="1:3">
      <c r="A22" s="1262">
        <v>24</v>
      </c>
      <c r="B22" s="1259" t="s">
        <v>911</v>
      </c>
      <c r="C22" s="1261" t="s">
        <v>912</v>
      </c>
    </row>
    <row r="23" spans="1:3">
      <c r="A23" s="1262">
        <v>25</v>
      </c>
      <c r="B23" s="1259" t="s">
        <v>913</v>
      </c>
      <c r="C23" s="1261" t="s">
        <v>914</v>
      </c>
    </row>
    <row r="24" spans="1:3">
      <c r="A24" s="1262">
        <v>26</v>
      </c>
      <c r="B24" s="1259" t="s">
        <v>915</v>
      </c>
      <c r="C24" s="1261" t="s">
        <v>916</v>
      </c>
    </row>
    <row r="25" spans="1:3">
      <c r="A25" s="1262">
        <v>27</v>
      </c>
      <c r="B25" s="1259" t="s">
        <v>917</v>
      </c>
      <c r="C25" s="1261" t="s">
        <v>918</v>
      </c>
    </row>
    <row r="26" spans="1:3">
      <c r="A26" s="1262">
        <v>28</v>
      </c>
      <c r="B26" s="1259" t="s">
        <v>919</v>
      </c>
      <c r="C26" s="1261" t="s">
        <v>920</v>
      </c>
    </row>
    <row r="27" spans="1:3">
      <c r="A27" s="1262">
        <v>29</v>
      </c>
      <c r="B27" s="1259" t="s">
        <v>921</v>
      </c>
      <c r="C27" s="1261" t="s">
        <v>922</v>
      </c>
    </row>
    <row r="28" spans="1:3">
      <c r="A28" s="1262">
        <v>30</v>
      </c>
      <c r="B28" s="1259" t="s">
        <v>923</v>
      </c>
      <c r="C28" s="1261" t="s">
        <v>924</v>
      </c>
    </row>
    <row r="29" spans="1:3">
      <c r="A29" s="1262">
        <v>31</v>
      </c>
      <c r="B29" s="1259" t="s">
        <v>925</v>
      </c>
      <c r="C29" s="1261" t="s">
        <v>926</v>
      </c>
    </row>
    <row r="30" spans="1:3">
      <c r="A30" s="1262">
        <v>32</v>
      </c>
      <c r="B30" s="1259" t="s">
        <v>927</v>
      </c>
      <c r="C30" s="1261" t="s">
        <v>928</v>
      </c>
    </row>
    <row r="31" spans="1:3">
      <c r="A31" s="1262">
        <v>33</v>
      </c>
      <c r="B31" s="1259" t="s">
        <v>929</v>
      </c>
      <c r="C31" s="1261" t="s">
        <v>930</v>
      </c>
    </row>
    <row r="32" spans="1:3">
      <c r="A32" s="1262">
        <v>34</v>
      </c>
      <c r="B32" s="1259" t="s">
        <v>931</v>
      </c>
      <c r="C32" s="1261" t="s">
        <v>932</v>
      </c>
    </row>
    <row r="33" spans="1:3">
      <c r="A33" s="1262">
        <v>35</v>
      </c>
      <c r="B33" s="1259" t="s">
        <v>933</v>
      </c>
      <c r="C33" s="1261" t="s">
        <v>934</v>
      </c>
    </row>
    <row r="34" spans="1:3">
      <c r="A34" s="1262">
        <v>36</v>
      </c>
      <c r="B34" s="1259" t="s">
        <v>935</v>
      </c>
      <c r="C34" s="1261" t="s">
        <v>936</v>
      </c>
    </row>
    <row r="35" spans="1:3">
      <c r="A35" s="1262">
        <v>37</v>
      </c>
      <c r="B35" s="1259" t="s">
        <v>937</v>
      </c>
      <c r="C35" s="1261" t="s">
        <v>938</v>
      </c>
    </row>
    <row r="36" spans="1:3">
      <c r="A36" s="1262">
        <v>38</v>
      </c>
      <c r="B36" s="1259" t="s">
        <v>939</v>
      </c>
      <c r="C36" s="1261" t="s">
        <v>940</v>
      </c>
    </row>
    <row r="37" spans="1:3">
      <c r="A37" s="1262">
        <v>39</v>
      </c>
      <c r="B37" s="1259" t="s">
        <v>941</v>
      </c>
      <c r="C37" s="1261" t="s">
        <v>942</v>
      </c>
    </row>
    <row r="38" spans="1:3">
      <c r="A38" s="1262">
        <v>40</v>
      </c>
      <c r="B38" s="1259" t="s">
        <v>943</v>
      </c>
      <c r="C38" s="1261" t="s">
        <v>943</v>
      </c>
    </row>
    <row r="39" spans="1:3">
      <c r="A39" s="1262">
        <v>41</v>
      </c>
      <c r="B39" s="1259" t="s">
        <v>944</v>
      </c>
      <c r="C39" s="1261" t="s">
        <v>944</v>
      </c>
    </row>
    <row r="40" spans="1:3">
      <c r="A40" s="1262">
        <v>42</v>
      </c>
      <c r="B40" s="1259" t="s">
        <v>945</v>
      </c>
      <c r="C40" s="1261" t="s">
        <v>945</v>
      </c>
    </row>
    <row r="41" spans="1:3">
      <c r="A41" s="1262">
        <v>43</v>
      </c>
      <c r="B41" s="1259" t="s">
        <v>946</v>
      </c>
      <c r="C41" s="1261" t="s">
        <v>946</v>
      </c>
    </row>
    <row r="42" spans="1:3">
      <c r="A42" s="1262">
        <v>44</v>
      </c>
      <c r="B42" s="1259" t="s">
        <v>947</v>
      </c>
      <c r="C42" s="1261" t="s">
        <v>947</v>
      </c>
    </row>
    <row r="43" spans="1:3">
      <c r="A43" s="1262">
        <v>45</v>
      </c>
      <c r="B43" s="1259" t="s">
        <v>948</v>
      </c>
      <c r="C43" s="1261" t="s">
        <v>948</v>
      </c>
    </row>
    <row r="44" spans="1:3">
      <c r="A44" s="1262">
        <v>46</v>
      </c>
      <c r="B44" s="1259" t="s">
        <v>949</v>
      </c>
      <c r="C44" s="1261" t="s">
        <v>949</v>
      </c>
    </row>
    <row r="45" spans="1:3">
      <c r="A45" s="1262">
        <v>48</v>
      </c>
      <c r="B45" s="1259" t="s">
        <v>950</v>
      </c>
      <c r="C45" s="1261" t="s">
        <v>950</v>
      </c>
    </row>
    <row r="46" spans="1:3">
      <c r="A46" s="1262">
        <v>93</v>
      </c>
      <c r="B46" s="1259" t="s">
        <v>951</v>
      </c>
      <c r="C46" s="1261" t="s">
        <v>951</v>
      </c>
    </row>
    <row r="47" spans="1:3">
      <c r="A47" s="1262">
        <v>94</v>
      </c>
      <c r="B47" s="1259" t="s">
        <v>952</v>
      </c>
      <c r="C47" s="1261" t="s">
        <v>952</v>
      </c>
    </row>
    <row r="49" spans="1:2">
      <c r="A49" s="1260" t="s">
        <v>953</v>
      </c>
    </row>
    <row r="50" spans="1:2">
      <c r="A50" s="1262">
        <v>1</v>
      </c>
      <c r="B50" s="1259" t="s">
        <v>954</v>
      </c>
    </row>
    <row r="51" spans="1:2">
      <c r="A51" s="1262">
        <v>2</v>
      </c>
      <c r="B51" s="1259" t="s">
        <v>955</v>
      </c>
    </row>
    <row r="52" spans="1:2">
      <c r="A52" s="1262">
        <v>3</v>
      </c>
      <c r="B52" s="1259" t="s">
        <v>956</v>
      </c>
    </row>
    <row r="53" spans="1:2">
      <c r="A53" s="1262">
        <v>4</v>
      </c>
      <c r="B53" s="1259" t="s">
        <v>957</v>
      </c>
    </row>
    <row r="54" spans="1:2">
      <c r="A54" s="1262">
        <v>5</v>
      </c>
      <c r="B54" s="1259" t="s">
        <v>958</v>
      </c>
    </row>
    <row r="55" spans="1:2">
      <c r="A55" s="1262">
        <v>6</v>
      </c>
      <c r="B55" s="1259" t="s">
        <v>959</v>
      </c>
    </row>
    <row r="56" spans="1:2">
      <c r="A56" s="1262">
        <v>7</v>
      </c>
      <c r="B56" s="1259" t="s">
        <v>960</v>
      </c>
    </row>
    <row r="57" spans="1:2">
      <c r="A57" s="1262">
        <v>8</v>
      </c>
      <c r="B57" s="1259" t="s">
        <v>961</v>
      </c>
    </row>
    <row r="58" spans="1:2">
      <c r="A58" s="1262">
        <v>9</v>
      </c>
      <c r="B58" s="1259" t="s">
        <v>962</v>
      </c>
    </row>
    <row r="59" spans="1:2">
      <c r="A59" s="1262">
        <v>10</v>
      </c>
      <c r="B59" s="1259" t="s">
        <v>963</v>
      </c>
    </row>
    <row r="60" spans="1:2">
      <c r="A60" s="1262">
        <v>11</v>
      </c>
      <c r="B60" s="1259" t="s">
        <v>964</v>
      </c>
    </row>
    <row r="61" spans="1:2">
      <c r="A61" s="1262">
        <v>12</v>
      </c>
      <c r="B61" s="1259" t="s">
        <v>965</v>
      </c>
    </row>
    <row r="62" spans="1:2">
      <c r="A62" s="1262">
        <v>94</v>
      </c>
      <c r="B62" s="1259" t="s">
        <v>952</v>
      </c>
    </row>
    <row r="63" spans="1:2">
      <c r="A63" s="1262">
        <v>95</v>
      </c>
      <c r="B63" s="1259" t="s">
        <v>950</v>
      </c>
    </row>
    <row r="65" spans="1:4">
      <c r="A65" s="1270" t="s">
        <v>966</v>
      </c>
      <c r="B65" s="1270"/>
      <c r="C65" s="1261" t="s">
        <v>95</v>
      </c>
    </row>
    <row r="66" spans="1:4">
      <c r="A66" s="1259">
        <v>0</v>
      </c>
      <c r="B66" s="1259" t="s">
        <v>967</v>
      </c>
      <c r="C66" s="1219" t="s">
        <v>968</v>
      </c>
    </row>
    <row r="67" spans="1:4">
      <c r="A67" s="1259">
        <v>1</v>
      </c>
      <c r="B67" s="1259" t="s">
        <v>969</v>
      </c>
      <c r="C67" s="1219" t="s">
        <v>970</v>
      </c>
    </row>
    <row r="68" spans="1:4">
      <c r="A68" s="1259">
        <v>2</v>
      </c>
      <c r="B68" s="1259" t="s">
        <v>971</v>
      </c>
      <c r="C68" s="1219" t="s">
        <v>972</v>
      </c>
    </row>
    <row r="69" spans="1:4">
      <c r="A69" s="1259">
        <v>3</v>
      </c>
      <c r="B69" s="1259" t="s">
        <v>973</v>
      </c>
      <c r="C69" s="1259" t="s">
        <v>974</v>
      </c>
    </row>
    <row r="70" spans="1:4">
      <c r="A70" s="1259">
        <v>4</v>
      </c>
      <c r="B70" s="1259" t="s">
        <v>975</v>
      </c>
      <c r="C70" s="1259" t="s">
        <v>976</v>
      </c>
    </row>
    <row r="71" spans="1:4">
      <c r="A71" s="1259">
        <v>5</v>
      </c>
      <c r="B71" s="1259" t="s">
        <v>977</v>
      </c>
      <c r="C71" s="1219" t="s">
        <v>978</v>
      </c>
    </row>
    <row r="72" spans="1:4">
      <c r="A72" s="1259">
        <v>6</v>
      </c>
      <c r="B72" s="1259" t="s">
        <v>979</v>
      </c>
    </row>
    <row r="73" spans="1:4">
      <c r="A73" s="1259">
        <v>8</v>
      </c>
      <c r="B73" s="1259" t="s">
        <v>961</v>
      </c>
      <c r="C73" s="1219" t="s">
        <v>980</v>
      </c>
      <c r="D73" s="1259">
        <v>0</v>
      </c>
    </row>
    <row r="74" spans="1:4">
      <c r="A74" s="1259">
        <v>94</v>
      </c>
      <c r="B74" s="1259" t="s">
        <v>952</v>
      </c>
    </row>
    <row r="75" spans="1:4">
      <c r="A75" s="1259">
        <v>95</v>
      </c>
      <c r="B75" s="1259" t="s">
        <v>950</v>
      </c>
    </row>
    <row r="77" spans="1:4">
      <c r="A77" s="1270" t="s">
        <v>981</v>
      </c>
      <c r="B77" s="1270"/>
    </row>
    <row r="78" spans="1:4">
      <c r="A78" s="1259">
        <v>0</v>
      </c>
      <c r="B78" s="1259" t="s">
        <v>982</v>
      </c>
    </row>
    <row r="79" spans="1:4">
      <c r="A79" s="1259">
        <v>1</v>
      </c>
      <c r="B79" s="1259" t="s">
        <v>983</v>
      </c>
    </row>
    <row r="80" spans="1:4">
      <c r="A80" s="1259">
        <v>2</v>
      </c>
      <c r="B80" s="1259" t="s">
        <v>984</v>
      </c>
    </row>
    <row r="81" spans="1:2">
      <c r="A81" s="1259">
        <v>3</v>
      </c>
      <c r="B81" s="1259" t="s">
        <v>985</v>
      </c>
    </row>
    <row r="82" spans="1:2">
      <c r="A82" s="1259">
        <v>4</v>
      </c>
      <c r="B82" s="1259" t="s">
        <v>986</v>
      </c>
    </row>
    <row r="83" spans="1:2">
      <c r="A83" s="1259">
        <v>9</v>
      </c>
      <c r="B83" s="1259" t="s">
        <v>987</v>
      </c>
    </row>
    <row r="84" spans="1:2">
      <c r="A84" s="1259">
        <v>10</v>
      </c>
      <c r="B84" s="1259" t="s">
        <v>988</v>
      </c>
    </row>
    <row r="85" spans="1:2">
      <c r="A85" s="1259">
        <v>11</v>
      </c>
      <c r="B85" s="1259" t="s">
        <v>989</v>
      </c>
    </row>
    <row r="86" spans="1:2">
      <c r="A86" s="1259">
        <v>12</v>
      </c>
      <c r="B86" s="1259" t="s">
        <v>990</v>
      </c>
    </row>
    <row r="87" spans="1:2">
      <c r="A87" s="1259">
        <v>13</v>
      </c>
      <c r="B87" s="1259" t="s">
        <v>991</v>
      </c>
    </row>
    <row r="88" spans="1:2">
      <c r="A88" s="1259">
        <v>20</v>
      </c>
      <c r="B88" s="1259" t="s">
        <v>992</v>
      </c>
    </row>
    <row r="89" spans="1:2">
      <c r="A89" s="1259">
        <v>21</v>
      </c>
      <c r="B89" s="1259" t="s">
        <v>993</v>
      </c>
    </row>
    <row r="90" spans="1:2">
      <c r="A90" s="1259">
        <v>22</v>
      </c>
      <c r="B90" s="1259" t="s">
        <v>994</v>
      </c>
    </row>
    <row r="91" spans="1:2">
      <c r="A91" s="1259">
        <v>23</v>
      </c>
      <c r="B91" s="1259" t="s">
        <v>995</v>
      </c>
    </row>
    <row r="92" spans="1:2">
      <c r="A92" s="1259">
        <v>24</v>
      </c>
      <c r="B92" s="1259" t="s">
        <v>996</v>
      </c>
    </row>
    <row r="93" spans="1:2">
      <c r="A93" s="1259">
        <v>25</v>
      </c>
      <c r="B93" s="1259" t="s">
        <v>997</v>
      </c>
    </row>
    <row r="94" spans="1:2">
      <c r="A94" s="1259">
        <v>26</v>
      </c>
      <c r="B94" s="1259" t="s">
        <v>998</v>
      </c>
    </row>
    <row r="95" spans="1:2">
      <c r="A95" s="1259">
        <v>27</v>
      </c>
      <c r="B95" s="1259" t="s">
        <v>999</v>
      </c>
    </row>
    <row r="96" spans="1:2">
      <c r="A96" s="1259">
        <v>28</v>
      </c>
      <c r="B96" s="1259" t="s">
        <v>1000</v>
      </c>
    </row>
    <row r="97" spans="1:2">
      <c r="A97" s="1259">
        <v>29</v>
      </c>
      <c r="B97" s="1259" t="s">
        <v>1001</v>
      </c>
    </row>
    <row r="98" spans="1:2">
      <c r="A98" s="1259">
        <v>30</v>
      </c>
      <c r="B98" s="1259" t="s">
        <v>1002</v>
      </c>
    </row>
    <row r="99" spans="1:2">
      <c r="A99" s="1259">
        <v>31</v>
      </c>
      <c r="B99" s="1259" t="s">
        <v>1003</v>
      </c>
    </row>
    <row r="100" spans="1:2">
      <c r="A100" s="1259">
        <v>32</v>
      </c>
      <c r="B100" s="1259" t="s">
        <v>1004</v>
      </c>
    </row>
    <row r="101" spans="1:2">
      <c r="A101" s="1259">
        <v>33</v>
      </c>
      <c r="B101" s="1259" t="s">
        <v>1005</v>
      </c>
    </row>
    <row r="102" spans="1:2">
      <c r="A102" s="1259">
        <v>34</v>
      </c>
      <c r="B102" s="1259" t="s">
        <v>1006</v>
      </c>
    </row>
    <row r="103" spans="1:2">
      <c r="A103" s="1259">
        <v>35</v>
      </c>
      <c r="B103" s="1259" t="s">
        <v>1007</v>
      </c>
    </row>
    <row r="104" spans="1:2">
      <c r="A104" s="1259">
        <v>36</v>
      </c>
      <c r="B104" s="1259" t="s">
        <v>1008</v>
      </c>
    </row>
    <row r="105" spans="1:2">
      <c r="A105" s="1259">
        <v>37</v>
      </c>
      <c r="B105" s="1259" t="s">
        <v>1009</v>
      </c>
    </row>
    <row r="106" spans="1:2">
      <c r="A106" s="1259">
        <v>38</v>
      </c>
      <c r="B106" s="1259" t="s">
        <v>1010</v>
      </c>
    </row>
    <row r="107" spans="1:2">
      <c r="A107" s="1259">
        <v>39</v>
      </c>
      <c r="B107" s="1259" t="s">
        <v>1011</v>
      </c>
    </row>
    <row r="108" spans="1:2">
      <c r="A108" s="1259">
        <v>40</v>
      </c>
      <c r="B108" s="1259" t="s">
        <v>1012</v>
      </c>
    </row>
    <row r="109" spans="1:2">
      <c r="A109" s="1259">
        <v>41</v>
      </c>
      <c r="B109" s="1259" t="s">
        <v>1013</v>
      </c>
    </row>
    <row r="110" spans="1:2">
      <c r="A110" s="1259">
        <v>42</v>
      </c>
      <c r="B110" s="1259" t="s">
        <v>1014</v>
      </c>
    </row>
    <row r="111" spans="1:2">
      <c r="A111" s="1259">
        <v>43</v>
      </c>
      <c r="B111" s="1259" t="s">
        <v>1015</v>
      </c>
    </row>
    <row r="112" spans="1:2">
      <c r="A112" s="1259">
        <v>44</v>
      </c>
      <c r="B112" s="1259" t="s">
        <v>1016</v>
      </c>
    </row>
    <row r="113" spans="1:2">
      <c r="A113" s="1259">
        <v>45</v>
      </c>
      <c r="B113" s="1259" t="s">
        <v>1017</v>
      </c>
    </row>
    <row r="114" spans="1:2">
      <c r="A114" s="1259">
        <v>49</v>
      </c>
      <c r="B114" s="1259" t="s">
        <v>1018</v>
      </c>
    </row>
    <row r="115" spans="1:2">
      <c r="A115" s="1259">
        <v>50</v>
      </c>
      <c r="B115" s="1259" t="s">
        <v>1019</v>
      </c>
    </row>
    <row r="116" spans="1:2">
      <c r="A116" s="1259">
        <v>51</v>
      </c>
      <c r="B116" s="1259" t="s">
        <v>1020</v>
      </c>
    </row>
    <row r="117" spans="1:2">
      <c r="A117" s="1259">
        <v>52</v>
      </c>
      <c r="B117" s="1259" t="s">
        <v>1021</v>
      </c>
    </row>
    <row r="118" spans="1:2">
      <c r="A118" s="1259">
        <v>53</v>
      </c>
      <c r="B118" s="1259" t="s">
        <v>1022</v>
      </c>
    </row>
    <row r="119" spans="1:2">
      <c r="A119" s="1259">
        <v>54</v>
      </c>
      <c r="B119" s="1259" t="s">
        <v>1023</v>
      </c>
    </row>
    <row r="120" spans="1:2">
      <c r="A120" s="1259">
        <v>55</v>
      </c>
      <c r="B120" s="1259" t="s">
        <v>1024</v>
      </c>
    </row>
    <row r="121" spans="1:2">
      <c r="A121" s="1259">
        <v>56</v>
      </c>
      <c r="B121" s="1259" t="s">
        <v>1025</v>
      </c>
    </row>
    <row r="122" spans="1:2">
      <c r="A122" s="1259">
        <v>57</v>
      </c>
      <c r="B122" s="1259" t="s">
        <v>1026</v>
      </c>
    </row>
    <row r="123" spans="1:2">
      <c r="A123" s="1259">
        <v>58</v>
      </c>
      <c r="B123" s="1259" t="s">
        <v>1027</v>
      </c>
    </row>
    <row r="124" spans="1:2">
      <c r="A124" s="1259">
        <v>59</v>
      </c>
      <c r="B124" s="1259" t="s">
        <v>1028</v>
      </c>
    </row>
    <row r="125" spans="1:2">
      <c r="A125" s="1259">
        <v>60</v>
      </c>
      <c r="B125" s="1259" t="s">
        <v>1029</v>
      </c>
    </row>
    <row r="126" spans="1:2">
      <c r="A126" s="1259">
        <v>61</v>
      </c>
      <c r="B126" s="1259" t="s">
        <v>1030</v>
      </c>
    </row>
    <row r="127" spans="1:2">
      <c r="A127" s="1259">
        <v>62</v>
      </c>
      <c r="B127" s="1259" t="s">
        <v>1031</v>
      </c>
    </row>
    <row r="128" spans="1:2">
      <c r="A128" s="1259">
        <v>63</v>
      </c>
      <c r="B128" s="1259" t="s">
        <v>1032</v>
      </c>
    </row>
    <row r="129" spans="1:2">
      <c r="A129" s="1259">
        <v>64</v>
      </c>
      <c r="B129" s="1259" t="s">
        <v>1033</v>
      </c>
    </row>
    <row r="130" spans="1:2">
      <c r="A130" s="1259">
        <v>65</v>
      </c>
      <c r="B130" s="1259" t="s">
        <v>950</v>
      </c>
    </row>
    <row r="131" spans="1:2">
      <c r="A131" s="1259">
        <v>93</v>
      </c>
      <c r="B131" s="1259" t="s">
        <v>951</v>
      </c>
    </row>
    <row r="132" spans="1:2">
      <c r="A132" s="1259">
        <v>94</v>
      </c>
      <c r="B132" s="1259" t="s">
        <v>952</v>
      </c>
    </row>
    <row r="133" spans="1:2">
      <c r="A133" s="1259">
        <v>98</v>
      </c>
      <c r="B133" s="1259" t="s">
        <v>949</v>
      </c>
    </row>
    <row r="135" spans="1:2">
      <c r="A135" s="1270" t="s">
        <v>1034</v>
      </c>
      <c r="B135" s="1270"/>
    </row>
    <row r="136" spans="1:2">
      <c r="A136" s="1259">
        <v>1</v>
      </c>
      <c r="B136" s="1259" t="s">
        <v>1035</v>
      </c>
    </row>
    <row r="137" spans="1:2">
      <c r="A137" s="1259">
        <v>2</v>
      </c>
      <c r="B137" s="1259" t="s">
        <v>1036</v>
      </c>
    </row>
    <row r="138" spans="1:2">
      <c r="A138" s="1259">
        <v>3</v>
      </c>
      <c r="B138" s="1259" t="s">
        <v>1037</v>
      </c>
    </row>
    <row r="139" spans="1:2">
      <c r="A139" s="1259">
        <v>4</v>
      </c>
      <c r="B139" s="1259" t="s">
        <v>1038</v>
      </c>
    </row>
    <row r="140" spans="1:2">
      <c r="A140" s="1259">
        <v>5</v>
      </c>
      <c r="B140" s="1259" t="s">
        <v>1039</v>
      </c>
    </row>
    <row r="141" spans="1:2">
      <c r="A141" s="1259">
        <v>6</v>
      </c>
      <c r="B141" s="1259" t="s">
        <v>1040</v>
      </c>
    </row>
    <row r="142" spans="1:2">
      <c r="A142" s="1259">
        <v>7</v>
      </c>
      <c r="B142" s="1259" t="s">
        <v>1041</v>
      </c>
    </row>
    <row r="143" spans="1:2">
      <c r="A143" s="1259">
        <v>8</v>
      </c>
      <c r="B143" s="1259" t="s">
        <v>1042</v>
      </c>
    </row>
    <row r="144" spans="1:2">
      <c r="A144" s="1259">
        <v>9</v>
      </c>
      <c r="B144" s="1259" t="s">
        <v>1043</v>
      </c>
    </row>
    <row r="145" spans="1:2">
      <c r="A145" s="1259">
        <v>10</v>
      </c>
      <c r="B145" s="1259" t="s">
        <v>983</v>
      </c>
    </row>
    <row r="146" spans="1:2">
      <c r="A146" s="1259">
        <v>11</v>
      </c>
      <c r="B146" s="1259" t="s">
        <v>950</v>
      </c>
    </row>
    <row r="147" spans="1:2">
      <c r="A147" s="1259">
        <v>93</v>
      </c>
      <c r="B147" s="1259" t="s">
        <v>951</v>
      </c>
    </row>
    <row r="148" spans="1:2">
      <c r="A148" s="1259">
        <v>94</v>
      </c>
      <c r="B148" s="1259" t="s">
        <v>952</v>
      </c>
    </row>
    <row r="151" spans="1:2">
      <c r="A151" s="1270" t="s">
        <v>1044</v>
      </c>
    </row>
    <row r="152" spans="1:2">
      <c r="A152" s="1259">
        <v>0</v>
      </c>
      <c r="B152" s="1259" t="s">
        <v>982</v>
      </c>
    </row>
    <row r="153" spans="1:2">
      <c r="A153" s="1259">
        <v>1</v>
      </c>
      <c r="B153" s="1259" t="s">
        <v>1045</v>
      </c>
    </row>
    <row r="154" spans="1:2">
      <c r="A154" s="1259">
        <v>2</v>
      </c>
      <c r="B154" s="1259" t="s">
        <v>1046</v>
      </c>
    </row>
    <row r="155" spans="1:2">
      <c r="A155" s="1259">
        <v>3</v>
      </c>
      <c r="B155" s="1259" t="s">
        <v>1047</v>
      </c>
    </row>
    <row r="156" spans="1:2">
      <c r="A156" s="1259">
        <v>4</v>
      </c>
      <c r="B156" s="1259" t="s">
        <v>1048</v>
      </c>
    </row>
    <row r="157" spans="1:2">
      <c r="A157" s="1259">
        <v>5</v>
      </c>
      <c r="B157" s="1259" t="s">
        <v>1049</v>
      </c>
    </row>
    <row r="158" spans="1:2">
      <c r="A158" s="1259">
        <v>6</v>
      </c>
      <c r="B158" s="1259" t="s">
        <v>1050</v>
      </c>
    </row>
    <row r="159" spans="1:2">
      <c r="A159" s="1259">
        <v>7</v>
      </c>
      <c r="B159" s="1259" t="s">
        <v>1051</v>
      </c>
    </row>
    <row r="160" spans="1:2">
      <c r="A160" s="1259">
        <v>8</v>
      </c>
      <c r="B160" s="1259" t="s">
        <v>1052</v>
      </c>
    </row>
    <row r="161" spans="1:2">
      <c r="A161" s="1259">
        <v>9</v>
      </c>
      <c r="B161" s="1259" t="s">
        <v>1053</v>
      </c>
    </row>
    <row r="162" spans="1:2">
      <c r="A162" s="1259">
        <v>10</v>
      </c>
      <c r="B162" s="1259" t="s">
        <v>1054</v>
      </c>
    </row>
    <row r="163" spans="1:2">
      <c r="A163" s="1259">
        <v>11</v>
      </c>
      <c r="B163" s="1259" t="s">
        <v>1055</v>
      </c>
    </row>
    <row r="164" spans="1:2">
      <c r="A164" s="1259">
        <v>12</v>
      </c>
      <c r="B164" s="1259" t="s">
        <v>1056</v>
      </c>
    </row>
    <row r="165" spans="1:2">
      <c r="A165" s="1259">
        <v>13</v>
      </c>
      <c r="B165" s="1259" t="s">
        <v>1057</v>
      </c>
    </row>
    <row r="166" spans="1:2">
      <c r="A166" s="1259">
        <v>14</v>
      </c>
      <c r="B166" s="1259" t="s">
        <v>1058</v>
      </c>
    </row>
    <row r="167" spans="1:2">
      <c r="A167" s="1259">
        <v>16</v>
      </c>
      <c r="B167" s="1259" t="s">
        <v>1059</v>
      </c>
    </row>
    <row r="168" spans="1:2">
      <c r="A168" s="1259">
        <v>17</v>
      </c>
      <c r="B168" s="1259" t="s">
        <v>1060</v>
      </c>
    </row>
    <row r="169" spans="1:2">
      <c r="A169" s="1259">
        <v>18</v>
      </c>
      <c r="B169" s="1259" t="s">
        <v>1061</v>
      </c>
    </row>
    <row r="170" spans="1:2">
      <c r="A170" s="1259">
        <v>19</v>
      </c>
      <c r="B170" s="1259" t="s">
        <v>1062</v>
      </c>
    </row>
    <row r="171" spans="1:2">
      <c r="A171" s="1259">
        <v>20</v>
      </c>
      <c r="B171" s="1259" t="s">
        <v>1063</v>
      </c>
    </row>
    <row r="172" spans="1:2">
      <c r="A172" s="1259">
        <v>21</v>
      </c>
      <c r="B172" s="1259" t="s">
        <v>1064</v>
      </c>
    </row>
    <row r="173" spans="1:2">
      <c r="A173" s="1259">
        <v>22</v>
      </c>
      <c r="B173" s="1259" t="s">
        <v>1065</v>
      </c>
    </row>
    <row r="174" spans="1:2">
      <c r="A174" s="1259">
        <v>23</v>
      </c>
      <c r="B174" s="1259" t="s">
        <v>1066</v>
      </c>
    </row>
    <row r="175" spans="1:2">
      <c r="A175" s="1259">
        <v>24</v>
      </c>
      <c r="B175" s="1259" t="s">
        <v>1067</v>
      </c>
    </row>
    <row r="176" spans="1:2">
      <c r="A176" s="1259">
        <v>25</v>
      </c>
      <c r="B176" s="1259" t="s">
        <v>1068</v>
      </c>
    </row>
    <row r="177" spans="1:2">
      <c r="A177" s="1259">
        <v>26</v>
      </c>
      <c r="B177" s="1259" t="s">
        <v>1069</v>
      </c>
    </row>
    <row r="178" spans="1:2">
      <c r="A178" s="1259">
        <v>27</v>
      </c>
      <c r="B178" s="1259" t="s">
        <v>1070</v>
      </c>
    </row>
    <row r="179" spans="1:2">
      <c r="A179" s="1259">
        <v>28</v>
      </c>
      <c r="B179" s="1259" t="s">
        <v>1071</v>
      </c>
    </row>
    <row r="180" spans="1:2">
      <c r="A180" s="1259">
        <v>29</v>
      </c>
      <c r="B180" s="1259" t="s">
        <v>1072</v>
      </c>
    </row>
    <row r="181" spans="1:2">
      <c r="A181" s="1259">
        <v>30</v>
      </c>
      <c r="B181" s="1259" t="s">
        <v>1073</v>
      </c>
    </row>
    <row r="182" spans="1:2">
      <c r="A182" s="1259">
        <v>31</v>
      </c>
      <c r="B182" s="1259" t="s">
        <v>1074</v>
      </c>
    </row>
    <row r="183" spans="1:2">
      <c r="A183" s="1259">
        <v>32</v>
      </c>
      <c r="B183" s="1259" t="s">
        <v>1075</v>
      </c>
    </row>
    <row r="184" spans="1:2">
      <c r="A184" s="1259">
        <v>33</v>
      </c>
      <c r="B184" s="1259" t="s">
        <v>1076</v>
      </c>
    </row>
    <row r="185" spans="1:2">
      <c r="A185" s="1259">
        <v>34</v>
      </c>
      <c r="B185" s="1259" t="s">
        <v>1077</v>
      </c>
    </row>
    <row r="186" spans="1:2">
      <c r="A186" s="1259">
        <v>35</v>
      </c>
      <c r="B186" s="1259" t="s">
        <v>1078</v>
      </c>
    </row>
    <row r="187" spans="1:2">
      <c r="A187" s="1259">
        <v>36</v>
      </c>
      <c r="B187" s="1259" t="s">
        <v>1079</v>
      </c>
    </row>
    <row r="188" spans="1:2">
      <c r="A188" s="1259">
        <v>37</v>
      </c>
      <c r="B188" s="1259" t="s">
        <v>1080</v>
      </c>
    </row>
    <row r="189" spans="1:2">
      <c r="A189" s="1259">
        <v>38</v>
      </c>
      <c r="B189" s="1259" t="s">
        <v>1081</v>
      </c>
    </row>
    <row r="190" spans="1:2">
      <c r="A190" s="1259">
        <v>39</v>
      </c>
      <c r="B190" s="1259" t="s">
        <v>1082</v>
      </c>
    </row>
    <row r="191" spans="1:2">
      <c r="A191" s="1259">
        <v>40</v>
      </c>
      <c r="B191" s="1259" t="s">
        <v>1083</v>
      </c>
    </row>
    <row r="192" spans="1:2">
      <c r="A192" s="1259">
        <v>41</v>
      </c>
      <c r="B192" s="1259" t="s">
        <v>1084</v>
      </c>
    </row>
    <row r="193" spans="1:2">
      <c r="A193" s="1259">
        <v>42</v>
      </c>
      <c r="B193" s="1259" t="s">
        <v>1085</v>
      </c>
    </row>
    <row r="194" spans="1:2">
      <c r="A194" s="1259">
        <v>43</v>
      </c>
      <c r="B194" s="1259" t="s">
        <v>1086</v>
      </c>
    </row>
    <row r="195" spans="1:2">
      <c r="A195" s="1259">
        <v>44</v>
      </c>
      <c r="B195" s="1259" t="s">
        <v>1087</v>
      </c>
    </row>
    <row r="196" spans="1:2">
      <c r="A196" s="1259">
        <v>45</v>
      </c>
      <c r="B196" s="1259" t="s">
        <v>1088</v>
      </c>
    </row>
    <row r="197" spans="1:2">
      <c r="A197" s="1259">
        <v>46</v>
      </c>
      <c r="B197" s="1259" t="s">
        <v>1089</v>
      </c>
    </row>
    <row r="198" spans="1:2">
      <c r="A198" s="1259">
        <v>47</v>
      </c>
      <c r="B198" s="1259" t="s">
        <v>1090</v>
      </c>
    </row>
    <row r="199" spans="1:2">
      <c r="A199" s="1259">
        <v>48</v>
      </c>
      <c r="B199" s="1259" t="s">
        <v>1091</v>
      </c>
    </row>
    <row r="200" spans="1:2">
      <c r="A200" s="1259">
        <v>49</v>
      </c>
      <c r="B200" s="1259" t="s">
        <v>1092</v>
      </c>
    </row>
    <row r="201" spans="1:2">
      <c r="A201" s="1259">
        <v>50</v>
      </c>
      <c r="B201" s="1259" t="s">
        <v>1093</v>
      </c>
    </row>
    <row r="202" spans="1:2">
      <c r="A202" s="1259">
        <v>51</v>
      </c>
      <c r="B202" s="1259" t="s">
        <v>1094</v>
      </c>
    </row>
    <row r="203" spans="1:2">
      <c r="A203" s="1259">
        <v>52</v>
      </c>
      <c r="B203" s="1259" t="s">
        <v>1095</v>
      </c>
    </row>
    <row r="204" spans="1:2">
      <c r="A204" s="1259">
        <v>53</v>
      </c>
      <c r="B204" s="1259" t="s">
        <v>1096</v>
      </c>
    </row>
    <row r="205" spans="1:2">
      <c r="A205" s="1259">
        <v>54</v>
      </c>
      <c r="B205" s="1259" t="s">
        <v>1033</v>
      </c>
    </row>
    <row r="206" spans="1:2">
      <c r="A206" s="1259">
        <v>55</v>
      </c>
      <c r="B206" s="1259" t="s">
        <v>950</v>
      </c>
    </row>
    <row r="207" spans="1:2">
      <c r="A207" s="1259">
        <v>56</v>
      </c>
      <c r="B207" s="1259" t="s">
        <v>1097</v>
      </c>
    </row>
    <row r="208" spans="1:2">
      <c r="A208" s="1259">
        <v>93</v>
      </c>
      <c r="B208" s="1259" t="s">
        <v>951</v>
      </c>
    </row>
    <row r="209" spans="1:2">
      <c r="A209" s="1259">
        <v>94</v>
      </c>
      <c r="B209" s="1259" t="s">
        <v>952</v>
      </c>
    </row>
  </sheetData>
  <sheetProtection algorithmName="SHA-512" hashValue="BqY45cXLyNtSA7OOcz/P87Y3CM+8kzATfTBIoof+QQ0vMKjO9YmAQE/kMWfbbHW7F49RuT2tMcqnrDUOWJbfZw==" saltValue="ur4lquvfq8i589tmO+lIS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workbookViewId="0">
      <selection activeCell="B26" sqref="B26"/>
    </sheetView>
  </sheetViews>
  <sheetFormatPr defaultColWidth="9.21875" defaultRowHeight="14.4"/>
  <cols>
    <col min="1" max="1" width="86.21875" style="1246" customWidth="1"/>
    <col min="2" max="3" width="28.21875" style="1145" customWidth="1"/>
    <col min="4" max="4" width="20.77734375" style="1145" bestFit="1" customWidth="1"/>
    <col min="5" max="5" width="33" style="1145" customWidth="1"/>
    <col min="6" max="6" width="31" style="1145" customWidth="1"/>
    <col min="7" max="36" width="23.21875" style="1145" customWidth="1"/>
    <col min="37" max="37" width="19.77734375" style="1145" customWidth="1"/>
    <col min="38" max="38" width="20" style="1145" bestFit="1" customWidth="1"/>
    <col min="39" max="39" width="18.21875" style="1145" bestFit="1" customWidth="1"/>
    <col min="40" max="40" width="22.21875" style="1149" customWidth="1"/>
    <col min="41" max="41" width="20.44140625" style="1149" bestFit="1" customWidth="1"/>
    <col min="42" max="42" width="11.77734375" style="1149" bestFit="1" customWidth="1"/>
    <col min="43" max="43" width="16.44140625" style="1149" bestFit="1" customWidth="1"/>
    <col min="44" max="44" width="17" style="1149" customWidth="1"/>
    <col min="45" max="50" width="9.21875" style="1149"/>
    <col min="51" max="60" width="9.21875" style="1013"/>
    <col min="61" max="61" width="9.21875" style="1149"/>
    <col min="62" max="62" width="11.21875" style="1149" bestFit="1" customWidth="1"/>
    <col min="63" max="16384" width="9.21875" style="1149"/>
  </cols>
  <sheetData>
    <row r="1" spans="1:60">
      <c r="A1" s="1235" t="s">
        <v>185</v>
      </c>
      <c r="B1" s="1143" t="s">
        <v>1098</v>
      </c>
      <c r="C1" s="1172"/>
      <c r="D1" s="1172"/>
      <c r="E1" s="1172"/>
      <c r="F1" s="1011"/>
      <c r="G1" s="1029"/>
      <c r="H1" s="1029"/>
      <c r="I1" s="1029"/>
      <c r="J1" s="1012"/>
      <c r="K1" s="1012"/>
      <c r="L1" s="1012"/>
      <c r="M1" s="1012"/>
      <c r="N1" s="1012"/>
      <c r="O1" s="1012"/>
      <c r="P1" s="1012"/>
      <c r="Q1" s="1012"/>
      <c r="R1" s="1012"/>
      <c r="S1" s="1012"/>
      <c r="T1" s="1012"/>
      <c r="U1" s="1012" t="str">
        <f>HYPERLINK("#'"&amp;INDEX('Master Key'!$B:$B,MATCH("Master Key",'Master Key'!$B:$B,0),1)&amp;"'!A1","Go To Sheet")</f>
        <v>Go To Sheet</v>
      </c>
      <c r="V1" s="1012"/>
      <c r="W1" s="1012"/>
      <c r="X1" s="1012"/>
      <c r="Y1" s="1012"/>
      <c r="Z1" s="1012"/>
      <c r="AA1" s="1012"/>
      <c r="AB1" s="1012"/>
      <c r="AC1" s="1012"/>
      <c r="AD1" s="1012"/>
      <c r="AE1" s="1012"/>
      <c r="AF1" s="1012"/>
      <c r="AG1" s="1012"/>
      <c r="AH1" s="1012"/>
      <c r="AI1" s="1012"/>
    </row>
    <row r="2" spans="1:60" ht="15" thickBot="1">
      <c r="A2" s="1237"/>
      <c r="B2" s="1173"/>
      <c r="C2" s="1173"/>
      <c r="D2" s="1173"/>
      <c r="E2" s="1173"/>
    </row>
    <row r="3" spans="1:60" ht="18">
      <c r="A3" s="1238" t="s">
        <v>482</v>
      </c>
      <c r="B3" s="1875" t="s">
        <v>1099</v>
      </c>
      <c r="C3" s="1875"/>
      <c r="D3" s="1875"/>
      <c r="E3" s="1174"/>
      <c r="F3" s="1872" t="s">
        <v>484</v>
      </c>
      <c r="G3" s="1873"/>
      <c r="H3" s="1873"/>
      <c r="I3" s="1873"/>
      <c r="J3" s="1873"/>
      <c r="K3" s="1873"/>
      <c r="L3" s="1873"/>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4"/>
      <c r="AO3" s="1961" t="s">
        <v>420</v>
      </c>
      <c r="AP3" s="1961"/>
      <c r="AQ3" s="1961"/>
      <c r="AR3" s="1961"/>
    </row>
    <row r="4" spans="1:60" ht="18">
      <c r="A4" s="1175"/>
      <c r="B4" s="1175"/>
      <c r="C4" s="1175"/>
      <c r="D4" s="1175"/>
      <c r="E4" s="1174"/>
      <c r="F4" s="1189" t="s">
        <v>485</v>
      </c>
      <c r="G4" s="1191" t="s">
        <v>66</v>
      </c>
      <c r="H4" s="1191" t="s">
        <v>66</v>
      </c>
      <c r="I4" s="1191" t="s">
        <v>66</v>
      </c>
      <c r="J4" s="1191" t="s">
        <v>66</v>
      </c>
      <c r="K4" s="1191" t="s">
        <v>66</v>
      </c>
      <c r="L4" s="1191" t="s">
        <v>66</v>
      </c>
      <c r="M4" s="1191" t="s">
        <v>66</v>
      </c>
      <c r="N4" s="1191" t="s">
        <v>66</v>
      </c>
      <c r="O4" s="1191" t="s">
        <v>66</v>
      </c>
      <c r="P4" s="1191" t="s">
        <v>66</v>
      </c>
      <c r="Q4" s="1191" t="s">
        <v>66</v>
      </c>
      <c r="R4" s="1191" t="s">
        <v>66</v>
      </c>
      <c r="S4" s="1191" t="s">
        <v>66</v>
      </c>
      <c r="T4" s="1191" t="s">
        <v>66</v>
      </c>
      <c r="U4" s="1156" t="s">
        <v>66</v>
      </c>
      <c r="V4" s="1191" t="s">
        <v>131</v>
      </c>
      <c r="W4" s="1191" t="s">
        <v>131</v>
      </c>
      <c r="X4" s="1192"/>
      <c r="Y4" s="1192" t="s">
        <v>131</v>
      </c>
      <c r="Z4" s="1192" t="s">
        <v>131</v>
      </c>
      <c r="AA4" s="1192" t="s">
        <v>131</v>
      </c>
      <c r="AB4" s="1192" t="s">
        <v>131</v>
      </c>
      <c r="AC4" s="1192" t="s">
        <v>131</v>
      </c>
      <c r="AD4" s="1192" t="s">
        <v>131</v>
      </c>
      <c r="AE4" s="1192" t="s">
        <v>131</v>
      </c>
      <c r="AF4" s="1192" t="s">
        <v>131</v>
      </c>
      <c r="AG4" s="1192" t="s">
        <v>131</v>
      </c>
      <c r="AH4" s="1192" t="s">
        <v>131</v>
      </c>
      <c r="AI4" s="1192" t="s">
        <v>131</v>
      </c>
      <c r="AJ4" s="1157" t="s">
        <v>131</v>
      </c>
      <c r="AK4" s="1868" t="s">
        <v>488</v>
      </c>
      <c r="AL4" s="1869"/>
      <c r="AM4" s="1155"/>
      <c r="AN4" s="1156" t="s">
        <v>66</v>
      </c>
      <c r="AO4" s="1157" t="s">
        <v>131</v>
      </c>
      <c r="AP4" s="1868" t="s">
        <v>488</v>
      </c>
      <c r="AQ4" s="1869"/>
      <c r="AX4" s="1013"/>
      <c r="BH4" s="1149"/>
    </row>
    <row r="5" spans="1:60" ht="29.4" thickBot="1">
      <c r="A5" s="1634" t="s">
        <v>489</v>
      </c>
      <c r="B5" s="1964" t="s">
        <v>1100</v>
      </c>
      <c r="C5" s="1964"/>
      <c r="D5" s="1964"/>
      <c r="E5" s="1173"/>
      <c r="F5" s="1528" t="s">
        <v>491</v>
      </c>
      <c r="G5" s="1529" t="s">
        <v>493</v>
      </c>
      <c r="H5" s="1529" t="s">
        <v>493</v>
      </c>
      <c r="I5" s="1529" t="s">
        <v>1101</v>
      </c>
      <c r="J5" s="1529" t="s">
        <v>1102</v>
      </c>
      <c r="K5" s="1529" t="s">
        <v>1103</v>
      </c>
      <c r="L5" s="1529" t="s">
        <v>1104</v>
      </c>
      <c r="M5" s="1529" t="s">
        <v>1105</v>
      </c>
      <c r="N5" s="1529" t="s">
        <v>1106</v>
      </c>
      <c r="O5" s="1529" t="s">
        <v>1107</v>
      </c>
      <c r="P5" s="1529" t="s">
        <v>1108</v>
      </c>
      <c r="Q5" s="1529" t="s">
        <v>1109</v>
      </c>
      <c r="R5" s="1529" t="s">
        <v>1110</v>
      </c>
      <c r="S5" s="1529" t="s">
        <v>1111</v>
      </c>
      <c r="T5" s="1529" t="s">
        <v>1112</v>
      </c>
      <c r="U5" s="1494" t="s">
        <v>15</v>
      </c>
      <c r="V5" s="1529" t="s">
        <v>493</v>
      </c>
      <c r="W5" s="1529" t="s">
        <v>493</v>
      </c>
      <c r="X5" s="1529" t="s">
        <v>1101</v>
      </c>
      <c r="Y5" s="1529" t="s">
        <v>1102</v>
      </c>
      <c r="Z5" s="1529" t="s">
        <v>1103</v>
      </c>
      <c r="AA5" s="1529" t="s">
        <v>1104</v>
      </c>
      <c r="AB5" s="1529" t="s">
        <v>1105</v>
      </c>
      <c r="AC5" s="1529" t="s">
        <v>1106</v>
      </c>
      <c r="AD5" s="1529" t="s">
        <v>1107</v>
      </c>
      <c r="AE5" s="1529" t="s">
        <v>1108</v>
      </c>
      <c r="AF5" s="1529" t="s">
        <v>1109</v>
      </c>
      <c r="AG5" s="1529" t="s">
        <v>1110</v>
      </c>
      <c r="AH5" s="1529" t="s">
        <v>1111</v>
      </c>
      <c r="AI5" s="1529" t="s">
        <v>1112</v>
      </c>
      <c r="AJ5" s="1495" t="s">
        <v>15</v>
      </c>
      <c r="AK5" s="1962"/>
      <c r="AL5" s="1963"/>
      <c r="AM5" s="1155"/>
      <c r="AN5" s="1494" t="s">
        <v>15</v>
      </c>
      <c r="AO5" s="1495" t="s">
        <v>15</v>
      </c>
      <c r="AP5" s="1870"/>
      <c r="AQ5" s="1871"/>
      <c r="AX5" s="1013"/>
      <c r="BH5" s="1149"/>
    </row>
    <row r="6" spans="1:60" ht="43.2">
      <c r="C6" s="1173"/>
      <c r="D6" s="1173"/>
      <c r="E6" s="1173"/>
      <c r="F6" s="1528"/>
      <c r="G6" s="1529" t="s">
        <v>1113</v>
      </c>
      <c r="H6" s="1529" t="s">
        <v>1114</v>
      </c>
      <c r="I6" s="1529" t="s">
        <v>1115</v>
      </c>
      <c r="J6" s="1529" t="s">
        <v>1116</v>
      </c>
      <c r="K6" s="1529" t="s">
        <v>1117</v>
      </c>
      <c r="L6" s="1529" t="s">
        <v>1118</v>
      </c>
      <c r="M6" s="1529" t="s">
        <v>1119</v>
      </c>
      <c r="N6" s="1529" t="s">
        <v>1120</v>
      </c>
      <c r="O6" s="1529" t="s">
        <v>1121</v>
      </c>
      <c r="P6" s="1529" t="s">
        <v>1122</v>
      </c>
      <c r="Q6" s="1529" t="s">
        <v>1123</v>
      </c>
      <c r="R6" s="1529" t="s">
        <v>1124</v>
      </c>
      <c r="S6" s="1529" t="s">
        <v>1125</v>
      </c>
      <c r="T6" s="1529" t="s">
        <v>1126</v>
      </c>
      <c r="U6" s="1494" t="s">
        <v>136</v>
      </c>
      <c r="V6" s="1529" t="s">
        <v>1113</v>
      </c>
      <c r="W6" s="1529" t="s">
        <v>1127</v>
      </c>
      <c r="X6" s="1529" t="s">
        <v>1115</v>
      </c>
      <c r="Y6" s="1529" t="s">
        <v>1116</v>
      </c>
      <c r="Z6" s="1529" t="s">
        <v>1117</v>
      </c>
      <c r="AA6" s="1529" t="s">
        <v>1118</v>
      </c>
      <c r="AB6" s="1529" t="s">
        <v>1119</v>
      </c>
      <c r="AC6" s="1529" t="s">
        <v>1120</v>
      </c>
      <c r="AD6" s="1529" t="s">
        <v>1121</v>
      </c>
      <c r="AE6" s="1529" t="s">
        <v>1122</v>
      </c>
      <c r="AF6" s="1529" t="s">
        <v>1123</v>
      </c>
      <c r="AG6" s="1529" t="s">
        <v>1124</v>
      </c>
      <c r="AH6" s="1529" t="s">
        <v>1125</v>
      </c>
      <c r="AI6" s="1529" t="s">
        <v>1126</v>
      </c>
      <c r="AJ6" s="1495" t="s">
        <v>136</v>
      </c>
      <c r="AK6" s="1500" t="s">
        <v>419</v>
      </c>
      <c r="AL6" s="1501" t="str">
        <f>"Discounted @ "&amp;TEXT('Major Assumption Key'!$B$8,"0.0%")</f>
        <v>Discounted @ 3.1%</v>
      </c>
      <c r="AM6" s="1155"/>
      <c r="AN6" s="1494" t="s">
        <v>136</v>
      </c>
      <c r="AO6" s="1495" t="s">
        <v>136</v>
      </c>
      <c r="AP6" s="1500" t="s">
        <v>419</v>
      </c>
      <c r="AQ6" s="1501" t="str">
        <f>"Discounted @ "&amp;TEXT('Major Assumption Key'!$B$8,"0.0%")</f>
        <v>Discounted @ 3.1%</v>
      </c>
      <c r="AX6" s="1013"/>
      <c r="BH6" s="1149"/>
    </row>
    <row r="7" spans="1:60" ht="18">
      <c r="A7" s="1859" t="s">
        <v>432</v>
      </c>
      <c r="B7" s="1860"/>
      <c r="C7" s="1860"/>
      <c r="D7" s="1861"/>
      <c r="E7" s="1173"/>
      <c r="F7" s="1181">
        <f>'Major Assumption Key'!A19</f>
        <v>2020</v>
      </c>
      <c r="G7" s="1251">
        <f>IFERROR(_xlfn.XLOOKUP(F7,'Pedestrian Demand'!A:A,'Pedestrian Demand'!B:B,,0)*$B$19,"N/A")</f>
        <v>0</v>
      </c>
      <c r="H7" s="1182">
        <v>0</v>
      </c>
      <c r="I7" s="1184">
        <v>0</v>
      </c>
      <c r="J7" s="1184">
        <v>0</v>
      </c>
      <c r="K7" s="1184">
        <v>0</v>
      </c>
      <c r="L7" s="1184">
        <v>0</v>
      </c>
      <c r="M7" s="1184">
        <v>0</v>
      </c>
      <c r="N7" s="1184">
        <v>0</v>
      </c>
      <c r="O7" s="1184">
        <v>0</v>
      </c>
      <c r="P7" s="1184">
        <v>0</v>
      </c>
      <c r="Q7" s="1184">
        <v>0</v>
      </c>
      <c r="R7" s="1184">
        <v>0</v>
      </c>
      <c r="S7" s="1184">
        <v>0</v>
      </c>
      <c r="T7" s="1184">
        <v>0</v>
      </c>
      <c r="U7" s="1165">
        <f>IF(AND($F7&gt;=$B$15,$F7&lt;=$B$16),SUM(I7:T7),0)</f>
        <v>0</v>
      </c>
      <c r="V7" s="1251">
        <f>IFERROR(_xlfn.XLOOKUP(F7,'Pedestrian Demand'!A:A,'Pedestrian Demand'!B:B,,0)*$B$19,"N/A")</f>
        <v>0</v>
      </c>
      <c r="W7" s="1251">
        <f>IF(F7&lt;$B$14,0,_xlfn.XLOOKUP(F7,'Pedestrian Demand'!A:A,'Pedestrian Demand'!$D:$D,,0)*$B$19)</f>
        <v>0</v>
      </c>
      <c r="X7" s="1184">
        <f>IF(F7&gt;=$B$14,$B$35*IF($B$25&gt;$B$20,$B$20,$B$25)*V7*$B$23,0)</f>
        <v>0</v>
      </c>
      <c r="Y7" s="1184">
        <f>IF(F7&gt;=$B$14,$B$35*IF($B$25&gt;$B$20,$B$20,$B$25)*$B$23*W7/2,0)</f>
        <v>0</v>
      </c>
      <c r="Z7" s="1184">
        <f>IF(F7&gt;=$B$14,IF($B$27&gt;$B$20,$B$20,$B$27)*$B$26*$B$36*V7,0)</f>
        <v>0</v>
      </c>
      <c r="AA7" s="1184">
        <f>IF(F7&gt;=$B$14,IF($B$27&gt;$B$20,$B$20,$B$27)*$B$26*$B$36*W7/2,0)</f>
        <v>0</v>
      </c>
      <c r="AB7" s="1184">
        <f>IF(F7&gt;=$B$14,IF($B$29&gt;$B$20,$B$20,$B$28)*$B$28*$B$37*V7,0)</f>
        <v>0</v>
      </c>
      <c r="AC7" s="1184">
        <f>IF(F7&gt;=$B$14,IF($B$29&gt;$B$20,$B$20,$B$28)*$B$28*$B$37*W7/2,0)</f>
        <v>0</v>
      </c>
      <c r="AD7" s="1184">
        <f>IF(F7&gt;=$B$14,IF($B$31&gt;$B$20,$B$20,$B$30)*$B$30*$B$38*V7,0)</f>
        <v>0</v>
      </c>
      <c r="AE7" s="1184">
        <f>IF(F7&gt;=$B$14,IF($B$31&gt;$B$20,$B$20,$B$30)*$B$30*$B$38*W7/2,0)</f>
        <v>0</v>
      </c>
      <c r="AF7" s="1184">
        <v>0</v>
      </c>
      <c r="AG7" s="1184">
        <v>0</v>
      </c>
      <c r="AH7" s="1184">
        <v>0</v>
      </c>
      <c r="AI7" s="1184">
        <v>0</v>
      </c>
      <c r="AJ7" s="1170">
        <f>IFERROR(IF(AND($F7&gt;=$B$15,$F7&lt;=$B$16),SUM(X7:AI7),0),0)</f>
        <v>0</v>
      </c>
      <c r="AK7" s="1171">
        <f>IFERROR(AJ7-U7,0)</f>
        <v>0</v>
      </c>
      <c r="AL7" s="1169">
        <f>AK7/(1+'Major Assumption Key'!$B$8)^($F7-'Major Assumption Key'!$B$7)</f>
        <v>0</v>
      </c>
      <c r="AM7" s="1155"/>
      <c r="AN7" s="1165">
        <f>IFERROR(ROUND(U7,-3),0)</f>
        <v>0</v>
      </c>
      <c r="AO7" s="1170">
        <f>IFERROR(ROUND(AJ7,-3),0)</f>
        <v>0</v>
      </c>
      <c r="AP7" s="1171">
        <f t="shared" ref="AO7:AQ48" si="0">ROUND(AK7,-3)</f>
        <v>0</v>
      </c>
      <c r="AQ7" s="1169">
        <f t="shared" si="0"/>
        <v>0</v>
      </c>
      <c r="AX7" s="1013"/>
      <c r="BH7" s="1149"/>
    </row>
    <row r="8" spans="1:60" ht="18">
      <c r="A8" s="1862" t="s">
        <v>418</v>
      </c>
      <c r="B8" s="1862"/>
      <c r="C8" s="1340" t="s">
        <v>419</v>
      </c>
      <c r="D8" s="1340" t="str">
        <f>_xlfn.CONCAT("Discounted @",TEXT('Major Assumption Key'!B8,"0.0%"))</f>
        <v>Discounted @3.1%</v>
      </c>
      <c r="E8" s="1173"/>
      <c r="F8" s="1181">
        <f>'Major Assumption Key'!A20</f>
        <v>2021</v>
      </c>
      <c r="G8" s="1251">
        <f>IFERROR(_xlfn.XLOOKUP(F8,'Pedestrian Demand'!A:A,'Pedestrian Demand'!B:B,,0)*$B$19,"N/A")</f>
        <v>63510</v>
      </c>
      <c r="H8" s="1182">
        <v>0</v>
      </c>
      <c r="I8" s="1184">
        <v>0</v>
      </c>
      <c r="J8" s="1184">
        <v>0</v>
      </c>
      <c r="K8" s="1184">
        <v>0</v>
      </c>
      <c r="L8" s="1184">
        <v>0</v>
      </c>
      <c r="M8" s="1184">
        <v>0</v>
      </c>
      <c r="N8" s="1184">
        <v>0</v>
      </c>
      <c r="O8" s="1184">
        <v>0</v>
      </c>
      <c r="P8" s="1184">
        <v>0</v>
      </c>
      <c r="Q8" s="1184">
        <v>0</v>
      </c>
      <c r="R8" s="1184">
        <v>0</v>
      </c>
      <c r="S8" s="1184">
        <v>0</v>
      </c>
      <c r="T8" s="1184">
        <v>0</v>
      </c>
      <c r="U8" s="1165">
        <f t="shared" ref="U8:U47" si="1">IF(AND($F8&gt;=$B$15,$F8&lt;=$B$16),SUM(I8:T8),0)</f>
        <v>0</v>
      </c>
      <c r="V8" s="1251">
        <f>IFERROR(_xlfn.XLOOKUP(F8,'Pedestrian Demand'!A:A,'Pedestrian Demand'!B:B,,0)*$B$19,"N/A")</f>
        <v>63510</v>
      </c>
      <c r="W8" s="1251">
        <f>IF(F8&lt;$B$14,0,_xlfn.XLOOKUP(F8,'Pedestrian Demand'!A:A,'Pedestrian Demand'!$D:$D,,0)*$B$19)</f>
        <v>0</v>
      </c>
      <c r="X8" s="1184">
        <f t="shared" ref="X8:X47" si="2">IF(F8&gt;=$B$14,$B$35*IF($B$25&gt;$B$20,$B$20,$B$25)*V8*$B$23,0)</f>
        <v>0</v>
      </c>
      <c r="Y8" s="1184">
        <f t="shared" ref="Y8:Y47" si="3">IF(F8&gt;=$B$14,$B$35*IF($B$25&gt;$B$20,$B$20,$B$25)*$B$23*W8/2,0)</f>
        <v>0</v>
      </c>
      <c r="Z8" s="1184">
        <f t="shared" ref="Z8:Z47" si="4">IF(F8&gt;=$B$14,IF($B$27&gt;$B$20,$B$20,$B$27)*$B$26*$B$36*V8,0)</f>
        <v>0</v>
      </c>
      <c r="AA8" s="1184">
        <f t="shared" ref="AA8:AA47" si="5">IF(F8&gt;=$B$14,IF($B$27&gt;$B$20,$B$20,$B$27)*$B$26*$B$36*W8/2,0)</f>
        <v>0</v>
      </c>
      <c r="AB8" s="1184">
        <f t="shared" ref="AB8:AB47" si="6">IF(F8&gt;=$B$14,IF($B$29&gt;$B$20,$B$20,$B$28)*$B$28*$B$37*V8,0)</f>
        <v>0</v>
      </c>
      <c r="AC8" s="1184">
        <f t="shared" ref="AC8:AC47" si="7">IF(F8&gt;=$B$14,IF($B$29&gt;$B$20,$B$20,$B$28)*$B$28*$B$37*W8/2,0)</f>
        <v>0</v>
      </c>
      <c r="AD8" s="1184">
        <f t="shared" ref="AD8:AD47" si="8">IF(F8&gt;=$B$14,IF($B$31&gt;$B$20,$B$20,$B$30)*$B$30*$B$38*V8,0)</f>
        <v>0</v>
      </c>
      <c r="AE8" s="1184">
        <f t="shared" ref="AE8:AE47" si="9">IF(F8&gt;=$B$14,IF($B$31&gt;$B$20,$B$20,$B$30)*$B$30*$B$38*W8/2,0)</f>
        <v>0</v>
      </c>
      <c r="AF8" s="1184">
        <v>0</v>
      </c>
      <c r="AG8" s="1184">
        <v>0</v>
      </c>
      <c r="AH8" s="1184">
        <v>0</v>
      </c>
      <c r="AI8" s="1184">
        <v>0</v>
      </c>
      <c r="AJ8" s="1170">
        <f t="shared" ref="AJ8:AJ47" si="10">IFERROR(IF(AND($F8&gt;=$B$15,$F8&lt;=$B$16),SUM(X8:AI8),0),0)</f>
        <v>0</v>
      </c>
      <c r="AK8" s="1171">
        <f t="shared" ref="AK8:AK47" si="11">IFERROR(AJ8-U8,0)</f>
        <v>0</v>
      </c>
      <c r="AL8" s="1169">
        <f>AK8/(1+'Major Assumption Key'!$B$8)^($F8-'Major Assumption Key'!$B$7)</f>
        <v>0</v>
      </c>
      <c r="AM8" s="1155"/>
      <c r="AN8" s="1165">
        <f t="shared" ref="AN8:AN47" si="12">IFERROR(ROUND(U8,-3),0)</f>
        <v>0</v>
      </c>
      <c r="AO8" s="1170">
        <f t="shared" ref="AO8:AO47" si="13">IFERROR(ROUND(AJ8,-3),0)</f>
        <v>0</v>
      </c>
      <c r="AP8" s="1171">
        <f t="shared" ref="AP8:AP47" si="14">ROUND(AK8,-3)</f>
        <v>0</v>
      </c>
      <c r="AQ8" s="1169">
        <f t="shared" ref="AQ8:AQ47" si="15">ROUND(AL8,-3)</f>
        <v>0</v>
      </c>
      <c r="AX8" s="1013"/>
      <c r="BH8" s="1149"/>
    </row>
    <row r="9" spans="1:60" ht="18">
      <c r="A9" s="1863" t="s">
        <v>11</v>
      </c>
      <c r="B9" s="1863"/>
      <c r="C9" s="1503">
        <f>'BCA Summary'!$H$7</f>
        <v>1.0111569298276737</v>
      </c>
      <c r="D9" s="1503">
        <f>'BCA Summary'!$I$7</f>
        <v>0.6276932096418345</v>
      </c>
      <c r="E9" s="1173"/>
      <c r="F9" s="1181">
        <f>'Major Assumption Key'!A21</f>
        <v>2022</v>
      </c>
      <c r="G9" s="1251">
        <f>IFERROR(_xlfn.XLOOKUP(F9,'Pedestrian Demand'!A:A,'Pedestrian Demand'!B:B,,0)*$B$19,"N/A")</f>
        <v>64446.048802806275</v>
      </c>
      <c r="H9" s="1182">
        <v>0</v>
      </c>
      <c r="I9" s="1184">
        <v>0</v>
      </c>
      <c r="J9" s="1184">
        <v>0</v>
      </c>
      <c r="K9" s="1184">
        <v>0</v>
      </c>
      <c r="L9" s="1184">
        <v>0</v>
      </c>
      <c r="M9" s="1184">
        <v>0</v>
      </c>
      <c r="N9" s="1184">
        <v>0</v>
      </c>
      <c r="O9" s="1184">
        <v>0</v>
      </c>
      <c r="P9" s="1184">
        <v>0</v>
      </c>
      <c r="Q9" s="1184">
        <v>0</v>
      </c>
      <c r="R9" s="1184">
        <v>0</v>
      </c>
      <c r="S9" s="1184">
        <v>0</v>
      </c>
      <c r="T9" s="1184">
        <v>0</v>
      </c>
      <c r="U9" s="1165">
        <f t="shared" si="1"/>
        <v>0</v>
      </c>
      <c r="V9" s="1251">
        <f>IFERROR(_xlfn.XLOOKUP(F9,'Pedestrian Demand'!A:A,'Pedestrian Demand'!B:B,,0)*$B$19,"N/A")</f>
        <v>64446.048802806275</v>
      </c>
      <c r="W9" s="1251">
        <f>IF(F9&lt;$B$14,0,_xlfn.XLOOKUP(F9,'Pedestrian Demand'!A:A,'Pedestrian Demand'!$D:$D,,0)*$B$19)</f>
        <v>0</v>
      </c>
      <c r="X9" s="1184">
        <f t="shared" si="2"/>
        <v>0</v>
      </c>
      <c r="Y9" s="1184">
        <f t="shared" si="3"/>
        <v>0</v>
      </c>
      <c r="Z9" s="1184">
        <f t="shared" si="4"/>
        <v>0</v>
      </c>
      <c r="AA9" s="1184">
        <f t="shared" si="5"/>
        <v>0</v>
      </c>
      <c r="AB9" s="1184">
        <f t="shared" si="6"/>
        <v>0</v>
      </c>
      <c r="AC9" s="1184">
        <f t="shared" si="7"/>
        <v>0</v>
      </c>
      <c r="AD9" s="1184">
        <f t="shared" si="8"/>
        <v>0</v>
      </c>
      <c r="AE9" s="1184">
        <f t="shared" si="9"/>
        <v>0</v>
      </c>
      <c r="AF9" s="1184">
        <v>0</v>
      </c>
      <c r="AG9" s="1184">
        <v>0</v>
      </c>
      <c r="AH9" s="1184">
        <v>0</v>
      </c>
      <c r="AI9" s="1184">
        <v>0</v>
      </c>
      <c r="AJ9" s="1170">
        <f t="shared" si="10"/>
        <v>0</v>
      </c>
      <c r="AK9" s="1171">
        <f t="shared" si="11"/>
        <v>0</v>
      </c>
      <c r="AL9" s="1169">
        <f>AK9/(1+'Major Assumption Key'!$B$8)^($F9-'Major Assumption Key'!$B$7)</f>
        <v>0</v>
      </c>
      <c r="AM9" s="1155"/>
      <c r="AN9" s="1165">
        <f t="shared" si="12"/>
        <v>0</v>
      </c>
      <c r="AO9" s="1170">
        <f t="shared" si="13"/>
        <v>0</v>
      </c>
      <c r="AP9" s="1171">
        <f t="shared" si="14"/>
        <v>0</v>
      </c>
      <c r="AQ9" s="1169">
        <f t="shared" si="15"/>
        <v>0</v>
      </c>
      <c r="AX9" s="1013"/>
      <c r="BH9" s="1149"/>
    </row>
    <row r="10" spans="1:60" ht="18">
      <c r="A10" s="1863" t="s">
        <v>12</v>
      </c>
      <c r="B10" s="1863"/>
      <c r="C10" s="1340">
        <f>'BCA Summary'!$H$8</f>
        <v>236636.98382712901</v>
      </c>
      <c r="D10" s="1340">
        <f>'BCA Summary'!$I$8</f>
        <v>-6930297.4454113934</v>
      </c>
      <c r="E10" s="1173"/>
      <c r="F10" s="1181">
        <f>'Major Assumption Key'!A22</f>
        <v>2023</v>
      </c>
      <c r="G10" s="1251">
        <f>IFERROR(_xlfn.XLOOKUP(F10,'Pedestrian Demand'!A:A,'Pedestrian Demand'!B:B,,0)*$B$19,"N/A")</f>
        <v>65395.893659166868</v>
      </c>
      <c r="H10" s="1182">
        <v>0</v>
      </c>
      <c r="I10" s="1184">
        <v>0</v>
      </c>
      <c r="J10" s="1184">
        <v>0</v>
      </c>
      <c r="K10" s="1184">
        <v>0</v>
      </c>
      <c r="L10" s="1184">
        <v>0</v>
      </c>
      <c r="M10" s="1184">
        <v>0</v>
      </c>
      <c r="N10" s="1184">
        <v>0</v>
      </c>
      <c r="O10" s="1184">
        <v>0</v>
      </c>
      <c r="P10" s="1184">
        <v>0</v>
      </c>
      <c r="Q10" s="1184">
        <v>0</v>
      </c>
      <c r="R10" s="1184">
        <v>0</v>
      </c>
      <c r="S10" s="1184">
        <v>0</v>
      </c>
      <c r="T10" s="1184">
        <v>0</v>
      </c>
      <c r="U10" s="1165">
        <f t="shared" si="1"/>
        <v>0</v>
      </c>
      <c r="V10" s="1251">
        <f>IFERROR(_xlfn.XLOOKUP(F10,'Pedestrian Demand'!A:A,'Pedestrian Demand'!B:B,,0)*$B$19,"N/A")</f>
        <v>65395.893659166868</v>
      </c>
      <c r="W10" s="1251">
        <f>IF(F10&lt;$B$14,0,_xlfn.XLOOKUP(F10,'Pedestrian Demand'!A:A,'Pedestrian Demand'!$D:$D,,0)*$B$19)</f>
        <v>0</v>
      </c>
      <c r="X10" s="1184">
        <f t="shared" si="2"/>
        <v>0</v>
      </c>
      <c r="Y10" s="1184">
        <f t="shared" si="3"/>
        <v>0</v>
      </c>
      <c r="Z10" s="1184">
        <f t="shared" si="4"/>
        <v>0</v>
      </c>
      <c r="AA10" s="1184">
        <f t="shared" si="5"/>
        <v>0</v>
      </c>
      <c r="AB10" s="1184">
        <f t="shared" si="6"/>
        <v>0</v>
      </c>
      <c r="AC10" s="1184">
        <f t="shared" si="7"/>
        <v>0</v>
      </c>
      <c r="AD10" s="1184">
        <f t="shared" si="8"/>
        <v>0</v>
      </c>
      <c r="AE10" s="1184">
        <f t="shared" si="9"/>
        <v>0</v>
      </c>
      <c r="AF10" s="1184">
        <v>0</v>
      </c>
      <c r="AG10" s="1184">
        <v>0</v>
      </c>
      <c r="AH10" s="1184">
        <v>0</v>
      </c>
      <c r="AI10" s="1184">
        <v>0</v>
      </c>
      <c r="AJ10" s="1170">
        <f t="shared" si="10"/>
        <v>0</v>
      </c>
      <c r="AK10" s="1171">
        <f t="shared" si="11"/>
        <v>0</v>
      </c>
      <c r="AL10" s="1169">
        <f>AK10/(1+'Major Assumption Key'!$B$8)^($F10-'Major Assumption Key'!$B$7)</f>
        <v>0</v>
      </c>
      <c r="AM10" s="1155"/>
      <c r="AN10" s="1165">
        <f t="shared" si="12"/>
        <v>0</v>
      </c>
      <c r="AO10" s="1170">
        <f t="shared" si="13"/>
        <v>0</v>
      </c>
      <c r="AP10" s="1171">
        <f t="shared" si="14"/>
        <v>0</v>
      </c>
      <c r="AQ10" s="1169">
        <f t="shared" si="15"/>
        <v>0</v>
      </c>
      <c r="AX10" s="1013"/>
      <c r="BH10" s="1149"/>
    </row>
    <row r="11" spans="1:60">
      <c r="C11" s="1173"/>
      <c r="D11" s="1173"/>
      <c r="E11" s="1173"/>
      <c r="F11" s="1181">
        <f>'Major Assumption Key'!A23</f>
        <v>2024</v>
      </c>
      <c r="G11" s="1251">
        <f>IFERROR(_xlfn.XLOOKUP(F11,'Pedestrian Demand'!A:A,'Pedestrian Demand'!B:B,,0)*$B$19,"N/A")</f>
        <v>66359.737903665518</v>
      </c>
      <c r="H11" s="1182">
        <v>0</v>
      </c>
      <c r="I11" s="1184">
        <v>0</v>
      </c>
      <c r="J11" s="1184">
        <v>0</v>
      </c>
      <c r="K11" s="1184">
        <v>0</v>
      </c>
      <c r="L11" s="1184">
        <v>0</v>
      </c>
      <c r="M11" s="1184">
        <v>0</v>
      </c>
      <c r="N11" s="1184">
        <v>0</v>
      </c>
      <c r="O11" s="1184">
        <v>0</v>
      </c>
      <c r="P11" s="1184">
        <v>0</v>
      </c>
      <c r="Q11" s="1184">
        <v>0</v>
      </c>
      <c r="R11" s="1184">
        <v>0</v>
      </c>
      <c r="S11" s="1184">
        <v>0</v>
      </c>
      <c r="T11" s="1184">
        <v>0</v>
      </c>
      <c r="U11" s="1165">
        <f t="shared" si="1"/>
        <v>0</v>
      </c>
      <c r="V11" s="1251">
        <f>IFERROR(_xlfn.XLOOKUP(F11,'Pedestrian Demand'!A:A,'Pedestrian Demand'!B:B,,0)*$B$19,"N/A")</f>
        <v>66359.737903665518</v>
      </c>
      <c r="W11" s="1251">
        <f>IF(F11&lt;$B$14,0,_xlfn.XLOOKUP(F11,'Pedestrian Demand'!A:A,'Pedestrian Demand'!$D:$D,,0)*$B$19)</f>
        <v>0</v>
      </c>
      <c r="X11" s="1184">
        <f t="shared" si="2"/>
        <v>0</v>
      </c>
      <c r="Y11" s="1184">
        <f t="shared" si="3"/>
        <v>0</v>
      </c>
      <c r="Z11" s="1184">
        <f t="shared" si="4"/>
        <v>0</v>
      </c>
      <c r="AA11" s="1184">
        <f t="shared" si="5"/>
        <v>0</v>
      </c>
      <c r="AB11" s="1184">
        <f t="shared" si="6"/>
        <v>0</v>
      </c>
      <c r="AC11" s="1184">
        <f t="shared" si="7"/>
        <v>0</v>
      </c>
      <c r="AD11" s="1184">
        <f t="shared" si="8"/>
        <v>0</v>
      </c>
      <c r="AE11" s="1184">
        <f t="shared" si="9"/>
        <v>0</v>
      </c>
      <c r="AF11" s="1184">
        <v>0</v>
      </c>
      <c r="AG11" s="1184">
        <v>0</v>
      </c>
      <c r="AH11" s="1184">
        <v>0</v>
      </c>
      <c r="AI11" s="1184">
        <v>0</v>
      </c>
      <c r="AJ11" s="1170">
        <f t="shared" si="10"/>
        <v>0</v>
      </c>
      <c r="AK11" s="1171">
        <f t="shared" si="11"/>
        <v>0</v>
      </c>
      <c r="AL11" s="1169">
        <f>AK11/(1+'Major Assumption Key'!$B$8)^($F11-'Major Assumption Key'!$B$7)</f>
        <v>0</v>
      </c>
      <c r="AM11" s="1155"/>
      <c r="AN11" s="1165">
        <f t="shared" si="12"/>
        <v>0</v>
      </c>
      <c r="AO11" s="1170">
        <f t="shared" si="13"/>
        <v>0</v>
      </c>
      <c r="AP11" s="1171">
        <f t="shared" si="14"/>
        <v>0</v>
      </c>
      <c r="AQ11" s="1169">
        <f t="shared" si="15"/>
        <v>0</v>
      </c>
      <c r="AX11" s="1013"/>
      <c r="BH11" s="1149"/>
    </row>
    <row r="12" spans="1:60" ht="15" thickBot="1">
      <c r="C12" s="1173"/>
      <c r="D12" s="1173"/>
      <c r="E12" s="1173"/>
      <c r="F12" s="1181">
        <f>'Major Assumption Key'!A24</f>
        <v>2025</v>
      </c>
      <c r="G12" s="1251">
        <f>IFERROR(_xlfn.XLOOKUP(F12,'Pedestrian Demand'!A:A,'Pedestrian Demand'!B:B,,0)*$B$19,"N/A")</f>
        <v>67337.787867754072</v>
      </c>
      <c r="H12" s="1182">
        <v>0</v>
      </c>
      <c r="I12" s="1184">
        <v>0</v>
      </c>
      <c r="J12" s="1184">
        <v>0</v>
      </c>
      <c r="K12" s="1184">
        <v>0</v>
      </c>
      <c r="L12" s="1184">
        <v>0</v>
      </c>
      <c r="M12" s="1184">
        <v>0</v>
      </c>
      <c r="N12" s="1184">
        <v>0</v>
      </c>
      <c r="O12" s="1184">
        <v>0</v>
      </c>
      <c r="P12" s="1184">
        <v>0</v>
      </c>
      <c r="Q12" s="1184">
        <v>0</v>
      </c>
      <c r="R12" s="1184">
        <v>0</v>
      </c>
      <c r="S12" s="1184">
        <v>0</v>
      </c>
      <c r="T12" s="1184">
        <v>0</v>
      </c>
      <c r="U12" s="1165">
        <f t="shared" si="1"/>
        <v>0</v>
      </c>
      <c r="V12" s="1251">
        <f>IFERROR(_xlfn.XLOOKUP(F12,'Pedestrian Demand'!A:A,'Pedestrian Demand'!B:B,,0)*$B$19,"N/A")</f>
        <v>67337.787867754072</v>
      </c>
      <c r="W12" s="1251">
        <f>IF(F12&lt;$B$14,0,_xlfn.XLOOKUP(F12,'Pedestrian Demand'!A:A,'Pedestrian Demand'!$D:$D,,0)*$B$19)</f>
        <v>0</v>
      </c>
      <c r="X12" s="1184">
        <f t="shared" si="2"/>
        <v>0</v>
      </c>
      <c r="Y12" s="1184">
        <f t="shared" si="3"/>
        <v>0</v>
      </c>
      <c r="Z12" s="1184">
        <f t="shared" si="4"/>
        <v>0</v>
      </c>
      <c r="AA12" s="1184">
        <f t="shared" si="5"/>
        <v>0</v>
      </c>
      <c r="AB12" s="1184">
        <f t="shared" si="6"/>
        <v>0</v>
      </c>
      <c r="AC12" s="1184">
        <f t="shared" si="7"/>
        <v>0</v>
      </c>
      <c r="AD12" s="1184">
        <f t="shared" si="8"/>
        <v>0</v>
      </c>
      <c r="AE12" s="1184">
        <f t="shared" si="9"/>
        <v>0</v>
      </c>
      <c r="AF12" s="1184">
        <v>0</v>
      </c>
      <c r="AG12" s="1184">
        <v>0</v>
      </c>
      <c r="AH12" s="1184">
        <v>0</v>
      </c>
      <c r="AI12" s="1184">
        <v>0</v>
      </c>
      <c r="AJ12" s="1170">
        <f t="shared" si="10"/>
        <v>0</v>
      </c>
      <c r="AK12" s="1171">
        <f t="shared" si="11"/>
        <v>0</v>
      </c>
      <c r="AL12" s="1169">
        <f>AK12/(1+'Major Assumption Key'!$B$8)^($F12-'Major Assumption Key'!$B$7)</f>
        <v>0</v>
      </c>
      <c r="AM12" s="1155"/>
      <c r="AN12" s="1165">
        <f t="shared" si="12"/>
        <v>0</v>
      </c>
      <c r="AO12" s="1170">
        <f t="shared" si="13"/>
        <v>0</v>
      </c>
      <c r="AP12" s="1171">
        <f t="shared" si="14"/>
        <v>0</v>
      </c>
      <c r="AQ12" s="1169">
        <f t="shared" si="15"/>
        <v>0</v>
      </c>
      <c r="AX12" s="1013"/>
      <c r="BH12" s="1149"/>
    </row>
    <row r="13" spans="1:60">
      <c r="A13" s="1647" t="s">
        <v>433</v>
      </c>
      <c r="B13" s="1648" t="s">
        <v>434</v>
      </c>
      <c r="C13" s="1966" t="s">
        <v>498</v>
      </c>
      <c r="D13" s="1967"/>
      <c r="E13" s="1173"/>
      <c r="F13" s="1181">
        <f>'Major Assumption Key'!A25</f>
        <v>2026</v>
      </c>
      <c r="G13" s="1251">
        <f>IFERROR(_xlfn.XLOOKUP(F13,'Pedestrian Demand'!A:A,'Pedestrian Demand'!B:B,,0)*$B$19,"N/A")</f>
        <v>68330.252923922133</v>
      </c>
      <c r="H13" s="1182">
        <v>0</v>
      </c>
      <c r="I13" s="1184">
        <v>0</v>
      </c>
      <c r="J13" s="1184">
        <v>0</v>
      </c>
      <c r="K13" s="1184">
        <v>0</v>
      </c>
      <c r="L13" s="1184">
        <v>0</v>
      </c>
      <c r="M13" s="1184">
        <v>0</v>
      </c>
      <c r="N13" s="1184">
        <v>0</v>
      </c>
      <c r="O13" s="1184">
        <v>0</v>
      </c>
      <c r="P13" s="1184">
        <v>0</v>
      </c>
      <c r="Q13" s="1184">
        <v>0</v>
      </c>
      <c r="R13" s="1184">
        <v>0</v>
      </c>
      <c r="S13" s="1184">
        <v>0</v>
      </c>
      <c r="T13" s="1184">
        <v>0</v>
      </c>
      <c r="U13" s="1165">
        <f t="shared" si="1"/>
        <v>0</v>
      </c>
      <c r="V13" s="1251">
        <f>IFERROR(_xlfn.XLOOKUP(F13,'Pedestrian Demand'!A:A,'Pedestrian Demand'!B:B,,0)*$B$19,"N/A")</f>
        <v>68330.252923922133</v>
      </c>
      <c r="W13" s="1251">
        <f>IF(F13&lt;$B$14,0,_xlfn.XLOOKUP(F13,'Pedestrian Demand'!A:A,'Pedestrian Demand'!$D:$D,,0)*$B$19)</f>
        <v>0</v>
      </c>
      <c r="X13" s="1184">
        <f t="shared" si="2"/>
        <v>0</v>
      </c>
      <c r="Y13" s="1184">
        <f t="shared" si="3"/>
        <v>0</v>
      </c>
      <c r="Z13" s="1184">
        <f t="shared" si="4"/>
        <v>0</v>
      </c>
      <c r="AA13" s="1184">
        <f t="shared" si="5"/>
        <v>0</v>
      </c>
      <c r="AB13" s="1184">
        <f t="shared" si="6"/>
        <v>0</v>
      </c>
      <c r="AC13" s="1184">
        <f t="shared" si="7"/>
        <v>0</v>
      </c>
      <c r="AD13" s="1184">
        <f t="shared" si="8"/>
        <v>0</v>
      </c>
      <c r="AE13" s="1184">
        <f t="shared" si="9"/>
        <v>0</v>
      </c>
      <c r="AF13" s="1184">
        <v>0</v>
      </c>
      <c r="AG13" s="1184">
        <v>0</v>
      </c>
      <c r="AH13" s="1184">
        <v>0</v>
      </c>
      <c r="AI13" s="1184">
        <v>0</v>
      </c>
      <c r="AJ13" s="1170">
        <f t="shared" si="10"/>
        <v>0</v>
      </c>
      <c r="AK13" s="1171">
        <f t="shared" si="11"/>
        <v>0</v>
      </c>
      <c r="AL13" s="1169">
        <f>AK13/(1+'Major Assumption Key'!$B$8)^($F13-'Major Assumption Key'!$B$7)</f>
        <v>0</v>
      </c>
      <c r="AM13" s="1155"/>
      <c r="AN13" s="1165">
        <f t="shared" si="12"/>
        <v>0</v>
      </c>
      <c r="AO13" s="1170">
        <f t="shared" si="13"/>
        <v>0</v>
      </c>
      <c r="AP13" s="1171">
        <f t="shared" si="14"/>
        <v>0</v>
      </c>
      <c r="AQ13" s="1169">
        <f t="shared" si="15"/>
        <v>0</v>
      </c>
      <c r="AX13" s="1013"/>
      <c r="BH13" s="1149"/>
    </row>
    <row r="14" spans="1:60">
      <c r="A14" s="1649" t="str">
        <f>'Major Assumption Key'!$A$3</f>
        <v>Project Open Year:</v>
      </c>
      <c r="B14" s="1135">
        <f>'Major Assumption Key'!$B$3</f>
        <v>2028</v>
      </c>
      <c r="C14" s="1173" t="s">
        <v>436</v>
      </c>
      <c r="D14" s="1650"/>
      <c r="E14" s="1173"/>
      <c r="F14" s="1181">
        <f>'Major Assumption Key'!A26</f>
        <v>2027</v>
      </c>
      <c r="G14" s="1251">
        <f>IFERROR(_xlfn.XLOOKUP(F14,'Pedestrian Demand'!A:A,'Pedestrian Demand'!B:B,,0)*$B$19,"N/A")</f>
        <v>69337.345530517749</v>
      </c>
      <c r="H14" s="1182">
        <v>0</v>
      </c>
      <c r="I14" s="1184">
        <v>0</v>
      </c>
      <c r="J14" s="1184">
        <v>0</v>
      </c>
      <c r="K14" s="1184">
        <v>0</v>
      </c>
      <c r="L14" s="1184">
        <v>0</v>
      </c>
      <c r="M14" s="1184">
        <v>0</v>
      </c>
      <c r="N14" s="1184">
        <v>0</v>
      </c>
      <c r="O14" s="1184">
        <v>0</v>
      </c>
      <c r="P14" s="1184">
        <v>0</v>
      </c>
      <c r="Q14" s="1184">
        <v>0</v>
      </c>
      <c r="R14" s="1184">
        <v>0</v>
      </c>
      <c r="S14" s="1184">
        <v>0</v>
      </c>
      <c r="T14" s="1184">
        <v>0</v>
      </c>
      <c r="U14" s="1165">
        <f t="shared" si="1"/>
        <v>0</v>
      </c>
      <c r="V14" s="1251">
        <f>IFERROR(_xlfn.XLOOKUP(F14,'Pedestrian Demand'!A:A,'Pedestrian Demand'!B:B,,0)*$B$19,"N/A")</f>
        <v>69337.345530517749</v>
      </c>
      <c r="W14" s="1251">
        <f>IF(F14&lt;$B$14,0,_xlfn.XLOOKUP(F14,'Pedestrian Demand'!A:A,'Pedestrian Demand'!$D:$D,,0)*$B$19)</f>
        <v>0</v>
      </c>
      <c r="X14" s="1184">
        <f t="shared" si="2"/>
        <v>0</v>
      </c>
      <c r="Y14" s="1184">
        <f t="shared" si="3"/>
        <v>0</v>
      </c>
      <c r="Z14" s="1184">
        <f t="shared" si="4"/>
        <v>0</v>
      </c>
      <c r="AA14" s="1184">
        <f t="shared" si="5"/>
        <v>0</v>
      </c>
      <c r="AB14" s="1184">
        <f t="shared" si="6"/>
        <v>0</v>
      </c>
      <c r="AC14" s="1184">
        <f t="shared" si="7"/>
        <v>0</v>
      </c>
      <c r="AD14" s="1184">
        <f t="shared" si="8"/>
        <v>0</v>
      </c>
      <c r="AE14" s="1184">
        <f t="shared" si="9"/>
        <v>0</v>
      </c>
      <c r="AF14" s="1184">
        <v>0</v>
      </c>
      <c r="AG14" s="1184">
        <v>0</v>
      </c>
      <c r="AH14" s="1184">
        <v>0</v>
      </c>
      <c r="AI14" s="1184">
        <v>0</v>
      </c>
      <c r="AJ14" s="1170">
        <f t="shared" si="10"/>
        <v>0</v>
      </c>
      <c r="AK14" s="1171">
        <f t="shared" si="11"/>
        <v>0</v>
      </c>
      <c r="AL14" s="1169">
        <f>AK14/(1+'Major Assumption Key'!$B$8)^($F14-'Major Assumption Key'!$B$7)</f>
        <v>0</v>
      </c>
      <c r="AM14" s="1155"/>
      <c r="AN14" s="1165">
        <f t="shared" si="12"/>
        <v>0</v>
      </c>
      <c r="AO14" s="1170">
        <f t="shared" si="13"/>
        <v>0</v>
      </c>
      <c r="AP14" s="1171">
        <f t="shared" si="14"/>
        <v>0</v>
      </c>
      <c r="AQ14" s="1169">
        <f t="shared" si="15"/>
        <v>0</v>
      </c>
      <c r="AX14" s="1013"/>
      <c r="BH14" s="1149"/>
    </row>
    <row r="15" spans="1:60">
      <c r="A15" s="1649" t="str">
        <f>'Major Assumption Key'!$A$4</f>
        <v>Planning Horizon Begin Year:</v>
      </c>
      <c r="B15" s="1135">
        <f>'Major Assumption Key'!$B$4</f>
        <v>2022</v>
      </c>
      <c r="C15" s="1173" t="s">
        <v>436</v>
      </c>
      <c r="D15" s="1257"/>
      <c r="E15" s="1173"/>
      <c r="F15" s="1181">
        <f>'Major Assumption Key'!A27</f>
        <v>2028</v>
      </c>
      <c r="G15" s="1251">
        <f>IFERROR(_xlfn.XLOOKUP(F15,'Pedestrian Demand'!A:A,'Pedestrian Demand'!B:B,,0)*$B$19,"N/A")</f>
        <v>70359.281277228598</v>
      </c>
      <c r="H15" s="1182">
        <v>0</v>
      </c>
      <c r="I15" s="1184">
        <v>0</v>
      </c>
      <c r="J15" s="1184">
        <v>0</v>
      </c>
      <c r="K15" s="1184">
        <v>0</v>
      </c>
      <c r="L15" s="1184">
        <v>0</v>
      </c>
      <c r="M15" s="1184">
        <v>0</v>
      </c>
      <c r="N15" s="1184">
        <v>0</v>
      </c>
      <c r="O15" s="1184">
        <v>0</v>
      </c>
      <c r="P15" s="1184">
        <v>0</v>
      </c>
      <c r="Q15" s="1184">
        <v>0</v>
      </c>
      <c r="R15" s="1184">
        <v>0</v>
      </c>
      <c r="S15" s="1184">
        <v>0</v>
      </c>
      <c r="T15" s="1184">
        <v>0</v>
      </c>
      <c r="U15" s="1165">
        <f t="shared" si="1"/>
        <v>0</v>
      </c>
      <c r="V15" s="1251">
        <f>IFERROR(_xlfn.XLOOKUP(F15,'Pedestrian Demand'!A:A,'Pedestrian Demand'!B:B,,0)*$B$19,"N/A")</f>
        <v>70359.281277228598</v>
      </c>
      <c r="W15" s="1251">
        <f>IF(F15&lt;$B$14,0,_xlfn.XLOOKUP(F15,'Pedestrian Demand'!A:A,'Pedestrian Demand'!$D:$D,,0)*$B$19)</f>
        <v>1058.6550771464772</v>
      </c>
      <c r="X15" s="1184">
        <f t="shared" si="2"/>
        <v>29719.76041150136</v>
      </c>
      <c r="Y15" s="1184">
        <f t="shared" si="3"/>
        <v>223.58795229333597</v>
      </c>
      <c r="Z15" s="1184">
        <f t="shared" si="4"/>
        <v>0</v>
      </c>
      <c r="AA15" s="1184">
        <f t="shared" si="5"/>
        <v>0</v>
      </c>
      <c r="AB15" s="1184">
        <f t="shared" si="6"/>
        <v>0</v>
      </c>
      <c r="AC15" s="1184">
        <f t="shared" si="7"/>
        <v>0</v>
      </c>
      <c r="AD15" s="1184">
        <f t="shared" si="8"/>
        <v>0</v>
      </c>
      <c r="AE15" s="1184">
        <f t="shared" si="9"/>
        <v>0</v>
      </c>
      <c r="AF15" s="1184">
        <v>0</v>
      </c>
      <c r="AG15" s="1184">
        <v>0</v>
      </c>
      <c r="AH15" s="1184">
        <v>0</v>
      </c>
      <c r="AI15" s="1184">
        <v>0</v>
      </c>
      <c r="AJ15" s="1170">
        <f t="shared" si="10"/>
        <v>29943.348363794696</v>
      </c>
      <c r="AK15" s="1171">
        <f t="shared" si="11"/>
        <v>29943.348363794696</v>
      </c>
      <c r="AL15" s="1169">
        <f>AK15/(1+'Major Assumption Key'!$B$8)^($F15-'Major Assumption Key'!$B$7)</f>
        <v>24931.497859140596</v>
      </c>
      <c r="AM15" s="1155"/>
      <c r="AN15" s="1165">
        <f t="shared" si="12"/>
        <v>0</v>
      </c>
      <c r="AO15" s="1170">
        <f t="shared" si="13"/>
        <v>30000</v>
      </c>
      <c r="AP15" s="1171">
        <f t="shared" si="14"/>
        <v>30000</v>
      </c>
      <c r="AQ15" s="1169">
        <f t="shared" si="15"/>
        <v>25000</v>
      </c>
      <c r="AX15" s="1013"/>
      <c r="BH15" s="1149"/>
    </row>
    <row r="16" spans="1:60">
      <c r="A16" s="1649" t="str">
        <f>'Major Assumption Key'!$A$6</f>
        <v>Planning Horizon End Year:</v>
      </c>
      <c r="B16" s="1135">
        <f>'Major Assumption Key'!$B$6</f>
        <v>2047</v>
      </c>
      <c r="C16" s="1173" t="s">
        <v>436</v>
      </c>
      <c r="D16" s="1257"/>
      <c r="E16" s="1173"/>
      <c r="F16" s="1181">
        <f>'Major Assumption Key'!A28</f>
        <v>2029</v>
      </c>
      <c r="G16" s="1251">
        <f>IFERROR(_xlfn.XLOOKUP(F16,'Pedestrian Demand'!A:A,'Pedestrian Demand'!B:B,,0)*$B$19,"N/A")</f>
        <v>71396.278931233624</v>
      </c>
      <c r="H16" s="1182">
        <v>0</v>
      </c>
      <c r="I16" s="1184">
        <v>0</v>
      </c>
      <c r="J16" s="1184">
        <v>0</v>
      </c>
      <c r="K16" s="1184">
        <v>0</v>
      </c>
      <c r="L16" s="1184">
        <v>0</v>
      </c>
      <c r="M16" s="1184">
        <v>0</v>
      </c>
      <c r="N16" s="1184">
        <v>0</v>
      </c>
      <c r="O16" s="1184">
        <v>0</v>
      </c>
      <c r="P16" s="1184">
        <v>0</v>
      </c>
      <c r="Q16" s="1184">
        <v>0</v>
      </c>
      <c r="R16" s="1184">
        <v>0</v>
      </c>
      <c r="S16" s="1184">
        <v>0</v>
      </c>
      <c r="T16" s="1184">
        <v>0</v>
      </c>
      <c r="U16" s="1165">
        <f t="shared" si="1"/>
        <v>0</v>
      </c>
      <c r="V16" s="1251">
        <f>IFERROR(_xlfn.XLOOKUP(F16,'Pedestrian Demand'!A:A,'Pedestrian Demand'!B:B,,0)*$B$19,"N/A")</f>
        <v>71396.278931233624</v>
      </c>
      <c r="W16" s="1251">
        <f>IF(F16&lt;$B$14,0,_xlfn.XLOOKUP(F16,'Pedestrian Demand'!A:A,'Pedestrian Demand'!$D:$D,,0)*$B$19)</f>
        <v>1059.9112028385268</v>
      </c>
      <c r="X16" s="1184">
        <f t="shared" si="2"/>
        <v>30157.788220553084</v>
      </c>
      <c r="Y16" s="1184">
        <f t="shared" si="3"/>
        <v>223.85324603949687</v>
      </c>
      <c r="Z16" s="1184">
        <f t="shared" si="4"/>
        <v>0</v>
      </c>
      <c r="AA16" s="1184">
        <f t="shared" si="5"/>
        <v>0</v>
      </c>
      <c r="AB16" s="1184">
        <f t="shared" si="6"/>
        <v>0</v>
      </c>
      <c r="AC16" s="1184">
        <f t="shared" si="7"/>
        <v>0</v>
      </c>
      <c r="AD16" s="1184">
        <f t="shared" si="8"/>
        <v>0</v>
      </c>
      <c r="AE16" s="1184">
        <f t="shared" si="9"/>
        <v>0</v>
      </c>
      <c r="AF16" s="1184">
        <v>0</v>
      </c>
      <c r="AG16" s="1184">
        <v>0</v>
      </c>
      <c r="AH16" s="1184">
        <v>0</v>
      </c>
      <c r="AI16" s="1184">
        <v>0</v>
      </c>
      <c r="AJ16" s="1170">
        <f t="shared" si="10"/>
        <v>30381.64146659258</v>
      </c>
      <c r="AK16" s="1171">
        <f t="shared" si="11"/>
        <v>30381.64146659258</v>
      </c>
      <c r="AL16" s="1169">
        <f>AK16/(1+'Major Assumption Key'!$B$8)^($F16-'Major Assumption Key'!$B$7)</f>
        <v>24535.820024455392</v>
      </c>
      <c r="AM16" s="1155"/>
      <c r="AN16" s="1165">
        <f t="shared" si="12"/>
        <v>0</v>
      </c>
      <c r="AO16" s="1170">
        <f t="shared" si="13"/>
        <v>30000</v>
      </c>
      <c r="AP16" s="1171">
        <f t="shared" si="14"/>
        <v>30000</v>
      </c>
      <c r="AQ16" s="1169">
        <f t="shared" si="15"/>
        <v>25000</v>
      </c>
      <c r="AX16" s="1013"/>
      <c r="BH16" s="1149"/>
    </row>
    <row r="17" spans="1:60">
      <c r="A17" s="1247" t="s">
        <v>1128</v>
      </c>
      <c r="B17" s="1458">
        <f>_xlfn.XLOOKUP(B14,'Pedestrian Demand'!A:A,'Pedestrian Demand'!B:B,,0)</f>
        <v>192.76515418418794</v>
      </c>
      <c r="C17" s="1195" t="s">
        <v>1129</v>
      </c>
      <c r="D17" s="1250"/>
      <c r="E17" s="1173"/>
      <c r="F17" s="1181">
        <f>'Major Assumption Key'!A29</f>
        <v>2030</v>
      </c>
      <c r="G17" s="1251">
        <f>IFERROR(_xlfn.XLOOKUP(F17,'Pedestrian Demand'!A:A,'Pedestrian Demand'!B:B,,0)*$B$19,"N/A")</f>
        <v>72448.560484034824</v>
      </c>
      <c r="H17" s="1182">
        <v>0</v>
      </c>
      <c r="I17" s="1184">
        <v>0</v>
      </c>
      <c r="J17" s="1184">
        <v>0</v>
      </c>
      <c r="K17" s="1184">
        <v>0</v>
      </c>
      <c r="L17" s="1184">
        <v>0</v>
      </c>
      <c r="M17" s="1184">
        <v>0</v>
      </c>
      <c r="N17" s="1184">
        <v>0</v>
      </c>
      <c r="O17" s="1184">
        <v>0</v>
      </c>
      <c r="P17" s="1184">
        <v>0</v>
      </c>
      <c r="Q17" s="1184">
        <v>0</v>
      </c>
      <c r="R17" s="1184">
        <v>0</v>
      </c>
      <c r="S17" s="1184">
        <v>0</v>
      </c>
      <c r="T17" s="1184">
        <v>0</v>
      </c>
      <c r="U17" s="1165">
        <f t="shared" si="1"/>
        <v>0</v>
      </c>
      <c r="V17" s="1251">
        <f>IFERROR(_xlfn.XLOOKUP(F17,'Pedestrian Demand'!A:A,'Pedestrian Demand'!B:B,,0)*$B$19,"N/A")</f>
        <v>72448.560484034824</v>
      </c>
      <c r="W17" s="1251">
        <f>IF(F17&lt;$B$14,0,_xlfn.XLOOKUP(F17,'Pedestrian Demand'!A:A,'Pedestrian Demand'!$D:$D,,0)*$B$19)</f>
        <v>1061.1688189610184</v>
      </c>
      <c r="X17" s="1184">
        <f t="shared" si="2"/>
        <v>30602.271948456309</v>
      </c>
      <c r="Y17" s="1184">
        <f t="shared" si="3"/>
        <v>224.11885456456707</v>
      </c>
      <c r="Z17" s="1184">
        <f t="shared" si="4"/>
        <v>0</v>
      </c>
      <c r="AA17" s="1184">
        <f t="shared" si="5"/>
        <v>0</v>
      </c>
      <c r="AB17" s="1184">
        <f t="shared" si="6"/>
        <v>0</v>
      </c>
      <c r="AC17" s="1184">
        <f t="shared" si="7"/>
        <v>0</v>
      </c>
      <c r="AD17" s="1184">
        <f t="shared" si="8"/>
        <v>0</v>
      </c>
      <c r="AE17" s="1184">
        <f t="shared" si="9"/>
        <v>0</v>
      </c>
      <c r="AF17" s="1184">
        <v>0</v>
      </c>
      <c r="AG17" s="1184">
        <v>0</v>
      </c>
      <c r="AH17" s="1184">
        <v>0</v>
      </c>
      <c r="AI17" s="1184">
        <v>0</v>
      </c>
      <c r="AJ17" s="1170">
        <f t="shared" si="10"/>
        <v>30826.390803020877</v>
      </c>
      <c r="AK17" s="1171">
        <f t="shared" si="11"/>
        <v>30826.390803020877</v>
      </c>
      <c r="AL17" s="1169">
        <f>AK17/(1+'Major Assumption Key'!$B$8)^($F17-'Major Assumption Key'!$B$7)</f>
        <v>24146.45375983608</v>
      </c>
      <c r="AM17" s="1155"/>
      <c r="AN17" s="1165">
        <f t="shared" si="12"/>
        <v>0</v>
      </c>
      <c r="AO17" s="1170">
        <f t="shared" si="13"/>
        <v>31000</v>
      </c>
      <c r="AP17" s="1171">
        <f t="shared" si="14"/>
        <v>31000</v>
      </c>
      <c r="AQ17" s="1169">
        <f t="shared" si="15"/>
        <v>24000</v>
      </c>
      <c r="AX17" s="1013"/>
      <c r="BH17" s="1149"/>
    </row>
    <row r="18" spans="1:60">
      <c r="A18" s="1247" t="s">
        <v>1130</v>
      </c>
      <c r="B18" s="1458">
        <f>_xlfn.XLOOKUP(B14,'Pedestrian Demand'!A:A,'Pedestrian Demand'!$D:$D,,0)</f>
        <v>2.9004248688944578</v>
      </c>
      <c r="C18" s="1195" t="s">
        <v>1129</v>
      </c>
      <c r="D18" s="1250"/>
      <c r="E18" s="1173"/>
      <c r="F18" s="1181">
        <f>'Major Assumption Key'!A30</f>
        <v>2031</v>
      </c>
      <c r="G18" s="1251">
        <f>IFERROR(_xlfn.XLOOKUP(F18,'Pedestrian Demand'!A:A,'Pedestrian Demand'!B:B,,0)*$B$19,"N/A")</f>
        <v>73516.351198979231</v>
      </c>
      <c r="H18" s="1182">
        <v>0</v>
      </c>
      <c r="I18" s="1184">
        <v>0</v>
      </c>
      <c r="J18" s="1184">
        <v>0</v>
      </c>
      <c r="K18" s="1184">
        <v>0</v>
      </c>
      <c r="L18" s="1184">
        <v>0</v>
      </c>
      <c r="M18" s="1184">
        <v>0</v>
      </c>
      <c r="N18" s="1184">
        <v>0</v>
      </c>
      <c r="O18" s="1184">
        <v>0</v>
      </c>
      <c r="P18" s="1184">
        <v>0</v>
      </c>
      <c r="Q18" s="1184">
        <v>0</v>
      </c>
      <c r="R18" s="1184">
        <v>0</v>
      </c>
      <c r="S18" s="1184">
        <v>0</v>
      </c>
      <c r="T18" s="1184">
        <v>0</v>
      </c>
      <c r="U18" s="1165">
        <f t="shared" si="1"/>
        <v>0</v>
      </c>
      <c r="V18" s="1251">
        <f>IFERROR(_xlfn.XLOOKUP(F18,'Pedestrian Demand'!A:A,'Pedestrian Demand'!B:B,,0)*$B$19,"N/A")</f>
        <v>73516.351198979231</v>
      </c>
      <c r="W18" s="1251">
        <f>IF(F18&lt;$B$14,0,_xlfn.XLOOKUP(F18,'Pedestrian Demand'!A:A,'Pedestrian Demand'!$D:$D,,0)*$B$19)</f>
        <v>1062.4279272823917</v>
      </c>
      <c r="X18" s="1184">
        <f t="shared" si="2"/>
        <v>31053.306746448827</v>
      </c>
      <c r="Y18" s="1184">
        <f t="shared" si="3"/>
        <v>224.38477824204114</v>
      </c>
      <c r="Z18" s="1184">
        <f t="shared" si="4"/>
        <v>0</v>
      </c>
      <c r="AA18" s="1184">
        <f t="shared" si="5"/>
        <v>0</v>
      </c>
      <c r="AB18" s="1184">
        <f t="shared" si="6"/>
        <v>0</v>
      </c>
      <c r="AC18" s="1184">
        <f t="shared" si="7"/>
        <v>0</v>
      </c>
      <c r="AD18" s="1184">
        <f t="shared" si="8"/>
        <v>0</v>
      </c>
      <c r="AE18" s="1184">
        <f t="shared" si="9"/>
        <v>0</v>
      </c>
      <c r="AF18" s="1184">
        <v>0</v>
      </c>
      <c r="AG18" s="1184">
        <v>0</v>
      </c>
      <c r="AH18" s="1184">
        <v>0</v>
      </c>
      <c r="AI18" s="1184">
        <v>0</v>
      </c>
      <c r="AJ18" s="1170">
        <f t="shared" si="10"/>
        <v>31277.691524690868</v>
      </c>
      <c r="AK18" s="1171">
        <f t="shared" si="11"/>
        <v>31277.691524690868</v>
      </c>
      <c r="AL18" s="1169">
        <f>AK18/(1+'Major Assumption Key'!$B$8)^($F18-'Major Assumption Key'!$B$7)</f>
        <v>23763.297470150068</v>
      </c>
      <c r="AM18" s="1155"/>
      <c r="AN18" s="1165">
        <f t="shared" si="12"/>
        <v>0</v>
      </c>
      <c r="AO18" s="1170">
        <f t="shared" si="13"/>
        <v>31000</v>
      </c>
      <c r="AP18" s="1171">
        <f t="shared" si="14"/>
        <v>31000</v>
      </c>
      <c r="AQ18" s="1169">
        <f t="shared" si="15"/>
        <v>24000</v>
      </c>
      <c r="AX18" s="1013"/>
      <c r="BH18" s="1149"/>
    </row>
    <row r="19" spans="1:60">
      <c r="A19" s="1651" t="s">
        <v>1131</v>
      </c>
      <c r="B19" s="1652">
        <v>365</v>
      </c>
      <c r="C19" s="1653" t="s">
        <v>638</v>
      </c>
      <c r="D19" s="1250"/>
      <c r="E19" s="1173"/>
      <c r="F19" s="1181">
        <f>'Major Assumption Key'!A31</f>
        <v>2032</v>
      </c>
      <c r="G19" s="1251">
        <f>IFERROR(_xlfn.XLOOKUP(F19,'Pedestrian Demand'!A:A,'Pedestrian Demand'!B:B,,0)*$B$19,"N/A")</f>
        <v>74599.879659481347</v>
      </c>
      <c r="H19" s="1182">
        <v>0</v>
      </c>
      <c r="I19" s="1184">
        <v>0</v>
      </c>
      <c r="J19" s="1184">
        <v>0</v>
      </c>
      <c r="K19" s="1184">
        <v>0</v>
      </c>
      <c r="L19" s="1184">
        <v>0</v>
      </c>
      <c r="M19" s="1184">
        <v>0</v>
      </c>
      <c r="N19" s="1184">
        <v>0</v>
      </c>
      <c r="O19" s="1184">
        <v>0</v>
      </c>
      <c r="P19" s="1184">
        <v>0</v>
      </c>
      <c r="Q19" s="1184">
        <v>0</v>
      </c>
      <c r="R19" s="1184">
        <v>0</v>
      </c>
      <c r="S19" s="1184">
        <v>0</v>
      </c>
      <c r="T19" s="1184">
        <v>0</v>
      </c>
      <c r="U19" s="1165">
        <f t="shared" si="1"/>
        <v>0</v>
      </c>
      <c r="V19" s="1251">
        <f>IFERROR(_xlfn.XLOOKUP(F19,'Pedestrian Demand'!A:A,'Pedestrian Demand'!B:B,,0)*$B$19,"N/A")</f>
        <v>74599.879659481347</v>
      </c>
      <c r="W19" s="1251">
        <f>IF(F19&lt;$B$14,0,_xlfn.XLOOKUP(F19,'Pedestrian Demand'!A:A,'Pedestrian Demand'!$D:$D,,0)*$B$19)</f>
        <v>1063.688529573185</v>
      </c>
      <c r="X19" s="1184">
        <f t="shared" si="2"/>
        <v>31510.989168164921</v>
      </c>
      <c r="Y19" s="1184">
        <f t="shared" si="3"/>
        <v>224.65101744585667</v>
      </c>
      <c r="Z19" s="1184">
        <f t="shared" si="4"/>
        <v>0</v>
      </c>
      <c r="AA19" s="1184">
        <f t="shared" si="5"/>
        <v>0</v>
      </c>
      <c r="AB19" s="1184">
        <f t="shared" si="6"/>
        <v>0</v>
      </c>
      <c r="AC19" s="1184">
        <f t="shared" si="7"/>
        <v>0</v>
      </c>
      <c r="AD19" s="1184">
        <f t="shared" si="8"/>
        <v>0</v>
      </c>
      <c r="AE19" s="1184">
        <f t="shared" si="9"/>
        <v>0</v>
      </c>
      <c r="AF19" s="1184">
        <v>0</v>
      </c>
      <c r="AG19" s="1184">
        <v>0</v>
      </c>
      <c r="AH19" s="1184">
        <v>0</v>
      </c>
      <c r="AI19" s="1184">
        <v>0</v>
      </c>
      <c r="AJ19" s="1170">
        <f t="shared" si="10"/>
        <v>31735.640185610777</v>
      </c>
      <c r="AK19" s="1171">
        <f t="shared" si="11"/>
        <v>31735.640185610777</v>
      </c>
      <c r="AL19" s="1169">
        <f>AK19/(1+'Major Assumption Key'!$B$8)^($F19-'Major Assumption Key'!$B$7)</f>
        <v>23386.251221839262</v>
      </c>
      <c r="AM19" s="1155"/>
      <c r="AN19" s="1165">
        <f t="shared" si="12"/>
        <v>0</v>
      </c>
      <c r="AO19" s="1170">
        <f t="shared" si="13"/>
        <v>32000</v>
      </c>
      <c r="AP19" s="1171">
        <f t="shared" si="14"/>
        <v>32000</v>
      </c>
      <c r="AQ19" s="1169">
        <f t="shared" si="15"/>
        <v>23000</v>
      </c>
      <c r="AX19" s="1013"/>
      <c r="BH19" s="1149"/>
    </row>
    <row r="20" spans="1:60">
      <c r="A20" s="1247" t="s">
        <v>1132</v>
      </c>
      <c r="B20" s="1248">
        <f>'BCA Guide - Parameter Values'!E231</f>
        <v>0.86</v>
      </c>
      <c r="C20" s="1195" t="s">
        <v>211</v>
      </c>
      <c r="D20" s="1250"/>
      <c r="E20" s="1173"/>
      <c r="F20" s="1181">
        <f>'Major Assumption Key'!A32</f>
        <v>2033</v>
      </c>
      <c r="G20" s="1251">
        <f>IFERROR(_xlfn.XLOOKUP(F20,'Pedestrian Demand'!A:A,'Pedestrian Demand'!B:B,,0)*$B$19,"N/A")</f>
        <v>75699.377817956381</v>
      </c>
      <c r="H20" s="1182">
        <v>0</v>
      </c>
      <c r="I20" s="1184">
        <v>0</v>
      </c>
      <c r="J20" s="1184">
        <v>0</v>
      </c>
      <c r="K20" s="1184">
        <v>0</v>
      </c>
      <c r="L20" s="1184">
        <v>0</v>
      </c>
      <c r="M20" s="1184">
        <v>0</v>
      </c>
      <c r="N20" s="1184">
        <v>0</v>
      </c>
      <c r="O20" s="1184">
        <v>0</v>
      </c>
      <c r="P20" s="1184">
        <v>0</v>
      </c>
      <c r="Q20" s="1184">
        <v>0</v>
      </c>
      <c r="R20" s="1184">
        <v>0</v>
      </c>
      <c r="S20" s="1184">
        <v>0</v>
      </c>
      <c r="T20" s="1184">
        <v>0</v>
      </c>
      <c r="U20" s="1165">
        <f t="shared" si="1"/>
        <v>0</v>
      </c>
      <c r="V20" s="1251">
        <f>IFERROR(_xlfn.XLOOKUP(F20,'Pedestrian Demand'!A:A,'Pedestrian Demand'!B:B,,0)*$B$19,"N/A")</f>
        <v>75699.377817956381</v>
      </c>
      <c r="W20" s="1251">
        <f>IF(F20&lt;$B$14,0,_xlfn.XLOOKUP(F20,'Pedestrian Demand'!A:A,'Pedestrian Demand'!$D:$D,,0)*$B$19)</f>
        <v>1064.9506276060372</v>
      </c>
      <c r="X20" s="1184">
        <f t="shared" si="2"/>
        <v>31975.417190304775</v>
      </c>
      <c r="Y20" s="1184">
        <f t="shared" si="3"/>
        <v>224.91757255039505</v>
      </c>
      <c r="Z20" s="1184">
        <f t="shared" si="4"/>
        <v>0</v>
      </c>
      <c r="AA20" s="1184">
        <f t="shared" si="5"/>
        <v>0</v>
      </c>
      <c r="AB20" s="1184">
        <f t="shared" si="6"/>
        <v>0</v>
      </c>
      <c r="AC20" s="1184">
        <f t="shared" si="7"/>
        <v>0</v>
      </c>
      <c r="AD20" s="1184">
        <f t="shared" si="8"/>
        <v>0</v>
      </c>
      <c r="AE20" s="1184">
        <f t="shared" si="9"/>
        <v>0</v>
      </c>
      <c r="AF20" s="1184">
        <v>0</v>
      </c>
      <c r="AG20" s="1184">
        <v>0</v>
      </c>
      <c r="AH20" s="1184">
        <v>0</v>
      </c>
      <c r="AI20" s="1184">
        <v>0</v>
      </c>
      <c r="AJ20" s="1170">
        <f t="shared" si="10"/>
        <v>32200.334762855171</v>
      </c>
      <c r="AK20" s="1171">
        <f t="shared" si="11"/>
        <v>32200.334762855171</v>
      </c>
      <c r="AL20" s="1169">
        <f>AK20/(1+'Major Assumption Key'!$B$8)^($F20-'Major Assumption Key'!$B$7)</f>
        <v>23015.216715002025</v>
      </c>
      <c r="AM20" s="1155"/>
      <c r="AN20" s="1165">
        <f t="shared" si="12"/>
        <v>0</v>
      </c>
      <c r="AO20" s="1170">
        <f t="shared" si="13"/>
        <v>32000</v>
      </c>
      <c r="AP20" s="1171">
        <f t="shared" si="14"/>
        <v>32000</v>
      </c>
      <c r="AQ20" s="1169">
        <f t="shared" si="15"/>
        <v>23000</v>
      </c>
      <c r="AX20" s="1013"/>
      <c r="BH20" s="1149"/>
    </row>
    <row r="21" spans="1:60" ht="15" thickBot="1">
      <c r="A21" s="1247" t="s">
        <v>1133</v>
      </c>
      <c r="B21" s="1248">
        <f>'Major Assumption Key'!B13</f>
        <v>0.48</v>
      </c>
      <c r="C21" s="1249" t="s">
        <v>1134</v>
      </c>
      <c r="D21" s="1250"/>
      <c r="E21" s="1173"/>
      <c r="F21" s="1181">
        <f>'Major Assumption Key'!A33</f>
        <v>2034</v>
      </c>
      <c r="G21" s="1251">
        <f>IFERROR(_xlfn.XLOOKUP(F21,'Pedestrian Demand'!A:A,'Pedestrian Demand'!B:B,,0)*$B$19,"N/A")</f>
        <v>76815.081045474537</v>
      </c>
      <c r="H21" s="1182">
        <v>0</v>
      </c>
      <c r="I21" s="1184">
        <v>0</v>
      </c>
      <c r="J21" s="1184">
        <v>0</v>
      </c>
      <c r="K21" s="1184">
        <v>0</v>
      </c>
      <c r="L21" s="1184">
        <v>0</v>
      </c>
      <c r="M21" s="1184">
        <v>0</v>
      </c>
      <c r="N21" s="1184">
        <v>0</v>
      </c>
      <c r="O21" s="1184">
        <v>0</v>
      </c>
      <c r="P21" s="1184">
        <v>0</v>
      </c>
      <c r="Q21" s="1184">
        <v>0</v>
      </c>
      <c r="R21" s="1184">
        <v>0</v>
      </c>
      <c r="S21" s="1184">
        <v>0</v>
      </c>
      <c r="T21" s="1184">
        <v>0</v>
      </c>
      <c r="U21" s="1165">
        <f t="shared" si="1"/>
        <v>0</v>
      </c>
      <c r="V21" s="1251">
        <f>IFERROR(_xlfn.XLOOKUP(F21,'Pedestrian Demand'!A:A,'Pedestrian Demand'!B:B,,0)*$B$19,"N/A")</f>
        <v>76815.081045474537</v>
      </c>
      <c r="W21" s="1251">
        <f>IF(F21&lt;$B$14,0,_xlfn.XLOOKUP(F21,'Pedestrian Demand'!A:A,'Pedestrian Demand'!$D:$D,,0)*$B$19)</f>
        <v>1066.2142231556909</v>
      </c>
      <c r="X21" s="1184">
        <f t="shared" si="2"/>
        <v>32446.690233608446</v>
      </c>
      <c r="Y21" s="1184">
        <f t="shared" si="3"/>
        <v>225.1844439304819</v>
      </c>
      <c r="Z21" s="1184">
        <f t="shared" si="4"/>
        <v>0</v>
      </c>
      <c r="AA21" s="1184">
        <f t="shared" si="5"/>
        <v>0</v>
      </c>
      <c r="AB21" s="1184">
        <f t="shared" si="6"/>
        <v>0</v>
      </c>
      <c r="AC21" s="1184">
        <f t="shared" si="7"/>
        <v>0</v>
      </c>
      <c r="AD21" s="1184">
        <f t="shared" si="8"/>
        <v>0</v>
      </c>
      <c r="AE21" s="1184">
        <f t="shared" si="9"/>
        <v>0</v>
      </c>
      <c r="AF21" s="1184">
        <v>0</v>
      </c>
      <c r="AG21" s="1184">
        <v>0</v>
      </c>
      <c r="AH21" s="1184">
        <v>0</v>
      </c>
      <c r="AI21" s="1184">
        <v>0</v>
      </c>
      <c r="AJ21" s="1170">
        <f t="shared" si="10"/>
        <v>32671.874677538926</v>
      </c>
      <c r="AK21" s="1171">
        <f t="shared" si="11"/>
        <v>32671.874677538926</v>
      </c>
      <c r="AL21" s="1169">
        <f>AK21/(1+'Major Assumption Key'!$B$8)^($F21-'Major Assumption Key'!$B$7)</f>
        <v>22650.097255964778</v>
      </c>
      <c r="AM21" s="1155"/>
      <c r="AN21" s="1165">
        <f t="shared" si="12"/>
        <v>0</v>
      </c>
      <c r="AO21" s="1170">
        <f t="shared" si="13"/>
        <v>33000</v>
      </c>
      <c r="AP21" s="1171">
        <f t="shared" si="14"/>
        <v>33000</v>
      </c>
      <c r="AQ21" s="1169">
        <f t="shared" si="15"/>
        <v>23000</v>
      </c>
      <c r="AX21" s="1013"/>
      <c r="BH21" s="1149"/>
    </row>
    <row r="22" spans="1:60">
      <c r="A22" s="1654" t="s">
        <v>1135</v>
      </c>
      <c r="B22" s="1655"/>
      <c r="C22" s="1656"/>
      <c r="D22" s="1657"/>
      <c r="E22" s="1173"/>
      <c r="F22" s="1181">
        <f>'Major Assumption Key'!A34</f>
        <v>2035</v>
      </c>
      <c r="G22" s="1251">
        <f>IFERROR(_xlfn.XLOOKUP(F22,'Pedestrian Demand'!A:A,'Pedestrian Demand'!B:B,,0)*$B$19,"N/A")</f>
        <v>77947.228182147242</v>
      </c>
      <c r="H22" s="1182">
        <v>0</v>
      </c>
      <c r="I22" s="1184">
        <v>0</v>
      </c>
      <c r="J22" s="1184">
        <v>0</v>
      </c>
      <c r="K22" s="1184">
        <v>0</v>
      </c>
      <c r="L22" s="1184">
        <v>0</v>
      </c>
      <c r="M22" s="1184">
        <v>0</v>
      </c>
      <c r="N22" s="1184">
        <v>0</v>
      </c>
      <c r="O22" s="1184">
        <v>0</v>
      </c>
      <c r="P22" s="1184">
        <v>0</v>
      </c>
      <c r="Q22" s="1184">
        <v>0</v>
      </c>
      <c r="R22" s="1184">
        <v>0</v>
      </c>
      <c r="S22" s="1184">
        <v>0</v>
      </c>
      <c r="T22" s="1184">
        <v>0</v>
      </c>
      <c r="U22" s="1165">
        <f t="shared" si="1"/>
        <v>0</v>
      </c>
      <c r="V22" s="1251">
        <f>IFERROR(_xlfn.XLOOKUP(F22,'Pedestrian Demand'!A:A,'Pedestrian Demand'!B:B,,0)*$B$19,"N/A")</f>
        <v>77947.228182147242</v>
      </c>
      <c r="W22" s="1251">
        <f>IF(F22&lt;$B$14,0,_xlfn.XLOOKUP(F22,'Pedestrian Demand'!A:A,'Pedestrian Demand'!$D:$D,,0)*$B$19)</f>
        <v>1067.4793179989942</v>
      </c>
      <c r="X22" s="1184">
        <f t="shared" si="2"/>
        <v>32924.909184138996</v>
      </c>
      <c r="Y22" s="1184">
        <f t="shared" si="3"/>
        <v>225.45163196138759</v>
      </c>
      <c r="Z22" s="1184">
        <f t="shared" si="4"/>
        <v>0</v>
      </c>
      <c r="AA22" s="1184">
        <f t="shared" si="5"/>
        <v>0</v>
      </c>
      <c r="AB22" s="1184">
        <f t="shared" si="6"/>
        <v>0</v>
      </c>
      <c r="AC22" s="1184">
        <f t="shared" si="7"/>
        <v>0</v>
      </c>
      <c r="AD22" s="1184">
        <f t="shared" si="8"/>
        <v>0</v>
      </c>
      <c r="AE22" s="1184">
        <f t="shared" si="9"/>
        <v>0</v>
      </c>
      <c r="AF22" s="1184">
        <v>0</v>
      </c>
      <c r="AG22" s="1184">
        <v>0</v>
      </c>
      <c r="AH22" s="1184">
        <v>0</v>
      </c>
      <c r="AI22" s="1184">
        <v>0</v>
      </c>
      <c r="AJ22" s="1170">
        <f t="shared" si="10"/>
        <v>33150.360816100387</v>
      </c>
      <c r="AK22" s="1171">
        <f t="shared" si="11"/>
        <v>33150.360816100387</v>
      </c>
      <c r="AL22" s="1169">
        <f>AK22/(1+'Major Assumption Key'!$B$8)^($F22-'Major Assumption Key'!$B$7)</f>
        <v>22290.797730334387</v>
      </c>
      <c r="AM22" s="1155"/>
      <c r="AN22" s="1165">
        <f t="shared" si="12"/>
        <v>0</v>
      </c>
      <c r="AO22" s="1170">
        <f t="shared" si="13"/>
        <v>33000</v>
      </c>
      <c r="AP22" s="1171">
        <f t="shared" si="14"/>
        <v>33000</v>
      </c>
      <c r="AQ22" s="1169">
        <f t="shared" si="15"/>
        <v>22000</v>
      </c>
      <c r="AX22" s="1013"/>
      <c r="BH22" s="1149"/>
    </row>
    <row r="23" spans="1:60">
      <c r="A23" s="1252" t="s">
        <v>1136</v>
      </c>
      <c r="B23" s="1253">
        <v>8</v>
      </c>
      <c r="C23" s="1420" t="s">
        <v>1134</v>
      </c>
      <c r="D23" s="1257"/>
      <c r="E23" s="1173"/>
      <c r="F23" s="1181">
        <f>'Major Assumption Key'!A35</f>
        <v>2036</v>
      </c>
      <c r="G23" s="1251">
        <f>IFERROR(_xlfn.XLOOKUP(F23,'Pedestrian Demand'!A:A,'Pedestrian Demand'!B:B,,0)*$B$19,"N/A")</f>
        <v>79096.06158825598</v>
      </c>
      <c r="H23" s="1182">
        <v>0</v>
      </c>
      <c r="I23" s="1184">
        <v>0</v>
      </c>
      <c r="J23" s="1184">
        <v>0</v>
      </c>
      <c r="K23" s="1184">
        <v>0</v>
      </c>
      <c r="L23" s="1184">
        <v>0</v>
      </c>
      <c r="M23" s="1184">
        <v>0</v>
      </c>
      <c r="N23" s="1184">
        <v>0</v>
      </c>
      <c r="O23" s="1184">
        <v>0</v>
      </c>
      <c r="P23" s="1184">
        <v>0</v>
      </c>
      <c r="Q23" s="1184">
        <v>0</v>
      </c>
      <c r="R23" s="1184">
        <v>0</v>
      </c>
      <c r="S23" s="1184">
        <v>0</v>
      </c>
      <c r="T23" s="1184">
        <v>0</v>
      </c>
      <c r="U23" s="1165">
        <f t="shared" si="1"/>
        <v>0</v>
      </c>
      <c r="V23" s="1251">
        <f>IFERROR(_xlfn.XLOOKUP(F23,'Pedestrian Demand'!A:A,'Pedestrian Demand'!B:B,,0)*$B$19,"N/A")</f>
        <v>79096.06158825598</v>
      </c>
      <c r="W23" s="1251">
        <f>IF(F23&lt;$B$14,0,_xlfn.XLOOKUP(F23,'Pedestrian Demand'!A:A,'Pedestrian Demand'!$D:$D,,0)*$B$19)</f>
        <v>1068.7459139149034</v>
      </c>
      <c r="X23" s="1184">
        <f t="shared" si="2"/>
        <v>33410.176414879323</v>
      </c>
      <c r="Y23" s="1184">
        <f t="shared" si="3"/>
        <v>225.71913701882761</v>
      </c>
      <c r="Z23" s="1184">
        <f t="shared" si="4"/>
        <v>0</v>
      </c>
      <c r="AA23" s="1184">
        <f t="shared" si="5"/>
        <v>0</v>
      </c>
      <c r="AB23" s="1184">
        <f t="shared" si="6"/>
        <v>0</v>
      </c>
      <c r="AC23" s="1184">
        <f t="shared" si="7"/>
        <v>0</v>
      </c>
      <c r="AD23" s="1184">
        <f t="shared" si="8"/>
        <v>0</v>
      </c>
      <c r="AE23" s="1184">
        <f t="shared" si="9"/>
        <v>0</v>
      </c>
      <c r="AF23" s="1184">
        <v>0</v>
      </c>
      <c r="AG23" s="1184">
        <v>0</v>
      </c>
      <c r="AH23" s="1184">
        <v>0</v>
      </c>
      <c r="AI23" s="1184">
        <v>0</v>
      </c>
      <c r="AJ23" s="1170">
        <f t="shared" si="10"/>
        <v>33635.895551898153</v>
      </c>
      <c r="AK23" s="1171">
        <f t="shared" si="11"/>
        <v>33635.895551898153</v>
      </c>
      <c r="AL23" s="1169">
        <f>AK23/(1+'Major Assumption Key'!$B$8)^($F23-'Major Assumption Key'!$B$7)</f>
        <v>21937.224576522156</v>
      </c>
      <c r="AM23" s="1155"/>
      <c r="AN23" s="1165">
        <f t="shared" si="12"/>
        <v>0</v>
      </c>
      <c r="AO23" s="1170">
        <f t="shared" si="13"/>
        <v>34000</v>
      </c>
      <c r="AP23" s="1171">
        <f t="shared" si="14"/>
        <v>34000</v>
      </c>
      <c r="AQ23" s="1169">
        <f t="shared" si="15"/>
        <v>22000</v>
      </c>
      <c r="AX23" s="1013"/>
      <c r="BH23" s="1149"/>
    </row>
    <row r="24" spans="1:60">
      <c r="A24" s="1252" t="str">
        <f>'BCA Guide - Parameter Values'!D143</f>
        <v>Current Maximum Width of Sidewalk (feet)</v>
      </c>
      <c r="B24" s="1658">
        <f>'BCA Guide - Parameter Values'!D144</f>
        <v>31</v>
      </c>
      <c r="C24" s="1249" t="s">
        <v>211</v>
      </c>
      <c r="D24" s="1254"/>
      <c r="E24" s="1173"/>
      <c r="F24" s="1181">
        <f>'Major Assumption Key'!A36</f>
        <v>2037</v>
      </c>
      <c r="G24" s="1251">
        <f>IFERROR(_xlfn.XLOOKUP(F24,'Pedestrian Demand'!A:A,'Pedestrian Demand'!B:B,,0)*$B$19,"N/A")</f>
        <v>80261.827196134705</v>
      </c>
      <c r="H24" s="1182">
        <v>0</v>
      </c>
      <c r="I24" s="1184">
        <v>0</v>
      </c>
      <c r="J24" s="1184">
        <v>0</v>
      </c>
      <c r="K24" s="1184">
        <v>0</v>
      </c>
      <c r="L24" s="1184">
        <v>0</v>
      </c>
      <c r="M24" s="1184">
        <v>0</v>
      </c>
      <c r="N24" s="1184">
        <v>0</v>
      </c>
      <c r="O24" s="1184">
        <v>0</v>
      </c>
      <c r="P24" s="1184">
        <v>0</v>
      </c>
      <c r="Q24" s="1184">
        <v>0</v>
      </c>
      <c r="R24" s="1184">
        <v>0</v>
      </c>
      <c r="S24" s="1184">
        <v>0</v>
      </c>
      <c r="T24" s="1184">
        <v>0</v>
      </c>
      <c r="U24" s="1165">
        <f t="shared" si="1"/>
        <v>0</v>
      </c>
      <c r="V24" s="1251">
        <f>IFERROR(_xlfn.XLOOKUP(F24,'Pedestrian Demand'!A:A,'Pedestrian Demand'!B:B,,0)*$B$19,"N/A")</f>
        <v>80261.827196134705</v>
      </c>
      <c r="W24" s="1251">
        <f>IF(F24&lt;$B$14,0,_xlfn.XLOOKUP(F24,'Pedestrian Demand'!A:A,'Pedestrian Demand'!$D:$D,,0)*$B$19)</f>
        <v>1070.0140126844863</v>
      </c>
      <c r="X24" s="1184">
        <f t="shared" si="2"/>
        <v>33902.595807647296</v>
      </c>
      <c r="Y24" s="1184">
        <f t="shared" si="3"/>
        <v>225.98695947896348</v>
      </c>
      <c r="Z24" s="1184">
        <f t="shared" si="4"/>
        <v>0</v>
      </c>
      <c r="AA24" s="1184">
        <f t="shared" si="5"/>
        <v>0</v>
      </c>
      <c r="AB24" s="1184">
        <f t="shared" si="6"/>
        <v>0</v>
      </c>
      <c r="AC24" s="1184">
        <f t="shared" si="7"/>
        <v>0</v>
      </c>
      <c r="AD24" s="1184">
        <f t="shared" si="8"/>
        <v>0</v>
      </c>
      <c r="AE24" s="1184">
        <f t="shared" si="9"/>
        <v>0</v>
      </c>
      <c r="AF24" s="1184">
        <v>0</v>
      </c>
      <c r="AG24" s="1184">
        <v>0</v>
      </c>
      <c r="AH24" s="1184">
        <v>0</v>
      </c>
      <c r="AI24" s="1184">
        <v>0</v>
      </c>
      <c r="AJ24" s="1170">
        <f t="shared" si="10"/>
        <v>34128.58276712626</v>
      </c>
      <c r="AK24" s="1171">
        <f t="shared" si="11"/>
        <v>34128.58276712626</v>
      </c>
      <c r="AL24" s="1169">
        <f>AK24/(1+'Major Assumption Key'!$B$8)^($F24-'Major Assumption Key'!$B$7)</f>
        <v>21589.285759730781</v>
      </c>
      <c r="AM24" s="1155"/>
      <c r="AN24" s="1165">
        <f t="shared" si="12"/>
        <v>0</v>
      </c>
      <c r="AO24" s="1170">
        <f t="shared" si="13"/>
        <v>34000</v>
      </c>
      <c r="AP24" s="1171">
        <f t="shared" si="14"/>
        <v>34000</v>
      </c>
      <c r="AQ24" s="1169">
        <f t="shared" si="15"/>
        <v>22000</v>
      </c>
      <c r="AX24" s="1013"/>
      <c r="BH24" s="1149"/>
    </row>
    <row r="25" spans="1:60">
      <c r="A25" s="1252" t="s">
        <v>1137</v>
      </c>
      <c r="B25" s="1253">
        <f>B21</f>
        <v>0.48</v>
      </c>
      <c r="C25" s="1659" t="str">
        <f>"Segment length: "&amp;'Major Assumption Key'!B14&amp;". "&amp;"Enter full or half of the length according to the reference in the bottom"</f>
        <v>Segment length: 0.48. Enter full or half of the length according to the reference in the bottom</v>
      </c>
      <c r="D25" s="1660"/>
      <c r="E25" s="1173"/>
      <c r="F25" s="1181">
        <f>'Major Assumption Key'!A37</f>
        <v>2038</v>
      </c>
      <c r="G25" s="1251">
        <f>IFERROR(_xlfn.XLOOKUP(F25,'Pedestrian Demand'!A:A,'Pedestrian Demand'!B:B,,0)*$B$19,"N/A")</f>
        <v>81444.774562816907</v>
      </c>
      <c r="H25" s="1182">
        <v>0</v>
      </c>
      <c r="I25" s="1184">
        <v>0</v>
      </c>
      <c r="J25" s="1184">
        <v>0</v>
      </c>
      <c r="K25" s="1184">
        <v>0</v>
      </c>
      <c r="L25" s="1184">
        <v>0</v>
      </c>
      <c r="M25" s="1184">
        <v>0</v>
      </c>
      <c r="N25" s="1184">
        <v>0</v>
      </c>
      <c r="O25" s="1184">
        <v>0</v>
      </c>
      <c r="P25" s="1184">
        <v>0</v>
      </c>
      <c r="Q25" s="1184">
        <v>0</v>
      </c>
      <c r="R25" s="1184">
        <v>0</v>
      </c>
      <c r="S25" s="1184">
        <v>0</v>
      </c>
      <c r="T25" s="1184">
        <v>0</v>
      </c>
      <c r="U25" s="1165">
        <f t="shared" si="1"/>
        <v>0</v>
      </c>
      <c r="V25" s="1251">
        <f>IFERROR(_xlfn.XLOOKUP(F25,'Pedestrian Demand'!A:A,'Pedestrian Demand'!B:B,,0)*$B$19,"N/A")</f>
        <v>81444.774562816907</v>
      </c>
      <c r="W25" s="1251">
        <f>IF(F25&lt;$B$14,0,_xlfn.XLOOKUP(F25,'Pedestrian Demand'!A:A,'Pedestrian Demand'!$D:$D,,0)*$B$19)</f>
        <v>1071.2836160909228</v>
      </c>
      <c r="X25" s="1184">
        <f t="shared" si="2"/>
        <v>34402.272775333862</v>
      </c>
      <c r="Y25" s="1184">
        <f t="shared" si="3"/>
        <v>226.2550997184029</v>
      </c>
      <c r="Z25" s="1184">
        <f t="shared" si="4"/>
        <v>0</v>
      </c>
      <c r="AA25" s="1184">
        <f t="shared" si="5"/>
        <v>0</v>
      </c>
      <c r="AB25" s="1184">
        <f t="shared" si="6"/>
        <v>0</v>
      </c>
      <c r="AC25" s="1184">
        <f t="shared" si="7"/>
        <v>0</v>
      </c>
      <c r="AD25" s="1184">
        <f t="shared" si="8"/>
        <v>0</v>
      </c>
      <c r="AE25" s="1184">
        <f t="shared" si="9"/>
        <v>0</v>
      </c>
      <c r="AF25" s="1184">
        <v>0</v>
      </c>
      <c r="AG25" s="1184">
        <v>0</v>
      </c>
      <c r="AH25" s="1184">
        <v>0</v>
      </c>
      <c r="AI25" s="1184">
        <v>0</v>
      </c>
      <c r="AJ25" s="1170">
        <f t="shared" si="10"/>
        <v>34628.527875052263</v>
      </c>
      <c r="AK25" s="1171">
        <f t="shared" si="11"/>
        <v>34628.527875052263</v>
      </c>
      <c r="AL25" s="1169">
        <f>AK25/(1+'Major Assumption Key'!$B$8)^($F25-'Major Assumption Key'!$B$7)</f>
        <v>21246.890746395569</v>
      </c>
      <c r="AM25" s="1155"/>
      <c r="AN25" s="1165">
        <f t="shared" si="12"/>
        <v>0</v>
      </c>
      <c r="AO25" s="1170">
        <f t="shared" si="13"/>
        <v>35000</v>
      </c>
      <c r="AP25" s="1171">
        <f t="shared" si="14"/>
        <v>35000</v>
      </c>
      <c r="AQ25" s="1169">
        <f t="shared" si="15"/>
        <v>21000</v>
      </c>
      <c r="AX25" s="1013"/>
      <c r="BH25" s="1149"/>
    </row>
    <row r="26" spans="1:60">
      <c r="A26" s="1252" t="s">
        <v>1138</v>
      </c>
      <c r="B26" s="1253">
        <v>0</v>
      </c>
      <c r="C26" s="1249" t="s">
        <v>1134</v>
      </c>
      <c r="D26" s="1254"/>
      <c r="E26" s="1173"/>
      <c r="F26" s="1181">
        <f>'Major Assumption Key'!A38</f>
        <v>2039</v>
      </c>
      <c r="G26" s="1251">
        <f>IFERROR(_xlfn.XLOOKUP(F26,'Pedestrian Demand'!A:A,'Pedestrian Demand'!B:B,,0)*$B$19,"N/A")</f>
        <v>82645.156923458562</v>
      </c>
      <c r="H26" s="1182">
        <v>0</v>
      </c>
      <c r="I26" s="1184">
        <v>0</v>
      </c>
      <c r="J26" s="1184">
        <v>0</v>
      </c>
      <c r="K26" s="1184">
        <v>0</v>
      </c>
      <c r="L26" s="1184">
        <v>0</v>
      </c>
      <c r="M26" s="1184">
        <v>0</v>
      </c>
      <c r="N26" s="1184">
        <v>0</v>
      </c>
      <c r="O26" s="1184">
        <v>0</v>
      </c>
      <c r="P26" s="1184">
        <v>0</v>
      </c>
      <c r="Q26" s="1184">
        <v>0</v>
      </c>
      <c r="R26" s="1184">
        <v>0</v>
      </c>
      <c r="S26" s="1184">
        <v>0</v>
      </c>
      <c r="T26" s="1184">
        <v>0</v>
      </c>
      <c r="U26" s="1165">
        <f t="shared" si="1"/>
        <v>0</v>
      </c>
      <c r="V26" s="1251">
        <f>IFERROR(_xlfn.XLOOKUP(F26,'Pedestrian Demand'!A:A,'Pedestrian Demand'!B:B,,0)*$B$19,"N/A")</f>
        <v>82645.156923458562</v>
      </c>
      <c r="W26" s="1251">
        <f>IF(F26&lt;$B$14,0,_xlfn.XLOOKUP(F26,'Pedestrian Demand'!A:A,'Pedestrian Demand'!$D:$D,,0)*$B$19)</f>
        <v>1072.5547259195093</v>
      </c>
      <c r="X26" s="1184">
        <f t="shared" si="2"/>
        <v>34909.314284468899</v>
      </c>
      <c r="Y26" s="1184">
        <f t="shared" si="3"/>
        <v>226.52355811420037</v>
      </c>
      <c r="Z26" s="1184">
        <f t="shared" si="4"/>
        <v>0</v>
      </c>
      <c r="AA26" s="1184">
        <f t="shared" si="5"/>
        <v>0</v>
      </c>
      <c r="AB26" s="1184">
        <f t="shared" si="6"/>
        <v>0</v>
      </c>
      <c r="AC26" s="1184">
        <f t="shared" si="7"/>
        <v>0</v>
      </c>
      <c r="AD26" s="1184">
        <f t="shared" si="8"/>
        <v>0</v>
      </c>
      <c r="AE26" s="1184">
        <f t="shared" si="9"/>
        <v>0</v>
      </c>
      <c r="AF26" s="1184">
        <v>0</v>
      </c>
      <c r="AG26" s="1184">
        <v>0</v>
      </c>
      <c r="AH26" s="1184">
        <v>0</v>
      </c>
      <c r="AI26" s="1184">
        <v>0</v>
      </c>
      <c r="AJ26" s="1170">
        <f t="shared" si="10"/>
        <v>35135.837842583096</v>
      </c>
      <c r="AK26" s="1171">
        <f t="shared" si="11"/>
        <v>35135.837842583096</v>
      </c>
      <c r="AL26" s="1169">
        <f>AK26/(1+'Major Assumption Key'!$B$8)^($F26-'Major Assumption Key'!$B$7)</f>
        <v>20909.950479071475</v>
      </c>
      <c r="AM26" s="1155"/>
      <c r="AN26" s="1165">
        <f t="shared" si="12"/>
        <v>0</v>
      </c>
      <c r="AO26" s="1170">
        <f t="shared" si="13"/>
        <v>35000</v>
      </c>
      <c r="AP26" s="1171">
        <f t="shared" si="14"/>
        <v>35000</v>
      </c>
      <c r="AQ26" s="1169">
        <f t="shared" si="15"/>
        <v>21000</v>
      </c>
      <c r="AX26" s="1013"/>
      <c r="BH26" s="1149"/>
    </row>
    <row r="27" spans="1:60">
      <c r="A27" s="1252" t="s">
        <v>1139</v>
      </c>
      <c r="B27" s="1253">
        <v>0</v>
      </c>
      <c r="C27" s="1249" t="s">
        <v>1134</v>
      </c>
      <c r="D27" s="1254"/>
      <c r="E27" s="1173"/>
      <c r="F27" s="1181">
        <f>'Major Assumption Key'!A39</f>
        <v>2040</v>
      </c>
      <c r="G27" s="1251">
        <f>IFERROR(_xlfn.XLOOKUP(F27,'Pedestrian Demand'!A:A,'Pedestrian Demand'!B:B,,0)*$B$19,"N/A")</f>
        <v>83863.231245548624</v>
      </c>
      <c r="H27" s="1182">
        <v>0</v>
      </c>
      <c r="I27" s="1184">
        <v>0</v>
      </c>
      <c r="J27" s="1184">
        <v>0</v>
      </c>
      <c r="K27" s="1184">
        <v>0</v>
      </c>
      <c r="L27" s="1184">
        <v>0</v>
      </c>
      <c r="M27" s="1184">
        <v>0</v>
      </c>
      <c r="N27" s="1184">
        <v>0</v>
      </c>
      <c r="O27" s="1184">
        <v>0</v>
      </c>
      <c r="P27" s="1184">
        <v>0</v>
      </c>
      <c r="Q27" s="1184">
        <v>0</v>
      </c>
      <c r="R27" s="1184">
        <v>0</v>
      </c>
      <c r="S27" s="1184">
        <v>0</v>
      </c>
      <c r="T27" s="1184">
        <v>0</v>
      </c>
      <c r="U27" s="1165">
        <f t="shared" si="1"/>
        <v>0</v>
      </c>
      <c r="V27" s="1251">
        <f>IFERROR(_xlfn.XLOOKUP(F27,'Pedestrian Demand'!A:A,'Pedestrian Demand'!B:B,,0)*$B$19,"N/A")</f>
        <v>83863.231245548624</v>
      </c>
      <c r="W27" s="1251">
        <f>IF(F27&lt;$B$14,0,_xlfn.XLOOKUP(F27,'Pedestrian Demand'!A:A,'Pedestrian Demand'!$D:$D,,0)*$B$19)</f>
        <v>1073.8273439576606</v>
      </c>
      <c r="X27" s="1184">
        <f t="shared" si="2"/>
        <v>35423.828878119741</v>
      </c>
      <c r="Y27" s="1184">
        <f t="shared" si="3"/>
        <v>226.79233504385792</v>
      </c>
      <c r="Z27" s="1184">
        <f t="shared" si="4"/>
        <v>0</v>
      </c>
      <c r="AA27" s="1184">
        <f t="shared" si="5"/>
        <v>0</v>
      </c>
      <c r="AB27" s="1184">
        <f t="shared" si="6"/>
        <v>0</v>
      </c>
      <c r="AC27" s="1184">
        <f t="shared" si="7"/>
        <v>0</v>
      </c>
      <c r="AD27" s="1184">
        <f t="shared" si="8"/>
        <v>0</v>
      </c>
      <c r="AE27" s="1184">
        <f t="shared" si="9"/>
        <v>0</v>
      </c>
      <c r="AF27" s="1184">
        <v>0</v>
      </c>
      <c r="AG27" s="1184">
        <v>0</v>
      </c>
      <c r="AH27" s="1184">
        <v>0</v>
      </c>
      <c r="AI27" s="1184">
        <v>0</v>
      </c>
      <c r="AJ27" s="1170">
        <f t="shared" si="10"/>
        <v>35650.621213163598</v>
      </c>
      <c r="AK27" s="1171">
        <f t="shared" si="11"/>
        <v>35650.621213163598</v>
      </c>
      <c r="AL27" s="1169">
        <f>AK27/(1+'Major Assumption Key'!$B$8)^($F27-'Major Assumption Key'!$B$7)</f>
        <v>20578.377351757772</v>
      </c>
      <c r="AM27" s="1155"/>
      <c r="AN27" s="1165">
        <f t="shared" si="12"/>
        <v>0</v>
      </c>
      <c r="AO27" s="1170">
        <f t="shared" si="13"/>
        <v>36000</v>
      </c>
      <c r="AP27" s="1171">
        <f t="shared" si="14"/>
        <v>36000</v>
      </c>
      <c r="AQ27" s="1169">
        <f t="shared" si="15"/>
        <v>21000</v>
      </c>
      <c r="AX27" s="1013"/>
      <c r="BH27" s="1149"/>
    </row>
    <row r="28" spans="1:60">
      <c r="A28" s="1252" t="s">
        <v>1140</v>
      </c>
      <c r="B28" s="1253">
        <v>0</v>
      </c>
      <c r="C28" s="1249" t="s">
        <v>1134</v>
      </c>
      <c r="D28" s="1254"/>
      <c r="E28" s="1173"/>
      <c r="F28" s="1181">
        <f>'Major Assumption Key'!A40</f>
        <v>2041</v>
      </c>
      <c r="G28" s="1251">
        <f>IFERROR(_xlfn.XLOOKUP(F28,'Pedestrian Demand'!A:A,'Pedestrian Demand'!B:B,,0)*$B$19,"N/A")</f>
        <v>85099.25828391836</v>
      </c>
      <c r="H28" s="1182">
        <v>0</v>
      </c>
      <c r="I28" s="1184">
        <v>0</v>
      </c>
      <c r="J28" s="1184">
        <v>0</v>
      </c>
      <c r="K28" s="1184">
        <v>0</v>
      </c>
      <c r="L28" s="1184">
        <v>0</v>
      </c>
      <c r="M28" s="1184">
        <v>0</v>
      </c>
      <c r="N28" s="1184">
        <v>0</v>
      </c>
      <c r="O28" s="1184">
        <v>0</v>
      </c>
      <c r="P28" s="1184">
        <v>0</v>
      </c>
      <c r="Q28" s="1184">
        <v>0</v>
      </c>
      <c r="R28" s="1184">
        <v>0</v>
      </c>
      <c r="S28" s="1184">
        <v>0</v>
      </c>
      <c r="T28" s="1184">
        <v>0</v>
      </c>
      <c r="U28" s="1165">
        <f t="shared" si="1"/>
        <v>0</v>
      </c>
      <c r="V28" s="1251">
        <f>IFERROR(_xlfn.XLOOKUP(F28,'Pedestrian Demand'!A:A,'Pedestrian Demand'!B:B,,0)*$B$19,"N/A")</f>
        <v>85099.25828391836</v>
      </c>
      <c r="W28" s="1251">
        <f>IF(F28&lt;$B$14,0,_xlfn.XLOOKUP(F28,'Pedestrian Demand'!A:A,'Pedestrian Demand'!$D:$D,,0)*$B$19)</f>
        <v>1075.1014719949119</v>
      </c>
      <c r="X28" s="1184">
        <f t="shared" si="2"/>
        <v>35945.926699127114</v>
      </c>
      <c r="Y28" s="1184">
        <f t="shared" si="3"/>
        <v>227.06143088532539</v>
      </c>
      <c r="Z28" s="1184">
        <f t="shared" si="4"/>
        <v>0</v>
      </c>
      <c r="AA28" s="1184">
        <f t="shared" si="5"/>
        <v>0</v>
      </c>
      <c r="AB28" s="1184">
        <f t="shared" si="6"/>
        <v>0</v>
      </c>
      <c r="AC28" s="1184">
        <f t="shared" si="7"/>
        <v>0</v>
      </c>
      <c r="AD28" s="1184">
        <f t="shared" si="8"/>
        <v>0</v>
      </c>
      <c r="AE28" s="1184">
        <f t="shared" si="9"/>
        <v>0</v>
      </c>
      <c r="AF28" s="1184">
        <v>0</v>
      </c>
      <c r="AG28" s="1184">
        <v>0</v>
      </c>
      <c r="AH28" s="1184">
        <v>0</v>
      </c>
      <c r="AI28" s="1184">
        <v>0</v>
      </c>
      <c r="AJ28" s="1170">
        <f t="shared" si="10"/>
        <v>36172.98813001244</v>
      </c>
      <c r="AK28" s="1171">
        <f t="shared" si="11"/>
        <v>36172.98813001244</v>
      </c>
      <c r="AL28" s="1169">
        <f>AK28/(1+'Major Assumption Key'!$B$8)^($F28-'Major Assumption Key'!$B$7)</f>
        <v>20252.085185652191</v>
      </c>
      <c r="AM28" s="1155"/>
      <c r="AN28" s="1165">
        <f t="shared" si="12"/>
        <v>0</v>
      </c>
      <c r="AO28" s="1170">
        <f t="shared" si="13"/>
        <v>36000</v>
      </c>
      <c r="AP28" s="1171">
        <f t="shared" si="14"/>
        <v>36000</v>
      </c>
      <c r="AQ28" s="1169">
        <f t="shared" si="15"/>
        <v>20000</v>
      </c>
      <c r="AX28" s="1013"/>
      <c r="BH28" s="1149"/>
    </row>
    <row r="29" spans="1:60">
      <c r="A29" s="1252" t="s">
        <v>1141</v>
      </c>
      <c r="B29" s="1253">
        <v>0</v>
      </c>
      <c r="C29" s="1249" t="s">
        <v>1134</v>
      </c>
      <c r="D29" s="1254"/>
      <c r="E29" s="1173"/>
      <c r="F29" s="1181">
        <f>'Major Assumption Key'!A41</f>
        <v>2042</v>
      </c>
      <c r="G29" s="1251">
        <f>IFERROR(_xlfn.XLOOKUP(F29,'Pedestrian Demand'!A:A,'Pedestrian Demand'!B:B,,0)*$B$19,"N/A")</f>
        <v>86353.502636561461</v>
      </c>
      <c r="H29" s="1182">
        <v>0</v>
      </c>
      <c r="I29" s="1184">
        <v>0</v>
      </c>
      <c r="J29" s="1184">
        <v>0</v>
      </c>
      <c r="K29" s="1184">
        <v>0</v>
      </c>
      <c r="L29" s="1184">
        <v>0</v>
      </c>
      <c r="M29" s="1184">
        <v>0</v>
      </c>
      <c r="N29" s="1184">
        <v>0</v>
      </c>
      <c r="O29" s="1184">
        <v>0</v>
      </c>
      <c r="P29" s="1184">
        <v>0</v>
      </c>
      <c r="Q29" s="1184">
        <v>0</v>
      </c>
      <c r="R29" s="1184">
        <v>0</v>
      </c>
      <c r="S29" s="1184">
        <v>0</v>
      </c>
      <c r="T29" s="1184">
        <v>0</v>
      </c>
      <c r="U29" s="1165">
        <f t="shared" si="1"/>
        <v>0</v>
      </c>
      <c r="V29" s="1251">
        <f>IFERROR(_xlfn.XLOOKUP(F29,'Pedestrian Demand'!A:A,'Pedestrian Demand'!B:B,,0)*$B$19,"N/A")</f>
        <v>86353.502636561461</v>
      </c>
      <c r="W29" s="1251">
        <f>IF(F29&lt;$B$14,0,_xlfn.XLOOKUP(F29,'Pedestrian Demand'!A:A,'Pedestrian Demand'!$D:$D,,0)*$B$19)</f>
        <v>1076.3771118229224</v>
      </c>
      <c r="X29" s="1184">
        <f t="shared" si="2"/>
        <v>36475.719513683558</v>
      </c>
      <c r="Y29" s="1184">
        <f t="shared" si="3"/>
        <v>227.33084601700122</v>
      </c>
      <c r="Z29" s="1184">
        <f t="shared" si="4"/>
        <v>0</v>
      </c>
      <c r="AA29" s="1184">
        <f t="shared" si="5"/>
        <v>0</v>
      </c>
      <c r="AB29" s="1184">
        <f t="shared" si="6"/>
        <v>0</v>
      </c>
      <c r="AC29" s="1184">
        <f t="shared" si="7"/>
        <v>0</v>
      </c>
      <c r="AD29" s="1184">
        <f t="shared" si="8"/>
        <v>0</v>
      </c>
      <c r="AE29" s="1184">
        <f t="shared" si="9"/>
        <v>0</v>
      </c>
      <c r="AF29" s="1184">
        <v>0</v>
      </c>
      <c r="AG29" s="1184">
        <v>0</v>
      </c>
      <c r="AH29" s="1184">
        <v>0</v>
      </c>
      <c r="AI29" s="1184">
        <v>0</v>
      </c>
      <c r="AJ29" s="1170">
        <f t="shared" si="10"/>
        <v>36703.050359700559</v>
      </c>
      <c r="AK29" s="1171">
        <f t="shared" si="11"/>
        <v>36703.050359700559</v>
      </c>
      <c r="AL29" s="1169">
        <f>AK29/(1+'Major Assumption Key'!$B$8)^($F29-'Major Assumption Key'!$B$7)</f>
        <v>19930.989205326561</v>
      </c>
      <c r="AM29" s="1155"/>
      <c r="AN29" s="1165">
        <f t="shared" si="12"/>
        <v>0</v>
      </c>
      <c r="AO29" s="1170">
        <f t="shared" si="13"/>
        <v>37000</v>
      </c>
      <c r="AP29" s="1171">
        <f t="shared" si="14"/>
        <v>37000</v>
      </c>
      <c r="AQ29" s="1169">
        <f t="shared" si="15"/>
        <v>20000</v>
      </c>
      <c r="AX29" s="1013"/>
      <c r="BH29" s="1149"/>
    </row>
    <row r="30" spans="1:60">
      <c r="A30" s="1252" t="s">
        <v>1142</v>
      </c>
      <c r="B30" s="1253">
        <v>0</v>
      </c>
      <c r="C30" s="1249" t="s">
        <v>1134</v>
      </c>
      <c r="D30" s="1254"/>
      <c r="E30" s="1173"/>
      <c r="F30" s="1181">
        <f>'Major Assumption Key'!A42</f>
        <v>2043</v>
      </c>
      <c r="G30" s="1251">
        <f>IFERROR(_xlfn.XLOOKUP(F30,'Pedestrian Demand'!A:A,'Pedestrian Demand'!B:B,,0)*$B$19,"N/A")</f>
        <v>87626.232801276958</v>
      </c>
      <c r="H30" s="1182">
        <v>0</v>
      </c>
      <c r="I30" s="1184">
        <v>0</v>
      </c>
      <c r="J30" s="1184">
        <v>0</v>
      </c>
      <c r="K30" s="1184">
        <v>0</v>
      </c>
      <c r="L30" s="1184">
        <v>0</v>
      </c>
      <c r="M30" s="1184">
        <v>0</v>
      </c>
      <c r="N30" s="1184">
        <v>0</v>
      </c>
      <c r="O30" s="1184">
        <v>0</v>
      </c>
      <c r="P30" s="1184">
        <v>0</v>
      </c>
      <c r="Q30" s="1184">
        <v>0</v>
      </c>
      <c r="R30" s="1184">
        <v>0</v>
      </c>
      <c r="S30" s="1184">
        <v>0</v>
      </c>
      <c r="T30" s="1184">
        <v>0</v>
      </c>
      <c r="U30" s="1165">
        <f t="shared" si="1"/>
        <v>0</v>
      </c>
      <c r="V30" s="1251">
        <f>IFERROR(_xlfn.XLOOKUP(F30,'Pedestrian Demand'!A:A,'Pedestrian Demand'!B:B,,0)*$B$19,"N/A")</f>
        <v>87626.232801276958</v>
      </c>
      <c r="W30" s="1251">
        <f>IF(F30&lt;$B$14,0,_xlfn.XLOOKUP(F30,'Pedestrian Demand'!A:A,'Pedestrian Demand'!$D:$D,,0)*$B$19)</f>
        <v>1077.6542652354763</v>
      </c>
      <c r="X30" s="1184">
        <f t="shared" si="2"/>
        <v>37013.320735259389</v>
      </c>
      <c r="Y30" s="1184">
        <f t="shared" si="3"/>
        <v>227.60058081773258</v>
      </c>
      <c r="Z30" s="1184">
        <f t="shared" si="4"/>
        <v>0</v>
      </c>
      <c r="AA30" s="1184">
        <f t="shared" si="5"/>
        <v>0</v>
      </c>
      <c r="AB30" s="1184">
        <f t="shared" si="6"/>
        <v>0</v>
      </c>
      <c r="AC30" s="1184">
        <f t="shared" si="7"/>
        <v>0</v>
      </c>
      <c r="AD30" s="1184">
        <f t="shared" si="8"/>
        <v>0</v>
      </c>
      <c r="AE30" s="1184">
        <f t="shared" si="9"/>
        <v>0</v>
      </c>
      <c r="AF30" s="1184">
        <v>0</v>
      </c>
      <c r="AG30" s="1184">
        <v>0</v>
      </c>
      <c r="AH30" s="1184">
        <v>0</v>
      </c>
      <c r="AI30" s="1184">
        <v>0</v>
      </c>
      <c r="AJ30" s="1170">
        <f t="shared" si="10"/>
        <v>37240.921316077125</v>
      </c>
      <c r="AK30" s="1171">
        <f t="shared" si="11"/>
        <v>37240.921316077125</v>
      </c>
      <c r="AL30" s="1169">
        <f>AK30/(1+'Major Assumption Key'!$B$8)^($F30-'Major Assumption Key'!$B$7)</f>
        <v>19615.006015316299</v>
      </c>
      <c r="AM30" s="1155"/>
      <c r="AN30" s="1165">
        <f t="shared" si="12"/>
        <v>0</v>
      </c>
      <c r="AO30" s="1170">
        <f t="shared" si="13"/>
        <v>37000</v>
      </c>
      <c r="AP30" s="1171">
        <f t="shared" si="14"/>
        <v>37000</v>
      </c>
      <c r="AQ30" s="1169">
        <f t="shared" si="15"/>
        <v>20000</v>
      </c>
      <c r="AX30" s="1013"/>
      <c r="BH30" s="1149"/>
    </row>
    <row r="31" spans="1:60">
      <c r="A31" s="1252" t="s">
        <v>1143</v>
      </c>
      <c r="B31" s="1253">
        <v>0</v>
      </c>
      <c r="C31" s="1249" t="s">
        <v>1134</v>
      </c>
      <c r="D31" s="1254"/>
      <c r="E31" s="1173"/>
      <c r="F31" s="1181">
        <f>'Major Assumption Key'!A43</f>
        <v>2044</v>
      </c>
      <c r="G31" s="1251">
        <f>IFERROR(_xlfn.XLOOKUP(F31,'Pedestrian Demand'!A:A,'Pedestrian Demand'!B:B,,0)*$B$19,"N/A")</f>
        <v>88917.721233146891</v>
      </c>
      <c r="H31" s="1182">
        <v>0</v>
      </c>
      <c r="I31" s="1184">
        <v>0</v>
      </c>
      <c r="J31" s="1184">
        <v>0</v>
      </c>
      <c r="K31" s="1184">
        <v>0</v>
      </c>
      <c r="L31" s="1184">
        <v>0</v>
      </c>
      <c r="M31" s="1184">
        <v>0</v>
      </c>
      <c r="N31" s="1184">
        <v>0</v>
      </c>
      <c r="O31" s="1184">
        <v>0</v>
      </c>
      <c r="P31" s="1184">
        <v>0</v>
      </c>
      <c r="Q31" s="1184">
        <v>0</v>
      </c>
      <c r="R31" s="1184">
        <v>0</v>
      </c>
      <c r="S31" s="1184">
        <v>0</v>
      </c>
      <c r="T31" s="1184">
        <v>0</v>
      </c>
      <c r="U31" s="1165">
        <f t="shared" si="1"/>
        <v>0</v>
      </c>
      <c r="V31" s="1251">
        <f>IFERROR(_xlfn.XLOOKUP(F31,'Pedestrian Demand'!A:A,'Pedestrian Demand'!B:B,,0)*$B$19,"N/A")</f>
        <v>88917.721233146891</v>
      </c>
      <c r="W31" s="1251">
        <f>IF(F31&lt;$B$14,0,_xlfn.XLOOKUP(F31,'Pedestrian Demand'!A:A,'Pedestrian Demand'!$D:$D,,0)*$B$19)</f>
        <v>1078.9329340284869</v>
      </c>
      <c r="X31" s="1184">
        <f t="shared" si="2"/>
        <v>37558.845448881249</v>
      </c>
      <c r="Y31" s="1184">
        <f t="shared" si="3"/>
        <v>227.87063566681644</v>
      </c>
      <c r="Z31" s="1184">
        <f t="shared" si="4"/>
        <v>0</v>
      </c>
      <c r="AA31" s="1184">
        <f t="shared" si="5"/>
        <v>0</v>
      </c>
      <c r="AB31" s="1184">
        <f t="shared" si="6"/>
        <v>0</v>
      </c>
      <c r="AC31" s="1184">
        <f t="shared" si="7"/>
        <v>0</v>
      </c>
      <c r="AD31" s="1184">
        <f t="shared" si="8"/>
        <v>0</v>
      </c>
      <c r="AE31" s="1184">
        <f t="shared" si="9"/>
        <v>0</v>
      </c>
      <c r="AF31" s="1184">
        <v>0</v>
      </c>
      <c r="AG31" s="1184">
        <v>0</v>
      </c>
      <c r="AH31" s="1184">
        <v>0</v>
      </c>
      <c r="AI31" s="1184">
        <v>0</v>
      </c>
      <c r="AJ31" s="1170">
        <f t="shared" si="10"/>
        <v>37786.716084548068</v>
      </c>
      <c r="AK31" s="1171">
        <f t="shared" si="11"/>
        <v>37786.716084548068</v>
      </c>
      <c r="AL31" s="1169">
        <f>AK31/(1+'Major Assumption Key'!$B$8)^($F31-'Major Assumption Key'!$B$7)</f>
        <v>19304.05357711593</v>
      </c>
      <c r="AM31" s="1155"/>
      <c r="AN31" s="1165">
        <f t="shared" si="12"/>
        <v>0</v>
      </c>
      <c r="AO31" s="1170">
        <f t="shared" si="13"/>
        <v>38000</v>
      </c>
      <c r="AP31" s="1171">
        <f t="shared" si="14"/>
        <v>38000</v>
      </c>
      <c r="AQ31" s="1169">
        <f t="shared" si="15"/>
        <v>19000</v>
      </c>
      <c r="AX31" s="1013"/>
      <c r="BH31" s="1149"/>
    </row>
    <row r="32" spans="1:60" ht="43.2">
      <c r="A32" s="1252" t="s">
        <v>1144</v>
      </c>
      <c r="B32" s="1253" t="s">
        <v>1145</v>
      </c>
      <c r="C32" s="1249" t="s">
        <v>1134</v>
      </c>
      <c r="D32" s="1254"/>
      <c r="E32" s="1173"/>
      <c r="F32" s="1181">
        <f>'Major Assumption Key'!A44</f>
        <v>2045</v>
      </c>
      <c r="G32" s="1251">
        <f>IFERROR(_xlfn.XLOOKUP(F32,'Pedestrian Demand'!A:A,'Pedestrian Demand'!B:B,,0)*$B$19,"N/A")</f>
        <v>90228.244402861092</v>
      </c>
      <c r="H32" s="1182">
        <v>0</v>
      </c>
      <c r="I32" s="1184">
        <v>0</v>
      </c>
      <c r="J32" s="1184">
        <v>0</v>
      </c>
      <c r="K32" s="1184">
        <v>0</v>
      </c>
      <c r="L32" s="1184">
        <v>0</v>
      </c>
      <c r="M32" s="1184">
        <v>0</v>
      </c>
      <c r="N32" s="1184">
        <v>0</v>
      </c>
      <c r="O32" s="1184">
        <v>0</v>
      </c>
      <c r="P32" s="1184">
        <v>0</v>
      </c>
      <c r="Q32" s="1184">
        <v>0</v>
      </c>
      <c r="R32" s="1184">
        <v>0</v>
      </c>
      <c r="S32" s="1184">
        <v>0</v>
      </c>
      <c r="T32" s="1184">
        <v>0</v>
      </c>
      <c r="U32" s="1165">
        <f t="shared" si="1"/>
        <v>0</v>
      </c>
      <c r="V32" s="1251">
        <f>IFERROR(_xlfn.XLOOKUP(F32,'Pedestrian Demand'!A:A,'Pedestrian Demand'!B:B,,0)*$B$19,"N/A")</f>
        <v>90228.244402861092</v>
      </c>
      <c r="W32" s="1251">
        <f>IF(F32&lt;$B$14,0,_xlfn.XLOOKUP(F32,'Pedestrian Demand'!A:A,'Pedestrian Demand'!$D:$D,,0)*$B$19)</f>
        <v>1080.2131199999999</v>
      </c>
      <c r="X32" s="1184">
        <f t="shared" si="2"/>
        <v>38112.410435768528</v>
      </c>
      <c r="Y32" s="1184">
        <f t="shared" si="3"/>
        <v>228.14101094399999</v>
      </c>
      <c r="Z32" s="1184">
        <f t="shared" si="4"/>
        <v>0</v>
      </c>
      <c r="AA32" s="1184">
        <f t="shared" si="5"/>
        <v>0</v>
      </c>
      <c r="AB32" s="1184">
        <f t="shared" si="6"/>
        <v>0</v>
      </c>
      <c r="AC32" s="1184">
        <f t="shared" si="7"/>
        <v>0</v>
      </c>
      <c r="AD32" s="1184">
        <f t="shared" si="8"/>
        <v>0</v>
      </c>
      <c r="AE32" s="1184">
        <f t="shared" si="9"/>
        <v>0</v>
      </c>
      <c r="AF32" s="1184">
        <v>0</v>
      </c>
      <c r="AG32" s="1184">
        <v>0</v>
      </c>
      <c r="AH32" s="1184">
        <v>0</v>
      </c>
      <c r="AI32" s="1184">
        <v>0</v>
      </c>
      <c r="AJ32" s="1170">
        <f t="shared" si="10"/>
        <v>38340.551446712525</v>
      </c>
      <c r="AK32" s="1171">
        <f t="shared" si="11"/>
        <v>38340.551446712525</v>
      </c>
      <c r="AL32" s="1169">
        <f>AK32/(1+'Major Assumption Key'!$B$8)^($F32-'Major Assumption Key'!$B$7)</f>
        <v>18998.05118657335</v>
      </c>
      <c r="AM32" s="1155"/>
      <c r="AN32" s="1165">
        <f t="shared" si="12"/>
        <v>0</v>
      </c>
      <c r="AO32" s="1170">
        <f t="shared" si="13"/>
        <v>38000</v>
      </c>
      <c r="AP32" s="1171">
        <f t="shared" si="14"/>
        <v>38000</v>
      </c>
      <c r="AQ32" s="1169">
        <f t="shared" si="15"/>
        <v>19000</v>
      </c>
      <c r="AX32" s="1013"/>
      <c r="BH32" s="1149"/>
    </row>
    <row r="33" spans="1:60" ht="43.8" thickBot="1">
      <c r="A33" s="1661" t="s">
        <v>1146</v>
      </c>
      <c r="B33" s="1662" t="s">
        <v>1145</v>
      </c>
      <c r="C33" s="1663" t="s">
        <v>1134</v>
      </c>
      <c r="D33" s="1664"/>
      <c r="F33" s="1181">
        <f>'Major Assumption Key'!A45</f>
        <v>2046</v>
      </c>
      <c r="G33" s="1251">
        <f>IFERROR(_xlfn.XLOOKUP(F33,'Pedestrian Demand'!A:A,'Pedestrian Demand'!B:B,,0)*$B$19,"N/A")</f>
        <v>91558.082855901725</v>
      </c>
      <c r="H33" s="1182">
        <v>0</v>
      </c>
      <c r="I33" s="1184">
        <v>0</v>
      </c>
      <c r="J33" s="1184">
        <v>0</v>
      </c>
      <c r="K33" s="1184">
        <v>0</v>
      </c>
      <c r="L33" s="1184">
        <v>0</v>
      </c>
      <c r="M33" s="1184">
        <v>0</v>
      </c>
      <c r="N33" s="1184">
        <v>0</v>
      </c>
      <c r="O33" s="1184">
        <v>0</v>
      </c>
      <c r="P33" s="1184">
        <v>0</v>
      </c>
      <c r="Q33" s="1184">
        <v>0</v>
      </c>
      <c r="R33" s="1184">
        <v>0</v>
      </c>
      <c r="S33" s="1184">
        <v>0</v>
      </c>
      <c r="T33" s="1184">
        <v>0</v>
      </c>
      <c r="U33" s="1165">
        <f t="shared" si="1"/>
        <v>0</v>
      </c>
      <c r="V33" s="1251">
        <f>IFERROR(_xlfn.XLOOKUP(F33,'Pedestrian Demand'!A:A,'Pedestrian Demand'!B:B,,0)*$B$19,"N/A")</f>
        <v>91558.082855901725</v>
      </c>
      <c r="W33" s="1251">
        <f>IF(F33&lt;$B$14,0,_xlfn.XLOOKUP(F33,'Pedestrian Demand'!A:A,'Pedestrian Demand'!$D:$D,,0)*$B$19)</f>
        <v>1081.4948249501888</v>
      </c>
      <c r="X33" s="1184">
        <f t="shared" si="2"/>
        <v>38674.134198332889</v>
      </c>
      <c r="Y33" s="1184">
        <f t="shared" si="3"/>
        <v>228.41170702947986</v>
      </c>
      <c r="Z33" s="1184">
        <f t="shared" si="4"/>
        <v>0</v>
      </c>
      <c r="AA33" s="1184">
        <f t="shared" si="5"/>
        <v>0</v>
      </c>
      <c r="AB33" s="1184">
        <f t="shared" si="6"/>
        <v>0</v>
      </c>
      <c r="AC33" s="1184">
        <f t="shared" si="7"/>
        <v>0</v>
      </c>
      <c r="AD33" s="1184">
        <f t="shared" si="8"/>
        <v>0</v>
      </c>
      <c r="AE33" s="1184">
        <f t="shared" si="9"/>
        <v>0</v>
      </c>
      <c r="AF33" s="1184">
        <v>0</v>
      </c>
      <c r="AG33" s="1184">
        <v>0</v>
      </c>
      <c r="AH33" s="1184">
        <v>0</v>
      </c>
      <c r="AI33" s="1184">
        <v>0</v>
      </c>
      <c r="AJ33" s="1170">
        <f t="shared" si="10"/>
        <v>38902.545905362371</v>
      </c>
      <c r="AK33" s="1171">
        <f t="shared" si="11"/>
        <v>38902.545905362371</v>
      </c>
      <c r="AL33" s="1169">
        <f>AK33/(1+'Major Assumption Key'!$B$8)^($F33-'Major Assumption Key'!$B$7)</f>
        <v>18696.919451675429</v>
      </c>
      <c r="AM33" s="1155"/>
      <c r="AN33" s="1165">
        <f t="shared" si="12"/>
        <v>0</v>
      </c>
      <c r="AO33" s="1170">
        <f t="shared" si="13"/>
        <v>39000</v>
      </c>
      <c r="AP33" s="1171">
        <f t="shared" si="14"/>
        <v>39000</v>
      </c>
      <c r="AQ33" s="1169">
        <f t="shared" si="15"/>
        <v>19000</v>
      </c>
      <c r="AX33" s="1013"/>
      <c r="BH33" s="1149"/>
    </row>
    <row r="34" spans="1:60" ht="28.8">
      <c r="A34" s="1255" t="s">
        <v>295</v>
      </c>
      <c r="B34" s="1256" t="s">
        <v>1147</v>
      </c>
      <c r="C34" s="1195"/>
      <c r="D34" s="1257"/>
      <c r="F34" s="1181">
        <f>'Major Assumption Key'!A46</f>
        <v>2047</v>
      </c>
      <c r="G34" s="1251">
        <f>IFERROR(_xlfn.XLOOKUP(F34,'Pedestrian Demand'!A:A,'Pedestrian Demand'!B:B,,0)*$B$19,"N/A")</f>
        <v>92907.521272599944</v>
      </c>
      <c r="H34" s="1182">
        <v>0</v>
      </c>
      <c r="I34" s="1184">
        <v>0</v>
      </c>
      <c r="J34" s="1184">
        <v>0</v>
      </c>
      <c r="K34" s="1184">
        <v>0</v>
      </c>
      <c r="L34" s="1184">
        <v>0</v>
      </c>
      <c r="M34" s="1184">
        <v>0</v>
      </c>
      <c r="N34" s="1184">
        <v>0</v>
      </c>
      <c r="O34" s="1184">
        <v>0</v>
      </c>
      <c r="P34" s="1184">
        <v>0</v>
      </c>
      <c r="Q34" s="1184">
        <v>0</v>
      </c>
      <c r="R34" s="1184">
        <v>0</v>
      </c>
      <c r="S34" s="1184">
        <v>0</v>
      </c>
      <c r="T34" s="1184">
        <v>0</v>
      </c>
      <c r="U34" s="1165">
        <f t="shared" si="1"/>
        <v>0</v>
      </c>
      <c r="V34" s="1251">
        <f>IFERROR(_xlfn.XLOOKUP(F34,'Pedestrian Demand'!A:A,'Pedestrian Demand'!B:B,,0)*$B$19,"N/A")</f>
        <v>92907.521272599944</v>
      </c>
      <c r="W34" s="1251">
        <f>IF(F34&lt;$B$14,0,_xlfn.XLOOKUP(F34,'Pedestrian Demand'!A:A,'Pedestrian Demand'!$D:$D,,0)*$B$19)</f>
        <v>1082.7780506813688</v>
      </c>
      <c r="X34" s="1184">
        <f t="shared" si="2"/>
        <v>39244.136985546218</v>
      </c>
      <c r="Y34" s="1184">
        <f t="shared" si="3"/>
        <v>228.68272430390508</v>
      </c>
      <c r="Z34" s="1184">
        <f t="shared" si="4"/>
        <v>0</v>
      </c>
      <c r="AA34" s="1184">
        <f t="shared" si="5"/>
        <v>0</v>
      </c>
      <c r="AB34" s="1184">
        <f t="shared" si="6"/>
        <v>0</v>
      </c>
      <c r="AC34" s="1184">
        <f t="shared" si="7"/>
        <v>0</v>
      </c>
      <c r="AD34" s="1184">
        <f t="shared" si="8"/>
        <v>0</v>
      </c>
      <c r="AE34" s="1184">
        <f t="shared" si="9"/>
        <v>0</v>
      </c>
      <c r="AF34" s="1184">
        <v>0</v>
      </c>
      <c r="AG34" s="1184">
        <v>0</v>
      </c>
      <c r="AH34" s="1184">
        <v>0</v>
      </c>
      <c r="AI34" s="1184">
        <v>0</v>
      </c>
      <c r="AJ34" s="1170">
        <f t="shared" si="10"/>
        <v>39472.819709850126</v>
      </c>
      <c r="AK34" s="1171">
        <f t="shared" si="11"/>
        <v>39472.819709850126</v>
      </c>
      <c r="AL34" s="1169">
        <f>AK34/(1+'Major Assumption Key'!$B$8)^($F34-'Major Assumption Key'!$B$7)</f>
        <v>18400.580270717692</v>
      </c>
      <c r="AM34" s="1155"/>
      <c r="AN34" s="1165">
        <f t="shared" si="12"/>
        <v>0</v>
      </c>
      <c r="AO34" s="1170">
        <f t="shared" si="13"/>
        <v>39000</v>
      </c>
      <c r="AP34" s="1171">
        <f t="shared" si="14"/>
        <v>39000</v>
      </c>
      <c r="AQ34" s="1169">
        <f t="shared" si="15"/>
        <v>18000</v>
      </c>
      <c r="AX34" s="1013"/>
      <c r="BH34" s="1149"/>
    </row>
    <row r="35" spans="1:60">
      <c r="A35" s="1252" t="str">
        <f>'BCA Guide - Parameter Values'!B144</f>
        <v>Expand Sidewalk (per foot of added width)2</v>
      </c>
      <c r="B35" s="1194">
        <f>'BCA Guide - Parameter Values'!C144</f>
        <v>0.11</v>
      </c>
      <c r="C35" s="1195" t="s">
        <v>211</v>
      </c>
      <c r="D35" s="1257"/>
      <c r="F35" s="1181">
        <f>'Major Assumption Key'!A47</f>
        <v>2048</v>
      </c>
      <c r="G35" s="1251">
        <f>IFERROR(_xlfn.XLOOKUP(F35,'Pedestrian Demand'!A:A,'Pedestrian Demand'!B:B,,0)*$B$19,"N/A")</f>
        <v>94276.848529077921</v>
      </c>
      <c r="H35" s="1182">
        <v>0</v>
      </c>
      <c r="I35" s="1184">
        <v>0</v>
      </c>
      <c r="J35" s="1184">
        <v>0</v>
      </c>
      <c r="K35" s="1184">
        <v>0</v>
      </c>
      <c r="L35" s="1184">
        <v>0</v>
      </c>
      <c r="M35" s="1184">
        <v>0</v>
      </c>
      <c r="N35" s="1184">
        <v>0</v>
      </c>
      <c r="O35" s="1184">
        <v>0</v>
      </c>
      <c r="P35" s="1184">
        <v>0</v>
      </c>
      <c r="Q35" s="1184">
        <v>0</v>
      </c>
      <c r="R35" s="1184">
        <v>0</v>
      </c>
      <c r="S35" s="1184">
        <v>0</v>
      </c>
      <c r="T35" s="1184">
        <v>0</v>
      </c>
      <c r="U35" s="1165">
        <f t="shared" si="1"/>
        <v>0</v>
      </c>
      <c r="V35" s="1251">
        <f>IFERROR(_xlfn.XLOOKUP(F35,'Pedestrian Demand'!A:A,'Pedestrian Demand'!B:B,,0)*$B$19,"N/A")</f>
        <v>94276.848529077921</v>
      </c>
      <c r="W35" s="1251">
        <f>IF(F35&lt;$B$14,0,_xlfn.XLOOKUP(F35,'Pedestrian Demand'!A:A,'Pedestrian Demand'!$D:$D,,0)*$B$19)</f>
        <v>1084.0627989979921</v>
      </c>
      <c r="X35" s="1184">
        <f t="shared" si="2"/>
        <v>39822.540818682515</v>
      </c>
      <c r="Y35" s="1184">
        <f t="shared" si="3"/>
        <v>228.95406314837592</v>
      </c>
      <c r="Z35" s="1184">
        <f t="shared" si="4"/>
        <v>0</v>
      </c>
      <c r="AA35" s="1184">
        <f t="shared" si="5"/>
        <v>0</v>
      </c>
      <c r="AB35" s="1184">
        <f t="shared" si="6"/>
        <v>0</v>
      </c>
      <c r="AC35" s="1184">
        <f t="shared" si="7"/>
        <v>0</v>
      </c>
      <c r="AD35" s="1184">
        <f t="shared" si="8"/>
        <v>0</v>
      </c>
      <c r="AE35" s="1184">
        <f t="shared" si="9"/>
        <v>0</v>
      </c>
      <c r="AF35" s="1184">
        <v>0</v>
      </c>
      <c r="AG35" s="1184">
        <v>0</v>
      </c>
      <c r="AH35" s="1184">
        <v>0</v>
      </c>
      <c r="AI35" s="1184">
        <v>0</v>
      </c>
      <c r="AJ35" s="1170">
        <f t="shared" si="10"/>
        <v>0</v>
      </c>
      <c r="AK35" s="1171">
        <f t="shared" si="11"/>
        <v>0</v>
      </c>
      <c r="AL35" s="1169">
        <f>AK35/(1+'Major Assumption Key'!$B$8)^($F35-'Major Assumption Key'!$B$7)</f>
        <v>0</v>
      </c>
      <c r="AM35" s="1155"/>
      <c r="AN35" s="1165">
        <f t="shared" si="12"/>
        <v>0</v>
      </c>
      <c r="AO35" s="1170">
        <f t="shared" si="13"/>
        <v>0</v>
      </c>
      <c r="AP35" s="1171">
        <f t="shared" si="14"/>
        <v>0</v>
      </c>
      <c r="AQ35" s="1169">
        <f t="shared" si="15"/>
        <v>0</v>
      </c>
      <c r="AX35" s="1013"/>
      <c r="BH35" s="1149"/>
    </row>
    <row r="36" spans="1:60">
      <c r="A36" s="1252" t="str">
        <f>'BCA Guide - Parameter Values'!B145</f>
        <v>Reducing Upslope by 1%</v>
      </c>
      <c r="B36" s="1194">
        <f>'BCA Guide - Parameter Values'!C145</f>
        <v>1.1100000000000001</v>
      </c>
      <c r="C36" s="1195" t="s">
        <v>211</v>
      </c>
      <c r="D36" s="1257"/>
      <c r="F36" s="1181">
        <f>'Major Assumption Key'!A48</f>
        <v>2049</v>
      </c>
      <c r="G36" s="1251">
        <f>IFERROR(_xlfn.XLOOKUP(F36,'Pedestrian Demand'!A:A,'Pedestrian Demand'!B:B,,0)*$B$19,"N/A")</f>
        <v>95666.357759088802</v>
      </c>
      <c r="H36" s="1182">
        <v>0</v>
      </c>
      <c r="I36" s="1184">
        <v>0</v>
      </c>
      <c r="J36" s="1184">
        <v>0</v>
      </c>
      <c r="K36" s="1184">
        <v>0</v>
      </c>
      <c r="L36" s="1184">
        <v>0</v>
      </c>
      <c r="M36" s="1184">
        <v>0</v>
      </c>
      <c r="N36" s="1184">
        <v>0</v>
      </c>
      <c r="O36" s="1184">
        <v>0</v>
      </c>
      <c r="P36" s="1184">
        <v>0</v>
      </c>
      <c r="Q36" s="1184">
        <v>0</v>
      </c>
      <c r="R36" s="1184">
        <v>0</v>
      </c>
      <c r="S36" s="1184">
        <v>0</v>
      </c>
      <c r="T36" s="1184">
        <v>0</v>
      </c>
      <c r="U36" s="1165">
        <f t="shared" si="1"/>
        <v>0</v>
      </c>
      <c r="V36" s="1251">
        <f>IFERROR(_xlfn.XLOOKUP(F36,'Pedestrian Demand'!A:A,'Pedestrian Demand'!B:B,,0)*$B$19,"N/A")</f>
        <v>95666.357759088802</v>
      </c>
      <c r="W36" s="1251">
        <f>IF(F36&lt;$B$14,0,_xlfn.XLOOKUP(F36,'Pedestrian Demand'!A:A,'Pedestrian Demand'!$D:$D,,0)*$B$19)</f>
        <v>1085.3490717066511</v>
      </c>
      <c r="X36" s="1184">
        <f t="shared" si="2"/>
        <v>40409.469517439109</v>
      </c>
      <c r="Y36" s="1184">
        <f t="shared" si="3"/>
        <v>229.22572394444472</v>
      </c>
      <c r="Z36" s="1184">
        <f t="shared" si="4"/>
        <v>0</v>
      </c>
      <c r="AA36" s="1184">
        <f t="shared" si="5"/>
        <v>0</v>
      </c>
      <c r="AB36" s="1184">
        <f t="shared" si="6"/>
        <v>0</v>
      </c>
      <c r="AC36" s="1184">
        <f t="shared" si="7"/>
        <v>0</v>
      </c>
      <c r="AD36" s="1184">
        <f t="shared" si="8"/>
        <v>0</v>
      </c>
      <c r="AE36" s="1184">
        <f t="shared" si="9"/>
        <v>0</v>
      </c>
      <c r="AF36" s="1184">
        <v>0</v>
      </c>
      <c r="AG36" s="1184">
        <v>0</v>
      </c>
      <c r="AH36" s="1184">
        <v>0</v>
      </c>
      <c r="AI36" s="1184">
        <v>0</v>
      </c>
      <c r="AJ36" s="1170">
        <f t="shared" si="10"/>
        <v>0</v>
      </c>
      <c r="AK36" s="1171">
        <f t="shared" si="11"/>
        <v>0</v>
      </c>
      <c r="AL36" s="1169">
        <f>AK36/(1+'Major Assumption Key'!$B$8)^($F36-'Major Assumption Key'!$B$7)</f>
        <v>0</v>
      </c>
      <c r="AM36" s="1155"/>
      <c r="AN36" s="1165">
        <f t="shared" si="12"/>
        <v>0</v>
      </c>
      <c r="AO36" s="1170">
        <f t="shared" si="13"/>
        <v>0</v>
      </c>
      <c r="AP36" s="1171">
        <f t="shared" si="14"/>
        <v>0</v>
      </c>
      <c r="AQ36" s="1169">
        <f t="shared" si="15"/>
        <v>0</v>
      </c>
      <c r="AX36" s="1013"/>
      <c r="BH36" s="1149"/>
    </row>
    <row r="37" spans="1:60">
      <c r="A37" s="1252" t="str">
        <f>'BCA Guide - Parameter Values'!B146</f>
        <v>Reducing Traffic Speed by 1 mph (for speeds ≤45 mph)</v>
      </c>
      <c r="B37" s="1194">
        <f>'BCA Guide - Parameter Values'!C146</f>
        <v>0.09</v>
      </c>
      <c r="C37" s="1195" t="s">
        <v>211</v>
      </c>
      <c r="D37" s="1257"/>
      <c r="F37" s="1181">
        <f>'Major Assumption Key'!A49</f>
        <v>2050</v>
      </c>
      <c r="G37" s="1251">
        <f>IFERROR(_xlfn.XLOOKUP(F37,'Pedestrian Demand'!A:A,'Pedestrian Demand'!B:B,,0)*$B$19,"N/A")</f>
        <v>97076.346416768385</v>
      </c>
      <c r="H37" s="1182">
        <v>0</v>
      </c>
      <c r="I37" s="1184">
        <v>0</v>
      </c>
      <c r="J37" s="1184">
        <v>0</v>
      </c>
      <c r="K37" s="1184">
        <v>0</v>
      </c>
      <c r="L37" s="1184">
        <v>0</v>
      </c>
      <c r="M37" s="1184">
        <v>0</v>
      </c>
      <c r="N37" s="1184">
        <v>0</v>
      </c>
      <c r="O37" s="1184">
        <v>0</v>
      </c>
      <c r="P37" s="1184">
        <v>0</v>
      </c>
      <c r="Q37" s="1184">
        <v>0</v>
      </c>
      <c r="R37" s="1184">
        <v>0</v>
      </c>
      <c r="S37" s="1184">
        <v>0</v>
      </c>
      <c r="T37" s="1184">
        <v>0</v>
      </c>
      <c r="U37" s="1165">
        <f t="shared" si="1"/>
        <v>0</v>
      </c>
      <c r="V37" s="1251">
        <f>IFERROR(_xlfn.XLOOKUP(F37,'Pedestrian Demand'!A:A,'Pedestrian Demand'!B:B,,0)*$B$19,"N/A")</f>
        <v>97076.346416768385</v>
      </c>
      <c r="W37" s="1251">
        <f>IF(F37&lt;$B$14,0,_xlfn.XLOOKUP(F37,'Pedestrian Demand'!A:A,'Pedestrian Demand'!$D:$D,,0)*$B$19)</f>
        <v>1086.6368706160827</v>
      </c>
      <c r="X37" s="1184">
        <f t="shared" si="2"/>
        <v>41005.048726442968</v>
      </c>
      <c r="Y37" s="1184">
        <f t="shared" si="3"/>
        <v>229.49770707411665</v>
      </c>
      <c r="Z37" s="1184">
        <f t="shared" si="4"/>
        <v>0</v>
      </c>
      <c r="AA37" s="1184">
        <f t="shared" si="5"/>
        <v>0</v>
      </c>
      <c r="AB37" s="1184">
        <f t="shared" si="6"/>
        <v>0</v>
      </c>
      <c r="AC37" s="1184">
        <f t="shared" si="7"/>
        <v>0</v>
      </c>
      <c r="AD37" s="1184">
        <f t="shared" si="8"/>
        <v>0</v>
      </c>
      <c r="AE37" s="1184">
        <f t="shared" si="9"/>
        <v>0</v>
      </c>
      <c r="AF37" s="1184">
        <v>0</v>
      </c>
      <c r="AG37" s="1184">
        <v>0</v>
      </c>
      <c r="AH37" s="1184">
        <v>0</v>
      </c>
      <c r="AI37" s="1184">
        <v>0</v>
      </c>
      <c r="AJ37" s="1170">
        <f t="shared" si="10"/>
        <v>0</v>
      </c>
      <c r="AK37" s="1171">
        <f t="shared" si="11"/>
        <v>0</v>
      </c>
      <c r="AL37" s="1169">
        <f>AK37/(1+'Major Assumption Key'!$B$8)^($F37-'Major Assumption Key'!$B$7)</f>
        <v>0</v>
      </c>
      <c r="AM37" s="1155"/>
      <c r="AN37" s="1165">
        <f t="shared" si="12"/>
        <v>0</v>
      </c>
      <c r="AO37" s="1170">
        <f t="shared" si="13"/>
        <v>0</v>
      </c>
      <c r="AP37" s="1171">
        <f t="shared" si="14"/>
        <v>0</v>
      </c>
      <c r="AQ37" s="1169">
        <f t="shared" si="15"/>
        <v>0</v>
      </c>
      <c r="AX37" s="1013"/>
      <c r="BH37" s="1149"/>
    </row>
    <row r="38" spans="1:60">
      <c r="A38" s="1252" t="str">
        <f>'BCA Guide - Parameter Values'!B147</f>
        <v>Reducing Traffic Volume by 1 Vehicle per Hour (for ADT &lt;55,000)</v>
      </c>
      <c r="B38" s="1665">
        <f>'BCA Guide - Parameter Values'!C147</f>
        <v>1E-3</v>
      </c>
      <c r="C38" s="1195" t="s">
        <v>211</v>
      </c>
      <c r="D38" s="1257"/>
      <c r="F38" s="1181">
        <f>'Major Assumption Key'!A50</f>
        <v>2051</v>
      </c>
      <c r="G38" s="1251">
        <f>IFERROR(_xlfn.XLOOKUP(F38,'Pedestrian Demand'!A:A,'Pedestrian Demand'!B:B,,0)*$B$19,"N/A")</f>
        <v>98507.116340311506</v>
      </c>
      <c r="H38" s="1182">
        <v>0</v>
      </c>
      <c r="I38" s="1184">
        <v>0</v>
      </c>
      <c r="J38" s="1184">
        <v>0</v>
      </c>
      <c r="K38" s="1184">
        <v>0</v>
      </c>
      <c r="L38" s="1184">
        <v>0</v>
      </c>
      <c r="M38" s="1184">
        <v>0</v>
      </c>
      <c r="N38" s="1184">
        <v>0</v>
      </c>
      <c r="O38" s="1184">
        <v>0</v>
      </c>
      <c r="P38" s="1184">
        <v>0</v>
      </c>
      <c r="Q38" s="1184">
        <v>0</v>
      </c>
      <c r="R38" s="1184">
        <v>0</v>
      </c>
      <c r="S38" s="1184">
        <v>0</v>
      </c>
      <c r="T38" s="1184">
        <v>0</v>
      </c>
      <c r="U38" s="1165">
        <f t="shared" si="1"/>
        <v>0</v>
      </c>
      <c r="V38" s="1251">
        <f>IFERROR(_xlfn.XLOOKUP(F38,'Pedestrian Demand'!A:A,'Pedestrian Demand'!B:B,,0)*$B$19,"N/A")</f>
        <v>98507.116340311506</v>
      </c>
      <c r="W38" s="1251">
        <f>IF(F38&lt;$B$14,0,_xlfn.XLOOKUP(F38,'Pedestrian Demand'!A:A,'Pedestrian Demand'!$D:$D,,0)*$B$19)</f>
        <v>1087.9261975371689</v>
      </c>
      <c r="X38" s="1184">
        <f t="shared" si="2"/>
        <v>41609.405942147583</v>
      </c>
      <c r="Y38" s="1184">
        <f t="shared" si="3"/>
        <v>229.77001291985007</v>
      </c>
      <c r="Z38" s="1184">
        <f t="shared" si="4"/>
        <v>0</v>
      </c>
      <c r="AA38" s="1184">
        <f t="shared" si="5"/>
        <v>0</v>
      </c>
      <c r="AB38" s="1184">
        <f t="shared" si="6"/>
        <v>0</v>
      </c>
      <c r="AC38" s="1184">
        <f t="shared" si="7"/>
        <v>0</v>
      </c>
      <c r="AD38" s="1184">
        <f t="shared" si="8"/>
        <v>0</v>
      </c>
      <c r="AE38" s="1184">
        <f t="shared" si="9"/>
        <v>0</v>
      </c>
      <c r="AF38" s="1184">
        <v>0</v>
      </c>
      <c r="AG38" s="1184">
        <v>0</v>
      </c>
      <c r="AH38" s="1184">
        <v>0</v>
      </c>
      <c r="AI38" s="1184">
        <v>0</v>
      </c>
      <c r="AJ38" s="1170">
        <f t="shared" si="10"/>
        <v>0</v>
      </c>
      <c r="AK38" s="1171">
        <f t="shared" si="11"/>
        <v>0</v>
      </c>
      <c r="AL38" s="1169">
        <f>AK38/(1+'Major Assumption Key'!$B$8)^($F38-'Major Assumption Key'!$B$7)</f>
        <v>0</v>
      </c>
      <c r="AM38" s="1155"/>
      <c r="AN38" s="1165">
        <f t="shared" si="12"/>
        <v>0</v>
      </c>
      <c r="AO38" s="1170">
        <f t="shared" si="13"/>
        <v>0</v>
      </c>
      <c r="AP38" s="1171">
        <f t="shared" si="14"/>
        <v>0</v>
      </c>
      <c r="AQ38" s="1169">
        <f t="shared" si="15"/>
        <v>0</v>
      </c>
      <c r="AX38" s="1013"/>
      <c r="BH38" s="1149"/>
    </row>
    <row r="39" spans="1:60">
      <c r="A39" s="1252" t="str">
        <f>'BCA Guide - Parameter Values'!B150</f>
        <v>Install Marked-Crosswalk on Roadway with Volumes ≥10,000 Vehicle per Day</v>
      </c>
      <c r="B39" s="1194">
        <f>'BCA Guide - Parameter Values'!C150</f>
        <v>0.19</v>
      </c>
      <c r="C39" s="1195" t="s">
        <v>211</v>
      </c>
      <c r="D39" s="1257"/>
      <c r="F39" s="1181">
        <f>'Major Assumption Key'!A51</f>
        <v>2052</v>
      </c>
      <c r="G39" s="1251">
        <f>IFERROR(_xlfn.XLOOKUP(F39,'Pedestrian Demand'!A:A,'Pedestrian Demand'!B:B,,0)*$B$19,"N/A")</f>
        <v>99958.973816586848</v>
      </c>
      <c r="H39" s="1182">
        <v>0</v>
      </c>
      <c r="I39" s="1184">
        <v>0</v>
      </c>
      <c r="J39" s="1184">
        <v>0</v>
      </c>
      <c r="K39" s="1184">
        <v>0</v>
      </c>
      <c r="L39" s="1184">
        <v>0</v>
      </c>
      <c r="M39" s="1184">
        <v>0</v>
      </c>
      <c r="N39" s="1184">
        <v>0</v>
      </c>
      <c r="O39" s="1184">
        <v>0</v>
      </c>
      <c r="P39" s="1184">
        <v>0</v>
      </c>
      <c r="Q39" s="1184">
        <v>0</v>
      </c>
      <c r="R39" s="1184">
        <v>0</v>
      </c>
      <c r="S39" s="1184">
        <v>0</v>
      </c>
      <c r="T39" s="1184">
        <v>0</v>
      </c>
      <c r="U39" s="1165">
        <f t="shared" si="1"/>
        <v>0</v>
      </c>
      <c r="V39" s="1251">
        <f>IFERROR(_xlfn.XLOOKUP(F39,'Pedestrian Demand'!A:A,'Pedestrian Demand'!B:B,,0)*$B$19,"N/A")</f>
        <v>99958.973816586848</v>
      </c>
      <c r="W39" s="1251">
        <f>IF(F39&lt;$B$14,0,_xlfn.XLOOKUP(F39,'Pedestrian Demand'!A:A,'Pedestrian Demand'!$D:$D,,0)*$B$19)</f>
        <v>1089.214505783822</v>
      </c>
      <c r="X39" s="1184">
        <f t="shared" si="2"/>
        <v>42222.670540126281</v>
      </c>
      <c r="Y39" s="1184">
        <f t="shared" si="3"/>
        <v>230.04210362154322</v>
      </c>
      <c r="Z39" s="1184">
        <f t="shared" si="4"/>
        <v>0</v>
      </c>
      <c r="AA39" s="1184">
        <f t="shared" si="5"/>
        <v>0</v>
      </c>
      <c r="AB39" s="1184">
        <f t="shared" si="6"/>
        <v>0</v>
      </c>
      <c r="AC39" s="1184">
        <f t="shared" si="7"/>
        <v>0</v>
      </c>
      <c r="AD39" s="1184">
        <f t="shared" si="8"/>
        <v>0</v>
      </c>
      <c r="AE39" s="1184">
        <f t="shared" si="9"/>
        <v>0</v>
      </c>
      <c r="AF39" s="1184">
        <v>0</v>
      </c>
      <c r="AG39" s="1184">
        <v>0</v>
      </c>
      <c r="AH39" s="1184">
        <v>0</v>
      </c>
      <c r="AI39" s="1184">
        <v>0</v>
      </c>
      <c r="AJ39" s="1170">
        <f t="shared" si="10"/>
        <v>0</v>
      </c>
      <c r="AK39" s="1171">
        <f t="shared" si="11"/>
        <v>0</v>
      </c>
      <c r="AL39" s="1169">
        <f>AK39/(1+'Major Assumption Key'!$B$8)^($F39-'Major Assumption Key'!$B$7)</f>
        <v>0</v>
      </c>
      <c r="AM39" s="1155"/>
      <c r="AN39" s="1165">
        <f t="shared" si="12"/>
        <v>0</v>
      </c>
      <c r="AO39" s="1170">
        <f t="shared" si="13"/>
        <v>0</v>
      </c>
      <c r="AP39" s="1171">
        <f t="shared" si="14"/>
        <v>0</v>
      </c>
      <c r="AQ39" s="1169">
        <f t="shared" si="15"/>
        <v>0</v>
      </c>
      <c r="AX39" s="1013"/>
      <c r="BH39" s="1149"/>
    </row>
    <row r="40" spans="1:60" ht="15" thickBot="1">
      <c r="A40" s="1661" t="str">
        <f>'BCA Guide - Parameter Values'!B151</f>
        <v>Install Signal for Pedestrian Crossing on Roadway with Volumes ≥13,000 Vehicles per Day</v>
      </c>
      <c r="B40" s="1666">
        <f>'BCA Guide - Parameter Values'!C151</f>
        <v>0.51</v>
      </c>
      <c r="C40" s="1667" t="s">
        <v>211</v>
      </c>
      <c r="D40" s="1668"/>
      <c r="F40" s="1181">
        <f>'Major Assumption Key'!A52</f>
        <v>2053</v>
      </c>
      <c r="G40" s="1251">
        <f>IFERROR(_xlfn.XLOOKUP(F40,'Pedestrian Demand'!A:A,'Pedestrian Demand'!B:B,,0)*$B$19,"N/A")</f>
        <v>101432.22964670431</v>
      </c>
      <c r="H40" s="1182">
        <v>0</v>
      </c>
      <c r="I40" s="1184">
        <v>0</v>
      </c>
      <c r="J40" s="1184">
        <v>0</v>
      </c>
      <c r="K40" s="1184">
        <v>0</v>
      </c>
      <c r="L40" s="1184">
        <v>0</v>
      </c>
      <c r="M40" s="1184">
        <v>0</v>
      </c>
      <c r="N40" s="1184">
        <v>0</v>
      </c>
      <c r="O40" s="1184">
        <v>0</v>
      </c>
      <c r="P40" s="1184">
        <v>0</v>
      </c>
      <c r="Q40" s="1184">
        <v>0</v>
      </c>
      <c r="R40" s="1184">
        <v>0</v>
      </c>
      <c r="S40" s="1184">
        <v>0</v>
      </c>
      <c r="T40" s="1184">
        <v>0</v>
      </c>
      <c r="U40" s="1165">
        <f t="shared" si="1"/>
        <v>0</v>
      </c>
      <c r="V40" s="1251">
        <f>IFERROR(_xlfn.XLOOKUP(F40,'Pedestrian Demand'!A:A,'Pedestrian Demand'!B:B,,0)*$B$19,"N/A")</f>
        <v>101432.22964670431</v>
      </c>
      <c r="W40" s="1251">
        <f>IF(F40&lt;$B$14,0,_xlfn.XLOOKUP(F40,'Pedestrian Demand'!A:A,'Pedestrian Demand'!$D:$D,,0)*$B$19)</f>
        <v>1090.5030686990763</v>
      </c>
      <c r="X40" s="1184">
        <f t="shared" si="2"/>
        <v>42844.973802767898</v>
      </c>
      <c r="Y40" s="1184">
        <f t="shared" si="3"/>
        <v>230.31424810924491</v>
      </c>
      <c r="Z40" s="1184">
        <f t="shared" si="4"/>
        <v>0</v>
      </c>
      <c r="AA40" s="1184">
        <f t="shared" si="5"/>
        <v>0</v>
      </c>
      <c r="AB40" s="1184">
        <f t="shared" si="6"/>
        <v>0</v>
      </c>
      <c r="AC40" s="1184">
        <f t="shared" si="7"/>
        <v>0</v>
      </c>
      <c r="AD40" s="1184">
        <f t="shared" si="8"/>
        <v>0</v>
      </c>
      <c r="AE40" s="1184">
        <f t="shared" si="9"/>
        <v>0</v>
      </c>
      <c r="AF40" s="1184">
        <v>0</v>
      </c>
      <c r="AG40" s="1184">
        <v>0</v>
      </c>
      <c r="AH40" s="1184">
        <v>0</v>
      </c>
      <c r="AI40" s="1184">
        <v>0</v>
      </c>
      <c r="AJ40" s="1170">
        <f t="shared" si="10"/>
        <v>0</v>
      </c>
      <c r="AK40" s="1171">
        <f t="shared" si="11"/>
        <v>0</v>
      </c>
      <c r="AL40" s="1169">
        <f>AK40/(1+'Major Assumption Key'!$B$8)^($F40-'Major Assumption Key'!$B$7)</f>
        <v>0</v>
      </c>
      <c r="AM40" s="1155"/>
      <c r="AN40" s="1165">
        <f t="shared" si="12"/>
        <v>0</v>
      </c>
      <c r="AO40" s="1170">
        <f t="shared" si="13"/>
        <v>0</v>
      </c>
      <c r="AP40" s="1171">
        <f t="shared" si="14"/>
        <v>0</v>
      </c>
      <c r="AQ40" s="1169">
        <f t="shared" si="15"/>
        <v>0</v>
      </c>
      <c r="AX40" s="1013"/>
      <c r="BH40" s="1149"/>
    </row>
    <row r="41" spans="1:60">
      <c r="A41" s="1965" t="s">
        <v>1148</v>
      </c>
      <c r="B41" s="1965"/>
      <c r="C41" s="1965"/>
      <c r="D41" s="1965"/>
      <c r="F41" s="1181">
        <f>'Major Assumption Key'!A53</f>
        <v>2054</v>
      </c>
      <c r="G41" s="1251">
        <f>IFERROR(_xlfn.XLOOKUP(F41,'Pedestrian Demand'!A:A,'Pedestrian Demand'!B:B,,0)*$B$19,"N/A")</f>
        <v>102927.19921254856</v>
      </c>
      <c r="H41" s="1182">
        <v>0</v>
      </c>
      <c r="I41" s="1184">
        <v>0</v>
      </c>
      <c r="J41" s="1184">
        <v>0</v>
      </c>
      <c r="K41" s="1184">
        <v>0</v>
      </c>
      <c r="L41" s="1184">
        <v>0</v>
      </c>
      <c r="M41" s="1184">
        <v>0</v>
      </c>
      <c r="N41" s="1184">
        <v>0</v>
      </c>
      <c r="O41" s="1184">
        <v>0</v>
      </c>
      <c r="P41" s="1184">
        <v>0</v>
      </c>
      <c r="Q41" s="1184">
        <v>0</v>
      </c>
      <c r="R41" s="1184">
        <v>0</v>
      </c>
      <c r="S41" s="1184">
        <v>0</v>
      </c>
      <c r="T41" s="1184">
        <v>0</v>
      </c>
      <c r="U41" s="1165">
        <f t="shared" si="1"/>
        <v>0</v>
      </c>
      <c r="V41" s="1251">
        <f>IFERROR(_xlfn.XLOOKUP(F41,'Pedestrian Demand'!A:A,'Pedestrian Demand'!B:B,,0)*$B$19,"N/A")</f>
        <v>102927.19921254856</v>
      </c>
      <c r="W41" s="1251">
        <f>IF(F41&lt;$B$14,0,_xlfn.XLOOKUP(F41,'Pedestrian Demand'!A:A,'Pedestrian Demand'!$D:$D,,0)*$B$19)</f>
        <v>1091.7916316143396</v>
      </c>
      <c r="X41" s="1184">
        <f t="shared" si="2"/>
        <v>43476.448947380508</v>
      </c>
      <c r="Y41" s="1184">
        <f t="shared" si="3"/>
        <v>230.58639259694851</v>
      </c>
      <c r="Z41" s="1184">
        <f t="shared" si="4"/>
        <v>0</v>
      </c>
      <c r="AA41" s="1184">
        <f t="shared" si="5"/>
        <v>0</v>
      </c>
      <c r="AB41" s="1184">
        <f t="shared" si="6"/>
        <v>0</v>
      </c>
      <c r="AC41" s="1184">
        <f t="shared" si="7"/>
        <v>0</v>
      </c>
      <c r="AD41" s="1184">
        <f t="shared" si="8"/>
        <v>0</v>
      </c>
      <c r="AE41" s="1184">
        <f t="shared" si="9"/>
        <v>0</v>
      </c>
      <c r="AF41" s="1184">
        <v>0</v>
      </c>
      <c r="AG41" s="1184">
        <v>0</v>
      </c>
      <c r="AH41" s="1184">
        <v>0</v>
      </c>
      <c r="AI41" s="1184">
        <v>0</v>
      </c>
      <c r="AJ41" s="1170">
        <f t="shared" si="10"/>
        <v>0</v>
      </c>
      <c r="AK41" s="1171">
        <f t="shared" si="11"/>
        <v>0</v>
      </c>
      <c r="AL41" s="1169">
        <f>AK41/(1+'Major Assumption Key'!$B$8)^($F41-'Major Assumption Key'!$B$7)</f>
        <v>0</v>
      </c>
      <c r="AM41" s="1155"/>
      <c r="AN41" s="1165">
        <f t="shared" si="12"/>
        <v>0</v>
      </c>
      <c r="AO41" s="1170">
        <f t="shared" si="13"/>
        <v>0</v>
      </c>
      <c r="AP41" s="1171">
        <f t="shared" si="14"/>
        <v>0</v>
      </c>
      <c r="AQ41" s="1169">
        <f t="shared" si="15"/>
        <v>0</v>
      </c>
      <c r="AX41" s="1013"/>
      <c r="BH41" s="1149"/>
    </row>
    <row r="42" spans="1:60">
      <c r="F42" s="1181">
        <f>'Major Assumption Key'!A54</f>
        <v>2055</v>
      </c>
      <c r="G42" s="1251">
        <f>IFERROR(_xlfn.XLOOKUP(F42,'Pedestrian Demand'!A:A,'Pedestrian Demand'!B:B,,0)*$B$19,"N/A")</f>
        <v>104444.20254429329</v>
      </c>
      <c r="H42" s="1182">
        <v>0</v>
      </c>
      <c r="I42" s="1184">
        <v>0</v>
      </c>
      <c r="J42" s="1184">
        <v>0</v>
      </c>
      <c r="K42" s="1184">
        <v>0</v>
      </c>
      <c r="L42" s="1184">
        <v>0</v>
      </c>
      <c r="M42" s="1184">
        <v>0</v>
      </c>
      <c r="N42" s="1184">
        <v>0</v>
      </c>
      <c r="O42" s="1184">
        <v>0</v>
      </c>
      <c r="P42" s="1184">
        <v>0</v>
      </c>
      <c r="Q42" s="1184">
        <v>0</v>
      </c>
      <c r="R42" s="1184">
        <v>0</v>
      </c>
      <c r="S42" s="1184">
        <v>0</v>
      </c>
      <c r="T42" s="1184">
        <v>0</v>
      </c>
      <c r="U42" s="1165">
        <f t="shared" si="1"/>
        <v>0</v>
      </c>
      <c r="V42" s="1251">
        <f>IFERROR(_xlfn.XLOOKUP(F42,'Pedestrian Demand'!A:A,'Pedestrian Demand'!B:B,,0)*$B$19,"N/A")</f>
        <v>104444.20254429329</v>
      </c>
      <c r="W42" s="1251">
        <f>IF(F42&lt;$B$14,0,_xlfn.XLOOKUP(F42,'Pedestrian Demand'!A:A,'Pedestrian Demand'!$D:$D,,0)*$B$19)</f>
        <v>1093.0801945295939</v>
      </c>
      <c r="X42" s="1184">
        <f t="shared" si="2"/>
        <v>44117.231154709487</v>
      </c>
      <c r="Y42" s="1184">
        <f t="shared" si="3"/>
        <v>230.85853708465024</v>
      </c>
      <c r="Z42" s="1184">
        <f t="shared" si="4"/>
        <v>0</v>
      </c>
      <c r="AA42" s="1184">
        <f t="shared" si="5"/>
        <v>0</v>
      </c>
      <c r="AB42" s="1184">
        <f t="shared" si="6"/>
        <v>0</v>
      </c>
      <c r="AC42" s="1184">
        <f t="shared" si="7"/>
        <v>0</v>
      </c>
      <c r="AD42" s="1184">
        <f t="shared" si="8"/>
        <v>0</v>
      </c>
      <c r="AE42" s="1184">
        <f t="shared" si="9"/>
        <v>0</v>
      </c>
      <c r="AF42" s="1184">
        <v>0</v>
      </c>
      <c r="AG42" s="1184">
        <v>0</v>
      </c>
      <c r="AH42" s="1184">
        <v>0</v>
      </c>
      <c r="AI42" s="1184">
        <v>0</v>
      </c>
      <c r="AJ42" s="1170">
        <f t="shared" si="10"/>
        <v>0</v>
      </c>
      <c r="AK42" s="1171">
        <f t="shared" si="11"/>
        <v>0</v>
      </c>
      <c r="AL42" s="1169">
        <f>AK42/(1+'Major Assumption Key'!$B$8)^($F42-'Major Assumption Key'!$B$7)</f>
        <v>0</v>
      </c>
      <c r="AM42" s="1155"/>
      <c r="AN42" s="1165">
        <f t="shared" si="12"/>
        <v>0</v>
      </c>
      <c r="AO42" s="1170">
        <f t="shared" si="13"/>
        <v>0</v>
      </c>
      <c r="AP42" s="1171">
        <f t="shared" si="14"/>
        <v>0</v>
      </c>
      <c r="AQ42" s="1169">
        <f t="shared" si="15"/>
        <v>0</v>
      </c>
      <c r="AX42" s="1013"/>
      <c r="BH42" s="1149"/>
    </row>
    <row r="43" spans="1:60">
      <c r="A43" s="1243" t="s">
        <v>1149</v>
      </c>
      <c r="B43" s="1669"/>
      <c r="C43" s="1669"/>
      <c r="F43" s="1181">
        <f>'Major Assumption Key'!A55</f>
        <v>2056</v>
      </c>
      <c r="G43" s="1251">
        <f>IFERROR(_xlfn.XLOOKUP(F43,'Pedestrian Demand'!A:A,'Pedestrian Demand'!B:B,,0)*$B$19,"N/A")</f>
        <v>105983.56438891056</v>
      </c>
      <c r="H43" s="1182">
        <v>0</v>
      </c>
      <c r="I43" s="1184">
        <v>0</v>
      </c>
      <c r="J43" s="1184">
        <v>0</v>
      </c>
      <c r="K43" s="1184">
        <v>0</v>
      </c>
      <c r="L43" s="1184">
        <v>0</v>
      </c>
      <c r="M43" s="1184">
        <v>0</v>
      </c>
      <c r="N43" s="1184">
        <v>0</v>
      </c>
      <c r="O43" s="1184">
        <v>0</v>
      </c>
      <c r="P43" s="1184">
        <v>0</v>
      </c>
      <c r="Q43" s="1184">
        <v>0</v>
      </c>
      <c r="R43" s="1184">
        <v>0</v>
      </c>
      <c r="S43" s="1184">
        <v>0</v>
      </c>
      <c r="T43" s="1184">
        <v>0</v>
      </c>
      <c r="U43" s="1165">
        <f t="shared" si="1"/>
        <v>0</v>
      </c>
      <c r="V43" s="1251">
        <f>IFERROR(_xlfn.XLOOKUP(F43,'Pedestrian Demand'!A:A,'Pedestrian Demand'!B:B,,0)*$B$19,"N/A")</f>
        <v>105983.56438891056</v>
      </c>
      <c r="W43" s="1251">
        <f>IF(F43&lt;$B$14,0,_xlfn.XLOOKUP(F43,'Pedestrian Demand'!A:A,'Pedestrian Demand'!$D:$D,,0)*$B$19)</f>
        <v>1094.3687574448577</v>
      </c>
      <c r="X43" s="1184">
        <f t="shared" si="2"/>
        <v>44767.457597875822</v>
      </c>
      <c r="Y43" s="1184">
        <f t="shared" si="3"/>
        <v>231.13068157235395</v>
      </c>
      <c r="Z43" s="1184">
        <f t="shared" si="4"/>
        <v>0</v>
      </c>
      <c r="AA43" s="1184">
        <f t="shared" si="5"/>
        <v>0</v>
      </c>
      <c r="AB43" s="1184">
        <f t="shared" si="6"/>
        <v>0</v>
      </c>
      <c r="AC43" s="1184">
        <f t="shared" si="7"/>
        <v>0</v>
      </c>
      <c r="AD43" s="1184">
        <f t="shared" si="8"/>
        <v>0</v>
      </c>
      <c r="AE43" s="1184">
        <f t="shared" si="9"/>
        <v>0</v>
      </c>
      <c r="AF43" s="1184">
        <v>0</v>
      </c>
      <c r="AG43" s="1184">
        <v>0</v>
      </c>
      <c r="AH43" s="1184">
        <v>0</v>
      </c>
      <c r="AI43" s="1184">
        <v>0</v>
      </c>
      <c r="AJ43" s="1170">
        <f t="shared" si="10"/>
        <v>0</v>
      </c>
      <c r="AK43" s="1171">
        <f t="shared" si="11"/>
        <v>0</v>
      </c>
      <c r="AL43" s="1169">
        <f>AK43/(1+'Major Assumption Key'!$B$8)^($F43-'Major Assumption Key'!$B$7)</f>
        <v>0</v>
      </c>
      <c r="AM43" s="1155"/>
      <c r="AN43" s="1165">
        <f t="shared" si="12"/>
        <v>0</v>
      </c>
      <c r="AO43" s="1170">
        <f t="shared" si="13"/>
        <v>0</v>
      </c>
      <c r="AP43" s="1171">
        <f t="shared" si="14"/>
        <v>0</v>
      </c>
      <c r="AQ43" s="1169">
        <f t="shared" si="15"/>
        <v>0</v>
      </c>
      <c r="AX43" s="1013"/>
      <c r="BH43" s="1149"/>
    </row>
    <row r="44" spans="1:60" ht="28.8">
      <c r="A44" s="1643" t="s">
        <v>1150</v>
      </c>
      <c r="B44" s="1643" t="s">
        <v>1151</v>
      </c>
      <c r="C44" s="1643" t="s">
        <v>1152</v>
      </c>
      <c r="F44" s="1181">
        <f>'Major Assumption Key'!A56</f>
        <v>2057</v>
      </c>
      <c r="G44" s="1251">
        <f>IFERROR(_xlfn.XLOOKUP(F44,'Pedestrian Demand'!A:A,'Pedestrian Demand'!B:B,,0)*$B$19,"N/A")</f>
        <v>107545.61427968966</v>
      </c>
      <c r="H44" s="1182">
        <v>0</v>
      </c>
      <c r="I44" s="1184">
        <v>0</v>
      </c>
      <c r="J44" s="1184">
        <v>0</v>
      </c>
      <c r="K44" s="1184">
        <v>0</v>
      </c>
      <c r="L44" s="1184">
        <v>0</v>
      </c>
      <c r="M44" s="1184">
        <v>0</v>
      </c>
      <c r="N44" s="1184">
        <v>0</v>
      </c>
      <c r="O44" s="1184">
        <v>0</v>
      </c>
      <c r="P44" s="1184">
        <v>0</v>
      </c>
      <c r="Q44" s="1184">
        <v>0</v>
      </c>
      <c r="R44" s="1184">
        <v>0</v>
      </c>
      <c r="S44" s="1184">
        <v>0</v>
      </c>
      <c r="T44" s="1184">
        <v>0</v>
      </c>
      <c r="U44" s="1165">
        <f t="shared" si="1"/>
        <v>0</v>
      </c>
      <c r="V44" s="1251">
        <f>IFERROR(_xlfn.XLOOKUP(F44,'Pedestrian Demand'!A:A,'Pedestrian Demand'!B:B,,0)*$B$19,"N/A")</f>
        <v>107545.61427968966</v>
      </c>
      <c r="W44" s="1251">
        <f>IF(F44&lt;$B$14,0,_xlfn.XLOOKUP(F44,'Pedestrian Demand'!A:A,'Pedestrian Demand'!$D:$D,,0)*$B$19)</f>
        <v>1095.6573203601117</v>
      </c>
      <c r="X44" s="1184">
        <f t="shared" si="2"/>
        <v>45427.26747174091</v>
      </c>
      <c r="Y44" s="1184">
        <f t="shared" si="3"/>
        <v>231.40282606005559</v>
      </c>
      <c r="Z44" s="1184">
        <f t="shared" si="4"/>
        <v>0</v>
      </c>
      <c r="AA44" s="1184">
        <f t="shared" si="5"/>
        <v>0</v>
      </c>
      <c r="AB44" s="1184">
        <f t="shared" si="6"/>
        <v>0</v>
      </c>
      <c r="AC44" s="1184">
        <f t="shared" si="7"/>
        <v>0</v>
      </c>
      <c r="AD44" s="1184">
        <f t="shared" si="8"/>
        <v>0</v>
      </c>
      <c r="AE44" s="1184">
        <f t="shared" si="9"/>
        <v>0</v>
      </c>
      <c r="AF44" s="1184">
        <v>0</v>
      </c>
      <c r="AG44" s="1184">
        <v>0</v>
      </c>
      <c r="AH44" s="1184">
        <v>0</v>
      </c>
      <c r="AI44" s="1184">
        <v>0</v>
      </c>
      <c r="AJ44" s="1170">
        <f t="shared" si="10"/>
        <v>0</v>
      </c>
      <c r="AK44" s="1171">
        <f t="shared" si="11"/>
        <v>0</v>
      </c>
      <c r="AL44" s="1169">
        <f>AK44/(1+'Major Assumption Key'!$B$8)^($F44-'Major Assumption Key'!$B$7)</f>
        <v>0</v>
      </c>
      <c r="AM44" s="1155"/>
      <c r="AN44" s="1165">
        <f t="shared" si="12"/>
        <v>0</v>
      </c>
      <c r="AO44" s="1170">
        <f t="shared" si="13"/>
        <v>0</v>
      </c>
      <c r="AP44" s="1171">
        <f t="shared" si="14"/>
        <v>0</v>
      </c>
      <c r="AQ44" s="1169">
        <f t="shared" si="15"/>
        <v>0</v>
      </c>
      <c r="AX44" s="1013"/>
      <c r="BH44" s="1149"/>
    </row>
    <row r="45" spans="1:60" ht="43.2">
      <c r="A45" s="1644" t="s">
        <v>1153</v>
      </c>
      <c r="B45" s="1644" t="s">
        <v>1154</v>
      </c>
      <c r="C45" s="1644" t="s">
        <v>1155</v>
      </c>
      <c r="F45" s="1181">
        <f>'Major Assumption Key'!A57</f>
        <v>2058</v>
      </c>
      <c r="G45" s="1251">
        <f>IFERROR(_xlfn.XLOOKUP(F45,'Pedestrian Demand'!A:A,'Pedestrian Demand'!B:B,,0)*$B$19,"N/A")</f>
        <v>109130.68660678096</v>
      </c>
      <c r="H45" s="1182">
        <v>0</v>
      </c>
      <c r="I45" s="1184">
        <v>0</v>
      </c>
      <c r="J45" s="1184">
        <v>0</v>
      </c>
      <c r="K45" s="1184">
        <v>0</v>
      </c>
      <c r="L45" s="1184">
        <v>0</v>
      </c>
      <c r="M45" s="1184">
        <v>0</v>
      </c>
      <c r="N45" s="1184">
        <v>0</v>
      </c>
      <c r="O45" s="1184">
        <v>0</v>
      </c>
      <c r="P45" s="1184">
        <v>0</v>
      </c>
      <c r="Q45" s="1184">
        <v>0</v>
      </c>
      <c r="R45" s="1184">
        <v>0</v>
      </c>
      <c r="S45" s="1184">
        <v>0</v>
      </c>
      <c r="T45" s="1184">
        <v>0</v>
      </c>
      <c r="U45" s="1165">
        <f t="shared" si="1"/>
        <v>0</v>
      </c>
      <c r="V45" s="1251">
        <f>IFERROR(_xlfn.XLOOKUP(F45,'Pedestrian Demand'!A:A,'Pedestrian Demand'!B:B,,0)*$B$19,"N/A")</f>
        <v>109130.68660678096</v>
      </c>
      <c r="W45" s="1251">
        <f>IF(F45&lt;$B$14,0,_xlfn.XLOOKUP(F45,'Pedestrian Demand'!A:A,'Pedestrian Demand'!$D:$D,,0)*$B$19)</f>
        <v>1096.9458832753755</v>
      </c>
      <c r="X45" s="1184">
        <f t="shared" si="2"/>
        <v>46096.80202270428</v>
      </c>
      <c r="Y45" s="1184">
        <f t="shared" si="3"/>
        <v>231.6749705477593</v>
      </c>
      <c r="Z45" s="1184">
        <f t="shared" si="4"/>
        <v>0</v>
      </c>
      <c r="AA45" s="1184">
        <f t="shared" si="5"/>
        <v>0</v>
      </c>
      <c r="AB45" s="1184">
        <f t="shared" si="6"/>
        <v>0</v>
      </c>
      <c r="AC45" s="1184">
        <f t="shared" si="7"/>
        <v>0</v>
      </c>
      <c r="AD45" s="1184">
        <f t="shared" si="8"/>
        <v>0</v>
      </c>
      <c r="AE45" s="1184">
        <f t="shared" si="9"/>
        <v>0</v>
      </c>
      <c r="AF45" s="1184">
        <v>0</v>
      </c>
      <c r="AG45" s="1184">
        <v>0</v>
      </c>
      <c r="AH45" s="1184">
        <v>0</v>
      </c>
      <c r="AI45" s="1184">
        <v>0</v>
      </c>
      <c r="AJ45" s="1170">
        <f t="shared" si="10"/>
        <v>0</v>
      </c>
      <c r="AK45" s="1171">
        <f t="shared" si="11"/>
        <v>0</v>
      </c>
      <c r="AL45" s="1169">
        <f>AK45/(1+'Major Assumption Key'!$B$8)^($F45-'Major Assumption Key'!$B$7)</f>
        <v>0</v>
      </c>
      <c r="AM45" s="1155"/>
      <c r="AN45" s="1165">
        <f t="shared" si="12"/>
        <v>0</v>
      </c>
      <c r="AO45" s="1170">
        <f t="shared" si="13"/>
        <v>0</v>
      </c>
      <c r="AP45" s="1171">
        <f t="shared" si="14"/>
        <v>0</v>
      </c>
      <c r="AQ45" s="1169">
        <f t="shared" si="15"/>
        <v>0</v>
      </c>
      <c r="AX45" s="1013"/>
      <c r="BH45" s="1149"/>
    </row>
    <row r="46" spans="1:60">
      <c r="A46" s="1644" t="s">
        <v>1153</v>
      </c>
      <c r="B46" s="1644" t="s">
        <v>1156</v>
      </c>
      <c r="C46" s="1644" t="s">
        <v>1157</v>
      </c>
      <c r="F46" s="1181">
        <f>'Major Assumption Key'!A58</f>
        <v>2059</v>
      </c>
      <c r="G46" s="1251">
        <f>IFERROR(_xlfn.XLOOKUP(F46,'Pedestrian Demand'!A:A,'Pedestrian Demand'!B:B,,0)*$B$19,"N/A")</f>
        <v>110739.12068877912</v>
      </c>
      <c r="H46" s="1182">
        <v>0</v>
      </c>
      <c r="I46" s="1184">
        <v>0</v>
      </c>
      <c r="J46" s="1184">
        <v>0</v>
      </c>
      <c r="K46" s="1184">
        <v>0</v>
      </c>
      <c r="L46" s="1184">
        <v>0</v>
      </c>
      <c r="M46" s="1184">
        <v>0</v>
      </c>
      <c r="N46" s="1184">
        <v>0</v>
      </c>
      <c r="O46" s="1184">
        <v>0</v>
      </c>
      <c r="P46" s="1184">
        <v>0</v>
      </c>
      <c r="Q46" s="1184">
        <v>0</v>
      </c>
      <c r="R46" s="1184">
        <v>0</v>
      </c>
      <c r="S46" s="1184">
        <v>0</v>
      </c>
      <c r="T46" s="1184">
        <v>0</v>
      </c>
      <c r="U46" s="1165">
        <f t="shared" si="1"/>
        <v>0</v>
      </c>
      <c r="V46" s="1251">
        <f>IFERROR(_xlfn.XLOOKUP(F46,'Pedestrian Demand'!A:A,'Pedestrian Demand'!B:B,,0)*$B$19,"N/A")</f>
        <v>110739.12068877912</v>
      </c>
      <c r="W46" s="1251">
        <f>IF(F46&lt;$B$14,0,_xlfn.XLOOKUP(F46,'Pedestrian Demand'!A:A,'Pedestrian Demand'!$D:$D,,0)*$B$19)</f>
        <v>1098.2344461906296</v>
      </c>
      <c r="X46" s="1184">
        <f t="shared" si="2"/>
        <v>46776.204578940298</v>
      </c>
      <c r="Y46" s="1184">
        <f t="shared" si="3"/>
        <v>231.94711503546097</v>
      </c>
      <c r="Z46" s="1184">
        <f t="shared" si="4"/>
        <v>0</v>
      </c>
      <c r="AA46" s="1184">
        <f t="shared" si="5"/>
        <v>0</v>
      </c>
      <c r="AB46" s="1184">
        <f t="shared" si="6"/>
        <v>0</v>
      </c>
      <c r="AC46" s="1184">
        <f t="shared" si="7"/>
        <v>0</v>
      </c>
      <c r="AD46" s="1184">
        <f t="shared" si="8"/>
        <v>0</v>
      </c>
      <c r="AE46" s="1184">
        <f t="shared" si="9"/>
        <v>0</v>
      </c>
      <c r="AF46" s="1184">
        <v>0</v>
      </c>
      <c r="AG46" s="1184">
        <v>0</v>
      </c>
      <c r="AH46" s="1184">
        <v>0</v>
      </c>
      <c r="AI46" s="1184">
        <v>0</v>
      </c>
      <c r="AJ46" s="1170">
        <f t="shared" si="10"/>
        <v>0</v>
      </c>
      <c r="AK46" s="1171">
        <f t="shared" si="11"/>
        <v>0</v>
      </c>
      <c r="AL46" s="1169">
        <f>AK46/(1+'Major Assumption Key'!$B$8)^($F46-'Major Assumption Key'!$B$7)</f>
        <v>0</v>
      </c>
      <c r="AM46" s="1155"/>
      <c r="AN46" s="1165">
        <f t="shared" si="12"/>
        <v>0</v>
      </c>
      <c r="AO46" s="1170">
        <f t="shared" si="13"/>
        <v>0</v>
      </c>
      <c r="AP46" s="1171">
        <f t="shared" si="14"/>
        <v>0</v>
      </c>
      <c r="AQ46" s="1169">
        <f t="shared" si="15"/>
        <v>0</v>
      </c>
      <c r="AX46" s="1013"/>
      <c r="BH46" s="1149"/>
    </row>
    <row r="47" spans="1:60">
      <c r="A47" s="1644" t="s">
        <v>1158</v>
      </c>
      <c r="B47" s="1644" t="s">
        <v>1153</v>
      </c>
      <c r="C47" s="1644" t="s">
        <v>1157</v>
      </c>
      <c r="F47" s="1181">
        <f>'Major Assumption Key'!A59</f>
        <v>2060</v>
      </c>
      <c r="G47" s="1251">
        <f>IFERROR(_xlfn.XLOOKUP(F47,'Pedestrian Demand'!A:A,'Pedestrian Demand'!B:B,,0)*$B$19,"N/A")</f>
        <v>112371.26084536157</v>
      </c>
      <c r="H47" s="1182">
        <v>0</v>
      </c>
      <c r="I47" s="1184">
        <v>0</v>
      </c>
      <c r="J47" s="1184">
        <v>0</v>
      </c>
      <c r="K47" s="1184">
        <v>0</v>
      </c>
      <c r="L47" s="1184">
        <v>0</v>
      </c>
      <c r="M47" s="1184">
        <v>0</v>
      </c>
      <c r="N47" s="1184">
        <v>0</v>
      </c>
      <c r="O47" s="1184">
        <v>0</v>
      </c>
      <c r="P47" s="1184">
        <v>0</v>
      </c>
      <c r="Q47" s="1184">
        <v>0</v>
      </c>
      <c r="R47" s="1184">
        <v>0</v>
      </c>
      <c r="S47" s="1184">
        <v>0</v>
      </c>
      <c r="T47" s="1184">
        <v>0</v>
      </c>
      <c r="U47" s="1165">
        <f t="shared" si="1"/>
        <v>0</v>
      </c>
      <c r="V47" s="1251">
        <f>IFERROR(_xlfn.XLOOKUP(F47,'Pedestrian Demand'!A:A,'Pedestrian Demand'!B:B,,0)*$B$19,"N/A")</f>
        <v>112371.26084536157</v>
      </c>
      <c r="W47" s="1251">
        <f>IF(F47&lt;$B$14,0,_xlfn.XLOOKUP(F47,'Pedestrian Demand'!A:A,'Pedestrian Demand'!$D:$D,,0)*$B$19)</f>
        <v>1099.5230091058934</v>
      </c>
      <c r="X47" s="1184">
        <f t="shared" si="2"/>
        <v>47465.62058108073</v>
      </c>
      <c r="Y47" s="1184">
        <f t="shared" si="3"/>
        <v>232.21925952316468</v>
      </c>
      <c r="Z47" s="1184">
        <f t="shared" si="4"/>
        <v>0</v>
      </c>
      <c r="AA47" s="1184">
        <f t="shared" si="5"/>
        <v>0</v>
      </c>
      <c r="AB47" s="1184">
        <f t="shared" si="6"/>
        <v>0</v>
      </c>
      <c r="AC47" s="1184">
        <f t="shared" si="7"/>
        <v>0</v>
      </c>
      <c r="AD47" s="1184">
        <f t="shared" si="8"/>
        <v>0</v>
      </c>
      <c r="AE47" s="1184">
        <f t="shared" si="9"/>
        <v>0</v>
      </c>
      <c r="AF47" s="1184">
        <v>0</v>
      </c>
      <c r="AG47" s="1184">
        <v>0</v>
      </c>
      <c r="AH47" s="1184">
        <v>0</v>
      </c>
      <c r="AI47" s="1184">
        <v>0</v>
      </c>
      <c r="AJ47" s="1170">
        <f t="shared" si="10"/>
        <v>0</v>
      </c>
      <c r="AK47" s="1171">
        <f t="shared" si="11"/>
        <v>0</v>
      </c>
      <c r="AL47" s="1169">
        <f>AK47/(1+'Major Assumption Key'!$B$8)^($F47-'Major Assumption Key'!$B$7)</f>
        <v>0</v>
      </c>
      <c r="AM47" s="1155"/>
      <c r="AN47" s="1165">
        <f t="shared" si="12"/>
        <v>0</v>
      </c>
      <c r="AO47" s="1170">
        <f t="shared" si="13"/>
        <v>0</v>
      </c>
      <c r="AP47" s="1171">
        <f t="shared" si="14"/>
        <v>0</v>
      </c>
      <c r="AQ47" s="1169">
        <f t="shared" si="15"/>
        <v>0</v>
      </c>
      <c r="AX47" s="1013"/>
      <c r="BH47" s="1149"/>
    </row>
    <row r="48" spans="1:60" ht="15" thickBot="1">
      <c r="A48" s="1644" t="s">
        <v>1158</v>
      </c>
      <c r="B48" s="1644" t="s">
        <v>1159</v>
      </c>
      <c r="C48" s="1644" t="s">
        <v>1160</v>
      </c>
      <c r="F48" s="1536" t="s">
        <v>504</v>
      </c>
      <c r="G48" s="1537"/>
      <c r="H48" s="1537"/>
      <c r="I48" s="1537"/>
      <c r="J48" s="1537"/>
      <c r="K48" s="1537"/>
      <c r="L48" s="1537"/>
      <c r="M48" s="1537"/>
      <c r="N48" s="1537"/>
      <c r="O48" s="1537"/>
      <c r="P48" s="1537"/>
      <c r="Q48" s="1537"/>
      <c r="R48" s="1537"/>
      <c r="S48" s="1537"/>
      <c r="T48" s="1537"/>
      <c r="U48" s="1520">
        <f>SUM(U7:U47)</f>
        <v>0</v>
      </c>
      <c r="V48" s="1537"/>
      <c r="W48" s="1537"/>
      <c r="X48" s="1537"/>
      <c r="Y48" s="1537"/>
      <c r="Z48" s="1537"/>
      <c r="AA48" s="1537"/>
      <c r="AB48" s="1537"/>
      <c r="AC48" s="1537"/>
      <c r="AD48" s="1537"/>
      <c r="AE48" s="1537"/>
      <c r="AF48" s="1537"/>
      <c r="AG48" s="1537"/>
      <c r="AH48" s="1537"/>
      <c r="AI48" s="1537"/>
      <c r="AJ48" s="1524">
        <f>SUM(AJ7:AJ47)</f>
        <v>689986.34080229083</v>
      </c>
      <c r="AK48" s="1525">
        <f>SUM(AK7:AK47)</f>
        <v>689986.34080229083</v>
      </c>
      <c r="AL48" s="1526">
        <f>SUM(AL7:AL47)</f>
        <v>430178.84584257781</v>
      </c>
      <c r="AM48" s="1155"/>
      <c r="AN48" s="1520">
        <f t="shared" ref="AN48" si="16">ROUND(U48,-3)</f>
        <v>0</v>
      </c>
      <c r="AO48" s="1524">
        <f t="shared" si="0"/>
        <v>690000</v>
      </c>
      <c r="AP48" s="1525">
        <f t="shared" si="0"/>
        <v>690000</v>
      </c>
      <c r="AQ48" s="1526">
        <f t="shared" si="0"/>
        <v>430000</v>
      </c>
      <c r="AX48" s="1013"/>
      <c r="BH48" s="1149"/>
    </row>
    <row r="49" spans="1:60">
      <c r="A49" s="1644" t="s">
        <v>1161</v>
      </c>
      <c r="B49" s="1644" t="s">
        <v>1162</v>
      </c>
      <c r="C49" s="1644" t="s">
        <v>1160</v>
      </c>
      <c r="AK49" s="1527"/>
      <c r="AX49" s="1013"/>
      <c r="BH49" s="1149"/>
    </row>
    <row r="50" spans="1:60">
      <c r="A50" s="1670"/>
    </row>
    <row r="51" spans="1:60">
      <c r="D51" s="1671"/>
    </row>
    <row r="52" spans="1:60">
      <c r="D52" s="1671"/>
      <c r="AQ52" s="1173"/>
    </row>
    <row r="53" spans="1:60">
      <c r="D53" s="1671"/>
    </row>
    <row r="54" spans="1:60">
      <c r="D54" s="1671"/>
    </row>
    <row r="55" spans="1:60">
      <c r="D55" s="1671"/>
    </row>
    <row r="56" spans="1:60">
      <c r="D56" s="1671"/>
    </row>
    <row r="57" spans="1:60">
      <c r="D57" s="1671"/>
    </row>
    <row r="58" spans="1:60">
      <c r="A58" s="1672"/>
      <c r="B58" s="1671"/>
      <c r="C58" s="1671"/>
      <c r="D58" s="1671"/>
    </row>
  </sheetData>
  <sheetProtection algorithmName="SHA-512" hashValue="+c7Sd6k3Zq1a1dP4U5n6UaEq5DYye5vFg46waPmY30N7NzrfR07u3jY84Sgul6pPBq0ptc5RHapM+BrUSpELpQ==" saltValue="/a0N9j4NjkaqBqw4Bms3gg==" spinCount="100000" sheet="1" objects="1" scenarios="1"/>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election sqref="A1:XFD1048576"/>
    </sheetView>
  </sheetViews>
  <sheetFormatPr defaultColWidth="9.21875" defaultRowHeight="14.4"/>
  <cols>
    <col min="1" max="1" width="55.77734375" style="1246" customWidth="1"/>
    <col min="2" max="2" width="39.77734375" style="1145" customWidth="1"/>
    <col min="3" max="3" width="66.77734375" style="1145" customWidth="1"/>
    <col min="4" max="4" width="38.21875" style="1145" customWidth="1"/>
    <col min="5" max="5" width="7.5546875" style="1145" customWidth="1"/>
    <col min="6" max="6" width="31" style="1145" customWidth="1"/>
    <col min="7" max="8" width="23.21875" style="1145" customWidth="1"/>
    <col min="9" max="10" width="36.21875" style="1145" customWidth="1"/>
    <col min="11" max="11" width="19.77734375" style="1145" customWidth="1"/>
    <col min="12" max="13" width="23.21875" style="1145" customWidth="1"/>
    <col min="14" max="15" width="36.21875" style="1145" bestFit="1" customWidth="1"/>
    <col min="16" max="16" width="19.77734375" style="1145" customWidth="1"/>
    <col min="17" max="17" width="20" style="1145" bestFit="1" customWidth="1"/>
    <col min="18" max="18" width="18.21875" style="1145" bestFit="1" customWidth="1"/>
    <col min="19" max="19" width="9.21875" style="1149"/>
    <col min="20" max="20" width="22.44140625" style="1149" customWidth="1"/>
    <col min="21" max="21" width="24.5546875" style="1149" customWidth="1"/>
    <col min="22" max="23" width="17" style="1149" customWidth="1"/>
    <col min="24" max="29" width="9.21875" style="1149"/>
    <col min="30" max="39" width="9.21875" style="1013"/>
    <col min="40" max="40" width="9.21875" style="1149"/>
    <col min="41" max="41" width="11.21875" style="1149" bestFit="1" customWidth="1"/>
    <col min="42" max="16384" width="9.21875" style="1149"/>
  </cols>
  <sheetData>
    <row r="1" spans="1:23">
      <c r="A1" s="1235" t="s">
        <v>185</v>
      </c>
      <c r="B1" s="1143" t="s">
        <v>1163</v>
      </c>
      <c r="C1" s="1172"/>
      <c r="D1" s="1172"/>
      <c r="E1" s="1172"/>
      <c r="F1" s="1011"/>
      <c r="G1" s="1029"/>
      <c r="H1" s="1236"/>
      <c r="M1" s="1236"/>
    </row>
    <row r="2" spans="1:23" ht="15" thickBot="1">
      <c r="A2" s="1237"/>
      <c r="B2" s="1173"/>
      <c r="C2" s="1173"/>
      <c r="D2" s="1173"/>
      <c r="E2" s="1173"/>
    </row>
    <row r="3" spans="1:23" ht="29.25" customHeight="1">
      <c r="A3" s="1238" t="s">
        <v>482</v>
      </c>
      <c r="B3" s="1875" t="s">
        <v>1164</v>
      </c>
      <c r="C3" s="1875"/>
      <c r="D3" s="1875"/>
      <c r="E3" s="1174"/>
      <c r="F3" s="1872" t="s">
        <v>484</v>
      </c>
      <c r="G3" s="1873"/>
      <c r="H3" s="1873"/>
      <c r="I3" s="1873"/>
      <c r="J3" s="1873"/>
      <c r="K3" s="1873"/>
      <c r="L3" s="1873"/>
      <c r="M3" s="1873"/>
      <c r="N3" s="1873"/>
      <c r="O3" s="1873"/>
      <c r="P3" s="1873"/>
      <c r="Q3" s="1873"/>
      <c r="R3" s="1874"/>
      <c r="T3" s="1961" t="s">
        <v>420</v>
      </c>
      <c r="U3" s="1961"/>
      <c r="V3" s="1961"/>
      <c r="W3" s="1961"/>
    </row>
    <row r="4" spans="1:23" ht="18">
      <c r="A4" s="1175"/>
      <c r="B4" s="1175"/>
      <c r="C4" s="1175"/>
      <c r="D4" s="1175"/>
      <c r="E4" s="1174"/>
      <c r="F4" s="1189" t="s">
        <v>485</v>
      </c>
      <c r="G4" s="1191" t="s">
        <v>66</v>
      </c>
      <c r="H4" s="1191" t="s">
        <v>66</v>
      </c>
      <c r="I4" s="1191" t="s">
        <v>66</v>
      </c>
      <c r="J4" s="1191" t="s">
        <v>66</v>
      </c>
      <c r="K4" s="1156" t="s">
        <v>66</v>
      </c>
      <c r="L4" s="1191" t="s">
        <v>131</v>
      </c>
      <c r="M4" s="1191" t="s">
        <v>131</v>
      </c>
      <c r="N4" s="1192" t="s">
        <v>131</v>
      </c>
      <c r="O4" s="1192" t="s">
        <v>131</v>
      </c>
      <c r="P4" s="1157" t="s">
        <v>131</v>
      </c>
      <c r="Q4" s="1868" t="s">
        <v>488</v>
      </c>
      <c r="R4" s="1869"/>
      <c r="S4" s="1155"/>
      <c r="T4" s="1156" t="s">
        <v>66</v>
      </c>
      <c r="U4" s="1157" t="s">
        <v>131</v>
      </c>
      <c r="V4" s="1868" t="s">
        <v>488</v>
      </c>
      <c r="W4" s="1869"/>
    </row>
    <row r="5" spans="1:23" ht="30.75" customHeight="1" thickBot="1">
      <c r="A5" s="1634" t="s">
        <v>489</v>
      </c>
      <c r="B5" s="1964" t="s">
        <v>1165</v>
      </c>
      <c r="C5" s="1964"/>
      <c r="D5" s="1964"/>
      <c r="E5" s="1173"/>
      <c r="F5" s="1528" t="s">
        <v>491</v>
      </c>
      <c r="G5" s="1529" t="s">
        <v>1166</v>
      </c>
      <c r="H5" s="1529" t="s">
        <v>1167</v>
      </c>
      <c r="I5" s="1529" t="s">
        <v>494</v>
      </c>
      <c r="J5" s="1529" t="s">
        <v>1168</v>
      </c>
      <c r="K5" s="1494" t="s">
        <v>15</v>
      </c>
      <c r="L5" s="1529" t="s">
        <v>1166</v>
      </c>
      <c r="M5" s="1529" t="s">
        <v>1167</v>
      </c>
      <c r="N5" s="1529" t="s">
        <v>494</v>
      </c>
      <c r="O5" s="1529" t="s">
        <v>1168</v>
      </c>
      <c r="P5" s="1495" t="s">
        <v>15</v>
      </c>
      <c r="Q5" s="1870"/>
      <c r="R5" s="1871"/>
      <c r="S5" s="1155"/>
      <c r="T5" s="1494" t="s">
        <v>15</v>
      </c>
      <c r="U5" s="1495" t="s">
        <v>15</v>
      </c>
      <c r="V5" s="1870"/>
      <c r="W5" s="1871"/>
    </row>
    <row r="6" spans="1:23" ht="57.6">
      <c r="A6" s="1970" t="s">
        <v>1169</v>
      </c>
      <c r="B6" s="1970"/>
      <c r="C6" s="1970"/>
      <c r="D6" s="1970"/>
      <c r="E6" s="1173"/>
      <c r="F6" s="1528"/>
      <c r="G6" s="1529" t="s">
        <v>1170</v>
      </c>
      <c r="H6" s="1529" t="s">
        <v>1171</v>
      </c>
      <c r="I6" s="1529" t="s">
        <v>1172</v>
      </c>
      <c r="J6" s="1529" t="s">
        <v>1173</v>
      </c>
      <c r="K6" s="1494" t="s">
        <v>1174</v>
      </c>
      <c r="L6" s="1529" t="s">
        <v>1170</v>
      </c>
      <c r="M6" s="1529" t="s">
        <v>1171</v>
      </c>
      <c r="N6" s="1529" t="s">
        <v>1172</v>
      </c>
      <c r="O6" s="1529" t="s">
        <v>1173</v>
      </c>
      <c r="P6" s="1495" t="s">
        <v>1174</v>
      </c>
      <c r="Q6" s="1500" t="s">
        <v>419</v>
      </c>
      <c r="R6" s="1501" t="str">
        <f>"Discounted @ "&amp;TEXT('Major Assumption Key'!$B$8,"0.0%")</f>
        <v>Discounted @ 3.1%</v>
      </c>
      <c r="S6" s="1155"/>
      <c r="T6" s="1494" t="s">
        <v>1174</v>
      </c>
      <c r="U6" s="1495" t="s">
        <v>1174</v>
      </c>
      <c r="V6" s="1500" t="s">
        <v>419</v>
      </c>
      <c r="W6" s="1501" t="str">
        <f>"Discounted @ "&amp;TEXT('Major Assumption Key'!$B$8,"0.0%")</f>
        <v>Discounted @ 3.1%</v>
      </c>
    </row>
    <row r="7" spans="1:23">
      <c r="C7" s="1173"/>
      <c r="D7" s="1173"/>
      <c r="E7" s="1173"/>
      <c r="F7" s="1181">
        <f>'Major Assumption Key'!A19</f>
        <v>2020</v>
      </c>
      <c r="G7" s="1182">
        <f>_xlfn.XLOOKUP(F7,'Bike Demand'!A:A,'Bike Demand'!$B:$B,,0)</f>
        <v>0</v>
      </c>
      <c r="H7" s="1242">
        <v>0</v>
      </c>
      <c r="I7" s="1184">
        <v>0</v>
      </c>
      <c r="J7" s="1184">
        <v>0</v>
      </c>
      <c r="K7" s="1165">
        <f>IF(AND($F7&gt;=$B$17,$F7&lt;=$B$18),J7+I7,0)</f>
        <v>0</v>
      </c>
      <c r="L7" s="1182">
        <f>_xlfn.XLOOKUP(F7,'Bike Demand'!A:A,'Bike Demand'!$B:$B,,0)</f>
        <v>0</v>
      </c>
      <c r="M7" s="1242">
        <f>IF(F7&lt;$B$16,0,_xlfn.XLOOKUP(F7,'Bike Demand'!A:A,'Bike Demand'!$D:$D,,0))</f>
        <v>0</v>
      </c>
      <c r="N7" s="1184">
        <f>IF(F7&lt;$B$16,0,$B$24*$B$20*L7*IF($B$21&gt;$B$25,$B$25,$B$21))</f>
        <v>0</v>
      </c>
      <c r="O7" s="1184">
        <f>IF(F7&lt;$B$16,0,IF(F7&lt;$B$16,0,$B$24*$B$20*M7*IF($B$21&gt;$B$25,$B$25,$B$21)/2))</f>
        <v>0</v>
      </c>
      <c r="P7" s="1170">
        <f>IF(AND($F7&gt;=MIN('Major Assumption Key'!$B$4),$F7&lt;=MAX('Major Assumption Key'!$B$6)),O7+N7,0)</f>
        <v>0</v>
      </c>
      <c r="Q7" s="1171">
        <f t="shared" ref="Q7" si="0">P7-K7</f>
        <v>0</v>
      </c>
      <c r="R7" s="1169">
        <f>Q7/(1+'Major Assumption Key'!$B$8)^($F7-'Major Assumption Key'!$B$7)</f>
        <v>0</v>
      </c>
      <c r="S7" s="1155"/>
      <c r="T7" s="1165">
        <f t="shared" ref="T7" si="1">ROUND(K7,-3)</f>
        <v>0</v>
      </c>
      <c r="U7" s="1170">
        <f t="shared" ref="U7:W7" si="2">ROUND(P7,-3)</f>
        <v>0</v>
      </c>
      <c r="V7" s="1171">
        <f t="shared" si="2"/>
        <v>0</v>
      </c>
      <c r="W7" s="1169">
        <f t="shared" si="2"/>
        <v>0</v>
      </c>
    </row>
    <row r="8" spans="1:23">
      <c r="A8" s="1237"/>
      <c r="B8" s="1173"/>
      <c r="C8" s="1173"/>
      <c r="D8" s="1173"/>
      <c r="E8" s="1173"/>
      <c r="F8" s="1181">
        <f>'Major Assumption Key'!A20</f>
        <v>2021</v>
      </c>
      <c r="G8" s="1182">
        <f>_xlfn.XLOOKUP(F8,'Bike Demand'!A:A,'Bike Demand'!$B:$B,,0)</f>
        <v>12</v>
      </c>
      <c r="H8" s="1242">
        <v>0</v>
      </c>
      <c r="I8" s="1184">
        <v>0</v>
      </c>
      <c r="J8" s="1184">
        <v>0</v>
      </c>
      <c r="K8" s="1165">
        <f t="shared" ref="K8:K47" si="3">IF(AND($F8&gt;=$B$17,$F8&lt;=$B$18),J8+I8,0)</f>
        <v>0</v>
      </c>
      <c r="L8" s="1182">
        <f>_xlfn.XLOOKUP(F8,'Bike Demand'!A:A,'Bike Demand'!$B:$B,,0)</f>
        <v>12</v>
      </c>
      <c r="M8" s="1242">
        <f>IF(F8&lt;$B$16,0,_xlfn.XLOOKUP(F8,'Bike Demand'!A:A,'Bike Demand'!$D:$D,,0))</f>
        <v>0</v>
      </c>
      <c r="N8" s="1184">
        <f t="shared" ref="N8:N47" si="4">IF(F8&lt;$B$16,0,$B$24*$B$20*L8*IF($B$21&gt;$B$25,$B$25,$B$21))</f>
        <v>0</v>
      </c>
      <c r="O8" s="1184">
        <f t="shared" ref="O8:O47" si="5">IF(F8&lt;$B$16,0,IF(F8&lt;$B$16,0,$B$24*$B$20*M8*IF($B$21&gt;$B$25,$B$25,$B$21)/2))</f>
        <v>0</v>
      </c>
      <c r="P8" s="1170">
        <f>IF(AND($F8&gt;=MIN('Major Assumption Key'!$B$4),$F8&lt;=MAX('Major Assumption Key'!$B$6)),O8+N8,0)</f>
        <v>0</v>
      </c>
      <c r="Q8" s="1171">
        <f t="shared" ref="Q8:Q47" si="6">P8-K8</f>
        <v>0</v>
      </c>
      <c r="R8" s="1169">
        <f>Q8/(1+'Major Assumption Key'!$B$8)^($F8-'Major Assumption Key'!$B$7)</f>
        <v>0</v>
      </c>
      <c r="S8" s="1155"/>
      <c r="T8" s="1165">
        <f t="shared" ref="T8:T47" si="7">ROUND(K8,-3)</f>
        <v>0</v>
      </c>
      <c r="U8" s="1170">
        <f t="shared" ref="U8:U47" si="8">ROUND(P8,-3)</f>
        <v>0</v>
      </c>
      <c r="V8" s="1171">
        <f t="shared" ref="V8:V47" si="9">ROUND(Q8,-3)</f>
        <v>0</v>
      </c>
      <c r="W8" s="1169">
        <f t="shared" ref="W8:W47" si="10">ROUND(R8,-3)</f>
        <v>0</v>
      </c>
    </row>
    <row r="9" spans="1:23" ht="18">
      <c r="A9" s="1859" t="s">
        <v>432</v>
      </c>
      <c r="B9" s="1860"/>
      <c r="C9" s="1860"/>
      <c r="D9" s="1861"/>
      <c r="E9" s="1173"/>
      <c r="F9" s="1181">
        <f>'Major Assumption Key'!A21</f>
        <v>2022</v>
      </c>
      <c r="G9" s="1182">
        <f>_xlfn.XLOOKUP(F9,'Bike Demand'!A:A,'Bike Demand'!$B:$B,,0)</f>
        <v>12.176863259859475</v>
      </c>
      <c r="H9" s="1242">
        <v>0</v>
      </c>
      <c r="I9" s="1184">
        <v>0</v>
      </c>
      <c r="J9" s="1184">
        <v>0</v>
      </c>
      <c r="K9" s="1165">
        <f t="shared" si="3"/>
        <v>0</v>
      </c>
      <c r="L9" s="1182">
        <f>_xlfn.XLOOKUP(F9,'Bike Demand'!A:A,'Bike Demand'!$B:$B,,0)</f>
        <v>12.176863259859475</v>
      </c>
      <c r="M9" s="1242">
        <f>IF(F9&lt;$B$16,0,_xlfn.XLOOKUP(F9,'Bike Demand'!A:A,'Bike Demand'!$D:$D,,0))</f>
        <v>0</v>
      </c>
      <c r="N9" s="1184">
        <f t="shared" si="4"/>
        <v>0</v>
      </c>
      <c r="O9" s="1184">
        <f t="shared" si="5"/>
        <v>0</v>
      </c>
      <c r="P9" s="1170">
        <f>IF(AND($F9&gt;=MIN('Major Assumption Key'!$B$4),$F9&lt;=MAX('Major Assumption Key'!$B$6)),O9+N9,0)</f>
        <v>0</v>
      </c>
      <c r="Q9" s="1171">
        <f t="shared" si="6"/>
        <v>0</v>
      </c>
      <c r="R9" s="1169">
        <f>Q9/(1+'Major Assumption Key'!$B$8)^($F9-'Major Assumption Key'!$B$7)</f>
        <v>0</v>
      </c>
      <c r="S9" s="1155"/>
      <c r="T9" s="1165">
        <f t="shared" si="7"/>
        <v>0</v>
      </c>
      <c r="U9" s="1170">
        <f t="shared" si="8"/>
        <v>0</v>
      </c>
      <c r="V9" s="1171">
        <f t="shared" si="9"/>
        <v>0</v>
      </c>
      <c r="W9" s="1169">
        <f t="shared" si="10"/>
        <v>0</v>
      </c>
    </row>
    <row r="10" spans="1:23" ht="18">
      <c r="A10" s="1862" t="s">
        <v>418</v>
      </c>
      <c r="B10" s="1862"/>
      <c r="C10" s="1340" t="s">
        <v>419</v>
      </c>
      <c r="D10" s="1340" t="str">
        <f>_xlfn.CONCAT("Discounted @",TEXT('Major Assumption Key'!B8,"0.0%"))</f>
        <v>Discounted @3.1%</v>
      </c>
      <c r="E10" s="1173"/>
      <c r="F10" s="1181">
        <f>'Major Assumption Key'!A22</f>
        <v>2023</v>
      </c>
      <c r="G10" s="1182">
        <f>_xlfn.XLOOKUP(F10,'Bike Demand'!A:A,'Bike Demand'!$B:$B,,0)</f>
        <v>12.356333237442961</v>
      </c>
      <c r="H10" s="1242">
        <v>0</v>
      </c>
      <c r="I10" s="1184">
        <v>0</v>
      </c>
      <c r="J10" s="1184">
        <v>0</v>
      </c>
      <c r="K10" s="1165">
        <f t="shared" si="3"/>
        <v>0</v>
      </c>
      <c r="L10" s="1182">
        <f>_xlfn.XLOOKUP(F10,'Bike Demand'!A:A,'Bike Demand'!$B:$B,,0)</f>
        <v>12.356333237442961</v>
      </c>
      <c r="M10" s="1242">
        <f>IF(F10&lt;$B$16,0,_xlfn.XLOOKUP(F10,'Bike Demand'!A:A,'Bike Demand'!$D:$D,,0))</f>
        <v>0</v>
      </c>
      <c r="N10" s="1184">
        <f t="shared" si="4"/>
        <v>0</v>
      </c>
      <c r="O10" s="1184">
        <f t="shared" si="5"/>
        <v>0</v>
      </c>
      <c r="P10" s="1170">
        <f>IF(AND($F10&gt;=MIN('Major Assumption Key'!$B$4),$F10&lt;=MAX('Major Assumption Key'!$B$6)),O10+N10,0)</f>
        <v>0</v>
      </c>
      <c r="Q10" s="1171">
        <f t="shared" si="6"/>
        <v>0</v>
      </c>
      <c r="R10" s="1169">
        <f>Q10/(1+'Major Assumption Key'!$B$8)^($F10-'Major Assumption Key'!$B$7)</f>
        <v>0</v>
      </c>
      <c r="S10" s="1155"/>
      <c r="T10" s="1165">
        <f t="shared" si="7"/>
        <v>0</v>
      </c>
      <c r="U10" s="1170">
        <f t="shared" si="8"/>
        <v>0</v>
      </c>
      <c r="V10" s="1171">
        <f t="shared" si="9"/>
        <v>0</v>
      </c>
      <c r="W10" s="1169">
        <f t="shared" si="10"/>
        <v>0</v>
      </c>
    </row>
    <row r="11" spans="1:23" ht="18">
      <c r="A11" s="1863" t="s">
        <v>11</v>
      </c>
      <c r="B11" s="1863"/>
      <c r="C11" s="1503">
        <f>'BCA Summary'!$H$7</f>
        <v>1.0111569298276737</v>
      </c>
      <c r="D11" s="1503">
        <f>'BCA Summary'!$I$7</f>
        <v>0.6276932096418345</v>
      </c>
      <c r="E11" s="1173"/>
      <c r="F11" s="1181">
        <f>'Major Assumption Key'!A23</f>
        <v>2024</v>
      </c>
      <c r="G11" s="1182">
        <f>_xlfn.XLOOKUP(F11,'Bike Demand'!A:A,'Bike Demand'!$B:$B,,0)</f>
        <v>12.538448352133306</v>
      </c>
      <c r="H11" s="1242">
        <v>0</v>
      </c>
      <c r="I11" s="1184">
        <v>0</v>
      </c>
      <c r="J11" s="1184">
        <v>0</v>
      </c>
      <c r="K11" s="1165">
        <f t="shared" si="3"/>
        <v>0</v>
      </c>
      <c r="L11" s="1182">
        <f>_xlfn.XLOOKUP(F11,'Bike Demand'!A:A,'Bike Demand'!$B:$B,,0)</f>
        <v>12.538448352133306</v>
      </c>
      <c r="M11" s="1242">
        <f>IF(F11&lt;$B$16,0,_xlfn.XLOOKUP(F11,'Bike Demand'!A:A,'Bike Demand'!$D:$D,,0))</f>
        <v>0</v>
      </c>
      <c r="N11" s="1184">
        <f t="shared" si="4"/>
        <v>0</v>
      </c>
      <c r="O11" s="1184">
        <f t="shared" si="5"/>
        <v>0</v>
      </c>
      <c r="P11" s="1170">
        <f>IF(AND($F11&gt;=MIN('Major Assumption Key'!$B$4),$F11&lt;=MAX('Major Assumption Key'!$B$6)),O11+N11,0)</f>
        <v>0</v>
      </c>
      <c r="Q11" s="1171">
        <f t="shared" si="6"/>
        <v>0</v>
      </c>
      <c r="R11" s="1169">
        <f>Q11/(1+'Major Assumption Key'!$B$8)^($F11-'Major Assumption Key'!$B$7)</f>
        <v>0</v>
      </c>
      <c r="S11" s="1155"/>
      <c r="T11" s="1165">
        <f t="shared" si="7"/>
        <v>0</v>
      </c>
      <c r="U11" s="1170">
        <f t="shared" si="8"/>
        <v>0</v>
      </c>
      <c r="V11" s="1171">
        <f t="shared" si="9"/>
        <v>0</v>
      </c>
      <c r="W11" s="1169">
        <f t="shared" si="10"/>
        <v>0</v>
      </c>
    </row>
    <row r="12" spans="1:23" ht="18">
      <c r="A12" s="1863" t="s">
        <v>12</v>
      </c>
      <c r="B12" s="1863"/>
      <c r="C12" s="1340">
        <f>'BCA Summary'!$H$8</f>
        <v>236636.98382712901</v>
      </c>
      <c r="D12" s="1340">
        <f>'BCA Summary'!$I$8</f>
        <v>-6930297.4454113934</v>
      </c>
      <c r="E12" s="1173"/>
      <c r="F12" s="1181">
        <f>'Major Assumption Key'!A24</f>
        <v>2025</v>
      </c>
      <c r="G12" s="1182">
        <f>_xlfn.XLOOKUP(F12,'Bike Demand'!A:A,'Bike Demand'!$B:$B,,0)</f>
        <v>12.723247589561471</v>
      </c>
      <c r="H12" s="1242">
        <v>0</v>
      </c>
      <c r="I12" s="1184">
        <v>0</v>
      </c>
      <c r="J12" s="1184">
        <v>0</v>
      </c>
      <c r="K12" s="1165">
        <f t="shared" si="3"/>
        <v>0</v>
      </c>
      <c r="L12" s="1182">
        <f>_xlfn.XLOOKUP(F12,'Bike Demand'!A:A,'Bike Demand'!$B:$B,,0)</f>
        <v>12.723247589561471</v>
      </c>
      <c r="M12" s="1242">
        <f>IF(F12&lt;$B$16,0,_xlfn.XLOOKUP(F12,'Bike Demand'!A:A,'Bike Demand'!$D:$D,,0))</f>
        <v>0</v>
      </c>
      <c r="N12" s="1184">
        <f t="shared" si="4"/>
        <v>0</v>
      </c>
      <c r="O12" s="1184">
        <f t="shared" si="5"/>
        <v>0</v>
      </c>
      <c r="P12" s="1170">
        <f>IF(AND($F12&gt;=MIN('Major Assumption Key'!$B$4),$F12&lt;=MAX('Major Assumption Key'!$B$6)),O12+N12,0)</f>
        <v>0</v>
      </c>
      <c r="Q12" s="1171">
        <f t="shared" si="6"/>
        <v>0</v>
      </c>
      <c r="R12" s="1169">
        <f>Q12/(1+'Major Assumption Key'!$B$8)^($F12-'Major Assumption Key'!$B$7)</f>
        <v>0</v>
      </c>
      <c r="S12" s="1155"/>
      <c r="T12" s="1165">
        <f t="shared" si="7"/>
        <v>0</v>
      </c>
      <c r="U12" s="1170">
        <f t="shared" si="8"/>
        <v>0</v>
      </c>
      <c r="V12" s="1171">
        <f t="shared" si="9"/>
        <v>0</v>
      </c>
      <c r="W12" s="1169">
        <f t="shared" si="10"/>
        <v>0</v>
      </c>
    </row>
    <row r="13" spans="1:23">
      <c r="C13" s="1173"/>
      <c r="D13" s="1173"/>
      <c r="E13" s="1173"/>
      <c r="F13" s="1181">
        <f>'Major Assumption Key'!A25</f>
        <v>2026</v>
      </c>
      <c r="G13" s="1182">
        <f>_xlfn.XLOOKUP(F13,'Bike Demand'!A:A,'Bike Demand'!$B:$B,,0)</f>
        <v>12.910770509952226</v>
      </c>
      <c r="H13" s="1242">
        <v>0</v>
      </c>
      <c r="I13" s="1184">
        <v>0</v>
      </c>
      <c r="J13" s="1184">
        <v>0</v>
      </c>
      <c r="K13" s="1165">
        <f t="shared" si="3"/>
        <v>0</v>
      </c>
      <c r="L13" s="1182">
        <f>_xlfn.XLOOKUP(F13,'Bike Demand'!A:A,'Bike Demand'!$B:$B,,0)</f>
        <v>12.910770509952226</v>
      </c>
      <c r="M13" s="1242">
        <f>IF(F13&lt;$B$16,0,_xlfn.XLOOKUP(F13,'Bike Demand'!A:A,'Bike Demand'!$D:$D,,0))</f>
        <v>0</v>
      </c>
      <c r="N13" s="1184">
        <f t="shared" si="4"/>
        <v>0</v>
      </c>
      <c r="O13" s="1184">
        <f t="shared" si="5"/>
        <v>0</v>
      </c>
      <c r="P13" s="1170">
        <f>IF(AND($F13&gt;=MIN('Major Assumption Key'!$B$4),$F13&lt;=MAX('Major Assumption Key'!$B$6)),O13+N13,0)</f>
        <v>0</v>
      </c>
      <c r="Q13" s="1171">
        <f t="shared" si="6"/>
        <v>0</v>
      </c>
      <c r="R13" s="1169">
        <f>Q13/(1+'Major Assumption Key'!$B$8)^($F13-'Major Assumption Key'!$B$7)</f>
        <v>0</v>
      </c>
      <c r="S13" s="1155"/>
      <c r="T13" s="1165">
        <f t="shared" si="7"/>
        <v>0</v>
      </c>
      <c r="U13" s="1170">
        <f t="shared" si="8"/>
        <v>0</v>
      </c>
      <c r="V13" s="1171">
        <f t="shared" si="9"/>
        <v>0</v>
      </c>
      <c r="W13" s="1169">
        <f t="shared" si="10"/>
        <v>0</v>
      </c>
    </row>
    <row r="14" spans="1:23" ht="15" thickBot="1">
      <c r="C14" s="1173"/>
      <c r="D14" s="1173"/>
      <c r="E14" s="1173"/>
      <c r="F14" s="1181">
        <f>'Major Assumption Key'!A26</f>
        <v>2027</v>
      </c>
      <c r="G14" s="1182">
        <f>_xlfn.XLOOKUP(F14,'Bike Demand'!A:A,'Bike Demand'!$B:$B,,0)</f>
        <v>13.10105725659287</v>
      </c>
      <c r="H14" s="1242">
        <v>0</v>
      </c>
      <c r="I14" s="1184">
        <v>0</v>
      </c>
      <c r="J14" s="1184">
        <v>0</v>
      </c>
      <c r="K14" s="1165">
        <f t="shared" si="3"/>
        <v>0</v>
      </c>
      <c r="L14" s="1182">
        <f>_xlfn.XLOOKUP(F14,'Bike Demand'!A:A,'Bike Demand'!$B:$B,,0)</f>
        <v>13.10105725659287</v>
      </c>
      <c r="M14" s="1242">
        <f>IF(F14&lt;$B$16,0,_xlfn.XLOOKUP(F14,'Bike Demand'!A:A,'Bike Demand'!$D:$D,,0))</f>
        <v>0</v>
      </c>
      <c r="N14" s="1184">
        <f t="shared" si="4"/>
        <v>0</v>
      </c>
      <c r="O14" s="1184">
        <f t="shared" si="5"/>
        <v>0</v>
      </c>
      <c r="P14" s="1170">
        <f>IF(AND($F14&gt;=MIN('Major Assumption Key'!$B$4),$F14&lt;=MAX('Major Assumption Key'!$B$6)),O14+N14,0)</f>
        <v>0</v>
      </c>
      <c r="Q14" s="1171">
        <f t="shared" si="6"/>
        <v>0</v>
      </c>
      <c r="R14" s="1169">
        <f>Q14/(1+'Major Assumption Key'!$B$8)^($F14-'Major Assumption Key'!$B$7)</f>
        <v>0</v>
      </c>
      <c r="S14" s="1155"/>
      <c r="T14" s="1165">
        <f t="shared" si="7"/>
        <v>0</v>
      </c>
      <c r="U14" s="1170">
        <f t="shared" si="8"/>
        <v>0</v>
      </c>
      <c r="V14" s="1171">
        <f t="shared" si="9"/>
        <v>0</v>
      </c>
      <c r="W14" s="1169">
        <f t="shared" si="10"/>
        <v>0</v>
      </c>
    </row>
    <row r="15" spans="1:23">
      <c r="A15" s="1635" t="s">
        <v>433</v>
      </c>
      <c r="B15" s="1636" t="s">
        <v>434</v>
      </c>
      <c r="C15" s="1968" t="s">
        <v>498</v>
      </c>
      <c r="D15" s="1969"/>
      <c r="E15" s="1173"/>
      <c r="F15" s="1181">
        <f>'Major Assumption Key'!A27</f>
        <v>2028</v>
      </c>
      <c r="G15" s="1182">
        <f>_xlfn.XLOOKUP(F15,'Bike Demand'!A:A,'Bike Demand'!$B:$B,,0)</f>
        <v>13.294148564426758</v>
      </c>
      <c r="H15" s="1242">
        <v>0</v>
      </c>
      <c r="I15" s="1184">
        <v>0</v>
      </c>
      <c r="J15" s="1184">
        <v>0</v>
      </c>
      <c r="K15" s="1165">
        <f t="shared" si="3"/>
        <v>0</v>
      </c>
      <c r="L15" s="1182">
        <f>_xlfn.XLOOKUP(F15,'Bike Demand'!A:A,'Bike Demand'!$B:$B,,0)</f>
        <v>13.294148564426758</v>
      </c>
      <c r="M15" s="1242">
        <f>IF(F15&lt;$B$16,0,_xlfn.XLOOKUP(F15,'Bike Demand'!A:A,'Bike Demand'!$D:$D,,0))</f>
        <v>168.39254848273887</v>
      </c>
      <c r="N15" s="1184">
        <f t="shared" si="4"/>
        <v>4332.1907809868771</v>
      </c>
      <c r="O15" s="1184">
        <f t="shared" si="5"/>
        <v>27437.208279583545</v>
      </c>
      <c r="P15" s="1170">
        <f>IF(AND($F15&gt;=MIN('Major Assumption Key'!$B$4),$F15&lt;=MAX('Major Assumption Key'!$B$6)),O15+N15,0)</f>
        <v>31769.399060570424</v>
      </c>
      <c r="Q15" s="1171">
        <f t="shared" si="6"/>
        <v>31769.399060570424</v>
      </c>
      <c r="R15" s="1169">
        <f>Q15/(1+'Major Assumption Key'!$B$8)^($F15-'Major Assumption Key'!$B$7)</f>
        <v>26451.908284996418</v>
      </c>
      <c r="S15" s="1155"/>
      <c r="T15" s="1165">
        <f t="shared" si="7"/>
        <v>0</v>
      </c>
      <c r="U15" s="1170">
        <f t="shared" si="8"/>
        <v>32000</v>
      </c>
      <c r="V15" s="1171">
        <f t="shared" si="9"/>
        <v>32000</v>
      </c>
      <c r="W15" s="1169">
        <f t="shared" si="10"/>
        <v>26000</v>
      </c>
    </row>
    <row r="16" spans="1:23">
      <c r="A16" s="1506" t="str">
        <f>'Major Assumption Key'!$A$3</f>
        <v>Project Open Year:</v>
      </c>
      <c r="B16" s="1135">
        <f>'Major Assumption Key'!$B$3</f>
        <v>2028</v>
      </c>
      <c r="C16" s="1173" t="s">
        <v>436</v>
      </c>
      <c r="D16" s="1507"/>
      <c r="E16" s="1173"/>
      <c r="F16" s="1181">
        <f>'Major Assumption Key'!A28</f>
        <v>2029</v>
      </c>
      <c r="G16" s="1182">
        <f>_xlfn.XLOOKUP(F16,'Bike Demand'!A:A,'Bike Demand'!$B:$B,,0)</f>
        <v>13.490085768773481</v>
      </c>
      <c r="H16" s="1242">
        <v>0</v>
      </c>
      <c r="I16" s="1184">
        <v>0</v>
      </c>
      <c r="J16" s="1184">
        <v>0</v>
      </c>
      <c r="K16" s="1165">
        <f t="shared" si="3"/>
        <v>0</v>
      </c>
      <c r="L16" s="1182">
        <f>_xlfn.XLOOKUP(F16,'Bike Demand'!A:A,'Bike Demand'!$B:$B,,0)</f>
        <v>13.490085768773481</v>
      </c>
      <c r="M16" s="1242">
        <f>IF(F16&lt;$B$16,0,_xlfn.XLOOKUP(F16,'Bike Demand'!A:A,'Bike Demand'!$D:$D,,0))</f>
        <v>170.87441973779738</v>
      </c>
      <c r="N16" s="1184">
        <f t="shared" si="4"/>
        <v>4396.0412296417526</v>
      </c>
      <c r="O16" s="1184">
        <f t="shared" si="5"/>
        <v>27841.594454397757</v>
      </c>
      <c r="P16" s="1170">
        <f>IF(AND($F16&gt;=MIN('Major Assumption Key'!$B$4),$F16&lt;=MAX('Major Assumption Key'!$B$6)),O16+N16,0)</f>
        <v>32237.635684039509</v>
      </c>
      <c r="Q16" s="1171">
        <f t="shared" si="6"/>
        <v>32237.635684039509</v>
      </c>
      <c r="R16" s="1169">
        <f>Q16/(1+'Major Assumption Key'!$B$8)^($F16-'Major Assumption Key'!$B$7)</f>
        <v>26034.696908240006</v>
      </c>
      <c r="S16" s="1155"/>
      <c r="T16" s="1165">
        <f t="shared" si="7"/>
        <v>0</v>
      </c>
      <c r="U16" s="1170">
        <f t="shared" si="8"/>
        <v>32000</v>
      </c>
      <c r="V16" s="1171">
        <f t="shared" si="9"/>
        <v>32000</v>
      </c>
      <c r="W16" s="1169">
        <f t="shared" si="10"/>
        <v>26000</v>
      </c>
    </row>
    <row r="17" spans="1:23">
      <c r="A17" s="1506" t="str">
        <f>'Major Assumption Key'!$A$4</f>
        <v>Planning Horizon Begin Year:</v>
      </c>
      <c r="B17" s="1135">
        <f>'Major Assumption Key'!$B$4</f>
        <v>2022</v>
      </c>
      <c r="C17" s="1173" t="s">
        <v>436</v>
      </c>
      <c r="D17" s="1289"/>
      <c r="E17" s="1173"/>
      <c r="F17" s="1181">
        <f>'Major Assumption Key'!A29</f>
        <v>2030</v>
      </c>
      <c r="G17" s="1182">
        <f>_xlfn.XLOOKUP(F17,'Bike Demand'!A:A,'Bike Demand'!$B:$B,,0)</f>
        <v>13.68891081417758</v>
      </c>
      <c r="H17" s="1242">
        <v>0</v>
      </c>
      <c r="I17" s="1184">
        <v>0</v>
      </c>
      <c r="J17" s="1184">
        <v>0</v>
      </c>
      <c r="K17" s="1165">
        <f t="shared" si="3"/>
        <v>0</v>
      </c>
      <c r="L17" s="1182">
        <f>_xlfn.XLOOKUP(F17,'Bike Demand'!A:A,'Bike Demand'!$B:$B,,0)</f>
        <v>13.68891081417758</v>
      </c>
      <c r="M17" s="1242">
        <f>IF(F17&lt;$B$16,0,_xlfn.XLOOKUP(F17,'Bike Demand'!A:A,'Bike Demand'!$D:$D,,0))</f>
        <v>173.39287031291596</v>
      </c>
      <c r="N17" s="1184">
        <f t="shared" si="4"/>
        <v>4460.8327448376767</v>
      </c>
      <c r="O17" s="1184">
        <f t="shared" si="5"/>
        <v>28251.940717305279</v>
      </c>
      <c r="P17" s="1170">
        <f>IF(AND($F17&gt;=MIN('Major Assumption Key'!$B$4),$F17&lt;=MAX('Major Assumption Key'!$B$6)),O17+N17,0)</f>
        <v>32712.773462142955</v>
      </c>
      <c r="Q17" s="1171">
        <f t="shared" si="6"/>
        <v>32712.773462142955</v>
      </c>
      <c r="R17" s="1169">
        <f>Q17/(1+'Major Assumption Key'!$B$8)^($F17-'Major Assumption Key'!$B$7)</f>
        <v>25624.065976683221</v>
      </c>
      <c r="S17" s="1155"/>
      <c r="T17" s="1165">
        <f t="shared" si="7"/>
        <v>0</v>
      </c>
      <c r="U17" s="1170">
        <f t="shared" si="8"/>
        <v>33000</v>
      </c>
      <c r="V17" s="1171">
        <f t="shared" si="9"/>
        <v>33000</v>
      </c>
      <c r="W17" s="1169">
        <f t="shared" si="10"/>
        <v>26000</v>
      </c>
    </row>
    <row r="18" spans="1:23">
      <c r="A18" s="1506" t="str">
        <f>'Major Assumption Key'!$A$6</f>
        <v>Planning Horizon End Year:</v>
      </c>
      <c r="B18" s="1135">
        <f>'Major Assumption Key'!$B$6</f>
        <v>2047</v>
      </c>
      <c r="C18" s="1173" t="s">
        <v>436</v>
      </c>
      <c r="D18" s="1289"/>
      <c r="E18" s="1173"/>
      <c r="F18" s="1181">
        <f>'Major Assumption Key'!A30</f>
        <v>2031</v>
      </c>
      <c r="G18" s="1182">
        <f>_xlfn.XLOOKUP(F18,'Bike Demand'!A:A,'Bike Demand'!$B:$B,,0)</f>
        <v>13.89066626338767</v>
      </c>
      <c r="H18" s="1242">
        <v>0</v>
      </c>
      <c r="I18" s="1184">
        <v>0</v>
      </c>
      <c r="J18" s="1184">
        <v>0</v>
      </c>
      <c r="K18" s="1165">
        <f t="shared" si="3"/>
        <v>0</v>
      </c>
      <c r="L18" s="1182">
        <f>_xlfn.XLOOKUP(F18,'Bike Demand'!A:A,'Bike Demand'!$B:$B,,0)</f>
        <v>13.89066626338767</v>
      </c>
      <c r="M18" s="1242">
        <f>IF(F18&lt;$B$16,0,_xlfn.XLOOKUP(F18,'Bike Demand'!A:A,'Bike Demand'!$D:$D,,0))</f>
        <v>175.94843933624375</v>
      </c>
      <c r="N18" s="1184">
        <f t="shared" si="4"/>
        <v>4526.5791965826675</v>
      </c>
      <c r="O18" s="1184">
        <f t="shared" si="5"/>
        <v>28668.334911690214</v>
      </c>
      <c r="P18" s="1170">
        <f>IF(AND($F18&gt;=MIN('Major Assumption Key'!$B$4),$F18&lt;=MAX('Major Assumption Key'!$B$6)),O18+N18,0)</f>
        <v>33194.914108272882</v>
      </c>
      <c r="Q18" s="1171">
        <f t="shared" si="6"/>
        <v>33194.914108272882</v>
      </c>
      <c r="R18" s="1169">
        <f>Q18/(1+'Major Assumption Key'!$B$8)^($F18-'Major Assumption Key'!$B$7)</f>
        <v>25219.911700589164</v>
      </c>
      <c r="S18" s="1155"/>
      <c r="T18" s="1165">
        <f t="shared" si="7"/>
        <v>0</v>
      </c>
      <c r="U18" s="1170">
        <f t="shared" si="8"/>
        <v>33000</v>
      </c>
      <c r="V18" s="1171">
        <f t="shared" si="9"/>
        <v>33000</v>
      </c>
      <c r="W18" s="1169">
        <f t="shared" si="10"/>
        <v>25000</v>
      </c>
    </row>
    <row r="19" spans="1:23">
      <c r="A19" s="1637" t="s">
        <v>1175</v>
      </c>
      <c r="B19" s="1638" t="s">
        <v>315</v>
      </c>
      <c r="C19" s="1614" t="s">
        <v>211</v>
      </c>
      <c r="D19" s="1161"/>
      <c r="E19" s="1173"/>
      <c r="F19" s="1181">
        <f>'Major Assumption Key'!A31</f>
        <v>2032</v>
      </c>
      <c r="G19" s="1182">
        <f>_xlfn.XLOOKUP(F19,'Bike Demand'!A:A,'Bike Demand'!$B:$B,,0)</f>
        <v>14.095395306467902</v>
      </c>
      <c r="H19" s="1242">
        <v>0</v>
      </c>
      <c r="I19" s="1184">
        <v>0</v>
      </c>
      <c r="J19" s="1184">
        <v>0</v>
      </c>
      <c r="K19" s="1165">
        <f t="shared" si="3"/>
        <v>0</v>
      </c>
      <c r="L19" s="1182">
        <f>_xlfn.XLOOKUP(F19,'Bike Demand'!A:A,'Bike Demand'!$B:$B,,0)</f>
        <v>14.095395306467902</v>
      </c>
      <c r="M19" s="1242">
        <f>IF(F19&lt;$B$16,0,_xlfn.XLOOKUP(F19,'Bike Demand'!A:A,'Bike Demand'!$D:$D,,0))</f>
        <v>178.5416738819267</v>
      </c>
      <c r="N19" s="1184">
        <f t="shared" si="4"/>
        <v>4593.2946593093084</v>
      </c>
      <c r="O19" s="1184">
        <f t="shared" si="5"/>
        <v>29090.866175625612</v>
      </c>
      <c r="P19" s="1170">
        <f>IF(AND($F19&gt;=MIN('Major Assumption Key'!$B$4),$F19&lt;=MAX('Major Assumption Key'!$B$6)),O19+N19,0)</f>
        <v>33684.160834934919</v>
      </c>
      <c r="Q19" s="1171">
        <f t="shared" si="6"/>
        <v>33684.160834934919</v>
      </c>
      <c r="R19" s="1169">
        <f>Q19/(1+'Major Assumption Key'!$B$8)^($F19-'Major Assumption Key'!$B$7)</f>
        <v>24822.131927239276</v>
      </c>
      <c r="S19" s="1155"/>
      <c r="T19" s="1165">
        <f t="shared" si="7"/>
        <v>0</v>
      </c>
      <c r="U19" s="1170">
        <f t="shared" si="8"/>
        <v>34000</v>
      </c>
      <c r="V19" s="1171">
        <f t="shared" si="9"/>
        <v>34000</v>
      </c>
      <c r="W19" s="1169">
        <f t="shared" si="10"/>
        <v>25000</v>
      </c>
    </row>
    <row r="20" spans="1:23">
      <c r="A20" s="1239" t="s">
        <v>308</v>
      </c>
      <c r="B20" s="1639">
        <f>VLOOKUP(B19,'BCA Guide - Parameter Values'!$B$159:$C$163,2,FALSE)</f>
        <v>1.86</v>
      </c>
      <c r="C20" s="1614" t="s">
        <v>211</v>
      </c>
      <c r="D20" s="1161"/>
      <c r="E20" s="1173"/>
      <c r="F20" s="1181">
        <f>'Major Assumption Key'!A32</f>
        <v>2033</v>
      </c>
      <c r="G20" s="1182">
        <f>_xlfn.XLOOKUP(F20,'Bike Demand'!A:A,'Bike Demand'!$B:$B,,0)</f>
        <v>14.303141770043723</v>
      </c>
      <c r="H20" s="1242">
        <v>0</v>
      </c>
      <c r="I20" s="1184">
        <v>0</v>
      </c>
      <c r="J20" s="1184">
        <v>0</v>
      </c>
      <c r="K20" s="1165">
        <f t="shared" si="3"/>
        <v>0</v>
      </c>
      <c r="L20" s="1182">
        <f>_xlfn.XLOOKUP(F20,'Bike Demand'!A:A,'Bike Demand'!$B:$B,,0)</f>
        <v>14.303141770043723</v>
      </c>
      <c r="M20" s="1242">
        <f>IF(F20&lt;$B$16,0,_xlfn.XLOOKUP(F20,'Bike Demand'!A:A,'Bike Demand'!$D:$D,,0))</f>
        <v>181.17312908722045</v>
      </c>
      <c r="N20" s="1184">
        <f t="shared" si="4"/>
        <v>4660.9934148876891</v>
      </c>
      <c r="O20" s="1184">
        <f t="shared" si="5"/>
        <v>29519.624960955356</v>
      </c>
      <c r="P20" s="1170">
        <f>IF(AND($F20&gt;=MIN('Major Assumption Key'!$B$4),$F20&lt;=MAX('Major Assumption Key'!$B$6)),O20+N20,0)</f>
        <v>34180.618375843042</v>
      </c>
      <c r="Q20" s="1171">
        <f t="shared" si="6"/>
        <v>34180.618375843042</v>
      </c>
      <c r="R20" s="1169">
        <f>Q20/(1+'Major Assumption Key'!$B$8)^($F20-'Major Assumption Key'!$B$7)</f>
        <v>24430.626115113548</v>
      </c>
      <c r="S20" s="1155"/>
      <c r="T20" s="1165">
        <f t="shared" si="7"/>
        <v>0</v>
      </c>
      <c r="U20" s="1170">
        <f t="shared" si="8"/>
        <v>34000</v>
      </c>
      <c r="V20" s="1171">
        <f t="shared" si="9"/>
        <v>34000</v>
      </c>
      <c r="W20" s="1169">
        <f t="shared" si="10"/>
        <v>24000</v>
      </c>
    </row>
    <row r="21" spans="1:23">
      <c r="A21" s="1239" t="s">
        <v>1176</v>
      </c>
      <c r="B21" s="1240">
        <f>'Major Assumption Key'!B15</f>
        <v>0.48</v>
      </c>
      <c r="C21" s="1241" t="str">
        <f>"Segment length: "&amp;'Major Assumption Key'!B15&amp;". "&amp;"Enter full or half of the length according to the reference in the bottom"</f>
        <v>Segment length: 0.48. Enter full or half of the length according to the reference in the bottom</v>
      </c>
      <c r="D21" s="1196"/>
      <c r="E21" s="1173"/>
      <c r="F21" s="1181">
        <f>'Major Assumption Key'!A33</f>
        <v>2034</v>
      </c>
      <c r="G21" s="1182">
        <f>_xlfn.XLOOKUP(F21,'Bike Demand'!A:A,'Bike Demand'!$B:$B,,0)</f>
        <v>14.513950126683904</v>
      </c>
      <c r="H21" s="1242">
        <v>0</v>
      </c>
      <c r="I21" s="1184">
        <v>0</v>
      </c>
      <c r="J21" s="1184">
        <v>0</v>
      </c>
      <c r="K21" s="1165">
        <f t="shared" si="3"/>
        <v>0</v>
      </c>
      <c r="L21" s="1182">
        <f>_xlfn.XLOOKUP(F21,'Bike Demand'!A:A,'Bike Demand'!$B:$B,,0)</f>
        <v>14.513950126683904</v>
      </c>
      <c r="M21" s="1242">
        <f>IF(F21&lt;$B$16,0,_xlfn.XLOOKUP(F21,'Bike Demand'!A:A,'Bike Demand'!$D:$D,,0))</f>
        <v>183.84336827132938</v>
      </c>
      <c r="N21" s="1184">
        <f t="shared" si="4"/>
        <v>4729.6899556827375</v>
      </c>
      <c r="O21" s="1184">
        <f t="shared" si="5"/>
        <v>29954.703052657329</v>
      </c>
      <c r="P21" s="1170">
        <f>IF(AND($F21&gt;=MIN('Major Assumption Key'!$B$4),$F21&lt;=MAX('Major Assumption Key'!$B$6)),O21+N21,0)</f>
        <v>34684.393008340063</v>
      </c>
      <c r="Q21" s="1171">
        <f t="shared" si="6"/>
        <v>34684.393008340063</v>
      </c>
      <c r="R21" s="1169">
        <f>Q21/(1+'Major Assumption Key'!$B$8)^($F21-'Major Assumption Key'!$B$7)</f>
        <v>24045.29530847798</v>
      </c>
      <c r="S21" s="1155"/>
      <c r="T21" s="1165">
        <f t="shared" si="7"/>
        <v>0</v>
      </c>
      <c r="U21" s="1170">
        <f t="shared" si="8"/>
        <v>35000</v>
      </c>
      <c r="V21" s="1171">
        <f t="shared" si="9"/>
        <v>35000</v>
      </c>
      <c r="W21" s="1169">
        <f t="shared" si="10"/>
        <v>24000</v>
      </c>
    </row>
    <row r="22" spans="1:23">
      <c r="A22" s="1239" t="s">
        <v>1177</v>
      </c>
      <c r="B22" s="1458">
        <f>_xlfn.XLOOKUP(B16,'Bike Demand'!A:A,'Bike Demand'!$B:$B,,0)</f>
        <v>13.294148564426758</v>
      </c>
      <c r="C22" s="1195" t="s">
        <v>1178</v>
      </c>
      <c r="D22" s="1289"/>
      <c r="E22" s="1173"/>
      <c r="F22" s="1181">
        <f>'Major Assumption Key'!A34</f>
        <v>2035</v>
      </c>
      <c r="G22" s="1182">
        <f>_xlfn.XLOOKUP(F22,'Bike Demand'!A:A,'Bike Demand'!$B:$B,,0)</f>
        <v>14.727865504420834</v>
      </c>
      <c r="H22" s="1242">
        <v>0</v>
      </c>
      <c r="I22" s="1184">
        <v>0</v>
      </c>
      <c r="J22" s="1184">
        <v>0</v>
      </c>
      <c r="K22" s="1165">
        <f t="shared" si="3"/>
        <v>0</v>
      </c>
      <c r="L22" s="1182">
        <f>_xlfn.XLOOKUP(F22,'Bike Demand'!A:A,'Bike Demand'!$B:$B,,0)</f>
        <v>14.727865504420834</v>
      </c>
      <c r="M22" s="1242">
        <f>IF(F22&lt;$B$16,0,_xlfn.XLOOKUP(F22,'Bike Demand'!A:A,'Bike Demand'!$D:$D,,0))</f>
        <v>186.55296305599717</v>
      </c>
      <c r="N22" s="1184">
        <f t="shared" si="4"/>
        <v>4799.3989876566256</v>
      </c>
      <c r="O22" s="1184">
        <f t="shared" si="5"/>
        <v>30396.193588491959</v>
      </c>
      <c r="P22" s="1170">
        <f>IF(AND($F22&gt;=MIN('Major Assumption Key'!$B$4),$F22&lt;=MAX('Major Assumption Key'!$B$6)),O22+N22,0)</f>
        <v>35195.592576148585</v>
      </c>
      <c r="Q22" s="1171">
        <f t="shared" si="6"/>
        <v>35195.592576148585</v>
      </c>
      <c r="R22" s="1169">
        <f>Q22/(1+'Major Assumption Key'!$B$8)^($F22-'Major Assumption Key'!$B$7)</f>
        <v>23666.042112372856</v>
      </c>
      <c r="S22" s="1155"/>
      <c r="T22" s="1165">
        <f t="shared" si="7"/>
        <v>0</v>
      </c>
      <c r="U22" s="1170">
        <f t="shared" si="8"/>
        <v>35000</v>
      </c>
      <c r="V22" s="1171">
        <f t="shared" si="9"/>
        <v>35000</v>
      </c>
      <c r="W22" s="1169">
        <f t="shared" si="10"/>
        <v>24000</v>
      </c>
    </row>
    <row r="23" spans="1:23">
      <c r="A23" s="1239" t="s">
        <v>1179</v>
      </c>
      <c r="B23" s="1458">
        <f>_xlfn.XLOOKUP(B16,'Bike Demand'!A:A,'Bike Demand'!$D:$D,,0)</f>
        <v>168.39254848273887</v>
      </c>
      <c r="C23" s="1195" t="s">
        <v>1178</v>
      </c>
      <c r="D23" s="1196"/>
      <c r="E23" s="1173"/>
      <c r="F23" s="1181">
        <f>'Major Assumption Key'!A35</f>
        <v>2036</v>
      </c>
      <c r="G23" s="1182">
        <f>_xlfn.XLOOKUP(F23,'Bike Demand'!A:A,'Bike Demand'!$B:$B,,0)</f>
        <v>14.944933696411148</v>
      </c>
      <c r="H23" s="1242">
        <v>0</v>
      </c>
      <c r="I23" s="1184">
        <v>0</v>
      </c>
      <c r="J23" s="1184">
        <v>0</v>
      </c>
      <c r="K23" s="1165">
        <f t="shared" si="3"/>
        <v>0</v>
      </c>
      <c r="L23" s="1182">
        <f>_xlfn.XLOOKUP(F23,'Bike Demand'!A:A,'Bike Demand'!$B:$B,,0)</f>
        <v>14.944933696411148</v>
      </c>
      <c r="M23" s="1242">
        <f>IF(F23&lt;$B$16,0,_xlfn.XLOOKUP(F23,'Bike Demand'!A:A,'Bike Demand'!$D:$D,,0))</f>
        <v>189.3024934878745</v>
      </c>
      <c r="N23" s="1184">
        <f t="shared" si="4"/>
        <v>4870.1354335168944</v>
      </c>
      <c r="O23" s="1184">
        <f t="shared" si="5"/>
        <v>30844.191078940323</v>
      </c>
      <c r="P23" s="1170">
        <f>IF(AND($F23&gt;=MIN('Major Assumption Key'!$B$4),$F23&lt;=MAX('Major Assumption Key'!$B$6)),O23+N23,0)</f>
        <v>35714.326512457221</v>
      </c>
      <c r="Q23" s="1171">
        <f t="shared" si="6"/>
        <v>35714.326512457221</v>
      </c>
      <c r="R23" s="1169">
        <f>Q23/(1+'Major Assumption Key'!$B$8)^($F23-'Major Assumption Key'!$B$7)</f>
        <v>23292.77066799549</v>
      </c>
      <c r="S23" s="1155"/>
      <c r="T23" s="1165">
        <f t="shared" si="7"/>
        <v>0</v>
      </c>
      <c r="U23" s="1170">
        <f t="shared" si="8"/>
        <v>36000</v>
      </c>
      <c r="V23" s="1171">
        <f t="shared" si="9"/>
        <v>36000</v>
      </c>
      <c r="W23" s="1169">
        <f t="shared" si="10"/>
        <v>23000</v>
      </c>
    </row>
    <row r="24" spans="1:23">
      <c r="A24" s="1239" t="s">
        <v>1180</v>
      </c>
      <c r="B24" s="1458">
        <v>365</v>
      </c>
      <c r="C24" s="1531"/>
      <c r="D24" s="1196"/>
      <c r="E24" s="1173"/>
      <c r="F24" s="1181">
        <f>'Major Assumption Key'!A36</f>
        <v>2037</v>
      </c>
      <c r="G24" s="1182">
        <f>_xlfn.XLOOKUP(F24,'Bike Demand'!A:A,'Bike Demand'!$B:$B,,0)</f>
        <v>15.165201170738731</v>
      </c>
      <c r="H24" s="1242">
        <v>0</v>
      </c>
      <c r="I24" s="1184">
        <v>0</v>
      </c>
      <c r="J24" s="1184">
        <v>0</v>
      </c>
      <c r="K24" s="1165">
        <f t="shared" si="3"/>
        <v>0</v>
      </c>
      <c r="L24" s="1182">
        <f>_xlfn.XLOOKUP(F24,'Bike Demand'!A:A,'Bike Demand'!$B:$B,,0)</f>
        <v>15.165201170738731</v>
      </c>
      <c r="M24" s="1242">
        <f>IF(F24&lt;$B$16,0,_xlfn.XLOOKUP(F24,'Bike Demand'!A:A,'Bike Demand'!$D:$D,,0))</f>
        <v>192.09254816269055</v>
      </c>
      <c r="N24" s="1184">
        <f t="shared" si="4"/>
        <v>4941.9144359109723</v>
      </c>
      <c r="O24" s="1184">
        <f t="shared" si="5"/>
        <v>31298.79142743615</v>
      </c>
      <c r="P24" s="1170">
        <f>IF(AND($F24&gt;=MIN('Major Assumption Key'!$B$4),$F24&lt;=MAX('Major Assumption Key'!$B$6)),O24+N24,0)</f>
        <v>36240.705863347124</v>
      </c>
      <c r="Q24" s="1171">
        <f t="shared" si="6"/>
        <v>36240.705863347124</v>
      </c>
      <c r="R24" s="1169">
        <f>Q24/(1+'Major Assumption Key'!$B$8)^($F24-'Major Assumption Key'!$B$7)</f>
        <v>22925.386628471286</v>
      </c>
      <c r="S24" s="1155"/>
      <c r="T24" s="1165">
        <f t="shared" si="7"/>
        <v>0</v>
      </c>
      <c r="U24" s="1170">
        <f t="shared" si="8"/>
        <v>36000</v>
      </c>
      <c r="V24" s="1171">
        <f t="shared" si="9"/>
        <v>36000</v>
      </c>
      <c r="W24" s="1169">
        <f t="shared" si="10"/>
        <v>23000</v>
      </c>
    </row>
    <row r="25" spans="1:23" ht="15" thickBot="1">
      <c r="A25" s="1640" t="s">
        <v>1181</v>
      </c>
      <c r="B25" s="1641">
        <f>'BCA Guide - Parameter Values'!$E$232</f>
        <v>2.38</v>
      </c>
      <c r="C25" s="1516" t="s">
        <v>211</v>
      </c>
      <c r="D25" s="1535"/>
      <c r="E25" s="1173"/>
      <c r="F25" s="1181">
        <f>'Major Assumption Key'!A37</f>
        <v>2038</v>
      </c>
      <c r="G25" s="1182">
        <f>_xlfn.XLOOKUP(F25,'Bike Demand'!A:A,'Bike Demand'!$B:$B,,0)</f>
        <v>15.388715080362196</v>
      </c>
      <c r="H25" s="1242">
        <v>0</v>
      </c>
      <c r="I25" s="1184">
        <v>0</v>
      </c>
      <c r="J25" s="1184">
        <v>0</v>
      </c>
      <c r="K25" s="1165">
        <f t="shared" si="3"/>
        <v>0</v>
      </c>
      <c r="L25" s="1182">
        <f>_xlfn.XLOOKUP(F25,'Bike Demand'!A:A,'Bike Demand'!$B:$B,,0)</f>
        <v>15.388715080362196</v>
      </c>
      <c r="M25" s="1242">
        <f>IF(F25&lt;$B$16,0,_xlfn.XLOOKUP(F25,'Bike Demand'!A:A,'Bike Demand'!$D:$D,,0))</f>
        <v>194.92372435125444</v>
      </c>
      <c r="N25" s="1184">
        <f t="shared" si="4"/>
        <v>5014.7513606677903</v>
      </c>
      <c r="O25" s="1184">
        <f t="shared" si="5"/>
        <v>31760.091950895996</v>
      </c>
      <c r="P25" s="1170">
        <f>IF(AND($F25&gt;=MIN('Major Assumption Key'!$B$4),$F25&lt;=MAX('Major Assumption Key'!$B$6)),O25+N25,0)</f>
        <v>36774.843311563789</v>
      </c>
      <c r="Q25" s="1171">
        <f t="shared" si="6"/>
        <v>36774.843311563789</v>
      </c>
      <c r="R25" s="1169">
        <f>Q25/(1+'Major Assumption Key'!$B$8)^($F25-'Major Assumption Key'!$B$7)</f>
        <v>22563.797135006924</v>
      </c>
      <c r="S25" s="1155"/>
      <c r="T25" s="1165">
        <f t="shared" si="7"/>
        <v>0</v>
      </c>
      <c r="U25" s="1170">
        <f t="shared" si="8"/>
        <v>37000</v>
      </c>
      <c r="V25" s="1171">
        <f t="shared" si="9"/>
        <v>37000</v>
      </c>
      <c r="W25" s="1169">
        <f t="shared" si="10"/>
        <v>23000</v>
      </c>
    </row>
    <row r="26" spans="1:23">
      <c r="A26" s="1642"/>
      <c r="B26" s="1248"/>
      <c r="C26" s="1195"/>
      <c r="D26" s="1531"/>
      <c r="E26" s="1173"/>
      <c r="F26" s="1181">
        <f>'Major Assumption Key'!A38</f>
        <v>2039</v>
      </c>
      <c r="G26" s="1182">
        <f>_xlfn.XLOOKUP(F26,'Bike Demand'!A:A,'Bike Demand'!$B:$B,,0)</f>
        <v>15.615523273208989</v>
      </c>
      <c r="H26" s="1242">
        <v>0</v>
      </c>
      <c r="I26" s="1184">
        <v>0</v>
      </c>
      <c r="J26" s="1184">
        <v>0</v>
      </c>
      <c r="K26" s="1165">
        <f t="shared" si="3"/>
        <v>0</v>
      </c>
      <c r="L26" s="1182">
        <f>_xlfn.XLOOKUP(F26,'Bike Demand'!A:A,'Bike Demand'!$B:$B,,0)</f>
        <v>15.615523273208989</v>
      </c>
      <c r="M26" s="1242">
        <f>IF(F26&lt;$B$16,0,_xlfn.XLOOKUP(F26,'Bike Demand'!A:A,'Bike Demand'!$D:$D,,0))</f>
        <v>197.79662812731382</v>
      </c>
      <c r="N26" s="1184">
        <f t="shared" si="4"/>
        <v>5088.6618000871604</v>
      </c>
      <c r="O26" s="1184">
        <f t="shared" si="5"/>
        <v>32228.191400552008</v>
      </c>
      <c r="P26" s="1170">
        <f>IF(AND($F26&gt;=MIN('Major Assumption Key'!$B$4),$F26&lt;=MAX('Major Assumption Key'!$B$6)),O26+N26,0)</f>
        <v>37316.853200639169</v>
      </c>
      <c r="Q26" s="1171">
        <f t="shared" si="6"/>
        <v>37316.853200639169</v>
      </c>
      <c r="R26" s="1169">
        <f>Q26/(1+'Major Assumption Key'!$B$8)^($F26-'Major Assumption Key'!$B$7)</f>
        <v>22207.91079341968</v>
      </c>
      <c r="S26" s="1155"/>
      <c r="T26" s="1165">
        <f t="shared" si="7"/>
        <v>0</v>
      </c>
      <c r="U26" s="1170">
        <f t="shared" si="8"/>
        <v>37000</v>
      </c>
      <c r="V26" s="1171">
        <f t="shared" si="9"/>
        <v>37000</v>
      </c>
      <c r="W26" s="1169">
        <f t="shared" si="10"/>
        <v>22000</v>
      </c>
    </row>
    <row r="27" spans="1:23">
      <c r="A27" s="1243" t="s">
        <v>1182</v>
      </c>
      <c r="B27" s="1244"/>
      <c r="C27" s="1244"/>
      <c r="D27" s="1244"/>
      <c r="E27" s="1173"/>
      <c r="F27" s="1181">
        <f>'Major Assumption Key'!A39</f>
        <v>2040</v>
      </c>
      <c r="G27" s="1182">
        <f>_xlfn.XLOOKUP(F27,'Bike Demand'!A:A,'Bike Demand'!$B:$B,,0)</f>
        <v>15.84567430241826</v>
      </c>
      <c r="H27" s="1242">
        <v>0</v>
      </c>
      <c r="I27" s="1184">
        <v>0</v>
      </c>
      <c r="J27" s="1184">
        <v>0</v>
      </c>
      <c r="K27" s="1165">
        <f t="shared" si="3"/>
        <v>0</v>
      </c>
      <c r="L27" s="1182">
        <f>_xlfn.XLOOKUP(F27,'Bike Demand'!A:A,'Bike Demand'!$B:$B,,0)</f>
        <v>15.84567430241826</v>
      </c>
      <c r="M27" s="1242">
        <f>IF(F27&lt;$B$16,0,_xlfn.XLOOKUP(F27,'Bike Demand'!A:A,'Bike Demand'!$D:$D,,0))</f>
        <v>200.71187449729791</v>
      </c>
      <c r="N27" s="1184">
        <f t="shared" si="4"/>
        <v>5163.6615762776437</v>
      </c>
      <c r="O27" s="1184">
        <f t="shared" si="5"/>
        <v>32703.189983091735</v>
      </c>
      <c r="P27" s="1170">
        <f>IF(AND($F27&gt;=MIN('Major Assumption Key'!$B$4),$F27&lt;=MAX('Major Assumption Key'!$B$6)),O27+N27,0)</f>
        <v>37866.851559369381</v>
      </c>
      <c r="Q27" s="1171">
        <f t="shared" si="6"/>
        <v>37866.851559369381</v>
      </c>
      <c r="R27" s="1169">
        <f>Q27/(1+'Major Assumption Key'!$B$8)^($F27-'Major Assumption Key'!$B$7)</f>
        <v>21857.637651036926</v>
      </c>
      <c r="S27" s="1155"/>
      <c r="T27" s="1165">
        <f t="shared" si="7"/>
        <v>0</v>
      </c>
      <c r="U27" s="1170">
        <f t="shared" si="8"/>
        <v>38000</v>
      </c>
      <c r="V27" s="1171">
        <f t="shared" si="9"/>
        <v>38000</v>
      </c>
      <c r="W27" s="1169">
        <f t="shared" si="10"/>
        <v>22000</v>
      </c>
    </row>
    <row r="28" spans="1:23" ht="15.6">
      <c r="A28" s="1643" t="s">
        <v>1183</v>
      </c>
      <c r="B28" s="1643" t="s">
        <v>1184</v>
      </c>
      <c r="C28" s="1643" t="s">
        <v>1185</v>
      </c>
      <c r="D28" s="1643" t="s">
        <v>1186</v>
      </c>
      <c r="E28" s="1173"/>
      <c r="F28" s="1181">
        <f>'Major Assumption Key'!A40</f>
        <v>2041</v>
      </c>
      <c r="G28" s="1182">
        <f>_xlfn.XLOOKUP(F28,'Bike Demand'!A:A,'Bike Demand'!$B:$B,,0)</f>
        <v>16.079217436734695</v>
      </c>
      <c r="H28" s="1242">
        <v>0</v>
      </c>
      <c r="I28" s="1184">
        <v>0</v>
      </c>
      <c r="J28" s="1184">
        <v>0</v>
      </c>
      <c r="K28" s="1165">
        <f t="shared" si="3"/>
        <v>0</v>
      </c>
      <c r="L28" s="1182">
        <f>_xlfn.XLOOKUP(F28,'Bike Demand'!A:A,'Bike Demand'!$B:$B,,0)</f>
        <v>16.079217436734695</v>
      </c>
      <c r="M28" s="1242">
        <f>IF(F28&lt;$B$16,0,_xlfn.XLOOKUP(F28,'Bike Demand'!A:A,'Bike Demand'!$D:$D,,0))</f>
        <v>203.67008753197274</v>
      </c>
      <c r="N28" s="1184">
        <f t="shared" si="4"/>
        <v>5239.7667445436082</v>
      </c>
      <c r="O28" s="1184">
        <f t="shared" si="5"/>
        <v>33185.189382109507</v>
      </c>
      <c r="P28" s="1170">
        <f>IF(AND($F28&gt;=MIN('Major Assumption Key'!$B$4),$F28&lt;=MAX('Major Assumption Key'!$B$6)),O28+N28,0)</f>
        <v>38424.956126653116</v>
      </c>
      <c r="Q28" s="1171">
        <f t="shared" si="6"/>
        <v>38424.956126653116</v>
      </c>
      <c r="R28" s="1169">
        <f>Q28/(1+'Major Assumption Key'!$B$8)^($F28-'Major Assumption Key'!$B$7)</f>
        <v>21512.889173959964</v>
      </c>
      <c r="S28" s="1155"/>
      <c r="T28" s="1165">
        <f t="shared" si="7"/>
        <v>0</v>
      </c>
      <c r="U28" s="1170">
        <f t="shared" si="8"/>
        <v>38000</v>
      </c>
      <c r="V28" s="1171">
        <f t="shared" si="9"/>
        <v>38000</v>
      </c>
      <c r="W28" s="1169">
        <f t="shared" si="10"/>
        <v>22000</v>
      </c>
    </row>
    <row r="29" spans="1:23">
      <c r="A29" s="1644" t="s">
        <v>1187</v>
      </c>
      <c r="B29" s="1644" t="s">
        <v>1188</v>
      </c>
      <c r="C29" s="1644" t="s">
        <v>1189</v>
      </c>
      <c r="D29" s="1644" t="s">
        <v>1160</v>
      </c>
      <c r="E29" s="1173"/>
      <c r="F29" s="1181">
        <f>'Major Assumption Key'!A41</f>
        <v>2042</v>
      </c>
      <c r="G29" s="1182">
        <f>_xlfn.XLOOKUP(F29,'Bike Demand'!A:A,'Bike Demand'!$B:$B,,0)</f>
        <v>16.316202671055546</v>
      </c>
      <c r="H29" s="1242">
        <v>0</v>
      </c>
      <c r="I29" s="1184">
        <v>0</v>
      </c>
      <c r="J29" s="1184">
        <v>0</v>
      </c>
      <c r="K29" s="1165">
        <f t="shared" si="3"/>
        <v>0</v>
      </c>
      <c r="L29" s="1182">
        <f>_xlfn.XLOOKUP(F29,'Bike Demand'!A:A,'Bike Demand'!$B:$B,,0)</f>
        <v>16.316202671055546</v>
      </c>
      <c r="M29" s="1242">
        <f>IF(F29&lt;$B$16,0,_xlfn.XLOOKUP(F29,'Bike Demand'!A:A,'Bike Demand'!$D:$D,,0))</f>
        <v>206.67190050003686</v>
      </c>
      <c r="N29" s="1184">
        <f t="shared" si="4"/>
        <v>5316.9935968222135</v>
      </c>
      <c r="O29" s="1184">
        <f t="shared" si="5"/>
        <v>33674.292779874013</v>
      </c>
      <c r="P29" s="1170">
        <f>IF(AND($F29&gt;=MIN('Major Assumption Key'!$B$4),$F29&lt;=MAX('Major Assumption Key'!$B$6)),O29+N29,0)</f>
        <v>38991.286376696225</v>
      </c>
      <c r="Q29" s="1171">
        <f t="shared" si="6"/>
        <v>38991.286376696225</v>
      </c>
      <c r="R29" s="1169">
        <f>Q29/(1+'Major Assumption Key'!$B$8)^($F29-'Major Assumption Key'!$B$7)</f>
        <v>21173.578224686535</v>
      </c>
      <c r="S29" s="1155"/>
      <c r="T29" s="1165">
        <f t="shared" si="7"/>
        <v>0</v>
      </c>
      <c r="U29" s="1170">
        <f t="shared" si="8"/>
        <v>39000</v>
      </c>
      <c r="V29" s="1171">
        <f t="shared" si="9"/>
        <v>39000</v>
      </c>
      <c r="W29" s="1169">
        <f t="shared" si="10"/>
        <v>21000</v>
      </c>
    </row>
    <row r="30" spans="1:23">
      <c r="A30" s="1644" t="s">
        <v>1190</v>
      </c>
      <c r="B30" s="1644" t="s">
        <v>1187</v>
      </c>
      <c r="C30" s="1644" t="s">
        <v>1153</v>
      </c>
      <c r="D30" s="1644" t="s">
        <v>1157</v>
      </c>
      <c r="E30" s="1173"/>
      <c r="F30" s="1181">
        <f>'Major Assumption Key'!A42</f>
        <v>2043</v>
      </c>
      <c r="G30" s="1182">
        <f>_xlfn.XLOOKUP(F30,'Bike Demand'!A:A,'Bike Demand'!$B:$B,,0)</f>
        <v>16.55668073713311</v>
      </c>
      <c r="H30" s="1242">
        <v>0</v>
      </c>
      <c r="I30" s="1184">
        <v>0</v>
      </c>
      <c r="J30" s="1184">
        <v>0</v>
      </c>
      <c r="K30" s="1165">
        <f t="shared" si="3"/>
        <v>0</v>
      </c>
      <c r="L30" s="1182">
        <f>_xlfn.XLOOKUP(F30,'Bike Demand'!A:A,'Bike Demand'!$B:$B,,0)</f>
        <v>16.55668073713311</v>
      </c>
      <c r="M30" s="1242">
        <f>IF(F30&lt;$B$16,0,_xlfn.XLOOKUP(F30,'Bike Demand'!A:A,'Bike Demand'!$D:$D,,0))</f>
        <v>209.717956003686</v>
      </c>
      <c r="N30" s="1184">
        <f t="shared" si="4"/>
        <v>5395.3586651710411</v>
      </c>
      <c r="O30" s="1184">
        <f t="shared" si="5"/>
        <v>34170.604879416584</v>
      </c>
      <c r="P30" s="1170">
        <f>IF(AND($F30&gt;=MIN('Major Assumption Key'!$B$4),$F30&lt;=MAX('Major Assumption Key'!$B$6)),O30+N30,0)</f>
        <v>39565.963544587627</v>
      </c>
      <c r="Q30" s="1171">
        <f t="shared" si="6"/>
        <v>39565.963544587627</v>
      </c>
      <c r="R30" s="1169">
        <f>Q30/(1+'Major Assumption Key'!$B$8)^($F30-'Major Assumption Key'!$B$7)</f>
        <v>20839.619040086171</v>
      </c>
      <c r="S30" s="1155"/>
      <c r="T30" s="1165">
        <f t="shared" si="7"/>
        <v>0</v>
      </c>
      <c r="U30" s="1170">
        <f t="shared" si="8"/>
        <v>40000</v>
      </c>
      <c r="V30" s="1171">
        <f t="shared" si="9"/>
        <v>40000</v>
      </c>
      <c r="W30" s="1169">
        <f t="shared" si="10"/>
        <v>21000</v>
      </c>
    </row>
    <row r="31" spans="1:23">
      <c r="A31" s="1644" t="s">
        <v>1190</v>
      </c>
      <c r="B31" s="1644" t="s">
        <v>1187</v>
      </c>
      <c r="C31" s="1644" t="s">
        <v>1159</v>
      </c>
      <c r="D31" s="1644" t="s">
        <v>1160</v>
      </c>
      <c r="E31" s="1173"/>
      <c r="F31" s="1181">
        <f>'Major Assumption Key'!A43</f>
        <v>2044</v>
      </c>
      <c r="G31" s="1182">
        <f>_xlfn.XLOOKUP(F31,'Bike Demand'!A:A,'Bike Demand'!$B:$B,,0)</f>
        <v>16.800703114434938</v>
      </c>
      <c r="H31" s="1242">
        <v>0</v>
      </c>
      <c r="I31" s="1184">
        <v>0</v>
      </c>
      <c r="J31" s="1184">
        <v>0</v>
      </c>
      <c r="K31" s="1165">
        <f t="shared" si="3"/>
        <v>0</v>
      </c>
      <c r="L31" s="1182">
        <f>_xlfn.XLOOKUP(F31,'Bike Demand'!A:A,'Bike Demand'!$B:$B,,0)</f>
        <v>16.800703114434938</v>
      </c>
      <c r="M31" s="1242">
        <f>IF(F31&lt;$B$16,0,_xlfn.XLOOKUP(F31,'Bike Demand'!A:A,'Bike Demand'!$D:$D,,0))</f>
        <v>212.80890611617582</v>
      </c>
      <c r="N31" s="1184">
        <f t="shared" si="4"/>
        <v>5474.8787253071432</v>
      </c>
      <c r="O31" s="1184">
        <f t="shared" si="5"/>
        <v>34674.231926945227</v>
      </c>
      <c r="P31" s="1170">
        <f>IF(AND($F31&gt;=MIN('Major Assumption Key'!$B$4),$F31&lt;=MAX('Major Assumption Key'!$B$6)),O31+N31,0)</f>
        <v>40149.11065225237</v>
      </c>
      <c r="Q31" s="1171">
        <f t="shared" si="6"/>
        <v>40149.11065225237</v>
      </c>
      <c r="R31" s="1169">
        <f>Q31/(1+'Major Assumption Key'!$B$8)^($F31-'Major Assumption Key'!$B$7)</f>
        <v>20510.927209723024</v>
      </c>
      <c r="S31" s="1155"/>
      <c r="T31" s="1165">
        <f t="shared" si="7"/>
        <v>0</v>
      </c>
      <c r="U31" s="1170">
        <f t="shared" si="8"/>
        <v>40000</v>
      </c>
      <c r="V31" s="1171">
        <f t="shared" si="9"/>
        <v>40000</v>
      </c>
      <c r="W31" s="1169">
        <f t="shared" si="10"/>
        <v>21000</v>
      </c>
    </row>
    <row r="32" spans="1:23">
      <c r="A32" s="1644" t="s">
        <v>1190</v>
      </c>
      <c r="B32" s="1644" t="s">
        <v>1190</v>
      </c>
      <c r="C32" s="1644" t="s">
        <v>1189</v>
      </c>
      <c r="D32" s="1644" t="s">
        <v>1160</v>
      </c>
      <c r="F32" s="1181">
        <f>'Major Assumption Key'!A44</f>
        <v>2045</v>
      </c>
      <c r="G32" s="1182">
        <f>_xlfn.XLOOKUP(F32,'Bike Demand'!A:A,'Bike Demand'!$B:$B,,0)</f>
        <v>17.048322041164123</v>
      </c>
      <c r="H32" s="1242">
        <v>0</v>
      </c>
      <c r="I32" s="1184">
        <v>0</v>
      </c>
      <c r="J32" s="1184">
        <v>0</v>
      </c>
      <c r="K32" s="1165">
        <f t="shared" si="3"/>
        <v>0</v>
      </c>
      <c r="L32" s="1182">
        <f>_xlfn.XLOOKUP(F32,'Bike Demand'!A:A,'Bike Demand'!$B:$B,,0)</f>
        <v>17.048322041164123</v>
      </c>
      <c r="M32" s="1242">
        <f>IF(F32&lt;$B$16,0,_xlfn.XLOOKUP(F32,'Bike Demand'!A:A,'Bike Demand'!$D:$D,,0))</f>
        <v>215.94541252141215</v>
      </c>
      <c r="N32" s="1184">
        <f t="shared" si="4"/>
        <v>5555.5708001982357</v>
      </c>
      <c r="O32" s="1184">
        <f t="shared" si="5"/>
        <v>35185.281734588811</v>
      </c>
      <c r="P32" s="1170">
        <f>IF(AND($F32&gt;=MIN('Major Assumption Key'!$B$4),$F32&lt;=MAX('Major Assumption Key'!$B$6)),O32+N32,0)</f>
        <v>40740.852534787045</v>
      </c>
      <c r="Q32" s="1171">
        <f t="shared" si="6"/>
        <v>40740.852534787045</v>
      </c>
      <c r="R32" s="1169">
        <f>Q32/(1+'Major Assumption Key'!$B$8)^($F32-'Major Assumption Key'!$B$7)</f>
        <v>20187.419654520556</v>
      </c>
      <c r="S32" s="1155"/>
      <c r="T32" s="1165">
        <f t="shared" si="7"/>
        <v>0</v>
      </c>
      <c r="U32" s="1170">
        <f t="shared" si="8"/>
        <v>41000</v>
      </c>
      <c r="V32" s="1171">
        <f t="shared" si="9"/>
        <v>41000</v>
      </c>
      <c r="W32" s="1169">
        <f t="shared" si="10"/>
        <v>20000</v>
      </c>
    </row>
    <row r="33" spans="1:23">
      <c r="F33" s="1181">
        <f>'Major Assumption Key'!A45</f>
        <v>2046</v>
      </c>
      <c r="G33" s="1182">
        <f>_xlfn.XLOOKUP(F33,'Bike Demand'!A:A,'Bike Demand'!$B:$B,,0)</f>
        <v>17.299590525441992</v>
      </c>
      <c r="H33" s="1242">
        <v>0</v>
      </c>
      <c r="I33" s="1184">
        <v>0</v>
      </c>
      <c r="J33" s="1184">
        <v>0</v>
      </c>
      <c r="K33" s="1165">
        <f t="shared" si="3"/>
        <v>0</v>
      </c>
      <c r="L33" s="1182">
        <f>_xlfn.XLOOKUP(F33,'Bike Demand'!A:A,'Bike Demand'!$B:$B,,0)</f>
        <v>17.299590525441992</v>
      </c>
      <c r="M33" s="1242">
        <f>IF(F33&lt;$B$16,0,_xlfn.XLOOKUP(F33,'Bike Demand'!A:A,'Bike Demand'!$D:$D,,0))</f>
        <v>219.1281466555985</v>
      </c>
      <c r="N33" s="1184">
        <f t="shared" si="4"/>
        <v>5637.4521637068328</v>
      </c>
      <c r="O33" s="1184">
        <f t="shared" si="5"/>
        <v>35703.863703476607</v>
      </c>
      <c r="P33" s="1170">
        <f>IF(AND($F33&gt;=MIN('Major Assumption Key'!$B$4),$F33&lt;=MAX('Major Assumption Key'!$B$6)),O33+N33,0)</f>
        <v>41341.315867183439</v>
      </c>
      <c r="Q33" s="1171">
        <f t="shared" si="6"/>
        <v>41341.315867183439</v>
      </c>
      <c r="R33" s="1169">
        <f>Q33/(1+'Major Assumption Key'!$B$8)^($F33-'Major Assumption Key'!$B$7)</f>
        <v>19869.014605762732</v>
      </c>
      <c r="S33" s="1155"/>
      <c r="T33" s="1165">
        <f t="shared" si="7"/>
        <v>0</v>
      </c>
      <c r="U33" s="1170">
        <f t="shared" si="8"/>
        <v>41000</v>
      </c>
      <c r="V33" s="1171">
        <f t="shared" si="9"/>
        <v>41000</v>
      </c>
      <c r="W33" s="1169">
        <f t="shared" si="10"/>
        <v>20000</v>
      </c>
    </row>
    <row r="34" spans="1:23">
      <c r="A34" s="1245"/>
      <c r="B34" s="1149"/>
      <c r="C34" s="1149"/>
      <c r="F34" s="1181">
        <f>'Major Assumption Key'!A46</f>
        <v>2047</v>
      </c>
      <c r="G34" s="1182">
        <f>_xlfn.XLOOKUP(F34,'Bike Demand'!A:A,'Bike Demand'!$B:$B,,0)</f>
        <v>17.554562356655641</v>
      </c>
      <c r="H34" s="1242">
        <v>0</v>
      </c>
      <c r="I34" s="1184">
        <v>0</v>
      </c>
      <c r="J34" s="1184">
        <v>0</v>
      </c>
      <c r="K34" s="1165">
        <f t="shared" si="3"/>
        <v>0</v>
      </c>
      <c r="L34" s="1182">
        <f>_xlfn.XLOOKUP(F34,'Bike Demand'!A:A,'Bike Demand'!$B:$B,,0)</f>
        <v>17.554562356655641</v>
      </c>
      <c r="M34" s="1242">
        <f>IF(F34&lt;$B$16,0,_xlfn.XLOOKUP(F34,'Bike Demand'!A:A,'Bike Demand'!$D:$D,,0))</f>
        <v>222.35778985097136</v>
      </c>
      <c r="N34" s="1184">
        <f t="shared" si="4"/>
        <v>5720.5403442880879</v>
      </c>
      <c r="O34" s="1184">
        <f t="shared" si="5"/>
        <v>36230.088847157873</v>
      </c>
      <c r="P34" s="1170">
        <f>IF(AND($F34&gt;=MIN('Major Assumption Key'!$B$4),$F34&lt;=MAX('Major Assumption Key'!$B$6)),O34+N34,0)</f>
        <v>41950.629191445958</v>
      </c>
      <c r="Q34" s="1171">
        <f t="shared" si="6"/>
        <v>41950.629191445958</v>
      </c>
      <c r="R34" s="1169">
        <f>Q34/(1+'Major Assumption Key'!$B$8)^($F34-'Major Assumption Key'!$B$7)</f>
        <v>19555.631584426403</v>
      </c>
      <c r="S34" s="1155"/>
      <c r="T34" s="1165">
        <f t="shared" si="7"/>
        <v>0</v>
      </c>
      <c r="U34" s="1170">
        <f t="shared" si="8"/>
        <v>42000</v>
      </c>
      <c r="V34" s="1171">
        <f t="shared" si="9"/>
        <v>42000</v>
      </c>
      <c r="W34" s="1169">
        <f t="shared" si="10"/>
        <v>20000</v>
      </c>
    </row>
    <row r="35" spans="1:23">
      <c r="A35" s="1245"/>
      <c r="B35" s="1149"/>
      <c r="C35" s="1149"/>
      <c r="F35" s="1181">
        <f>'Major Assumption Key'!A47</f>
        <v>2048</v>
      </c>
      <c r="G35" s="1182">
        <f>_xlfn.XLOOKUP(F35,'Bike Demand'!A:A,'Bike Demand'!$B:$B,,0)</f>
        <v>17.813292116972686</v>
      </c>
      <c r="H35" s="1242">
        <v>0</v>
      </c>
      <c r="I35" s="1184">
        <v>0</v>
      </c>
      <c r="J35" s="1184">
        <v>0</v>
      </c>
      <c r="K35" s="1165">
        <f t="shared" si="3"/>
        <v>0</v>
      </c>
      <c r="L35" s="1182">
        <f>_xlfn.XLOOKUP(F35,'Bike Demand'!A:A,'Bike Demand'!$B:$B,,0)</f>
        <v>17.813292116972686</v>
      </c>
      <c r="M35" s="1242">
        <f>IF(F35&lt;$B$16,0,_xlfn.XLOOKUP(F35,'Bike Demand'!A:A,'Bike Demand'!$D:$D,,0))</f>
        <v>225.63503348165395</v>
      </c>
      <c r="N35" s="1184">
        <f t="shared" si="4"/>
        <v>5804.8531287421238</v>
      </c>
      <c r="O35" s="1184">
        <f t="shared" si="5"/>
        <v>36764.069815366776</v>
      </c>
      <c r="P35" s="1170">
        <f>IF(AND($F35&gt;=MIN('Major Assumption Key'!$B$4),$F35&lt;=MAX('Major Assumption Key'!$B$6)),O35+N35,0)</f>
        <v>0</v>
      </c>
      <c r="Q35" s="1171">
        <f t="shared" si="6"/>
        <v>0</v>
      </c>
      <c r="R35" s="1169">
        <f>Q35/(1+'Major Assumption Key'!$B$8)^($F35-'Major Assumption Key'!$B$7)</f>
        <v>0</v>
      </c>
      <c r="S35" s="1155"/>
      <c r="T35" s="1165">
        <f t="shared" si="7"/>
        <v>0</v>
      </c>
      <c r="U35" s="1170">
        <f t="shared" si="8"/>
        <v>0</v>
      </c>
      <c r="V35" s="1171">
        <f t="shared" si="9"/>
        <v>0</v>
      </c>
      <c r="W35" s="1169">
        <f t="shared" si="10"/>
        <v>0</v>
      </c>
    </row>
    <row r="36" spans="1:23">
      <c r="A36" s="1245"/>
      <c r="B36" s="1149"/>
      <c r="C36" s="1149"/>
      <c r="F36" s="1181">
        <f>'Major Assumption Key'!A48</f>
        <v>2049</v>
      </c>
      <c r="G36" s="1182">
        <f>_xlfn.XLOOKUP(F36,'Bike Demand'!A:A,'Bike Demand'!$B:$B,,0)</f>
        <v>18.07583519302576</v>
      </c>
      <c r="H36" s="1242">
        <v>0</v>
      </c>
      <c r="I36" s="1184">
        <v>0</v>
      </c>
      <c r="J36" s="1184">
        <v>0</v>
      </c>
      <c r="K36" s="1165">
        <f t="shared" si="3"/>
        <v>0</v>
      </c>
      <c r="L36" s="1182">
        <f>_xlfn.XLOOKUP(F36,'Bike Demand'!A:A,'Bike Demand'!$B:$B,,0)</f>
        <v>18.07583519302576</v>
      </c>
      <c r="M36" s="1242">
        <f>IF(F36&lt;$B$16,0,_xlfn.XLOOKUP(F36,'Bike Demand'!A:A,'Bike Demand'!$D:$D,,0))</f>
        <v>228.96057911165954</v>
      </c>
      <c r="N36" s="1184">
        <f t="shared" si="4"/>
        <v>5890.4085660216915</v>
      </c>
      <c r="O36" s="1184">
        <f t="shared" si="5"/>
        <v>37305.920918137366</v>
      </c>
      <c r="P36" s="1170">
        <f>IF(AND($F36&gt;=MIN('Major Assumption Key'!$B$4),$F36&lt;=MAX('Major Assumption Key'!$B$6)),O36+N36,0)</f>
        <v>0</v>
      </c>
      <c r="Q36" s="1171">
        <f t="shared" si="6"/>
        <v>0</v>
      </c>
      <c r="R36" s="1169">
        <f>Q36/(1+'Major Assumption Key'!$B$8)^($F36-'Major Assumption Key'!$B$7)</f>
        <v>0</v>
      </c>
      <c r="S36" s="1155"/>
      <c r="T36" s="1165">
        <f t="shared" si="7"/>
        <v>0</v>
      </c>
      <c r="U36" s="1170">
        <f t="shared" si="8"/>
        <v>0</v>
      </c>
      <c r="V36" s="1171">
        <f t="shared" si="9"/>
        <v>0</v>
      </c>
      <c r="W36" s="1169">
        <f t="shared" si="10"/>
        <v>0</v>
      </c>
    </row>
    <row r="37" spans="1:23">
      <c r="A37" s="1245"/>
      <c r="B37" s="1149"/>
      <c r="C37" s="1149"/>
      <c r="F37" s="1181">
        <f>'Major Assumption Key'!A49</f>
        <v>2050</v>
      </c>
      <c r="G37" s="1182">
        <f>_xlfn.XLOOKUP(F37,'Bike Demand'!A:A,'Bike Demand'!$B:$B,,0)</f>
        <v>18.342247787769189</v>
      </c>
      <c r="H37" s="1242">
        <v>0</v>
      </c>
      <c r="I37" s="1184">
        <v>0</v>
      </c>
      <c r="J37" s="1184">
        <v>0</v>
      </c>
      <c r="K37" s="1165">
        <f t="shared" si="3"/>
        <v>0</v>
      </c>
      <c r="L37" s="1182">
        <f>_xlfn.XLOOKUP(F37,'Bike Demand'!A:A,'Bike Demand'!$B:$B,,0)</f>
        <v>18.342247787769189</v>
      </c>
      <c r="M37" s="1242">
        <f>IF(F37&lt;$B$16,0,_xlfn.XLOOKUP(F37,'Bike Demand'!A:A,'Bike Demand'!$D:$D,,0))</f>
        <v>232.33513864507631</v>
      </c>
      <c r="N37" s="1184">
        <f t="shared" si="4"/>
        <v>5977.2249710959222</v>
      </c>
      <c r="O37" s="1184">
        <f t="shared" si="5"/>
        <v>37855.75815027416</v>
      </c>
      <c r="P37" s="1170">
        <f>IF(AND($F37&gt;=MIN('Major Assumption Key'!$B$4),$F37&lt;=MAX('Major Assumption Key'!$B$6)),O37+N37,0)</f>
        <v>0</v>
      </c>
      <c r="Q37" s="1171">
        <f t="shared" si="6"/>
        <v>0</v>
      </c>
      <c r="R37" s="1169">
        <f>Q37/(1+'Major Assumption Key'!$B$8)^($F37-'Major Assumption Key'!$B$7)</f>
        <v>0</v>
      </c>
      <c r="S37" s="1155"/>
      <c r="T37" s="1165">
        <f t="shared" si="7"/>
        <v>0</v>
      </c>
      <c r="U37" s="1170">
        <f t="shared" si="8"/>
        <v>0</v>
      </c>
      <c r="V37" s="1171">
        <f t="shared" si="9"/>
        <v>0</v>
      </c>
      <c r="W37" s="1169">
        <f t="shared" si="10"/>
        <v>0</v>
      </c>
    </row>
    <row r="38" spans="1:23">
      <c r="A38" s="1245"/>
      <c r="B38" s="1149"/>
      <c r="C38" s="1149"/>
      <c r="F38" s="1181">
        <f>'Major Assumption Key'!A50</f>
        <v>2051</v>
      </c>
      <c r="G38" s="1182">
        <f>_xlfn.XLOOKUP(F38,'Bike Demand'!A:A,'Bike Demand'!$B:$B,,0)</f>
        <v>18.61258693251045</v>
      </c>
      <c r="H38" s="1242">
        <v>0</v>
      </c>
      <c r="I38" s="1184">
        <v>0</v>
      </c>
      <c r="J38" s="1184">
        <v>0</v>
      </c>
      <c r="K38" s="1165">
        <f t="shared" si="3"/>
        <v>0</v>
      </c>
      <c r="L38" s="1182">
        <f>_xlfn.XLOOKUP(F38,'Bike Demand'!A:A,'Bike Demand'!$B:$B,,0)</f>
        <v>18.61258693251045</v>
      </c>
      <c r="M38" s="1242">
        <f>IF(F38&lt;$B$16,0,_xlfn.XLOOKUP(F38,'Bike Demand'!A:A,'Bike Demand'!$D:$D,,0))</f>
        <v>235.75943447846558</v>
      </c>
      <c r="N38" s="1184">
        <f t="shared" si="4"/>
        <v>6065.3209288710459</v>
      </c>
      <c r="O38" s="1184">
        <f t="shared" si="5"/>
        <v>38413.699216183268</v>
      </c>
      <c r="P38" s="1170">
        <f>IF(AND($F38&gt;=MIN('Major Assumption Key'!$B$4),$F38&lt;=MAX('Major Assumption Key'!$B$6)),O38+N38,0)</f>
        <v>0</v>
      </c>
      <c r="Q38" s="1171">
        <f t="shared" si="6"/>
        <v>0</v>
      </c>
      <c r="R38" s="1169">
        <f>Q38/(1+'Major Assumption Key'!$B$8)^($F38-'Major Assumption Key'!$B$7)</f>
        <v>0</v>
      </c>
      <c r="S38" s="1155"/>
      <c r="T38" s="1165">
        <f t="shared" si="7"/>
        <v>0</v>
      </c>
      <c r="U38" s="1170">
        <f t="shared" si="8"/>
        <v>0</v>
      </c>
      <c r="V38" s="1171">
        <f t="shared" si="9"/>
        <v>0</v>
      </c>
      <c r="W38" s="1169">
        <f t="shared" si="10"/>
        <v>0</v>
      </c>
    </row>
    <row r="39" spans="1:23">
      <c r="A39" s="1245"/>
      <c r="B39" s="1149"/>
      <c r="C39" s="1149"/>
      <c r="F39" s="1181">
        <f>'Major Assumption Key'!A51</f>
        <v>2052</v>
      </c>
      <c r="G39" s="1182">
        <f>_xlfn.XLOOKUP(F39,'Bike Demand'!A:A,'Bike Demand'!$B:$B,,0)</f>
        <v>18.886910499118923</v>
      </c>
      <c r="H39" s="1242">
        <v>0</v>
      </c>
      <c r="I39" s="1184">
        <v>0</v>
      </c>
      <c r="J39" s="1184">
        <v>0</v>
      </c>
      <c r="K39" s="1165">
        <f t="shared" si="3"/>
        <v>0</v>
      </c>
      <c r="L39" s="1182">
        <f>_xlfn.XLOOKUP(F39,'Bike Demand'!A:A,'Bike Demand'!$B:$B,,0)</f>
        <v>18.886910499118923</v>
      </c>
      <c r="M39" s="1242">
        <f>IF(F39&lt;$B$16,0,_xlfn.XLOOKUP(F39,'Bike Demand'!A:A,'Bike Demand'!$D:$D,,0))</f>
        <v>239.23419965550622</v>
      </c>
      <c r="N39" s="1184">
        <f t="shared" si="4"/>
        <v>6154.7152981688823</v>
      </c>
      <c r="O39" s="1184">
        <f t="shared" si="5"/>
        <v>38979.863555069569</v>
      </c>
      <c r="P39" s="1170">
        <f>IF(AND($F39&gt;=MIN('Major Assumption Key'!$B$4),$F39&lt;=MAX('Major Assumption Key'!$B$6)),O39+N39,0)</f>
        <v>0</v>
      </c>
      <c r="Q39" s="1171">
        <f t="shared" si="6"/>
        <v>0</v>
      </c>
      <c r="R39" s="1169">
        <f>Q39/(1+'Major Assumption Key'!$B$8)^($F39-'Major Assumption Key'!$B$7)</f>
        <v>0</v>
      </c>
      <c r="S39" s="1155"/>
      <c r="T39" s="1165">
        <f t="shared" si="7"/>
        <v>0</v>
      </c>
      <c r="U39" s="1170">
        <f t="shared" si="8"/>
        <v>0</v>
      </c>
      <c r="V39" s="1171">
        <f t="shared" si="9"/>
        <v>0</v>
      </c>
      <c r="W39" s="1169">
        <f t="shared" si="10"/>
        <v>0</v>
      </c>
    </row>
    <row r="40" spans="1:23">
      <c r="A40" s="1245"/>
      <c r="B40" s="1149"/>
      <c r="C40" s="1149"/>
      <c r="F40" s="1181">
        <f>'Major Assumption Key'!A52</f>
        <v>2053</v>
      </c>
      <c r="G40" s="1182">
        <f>_xlfn.XLOOKUP(F40,'Bike Demand'!A:A,'Bike Demand'!$B:$B,,0)</f>
        <v>19.165277212414615</v>
      </c>
      <c r="H40" s="1242">
        <v>0</v>
      </c>
      <c r="I40" s="1184">
        <v>0</v>
      </c>
      <c r="J40" s="1184">
        <v>0</v>
      </c>
      <c r="K40" s="1165">
        <f t="shared" si="3"/>
        <v>0</v>
      </c>
      <c r="L40" s="1182">
        <f>_xlfn.XLOOKUP(F40,'Bike Demand'!A:A,'Bike Demand'!$B:$B,,0)</f>
        <v>19.165277212414615</v>
      </c>
      <c r="M40" s="1242">
        <f>IF(F40&lt;$B$16,0,_xlfn.XLOOKUP(F40,'Bike Demand'!A:A,'Bike Demand'!$D:$D,,0))</f>
        <v>242.76017802391834</v>
      </c>
      <c r="N40" s="1184">
        <f t="shared" si="4"/>
        <v>6245.4272157639762</v>
      </c>
      <c r="O40" s="1184">
        <f t="shared" si="5"/>
        <v>39554.372366505158</v>
      </c>
      <c r="P40" s="1170">
        <f>IF(AND($F40&gt;=MIN('Major Assumption Key'!$B$4),$F40&lt;=MAX('Major Assumption Key'!$B$6)),O40+N40,0)</f>
        <v>0</v>
      </c>
      <c r="Q40" s="1171">
        <f t="shared" si="6"/>
        <v>0</v>
      </c>
      <c r="R40" s="1169">
        <f>Q40/(1+'Major Assumption Key'!$B$8)^($F40-'Major Assumption Key'!$B$7)</f>
        <v>0</v>
      </c>
      <c r="S40" s="1155"/>
      <c r="T40" s="1165">
        <f t="shared" si="7"/>
        <v>0</v>
      </c>
      <c r="U40" s="1170">
        <f t="shared" si="8"/>
        <v>0</v>
      </c>
      <c r="V40" s="1171">
        <f t="shared" si="9"/>
        <v>0</v>
      </c>
      <c r="W40" s="1169">
        <f t="shared" si="10"/>
        <v>0</v>
      </c>
    </row>
    <row r="41" spans="1:23">
      <c r="A41" s="1245"/>
      <c r="B41" s="1149"/>
      <c r="C41" s="1149"/>
      <c r="F41" s="1181">
        <f>'Major Assumption Key'!A53</f>
        <v>2054</v>
      </c>
      <c r="G41" s="1182">
        <f>_xlfn.XLOOKUP(F41,'Bike Demand'!A:A,'Bike Demand'!$B:$B,,0)</f>
        <v>19.447746662739462</v>
      </c>
      <c r="H41" s="1242">
        <v>0</v>
      </c>
      <c r="I41" s="1184">
        <v>0</v>
      </c>
      <c r="J41" s="1184">
        <v>0</v>
      </c>
      <c r="K41" s="1165">
        <f t="shared" si="3"/>
        <v>0</v>
      </c>
      <c r="L41" s="1182">
        <f>_xlfn.XLOOKUP(F41,'Bike Demand'!A:A,'Bike Demand'!$B:$B,,0)</f>
        <v>19.447746662739462</v>
      </c>
      <c r="M41" s="1242">
        <f>IF(F41&lt;$B$16,0,_xlfn.XLOOKUP(F41,'Bike Demand'!A:A,'Bike Demand'!$D:$D,,0))</f>
        <v>246.33812439469975</v>
      </c>
      <c r="N41" s="1184">
        <f t="shared" si="4"/>
        <v>6337.4761004802349</v>
      </c>
      <c r="O41" s="1184">
        <f t="shared" si="5"/>
        <v>40137.348636374802</v>
      </c>
      <c r="P41" s="1170">
        <f>IF(AND($F41&gt;=MIN('Major Assumption Key'!$B$4),$F41&lt;=MAX('Major Assumption Key'!$B$6)),O41+N41,0)</f>
        <v>0</v>
      </c>
      <c r="Q41" s="1171">
        <f t="shared" si="6"/>
        <v>0</v>
      </c>
      <c r="R41" s="1169">
        <f>Q41/(1+'Major Assumption Key'!$B$8)^($F41-'Major Assumption Key'!$B$7)</f>
        <v>0</v>
      </c>
      <c r="S41" s="1155"/>
      <c r="T41" s="1165">
        <f t="shared" si="7"/>
        <v>0</v>
      </c>
      <c r="U41" s="1170">
        <f t="shared" si="8"/>
        <v>0</v>
      </c>
      <c r="V41" s="1171">
        <f t="shared" si="9"/>
        <v>0</v>
      </c>
      <c r="W41" s="1169">
        <f t="shared" si="10"/>
        <v>0</v>
      </c>
    </row>
    <row r="42" spans="1:23">
      <c r="A42" s="1245"/>
      <c r="B42" s="1149"/>
      <c r="C42" s="1149"/>
      <c r="F42" s="1181">
        <f>'Major Assumption Key'!A54</f>
        <v>2055</v>
      </c>
      <c r="G42" s="1182">
        <f>_xlfn.XLOOKUP(F42,'Bike Demand'!A:A,'Bike Demand'!$B:$B,,0)</f>
        <v>19.734379318713906</v>
      </c>
      <c r="H42" s="1242">
        <v>0</v>
      </c>
      <c r="I42" s="1184">
        <v>0</v>
      </c>
      <c r="J42" s="1184">
        <v>0</v>
      </c>
      <c r="K42" s="1165">
        <f t="shared" si="3"/>
        <v>0</v>
      </c>
      <c r="L42" s="1182">
        <f>_xlfn.XLOOKUP(F42,'Bike Demand'!A:A,'Bike Demand'!$B:$B,,0)</f>
        <v>19.734379318713906</v>
      </c>
      <c r="M42" s="1242">
        <f>IF(F42&lt;$B$16,0,_xlfn.XLOOKUP(F42,'Bike Demand'!A:A,'Bike Demand'!$D:$D,,0))</f>
        <v>249.96880470370937</v>
      </c>
      <c r="N42" s="1184">
        <f t="shared" si="4"/>
        <v>6430.8816573479389</v>
      </c>
      <c r="O42" s="1184">
        <f t="shared" si="5"/>
        <v>40728.917163203594</v>
      </c>
      <c r="P42" s="1170">
        <f>IF(AND($F42&gt;=MIN('Major Assumption Key'!$B$4),$F42&lt;=MAX('Major Assumption Key'!$B$6)),O42+N42,0)</f>
        <v>0</v>
      </c>
      <c r="Q42" s="1171">
        <f t="shared" si="6"/>
        <v>0</v>
      </c>
      <c r="R42" s="1169">
        <f>Q42/(1+'Major Assumption Key'!$B$8)^($F42-'Major Assumption Key'!$B$7)</f>
        <v>0</v>
      </c>
      <c r="S42" s="1155"/>
      <c r="T42" s="1165">
        <f t="shared" si="7"/>
        <v>0</v>
      </c>
      <c r="U42" s="1170">
        <f t="shared" si="8"/>
        <v>0</v>
      </c>
      <c r="V42" s="1171">
        <f t="shared" si="9"/>
        <v>0</v>
      </c>
      <c r="W42" s="1169">
        <f t="shared" si="10"/>
        <v>0</v>
      </c>
    </row>
    <row r="43" spans="1:23">
      <c r="A43" s="1245"/>
      <c r="B43" s="1149"/>
      <c r="C43" s="1149"/>
      <c r="F43" s="1181">
        <f>'Major Assumption Key'!A55</f>
        <v>2056</v>
      </c>
      <c r="G43" s="1182">
        <f>_xlfn.XLOOKUP(F43,'Bike Demand'!A:A,'Bike Demand'!$B:$B,,0)</f>
        <v>20.025236540181503</v>
      </c>
      <c r="H43" s="1242">
        <v>0</v>
      </c>
      <c r="I43" s="1184">
        <v>0</v>
      </c>
      <c r="J43" s="1184">
        <v>0</v>
      </c>
      <c r="K43" s="1165">
        <f t="shared" si="3"/>
        <v>0</v>
      </c>
      <c r="L43" s="1182">
        <f>_xlfn.XLOOKUP(F43,'Bike Demand'!A:A,'Bike Demand'!$B:$B,,0)</f>
        <v>20.025236540181503</v>
      </c>
      <c r="M43" s="1242">
        <f>IF(F43&lt;$B$16,0,_xlfn.XLOOKUP(F43,'Bike Demand'!A:A,'Bike Demand'!$D:$D,,0))</f>
        <v>253.65299617563224</v>
      </c>
      <c r="N43" s="1184">
        <f t="shared" si="4"/>
        <v>6525.6638818220281</v>
      </c>
      <c r="O43" s="1184">
        <f t="shared" si="5"/>
        <v>41329.204584872823</v>
      </c>
      <c r="P43" s="1170">
        <f>IF(AND($F43&gt;=MIN('Major Assumption Key'!$B$4),$F43&lt;=MAX('Major Assumption Key'!$B$6)),O43+N43,0)</f>
        <v>0</v>
      </c>
      <c r="Q43" s="1171">
        <f t="shared" si="6"/>
        <v>0</v>
      </c>
      <c r="R43" s="1169">
        <f>Q43/(1+'Major Assumption Key'!$B$8)^($F43-'Major Assumption Key'!$B$7)</f>
        <v>0</v>
      </c>
      <c r="S43" s="1155"/>
      <c r="T43" s="1165">
        <f t="shared" si="7"/>
        <v>0</v>
      </c>
      <c r="U43" s="1170">
        <f t="shared" si="8"/>
        <v>0</v>
      </c>
      <c r="V43" s="1171">
        <f t="shared" si="9"/>
        <v>0</v>
      </c>
      <c r="W43" s="1169">
        <f t="shared" si="10"/>
        <v>0</v>
      </c>
    </row>
    <row r="44" spans="1:23">
      <c r="A44" s="1245"/>
      <c r="B44" s="1149"/>
      <c r="C44" s="1149"/>
      <c r="F44" s="1181">
        <f>'Major Assumption Key'!A56</f>
        <v>2057</v>
      </c>
      <c r="G44" s="1182">
        <f>_xlfn.XLOOKUP(F44,'Bike Demand'!A:A,'Bike Demand'!$B:$B,,0)</f>
        <v>20.3203805913443</v>
      </c>
      <c r="H44" s="1242">
        <v>0</v>
      </c>
      <c r="I44" s="1184">
        <v>0</v>
      </c>
      <c r="J44" s="1184">
        <v>0</v>
      </c>
      <c r="K44" s="1165">
        <f t="shared" si="3"/>
        <v>0</v>
      </c>
      <c r="L44" s="1182">
        <f>_xlfn.XLOOKUP(F44,'Bike Demand'!A:A,'Bike Demand'!$B:$B,,0)</f>
        <v>20.3203805913443</v>
      </c>
      <c r="M44" s="1242">
        <f>IF(F44&lt;$B$16,0,_xlfn.XLOOKUP(F44,'Bike Demand'!A:A,'Bike Demand'!$D:$D,,0))</f>
        <v>257.39148749036104</v>
      </c>
      <c r="N44" s="1184">
        <f t="shared" si="4"/>
        <v>6621.8430640625502</v>
      </c>
      <c r="O44" s="1184">
        <f t="shared" si="5"/>
        <v>41938.339405729472</v>
      </c>
      <c r="P44" s="1170">
        <f>IF(AND($F44&gt;=MIN('Major Assumption Key'!$B$4),$F44&lt;=MAX('Major Assumption Key'!$B$6)),O44+N44,0)</f>
        <v>0</v>
      </c>
      <c r="Q44" s="1171">
        <f t="shared" si="6"/>
        <v>0</v>
      </c>
      <c r="R44" s="1169">
        <f>Q44/(1+'Major Assumption Key'!$B$8)^($F44-'Major Assumption Key'!$B$7)</f>
        <v>0</v>
      </c>
      <c r="S44" s="1155"/>
      <c r="T44" s="1165">
        <f t="shared" si="7"/>
        <v>0</v>
      </c>
      <c r="U44" s="1170">
        <f t="shared" si="8"/>
        <v>0</v>
      </c>
      <c r="V44" s="1171">
        <f t="shared" si="9"/>
        <v>0</v>
      </c>
      <c r="W44" s="1169">
        <f t="shared" si="10"/>
        <v>0</v>
      </c>
    </row>
    <row r="45" spans="1:23">
      <c r="A45" s="1245"/>
      <c r="B45" s="1149"/>
      <c r="C45" s="1149"/>
      <c r="F45" s="1181">
        <f>'Major Assumption Key'!A57</f>
        <v>2058</v>
      </c>
      <c r="G45" s="1182">
        <f>_xlfn.XLOOKUP(F45,'Bike Demand'!A:A,'Bike Demand'!$B:$B,,0)</f>
        <v>20.619874654091831</v>
      </c>
      <c r="H45" s="1242">
        <v>0</v>
      </c>
      <c r="I45" s="1184">
        <v>0</v>
      </c>
      <c r="J45" s="1184">
        <v>0</v>
      </c>
      <c r="K45" s="1165">
        <f t="shared" si="3"/>
        <v>0</v>
      </c>
      <c r="L45" s="1182">
        <f>_xlfn.XLOOKUP(F45,'Bike Demand'!A:A,'Bike Demand'!$B:$B,,0)</f>
        <v>20.619874654091831</v>
      </c>
      <c r="M45" s="1242">
        <f>IF(F45&lt;$B$16,0,_xlfn.XLOOKUP(F45,'Bike Demand'!A:A,'Bike Demand'!$D:$D,,0))</f>
        <v>261.18507895182978</v>
      </c>
      <c r="N45" s="1184">
        <f t="shared" si="4"/>
        <v>6719.4397932782131</v>
      </c>
      <c r="O45" s="1184">
        <f t="shared" si="5"/>
        <v>42556.452024095342</v>
      </c>
      <c r="P45" s="1170">
        <f>IF(AND($F45&gt;=MIN('Major Assumption Key'!$B$4),$F45&lt;=MAX('Major Assumption Key'!$B$6)),O45+N45,0)</f>
        <v>0</v>
      </c>
      <c r="Q45" s="1171">
        <f t="shared" si="6"/>
        <v>0</v>
      </c>
      <c r="R45" s="1169">
        <f>Q45/(1+'Major Assumption Key'!$B$8)^($F45-'Major Assumption Key'!$B$7)</f>
        <v>0</v>
      </c>
      <c r="S45" s="1155"/>
      <c r="T45" s="1165">
        <f t="shared" si="7"/>
        <v>0</v>
      </c>
      <c r="U45" s="1170">
        <f t="shared" si="8"/>
        <v>0</v>
      </c>
      <c r="V45" s="1171">
        <f t="shared" si="9"/>
        <v>0</v>
      </c>
      <c r="W45" s="1169">
        <f t="shared" si="10"/>
        <v>0</v>
      </c>
    </row>
    <row r="46" spans="1:23">
      <c r="A46" s="1245"/>
      <c r="B46" s="1149"/>
      <c r="C46" s="1149"/>
      <c r="F46" s="1181">
        <f>'Major Assumption Key'!A58</f>
        <v>2059</v>
      </c>
      <c r="G46" s="1182">
        <f>_xlfn.XLOOKUP(F46,'Bike Demand'!A:A,'Bike Demand'!$B:$B,,0)</f>
        <v>20.923782841526535</v>
      </c>
      <c r="H46" s="1242">
        <v>0</v>
      </c>
      <c r="I46" s="1184">
        <v>0</v>
      </c>
      <c r="J46" s="1184">
        <v>0</v>
      </c>
      <c r="K46" s="1165">
        <f t="shared" si="3"/>
        <v>0</v>
      </c>
      <c r="L46" s="1182">
        <f>_xlfn.XLOOKUP(F46,'Bike Demand'!A:A,'Bike Demand'!$B:$B,,0)</f>
        <v>20.923782841526535</v>
      </c>
      <c r="M46" s="1242">
        <f>IF(F46&lt;$B$16,0,_xlfn.XLOOKUP(F46,'Bike Demand'!A:A,'Bike Demand'!$D:$D,,0))</f>
        <v>265.03458265933602</v>
      </c>
      <c r="N46" s="1184">
        <f t="shared" si="4"/>
        <v>6818.4749621339361</v>
      </c>
      <c r="O46" s="1184">
        <f t="shared" si="5"/>
        <v>43183.67476018158</v>
      </c>
      <c r="P46" s="1170">
        <f>IF(AND($F46&gt;=MIN('Major Assumption Key'!$B$4),$F46&lt;=MAX('Major Assumption Key'!$B$6)),O46+N46,0)</f>
        <v>0</v>
      </c>
      <c r="Q46" s="1171">
        <f t="shared" si="6"/>
        <v>0</v>
      </c>
      <c r="R46" s="1169">
        <f>Q46/(1+'Major Assumption Key'!$B$8)^($F46-'Major Assumption Key'!$B$7)</f>
        <v>0</v>
      </c>
      <c r="S46" s="1155"/>
      <c r="T46" s="1165">
        <f t="shared" si="7"/>
        <v>0</v>
      </c>
      <c r="U46" s="1170">
        <f t="shared" si="8"/>
        <v>0</v>
      </c>
      <c r="V46" s="1171">
        <f t="shared" si="9"/>
        <v>0</v>
      </c>
      <c r="W46" s="1169">
        <f t="shared" si="10"/>
        <v>0</v>
      </c>
    </row>
    <row r="47" spans="1:23">
      <c r="A47" s="1245"/>
      <c r="B47" s="1149"/>
      <c r="C47" s="1149"/>
      <c r="F47" s="1181">
        <f>'Major Assumption Key'!A59</f>
        <v>2060</v>
      </c>
      <c r="G47" s="1182">
        <f>_xlfn.XLOOKUP(F47,'Bike Demand'!A:A,'Bike Demand'!$B:$B,,0)</f>
        <v>21.232170211688548</v>
      </c>
      <c r="H47" s="1242">
        <v>0</v>
      </c>
      <c r="I47" s="1184">
        <v>0</v>
      </c>
      <c r="J47" s="1184">
        <v>0</v>
      </c>
      <c r="K47" s="1165">
        <f t="shared" si="3"/>
        <v>0</v>
      </c>
      <c r="L47" s="1182">
        <f>_xlfn.XLOOKUP(F47,'Bike Demand'!A:A,'Bike Demand'!$B:$B,,0)</f>
        <v>21.232170211688548</v>
      </c>
      <c r="M47" s="1242">
        <f>IF(F47&lt;$B$16,0,_xlfn.XLOOKUP(F47,'Bike Demand'!A:A,'Bike Demand'!$D:$D,,0))</f>
        <v>268.94082268138817</v>
      </c>
      <c r="N47" s="1184">
        <f t="shared" si="4"/>
        <v>6918.969771223371</v>
      </c>
      <c r="O47" s="1184">
        <f t="shared" si="5"/>
        <v>43820.141884414668</v>
      </c>
      <c r="P47" s="1170">
        <f>IF(AND($F47&gt;=MIN('Major Assumption Key'!$B$4),$F47&lt;=MAX('Major Assumption Key'!$B$6)),O47+N47,0)</f>
        <v>0</v>
      </c>
      <c r="Q47" s="1171">
        <f t="shared" si="6"/>
        <v>0</v>
      </c>
      <c r="R47" s="1169">
        <f>Q47/(1+'Major Assumption Key'!$B$8)^($F47-'Major Assumption Key'!$B$7)</f>
        <v>0</v>
      </c>
      <c r="S47" s="1155"/>
      <c r="T47" s="1165">
        <f t="shared" si="7"/>
        <v>0</v>
      </c>
      <c r="U47" s="1170">
        <f t="shared" si="8"/>
        <v>0</v>
      </c>
      <c r="V47" s="1171">
        <f t="shared" si="9"/>
        <v>0</v>
      </c>
      <c r="W47" s="1169">
        <f t="shared" si="10"/>
        <v>0</v>
      </c>
    </row>
    <row r="48" spans="1:23" ht="15" thickBot="1">
      <c r="F48" s="1536" t="s">
        <v>504</v>
      </c>
      <c r="G48" s="1537"/>
      <c r="H48" s="1537"/>
      <c r="I48" s="1537"/>
      <c r="J48" s="1645"/>
      <c r="K48" s="1520">
        <f>SUM(K7:K47)</f>
        <v>0</v>
      </c>
      <c r="L48" s="1537"/>
      <c r="M48" s="1537"/>
      <c r="N48" s="1537"/>
      <c r="O48" s="1645"/>
      <c r="P48" s="1524">
        <f>SUM(P7:P47)</f>
        <v>732737.18185127468</v>
      </c>
      <c r="Q48" s="1525">
        <f>SUM(Q7:Q47)</f>
        <v>732737.18185127468</v>
      </c>
      <c r="R48" s="1526">
        <f>SUM(R7:R47)</f>
        <v>456791.26070280815</v>
      </c>
      <c r="S48" s="1155"/>
      <c r="T48" s="1520">
        <f>ROUND(K48,-3)</f>
        <v>0</v>
      </c>
      <c r="U48" s="1524">
        <f>ROUND(P48,-3)</f>
        <v>733000</v>
      </c>
      <c r="V48" s="1525">
        <f>ROUND(Q48,-3)</f>
        <v>733000</v>
      </c>
      <c r="W48" s="1526">
        <f>ROUND(R48,-3)</f>
        <v>457000</v>
      </c>
    </row>
    <row r="49" spans="1:39">
      <c r="K49" s="1527"/>
      <c r="P49" s="1527"/>
    </row>
    <row r="50" spans="1:39">
      <c r="D50" s="1149"/>
    </row>
    <row r="51" spans="1:39">
      <c r="A51" s="1646"/>
    </row>
    <row r="52" spans="1:39" s="1222" customFormat="1">
      <c r="A52" s="1646"/>
      <c r="B52" s="1646"/>
      <c r="C52" s="1646"/>
      <c r="D52" s="1646"/>
      <c r="E52" s="1646"/>
      <c r="F52" s="1547"/>
      <c r="G52" s="1547"/>
      <c r="H52" s="1547"/>
      <c r="I52" s="1547"/>
      <c r="J52" s="1547"/>
      <c r="K52" s="1547"/>
      <c r="L52" s="1547"/>
      <c r="M52" s="1547"/>
      <c r="N52" s="1547"/>
      <c r="O52" s="1547"/>
      <c r="P52" s="1547"/>
      <c r="Q52" s="1547"/>
      <c r="R52" s="1547"/>
      <c r="AD52" s="1342"/>
      <c r="AE52" s="1342"/>
      <c r="AF52" s="1342"/>
      <c r="AG52" s="1342"/>
      <c r="AH52" s="1342"/>
      <c r="AI52" s="1342"/>
      <c r="AJ52" s="1342"/>
      <c r="AK52" s="1342"/>
      <c r="AL52" s="1342"/>
      <c r="AM52" s="1342"/>
    </row>
    <row r="53" spans="1:39">
      <c r="A53" s="1604"/>
      <c r="B53" s="1611"/>
      <c r="C53" s="1611"/>
      <c r="D53" s="1611"/>
      <c r="E53" s="1611"/>
    </row>
    <row r="54" spans="1:39">
      <c r="A54" s="1604"/>
      <c r="B54" s="1195"/>
      <c r="C54" s="1195"/>
      <c r="D54" s="1195"/>
      <c r="E54" s="1195"/>
    </row>
    <row r="55" spans="1:39">
      <c r="A55" s="1604"/>
      <c r="B55" s="1195"/>
      <c r="C55" s="1195"/>
      <c r="D55" s="1195"/>
      <c r="E55" s="1195"/>
    </row>
    <row r="56" spans="1:39">
      <c r="A56" s="1604"/>
      <c r="B56" s="1195"/>
      <c r="C56" s="1195"/>
      <c r="D56" s="1195"/>
      <c r="E56" s="1195"/>
    </row>
    <row r="57" spans="1:39">
      <c r="A57" s="1604"/>
      <c r="B57" s="1195"/>
      <c r="C57" s="1195"/>
      <c r="D57" s="1195"/>
      <c r="E57" s="1195"/>
    </row>
    <row r="58" spans="1:39">
      <c r="A58" s="1604"/>
      <c r="B58" s="1195"/>
      <c r="C58" s="1195"/>
      <c r="D58" s="1195"/>
      <c r="E58" s="1195"/>
    </row>
    <row r="59" spans="1:39">
      <c r="A59" s="1604"/>
      <c r="B59" s="1195"/>
      <c r="C59" s="1195"/>
      <c r="D59" s="1195"/>
      <c r="E59" s="1195"/>
    </row>
    <row r="60" spans="1:39">
      <c r="A60" s="1604"/>
      <c r="B60" s="1195"/>
      <c r="C60" s="1195"/>
      <c r="D60" s="1195"/>
      <c r="E60" s="1195"/>
    </row>
    <row r="61" spans="1:39">
      <c r="A61" s="1604"/>
      <c r="B61" s="1604"/>
      <c r="C61" s="1604"/>
      <c r="D61" s="1604"/>
      <c r="E61" s="1604"/>
    </row>
    <row r="62" spans="1:39">
      <c r="A62" s="1604"/>
      <c r="B62" s="1195"/>
      <c r="C62" s="1195"/>
      <c r="D62" s="1013"/>
      <c r="E62" s="1195"/>
    </row>
    <row r="63" spans="1:39">
      <c r="A63" s="1604"/>
      <c r="B63" s="1195"/>
      <c r="C63" s="1195"/>
      <c r="D63" s="1195"/>
      <c r="E63" s="1195"/>
    </row>
    <row r="64" spans="1:39">
      <c r="A64" s="1604"/>
      <c r="B64" s="1195"/>
      <c r="C64" s="1195"/>
      <c r="D64" s="1195"/>
      <c r="E64" s="1195"/>
    </row>
    <row r="65" spans="1:5">
      <c r="A65" s="1604"/>
      <c r="B65" s="1195"/>
      <c r="C65" s="1195"/>
      <c r="D65" s="1195"/>
      <c r="E65" s="1195"/>
    </row>
    <row r="66" spans="1:5">
      <c r="A66" s="1604"/>
      <c r="B66" s="1195"/>
      <c r="C66" s="1195"/>
      <c r="D66" s="1195"/>
      <c r="E66" s="1195"/>
    </row>
    <row r="67" spans="1:5">
      <c r="A67" s="1604"/>
      <c r="B67" s="1195"/>
      <c r="C67" s="1195"/>
      <c r="D67" s="1195"/>
      <c r="E67" s="1195"/>
    </row>
    <row r="68" spans="1:5">
      <c r="A68" s="1604"/>
      <c r="B68" s="1195"/>
      <c r="C68" s="1195"/>
      <c r="D68" s="1195"/>
      <c r="E68" s="1195"/>
    </row>
  </sheetData>
  <sheetProtection algorithmName="SHA-512" hashValue="viapIpRDcKDyy/9qjFghHh7V0BrTZM6eGed6ah7YttK+Pg4fSueuaMn5U8HO9PCSq450gjV7B2P/BVGLBApUpQ==" saltValue="o6jlQ/dzmn5yP38Vgb1GjQ=="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21875" defaultRowHeight="14.4"/>
  <cols>
    <col min="1" max="1" width="50.44140625" style="347" bestFit="1" customWidth="1"/>
    <col min="2" max="2" width="38" style="3" customWidth="1"/>
    <col min="3" max="3" width="28.21875" style="3" customWidth="1"/>
    <col min="4" max="4" width="38.44140625" style="3" customWidth="1"/>
    <col min="5" max="5" width="7.5546875" style="3" customWidth="1"/>
    <col min="6" max="6" width="31.21875" style="3" customWidth="1"/>
    <col min="7" max="7" width="19.21875" style="3" customWidth="1"/>
    <col min="8" max="8" width="17.21875" style="3" customWidth="1"/>
    <col min="9" max="14" width="27.77734375" style="3" customWidth="1"/>
    <col min="15" max="15" width="19.21875" style="3" customWidth="1"/>
    <col min="16" max="16" width="19.21875" style="3" bestFit="1" customWidth="1"/>
    <col min="17" max="17" width="17.21875" style="3" bestFit="1" customWidth="1"/>
    <col min="18" max="21" width="19.44140625" style="3" bestFit="1" customWidth="1"/>
    <col min="22" max="23" width="27.77734375" style="3" bestFit="1" customWidth="1"/>
    <col min="24" max="24" width="19.21875" style="3" bestFit="1" customWidth="1"/>
    <col min="25" max="25" width="11.77734375" style="3" bestFit="1" customWidth="1"/>
    <col min="26" max="26" width="16.44140625" style="3" bestFit="1" customWidth="1"/>
    <col min="27" max="27" width="9.21875" style="13"/>
    <col min="28" max="28" width="22.44140625" style="13" customWidth="1"/>
    <col min="29" max="29" width="24.5546875" style="13" customWidth="1"/>
    <col min="30" max="31" width="17" style="13" customWidth="1"/>
    <col min="32" max="37" width="9.21875" style="13"/>
    <col min="48" max="48" width="9.21875" style="13"/>
    <col min="49" max="49" width="11.21875" style="13" bestFit="1" customWidth="1"/>
    <col min="50" max="16384" width="9.21875" style="13"/>
  </cols>
  <sheetData>
    <row r="1" spans="1:31">
      <c r="A1" s="306" t="s">
        <v>185</v>
      </c>
      <c r="B1" s="42" t="s">
        <v>1191</v>
      </c>
      <c r="C1" s="766"/>
      <c r="D1" s="766"/>
      <c r="E1" s="766"/>
      <c r="F1" s="33" t="s">
        <v>187</v>
      </c>
    </row>
    <row r="2" spans="1:31" ht="15" thickBot="1">
      <c r="A2" s="854"/>
      <c r="B2" s="767"/>
      <c r="C2" s="767"/>
      <c r="D2" s="767"/>
      <c r="E2" s="767"/>
    </row>
    <row r="3" spans="1:31" ht="18">
      <c r="A3" s="345" t="s">
        <v>482</v>
      </c>
      <c r="B3" s="1884" t="s">
        <v>1192</v>
      </c>
      <c r="C3" s="1884"/>
      <c r="D3" s="1884"/>
      <c r="E3" s="769"/>
      <c r="F3" s="1972" t="s">
        <v>484</v>
      </c>
      <c r="G3" s="1973"/>
      <c r="H3" s="1973"/>
      <c r="I3" s="1973"/>
      <c r="J3" s="1973"/>
      <c r="K3" s="1973"/>
      <c r="L3" s="1973"/>
      <c r="M3" s="1973"/>
      <c r="N3" s="1973"/>
      <c r="O3" s="1973"/>
      <c r="P3" s="1973"/>
      <c r="Q3" s="1973"/>
      <c r="R3" s="1973"/>
      <c r="S3" s="1973"/>
      <c r="T3" s="1973"/>
      <c r="U3" s="1973"/>
      <c r="V3" s="1973"/>
      <c r="W3" s="1973"/>
      <c r="X3" s="1973"/>
      <c r="Y3" s="1973"/>
      <c r="Z3" s="1974"/>
      <c r="AB3" s="1975" t="s">
        <v>420</v>
      </c>
      <c r="AC3" s="1975"/>
      <c r="AD3" s="1975"/>
      <c r="AE3" s="1975"/>
    </row>
    <row r="4" spans="1:31" ht="18">
      <c r="A4" s="771"/>
      <c r="B4" s="771"/>
      <c r="C4" s="771"/>
      <c r="D4" s="771"/>
      <c r="E4" s="769"/>
      <c r="F4" s="22" t="s">
        <v>485</v>
      </c>
      <c r="G4" s="21" t="s">
        <v>66</v>
      </c>
      <c r="H4" s="21" t="s">
        <v>66</v>
      </c>
      <c r="I4" s="21" t="s">
        <v>66</v>
      </c>
      <c r="J4" s="21" t="s">
        <v>66</v>
      </c>
      <c r="K4" s="21" t="s">
        <v>66</v>
      </c>
      <c r="L4" s="21" t="s">
        <v>66</v>
      </c>
      <c r="M4" s="21" t="s">
        <v>66</v>
      </c>
      <c r="N4" s="21" t="s">
        <v>66</v>
      </c>
      <c r="O4" s="28" t="s">
        <v>66</v>
      </c>
      <c r="P4" s="21" t="s">
        <v>131</v>
      </c>
      <c r="Q4" s="21" t="s">
        <v>131</v>
      </c>
      <c r="R4" s="21"/>
      <c r="S4" s="21"/>
      <c r="T4" s="21"/>
      <c r="U4" s="21"/>
      <c r="V4" s="21" t="s">
        <v>131</v>
      </c>
      <c r="W4" s="21"/>
      <c r="X4" s="30" t="s">
        <v>131</v>
      </c>
      <c r="Y4" s="1933" t="s">
        <v>488</v>
      </c>
      <c r="Z4" s="1934"/>
      <c r="AA4" s="291"/>
      <c r="AB4" s="28" t="s">
        <v>66</v>
      </c>
      <c r="AC4" s="30" t="s">
        <v>131</v>
      </c>
      <c r="AD4" s="1933" t="s">
        <v>488</v>
      </c>
      <c r="AE4" s="1934"/>
    </row>
    <row r="5" spans="1:31" ht="29.4" thickBot="1">
      <c r="A5" s="346" t="s">
        <v>489</v>
      </c>
      <c r="B5" s="1976" t="s">
        <v>1193</v>
      </c>
      <c r="C5" s="1976"/>
      <c r="D5" s="1976"/>
      <c r="E5" s="767"/>
      <c r="F5" s="32" t="s">
        <v>491</v>
      </c>
      <c r="G5" s="15" t="s">
        <v>1166</v>
      </c>
      <c r="H5" s="15" t="s">
        <v>1167</v>
      </c>
      <c r="I5" s="15" t="s">
        <v>494</v>
      </c>
      <c r="J5" s="15" t="s">
        <v>1194</v>
      </c>
      <c r="K5" s="15" t="s">
        <v>1195</v>
      </c>
      <c r="L5" s="15" t="s">
        <v>1196</v>
      </c>
      <c r="M5" s="15" t="s">
        <v>1197</v>
      </c>
      <c r="N5" s="15" t="s">
        <v>1198</v>
      </c>
      <c r="O5" s="29" t="s">
        <v>15</v>
      </c>
      <c r="P5" s="15" t="s">
        <v>1166</v>
      </c>
      <c r="Q5" s="15" t="s">
        <v>1167</v>
      </c>
      <c r="R5" s="15" t="s">
        <v>494</v>
      </c>
      <c r="S5" s="15" t="s">
        <v>1194</v>
      </c>
      <c r="T5" s="15" t="s">
        <v>1195</v>
      </c>
      <c r="U5" s="15" t="s">
        <v>1196</v>
      </c>
      <c r="V5" s="15" t="s">
        <v>1197</v>
      </c>
      <c r="W5" s="15" t="s">
        <v>1198</v>
      </c>
      <c r="X5" s="31" t="s">
        <v>15</v>
      </c>
      <c r="Y5" s="1935"/>
      <c r="Z5" s="1936"/>
      <c r="AA5" s="291"/>
      <c r="AB5" s="29" t="s">
        <v>15</v>
      </c>
      <c r="AC5" s="31" t="s">
        <v>15</v>
      </c>
      <c r="AD5" s="1935"/>
      <c r="AE5" s="1936"/>
    </row>
    <row r="6" spans="1:31" ht="43.2">
      <c r="A6" s="1971" t="s">
        <v>1199</v>
      </c>
      <c r="B6" s="1971"/>
      <c r="C6" s="1971"/>
      <c r="D6" s="1971"/>
      <c r="E6" s="767"/>
      <c r="F6" s="32"/>
      <c r="G6" s="280" t="s">
        <v>1200</v>
      </c>
      <c r="H6" s="280" t="s">
        <v>1201</v>
      </c>
      <c r="I6" s="280" t="s">
        <v>1202</v>
      </c>
      <c r="J6" s="280" t="s">
        <v>1203</v>
      </c>
      <c r="K6" s="280" t="s">
        <v>1204</v>
      </c>
      <c r="L6" s="280" t="s">
        <v>1205</v>
      </c>
      <c r="M6" s="280" t="s">
        <v>1206</v>
      </c>
      <c r="N6" s="280" t="s">
        <v>1207</v>
      </c>
      <c r="O6" s="29" t="s">
        <v>1208</v>
      </c>
      <c r="P6" s="280" t="s">
        <v>1200</v>
      </c>
      <c r="Q6" s="280" t="s">
        <v>1209</v>
      </c>
      <c r="R6" s="280" t="s">
        <v>1202</v>
      </c>
      <c r="S6" s="280" t="s">
        <v>1203</v>
      </c>
      <c r="T6" s="280" t="s">
        <v>1204</v>
      </c>
      <c r="U6" s="280" t="s">
        <v>1205</v>
      </c>
      <c r="V6" s="280" t="s">
        <v>1206</v>
      </c>
      <c r="W6" s="280" t="s">
        <v>1207</v>
      </c>
      <c r="X6" s="31" t="s">
        <v>1208</v>
      </c>
      <c r="Y6" s="23" t="s">
        <v>419</v>
      </c>
      <c r="Z6" s="24" t="str">
        <f>"Discounted @ "&amp;TEXT('Major Assumption Key'!$B$8,"0.0%")</f>
        <v>Discounted @ 3.1%</v>
      </c>
      <c r="AA6" s="291"/>
      <c r="AB6" s="29" t="s">
        <v>1208</v>
      </c>
      <c r="AC6" s="31" t="s">
        <v>1208</v>
      </c>
      <c r="AD6" s="23" t="s">
        <v>419</v>
      </c>
      <c r="AE6" s="24" t="str">
        <f>"Discounted @ "&amp;TEXT('Major Assumption Key'!$B$8,"0.0%")</f>
        <v>Discounted @ 3.1%</v>
      </c>
    </row>
    <row r="7" spans="1:31">
      <c r="A7" s="854"/>
      <c r="B7" s="767"/>
      <c r="C7" s="767"/>
      <c r="D7" s="767"/>
      <c r="E7" s="767"/>
      <c r="F7" s="772">
        <f>'Major Assumption Key'!A19</f>
        <v>2020</v>
      </c>
      <c r="G7" s="864">
        <f>_xlfn.XLOOKUP(F7,'Transit Demand'!A:A,'Transit Demand'!B:B,,0)</f>
        <v>17034</v>
      </c>
      <c r="H7" s="864">
        <v>0</v>
      </c>
      <c r="I7" s="773">
        <v>0</v>
      </c>
      <c r="J7" s="773">
        <v>0</v>
      </c>
      <c r="K7" s="773">
        <v>0</v>
      </c>
      <c r="L7" s="773">
        <v>0</v>
      </c>
      <c r="M7" s="773">
        <v>0</v>
      </c>
      <c r="N7" s="773">
        <v>0</v>
      </c>
      <c r="O7" s="784">
        <f>IF(AND($F7&gt;=MIN('Major Assumption Key'!$B$4),$F7&lt;=MAX('Major Assumption Key'!$B$6)),SUM(I7:N7),0)</f>
        <v>0</v>
      </c>
      <c r="P7" s="864">
        <f>_xlfn.XLOOKUP(F7,'Transit Demand'!A:A,'Transit Demand'!B:B,,0)</f>
        <v>17034</v>
      </c>
      <c r="Q7" s="864">
        <f>_xlfn.XLOOKUP(F7,'Transit Demand'!A:A,'Transit Demand'!D:D,,0)</f>
        <v>0</v>
      </c>
      <c r="R7" s="773">
        <f>IF(F7&lt;$B$15,0,P7*$B$25*'Transit Demand'!$I$32)+IF(F7&lt;$B$15,0,Q7*$B$25*'Transit Demand'!$I$32)/2</f>
        <v>0</v>
      </c>
      <c r="S7" s="773">
        <f>IF(F7&lt;$B$15,0,P7*$B$26*'Transit Demand'!$J$32)+IF(F7&lt;$B$15,0,Q7*$B$26*'Transit Demand'!$J$32)/2</f>
        <v>0</v>
      </c>
      <c r="T7" s="773">
        <f>IF(F7&lt;$B$15,0,P7*$B$27*'Transit Demand'!$K$32)+IF(F7&lt;$B$15,0,Q7*$B$27*'Transit Demand'!$K$32)/2</f>
        <v>0</v>
      </c>
      <c r="U7" s="773">
        <f>IF(F7&lt;$B$15,0,P7*$B$28*'Transit Demand'!$L$32)+IF(F7&lt;$B$15,0,Q7*$B$28*'Transit Demand'!$L$32)/2</f>
        <v>0</v>
      </c>
      <c r="V7" s="773">
        <f>IF(F7&lt;$B$15,0,P7*$B$29*'Transit Demand'!$M$32)+IF(F7&lt;$B$15,0,Q7*$B$29*'Transit Demand'!$M$32)/2</f>
        <v>0</v>
      </c>
      <c r="W7" s="773">
        <f>IF(F7&lt;$B$15,0,P7*$B$30*'Transit Demand'!$N$32)+IF(F7&lt;$B$15,0,Q7*$B$30*'Transit Demand'!$N$32)/2</f>
        <v>0</v>
      </c>
      <c r="X7" s="855">
        <f>IF(AND($F7&gt;=$B$16,$F7&lt;=$B$17),SUM(R7:W7),0)</f>
        <v>0</v>
      </c>
      <c r="Y7" s="26">
        <f t="shared" ref="Y7" si="0">X7-O7</f>
        <v>0</v>
      </c>
      <c r="Z7" s="38">
        <f>Y7/(1+'Major Assumption Key'!$B$8)^($F7-'Major Assumption Key'!$B$7)</f>
        <v>0</v>
      </c>
      <c r="AA7" s="291"/>
      <c r="AB7" s="784">
        <f t="shared" ref="AB7:AB48" si="1">ROUND(O7,-3)</f>
        <v>0</v>
      </c>
      <c r="AC7" s="855">
        <f t="shared" ref="AC7:AE48" si="2">ROUND(X7,-3)</f>
        <v>0</v>
      </c>
      <c r="AD7" s="26">
        <f t="shared" si="2"/>
        <v>0</v>
      </c>
      <c r="AE7" s="38">
        <f t="shared" si="2"/>
        <v>0</v>
      </c>
    </row>
    <row r="8" spans="1:31" ht="18">
      <c r="A8" s="1888" t="s">
        <v>432</v>
      </c>
      <c r="B8" s="1889"/>
      <c r="C8" s="1889"/>
      <c r="D8" s="1890"/>
      <c r="E8" s="767"/>
      <c r="F8" s="772">
        <f>'Major Assumption Key'!A20</f>
        <v>2021</v>
      </c>
      <c r="G8" s="864">
        <f>_xlfn.XLOOKUP(F8,'Transit Demand'!A:A,'Transit Demand'!B:B,,0)</f>
        <v>17100.502895490852</v>
      </c>
      <c r="H8" s="864">
        <v>0</v>
      </c>
      <c r="I8" s="773">
        <v>0</v>
      </c>
      <c r="J8" s="773">
        <v>0</v>
      </c>
      <c r="K8" s="773">
        <v>0</v>
      </c>
      <c r="L8" s="773">
        <v>0</v>
      </c>
      <c r="M8" s="773">
        <v>0</v>
      </c>
      <c r="N8" s="773">
        <v>0</v>
      </c>
      <c r="O8" s="784">
        <f>IF(AND($F8&gt;=MIN('Major Assumption Key'!$B$4),$F8&lt;=MAX('Major Assumption Key'!$B$6)),SUM(I8:N8),0)</f>
        <v>0</v>
      </c>
      <c r="P8" s="864">
        <f>_xlfn.XLOOKUP(F8,'Transit Demand'!A:A,'Transit Demand'!B:B,,0)</f>
        <v>17100.502895490852</v>
      </c>
      <c r="Q8" s="864">
        <f>_xlfn.XLOOKUP(F8,'Transit Demand'!A:A,'Transit Demand'!D:D,,0)</f>
        <v>0</v>
      </c>
      <c r="R8" s="773">
        <f>IF(F8&lt;$B$15,0,P8*$B$25*'Transit Demand'!$I$32)+IF(F8&lt;$B$15,0,Q8*$B$25*'Transit Demand'!$I$32)/2</f>
        <v>0</v>
      </c>
      <c r="S8" s="773">
        <f>IF(F8&lt;$B$15,0,P8*$B$26*'Transit Demand'!$J$32)+IF(F8&lt;$B$15,0,Q8*$B$26*'Transit Demand'!$J$32)/2</f>
        <v>0</v>
      </c>
      <c r="T8" s="773">
        <f>IF(F8&lt;$B$15,0,P8*$B$27*'Transit Demand'!$K$32)+IF(F8&lt;$B$15,0,Q8*$B$27*'Transit Demand'!$K$32)/2</f>
        <v>0</v>
      </c>
      <c r="U8" s="773">
        <f>IF(F8&lt;$B$15,0,P8*$B$28*'Transit Demand'!$L$32)+IF(F8&lt;$B$15,0,Q8*$B$28*'Transit Demand'!$L$32)/2</f>
        <v>0</v>
      </c>
      <c r="V8" s="773">
        <f>IF(F8&lt;$B$15,0,P8*$B$29*'Transit Demand'!$M$32)+IF(F8&lt;$B$15,0,Q8*$B$29*'Transit Demand'!$M$32)/2</f>
        <v>0</v>
      </c>
      <c r="W8" s="773">
        <f>IF(F8&lt;$B$15,0,P8*$B$30*'Transit Demand'!$N$32)+IF(F8&lt;$B$15,0,Q8*$B$30*'Transit Demand'!$N$32)/2</f>
        <v>0</v>
      </c>
      <c r="X8" s="855">
        <f t="shared" ref="X8:X45" si="3">IF(AND($F8&gt;=$B$16,$F8&lt;=$B$17),SUM(R8:W8),0)</f>
        <v>0</v>
      </c>
      <c r="Y8" s="26">
        <f t="shared" ref="Y8:Y45" si="4">X8-O8</f>
        <v>0</v>
      </c>
      <c r="Z8" s="38">
        <f>Y8/(1+'Major Assumption Key'!$B$8)^($F8-'Major Assumption Key'!$B$7)</f>
        <v>0</v>
      </c>
      <c r="AA8" s="291"/>
      <c r="AB8" s="784">
        <f t="shared" ref="AB8:AB45" si="5">ROUND(O8,-3)</f>
        <v>0</v>
      </c>
      <c r="AC8" s="855">
        <f t="shared" ref="AC8:AC45" si="6">ROUND(X8,-3)</f>
        <v>0</v>
      </c>
      <c r="AD8" s="26">
        <f t="shared" ref="AD8:AD45" si="7">ROUND(Y8,-3)</f>
        <v>0</v>
      </c>
      <c r="AE8" s="38">
        <f t="shared" ref="AE8:AE45" si="8">ROUND(Z8,-3)</f>
        <v>0</v>
      </c>
    </row>
    <row r="9" spans="1:31" ht="18">
      <c r="A9" s="1891" t="s">
        <v>418</v>
      </c>
      <c r="B9" s="1891"/>
      <c r="C9" s="49" t="s">
        <v>419</v>
      </c>
      <c r="D9" s="49" t="str">
        <f>_xlfn.CONCAT("Discounted @",TEXT('Major Assumption Key'!B8,"0.0%"))</f>
        <v>Discounted @3.1%</v>
      </c>
      <c r="E9" s="767"/>
      <c r="F9" s="772">
        <f>'Major Assumption Key'!A21</f>
        <v>2022</v>
      </c>
      <c r="G9" s="864">
        <f>_xlfn.XLOOKUP(F9,'Transit Demand'!A:A,'Transit Demand'!B:B,,0)</f>
        <v>17167.265426716625</v>
      </c>
      <c r="H9" s="864">
        <v>0</v>
      </c>
      <c r="I9" s="773">
        <v>0</v>
      </c>
      <c r="J9" s="773">
        <v>0</v>
      </c>
      <c r="K9" s="773">
        <v>0</v>
      </c>
      <c r="L9" s="773">
        <v>0</v>
      </c>
      <c r="M9" s="773">
        <v>0</v>
      </c>
      <c r="N9" s="773">
        <v>0</v>
      </c>
      <c r="O9" s="784">
        <f>IF(AND($F9&gt;=MIN('Major Assumption Key'!$B$4),$F9&lt;=MAX('Major Assumption Key'!$B$6)),SUM(I9:N9),0)</f>
        <v>0</v>
      </c>
      <c r="P9" s="864">
        <f>_xlfn.XLOOKUP(F9,'Transit Demand'!A:A,'Transit Demand'!B:B,,0)</f>
        <v>17167.265426716625</v>
      </c>
      <c r="Q9" s="864">
        <f>_xlfn.XLOOKUP(F9,'Transit Demand'!A:A,'Transit Demand'!D:D,,0)</f>
        <v>0</v>
      </c>
      <c r="R9" s="773">
        <f>IF(F9&lt;$B$15,0,P9*$B$25*'Transit Demand'!$I$32)+IF(F9&lt;$B$15,0,Q9*$B$25*'Transit Demand'!$I$32)/2</f>
        <v>0</v>
      </c>
      <c r="S9" s="773">
        <f>IF(F9&lt;$B$15,0,P9*$B$26*'Transit Demand'!$J$32)+IF(F9&lt;$B$15,0,Q9*$B$26*'Transit Demand'!$J$32)/2</f>
        <v>0</v>
      </c>
      <c r="T9" s="773">
        <f>IF(F9&lt;$B$15,0,P9*$B$27*'Transit Demand'!$K$32)+IF(F9&lt;$B$15,0,Q9*$B$27*'Transit Demand'!$K$32)/2</f>
        <v>0</v>
      </c>
      <c r="U9" s="773">
        <f>IF(F9&lt;$B$15,0,P9*$B$28*'Transit Demand'!$L$32)+IF(F9&lt;$B$15,0,Q9*$B$28*'Transit Demand'!$L$32)/2</f>
        <v>0</v>
      </c>
      <c r="V9" s="773">
        <f>IF(F9&lt;$B$15,0,P9*$B$29*'Transit Demand'!$M$32)+IF(F9&lt;$B$15,0,Q9*$B$29*'Transit Demand'!$M$32)/2</f>
        <v>0</v>
      </c>
      <c r="W9" s="773">
        <f>IF(F9&lt;$B$15,0,P9*$B$30*'Transit Demand'!$N$32)+IF(F9&lt;$B$15,0,Q9*$B$30*'Transit Demand'!$N$32)/2</f>
        <v>0</v>
      </c>
      <c r="X9" s="855">
        <f t="shared" si="3"/>
        <v>0</v>
      </c>
      <c r="Y9" s="26">
        <f t="shared" si="4"/>
        <v>0</v>
      </c>
      <c r="Z9" s="38">
        <f>Y9/(1+'Major Assumption Key'!$B$8)^($F9-'Major Assumption Key'!$B$7)</f>
        <v>0</v>
      </c>
      <c r="AA9" s="291"/>
      <c r="AB9" s="784">
        <f t="shared" si="5"/>
        <v>0</v>
      </c>
      <c r="AC9" s="855">
        <f t="shared" si="6"/>
        <v>0</v>
      </c>
      <c r="AD9" s="26">
        <f t="shared" si="7"/>
        <v>0</v>
      </c>
      <c r="AE9" s="38">
        <f t="shared" si="8"/>
        <v>0</v>
      </c>
    </row>
    <row r="10" spans="1:31" ht="18">
      <c r="A10" s="1892" t="s">
        <v>11</v>
      </c>
      <c r="B10" s="1892"/>
      <c r="C10" s="56">
        <f>'BCA Summary'!$H$7</f>
        <v>1.0111569298276737</v>
      </c>
      <c r="D10" s="56">
        <f>'BCA Summary'!$I$7</f>
        <v>0.6276932096418345</v>
      </c>
      <c r="E10" s="767"/>
      <c r="F10" s="772">
        <f>'Major Assumption Key'!A22</f>
        <v>2023</v>
      </c>
      <c r="G10" s="864">
        <f>_xlfn.XLOOKUP(F10,'Transit Demand'!A:A,'Transit Demand'!B:B,,0)</f>
        <v>17234.288607328148</v>
      </c>
      <c r="H10" s="864">
        <v>0</v>
      </c>
      <c r="I10" s="773">
        <v>0</v>
      </c>
      <c r="J10" s="773">
        <v>0</v>
      </c>
      <c r="K10" s="773">
        <v>0</v>
      </c>
      <c r="L10" s="773">
        <v>0</v>
      </c>
      <c r="M10" s="773">
        <v>0</v>
      </c>
      <c r="N10" s="773">
        <v>0</v>
      </c>
      <c r="O10" s="784">
        <f>IF(AND($F10&gt;=MIN('Major Assumption Key'!$B$4),$F10&lt;=MAX('Major Assumption Key'!$B$6)),SUM(I10:N10),0)</f>
        <v>0</v>
      </c>
      <c r="P10" s="864">
        <f>_xlfn.XLOOKUP(F10,'Transit Demand'!A:A,'Transit Demand'!B:B,,0)</f>
        <v>17234.288607328148</v>
      </c>
      <c r="Q10" s="864">
        <f>_xlfn.XLOOKUP(F10,'Transit Demand'!A:A,'Transit Demand'!D:D,,0)</f>
        <v>0</v>
      </c>
      <c r="R10" s="773">
        <f>IF(F10&lt;$B$15,0,P10*$B$25*'Transit Demand'!$I$32)+IF(F10&lt;$B$15,0,Q10*$B$25*'Transit Demand'!$I$32)/2</f>
        <v>0</v>
      </c>
      <c r="S10" s="773">
        <f>IF(F10&lt;$B$15,0,P10*$B$26*'Transit Demand'!$J$32)+IF(F10&lt;$B$15,0,Q10*$B$26*'Transit Demand'!$J$32)/2</f>
        <v>0</v>
      </c>
      <c r="T10" s="773">
        <f>IF(F10&lt;$B$15,0,P10*$B$27*'Transit Demand'!$K$32)+IF(F10&lt;$B$15,0,Q10*$B$27*'Transit Demand'!$K$32)/2</f>
        <v>0</v>
      </c>
      <c r="U10" s="773">
        <f>IF(F10&lt;$B$15,0,P10*$B$28*'Transit Demand'!$L$32)+IF(F10&lt;$B$15,0,Q10*$B$28*'Transit Demand'!$L$32)/2</f>
        <v>0</v>
      </c>
      <c r="V10" s="773">
        <f>IF(F10&lt;$B$15,0,P10*$B$29*'Transit Demand'!$M$32)+IF(F10&lt;$B$15,0,Q10*$B$29*'Transit Demand'!$M$32)/2</f>
        <v>0</v>
      </c>
      <c r="W10" s="773">
        <f>IF(F10&lt;$B$15,0,P10*$B$30*'Transit Demand'!$N$32)+IF(F10&lt;$B$15,0,Q10*$B$30*'Transit Demand'!$N$32)/2</f>
        <v>0</v>
      </c>
      <c r="X10" s="855">
        <f t="shared" si="3"/>
        <v>0</v>
      </c>
      <c r="Y10" s="26">
        <f t="shared" si="4"/>
        <v>0</v>
      </c>
      <c r="Z10" s="38">
        <f>Y10/(1+'Major Assumption Key'!$B$8)^($F10-'Major Assumption Key'!$B$7)</f>
        <v>0</v>
      </c>
      <c r="AA10" s="291"/>
      <c r="AB10" s="784">
        <f t="shared" si="5"/>
        <v>0</v>
      </c>
      <c r="AC10" s="855">
        <f t="shared" si="6"/>
        <v>0</v>
      </c>
      <c r="AD10" s="26">
        <f t="shared" si="7"/>
        <v>0</v>
      </c>
      <c r="AE10" s="38">
        <f t="shared" si="8"/>
        <v>0</v>
      </c>
    </row>
    <row r="11" spans="1:31" ht="18">
      <c r="A11" s="1892" t="s">
        <v>12</v>
      </c>
      <c r="B11" s="1892"/>
      <c r="C11" s="49">
        <f>'BCA Summary'!$H$8</f>
        <v>236636.98382712901</v>
      </c>
      <c r="D11" s="49">
        <f>'BCA Summary'!$I$8</f>
        <v>-6930297.4454113934</v>
      </c>
      <c r="E11" s="767"/>
      <c r="F11" s="772">
        <f>'Major Assumption Key'!A23</f>
        <v>2024</v>
      </c>
      <c r="G11" s="864">
        <f>_xlfn.XLOOKUP(F11,'Transit Demand'!A:A,'Transit Demand'!B:B,,0)</f>
        <v>17301.573454933663</v>
      </c>
      <c r="H11" s="864">
        <v>0</v>
      </c>
      <c r="I11" s="773">
        <v>0</v>
      </c>
      <c r="J11" s="773">
        <v>0</v>
      </c>
      <c r="K11" s="773">
        <v>0</v>
      </c>
      <c r="L11" s="773">
        <v>0</v>
      </c>
      <c r="M11" s="773">
        <v>0</v>
      </c>
      <c r="N11" s="773">
        <v>0</v>
      </c>
      <c r="O11" s="784">
        <f>IF(AND($F11&gt;=MIN('Major Assumption Key'!$B$4),$F11&lt;=MAX('Major Assumption Key'!$B$6)),SUM(I11:N11),0)</f>
        <v>0</v>
      </c>
      <c r="P11" s="864">
        <f>_xlfn.XLOOKUP(F11,'Transit Demand'!A:A,'Transit Demand'!B:B,,0)</f>
        <v>17301.573454933663</v>
      </c>
      <c r="Q11" s="864">
        <f>_xlfn.XLOOKUP(F11,'Transit Demand'!A:A,'Transit Demand'!D:D,,0)</f>
        <v>0</v>
      </c>
      <c r="R11" s="773">
        <f>IF(F11&lt;$B$15,0,P11*$B$25*'Transit Demand'!$I$32)+IF(F11&lt;$B$15,0,Q11*$B$25*'Transit Demand'!$I$32)/2</f>
        <v>0</v>
      </c>
      <c r="S11" s="773">
        <f>IF(F11&lt;$B$15,0,P11*$B$26*'Transit Demand'!$J$32)+IF(F11&lt;$B$15,0,Q11*$B$26*'Transit Demand'!$J$32)/2</f>
        <v>0</v>
      </c>
      <c r="T11" s="773">
        <f>IF(F11&lt;$B$15,0,P11*$B$27*'Transit Demand'!$K$32)+IF(F11&lt;$B$15,0,Q11*$B$27*'Transit Demand'!$K$32)/2</f>
        <v>0</v>
      </c>
      <c r="U11" s="773">
        <f>IF(F11&lt;$B$15,0,P11*$B$28*'Transit Demand'!$L$32)+IF(F11&lt;$B$15,0,Q11*$B$28*'Transit Demand'!$L$32)/2</f>
        <v>0</v>
      </c>
      <c r="V11" s="773">
        <f>IF(F11&lt;$B$15,0,P11*$B$29*'Transit Demand'!$M$32)+IF(F11&lt;$B$15,0,Q11*$B$29*'Transit Demand'!$M$32)/2</f>
        <v>0</v>
      </c>
      <c r="W11" s="773">
        <f>IF(F11&lt;$B$15,0,P11*$B$30*'Transit Demand'!$N$32)+IF(F11&lt;$B$15,0,Q11*$B$30*'Transit Demand'!$N$32)/2</f>
        <v>0</v>
      </c>
      <c r="X11" s="855">
        <f t="shared" si="3"/>
        <v>0</v>
      </c>
      <c r="Y11" s="26">
        <f t="shared" si="4"/>
        <v>0</v>
      </c>
      <c r="Z11" s="38">
        <f>Y11/(1+'Major Assumption Key'!$B$8)^($F11-'Major Assumption Key'!$B$7)</f>
        <v>0</v>
      </c>
      <c r="AA11" s="291"/>
      <c r="AB11" s="784">
        <f t="shared" si="5"/>
        <v>0</v>
      </c>
      <c r="AC11" s="855">
        <f t="shared" si="6"/>
        <v>0</v>
      </c>
      <c r="AD11" s="26">
        <f t="shared" si="7"/>
        <v>0</v>
      </c>
      <c r="AE11" s="38">
        <f t="shared" si="8"/>
        <v>0</v>
      </c>
    </row>
    <row r="12" spans="1:31">
      <c r="C12" s="767"/>
      <c r="D12" s="767"/>
      <c r="E12" s="767"/>
      <c r="F12" s="772">
        <f>'Major Assumption Key'!A24</f>
        <v>2025</v>
      </c>
      <c r="G12" s="864">
        <f>_xlfn.XLOOKUP(F12,'Transit Demand'!A:A,'Transit Demand'!B:B,,0)</f>
        <v>17369.120991114287</v>
      </c>
      <c r="H12" s="864">
        <v>0</v>
      </c>
      <c r="I12" s="773">
        <v>0</v>
      </c>
      <c r="J12" s="773">
        <v>0</v>
      </c>
      <c r="K12" s="773">
        <v>0</v>
      </c>
      <c r="L12" s="773">
        <v>0</v>
      </c>
      <c r="M12" s="773">
        <v>0</v>
      </c>
      <c r="N12" s="773">
        <v>0</v>
      </c>
      <c r="O12" s="784">
        <f>IF(AND($F12&gt;=MIN('Major Assumption Key'!$B$4),$F12&lt;=MAX('Major Assumption Key'!$B$6)),SUM(I12:N12),0)</f>
        <v>0</v>
      </c>
      <c r="P12" s="864">
        <f>_xlfn.XLOOKUP(F12,'Transit Demand'!A:A,'Transit Demand'!B:B,,0)</f>
        <v>17369.120991114287</v>
      </c>
      <c r="Q12" s="864">
        <f>_xlfn.XLOOKUP(F12,'Transit Demand'!A:A,'Transit Demand'!D:D,,0)</f>
        <v>0</v>
      </c>
      <c r="R12" s="773">
        <f>IF(F12&lt;$B$15,0,P12*$B$25*'Transit Demand'!$I$32)+IF(F12&lt;$B$15,0,Q12*$B$25*'Transit Demand'!$I$32)/2</f>
        <v>0</v>
      </c>
      <c r="S12" s="773">
        <f>IF(F12&lt;$B$15,0,P12*$B$26*'Transit Demand'!$J$32)+IF(F12&lt;$B$15,0,Q12*$B$26*'Transit Demand'!$J$32)/2</f>
        <v>0</v>
      </c>
      <c r="T12" s="773">
        <f>IF(F12&lt;$B$15,0,P12*$B$27*'Transit Demand'!$K$32)+IF(F12&lt;$B$15,0,Q12*$B$27*'Transit Demand'!$K$32)/2</f>
        <v>0</v>
      </c>
      <c r="U12" s="773">
        <f>IF(F12&lt;$B$15,0,P12*$B$28*'Transit Demand'!$L$32)+IF(F12&lt;$B$15,0,Q12*$B$28*'Transit Demand'!$L$32)/2</f>
        <v>0</v>
      </c>
      <c r="V12" s="773">
        <f>IF(F12&lt;$B$15,0,P12*$B$29*'Transit Demand'!$M$32)+IF(F12&lt;$B$15,0,Q12*$B$29*'Transit Demand'!$M$32)/2</f>
        <v>0</v>
      </c>
      <c r="W12" s="773">
        <f>IF(F12&lt;$B$15,0,P12*$B$30*'Transit Demand'!$N$32)+IF(F12&lt;$B$15,0,Q12*$B$30*'Transit Demand'!$N$32)/2</f>
        <v>0</v>
      </c>
      <c r="X12" s="855">
        <f t="shared" si="3"/>
        <v>0</v>
      </c>
      <c r="Y12" s="26">
        <f t="shared" si="4"/>
        <v>0</v>
      </c>
      <c r="Z12" s="38">
        <f>Y12/(1+'Major Assumption Key'!$B$8)^($F12-'Major Assumption Key'!$B$7)</f>
        <v>0</v>
      </c>
      <c r="AA12" s="291"/>
      <c r="AB12" s="784">
        <f t="shared" si="5"/>
        <v>0</v>
      </c>
      <c r="AC12" s="855">
        <f t="shared" si="6"/>
        <v>0</v>
      </c>
      <c r="AD12" s="26">
        <f t="shared" si="7"/>
        <v>0</v>
      </c>
      <c r="AE12" s="38">
        <f t="shared" si="8"/>
        <v>0</v>
      </c>
    </row>
    <row r="13" spans="1:31" ht="15" thickBot="1">
      <c r="C13" s="767"/>
      <c r="D13" s="767"/>
      <c r="E13" s="767"/>
      <c r="F13" s="772">
        <f>'Major Assumption Key'!A25</f>
        <v>2026</v>
      </c>
      <c r="G13" s="864">
        <f>_xlfn.XLOOKUP(F13,'Transit Demand'!A:A,'Transit Demand'!B:B,,0)</f>
        <v>17436.932241439521</v>
      </c>
      <c r="H13" s="864">
        <v>0</v>
      </c>
      <c r="I13" s="773">
        <v>0</v>
      </c>
      <c r="J13" s="773">
        <v>0</v>
      </c>
      <c r="K13" s="773">
        <v>0</v>
      </c>
      <c r="L13" s="773">
        <v>0</v>
      </c>
      <c r="M13" s="773">
        <v>0</v>
      </c>
      <c r="N13" s="773">
        <v>0</v>
      </c>
      <c r="O13" s="784">
        <f>IF(AND($F13&gt;=MIN('Major Assumption Key'!$B$4),$F13&lt;=MAX('Major Assumption Key'!$B$6)),SUM(I13:N13),0)</f>
        <v>0</v>
      </c>
      <c r="P13" s="864">
        <f>_xlfn.XLOOKUP(F13,'Transit Demand'!A:A,'Transit Demand'!B:B,,0)</f>
        <v>17436.932241439521</v>
      </c>
      <c r="Q13" s="864">
        <f>_xlfn.XLOOKUP(F13,'Transit Demand'!A:A,'Transit Demand'!D:D,,0)</f>
        <v>0</v>
      </c>
      <c r="R13" s="773">
        <f>IF(F13&lt;$B$15,0,P13*$B$25*'Transit Demand'!$I$32)+IF(F13&lt;$B$15,0,Q13*$B$25*'Transit Demand'!$I$32)/2</f>
        <v>0</v>
      </c>
      <c r="S13" s="773">
        <f>IF(F13&lt;$B$15,0,P13*$B$26*'Transit Demand'!$J$32)+IF(F13&lt;$B$15,0,Q13*$B$26*'Transit Demand'!$J$32)/2</f>
        <v>0</v>
      </c>
      <c r="T13" s="773">
        <f>IF(F13&lt;$B$15,0,P13*$B$27*'Transit Demand'!$K$32)+IF(F13&lt;$B$15,0,Q13*$B$27*'Transit Demand'!$K$32)/2</f>
        <v>0</v>
      </c>
      <c r="U13" s="773">
        <f>IF(F13&lt;$B$15,0,P13*$B$28*'Transit Demand'!$L$32)+IF(F13&lt;$B$15,0,Q13*$B$28*'Transit Demand'!$L$32)/2</f>
        <v>0</v>
      </c>
      <c r="V13" s="773">
        <f>IF(F13&lt;$B$15,0,P13*$B$29*'Transit Demand'!$M$32)+IF(F13&lt;$B$15,0,Q13*$B$29*'Transit Demand'!$M$32)/2</f>
        <v>0</v>
      </c>
      <c r="W13" s="773">
        <f>IF(F13&lt;$B$15,0,P13*$B$30*'Transit Demand'!$N$32)+IF(F13&lt;$B$15,0,Q13*$B$30*'Transit Demand'!$N$32)/2</f>
        <v>0</v>
      </c>
      <c r="X13" s="855">
        <f t="shared" si="3"/>
        <v>0</v>
      </c>
      <c r="Y13" s="26">
        <f t="shared" si="4"/>
        <v>0</v>
      </c>
      <c r="Z13" s="38">
        <f>Y13/(1+'Major Assumption Key'!$B$8)^($F13-'Major Assumption Key'!$B$7)</f>
        <v>0</v>
      </c>
      <c r="AA13" s="291"/>
      <c r="AB13" s="784">
        <f t="shared" si="5"/>
        <v>0</v>
      </c>
      <c r="AC13" s="855">
        <f t="shared" si="6"/>
        <v>0</v>
      </c>
      <c r="AD13" s="26">
        <f t="shared" si="7"/>
        <v>0</v>
      </c>
      <c r="AE13" s="38">
        <f t="shared" si="8"/>
        <v>0</v>
      </c>
    </row>
    <row r="14" spans="1:31">
      <c r="A14" s="367" t="s">
        <v>433</v>
      </c>
      <c r="B14" s="362" t="s">
        <v>434</v>
      </c>
      <c r="C14" s="1938" t="s">
        <v>498</v>
      </c>
      <c r="D14" s="1939"/>
      <c r="E14" s="767"/>
      <c r="F14" s="772">
        <f>'Major Assumption Key'!A26</f>
        <v>2027</v>
      </c>
      <c r="G14" s="864">
        <f>_xlfn.XLOOKUP(F14,'Transit Demand'!A:A,'Transit Demand'!B:B,,0)</f>
        <v>17505.008235482819</v>
      </c>
      <c r="H14" s="864">
        <v>0</v>
      </c>
      <c r="I14" s="773">
        <v>0</v>
      </c>
      <c r="J14" s="773">
        <v>0</v>
      </c>
      <c r="K14" s="773">
        <v>0</v>
      </c>
      <c r="L14" s="773">
        <v>0</v>
      </c>
      <c r="M14" s="773">
        <v>0</v>
      </c>
      <c r="N14" s="773">
        <v>0</v>
      </c>
      <c r="O14" s="784">
        <f>IF(AND($F14&gt;=MIN('Major Assumption Key'!$B$4),$F14&lt;=MAX('Major Assumption Key'!$B$6)),SUM(I14:N14),0)</f>
        <v>0</v>
      </c>
      <c r="P14" s="864">
        <f>_xlfn.XLOOKUP(F14,'Transit Demand'!A:A,'Transit Demand'!B:B,,0)</f>
        <v>17505.008235482819</v>
      </c>
      <c r="Q14" s="864">
        <f>_xlfn.XLOOKUP(F14,'Transit Demand'!A:A,'Transit Demand'!D:D,,0)</f>
        <v>0</v>
      </c>
      <c r="R14" s="773">
        <f>IF(F14&lt;$B$15,0,P14*$B$25*'Transit Demand'!$I$32)+IF(F14&lt;$B$15,0,Q14*$B$25*'Transit Demand'!$I$32)/2</f>
        <v>0</v>
      </c>
      <c r="S14" s="773">
        <f>IF(F14&lt;$B$15,0,P14*$B$26*'Transit Demand'!$J$32)+IF(F14&lt;$B$15,0,Q14*$B$26*'Transit Demand'!$J$32)/2</f>
        <v>0</v>
      </c>
      <c r="T14" s="773">
        <f>IF(F14&lt;$B$15,0,P14*$B$27*'Transit Demand'!$K$32)+IF(F14&lt;$B$15,0,Q14*$B$27*'Transit Demand'!$K$32)/2</f>
        <v>0</v>
      </c>
      <c r="U14" s="773">
        <f>IF(F14&lt;$B$15,0,P14*$B$28*'Transit Demand'!$L$32)+IF(F14&lt;$B$15,0,Q14*$B$28*'Transit Demand'!$L$32)/2</f>
        <v>0</v>
      </c>
      <c r="V14" s="773">
        <f>IF(F14&lt;$B$15,0,P14*$B$29*'Transit Demand'!$M$32)+IF(F14&lt;$B$15,0,Q14*$B$29*'Transit Demand'!$M$32)/2</f>
        <v>0</v>
      </c>
      <c r="W14" s="773">
        <f>IF(F14&lt;$B$15,0,P14*$B$30*'Transit Demand'!$N$32)+IF(F14&lt;$B$15,0,Q14*$B$30*'Transit Demand'!$N$32)/2</f>
        <v>0</v>
      </c>
      <c r="X14" s="855">
        <f t="shared" si="3"/>
        <v>0</v>
      </c>
      <c r="Y14" s="26">
        <f t="shared" si="4"/>
        <v>0</v>
      </c>
      <c r="Z14" s="38">
        <f>Y14/(1+'Major Assumption Key'!$B$8)^($F14-'Major Assumption Key'!$B$7)</f>
        <v>0</v>
      </c>
      <c r="AA14" s="291"/>
      <c r="AB14" s="784">
        <f t="shared" si="5"/>
        <v>0</v>
      </c>
      <c r="AC14" s="855">
        <f t="shared" si="6"/>
        <v>0</v>
      </c>
      <c r="AD14" s="26">
        <f t="shared" si="7"/>
        <v>0</v>
      </c>
      <c r="AE14" s="38">
        <f t="shared" si="8"/>
        <v>0</v>
      </c>
    </row>
    <row r="15" spans="1:31">
      <c r="A15" s="768" t="str">
        <f>'Major Assumption Key'!$A$3</f>
        <v>Project Open Year:</v>
      </c>
      <c r="B15" s="777">
        <f>'Major Assumption Key'!$B$3</f>
        <v>2028</v>
      </c>
      <c r="C15" s="767" t="s">
        <v>436</v>
      </c>
      <c r="D15" s="547"/>
      <c r="E15" s="767"/>
      <c r="F15" s="772">
        <f>'Major Assumption Key'!A27</f>
        <v>2028</v>
      </c>
      <c r="G15" s="864">
        <f>_xlfn.XLOOKUP(F15,'Transit Demand'!A:A,'Transit Demand'!B:B,,0)</f>
        <v>17573.35000683722</v>
      </c>
      <c r="H15" s="864">
        <v>0</v>
      </c>
      <c r="I15" s="773">
        <v>0</v>
      </c>
      <c r="J15" s="773">
        <v>0</v>
      </c>
      <c r="K15" s="773">
        <v>0</v>
      </c>
      <c r="L15" s="773">
        <v>0</v>
      </c>
      <c r="M15" s="773">
        <v>0</v>
      </c>
      <c r="N15" s="773">
        <v>0</v>
      </c>
      <c r="O15" s="784">
        <f>IF(AND($F15&gt;=MIN('Major Assumption Key'!$B$4),$F15&lt;=MAX('Major Assumption Key'!$B$6)),SUM(I15:N15),0)</f>
        <v>0</v>
      </c>
      <c r="P15" s="864">
        <f>_xlfn.XLOOKUP(F15,'Transit Demand'!A:A,'Transit Demand'!B:B,,0)</f>
        <v>17573.35000683722</v>
      </c>
      <c r="Q15" s="864">
        <f>_xlfn.XLOOKUP(F15,'Transit Demand'!A:A,'Transit Demand'!D:D,,0)</f>
        <v>2266.9621508820019</v>
      </c>
      <c r="R15" s="773">
        <f>IF(F15&lt;$B$15,0,P15*$B$25*'Transit Demand'!$I$32)+IF(F15&lt;$B$15,0,Q15*$B$25*'Transit Demand'!$I$32)/2</f>
        <v>0</v>
      </c>
      <c r="S15" s="773">
        <f>IF(F15&lt;$B$15,0,P15*$B$26*'Transit Demand'!$J$32)+IF(F15&lt;$B$15,0,Q15*$B$26*'Transit Demand'!$J$32)/2</f>
        <v>0</v>
      </c>
      <c r="T15" s="773">
        <f>IF(F15&lt;$B$15,0,P15*$B$27*'Transit Demand'!$K$32)+IF(F15&lt;$B$15,0,Q15*$B$27*'Transit Demand'!$K$32)/2</f>
        <v>0</v>
      </c>
      <c r="U15" s="773">
        <f>IF(F15&lt;$B$15,0,P15*$B$28*'Transit Demand'!$L$32)+IF(F15&lt;$B$15,0,Q15*$B$28*'Transit Demand'!$L$32)/2</f>
        <v>0</v>
      </c>
      <c r="V15" s="773">
        <f>IF(F15&lt;$B$15,0,P15*$B$29*'Transit Demand'!$M$32)+IF(F15&lt;$B$15,0,Q15*$B$29*'Transit Demand'!$M$32)/2</f>
        <v>0</v>
      </c>
      <c r="W15" s="773">
        <f>IF(F15&lt;$B$15,0,P15*$B$30*'Transit Demand'!$N$32)+IF(F15&lt;$B$15,0,Q15*$B$30*'Transit Demand'!$N$32)/2</f>
        <v>0</v>
      </c>
      <c r="X15" s="855">
        <f t="shared" si="3"/>
        <v>0</v>
      </c>
      <c r="Y15" s="26">
        <f t="shared" si="4"/>
        <v>0</v>
      </c>
      <c r="Z15" s="38">
        <f>Y15/(1+'Major Assumption Key'!$B$8)^($F15-'Major Assumption Key'!$B$7)</f>
        <v>0</v>
      </c>
      <c r="AA15" s="291"/>
      <c r="AB15" s="784">
        <f t="shared" si="5"/>
        <v>0</v>
      </c>
      <c r="AC15" s="855">
        <f t="shared" si="6"/>
        <v>0</v>
      </c>
      <c r="AD15" s="26">
        <f t="shared" si="7"/>
        <v>0</v>
      </c>
      <c r="AE15" s="38">
        <f t="shared" si="8"/>
        <v>0</v>
      </c>
    </row>
    <row r="16" spans="1:31">
      <c r="A16" s="768" t="str">
        <f>'Major Assumption Key'!$A$4</f>
        <v>Planning Horizon Begin Year:</v>
      </c>
      <c r="B16" s="777">
        <f>'Major Assumption Key'!$B$4</f>
        <v>2022</v>
      </c>
      <c r="C16" s="767" t="s">
        <v>436</v>
      </c>
      <c r="D16" s="770"/>
      <c r="E16" s="767"/>
      <c r="F16" s="772">
        <f>'Major Assumption Key'!A28</f>
        <v>2029</v>
      </c>
      <c r="G16" s="864">
        <f>_xlfn.XLOOKUP(F16,'Transit Demand'!A:A,'Transit Demand'!B:B,,0)</f>
        <v>17641.958593131036</v>
      </c>
      <c r="H16" s="864">
        <v>0</v>
      </c>
      <c r="I16" s="773">
        <v>0</v>
      </c>
      <c r="J16" s="773">
        <v>0</v>
      </c>
      <c r="K16" s="773">
        <v>0</v>
      </c>
      <c r="L16" s="773">
        <v>0</v>
      </c>
      <c r="M16" s="773">
        <v>0</v>
      </c>
      <c r="N16" s="773">
        <v>0</v>
      </c>
      <c r="O16" s="784">
        <f>IF(AND($F16&gt;=MIN('Major Assumption Key'!$B$4),$F16&lt;=MAX('Major Assumption Key'!$B$6)),SUM(I16:N16),0)</f>
        <v>0</v>
      </c>
      <c r="P16" s="864">
        <f>_xlfn.XLOOKUP(F16,'Transit Demand'!A:A,'Transit Demand'!B:B,,0)</f>
        <v>17641.958593131036</v>
      </c>
      <c r="Q16" s="864">
        <f>_xlfn.XLOOKUP(F16,'Transit Demand'!A:A,'Transit Demand'!D:D,,0)</f>
        <v>2275.8126585139034</v>
      </c>
      <c r="R16" s="773">
        <f>IF(F16&lt;$B$15,0,P16*$B$25*'Transit Demand'!$I$32)+IF(F16&lt;$B$15,0,Q16*$B$25*'Transit Demand'!$I$32)/2</f>
        <v>0</v>
      </c>
      <c r="S16" s="773">
        <f>IF(F16&lt;$B$15,0,P16*$B$26*'Transit Demand'!$J$32)+IF(F16&lt;$B$15,0,Q16*$B$26*'Transit Demand'!$J$32)/2</f>
        <v>0</v>
      </c>
      <c r="T16" s="773">
        <f>IF(F16&lt;$B$15,0,P16*$B$27*'Transit Demand'!$K$32)+IF(F16&lt;$B$15,0,Q16*$B$27*'Transit Demand'!$K$32)/2</f>
        <v>0</v>
      </c>
      <c r="U16" s="773">
        <f>IF(F16&lt;$B$15,0,P16*$B$28*'Transit Demand'!$L$32)+IF(F16&lt;$B$15,0,Q16*$B$28*'Transit Demand'!$L$32)/2</f>
        <v>0</v>
      </c>
      <c r="V16" s="773">
        <f>IF(F16&lt;$B$15,0,P16*$B$29*'Transit Demand'!$M$32)+IF(F16&lt;$B$15,0,Q16*$B$29*'Transit Demand'!$M$32)/2</f>
        <v>0</v>
      </c>
      <c r="W16" s="773">
        <f>IF(F16&lt;$B$15,0,P16*$B$30*'Transit Demand'!$N$32)+IF(F16&lt;$B$15,0,Q16*$B$30*'Transit Demand'!$N$32)/2</f>
        <v>0</v>
      </c>
      <c r="X16" s="855">
        <f t="shared" si="3"/>
        <v>0</v>
      </c>
      <c r="Y16" s="26">
        <f t="shared" si="4"/>
        <v>0</v>
      </c>
      <c r="Z16" s="38">
        <f>Y16/(1+'Major Assumption Key'!$B$8)^($F16-'Major Assumption Key'!$B$7)</f>
        <v>0</v>
      </c>
      <c r="AA16" s="291"/>
      <c r="AB16" s="784">
        <f t="shared" si="5"/>
        <v>0</v>
      </c>
      <c r="AC16" s="855">
        <f t="shared" si="6"/>
        <v>0</v>
      </c>
      <c r="AD16" s="26">
        <f t="shared" si="7"/>
        <v>0</v>
      </c>
      <c r="AE16" s="38">
        <f t="shared" si="8"/>
        <v>0</v>
      </c>
    </row>
    <row r="17" spans="1:31">
      <c r="A17" s="768" t="str">
        <f>'Major Assumption Key'!$A$6</f>
        <v>Planning Horizon End Year:</v>
      </c>
      <c r="B17" s="777">
        <f>'Major Assumption Key'!$B$6</f>
        <v>2047</v>
      </c>
      <c r="C17" s="767" t="s">
        <v>436</v>
      </c>
      <c r="D17" s="770"/>
      <c r="E17" s="767"/>
      <c r="F17" s="772">
        <f>'Major Assumption Key'!A29</f>
        <v>2030</v>
      </c>
      <c r="G17" s="864">
        <f>_xlfn.XLOOKUP(F17,'Transit Demand'!A:A,'Transit Demand'!B:B,,0)</f>
        <v>17710.83503604362</v>
      </c>
      <c r="H17" s="864">
        <v>0</v>
      </c>
      <c r="I17" s="773">
        <v>0</v>
      </c>
      <c r="J17" s="773">
        <v>0</v>
      </c>
      <c r="K17" s="773">
        <v>0</v>
      </c>
      <c r="L17" s="773">
        <v>0</v>
      </c>
      <c r="M17" s="773">
        <v>0</v>
      </c>
      <c r="N17" s="773">
        <v>0</v>
      </c>
      <c r="O17" s="784">
        <f>IF(AND($F17&gt;=MIN('Major Assumption Key'!$B$4),$F17&lt;=MAX('Major Assumption Key'!$B$6)),SUM(I17:N17),0)</f>
        <v>0</v>
      </c>
      <c r="P17" s="864">
        <f>_xlfn.XLOOKUP(F17,'Transit Demand'!A:A,'Transit Demand'!B:B,,0)</f>
        <v>17710.83503604362</v>
      </c>
      <c r="Q17" s="864">
        <f>_xlfn.XLOOKUP(F17,'Transit Demand'!A:A,'Transit Demand'!D:D,,0)</f>
        <v>2284.6977196496264</v>
      </c>
      <c r="R17" s="773">
        <f>IF(F17&lt;$B$15,0,P17*$B$25*'Transit Demand'!$I$32)+IF(F17&lt;$B$15,0,Q17*$B$25*'Transit Demand'!$I$32)/2</f>
        <v>0</v>
      </c>
      <c r="S17" s="773">
        <f>IF(F17&lt;$B$15,0,P17*$B$26*'Transit Demand'!$J$32)+IF(F17&lt;$B$15,0,Q17*$B$26*'Transit Demand'!$J$32)/2</f>
        <v>0</v>
      </c>
      <c r="T17" s="773">
        <f>IF(F17&lt;$B$15,0,P17*$B$27*'Transit Demand'!$K$32)+IF(F17&lt;$B$15,0,Q17*$B$27*'Transit Demand'!$K$32)/2</f>
        <v>0</v>
      </c>
      <c r="U17" s="773">
        <f>IF(F17&lt;$B$15,0,P17*$B$28*'Transit Demand'!$L$32)+IF(F17&lt;$B$15,0,Q17*$B$28*'Transit Demand'!$L$32)/2</f>
        <v>0</v>
      </c>
      <c r="V17" s="773">
        <f>IF(F17&lt;$B$15,0,P17*$B$29*'Transit Demand'!$M$32)+IF(F17&lt;$B$15,0,Q17*$B$29*'Transit Demand'!$M$32)/2</f>
        <v>0</v>
      </c>
      <c r="W17" s="773">
        <f>IF(F17&lt;$B$15,0,P17*$B$30*'Transit Demand'!$N$32)+IF(F17&lt;$B$15,0,Q17*$B$30*'Transit Demand'!$N$32)/2</f>
        <v>0</v>
      </c>
      <c r="X17" s="855">
        <f t="shared" si="3"/>
        <v>0</v>
      </c>
      <c r="Y17" s="26">
        <f t="shared" si="4"/>
        <v>0</v>
      </c>
      <c r="Z17" s="38">
        <f>Y17/(1+'Major Assumption Key'!$B$8)^($F17-'Major Assumption Key'!$B$7)</f>
        <v>0</v>
      </c>
      <c r="AA17" s="291"/>
      <c r="AB17" s="784">
        <f t="shared" si="5"/>
        <v>0</v>
      </c>
      <c r="AC17" s="855">
        <f t="shared" si="6"/>
        <v>0</v>
      </c>
      <c r="AD17" s="26">
        <f t="shared" si="7"/>
        <v>0</v>
      </c>
      <c r="AE17" s="38">
        <f t="shared" si="8"/>
        <v>0</v>
      </c>
    </row>
    <row r="18" spans="1:31">
      <c r="A18" s="860" t="s">
        <v>1210</v>
      </c>
      <c r="B18" s="266" t="s">
        <v>322</v>
      </c>
      <c r="C18" s="862" t="s">
        <v>211</v>
      </c>
      <c r="D18" s="861"/>
      <c r="E18" s="767"/>
      <c r="F18" s="772">
        <f>'Major Assumption Key'!A30</f>
        <v>2031</v>
      </c>
      <c r="G18" s="864">
        <f>_xlfn.XLOOKUP(F18,'Transit Demand'!A:A,'Transit Demand'!B:B,,0)</f>
        <v>17779.980381321166</v>
      </c>
      <c r="H18" s="864">
        <v>0</v>
      </c>
      <c r="I18" s="773">
        <v>0</v>
      </c>
      <c r="J18" s="773">
        <v>0</v>
      </c>
      <c r="K18" s="773">
        <v>0</v>
      </c>
      <c r="L18" s="773">
        <v>0</v>
      </c>
      <c r="M18" s="773">
        <v>0</v>
      </c>
      <c r="N18" s="773">
        <v>0</v>
      </c>
      <c r="O18" s="784">
        <f>IF(AND($F18&gt;=MIN('Major Assumption Key'!$B$4),$F18&lt;=MAX('Major Assumption Key'!$B$6)),SUM(I18:N18),0)</f>
        <v>0</v>
      </c>
      <c r="P18" s="864">
        <f>_xlfn.XLOOKUP(F18,'Transit Demand'!A:A,'Transit Demand'!B:B,,0)</f>
        <v>17779.980381321166</v>
      </c>
      <c r="Q18" s="864">
        <f>_xlfn.XLOOKUP(F18,'Transit Demand'!A:A,'Transit Demand'!D:D,,0)</f>
        <v>2293.6174691904307</v>
      </c>
      <c r="R18" s="773">
        <f>IF(F18&lt;$B$15,0,P18*$B$25*'Transit Demand'!$I$32)+IF(F18&lt;$B$15,0,Q18*$B$25*'Transit Demand'!$I$32)/2</f>
        <v>0</v>
      </c>
      <c r="S18" s="773">
        <f>IF(F18&lt;$B$15,0,P18*$B$26*'Transit Demand'!$J$32)+IF(F18&lt;$B$15,0,Q18*$B$26*'Transit Demand'!$J$32)/2</f>
        <v>0</v>
      </c>
      <c r="T18" s="773">
        <f>IF(F18&lt;$B$15,0,P18*$B$27*'Transit Demand'!$K$32)+IF(F18&lt;$B$15,0,Q18*$B$27*'Transit Demand'!$K$32)/2</f>
        <v>0</v>
      </c>
      <c r="U18" s="773">
        <f>IF(F18&lt;$B$15,0,P18*$B$28*'Transit Demand'!$L$32)+IF(F18&lt;$B$15,0,Q18*$B$28*'Transit Demand'!$L$32)/2</f>
        <v>0</v>
      </c>
      <c r="V18" s="773">
        <f>IF(F18&lt;$B$15,0,P18*$B$29*'Transit Demand'!$M$32)+IF(F18&lt;$B$15,0,Q18*$B$29*'Transit Demand'!$M$32)/2</f>
        <v>0</v>
      </c>
      <c r="W18" s="773">
        <f>IF(F18&lt;$B$15,0,P18*$B$30*'Transit Demand'!$N$32)+IF(F18&lt;$B$15,0,Q18*$B$30*'Transit Demand'!$N$32)/2</f>
        <v>0</v>
      </c>
      <c r="X18" s="855">
        <f t="shared" si="3"/>
        <v>0</v>
      </c>
      <c r="Y18" s="26">
        <f t="shared" si="4"/>
        <v>0</v>
      </c>
      <c r="Z18" s="38">
        <f>Y18/(1+'Major Assumption Key'!$B$8)^($F18-'Major Assumption Key'!$B$7)</f>
        <v>0</v>
      </c>
      <c r="AA18" s="291"/>
      <c r="AB18" s="784">
        <f t="shared" si="5"/>
        <v>0</v>
      </c>
      <c r="AC18" s="855">
        <f t="shared" si="6"/>
        <v>0</v>
      </c>
      <c r="AD18" s="26">
        <f t="shared" si="7"/>
        <v>0</v>
      </c>
      <c r="AE18" s="38">
        <f t="shared" si="8"/>
        <v>0</v>
      </c>
    </row>
    <row r="19" spans="1:31">
      <c r="A19" s="860" t="s">
        <v>1211</v>
      </c>
      <c r="B19" s="44"/>
      <c r="C19" s="862" t="s">
        <v>211</v>
      </c>
      <c r="D19" s="861"/>
      <c r="E19" s="767"/>
      <c r="F19" s="772">
        <f>'Major Assumption Key'!A31</f>
        <v>2032</v>
      </c>
      <c r="G19" s="864">
        <f>_xlfn.XLOOKUP(F19,'Transit Demand'!A:A,'Transit Demand'!B:B,,0)</f>
        <v>17849.3956787926</v>
      </c>
      <c r="H19" s="864">
        <v>0</v>
      </c>
      <c r="I19" s="773">
        <v>0</v>
      </c>
      <c r="J19" s="773">
        <v>0</v>
      </c>
      <c r="K19" s="773">
        <v>0</v>
      </c>
      <c r="L19" s="773">
        <v>0</v>
      </c>
      <c r="M19" s="773">
        <v>0</v>
      </c>
      <c r="N19" s="773">
        <v>0</v>
      </c>
      <c r="O19" s="784">
        <f>IF(AND($F19&gt;=MIN('Major Assumption Key'!$B$4),$F19&lt;=MAX('Major Assumption Key'!$B$6)),SUM(I19:N19),0)</f>
        <v>0</v>
      </c>
      <c r="P19" s="864">
        <f>_xlfn.XLOOKUP(F19,'Transit Demand'!A:A,'Transit Demand'!B:B,,0)</f>
        <v>17849.3956787926</v>
      </c>
      <c r="Q19" s="864">
        <f>_xlfn.XLOOKUP(F19,'Transit Demand'!A:A,'Transit Demand'!D:D,,0)</f>
        <v>2302.5720425642467</v>
      </c>
      <c r="R19" s="773">
        <f>IF(F19&lt;$B$15,0,P19*$B$25*'Transit Demand'!$I$32)+IF(F19&lt;$B$15,0,Q19*$B$25*'Transit Demand'!$I$32)/2</f>
        <v>0</v>
      </c>
      <c r="S19" s="773">
        <f>IF(F19&lt;$B$15,0,P19*$B$26*'Transit Demand'!$J$32)+IF(F19&lt;$B$15,0,Q19*$B$26*'Transit Demand'!$J$32)/2</f>
        <v>0</v>
      </c>
      <c r="T19" s="773">
        <f>IF(F19&lt;$B$15,0,P19*$B$27*'Transit Demand'!$K$32)+IF(F19&lt;$B$15,0,Q19*$B$27*'Transit Demand'!$K$32)/2</f>
        <v>0</v>
      </c>
      <c r="U19" s="773">
        <f>IF(F19&lt;$B$15,0,P19*$B$28*'Transit Demand'!$L$32)+IF(F19&lt;$B$15,0,Q19*$B$28*'Transit Demand'!$L$32)/2</f>
        <v>0</v>
      </c>
      <c r="V19" s="773">
        <f>IF(F19&lt;$B$15,0,P19*$B$29*'Transit Demand'!$M$32)+IF(F19&lt;$B$15,0,Q19*$B$29*'Transit Demand'!$M$32)/2</f>
        <v>0</v>
      </c>
      <c r="W19" s="773">
        <f>IF(F19&lt;$B$15,0,P19*$B$30*'Transit Demand'!$N$32)+IF(F19&lt;$B$15,0,Q19*$B$30*'Transit Demand'!$N$32)/2</f>
        <v>0</v>
      </c>
      <c r="X19" s="855">
        <f t="shared" si="3"/>
        <v>0</v>
      </c>
      <c r="Y19" s="26">
        <f t="shared" si="4"/>
        <v>0</v>
      </c>
      <c r="Z19" s="38">
        <f>Y19/(1+'Major Assumption Key'!$B$8)^($F19-'Major Assumption Key'!$B$7)</f>
        <v>0</v>
      </c>
      <c r="AA19" s="291"/>
      <c r="AB19" s="784">
        <f t="shared" si="5"/>
        <v>0</v>
      </c>
      <c r="AC19" s="855">
        <f t="shared" si="6"/>
        <v>0</v>
      </c>
      <c r="AD19" s="26">
        <f t="shared" si="7"/>
        <v>0</v>
      </c>
      <c r="AE19" s="38">
        <f t="shared" si="8"/>
        <v>0</v>
      </c>
    </row>
    <row r="20" spans="1:31">
      <c r="A20" s="860" t="s">
        <v>1212</v>
      </c>
      <c r="B20" s="44"/>
      <c r="C20" s="862" t="s">
        <v>211</v>
      </c>
      <c r="D20" s="363"/>
      <c r="E20" s="767"/>
      <c r="F20" s="772">
        <f>'Major Assumption Key'!A32</f>
        <v>2033</v>
      </c>
      <c r="G20" s="864">
        <f>_xlfn.XLOOKUP(F20,'Transit Demand'!A:A,'Transit Demand'!B:B,,0)</f>
        <v>17919.081982385509</v>
      </c>
      <c r="H20" s="864">
        <v>0</v>
      </c>
      <c r="I20" s="773">
        <v>0</v>
      </c>
      <c r="J20" s="773">
        <v>0</v>
      </c>
      <c r="K20" s="773">
        <v>0</v>
      </c>
      <c r="L20" s="773">
        <v>0</v>
      </c>
      <c r="M20" s="773">
        <v>0</v>
      </c>
      <c r="N20" s="773">
        <v>0</v>
      </c>
      <c r="O20" s="784">
        <f>IF(AND($F20&gt;=MIN('Major Assumption Key'!$B$4),$F20&lt;=MAX('Major Assumption Key'!$B$6)),SUM(I20:N20),0)</f>
        <v>0</v>
      </c>
      <c r="P20" s="864">
        <f>_xlfn.XLOOKUP(F20,'Transit Demand'!A:A,'Transit Demand'!B:B,,0)</f>
        <v>17919.081982385509</v>
      </c>
      <c r="Q20" s="864">
        <f>_xlfn.XLOOKUP(F20,'Transit Demand'!A:A,'Transit Demand'!D:D,,0)</f>
        <v>2311.5615757277337</v>
      </c>
      <c r="R20" s="773">
        <f>IF(F20&lt;$B$15,0,P20*$B$25*'Transit Demand'!$I$32)+IF(F20&lt;$B$15,0,Q20*$B$25*'Transit Demand'!$I$32)/2</f>
        <v>0</v>
      </c>
      <c r="S20" s="773">
        <f>IF(F20&lt;$B$15,0,P20*$B$26*'Transit Demand'!$J$32)+IF(F20&lt;$B$15,0,Q20*$B$26*'Transit Demand'!$J$32)/2</f>
        <v>0</v>
      </c>
      <c r="T20" s="773">
        <f>IF(F20&lt;$B$15,0,P20*$B$27*'Transit Demand'!$K$32)+IF(F20&lt;$B$15,0,Q20*$B$27*'Transit Demand'!$K$32)/2</f>
        <v>0</v>
      </c>
      <c r="U20" s="773">
        <f>IF(F20&lt;$B$15,0,P20*$B$28*'Transit Demand'!$L$32)+IF(F20&lt;$B$15,0,Q20*$B$28*'Transit Demand'!$L$32)/2</f>
        <v>0</v>
      </c>
      <c r="V20" s="773">
        <f>IF(F20&lt;$B$15,0,P20*$B$29*'Transit Demand'!$M$32)+IF(F20&lt;$B$15,0,Q20*$B$29*'Transit Demand'!$M$32)/2</f>
        <v>0</v>
      </c>
      <c r="W20" s="773">
        <f>IF(F20&lt;$B$15,0,P20*$B$30*'Transit Demand'!$N$32)+IF(F20&lt;$B$15,0,Q20*$B$30*'Transit Demand'!$N$32)/2</f>
        <v>0</v>
      </c>
      <c r="X20" s="855">
        <f t="shared" si="3"/>
        <v>0</v>
      </c>
      <c r="Y20" s="26">
        <f t="shared" si="4"/>
        <v>0</v>
      </c>
      <c r="Z20" s="38">
        <f>Y20/(1+'Major Assumption Key'!$B$8)^($F20-'Major Assumption Key'!$B$7)</f>
        <v>0</v>
      </c>
      <c r="AA20" s="291"/>
      <c r="AB20" s="784">
        <f t="shared" si="5"/>
        <v>0</v>
      </c>
      <c r="AC20" s="855">
        <f t="shared" si="6"/>
        <v>0</v>
      </c>
      <c r="AD20" s="26">
        <f t="shared" si="7"/>
        <v>0</v>
      </c>
      <c r="AE20" s="38">
        <f t="shared" si="8"/>
        <v>0</v>
      </c>
    </row>
    <row r="21" spans="1:31">
      <c r="A21" s="860" t="s">
        <v>1213</v>
      </c>
      <c r="B21" s="44"/>
      <c r="C21" s="862" t="s">
        <v>211</v>
      </c>
      <c r="D21" s="861"/>
      <c r="E21" s="767"/>
      <c r="F21" s="772">
        <f>'Major Assumption Key'!A33</f>
        <v>2034</v>
      </c>
      <c r="G21" s="864">
        <f>_xlfn.XLOOKUP(F21,'Transit Demand'!A:A,'Transit Demand'!B:B,,0)</f>
        <v>17989.04035014215</v>
      </c>
      <c r="H21" s="864">
        <v>0</v>
      </c>
      <c r="I21" s="773">
        <v>0</v>
      </c>
      <c r="J21" s="773">
        <v>0</v>
      </c>
      <c r="K21" s="773">
        <v>0</v>
      </c>
      <c r="L21" s="773">
        <v>0</v>
      </c>
      <c r="M21" s="773">
        <v>0</v>
      </c>
      <c r="N21" s="773">
        <v>0</v>
      </c>
      <c r="O21" s="784">
        <f>IF(AND($F21&gt;=MIN('Major Assumption Key'!$B$4),$F21&lt;=MAX('Major Assumption Key'!$B$6)),SUM(I21:N21),0)</f>
        <v>0</v>
      </c>
      <c r="P21" s="864">
        <f>_xlfn.XLOOKUP(F21,'Transit Demand'!A:A,'Transit Demand'!B:B,,0)</f>
        <v>17989.04035014215</v>
      </c>
      <c r="Q21" s="864">
        <f>_xlfn.XLOOKUP(F21,'Transit Demand'!A:A,'Transit Demand'!D:D,,0)</f>
        <v>2320.5862051683398</v>
      </c>
      <c r="R21" s="773">
        <f>IF(F21&lt;$B$15,0,P21*$B$25*'Transit Demand'!$I$32)+IF(F21&lt;$B$15,0,Q21*$B$25*'Transit Demand'!$I$32)/2</f>
        <v>0</v>
      </c>
      <c r="S21" s="773">
        <f>IF(F21&lt;$B$15,0,P21*$B$26*'Transit Demand'!$J$32)+IF(F21&lt;$B$15,0,Q21*$B$26*'Transit Demand'!$J$32)/2</f>
        <v>0</v>
      </c>
      <c r="T21" s="773">
        <f>IF(F21&lt;$B$15,0,P21*$B$27*'Transit Demand'!$K$32)+IF(F21&lt;$B$15,0,Q21*$B$27*'Transit Demand'!$K$32)/2</f>
        <v>0</v>
      </c>
      <c r="U21" s="773">
        <f>IF(F21&lt;$B$15,0,P21*$B$28*'Transit Demand'!$L$32)+IF(F21&lt;$B$15,0,Q21*$B$28*'Transit Demand'!$L$32)/2</f>
        <v>0</v>
      </c>
      <c r="V21" s="773">
        <f>IF(F21&lt;$B$15,0,P21*$B$29*'Transit Demand'!$M$32)+IF(F21&lt;$B$15,0,Q21*$B$29*'Transit Demand'!$M$32)/2</f>
        <v>0</v>
      </c>
      <c r="W21" s="773">
        <f>IF(F21&lt;$B$15,0,P21*$B$30*'Transit Demand'!$N$32)+IF(F21&lt;$B$15,0,Q21*$B$30*'Transit Demand'!$N$32)/2</f>
        <v>0</v>
      </c>
      <c r="X21" s="855">
        <f t="shared" si="3"/>
        <v>0</v>
      </c>
      <c r="Y21" s="26">
        <f t="shared" si="4"/>
        <v>0</v>
      </c>
      <c r="Z21" s="38">
        <f>Y21/(1+'Major Assumption Key'!$B$8)^($F21-'Major Assumption Key'!$B$7)</f>
        <v>0</v>
      </c>
      <c r="AA21" s="291"/>
      <c r="AB21" s="784">
        <f t="shared" si="5"/>
        <v>0</v>
      </c>
      <c r="AC21" s="855">
        <f t="shared" si="6"/>
        <v>0</v>
      </c>
      <c r="AD21" s="26">
        <f t="shared" si="7"/>
        <v>0</v>
      </c>
      <c r="AE21" s="38">
        <f t="shared" si="8"/>
        <v>0</v>
      </c>
    </row>
    <row r="22" spans="1:31">
      <c r="A22" s="860" t="s">
        <v>1214</v>
      </c>
      <c r="B22" s="44"/>
      <c r="C22" s="862" t="s">
        <v>211</v>
      </c>
      <c r="D22" s="861"/>
      <c r="E22" s="767"/>
      <c r="F22" s="772">
        <f>'Major Assumption Key'!A34</f>
        <v>2035</v>
      </c>
      <c r="G22" s="864">
        <f>_xlfn.XLOOKUP(F22,'Transit Demand'!A:A,'Transit Demand'!B:B,,0)</f>
        <v>18059.271844235507</v>
      </c>
      <c r="H22" s="864">
        <v>0</v>
      </c>
      <c r="I22" s="773">
        <v>0</v>
      </c>
      <c r="J22" s="773">
        <v>0</v>
      </c>
      <c r="K22" s="773">
        <v>0</v>
      </c>
      <c r="L22" s="773">
        <v>0</v>
      </c>
      <c r="M22" s="773">
        <v>0</v>
      </c>
      <c r="N22" s="773">
        <v>0</v>
      </c>
      <c r="O22" s="784">
        <f>IF(AND($F22&gt;=MIN('Major Assumption Key'!$B$4),$F22&lt;=MAX('Major Assumption Key'!$B$6)),SUM(I22:N22),0)</f>
        <v>0</v>
      </c>
      <c r="P22" s="864">
        <f>_xlfn.XLOOKUP(F22,'Transit Demand'!A:A,'Transit Demand'!B:B,,0)</f>
        <v>18059.271844235507</v>
      </c>
      <c r="Q22" s="864">
        <f>_xlfn.XLOOKUP(F22,'Transit Demand'!A:A,'Transit Demand'!D:D,,0)</f>
        <v>2329.6460679063821</v>
      </c>
      <c r="R22" s="773">
        <f>IF(F22&lt;$B$15,0,P22*$B$25*'Transit Demand'!$I$32)+IF(F22&lt;$B$15,0,Q22*$B$25*'Transit Demand'!$I$32)/2</f>
        <v>0</v>
      </c>
      <c r="S22" s="773">
        <f>IF(F22&lt;$B$15,0,P22*$B$26*'Transit Demand'!$J$32)+IF(F22&lt;$B$15,0,Q22*$B$26*'Transit Demand'!$J$32)/2</f>
        <v>0</v>
      </c>
      <c r="T22" s="773">
        <f>IF(F22&lt;$B$15,0,P22*$B$27*'Transit Demand'!$K$32)+IF(F22&lt;$B$15,0,Q22*$B$27*'Transit Demand'!$K$32)/2</f>
        <v>0</v>
      </c>
      <c r="U22" s="773">
        <f>IF(F22&lt;$B$15,0,P22*$B$28*'Transit Demand'!$L$32)+IF(F22&lt;$B$15,0,Q22*$B$28*'Transit Demand'!$L$32)/2</f>
        <v>0</v>
      </c>
      <c r="V22" s="773">
        <f>IF(F22&lt;$B$15,0,P22*$B$29*'Transit Demand'!$M$32)+IF(F22&lt;$B$15,0,Q22*$B$29*'Transit Demand'!$M$32)/2</f>
        <v>0</v>
      </c>
      <c r="W22" s="773">
        <f>IF(F22&lt;$B$15,0,P22*$B$30*'Transit Demand'!$N$32)+IF(F22&lt;$B$15,0,Q22*$B$30*'Transit Demand'!$N$32)/2</f>
        <v>0</v>
      </c>
      <c r="X22" s="855">
        <f t="shared" si="3"/>
        <v>0</v>
      </c>
      <c r="Y22" s="26">
        <f t="shared" si="4"/>
        <v>0</v>
      </c>
      <c r="Z22" s="38">
        <f>Y22/(1+'Major Assumption Key'!$B$8)^($F22-'Major Assumption Key'!$B$7)</f>
        <v>0</v>
      </c>
      <c r="AA22" s="291"/>
      <c r="AB22" s="784">
        <f t="shared" si="5"/>
        <v>0</v>
      </c>
      <c r="AC22" s="855">
        <f t="shared" si="6"/>
        <v>0</v>
      </c>
      <c r="AD22" s="26">
        <f t="shared" si="7"/>
        <v>0</v>
      </c>
      <c r="AE22" s="38">
        <f t="shared" si="8"/>
        <v>0</v>
      </c>
    </row>
    <row r="23" spans="1:31">
      <c r="A23" s="860" t="s">
        <v>1215</v>
      </c>
      <c r="B23" s="44"/>
      <c r="C23" s="862" t="s">
        <v>211</v>
      </c>
      <c r="D23" s="861"/>
      <c r="E23" s="767"/>
      <c r="F23" s="772">
        <f>'Major Assumption Key'!A35</f>
        <v>2036</v>
      </c>
      <c r="G23" s="864">
        <f>_xlfn.XLOOKUP(F23,'Transit Demand'!A:A,'Transit Demand'!B:B,,0)</f>
        <v>18129.777530985426</v>
      </c>
      <c r="H23" s="864">
        <v>0</v>
      </c>
      <c r="I23" s="773">
        <v>0</v>
      </c>
      <c r="J23" s="773">
        <v>0</v>
      </c>
      <c r="K23" s="773">
        <v>0</v>
      </c>
      <c r="L23" s="773">
        <v>0</v>
      </c>
      <c r="M23" s="773">
        <v>0</v>
      </c>
      <c r="N23" s="773">
        <v>0</v>
      </c>
      <c r="O23" s="784">
        <f>IF(AND($F23&gt;=MIN('Major Assumption Key'!$B$4),$F23&lt;=MAX('Major Assumption Key'!$B$6)),SUM(I23:N23),0)</f>
        <v>0</v>
      </c>
      <c r="P23" s="864">
        <f>_xlfn.XLOOKUP(F23,'Transit Demand'!A:A,'Transit Demand'!B:B,,0)</f>
        <v>18129.777530985426</v>
      </c>
      <c r="Q23" s="864">
        <f>_xlfn.XLOOKUP(F23,'Transit Demand'!A:A,'Transit Demand'!D:D,,0)</f>
        <v>2338.7413014971207</v>
      </c>
      <c r="R23" s="773">
        <f>IF(F23&lt;$B$15,0,P23*$B$25*'Transit Demand'!$I$32)+IF(F23&lt;$B$15,0,Q23*$B$25*'Transit Demand'!$I$32)/2</f>
        <v>0</v>
      </c>
      <c r="S23" s="773">
        <f>IF(F23&lt;$B$15,0,P23*$B$26*'Transit Demand'!$J$32)+IF(F23&lt;$B$15,0,Q23*$B$26*'Transit Demand'!$J$32)/2</f>
        <v>0</v>
      </c>
      <c r="T23" s="773">
        <f>IF(F23&lt;$B$15,0,P23*$B$27*'Transit Demand'!$K$32)+IF(F23&lt;$B$15,0,Q23*$B$27*'Transit Demand'!$K$32)/2</f>
        <v>0</v>
      </c>
      <c r="U23" s="773">
        <f>IF(F23&lt;$B$15,0,P23*$B$28*'Transit Demand'!$L$32)+IF(F23&lt;$B$15,0,Q23*$B$28*'Transit Demand'!$L$32)/2</f>
        <v>0</v>
      </c>
      <c r="V23" s="773">
        <f>IF(F23&lt;$B$15,0,P23*$B$29*'Transit Demand'!$M$32)+IF(F23&lt;$B$15,0,Q23*$B$29*'Transit Demand'!$M$32)/2</f>
        <v>0</v>
      </c>
      <c r="W23" s="773">
        <f>IF(F23&lt;$B$15,0,P23*$B$30*'Transit Demand'!$N$32)+IF(F23&lt;$B$15,0,Q23*$B$30*'Transit Demand'!$N$32)/2</f>
        <v>0</v>
      </c>
      <c r="X23" s="855">
        <f t="shared" si="3"/>
        <v>0</v>
      </c>
      <c r="Y23" s="26">
        <f t="shared" si="4"/>
        <v>0</v>
      </c>
      <c r="Z23" s="38">
        <f>Y23/(1+'Major Assumption Key'!$B$8)^($F23-'Major Assumption Key'!$B$7)</f>
        <v>0</v>
      </c>
      <c r="AA23" s="291"/>
      <c r="AB23" s="784">
        <f t="shared" si="5"/>
        <v>0</v>
      </c>
      <c r="AC23" s="855">
        <f t="shared" si="6"/>
        <v>0</v>
      </c>
      <c r="AD23" s="26">
        <f t="shared" si="7"/>
        <v>0</v>
      </c>
      <c r="AE23" s="38">
        <f t="shared" si="8"/>
        <v>0</v>
      </c>
    </row>
    <row r="24" spans="1:31">
      <c r="A24" s="860" t="s">
        <v>1216</v>
      </c>
      <c r="B24" s="44"/>
      <c r="C24" s="862" t="s">
        <v>211</v>
      </c>
      <c r="D24" s="861"/>
      <c r="E24" s="767"/>
      <c r="F24" s="772">
        <f>'Major Assumption Key'!A36</f>
        <v>2037</v>
      </c>
      <c r="G24" s="864">
        <f>_xlfn.XLOOKUP(F24,'Transit Demand'!A:A,'Transit Demand'!B:B,,0)</f>
        <v>18200.558480874795</v>
      </c>
      <c r="H24" s="864">
        <v>0</v>
      </c>
      <c r="I24" s="773">
        <v>0</v>
      </c>
      <c r="J24" s="773">
        <v>0</v>
      </c>
      <c r="K24" s="773">
        <v>0</v>
      </c>
      <c r="L24" s="773">
        <v>0</v>
      </c>
      <c r="M24" s="773">
        <v>0</v>
      </c>
      <c r="N24" s="773">
        <v>0</v>
      </c>
      <c r="O24" s="784">
        <f>IF(AND($F24&gt;=MIN('Major Assumption Key'!$B$4),$F24&lt;=MAX('Major Assumption Key'!$B$6)),SUM(I24:N24),0)</f>
        <v>0</v>
      </c>
      <c r="P24" s="864">
        <f>_xlfn.XLOOKUP(F24,'Transit Demand'!A:A,'Transit Demand'!B:B,,0)</f>
        <v>18200.558480874795</v>
      </c>
      <c r="Q24" s="864">
        <f>_xlfn.XLOOKUP(F24,'Transit Demand'!A:A,'Transit Demand'!D:D,,0)</f>
        <v>2347.8720440328507</v>
      </c>
      <c r="R24" s="773">
        <f>IF(F24&lt;$B$15,0,P24*$B$25*'Transit Demand'!$I$32)+IF(F24&lt;$B$15,0,Q24*$B$25*'Transit Demand'!$I$32)/2</f>
        <v>0</v>
      </c>
      <c r="S24" s="773">
        <f>IF(F24&lt;$B$15,0,P24*$B$26*'Transit Demand'!$J$32)+IF(F24&lt;$B$15,0,Q24*$B$26*'Transit Demand'!$J$32)/2</f>
        <v>0</v>
      </c>
      <c r="T24" s="773">
        <f>IF(F24&lt;$B$15,0,P24*$B$27*'Transit Demand'!$K$32)+IF(F24&lt;$B$15,0,Q24*$B$27*'Transit Demand'!$K$32)/2</f>
        <v>0</v>
      </c>
      <c r="U24" s="773">
        <f>IF(F24&lt;$B$15,0,P24*$B$28*'Transit Demand'!$L$32)+IF(F24&lt;$B$15,0,Q24*$B$28*'Transit Demand'!$L$32)/2</f>
        <v>0</v>
      </c>
      <c r="V24" s="773">
        <f>IF(F24&lt;$B$15,0,P24*$B$29*'Transit Demand'!$M$32)+IF(F24&lt;$B$15,0,Q24*$B$29*'Transit Demand'!$M$32)/2</f>
        <v>0</v>
      </c>
      <c r="W24" s="773">
        <f>IF(F24&lt;$B$15,0,P24*$B$30*'Transit Demand'!$N$32)+IF(F24&lt;$B$15,0,Q24*$B$30*'Transit Demand'!$N$32)/2</f>
        <v>0</v>
      </c>
      <c r="X24" s="855">
        <f t="shared" si="3"/>
        <v>0</v>
      </c>
      <c r="Y24" s="26">
        <f t="shared" si="4"/>
        <v>0</v>
      </c>
      <c r="Z24" s="38">
        <f>Y24/(1+'Major Assumption Key'!$B$8)^($F24-'Major Assumption Key'!$B$7)</f>
        <v>0</v>
      </c>
      <c r="AA24" s="291"/>
      <c r="AB24" s="784">
        <f t="shared" si="5"/>
        <v>0</v>
      </c>
      <c r="AC24" s="855">
        <f t="shared" si="6"/>
        <v>0</v>
      </c>
      <c r="AD24" s="26">
        <f t="shared" si="7"/>
        <v>0</v>
      </c>
      <c r="AE24" s="38">
        <f t="shared" si="8"/>
        <v>0</v>
      </c>
    </row>
    <row r="25" spans="1:31">
      <c r="A25" s="860" t="s">
        <v>1217</v>
      </c>
      <c r="B25" s="549">
        <f>IF(ISNUMBER(_xlfn.XLOOKUP(B19,'BCA Guide - Parameter Values'!$B$172:$B$193,'BCA Guide - Parameter Values'!$C$172:$C$193,,0)),_xlfn.XLOOKUP(B19,'BCA Guide - Parameter Values'!$B$172:$B$193,'BCA Guide - Parameter Values'!$C$172:$C$193,,0),0)</f>
        <v>0</v>
      </c>
      <c r="C25" s="862" t="s">
        <v>211</v>
      </c>
      <c r="D25" s="861"/>
      <c r="E25" s="767"/>
      <c r="F25" s="772">
        <f>'Major Assumption Key'!A37</f>
        <v>2038</v>
      </c>
      <c r="G25" s="864">
        <f>_xlfn.XLOOKUP(F25,'Transit Demand'!A:A,'Transit Demand'!B:B,,0)</f>
        <v>18271.615768565811</v>
      </c>
      <c r="H25" s="864">
        <v>0</v>
      </c>
      <c r="I25" s="773">
        <v>0</v>
      </c>
      <c r="J25" s="773">
        <v>0</v>
      </c>
      <c r="K25" s="773">
        <v>0</v>
      </c>
      <c r="L25" s="773">
        <v>0</v>
      </c>
      <c r="M25" s="773">
        <v>0</v>
      </c>
      <c r="N25" s="773">
        <v>0</v>
      </c>
      <c r="O25" s="784">
        <f>IF(AND($F25&gt;=MIN('Major Assumption Key'!$B$4),$F25&lt;=MAX('Major Assumption Key'!$B$6)),SUM(I25:N25),0)</f>
        <v>0</v>
      </c>
      <c r="P25" s="864">
        <f>_xlfn.XLOOKUP(F25,'Transit Demand'!A:A,'Transit Demand'!B:B,,0)</f>
        <v>18271.615768565811</v>
      </c>
      <c r="Q25" s="864">
        <f>_xlfn.XLOOKUP(F25,'Transit Demand'!A:A,'Transit Demand'!D:D,,0)</f>
        <v>2357.0384341449935</v>
      </c>
      <c r="R25" s="773">
        <f>IF(F25&lt;$B$15,0,P25*$B$25*'Transit Demand'!$I$32)+IF(F25&lt;$B$15,0,Q25*$B$25*'Transit Demand'!$I$32)/2</f>
        <v>0</v>
      </c>
      <c r="S25" s="773">
        <f>IF(F25&lt;$B$15,0,P25*$B$26*'Transit Demand'!$J$32)+IF(F25&lt;$B$15,0,Q25*$B$26*'Transit Demand'!$J$32)/2</f>
        <v>0</v>
      </c>
      <c r="T25" s="773">
        <f>IF(F25&lt;$B$15,0,P25*$B$27*'Transit Demand'!$K$32)+IF(F25&lt;$B$15,0,Q25*$B$27*'Transit Demand'!$K$32)/2</f>
        <v>0</v>
      </c>
      <c r="U25" s="773">
        <f>IF(F25&lt;$B$15,0,P25*$B$28*'Transit Demand'!$L$32)+IF(F25&lt;$B$15,0,Q25*$B$28*'Transit Demand'!$L$32)/2</f>
        <v>0</v>
      </c>
      <c r="V25" s="773">
        <f>IF(F25&lt;$B$15,0,P25*$B$29*'Transit Demand'!$M$32)+IF(F25&lt;$B$15,0,Q25*$B$29*'Transit Demand'!$M$32)/2</f>
        <v>0</v>
      </c>
      <c r="W25" s="773">
        <f>IF(F25&lt;$B$15,0,P25*$B$30*'Transit Demand'!$N$32)+IF(F25&lt;$B$15,0,Q25*$B$30*'Transit Demand'!$N$32)/2</f>
        <v>0</v>
      </c>
      <c r="X25" s="855">
        <f t="shared" si="3"/>
        <v>0</v>
      </c>
      <c r="Y25" s="26">
        <f t="shared" si="4"/>
        <v>0</v>
      </c>
      <c r="Z25" s="38">
        <f>Y25/(1+'Major Assumption Key'!$B$8)^($F25-'Major Assumption Key'!$B$7)</f>
        <v>0</v>
      </c>
      <c r="AA25" s="291"/>
      <c r="AB25" s="784">
        <f t="shared" si="5"/>
        <v>0</v>
      </c>
      <c r="AC25" s="855">
        <f t="shared" si="6"/>
        <v>0</v>
      </c>
      <c r="AD25" s="26">
        <f t="shared" si="7"/>
        <v>0</v>
      </c>
      <c r="AE25" s="38">
        <f t="shared" si="8"/>
        <v>0</v>
      </c>
    </row>
    <row r="26" spans="1:31">
      <c r="A26" s="860" t="s">
        <v>1218</v>
      </c>
      <c r="B26" s="549">
        <f>IF(ISNUMBER(_xlfn.XLOOKUP(B20,'BCA Guide - Parameter Values'!$B$172:$B$193,'BCA Guide - Parameter Values'!$C$172:$C$193,,0)),_xlfn.XLOOKUP(B20,'BCA Guide - Parameter Values'!$B$172:$B$193,'BCA Guide - Parameter Values'!$C$172:$C$193,,0),0)</f>
        <v>0</v>
      </c>
      <c r="C26" s="862" t="s">
        <v>211</v>
      </c>
      <c r="D26" s="861"/>
      <c r="E26" s="767"/>
      <c r="F26" s="772">
        <f>'Major Assumption Key'!A38</f>
        <v>2039</v>
      </c>
      <c r="G26" s="864">
        <f>_xlfn.XLOOKUP(F26,'Transit Demand'!A:A,'Transit Demand'!B:B,,0)</f>
        <v>18342.950472916284</v>
      </c>
      <c r="H26" s="864">
        <v>0</v>
      </c>
      <c r="I26" s="773">
        <v>0</v>
      </c>
      <c r="J26" s="773">
        <v>0</v>
      </c>
      <c r="K26" s="773">
        <v>0</v>
      </c>
      <c r="L26" s="773">
        <v>0</v>
      </c>
      <c r="M26" s="773">
        <v>0</v>
      </c>
      <c r="N26" s="773">
        <v>0</v>
      </c>
      <c r="O26" s="784">
        <f>IF(AND($F26&gt;=MIN('Major Assumption Key'!$B$4),$F26&lt;=MAX('Major Assumption Key'!$B$6)),SUM(I26:N26),0)</f>
        <v>0</v>
      </c>
      <c r="P26" s="864">
        <f>_xlfn.XLOOKUP(F26,'Transit Demand'!A:A,'Transit Demand'!B:B,,0)</f>
        <v>18342.950472916284</v>
      </c>
      <c r="Q26" s="864">
        <f>_xlfn.XLOOKUP(F26,'Transit Demand'!A:A,'Transit Demand'!D:D,,0)</f>
        <v>2366.2406110062038</v>
      </c>
      <c r="R26" s="773">
        <f>IF(F26&lt;$B$15,0,P26*$B$25*'Transit Demand'!$I$32)+IF(F26&lt;$B$15,0,Q26*$B$25*'Transit Demand'!$I$32)/2</f>
        <v>0</v>
      </c>
      <c r="S26" s="773">
        <f>IF(F26&lt;$B$15,0,P26*$B$26*'Transit Demand'!$J$32)+IF(F26&lt;$B$15,0,Q26*$B$26*'Transit Demand'!$J$32)/2</f>
        <v>0</v>
      </c>
      <c r="T26" s="773">
        <f>IF(F26&lt;$B$15,0,P26*$B$27*'Transit Demand'!$K$32)+IF(F26&lt;$B$15,0,Q26*$B$27*'Transit Demand'!$K$32)/2</f>
        <v>0</v>
      </c>
      <c r="U26" s="773">
        <f>IF(F26&lt;$B$15,0,P26*$B$28*'Transit Demand'!$L$32)+IF(F26&lt;$B$15,0,Q26*$B$28*'Transit Demand'!$L$32)/2</f>
        <v>0</v>
      </c>
      <c r="V26" s="773">
        <f>IF(F26&lt;$B$15,0,P26*$B$29*'Transit Demand'!$M$32)+IF(F26&lt;$B$15,0,Q26*$B$29*'Transit Demand'!$M$32)/2</f>
        <v>0</v>
      </c>
      <c r="W26" s="773">
        <f>IF(F26&lt;$B$15,0,P26*$B$30*'Transit Demand'!$N$32)+IF(F26&lt;$B$15,0,Q26*$B$30*'Transit Demand'!$N$32)/2</f>
        <v>0</v>
      </c>
      <c r="X26" s="855">
        <f t="shared" si="3"/>
        <v>0</v>
      </c>
      <c r="Y26" s="26">
        <f t="shared" si="4"/>
        <v>0</v>
      </c>
      <c r="Z26" s="38">
        <f>Y26/(1+'Major Assumption Key'!$B$8)^($F26-'Major Assumption Key'!$B$7)</f>
        <v>0</v>
      </c>
      <c r="AA26" s="291"/>
      <c r="AB26" s="784">
        <f t="shared" si="5"/>
        <v>0</v>
      </c>
      <c r="AC26" s="855">
        <f t="shared" si="6"/>
        <v>0</v>
      </c>
      <c r="AD26" s="26">
        <f t="shared" si="7"/>
        <v>0</v>
      </c>
      <c r="AE26" s="38">
        <f t="shared" si="8"/>
        <v>0</v>
      </c>
    </row>
    <row r="27" spans="1:31">
      <c r="A27" s="860" t="s">
        <v>1219</v>
      </c>
      <c r="B27" s="549">
        <f>IF(ISNUMBER(_xlfn.XLOOKUP(B21,'BCA Guide - Parameter Values'!$B$172:$B$193,'BCA Guide - Parameter Values'!$C$172:$C$193,,0)),_xlfn.XLOOKUP(B21,'BCA Guide - Parameter Values'!$B$172:$B$193,'BCA Guide - Parameter Values'!$C$172:$C$193,,0),0)</f>
        <v>0</v>
      </c>
      <c r="C27" s="862" t="s">
        <v>211</v>
      </c>
      <c r="D27" s="861"/>
      <c r="E27" s="767"/>
      <c r="F27" s="772">
        <f>'Major Assumption Key'!A39</f>
        <v>2040</v>
      </c>
      <c r="G27" s="864">
        <f>_xlfn.XLOOKUP(F27,'Transit Demand'!A:A,'Transit Demand'!B:B,,0)</f>
        <v>18414.563676996022</v>
      </c>
      <c r="H27" s="864">
        <v>0</v>
      </c>
      <c r="I27" s="773">
        <v>0</v>
      </c>
      <c r="J27" s="773">
        <v>0</v>
      </c>
      <c r="K27" s="773">
        <v>0</v>
      </c>
      <c r="L27" s="773">
        <v>0</v>
      </c>
      <c r="M27" s="773">
        <v>0</v>
      </c>
      <c r="N27" s="773">
        <v>0</v>
      </c>
      <c r="O27" s="784">
        <f>IF(AND($F27&gt;=MIN('Major Assumption Key'!$B$4),$F27&lt;=MAX('Major Assumption Key'!$B$6)),SUM(I27:N27),0)</f>
        <v>0</v>
      </c>
      <c r="P27" s="864">
        <f>_xlfn.XLOOKUP(F27,'Transit Demand'!A:A,'Transit Demand'!B:B,,0)</f>
        <v>18414.563676996022</v>
      </c>
      <c r="Q27" s="864">
        <f>_xlfn.XLOOKUP(F27,'Transit Demand'!A:A,'Transit Demand'!D:D,,0)</f>
        <v>2375.4787143324866</v>
      </c>
      <c r="R27" s="773">
        <f>IF(F27&lt;$B$15,0,P27*$B$25*'Transit Demand'!$I$32)+IF(F27&lt;$B$15,0,Q27*$B$25*'Transit Demand'!$I$32)/2</f>
        <v>0</v>
      </c>
      <c r="S27" s="773">
        <f>IF(F27&lt;$B$15,0,P27*$B$26*'Transit Demand'!$J$32)+IF(F27&lt;$B$15,0,Q27*$B$26*'Transit Demand'!$J$32)/2</f>
        <v>0</v>
      </c>
      <c r="T27" s="773">
        <f>IF(F27&lt;$B$15,0,P27*$B$27*'Transit Demand'!$K$32)+IF(F27&lt;$B$15,0,Q27*$B$27*'Transit Demand'!$K$32)/2</f>
        <v>0</v>
      </c>
      <c r="U27" s="773">
        <f>IF(F27&lt;$B$15,0,P27*$B$28*'Transit Demand'!$L$32)+IF(F27&lt;$B$15,0,Q27*$B$28*'Transit Demand'!$L$32)/2</f>
        <v>0</v>
      </c>
      <c r="V27" s="773">
        <f>IF(F27&lt;$B$15,0,P27*$B$29*'Transit Demand'!$M$32)+IF(F27&lt;$B$15,0,Q27*$B$29*'Transit Demand'!$M$32)/2</f>
        <v>0</v>
      </c>
      <c r="W27" s="773">
        <f>IF(F27&lt;$B$15,0,P27*$B$30*'Transit Demand'!$N$32)+IF(F27&lt;$B$15,0,Q27*$B$30*'Transit Demand'!$N$32)/2</f>
        <v>0</v>
      </c>
      <c r="X27" s="855">
        <f t="shared" si="3"/>
        <v>0</v>
      </c>
      <c r="Y27" s="26">
        <f t="shared" si="4"/>
        <v>0</v>
      </c>
      <c r="Z27" s="38">
        <f>Y27/(1+'Major Assumption Key'!$B$8)^($F27-'Major Assumption Key'!$B$7)</f>
        <v>0</v>
      </c>
      <c r="AA27" s="291"/>
      <c r="AB27" s="784">
        <f t="shared" si="5"/>
        <v>0</v>
      </c>
      <c r="AC27" s="855">
        <f t="shared" si="6"/>
        <v>0</v>
      </c>
      <c r="AD27" s="26">
        <f t="shared" si="7"/>
        <v>0</v>
      </c>
      <c r="AE27" s="38">
        <f t="shared" si="8"/>
        <v>0</v>
      </c>
    </row>
    <row r="28" spans="1:31">
      <c r="A28" s="860" t="s">
        <v>1220</v>
      </c>
      <c r="B28" s="549">
        <f>IF(ISNUMBER(_xlfn.XLOOKUP(B22,'BCA Guide - Parameter Values'!$B$172:$B$193,'BCA Guide - Parameter Values'!$C$172:$C$193,,0)),_xlfn.XLOOKUP(B22,'BCA Guide - Parameter Values'!$B$172:$B$193,'BCA Guide - Parameter Values'!$C$172:$C$193,,0),0)</f>
        <v>0</v>
      </c>
      <c r="C28" s="862" t="s">
        <v>211</v>
      </c>
      <c r="D28" s="861"/>
      <c r="E28" s="767"/>
      <c r="F28" s="772">
        <f>'Major Assumption Key'!A40</f>
        <v>2041</v>
      </c>
      <c r="G28" s="864">
        <f>_xlfn.XLOOKUP(F28,'Transit Demand'!A:A,'Transit Demand'!B:B,,0)</f>
        <v>18486.456468103272</v>
      </c>
      <c r="H28" s="864">
        <v>0</v>
      </c>
      <c r="I28" s="773">
        <v>0</v>
      </c>
      <c r="J28" s="773">
        <v>0</v>
      </c>
      <c r="K28" s="773">
        <v>0</v>
      </c>
      <c r="L28" s="773">
        <v>0</v>
      </c>
      <c r="M28" s="773">
        <v>0</v>
      </c>
      <c r="N28" s="773">
        <v>0</v>
      </c>
      <c r="O28" s="784">
        <f>IF(AND($F28&gt;=MIN('Major Assumption Key'!$B$4),$F28&lt;=MAX('Major Assumption Key'!$B$6)),SUM(I28:N28),0)</f>
        <v>0</v>
      </c>
      <c r="P28" s="864">
        <f>_xlfn.XLOOKUP(F28,'Transit Demand'!A:A,'Transit Demand'!B:B,,0)</f>
        <v>18486.456468103272</v>
      </c>
      <c r="Q28" s="864">
        <f>_xlfn.XLOOKUP(F28,'Transit Demand'!A:A,'Transit Demand'!D:D,,0)</f>
        <v>2384.7528843853252</v>
      </c>
      <c r="R28" s="773">
        <f>IF(F28&lt;$B$15,0,P28*$B$25*'Transit Demand'!$I$32)+IF(F28&lt;$B$15,0,Q28*$B$25*'Transit Demand'!$I$32)/2</f>
        <v>0</v>
      </c>
      <c r="S28" s="773">
        <f>IF(F28&lt;$B$15,0,P28*$B$26*'Transit Demand'!$J$32)+IF(F28&lt;$B$15,0,Q28*$B$26*'Transit Demand'!$J$32)/2</f>
        <v>0</v>
      </c>
      <c r="T28" s="773">
        <f>IF(F28&lt;$B$15,0,P28*$B$27*'Transit Demand'!$K$32)+IF(F28&lt;$B$15,0,Q28*$B$27*'Transit Demand'!$K$32)/2</f>
        <v>0</v>
      </c>
      <c r="U28" s="773">
        <f>IF(F28&lt;$B$15,0,P28*$B$28*'Transit Demand'!$L$32)+IF(F28&lt;$B$15,0,Q28*$B$28*'Transit Demand'!$L$32)/2</f>
        <v>0</v>
      </c>
      <c r="V28" s="773">
        <f>IF(F28&lt;$B$15,0,P28*$B$29*'Transit Demand'!$M$32)+IF(F28&lt;$B$15,0,Q28*$B$29*'Transit Demand'!$M$32)/2</f>
        <v>0</v>
      </c>
      <c r="W28" s="773">
        <f>IF(F28&lt;$B$15,0,P28*$B$30*'Transit Demand'!$N$32)+IF(F28&lt;$B$15,0,Q28*$B$30*'Transit Demand'!$N$32)/2</f>
        <v>0</v>
      </c>
      <c r="X28" s="855">
        <f t="shared" si="3"/>
        <v>0</v>
      </c>
      <c r="Y28" s="26">
        <f t="shared" si="4"/>
        <v>0</v>
      </c>
      <c r="Z28" s="38">
        <f>Y28/(1+'Major Assumption Key'!$B$8)^($F28-'Major Assumption Key'!$B$7)</f>
        <v>0</v>
      </c>
      <c r="AA28" s="291"/>
      <c r="AB28" s="784">
        <f t="shared" si="5"/>
        <v>0</v>
      </c>
      <c r="AC28" s="855">
        <f t="shared" si="6"/>
        <v>0</v>
      </c>
      <c r="AD28" s="26">
        <f t="shared" si="7"/>
        <v>0</v>
      </c>
      <c r="AE28" s="38">
        <f t="shared" si="8"/>
        <v>0</v>
      </c>
    </row>
    <row r="29" spans="1:31">
      <c r="A29" s="860" t="s">
        <v>1221</v>
      </c>
      <c r="B29" s="549">
        <f>IF(ISNUMBER(_xlfn.XLOOKUP(B23,'BCA Guide - Parameter Values'!$B$172:$B$193,'BCA Guide - Parameter Values'!$C$172:$C$193,,0)),_xlfn.XLOOKUP(B23,'BCA Guide - Parameter Values'!$B$172:$B$193,'BCA Guide - Parameter Values'!$C$172:$C$193,,0),0)</f>
        <v>0</v>
      </c>
      <c r="C29" s="862" t="s">
        <v>211</v>
      </c>
      <c r="D29" s="861"/>
      <c r="E29" s="767"/>
      <c r="F29" s="772">
        <f>'Major Assumption Key'!A41</f>
        <v>2042</v>
      </c>
      <c r="G29" s="864">
        <f>_xlfn.XLOOKUP(F29,'Transit Demand'!A:A,'Transit Demand'!B:B,,0)</f>
        <v>18558.629937781236</v>
      </c>
      <c r="H29" s="864">
        <v>0</v>
      </c>
      <c r="I29" s="773">
        <v>0</v>
      </c>
      <c r="J29" s="773">
        <v>0</v>
      </c>
      <c r="K29" s="773">
        <v>0</v>
      </c>
      <c r="L29" s="773">
        <v>0</v>
      </c>
      <c r="M29" s="773">
        <v>0</v>
      </c>
      <c r="N29" s="773">
        <v>0</v>
      </c>
      <c r="O29" s="784">
        <f>IF(AND($F29&gt;=MIN('Major Assumption Key'!$B$4),$F29&lt;=MAX('Major Assumption Key'!$B$6)),SUM(I29:N29),0)</f>
        <v>0</v>
      </c>
      <c r="P29" s="864">
        <f>_xlfn.XLOOKUP(F29,'Transit Demand'!A:A,'Transit Demand'!B:B,,0)</f>
        <v>18558.629937781236</v>
      </c>
      <c r="Q29" s="864">
        <f>_xlfn.XLOOKUP(F29,'Transit Demand'!A:A,'Transit Demand'!D:D,,0)</f>
        <v>2394.0632619737844</v>
      </c>
      <c r="R29" s="773">
        <f>IF(F29&lt;$B$15,0,P29*$B$25*'Transit Demand'!$I$32)+IF(F29&lt;$B$15,0,Q29*$B$25*'Transit Demand'!$I$32)/2</f>
        <v>0</v>
      </c>
      <c r="S29" s="773">
        <f>IF(F29&lt;$B$15,0,P29*$B$26*'Transit Demand'!$J$32)+IF(F29&lt;$B$15,0,Q29*$B$26*'Transit Demand'!$J$32)/2</f>
        <v>0</v>
      </c>
      <c r="T29" s="773">
        <f>IF(F29&lt;$B$15,0,P29*$B$27*'Transit Demand'!$K$32)+IF(F29&lt;$B$15,0,Q29*$B$27*'Transit Demand'!$K$32)/2</f>
        <v>0</v>
      </c>
      <c r="U29" s="773">
        <f>IF(F29&lt;$B$15,0,P29*$B$28*'Transit Demand'!$L$32)+IF(F29&lt;$B$15,0,Q29*$B$28*'Transit Demand'!$L$32)/2</f>
        <v>0</v>
      </c>
      <c r="V29" s="773">
        <f>IF(F29&lt;$B$15,0,P29*$B$29*'Transit Demand'!$M$32)+IF(F29&lt;$B$15,0,Q29*$B$29*'Transit Demand'!$M$32)/2</f>
        <v>0</v>
      </c>
      <c r="W29" s="773">
        <f>IF(F29&lt;$B$15,0,P29*$B$30*'Transit Demand'!$N$32)+IF(F29&lt;$B$15,0,Q29*$B$30*'Transit Demand'!$N$32)/2</f>
        <v>0</v>
      </c>
      <c r="X29" s="855">
        <f t="shared" si="3"/>
        <v>0</v>
      </c>
      <c r="Y29" s="26">
        <f t="shared" si="4"/>
        <v>0</v>
      </c>
      <c r="Z29" s="38">
        <f>Y29/(1+'Major Assumption Key'!$B$8)^($F29-'Major Assumption Key'!$B$7)</f>
        <v>0</v>
      </c>
      <c r="AA29" s="291"/>
      <c r="AB29" s="784">
        <f t="shared" si="5"/>
        <v>0</v>
      </c>
      <c r="AC29" s="855">
        <f t="shared" si="6"/>
        <v>0</v>
      </c>
      <c r="AD29" s="26">
        <f t="shared" si="7"/>
        <v>0</v>
      </c>
      <c r="AE29" s="38">
        <f t="shared" si="8"/>
        <v>0</v>
      </c>
    </row>
    <row r="30" spans="1:31">
      <c r="A30" s="860" t="s">
        <v>1222</v>
      </c>
      <c r="B30" s="549">
        <f>IF(ISNUMBER(_xlfn.XLOOKUP(B24,'BCA Guide - Parameter Values'!$B$172:$B$193,'BCA Guide - Parameter Values'!$C$172:$C$193,,0)),_xlfn.XLOOKUP(B24,'BCA Guide - Parameter Values'!$B$172:$B$193,'BCA Guide - Parameter Values'!$C$172:$C$193),0)</f>
        <v>0</v>
      </c>
      <c r="C30" s="862" t="s">
        <v>211</v>
      </c>
      <c r="D30" s="861"/>
      <c r="E30" s="767"/>
      <c r="F30" s="772">
        <f>'Major Assumption Key'!A42</f>
        <v>2043</v>
      </c>
      <c r="G30" s="864">
        <f>_xlfn.XLOOKUP(F30,'Transit Demand'!A:A,'Transit Demand'!B:B,,0)</f>
        <v>18631.085181834638</v>
      </c>
      <c r="H30" s="864">
        <v>0</v>
      </c>
      <c r="I30" s="773">
        <v>0</v>
      </c>
      <c r="J30" s="773">
        <v>0</v>
      </c>
      <c r="K30" s="773">
        <v>0</v>
      </c>
      <c r="L30" s="773">
        <v>0</v>
      </c>
      <c r="M30" s="773">
        <v>0</v>
      </c>
      <c r="N30" s="773">
        <v>0</v>
      </c>
      <c r="O30" s="784">
        <f>IF(AND($F30&gt;=MIN('Major Assumption Key'!$B$4),$F30&lt;=MAX('Major Assumption Key'!$B$6)),SUM(I30:N30),0)</f>
        <v>0</v>
      </c>
      <c r="P30" s="864">
        <f>_xlfn.XLOOKUP(F30,'Transit Demand'!A:A,'Transit Demand'!B:B,,0)</f>
        <v>18631.085181834638</v>
      </c>
      <c r="Q30" s="864">
        <f>_xlfn.XLOOKUP(F30,'Transit Demand'!A:A,'Transit Demand'!D:D,,0)</f>
        <v>2403.4099884566749</v>
      </c>
      <c r="R30" s="773">
        <f>IF(F30&lt;$B$15,0,P30*$B$25*'Transit Demand'!$I$32)+IF(F30&lt;$B$15,0,Q30*$B$25*'Transit Demand'!$I$32)/2</f>
        <v>0</v>
      </c>
      <c r="S30" s="773">
        <f>IF(F30&lt;$B$15,0,P30*$B$26*'Transit Demand'!$J$32)+IF(F30&lt;$B$15,0,Q30*$B$26*'Transit Demand'!$J$32)/2</f>
        <v>0</v>
      </c>
      <c r="T30" s="773">
        <f>IF(F30&lt;$B$15,0,P30*$B$27*'Transit Demand'!$K$32)+IF(F30&lt;$B$15,0,Q30*$B$27*'Transit Demand'!$K$32)/2</f>
        <v>0</v>
      </c>
      <c r="U30" s="773">
        <f>IF(F30&lt;$B$15,0,P30*$B$28*'Transit Demand'!$L$32)+IF(F30&lt;$B$15,0,Q30*$B$28*'Transit Demand'!$L$32)/2</f>
        <v>0</v>
      </c>
      <c r="V30" s="773">
        <f>IF(F30&lt;$B$15,0,P30*$B$29*'Transit Demand'!$M$32)+IF(F30&lt;$B$15,0,Q30*$B$29*'Transit Demand'!$M$32)/2</f>
        <v>0</v>
      </c>
      <c r="W30" s="773">
        <f>IF(F30&lt;$B$15,0,P30*$B$30*'Transit Demand'!$N$32)+IF(F30&lt;$B$15,0,Q30*$B$30*'Transit Demand'!$N$32)/2</f>
        <v>0</v>
      </c>
      <c r="X30" s="855">
        <f t="shared" si="3"/>
        <v>0</v>
      </c>
      <c r="Y30" s="26">
        <f t="shared" si="4"/>
        <v>0</v>
      </c>
      <c r="Z30" s="38">
        <f>Y30/(1+'Major Assumption Key'!$B$8)^($F30-'Major Assumption Key'!$B$7)</f>
        <v>0</v>
      </c>
      <c r="AA30" s="291"/>
      <c r="AB30" s="784">
        <f t="shared" si="5"/>
        <v>0</v>
      </c>
      <c r="AC30" s="855">
        <f t="shared" si="6"/>
        <v>0</v>
      </c>
      <c r="AD30" s="26">
        <f t="shared" si="7"/>
        <v>0</v>
      </c>
      <c r="AE30" s="38">
        <f t="shared" si="8"/>
        <v>0</v>
      </c>
    </row>
    <row r="31" spans="1:31" ht="28.8">
      <c r="A31" s="860" t="s">
        <v>1223</v>
      </c>
      <c r="B31" s="549">
        <f>SUM(B25:B30)</f>
        <v>0</v>
      </c>
      <c r="C31" s="862" t="s">
        <v>211</v>
      </c>
      <c r="D31" s="363"/>
      <c r="E31" s="767"/>
      <c r="F31" s="772">
        <f>'Major Assumption Key'!A43</f>
        <v>2044</v>
      </c>
      <c r="G31" s="864">
        <f>_xlfn.XLOOKUP(F31,'Transit Demand'!A:A,'Transit Demand'!B:B,,0)</f>
        <v>18703.823300346365</v>
      </c>
      <c r="H31" s="864">
        <v>0</v>
      </c>
      <c r="I31" s="773">
        <v>0</v>
      </c>
      <c r="J31" s="773">
        <v>0</v>
      </c>
      <c r="K31" s="773">
        <v>0</v>
      </c>
      <c r="L31" s="773">
        <v>0</v>
      </c>
      <c r="M31" s="773">
        <v>0</v>
      </c>
      <c r="N31" s="773">
        <v>0</v>
      </c>
      <c r="O31" s="784">
        <f>IF(AND($F31&gt;=MIN('Major Assumption Key'!$B$4),$F31&lt;=MAX('Major Assumption Key'!$B$6)),SUM(I31:N31),0)</f>
        <v>0</v>
      </c>
      <c r="P31" s="864">
        <f>_xlfn.XLOOKUP(F31,'Transit Demand'!A:A,'Transit Demand'!B:B,,0)</f>
        <v>18703.823300346365</v>
      </c>
      <c r="Q31" s="864">
        <f>_xlfn.XLOOKUP(F31,'Transit Demand'!A:A,'Transit Demand'!D:D,,0)</f>
        <v>2412.7932057446851</v>
      </c>
      <c r="R31" s="773">
        <f>IF(F31&lt;$B$15,0,P31*$B$25*'Transit Demand'!$I$32)+IF(F31&lt;$B$15,0,Q31*$B$25*'Transit Demand'!$I$32)/2</f>
        <v>0</v>
      </c>
      <c r="S31" s="773">
        <f>IF(F31&lt;$B$15,0,P31*$B$26*'Transit Demand'!$J$32)+IF(F31&lt;$B$15,0,Q31*$B$26*'Transit Demand'!$J$32)/2</f>
        <v>0</v>
      </c>
      <c r="T31" s="773">
        <f>IF(F31&lt;$B$15,0,P31*$B$27*'Transit Demand'!$K$32)+IF(F31&lt;$B$15,0,Q31*$B$27*'Transit Demand'!$K$32)/2</f>
        <v>0</v>
      </c>
      <c r="U31" s="773">
        <f>IF(F31&lt;$B$15,0,P31*$B$28*'Transit Demand'!$L$32)+IF(F31&lt;$B$15,0,Q31*$B$28*'Transit Demand'!$L$32)/2</f>
        <v>0</v>
      </c>
      <c r="V31" s="773">
        <f>IF(F31&lt;$B$15,0,P31*$B$29*'Transit Demand'!$M$32)+IF(F31&lt;$B$15,0,Q31*$B$29*'Transit Demand'!$M$32)/2</f>
        <v>0</v>
      </c>
      <c r="W31" s="773">
        <f>IF(F31&lt;$B$15,0,P31*$B$30*'Transit Demand'!$N$32)+IF(F31&lt;$B$15,0,Q31*$B$30*'Transit Demand'!$N$32)/2</f>
        <v>0</v>
      </c>
      <c r="X31" s="855">
        <f t="shared" si="3"/>
        <v>0</v>
      </c>
      <c r="Y31" s="26">
        <f t="shared" si="4"/>
        <v>0</v>
      </c>
      <c r="Z31" s="38">
        <f>Y31/(1+'Major Assumption Key'!$B$8)^($F31-'Major Assumption Key'!$B$7)</f>
        <v>0</v>
      </c>
      <c r="AA31" s="291"/>
      <c r="AB31" s="784">
        <f t="shared" si="5"/>
        <v>0</v>
      </c>
      <c r="AC31" s="855">
        <f t="shared" si="6"/>
        <v>0</v>
      </c>
      <c r="AD31" s="26">
        <f t="shared" si="7"/>
        <v>0</v>
      </c>
      <c r="AE31" s="38">
        <f t="shared" si="8"/>
        <v>0</v>
      </c>
    </row>
    <row r="32" spans="1:31" ht="28.8">
      <c r="A32" s="860" t="s">
        <v>1224</v>
      </c>
      <c r="B32" s="856">
        <f>_xlfn.XLOOKUP($B$15,'Transit Demand'!A:A,'Transit Demand'!B:B,,0)</f>
        <v>17573.35000683722</v>
      </c>
      <c r="C32" s="862" t="s">
        <v>1225</v>
      </c>
      <c r="D32" s="363"/>
      <c r="F32" s="772">
        <f>'Major Assumption Key'!A44</f>
        <v>2045</v>
      </c>
      <c r="G32" s="864">
        <f>_xlfn.XLOOKUP(F32,'Transit Demand'!A:A,'Transit Demand'!B:B,,0)</f>
        <v>18776.845397694156</v>
      </c>
      <c r="H32" s="864">
        <v>0</v>
      </c>
      <c r="I32" s="773">
        <v>0</v>
      </c>
      <c r="J32" s="773">
        <v>0</v>
      </c>
      <c r="K32" s="773">
        <v>0</v>
      </c>
      <c r="L32" s="773">
        <v>0</v>
      </c>
      <c r="M32" s="773">
        <v>0</v>
      </c>
      <c r="N32" s="773">
        <v>0</v>
      </c>
      <c r="O32" s="784">
        <f>IF(AND($F32&gt;=MIN('Major Assumption Key'!$B$4),$F32&lt;=MAX('Major Assumption Key'!$B$6)),SUM(I32:N32),0)</f>
        <v>0</v>
      </c>
      <c r="P32" s="864">
        <f>_xlfn.XLOOKUP(F32,'Transit Demand'!A:A,'Transit Demand'!B:B,,0)</f>
        <v>18776.845397694156</v>
      </c>
      <c r="Q32" s="864">
        <f>_xlfn.XLOOKUP(F32,'Transit Demand'!A:A,'Transit Demand'!D:D,,0)</f>
        <v>2422.213056302553</v>
      </c>
      <c r="R32" s="773">
        <f>IF(F32&lt;$B$15,0,P32*$B$25*'Transit Demand'!$I$32)+IF(F32&lt;$B$15,0,Q32*$B$25*'Transit Demand'!$I$32)/2</f>
        <v>0</v>
      </c>
      <c r="S32" s="773">
        <f>IF(F32&lt;$B$15,0,P32*$B$26*'Transit Demand'!$J$32)+IF(F32&lt;$B$15,0,Q32*$B$26*'Transit Demand'!$J$32)/2</f>
        <v>0</v>
      </c>
      <c r="T32" s="773">
        <f>IF(F32&lt;$B$15,0,P32*$B$27*'Transit Demand'!$K$32)+IF(F32&lt;$B$15,0,Q32*$B$27*'Transit Demand'!$K$32)/2</f>
        <v>0</v>
      </c>
      <c r="U32" s="773">
        <f>IF(F32&lt;$B$15,0,P32*$B$28*'Transit Demand'!$L$32)+IF(F32&lt;$B$15,0,Q32*$B$28*'Transit Demand'!$L$32)/2</f>
        <v>0</v>
      </c>
      <c r="V32" s="773">
        <f>IF(F32&lt;$B$15,0,P32*$B$29*'Transit Demand'!$M$32)+IF(F32&lt;$B$15,0,Q32*$B$29*'Transit Demand'!$M$32)/2</f>
        <v>0</v>
      </c>
      <c r="W32" s="773">
        <f>IF(F32&lt;$B$15,0,P32*$B$30*'Transit Demand'!$N$32)+IF(F32&lt;$B$15,0,Q32*$B$30*'Transit Demand'!$N$32)/2</f>
        <v>0</v>
      </c>
      <c r="X32" s="855">
        <f t="shared" si="3"/>
        <v>0</v>
      </c>
      <c r="Y32" s="26">
        <f t="shared" si="4"/>
        <v>0</v>
      </c>
      <c r="Z32" s="38">
        <f>Y32/(1+'Major Assumption Key'!$B$8)^($F32-'Major Assumption Key'!$B$7)</f>
        <v>0</v>
      </c>
      <c r="AA32" s="291"/>
      <c r="AB32" s="784">
        <f t="shared" si="5"/>
        <v>0</v>
      </c>
      <c r="AC32" s="855">
        <f t="shared" si="6"/>
        <v>0</v>
      </c>
      <c r="AD32" s="26">
        <f t="shared" si="7"/>
        <v>0</v>
      </c>
      <c r="AE32" s="38">
        <f t="shared" si="8"/>
        <v>0</v>
      </c>
    </row>
    <row r="33" spans="1:31" ht="28.8">
      <c r="A33" s="860" t="s">
        <v>1226</v>
      </c>
      <c r="B33" s="856">
        <f>_xlfn.XLOOKUP($B$15,'Transit Demand'!A:A,'Transit Demand'!D:D,,0)</f>
        <v>2266.9621508820019</v>
      </c>
      <c r="C33" s="862" t="s">
        <v>1225</v>
      </c>
      <c r="D33" s="363"/>
      <c r="F33" s="772">
        <f>'Major Assumption Key'!A45</f>
        <v>2046</v>
      </c>
      <c r="G33" s="864">
        <f>_xlfn.XLOOKUP(F33,'Transit Demand'!A:A,'Transit Demand'!B:B,,0)</f>
        <v>18850.152582567396</v>
      </c>
      <c r="H33" s="864">
        <v>0</v>
      </c>
      <c r="I33" s="773">
        <v>0</v>
      </c>
      <c r="J33" s="773">
        <v>0</v>
      </c>
      <c r="K33" s="773">
        <v>0</v>
      </c>
      <c r="L33" s="773">
        <v>0</v>
      </c>
      <c r="M33" s="773">
        <v>0</v>
      </c>
      <c r="N33" s="773">
        <v>0</v>
      </c>
      <c r="O33" s="784">
        <f>IF(AND($F33&gt;=MIN('Major Assumption Key'!$B$4),$F33&lt;=MAX('Major Assumption Key'!$B$6)),SUM(I33:N33),0)</f>
        <v>0</v>
      </c>
      <c r="P33" s="864">
        <f>_xlfn.XLOOKUP(F33,'Transit Demand'!A:A,'Transit Demand'!B:B,,0)</f>
        <v>18850.152582567396</v>
      </c>
      <c r="Q33" s="864">
        <f>_xlfn.XLOOKUP(F33,'Transit Demand'!A:A,'Transit Demand'!D:D,,0)</f>
        <v>2431.6696831512018</v>
      </c>
      <c r="R33" s="773">
        <f>IF(F33&lt;$B$15,0,P33*$B$25*'Transit Demand'!$I$32)+IF(F33&lt;$B$15,0,Q33*$B$25*'Transit Demand'!$I$32)/2</f>
        <v>0</v>
      </c>
      <c r="S33" s="773">
        <f>IF(F33&lt;$B$15,0,P33*$B$26*'Transit Demand'!$J$32)+IF(F33&lt;$B$15,0,Q33*$B$26*'Transit Demand'!$J$32)/2</f>
        <v>0</v>
      </c>
      <c r="T33" s="773">
        <f>IF(F33&lt;$B$15,0,P33*$B$27*'Transit Demand'!$K$32)+IF(F33&lt;$B$15,0,Q33*$B$27*'Transit Demand'!$K$32)/2</f>
        <v>0</v>
      </c>
      <c r="U33" s="773">
        <f>IF(F33&lt;$B$15,0,P33*$B$28*'Transit Demand'!$L$32)+IF(F33&lt;$B$15,0,Q33*$B$28*'Transit Demand'!$L$32)/2</f>
        <v>0</v>
      </c>
      <c r="V33" s="773">
        <f>IF(F33&lt;$B$15,0,P33*$B$29*'Transit Demand'!$M$32)+IF(F33&lt;$B$15,0,Q33*$B$29*'Transit Demand'!$M$32)/2</f>
        <v>0</v>
      </c>
      <c r="W33" s="773">
        <f>IF(F33&lt;$B$15,0,P33*$B$30*'Transit Demand'!$N$32)+IF(F33&lt;$B$15,0,Q33*$B$30*'Transit Demand'!$N$32)/2</f>
        <v>0</v>
      </c>
      <c r="X33" s="855">
        <f t="shared" si="3"/>
        <v>0</v>
      </c>
      <c r="Y33" s="26">
        <f t="shared" si="4"/>
        <v>0</v>
      </c>
      <c r="Z33" s="38">
        <f>Y33/(1+'Major Assumption Key'!$B$8)^($F33-'Major Assumption Key'!$B$7)</f>
        <v>0</v>
      </c>
      <c r="AA33" s="291"/>
      <c r="AB33" s="784">
        <f t="shared" si="5"/>
        <v>0</v>
      </c>
      <c r="AC33" s="855">
        <f t="shared" si="6"/>
        <v>0</v>
      </c>
      <c r="AD33" s="26">
        <f t="shared" si="7"/>
        <v>0</v>
      </c>
      <c r="AE33" s="38">
        <f t="shared" si="8"/>
        <v>0</v>
      </c>
    </row>
    <row r="34" spans="1:31" ht="15" thickBot="1">
      <c r="A34" s="863" t="s">
        <v>1227</v>
      </c>
      <c r="B34" s="865">
        <f>'Transit Demand'!B3</f>
        <v>2021</v>
      </c>
      <c r="C34" s="866" t="s">
        <v>1225</v>
      </c>
      <c r="D34" s="350"/>
      <c r="F34" s="772">
        <f>'Major Assumption Key'!A46</f>
        <v>2047</v>
      </c>
      <c r="G34" s="864">
        <f>_xlfn.XLOOKUP(F34,'Transit Demand'!A:A,'Transit Demand'!B:B,,0)</f>
        <v>18923.745967983923</v>
      </c>
      <c r="H34" s="864">
        <v>0</v>
      </c>
      <c r="I34" s="773">
        <v>0</v>
      </c>
      <c r="J34" s="773">
        <v>0</v>
      </c>
      <c r="K34" s="773">
        <v>0</v>
      </c>
      <c r="L34" s="773">
        <v>0</v>
      </c>
      <c r="M34" s="773">
        <v>0</v>
      </c>
      <c r="N34" s="773">
        <v>0</v>
      </c>
      <c r="O34" s="784">
        <f>IF(AND($F34&gt;=MIN('Major Assumption Key'!$B$4),$F34&lt;=MAX('Major Assumption Key'!$B$6)),SUM(I34:N34),0)</f>
        <v>0</v>
      </c>
      <c r="P34" s="864">
        <f>_xlfn.XLOOKUP(F34,'Transit Demand'!A:A,'Transit Demand'!B:B,,0)</f>
        <v>18923.745967983923</v>
      </c>
      <c r="Q34" s="864">
        <f>_xlfn.XLOOKUP(F34,'Transit Demand'!A:A,'Transit Demand'!D:D,,0)</f>
        <v>2441.1632298699333</v>
      </c>
      <c r="R34" s="773">
        <f>IF(F34&lt;$B$15,0,P34*$B$25*'Transit Demand'!$I$32)+IF(F34&lt;$B$15,0,Q34*$B$25*'Transit Demand'!$I$32)/2</f>
        <v>0</v>
      </c>
      <c r="S34" s="773">
        <f>IF(F34&lt;$B$15,0,P34*$B$26*'Transit Demand'!$J$32)+IF(F34&lt;$B$15,0,Q34*$B$26*'Transit Demand'!$J$32)/2</f>
        <v>0</v>
      </c>
      <c r="T34" s="773">
        <f>IF(F34&lt;$B$15,0,P34*$B$27*'Transit Demand'!$K$32)+IF(F34&lt;$B$15,0,Q34*$B$27*'Transit Demand'!$K$32)/2</f>
        <v>0</v>
      </c>
      <c r="U34" s="773">
        <f>IF(F34&lt;$B$15,0,P34*$B$28*'Transit Demand'!$L$32)+IF(F34&lt;$B$15,0,Q34*$B$28*'Transit Demand'!$L$32)/2</f>
        <v>0</v>
      </c>
      <c r="V34" s="773">
        <f>IF(F34&lt;$B$15,0,P34*$B$29*'Transit Demand'!$M$32)+IF(F34&lt;$B$15,0,Q34*$B$29*'Transit Demand'!$M$32)/2</f>
        <v>0</v>
      </c>
      <c r="W34" s="773">
        <f>IF(F34&lt;$B$15,0,P34*$B$30*'Transit Demand'!$N$32)+IF(F34&lt;$B$15,0,Q34*$B$30*'Transit Demand'!$N$32)/2</f>
        <v>0</v>
      </c>
      <c r="X34" s="855">
        <f t="shared" si="3"/>
        <v>0</v>
      </c>
      <c r="Y34" s="26">
        <f t="shared" si="4"/>
        <v>0</v>
      </c>
      <c r="Z34" s="38">
        <f>Y34/(1+'Major Assumption Key'!$B$8)^($F34-'Major Assumption Key'!$B$7)</f>
        <v>0</v>
      </c>
      <c r="AA34" s="291"/>
      <c r="AB34" s="784">
        <f t="shared" si="5"/>
        <v>0</v>
      </c>
      <c r="AC34" s="855">
        <f t="shared" si="6"/>
        <v>0</v>
      </c>
      <c r="AD34" s="26">
        <f t="shared" si="7"/>
        <v>0</v>
      </c>
      <c r="AE34" s="38">
        <f t="shared" si="8"/>
        <v>0</v>
      </c>
    </row>
    <row r="35" spans="1:31">
      <c r="C35" s="13"/>
      <c r="D35" s="13"/>
      <c r="F35" s="772">
        <f>'Major Assumption Key'!A47</f>
        <v>2048</v>
      </c>
      <c r="G35" s="864">
        <f>_xlfn.XLOOKUP(F35,'Transit Demand'!A:A,'Transit Demand'!B:B,,0)</f>
        <v>18997.626671306942</v>
      </c>
      <c r="H35" s="864">
        <v>0</v>
      </c>
      <c r="I35" s="773">
        <v>0</v>
      </c>
      <c r="J35" s="773">
        <v>0</v>
      </c>
      <c r="K35" s="773">
        <v>0</v>
      </c>
      <c r="L35" s="773">
        <v>0</v>
      </c>
      <c r="M35" s="773">
        <v>0</v>
      </c>
      <c r="N35" s="773">
        <v>0</v>
      </c>
      <c r="O35" s="784">
        <f>IF(AND($F35&gt;=MIN('Major Assumption Key'!$B$4),$F35&lt;=MAX('Major Assumption Key'!$B$6)),SUM(I35:N35),0)</f>
        <v>0</v>
      </c>
      <c r="P35" s="864">
        <f>_xlfn.XLOOKUP(F35,'Transit Demand'!A:A,'Transit Demand'!B:B,,0)</f>
        <v>18997.626671306942</v>
      </c>
      <c r="Q35" s="864">
        <f>_xlfn.XLOOKUP(F35,'Transit Demand'!A:A,'Transit Demand'!D:D,,0)</f>
        <v>2450.6938405986002</v>
      </c>
      <c r="R35" s="773">
        <f>IF(F35&lt;$B$15,0,P35*$B$25*'Transit Demand'!$I$32)+IF(F35&lt;$B$15,0,Q35*$B$25*'Transit Demand'!$I$32)/2</f>
        <v>0</v>
      </c>
      <c r="S35" s="773">
        <f>IF(F35&lt;$B$15,0,P35*$B$26*'Transit Demand'!$J$32)+IF(F35&lt;$B$15,0,Q35*$B$26*'Transit Demand'!$J$32)/2</f>
        <v>0</v>
      </c>
      <c r="T35" s="773">
        <f>IF(F35&lt;$B$15,0,P35*$B$27*'Transit Demand'!$K$32)+IF(F35&lt;$B$15,0,Q35*$B$27*'Transit Demand'!$K$32)/2</f>
        <v>0</v>
      </c>
      <c r="U35" s="773">
        <f>IF(F35&lt;$B$15,0,P35*$B$28*'Transit Demand'!$L$32)+IF(F35&lt;$B$15,0,Q35*$B$28*'Transit Demand'!$L$32)/2</f>
        <v>0</v>
      </c>
      <c r="V35" s="773">
        <f>IF(F35&lt;$B$15,0,P35*$B$29*'Transit Demand'!$M$32)+IF(F35&lt;$B$15,0,Q35*$B$29*'Transit Demand'!$M$32)/2</f>
        <v>0</v>
      </c>
      <c r="W35" s="773">
        <f>IF(F35&lt;$B$15,0,P35*$B$30*'Transit Demand'!$N$32)+IF(F35&lt;$B$15,0,Q35*$B$30*'Transit Demand'!$N$32)/2</f>
        <v>0</v>
      </c>
      <c r="X35" s="855">
        <f t="shared" si="3"/>
        <v>0</v>
      </c>
      <c r="Y35" s="26">
        <f t="shared" si="4"/>
        <v>0</v>
      </c>
      <c r="Z35" s="38">
        <f>Y35/(1+'Major Assumption Key'!$B$8)^($F35-'Major Assumption Key'!$B$7)</f>
        <v>0</v>
      </c>
      <c r="AA35" s="291"/>
      <c r="AB35" s="784">
        <f t="shared" si="5"/>
        <v>0</v>
      </c>
      <c r="AC35" s="855">
        <f t="shared" si="6"/>
        <v>0</v>
      </c>
      <c r="AD35" s="26">
        <f t="shared" si="7"/>
        <v>0</v>
      </c>
      <c r="AE35" s="38">
        <f t="shared" si="8"/>
        <v>0</v>
      </c>
    </row>
    <row r="36" spans="1:31">
      <c r="C36" s="13"/>
      <c r="D36" s="13"/>
      <c r="F36" s="772">
        <f>'Major Assumption Key'!A48</f>
        <v>2049</v>
      </c>
      <c r="G36" s="864">
        <f>_xlfn.XLOOKUP(F36,'Transit Demand'!A:A,'Transit Demand'!B:B,,0)</f>
        <v>19071.795814261983</v>
      </c>
      <c r="H36" s="864">
        <v>0</v>
      </c>
      <c r="I36" s="773">
        <v>0</v>
      </c>
      <c r="J36" s="773">
        <v>0</v>
      </c>
      <c r="K36" s="773">
        <v>0</v>
      </c>
      <c r="L36" s="773">
        <v>0</v>
      </c>
      <c r="M36" s="773">
        <v>0</v>
      </c>
      <c r="N36" s="773">
        <v>0</v>
      </c>
      <c r="O36" s="784">
        <f>IF(AND($F36&gt;=MIN('Major Assumption Key'!$B$4),$F36&lt;=MAX('Major Assumption Key'!$B$6)),SUM(I36:N36),0)</f>
        <v>0</v>
      </c>
      <c r="P36" s="864">
        <f>_xlfn.XLOOKUP(F36,'Transit Demand'!A:A,'Transit Demand'!B:B,,0)</f>
        <v>19071.795814261983</v>
      </c>
      <c r="Q36" s="864">
        <f>_xlfn.XLOOKUP(F36,'Transit Demand'!A:A,'Transit Demand'!D:D,,0)</f>
        <v>2460.2616600397996</v>
      </c>
      <c r="R36" s="773">
        <f>IF(F36&lt;$B$15,0,P36*$B$25*'Transit Demand'!$I$32)+IF(F36&lt;$B$15,0,Q36*$B$25*'Transit Demand'!$I$32)/2</f>
        <v>0</v>
      </c>
      <c r="S36" s="773">
        <f>IF(F36&lt;$B$15,0,P36*$B$26*'Transit Demand'!$J$32)+IF(F36&lt;$B$15,0,Q36*$B$26*'Transit Demand'!$J$32)/2</f>
        <v>0</v>
      </c>
      <c r="T36" s="773">
        <f>IF(F36&lt;$B$15,0,P36*$B$27*'Transit Demand'!$K$32)+IF(F36&lt;$B$15,0,Q36*$B$27*'Transit Demand'!$K$32)/2</f>
        <v>0</v>
      </c>
      <c r="U36" s="773">
        <f>IF(F36&lt;$B$15,0,P36*$B$28*'Transit Demand'!$L$32)+IF(F36&lt;$B$15,0,Q36*$B$28*'Transit Demand'!$L$32)/2</f>
        <v>0</v>
      </c>
      <c r="V36" s="773">
        <f>IF(F36&lt;$B$15,0,P36*$B$29*'Transit Demand'!$M$32)+IF(F36&lt;$B$15,0,Q36*$B$29*'Transit Demand'!$M$32)/2</f>
        <v>0</v>
      </c>
      <c r="W36" s="773">
        <f>IF(F36&lt;$B$15,0,P36*$B$30*'Transit Demand'!$N$32)+IF(F36&lt;$B$15,0,Q36*$B$30*'Transit Demand'!$N$32)/2</f>
        <v>0</v>
      </c>
      <c r="X36" s="855">
        <f t="shared" si="3"/>
        <v>0</v>
      </c>
      <c r="Y36" s="26">
        <f t="shared" si="4"/>
        <v>0</v>
      </c>
      <c r="Z36" s="38">
        <f>Y36/(1+'Major Assumption Key'!$B$8)^($F36-'Major Assumption Key'!$B$7)</f>
        <v>0</v>
      </c>
      <c r="AA36" s="291"/>
      <c r="AB36" s="784">
        <f t="shared" si="5"/>
        <v>0</v>
      </c>
      <c r="AC36" s="855">
        <f t="shared" si="6"/>
        <v>0</v>
      </c>
      <c r="AD36" s="26">
        <f t="shared" si="7"/>
        <v>0</v>
      </c>
      <c r="AE36" s="38">
        <f t="shared" si="8"/>
        <v>0</v>
      </c>
    </row>
    <row r="37" spans="1:31">
      <c r="C37" s="13"/>
      <c r="D37" s="13"/>
      <c r="F37" s="772">
        <f>'Major Assumption Key'!A49</f>
        <v>2050</v>
      </c>
      <c r="G37" s="864">
        <f>_xlfn.XLOOKUP(F37,'Transit Demand'!A:A,'Transit Demand'!B:B,,0)</f>
        <v>19146.254522953936</v>
      </c>
      <c r="H37" s="864">
        <v>0</v>
      </c>
      <c r="I37" s="773">
        <v>0</v>
      </c>
      <c r="J37" s="773">
        <v>0</v>
      </c>
      <c r="K37" s="773">
        <v>0</v>
      </c>
      <c r="L37" s="773">
        <v>0</v>
      </c>
      <c r="M37" s="773">
        <v>0</v>
      </c>
      <c r="N37" s="773">
        <v>0</v>
      </c>
      <c r="O37" s="784">
        <f>IF(AND($F37&gt;=MIN('Major Assumption Key'!$B$4),$F37&lt;=MAX('Major Assumption Key'!$B$6)),SUM(I37:N37),0)</f>
        <v>0</v>
      </c>
      <c r="P37" s="864">
        <f>_xlfn.XLOOKUP(F37,'Transit Demand'!A:A,'Transit Demand'!B:B,,0)</f>
        <v>19146.254522953936</v>
      </c>
      <c r="Q37" s="864">
        <f>_xlfn.XLOOKUP(F37,'Transit Demand'!A:A,'Transit Demand'!D:D,,0)</f>
        <v>2469.8668334610629</v>
      </c>
      <c r="R37" s="773">
        <f>IF(F37&lt;$B$15,0,P37*$B$25*'Transit Demand'!$I$32)+IF(F37&lt;$B$15,0,Q37*$B$25*'Transit Demand'!$I$32)/2</f>
        <v>0</v>
      </c>
      <c r="S37" s="773">
        <f>IF(F37&lt;$B$15,0,P37*$B$26*'Transit Demand'!$J$32)+IF(F37&lt;$B$15,0,Q37*$B$26*'Transit Demand'!$J$32)/2</f>
        <v>0</v>
      </c>
      <c r="T37" s="773">
        <f>IF(F37&lt;$B$15,0,P37*$B$27*'Transit Demand'!$K$32)+IF(F37&lt;$B$15,0,Q37*$B$27*'Transit Demand'!$K$32)/2</f>
        <v>0</v>
      </c>
      <c r="U37" s="773">
        <f>IF(F37&lt;$B$15,0,P37*$B$28*'Transit Demand'!$L$32)+IF(F37&lt;$B$15,0,Q37*$B$28*'Transit Demand'!$L$32)/2</f>
        <v>0</v>
      </c>
      <c r="V37" s="773">
        <f>IF(F37&lt;$B$15,0,P37*$B$29*'Transit Demand'!$M$32)+IF(F37&lt;$B$15,0,Q37*$B$29*'Transit Demand'!$M$32)/2</f>
        <v>0</v>
      </c>
      <c r="W37" s="773">
        <f>IF(F37&lt;$B$15,0,P37*$B$30*'Transit Demand'!$N$32)+IF(F37&lt;$B$15,0,Q37*$B$30*'Transit Demand'!$N$32)/2</f>
        <v>0</v>
      </c>
      <c r="X37" s="855">
        <f t="shared" si="3"/>
        <v>0</v>
      </c>
      <c r="Y37" s="26">
        <f t="shared" si="4"/>
        <v>0</v>
      </c>
      <c r="Z37" s="38">
        <f>Y37/(1+'Major Assumption Key'!$B$8)^($F37-'Major Assumption Key'!$B$7)</f>
        <v>0</v>
      </c>
      <c r="AA37" s="291"/>
      <c r="AB37" s="784">
        <f t="shared" si="5"/>
        <v>0</v>
      </c>
      <c r="AC37" s="855">
        <f t="shared" si="6"/>
        <v>0</v>
      </c>
      <c r="AD37" s="26">
        <f t="shared" si="7"/>
        <v>0</v>
      </c>
      <c r="AE37" s="38">
        <f t="shared" si="8"/>
        <v>0</v>
      </c>
    </row>
    <row r="38" spans="1:31">
      <c r="C38" s="13"/>
      <c r="D38" s="13"/>
      <c r="F38" s="772">
        <f>'Major Assumption Key'!A50</f>
        <v>2051</v>
      </c>
      <c r="G38" s="864">
        <f>_xlfn.XLOOKUP(F38,'Transit Demand'!A:A,'Transit Demand'!B:B,,0)</f>
        <v>19221.00392788415</v>
      </c>
      <c r="H38" s="864">
        <v>0</v>
      </c>
      <c r="I38" s="773">
        <v>0</v>
      </c>
      <c r="J38" s="773">
        <v>0</v>
      </c>
      <c r="K38" s="773">
        <v>0</v>
      </c>
      <c r="L38" s="773">
        <v>0</v>
      </c>
      <c r="M38" s="773">
        <v>0</v>
      </c>
      <c r="N38" s="773">
        <v>0</v>
      </c>
      <c r="O38" s="784">
        <f>IF(AND($F38&gt;=MIN('Major Assumption Key'!$B$4),$F38&lt;=MAX('Major Assumption Key'!$B$6)),SUM(I38:N38),0)</f>
        <v>0</v>
      </c>
      <c r="P38" s="864">
        <f>_xlfn.XLOOKUP(F38,'Transit Demand'!A:A,'Transit Demand'!B:B,,0)</f>
        <v>19221.00392788415</v>
      </c>
      <c r="Q38" s="864">
        <f>_xlfn.XLOOKUP(F38,'Transit Demand'!A:A,'Transit Demand'!D:D,,0)</f>
        <v>2479.5095066970607</v>
      </c>
      <c r="R38" s="773">
        <f>IF(F38&lt;$B$15,0,P38*$B$25*'Transit Demand'!$I$32)+IF(F38&lt;$B$15,0,Q38*$B$25*'Transit Demand'!$I$32)/2</f>
        <v>0</v>
      </c>
      <c r="S38" s="773">
        <f>IF(F38&lt;$B$15,0,P38*$B$26*'Transit Demand'!$J$32)+IF(F38&lt;$B$15,0,Q38*$B$26*'Transit Demand'!$J$32)/2</f>
        <v>0</v>
      </c>
      <c r="T38" s="773">
        <f>IF(F38&lt;$B$15,0,P38*$B$27*'Transit Demand'!$K$32)+IF(F38&lt;$B$15,0,Q38*$B$27*'Transit Demand'!$K$32)/2</f>
        <v>0</v>
      </c>
      <c r="U38" s="773">
        <f>IF(F38&lt;$B$15,0,P38*$B$28*'Transit Demand'!$L$32)+IF(F38&lt;$B$15,0,Q38*$B$28*'Transit Demand'!$L$32)/2</f>
        <v>0</v>
      </c>
      <c r="V38" s="773">
        <f>IF(F38&lt;$B$15,0,P38*$B$29*'Transit Demand'!$M$32)+IF(F38&lt;$B$15,0,Q38*$B$29*'Transit Demand'!$M$32)/2</f>
        <v>0</v>
      </c>
      <c r="W38" s="773">
        <f>IF(F38&lt;$B$15,0,P38*$B$30*'Transit Demand'!$N$32)+IF(F38&lt;$B$15,0,Q38*$B$30*'Transit Demand'!$N$32)/2</f>
        <v>0</v>
      </c>
      <c r="X38" s="855">
        <f t="shared" si="3"/>
        <v>0</v>
      </c>
      <c r="Y38" s="26">
        <f t="shared" si="4"/>
        <v>0</v>
      </c>
      <c r="Z38" s="38">
        <f>Y38/(1+'Major Assumption Key'!$B$8)^($F38-'Major Assumption Key'!$B$7)</f>
        <v>0</v>
      </c>
      <c r="AA38" s="291"/>
      <c r="AB38" s="784">
        <f t="shared" si="5"/>
        <v>0</v>
      </c>
      <c r="AC38" s="855">
        <f t="shared" si="6"/>
        <v>0</v>
      </c>
      <c r="AD38" s="26">
        <f t="shared" si="7"/>
        <v>0</v>
      </c>
      <c r="AE38" s="38">
        <f t="shared" si="8"/>
        <v>0</v>
      </c>
    </row>
    <row r="39" spans="1:31">
      <c r="C39" s="13"/>
      <c r="D39" s="13"/>
      <c r="F39" s="772">
        <f>'Major Assumption Key'!A51</f>
        <v>2052</v>
      </c>
      <c r="G39" s="864">
        <f>_xlfn.XLOOKUP(F39,'Transit Demand'!A:A,'Transit Demand'!B:B,,0)</f>
        <v>19296.045163967592</v>
      </c>
      <c r="H39" s="864">
        <v>0</v>
      </c>
      <c r="I39" s="773">
        <v>0</v>
      </c>
      <c r="J39" s="773">
        <v>0</v>
      </c>
      <c r="K39" s="773">
        <v>0</v>
      </c>
      <c r="L39" s="773">
        <v>0</v>
      </c>
      <c r="M39" s="773">
        <v>0</v>
      </c>
      <c r="N39" s="773">
        <v>0</v>
      </c>
      <c r="O39" s="784">
        <f>IF(AND($F39&gt;=MIN('Major Assumption Key'!$B$4),$F39&lt;=MAX('Major Assumption Key'!$B$6)),SUM(I39:N39),0)</f>
        <v>0</v>
      </c>
      <c r="P39" s="864">
        <f>_xlfn.XLOOKUP(F39,'Transit Demand'!A:A,'Transit Demand'!B:B,,0)</f>
        <v>19296.045163967592</v>
      </c>
      <c r="Q39" s="864">
        <f>_xlfn.XLOOKUP(F39,'Transit Demand'!A:A,'Transit Demand'!D:D,,0)</f>
        <v>2489.1898261518254</v>
      </c>
      <c r="R39" s="773">
        <f>IF(F39&lt;$B$15,0,P39*$B$25*'Transit Demand'!$I$32)+IF(F39&lt;$B$15,0,Q39*$B$25*'Transit Demand'!$I$32)/2</f>
        <v>0</v>
      </c>
      <c r="S39" s="773">
        <f>IF(F39&lt;$B$15,0,P39*$B$26*'Transit Demand'!$J$32)+IF(F39&lt;$B$15,0,Q39*$B$26*'Transit Demand'!$J$32)/2</f>
        <v>0</v>
      </c>
      <c r="T39" s="773">
        <f>IF(F39&lt;$B$15,0,P39*$B$27*'Transit Demand'!$K$32)+IF(F39&lt;$B$15,0,Q39*$B$27*'Transit Demand'!$K$32)/2</f>
        <v>0</v>
      </c>
      <c r="U39" s="773">
        <f>IF(F39&lt;$B$15,0,P39*$B$28*'Transit Demand'!$L$32)+IF(F39&lt;$B$15,0,Q39*$B$28*'Transit Demand'!$L$32)/2</f>
        <v>0</v>
      </c>
      <c r="V39" s="773">
        <f>IF(F39&lt;$B$15,0,P39*$B$29*'Transit Demand'!$M$32)+IF(F39&lt;$B$15,0,Q39*$B$29*'Transit Demand'!$M$32)/2</f>
        <v>0</v>
      </c>
      <c r="W39" s="773">
        <f>IF(F39&lt;$B$15,0,P39*$B$30*'Transit Demand'!$N$32)+IF(F39&lt;$B$15,0,Q39*$B$30*'Transit Demand'!$N$32)/2</f>
        <v>0</v>
      </c>
      <c r="X39" s="855">
        <f t="shared" si="3"/>
        <v>0</v>
      </c>
      <c r="Y39" s="26">
        <f t="shared" si="4"/>
        <v>0</v>
      </c>
      <c r="Z39" s="38">
        <f>Y39/(1+'Major Assumption Key'!$B$8)^($F39-'Major Assumption Key'!$B$7)</f>
        <v>0</v>
      </c>
      <c r="AA39" s="291"/>
      <c r="AB39" s="784">
        <f t="shared" si="5"/>
        <v>0</v>
      </c>
      <c r="AC39" s="855">
        <f t="shared" si="6"/>
        <v>0</v>
      </c>
      <c r="AD39" s="26">
        <f t="shared" si="7"/>
        <v>0</v>
      </c>
      <c r="AE39" s="38">
        <f t="shared" si="8"/>
        <v>0</v>
      </c>
    </row>
    <row r="40" spans="1:31">
      <c r="C40" s="13"/>
      <c r="D40" s="13"/>
      <c r="F40" s="772">
        <f>'Major Assumption Key'!A52</f>
        <v>2053</v>
      </c>
      <c r="G40" s="864">
        <f>_xlfn.XLOOKUP(F40,'Transit Demand'!A:A,'Transit Demand'!B:B,,0)</f>
        <v>19371.379370550079</v>
      </c>
      <c r="H40" s="864">
        <v>0</v>
      </c>
      <c r="I40" s="773">
        <v>0</v>
      </c>
      <c r="J40" s="773">
        <v>0</v>
      </c>
      <c r="K40" s="773">
        <v>0</v>
      </c>
      <c r="L40" s="773">
        <v>0</v>
      </c>
      <c r="M40" s="773">
        <v>0</v>
      </c>
      <c r="N40" s="773">
        <v>0</v>
      </c>
      <c r="O40" s="784">
        <f>IF(AND($F40&gt;=MIN('Major Assumption Key'!$B$4),$F40&lt;=MAX('Major Assumption Key'!$B$6)),SUM(I40:N40),0)</f>
        <v>0</v>
      </c>
      <c r="P40" s="864">
        <f>_xlfn.XLOOKUP(F40,'Transit Demand'!A:A,'Transit Demand'!B:B,,0)</f>
        <v>19371.379370550079</v>
      </c>
      <c r="Q40" s="864">
        <f>_xlfn.XLOOKUP(F40,'Transit Demand'!A:A,'Transit Demand'!D:D,,0)</f>
        <v>2498.9079388009668</v>
      </c>
      <c r="R40" s="773">
        <f>IF(F40&lt;$B$15,0,P40*$B$25*'Transit Demand'!$I$32)+IF(F40&lt;$B$15,0,Q40*$B$25*'Transit Demand'!$I$32)/2</f>
        <v>0</v>
      </c>
      <c r="S40" s="773">
        <f>IF(F40&lt;$B$15,0,P40*$B$26*'Transit Demand'!$J$32)+IF(F40&lt;$B$15,0,Q40*$B$26*'Transit Demand'!$J$32)/2</f>
        <v>0</v>
      </c>
      <c r="T40" s="773">
        <f>IF(F40&lt;$B$15,0,P40*$B$27*'Transit Demand'!$K$32)+IF(F40&lt;$B$15,0,Q40*$B$27*'Transit Demand'!$K$32)/2</f>
        <v>0</v>
      </c>
      <c r="U40" s="773">
        <f>IF(F40&lt;$B$15,0,P40*$B$28*'Transit Demand'!$L$32)+IF(F40&lt;$B$15,0,Q40*$B$28*'Transit Demand'!$L$32)/2</f>
        <v>0</v>
      </c>
      <c r="V40" s="773">
        <f>IF(F40&lt;$B$15,0,P40*$B$29*'Transit Demand'!$M$32)+IF(F40&lt;$B$15,0,Q40*$B$29*'Transit Demand'!$M$32)/2</f>
        <v>0</v>
      </c>
      <c r="W40" s="773">
        <f>IF(F40&lt;$B$15,0,P40*$B$30*'Transit Demand'!$N$32)+IF(F40&lt;$B$15,0,Q40*$B$30*'Transit Demand'!$N$32)/2</f>
        <v>0</v>
      </c>
      <c r="X40" s="855">
        <f t="shared" si="3"/>
        <v>0</v>
      </c>
      <c r="Y40" s="26">
        <f t="shared" si="4"/>
        <v>0</v>
      </c>
      <c r="Z40" s="38">
        <f>Y40/(1+'Major Assumption Key'!$B$8)^($F40-'Major Assumption Key'!$B$7)</f>
        <v>0</v>
      </c>
      <c r="AA40" s="291"/>
      <c r="AB40" s="784">
        <f t="shared" si="5"/>
        <v>0</v>
      </c>
      <c r="AC40" s="855">
        <f t="shared" si="6"/>
        <v>0</v>
      </c>
      <c r="AD40" s="26">
        <f t="shared" si="7"/>
        <v>0</v>
      </c>
      <c r="AE40" s="38">
        <f t="shared" si="8"/>
        <v>0</v>
      </c>
    </row>
    <row r="41" spans="1:31">
      <c r="C41" s="13"/>
      <c r="D41" s="13"/>
      <c r="F41" s="772">
        <f>'Major Assumption Key'!A53</f>
        <v>2054</v>
      </c>
      <c r="G41" s="864">
        <f>_xlfn.XLOOKUP(F41,'Transit Demand'!A:A,'Transit Demand'!B:B,,0)</f>
        <v>19447.007691425584</v>
      </c>
      <c r="H41" s="864">
        <v>0</v>
      </c>
      <c r="I41" s="773">
        <v>0</v>
      </c>
      <c r="J41" s="773">
        <v>0</v>
      </c>
      <c r="K41" s="773">
        <v>0</v>
      </c>
      <c r="L41" s="773">
        <v>0</v>
      </c>
      <c r="M41" s="773">
        <v>0</v>
      </c>
      <c r="N41" s="773">
        <v>0</v>
      </c>
      <c r="O41" s="784">
        <f>IF(AND($F41&gt;=MIN('Major Assumption Key'!$B$4),$F41&lt;=MAX('Major Assumption Key'!$B$6)),SUM(I41:N41),0)</f>
        <v>0</v>
      </c>
      <c r="P41" s="864">
        <f>_xlfn.XLOOKUP(F41,'Transit Demand'!A:A,'Transit Demand'!B:B,,0)</f>
        <v>19447.007691425584</v>
      </c>
      <c r="Q41" s="864">
        <f>_xlfn.XLOOKUP(F41,'Transit Demand'!A:A,'Transit Demand'!D:D,,0)</f>
        <v>2508.6639921939059</v>
      </c>
      <c r="R41" s="773">
        <f>IF(F41&lt;$B$15,0,P41*$B$25*'Transit Demand'!$I$32)+IF(F41&lt;$B$15,0,Q41*$B$25*'Transit Demand'!$I$32)/2</f>
        <v>0</v>
      </c>
      <c r="S41" s="773">
        <f>IF(F41&lt;$B$15,0,P41*$B$26*'Transit Demand'!$J$32)+IF(F41&lt;$B$15,0,Q41*$B$26*'Transit Demand'!$J$32)/2</f>
        <v>0</v>
      </c>
      <c r="T41" s="773">
        <f>IF(F41&lt;$B$15,0,P41*$B$27*'Transit Demand'!$K$32)+IF(F41&lt;$B$15,0,Q41*$B$27*'Transit Demand'!$K$32)/2</f>
        <v>0</v>
      </c>
      <c r="U41" s="773">
        <f>IF(F41&lt;$B$15,0,P41*$B$28*'Transit Demand'!$L$32)+IF(F41&lt;$B$15,0,Q41*$B$28*'Transit Demand'!$L$32)/2</f>
        <v>0</v>
      </c>
      <c r="V41" s="773">
        <f>IF(F41&lt;$B$15,0,P41*$B$29*'Transit Demand'!$M$32)+IF(F41&lt;$B$15,0,Q41*$B$29*'Transit Demand'!$M$32)/2</f>
        <v>0</v>
      </c>
      <c r="W41" s="773">
        <f>IF(F41&lt;$B$15,0,P41*$B$30*'Transit Demand'!$N$32)+IF(F41&lt;$B$15,0,Q41*$B$30*'Transit Demand'!$N$32)/2</f>
        <v>0</v>
      </c>
      <c r="X41" s="855">
        <f t="shared" si="3"/>
        <v>0</v>
      </c>
      <c r="Y41" s="26">
        <f t="shared" si="4"/>
        <v>0</v>
      </c>
      <c r="Z41" s="38">
        <f>Y41/(1+'Major Assumption Key'!$B$8)^($F41-'Major Assumption Key'!$B$7)</f>
        <v>0</v>
      </c>
      <c r="AA41" s="291"/>
      <c r="AB41" s="784">
        <f t="shared" si="5"/>
        <v>0</v>
      </c>
      <c r="AC41" s="855">
        <f t="shared" si="6"/>
        <v>0</v>
      </c>
      <c r="AD41" s="26">
        <f t="shared" si="7"/>
        <v>0</v>
      </c>
      <c r="AE41" s="38">
        <f t="shared" si="8"/>
        <v>0</v>
      </c>
    </row>
    <row r="42" spans="1:31">
      <c r="C42" s="13"/>
      <c r="D42" s="13"/>
      <c r="F42" s="772">
        <f>'Major Assumption Key'!A54</f>
        <v>2055</v>
      </c>
      <c r="G42" s="864">
        <f>_xlfn.XLOOKUP(F42,'Transit Demand'!A:A,'Transit Demand'!B:B,,0)</f>
        <v>19522.931274853592</v>
      </c>
      <c r="H42" s="864">
        <v>0</v>
      </c>
      <c r="I42" s="773">
        <v>0</v>
      </c>
      <c r="J42" s="773">
        <v>0</v>
      </c>
      <c r="K42" s="773">
        <v>0</v>
      </c>
      <c r="L42" s="773">
        <v>0</v>
      </c>
      <c r="M42" s="773">
        <v>0</v>
      </c>
      <c r="N42" s="773">
        <v>0</v>
      </c>
      <c r="O42" s="784">
        <f>IF(AND($F42&gt;=MIN('Major Assumption Key'!$B$4),$F42&lt;=MAX('Major Assumption Key'!$B$6)),SUM(I42:N42),0)</f>
        <v>0</v>
      </c>
      <c r="P42" s="864">
        <f>_xlfn.XLOOKUP(F42,'Transit Demand'!A:A,'Transit Demand'!B:B,,0)</f>
        <v>19522.931274853592</v>
      </c>
      <c r="Q42" s="864">
        <f>_xlfn.XLOOKUP(F42,'Transit Demand'!A:A,'Transit Demand'!D:D,,0)</f>
        <v>2518.4581344561193</v>
      </c>
      <c r="R42" s="773">
        <f>IF(F42&lt;$B$15,0,P42*$B$25*'Transit Demand'!$I$32)+IF(F42&lt;$B$15,0,Q42*$B$25*'Transit Demand'!$I$32)/2</f>
        <v>0</v>
      </c>
      <c r="S42" s="773">
        <f>IF(F42&lt;$B$15,0,P42*$B$26*'Transit Demand'!$J$32)+IF(F42&lt;$B$15,0,Q42*$B$26*'Transit Demand'!$J$32)/2</f>
        <v>0</v>
      </c>
      <c r="T42" s="773">
        <f>IF(F42&lt;$B$15,0,P42*$B$27*'Transit Demand'!$K$32)+IF(F42&lt;$B$15,0,Q42*$B$27*'Transit Demand'!$K$32)/2</f>
        <v>0</v>
      </c>
      <c r="U42" s="773">
        <f>IF(F42&lt;$B$15,0,P42*$B$28*'Transit Demand'!$L$32)+IF(F42&lt;$B$15,0,Q42*$B$28*'Transit Demand'!$L$32)/2</f>
        <v>0</v>
      </c>
      <c r="V42" s="773">
        <f>IF(F42&lt;$B$15,0,P42*$B$29*'Transit Demand'!$M$32)+IF(F42&lt;$B$15,0,Q42*$B$29*'Transit Demand'!$M$32)/2</f>
        <v>0</v>
      </c>
      <c r="W42" s="773">
        <f>IF(F42&lt;$B$15,0,P42*$B$30*'Transit Demand'!$N$32)+IF(F42&lt;$B$15,0,Q42*$B$30*'Transit Demand'!$N$32)/2</f>
        <v>0</v>
      </c>
      <c r="X42" s="855">
        <f t="shared" si="3"/>
        <v>0</v>
      </c>
      <c r="Y42" s="26">
        <f t="shared" si="4"/>
        <v>0</v>
      </c>
      <c r="Z42" s="38">
        <f>Y42/(1+'Major Assumption Key'!$B$8)^($F42-'Major Assumption Key'!$B$7)</f>
        <v>0</v>
      </c>
      <c r="AA42" s="291"/>
      <c r="AB42" s="784">
        <f t="shared" si="5"/>
        <v>0</v>
      </c>
      <c r="AC42" s="855">
        <f t="shared" si="6"/>
        <v>0</v>
      </c>
      <c r="AD42" s="26">
        <f t="shared" si="7"/>
        <v>0</v>
      </c>
      <c r="AE42" s="38">
        <f t="shared" si="8"/>
        <v>0</v>
      </c>
    </row>
    <row r="43" spans="1:31">
      <c r="C43" s="13"/>
      <c r="D43" s="13"/>
      <c r="F43" s="772">
        <f>'Major Assumption Key'!A55</f>
        <v>2056</v>
      </c>
      <c r="G43" s="864">
        <f>_xlfn.XLOOKUP(F43,'Transit Demand'!A:A,'Transit Demand'!B:B,,0)</f>
        <v>19599.151273576539</v>
      </c>
      <c r="H43" s="864">
        <v>0</v>
      </c>
      <c r="I43" s="773">
        <v>0</v>
      </c>
      <c r="J43" s="773">
        <v>0</v>
      </c>
      <c r="K43" s="773">
        <v>0</v>
      </c>
      <c r="L43" s="773">
        <v>0</v>
      </c>
      <c r="M43" s="773">
        <v>0</v>
      </c>
      <c r="N43" s="773">
        <v>0</v>
      </c>
      <c r="O43" s="784">
        <f>IF(AND($F43&gt;=MIN('Major Assumption Key'!$B$4),$F43&lt;=MAX('Major Assumption Key'!$B$6)),SUM(I43:N43),0)</f>
        <v>0</v>
      </c>
      <c r="P43" s="864">
        <f>_xlfn.XLOOKUP(F43,'Transit Demand'!A:A,'Transit Demand'!B:B,,0)</f>
        <v>19599.151273576539</v>
      </c>
      <c r="Q43" s="864">
        <f>_xlfn.XLOOKUP(F43,'Transit Demand'!A:A,'Transit Demand'!D:D,,0)</f>
        <v>2528.2905142913805</v>
      </c>
      <c r="R43" s="773">
        <f>IF(F43&lt;$B$15,0,P43*$B$25*'Transit Demand'!$I$32)+IF(F43&lt;$B$15,0,Q43*$B$25*'Transit Demand'!$I$32)/2</f>
        <v>0</v>
      </c>
      <c r="S43" s="773">
        <f>IF(F43&lt;$B$15,0,P43*$B$26*'Transit Demand'!$J$32)+IF(F43&lt;$B$15,0,Q43*$B$26*'Transit Demand'!$J$32)/2</f>
        <v>0</v>
      </c>
      <c r="T43" s="773">
        <f>IF(F43&lt;$B$15,0,P43*$B$27*'Transit Demand'!$K$32)+IF(F43&lt;$B$15,0,Q43*$B$27*'Transit Demand'!$K$32)/2</f>
        <v>0</v>
      </c>
      <c r="U43" s="773">
        <f>IF(F43&lt;$B$15,0,P43*$B$28*'Transit Demand'!$L$32)+IF(F43&lt;$B$15,0,Q43*$B$28*'Transit Demand'!$L$32)/2</f>
        <v>0</v>
      </c>
      <c r="V43" s="773">
        <f>IF(F43&lt;$B$15,0,P43*$B$29*'Transit Demand'!$M$32)+IF(F43&lt;$B$15,0,Q43*$B$29*'Transit Demand'!$M$32)/2</f>
        <v>0</v>
      </c>
      <c r="W43" s="773">
        <f>IF(F43&lt;$B$15,0,P43*$B$30*'Transit Demand'!$N$32)+IF(F43&lt;$B$15,0,Q43*$B$30*'Transit Demand'!$N$32)/2</f>
        <v>0</v>
      </c>
      <c r="X43" s="855">
        <f t="shared" si="3"/>
        <v>0</v>
      </c>
      <c r="Y43" s="26">
        <f t="shared" si="4"/>
        <v>0</v>
      </c>
      <c r="Z43" s="38">
        <f>Y43/(1+'Major Assumption Key'!$B$8)^($F43-'Major Assumption Key'!$B$7)</f>
        <v>0</v>
      </c>
      <c r="AA43" s="291"/>
      <c r="AB43" s="784">
        <f t="shared" si="5"/>
        <v>0</v>
      </c>
      <c r="AC43" s="855">
        <f t="shared" si="6"/>
        <v>0</v>
      </c>
      <c r="AD43" s="26">
        <f t="shared" si="7"/>
        <v>0</v>
      </c>
      <c r="AE43" s="38">
        <f t="shared" si="8"/>
        <v>0</v>
      </c>
    </row>
    <row r="44" spans="1:31">
      <c r="C44" s="13"/>
      <c r="D44" s="13"/>
      <c r="F44" s="772">
        <f>'Major Assumption Key'!A56</f>
        <v>2057</v>
      </c>
      <c r="G44" s="864">
        <f>_xlfn.XLOOKUP(F44,'Transit Demand'!A:A,'Transit Demand'!B:B,,0)</f>
        <v>19675.668844837317</v>
      </c>
      <c r="H44" s="864">
        <v>0</v>
      </c>
      <c r="I44" s="773">
        <v>0</v>
      </c>
      <c r="J44" s="773">
        <v>0</v>
      </c>
      <c r="K44" s="773">
        <v>0</v>
      </c>
      <c r="L44" s="773">
        <v>0</v>
      </c>
      <c r="M44" s="773">
        <v>0</v>
      </c>
      <c r="N44" s="773">
        <v>0</v>
      </c>
      <c r="O44" s="784">
        <f>IF(AND($F44&gt;=MIN('Major Assumption Key'!$B$4),$F44&lt;=MAX('Major Assumption Key'!$B$6)),SUM(I44:N44),0)</f>
        <v>0</v>
      </c>
      <c r="P44" s="864">
        <f>_xlfn.XLOOKUP(F44,'Transit Demand'!A:A,'Transit Demand'!B:B,,0)</f>
        <v>19675.668844837317</v>
      </c>
      <c r="Q44" s="864">
        <f>_xlfn.XLOOKUP(F44,'Transit Demand'!A:A,'Transit Demand'!D:D,,0)</f>
        <v>2538.161280984019</v>
      </c>
      <c r="R44" s="773">
        <f>IF(F44&lt;$B$15,0,P44*$B$25*'Transit Demand'!$I$32)+IF(F44&lt;$B$15,0,Q44*$B$25*'Transit Demand'!$I$32)/2</f>
        <v>0</v>
      </c>
      <c r="S44" s="773">
        <f>IF(F44&lt;$B$15,0,P44*$B$26*'Transit Demand'!$J$32)+IF(F44&lt;$B$15,0,Q44*$B$26*'Transit Demand'!$J$32)/2</f>
        <v>0</v>
      </c>
      <c r="T44" s="773">
        <f>IF(F44&lt;$B$15,0,P44*$B$27*'Transit Demand'!$K$32)+IF(F44&lt;$B$15,0,Q44*$B$27*'Transit Demand'!$K$32)/2</f>
        <v>0</v>
      </c>
      <c r="U44" s="773">
        <f>IF(F44&lt;$B$15,0,P44*$B$28*'Transit Demand'!$L$32)+IF(F44&lt;$B$15,0,Q44*$B$28*'Transit Demand'!$L$32)/2</f>
        <v>0</v>
      </c>
      <c r="V44" s="773">
        <f>IF(F44&lt;$B$15,0,P44*$B$29*'Transit Demand'!$M$32)+IF(F44&lt;$B$15,0,Q44*$B$29*'Transit Demand'!$M$32)/2</f>
        <v>0</v>
      </c>
      <c r="W44" s="773">
        <f>IF(F44&lt;$B$15,0,P44*$B$30*'Transit Demand'!$N$32)+IF(F44&lt;$B$15,0,Q44*$B$30*'Transit Demand'!$N$32)/2</f>
        <v>0</v>
      </c>
      <c r="X44" s="855">
        <f t="shared" si="3"/>
        <v>0</v>
      </c>
      <c r="Y44" s="26">
        <f t="shared" si="4"/>
        <v>0</v>
      </c>
      <c r="Z44" s="38">
        <f>Y44/(1+'Major Assumption Key'!$B$8)^($F44-'Major Assumption Key'!$B$7)</f>
        <v>0</v>
      </c>
      <c r="AA44" s="291"/>
      <c r="AB44" s="784">
        <f t="shared" si="5"/>
        <v>0</v>
      </c>
      <c r="AC44" s="855">
        <f t="shared" si="6"/>
        <v>0</v>
      </c>
      <c r="AD44" s="26">
        <f t="shared" si="7"/>
        <v>0</v>
      </c>
      <c r="AE44" s="38">
        <f t="shared" si="8"/>
        <v>0</v>
      </c>
    </row>
    <row r="45" spans="1:31">
      <c r="C45" s="13"/>
      <c r="D45" s="13"/>
      <c r="F45" s="772">
        <f>'Major Assumption Key'!A57</f>
        <v>2058</v>
      </c>
      <c r="G45" s="864">
        <f>_xlfn.XLOOKUP(F45,'Transit Demand'!A:A,'Transit Demand'!B:B,,0)</f>
        <v>19752.485150396835</v>
      </c>
      <c r="H45" s="864">
        <v>0</v>
      </c>
      <c r="I45" s="773">
        <v>0</v>
      </c>
      <c r="J45" s="773">
        <v>0</v>
      </c>
      <c r="K45" s="773">
        <v>0</v>
      </c>
      <c r="L45" s="773">
        <v>0</v>
      </c>
      <c r="M45" s="773">
        <v>0</v>
      </c>
      <c r="N45" s="773">
        <v>0</v>
      </c>
      <c r="O45" s="784">
        <f>IF(AND($F45&gt;=MIN('Major Assumption Key'!$B$4),$F45&lt;=MAX('Major Assumption Key'!$B$6)),SUM(I45:N45),0)</f>
        <v>0</v>
      </c>
      <c r="P45" s="864">
        <f>_xlfn.XLOOKUP(F45,'Transit Demand'!A:A,'Transit Demand'!B:B,,0)</f>
        <v>19752.485150396835</v>
      </c>
      <c r="Q45" s="864">
        <f>_xlfn.XLOOKUP(F45,'Transit Demand'!A:A,'Transit Demand'!D:D,,0)</f>
        <v>2548.0705844011973</v>
      </c>
      <c r="R45" s="773">
        <f>IF(F45&lt;$B$15,0,P45*$B$25*'Transit Demand'!$I$32)+IF(F45&lt;$B$15,0,Q45*$B$25*'Transit Demand'!$I$32)/2</f>
        <v>0</v>
      </c>
      <c r="S45" s="773">
        <f>IF(F45&lt;$B$15,0,P45*$B$26*'Transit Demand'!$J$32)+IF(F45&lt;$B$15,0,Q45*$B$26*'Transit Demand'!$J$32)/2</f>
        <v>0</v>
      </c>
      <c r="T45" s="773">
        <f>IF(F45&lt;$B$15,0,P45*$B$27*'Transit Demand'!$K$32)+IF(F45&lt;$B$15,0,Q45*$B$27*'Transit Demand'!$K$32)/2</f>
        <v>0</v>
      </c>
      <c r="U45" s="773">
        <f>IF(F45&lt;$B$15,0,P45*$B$28*'Transit Demand'!$L$32)+IF(F45&lt;$B$15,0,Q45*$B$28*'Transit Demand'!$L$32)/2</f>
        <v>0</v>
      </c>
      <c r="V45" s="773">
        <f>IF(F45&lt;$B$15,0,P45*$B$29*'Transit Demand'!$M$32)+IF(F45&lt;$B$15,0,Q45*$B$29*'Transit Demand'!$M$32)/2</f>
        <v>0</v>
      </c>
      <c r="W45" s="773">
        <f>IF(F45&lt;$B$15,0,P45*$B$30*'Transit Demand'!$N$32)+IF(F45&lt;$B$15,0,Q45*$B$30*'Transit Demand'!$N$32)/2</f>
        <v>0</v>
      </c>
      <c r="X45" s="855">
        <f t="shared" si="3"/>
        <v>0</v>
      </c>
      <c r="Y45" s="26">
        <f t="shared" si="4"/>
        <v>0</v>
      </c>
      <c r="Z45" s="38">
        <f>Y45/(1+'Major Assumption Key'!$B$8)^($F45-'Major Assumption Key'!$B$7)</f>
        <v>0</v>
      </c>
      <c r="AA45" s="291"/>
      <c r="AB45" s="784">
        <f t="shared" si="5"/>
        <v>0</v>
      </c>
      <c r="AC45" s="855">
        <f t="shared" si="6"/>
        <v>0</v>
      </c>
      <c r="AD45" s="26">
        <f t="shared" si="7"/>
        <v>0</v>
      </c>
      <c r="AE45" s="38">
        <f t="shared" si="8"/>
        <v>0</v>
      </c>
    </row>
    <row r="46" spans="1:31">
      <c r="C46" s="13"/>
      <c r="D46" s="13"/>
      <c r="F46" s="772">
        <f>'Major Assumption Key'!A58</f>
        <v>2059</v>
      </c>
      <c r="G46" s="864">
        <f>_xlfn.XLOOKUP(F46,'Transit Demand'!A:A,'Transit Demand'!B:B,,0)</f>
        <v>19829.60135655167</v>
      </c>
      <c r="H46" s="864">
        <v>0</v>
      </c>
      <c r="I46" s="773">
        <v>0</v>
      </c>
      <c r="J46" s="773">
        <v>0</v>
      </c>
      <c r="K46" s="773">
        <v>0</v>
      </c>
      <c r="L46" s="773">
        <v>0</v>
      </c>
      <c r="M46" s="773">
        <v>0</v>
      </c>
      <c r="N46" s="773">
        <v>0</v>
      </c>
      <c r="O46" s="784">
        <f>IF(AND($F46&gt;=MIN('Major Assumption Key'!$B$4),$F46&lt;=MAX('Major Assumption Key'!$B$6)),SUM(I46:N46),0)</f>
        <v>0</v>
      </c>
      <c r="P46" s="864">
        <f>_xlfn.XLOOKUP(F46,'Transit Demand'!A:A,'Transit Demand'!B:B,,0)</f>
        <v>19829.60135655167</v>
      </c>
      <c r="Q46" s="864">
        <f>_xlfn.XLOOKUP(F46,'Transit Demand'!A:A,'Transit Demand'!D:D,,0)</f>
        <v>2558.0185749951706</v>
      </c>
      <c r="R46" s="773">
        <f>IF(F46&lt;$B$15,0,P46*$B$25*'Transit Demand'!$I$32)+IF(F46&lt;$B$15,0,Q46*$B$25*'Transit Demand'!$I$32)/2</f>
        <v>0</v>
      </c>
      <c r="S46" s="773">
        <f>IF(F46&lt;$B$15,0,P46*$B$26*'Transit Demand'!$J$32)+IF(F46&lt;$B$15,0,Q46*$B$26*'Transit Demand'!$J$32)/2</f>
        <v>0</v>
      </c>
      <c r="T46" s="773">
        <f>IF(F46&lt;$B$15,0,P46*$B$27*'Transit Demand'!$K$32)+IF(F46&lt;$B$15,0,Q46*$B$27*'Transit Demand'!$K$32)/2</f>
        <v>0</v>
      </c>
      <c r="U46" s="773">
        <f>IF(F46&lt;$B$15,0,P46*$B$28*'Transit Demand'!$L$32)+IF(F46&lt;$B$15,0,Q46*$B$28*'Transit Demand'!$L$32)/2</f>
        <v>0</v>
      </c>
      <c r="V46" s="773">
        <f>IF(F46&lt;$B$15,0,P46*$B$29*'Transit Demand'!$M$32)+IF(F46&lt;$B$15,0,Q46*$B$29*'Transit Demand'!$M$32)/2</f>
        <v>0</v>
      </c>
      <c r="W46" s="773">
        <f>IF(F46&lt;$B$15,0,P46*$B$30*'Transit Demand'!$N$32)+IF(F46&lt;$B$15,0,Q46*$B$30*'Transit Demand'!$N$32)/2</f>
        <v>0</v>
      </c>
      <c r="X46" s="855">
        <f t="shared" ref="X46:X47" si="9">IF(AND($F46&gt;=$B$16,$F46&lt;=$B$17),SUM(R46:W46),0)</f>
        <v>0</v>
      </c>
      <c r="Y46" s="26">
        <f t="shared" ref="Y46:Y47" si="10">X46-O46</f>
        <v>0</v>
      </c>
      <c r="Z46" s="38">
        <f>Y46/(1+'Major Assumption Key'!$B$8)^($F46-'Major Assumption Key'!$B$7)</f>
        <v>0</v>
      </c>
      <c r="AA46" s="291"/>
      <c r="AB46" s="784">
        <f t="shared" ref="AB46:AB47" si="11">ROUND(O46,-3)</f>
        <v>0</v>
      </c>
      <c r="AC46" s="855">
        <f t="shared" ref="AC46:AC47" si="12">ROUND(X46,-3)</f>
        <v>0</v>
      </c>
      <c r="AD46" s="26">
        <f t="shared" ref="AD46:AD47" si="13">ROUND(Y46,-3)</f>
        <v>0</v>
      </c>
      <c r="AE46" s="38">
        <f t="shared" ref="AE46:AE47" si="14">ROUND(Z46,-3)</f>
        <v>0</v>
      </c>
    </row>
    <row r="47" spans="1:31">
      <c r="C47" s="13"/>
      <c r="D47" s="13"/>
      <c r="F47" s="772">
        <f>'Major Assumption Key'!A59</f>
        <v>2060</v>
      </c>
      <c r="G47" s="864">
        <f>_xlfn.XLOOKUP(F47,'Transit Demand'!A:A,'Transit Demand'!B:B,,0)</f>
        <v>19907.018634151766</v>
      </c>
      <c r="H47" s="864">
        <v>0</v>
      </c>
      <c r="I47" s="773">
        <v>0</v>
      </c>
      <c r="J47" s="773">
        <v>0</v>
      </c>
      <c r="K47" s="773">
        <v>0</v>
      </c>
      <c r="L47" s="773">
        <v>0</v>
      </c>
      <c r="M47" s="773">
        <v>0</v>
      </c>
      <c r="N47" s="773">
        <v>0</v>
      </c>
      <c r="O47" s="784">
        <f>IF(AND($F47&gt;=MIN('Major Assumption Key'!$B$4),$F47&lt;=MAX('Major Assumption Key'!$B$6)),SUM(I47:N47),0)</f>
        <v>0</v>
      </c>
      <c r="P47" s="864">
        <f>_xlfn.XLOOKUP(F47,'Transit Demand'!A:A,'Transit Demand'!B:B,,0)</f>
        <v>19907.018634151766</v>
      </c>
      <c r="Q47" s="864">
        <f>_xlfn.XLOOKUP(F47,'Transit Demand'!A:A,'Transit Demand'!D:D,,0)</f>
        <v>2568.0054038055823</v>
      </c>
      <c r="R47" s="773">
        <f>IF(F47&lt;$B$15,0,P47*$B$25*'Transit Demand'!$I$32)+IF(F47&lt;$B$15,0,Q47*$B$25*'Transit Demand'!$I$32)/2</f>
        <v>0</v>
      </c>
      <c r="S47" s="773">
        <f>IF(F47&lt;$B$15,0,P47*$B$26*'Transit Demand'!$J$32)+IF(F47&lt;$B$15,0,Q47*$B$26*'Transit Demand'!$J$32)/2</f>
        <v>0</v>
      </c>
      <c r="T47" s="773">
        <f>IF(F47&lt;$B$15,0,P47*$B$27*'Transit Demand'!$K$32)+IF(F47&lt;$B$15,0,Q47*$B$27*'Transit Demand'!$K$32)/2</f>
        <v>0</v>
      </c>
      <c r="U47" s="773">
        <f>IF(F47&lt;$B$15,0,P47*$B$28*'Transit Demand'!$L$32)+IF(F47&lt;$B$15,0,Q47*$B$28*'Transit Demand'!$L$32)/2</f>
        <v>0</v>
      </c>
      <c r="V47" s="773">
        <f>IF(F47&lt;$B$15,0,P47*$B$29*'Transit Demand'!$M$32)+IF(F47&lt;$B$15,0,Q47*$B$29*'Transit Demand'!$M$32)/2</f>
        <v>0</v>
      </c>
      <c r="W47" s="773">
        <f>IF(F47&lt;$B$15,0,P47*$B$30*'Transit Demand'!$N$32)+IF(F47&lt;$B$15,0,Q47*$B$30*'Transit Demand'!$N$32)/2</f>
        <v>0</v>
      </c>
      <c r="X47" s="855">
        <f t="shared" si="9"/>
        <v>0</v>
      </c>
      <c r="Y47" s="26">
        <f t="shared" si="10"/>
        <v>0</v>
      </c>
      <c r="Z47" s="38">
        <f>Y47/(1+'Major Assumption Key'!$B$8)^($F47-'Major Assumption Key'!$B$7)</f>
        <v>0</v>
      </c>
      <c r="AA47" s="291"/>
      <c r="AB47" s="784">
        <f t="shared" si="11"/>
        <v>0</v>
      </c>
      <c r="AC47" s="855">
        <f t="shared" si="12"/>
        <v>0</v>
      </c>
      <c r="AD47" s="26">
        <f t="shared" si="13"/>
        <v>0</v>
      </c>
      <c r="AE47" s="38">
        <f t="shared" si="14"/>
        <v>0</v>
      </c>
    </row>
    <row r="48" spans="1:31" ht="15" thickBot="1">
      <c r="C48" s="13"/>
      <c r="D48" s="13"/>
      <c r="F48" s="115" t="s">
        <v>504</v>
      </c>
      <c r="G48" s="116"/>
      <c r="H48" s="116"/>
      <c r="I48" s="116"/>
      <c r="J48" s="27"/>
      <c r="K48" s="27"/>
      <c r="L48" s="27"/>
      <c r="M48" s="27"/>
      <c r="N48" s="27"/>
      <c r="O48" s="118">
        <f>SUM(O7:O47)</f>
        <v>0</v>
      </c>
      <c r="P48" s="116"/>
      <c r="Q48" s="116"/>
      <c r="R48" s="116"/>
      <c r="S48" s="116"/>
      <c r="T48" s="116"/>
      <c r="U48" s="116"/>
      <c r="V48" s="116"/>
      <c r="W48" s="27"/>
      <c r="X48" s="119">
        <f>SUM(X7:X47)</f>
        <v>0</v>
      </c>
      <c r="Y48" s="19">
        <f>SUM(Y7:Y47)</f>
        <v>0</v>
      </c>
      <c r="Z48" s="20">
        <f>SUM(Z7:Z47)</f>
        <v>0</v>
      </c>
      <c r="AA48" s="291"/>
      <c r="AB48" s="118">
        <f t="shared" si="1"/>
        <v>0</v>
      </c>
      <c r="AC48" s="119">
        <f t="shared" si="2"/>
        <v>0</v>
      </c>
      <c r="AD48" s="19">
        <f t="shared" si="2"/>
        <v>0</v>
      </c>
      <c r="AE48" s="20">
        <f t="shared" si="2"/>
        <v>0</v>
      </c>
    </row>
    <row r="49" spans="7:30">
      <c r="G49" s="51"/>
      <c r="H49" s="51"/>
      <c r="O49" s="51"/>
      <c r="P49" s="51"/>
      <c r="Q49" s="51"/>
      <c r="R49" s="51"/>
      <c r="S49" s="51"/>
      <c r="T49" s="51"/>
      <c r="U49" s="51"/>
      <c r="X49" s="51"/>
    </row>
    <row r="52" spans="7:30">
      <c r="AD52" s="767"/>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20"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21875" defaultRowHeight="14.4"/>
  <cols>
    <col min="1" max="1" width="67.21875" style="347" customWidth="1"/>
    <col min="2" max="2" width="43.77734375" style="3" bestFit="1" customWidth="1"/>
    <col min="3" max="3" width="28.21875" style="3" customWidth="1"/>
    <col min="4" max="4" width="36.5546875" style="3" customWidth="1"/>
    <col min="5" max="5" width="7.5546875" style="3" customWidth="1"/>
    <col min="6" max="6" width="31" style="3" customWidth="1"/>
    <col min="7" max="10" width="19.77734375" style="3" customWidth="1"/>
    <col min="11" max="11" width="36.21875" style="3" bestFit="1" customWidth="1"/>
    <col min="12" max="14" width="36.21875" style="3" customWidth="1"/>
    <col min="15" max="19" width="19.77734375" style="3" customWidth="1"/>
    <col min="20" max="20" width="36.21875" style="3" bestFit="1" customWidth="1"/>
    <col min="21" max="23" width="36.21875" style="3" customWidth="1"/>
    <col min="24" max="24" width="19.77734375" style="3" customWidth="1"/>
    <col min="25" max="25" width="20" style="3" bestFit="1" customWidth="1"/>
    <col min="26" max="26" width="18.21875" style="3" bestFit="1" customWidth="1"/>
    <col min="27" max="27" width="9.21875" style="13"/>
    <col min="28" max="28" width="22.44140625" style="13" customWidth="1"/>
    <col min="29" max="29" width="24.5546875" style="13" customWidth="1"/>
    <col min="30" max="31" width="17" style="13" customWidth="1"/>
    <col min="32" max="37" width="9.21875" style="13"/>
    <col min="48" max="48" width="9.21875" style="13"/>
    <col min="49" max="49" width="11.21875" style="13" bestFit="1" customWidth="1"/>
    <col min="50" max="16384" width="9.21875" style="13"/>
  </cols>
  <sheetData>
    <row r="1" spans="1:31" ht="25.2" customHeight="1">
      <c r="A1" s="306" t="s">
        <v>185</v>
      </c>
      <c r="B1" s="42" t="s">
        <v>1098</v>
      </c>
      <c r="C1" s="766"/>
      <c r="D1" s="766"/>
      <c r="E1" s="766"/>
      <c r="F1" s="33" t="s">
        <v>187</v>
      </c>
    </row>
    <row r="2" spans="1:31" ht="15" thickBot="1">
      <c r="A2" s="854"/>
      <c r="B2" s="767"/>
      <c r="C2" s="767"/>
      <c r="D2" s="767"/>
      <c r="E2" s="767"/>
    </row>
    <row r="3" spans="1:31" ht="60" customHeight="1">
      <c r="A3" s="345" t="s">
        <v>482</v>
      </c>
      <c r="B3" s="1884" t="s">
        <v>1228</v>
      </c>
      <c r="C3" s="1884"/>
      <c r="D3" s="1884"/>
      <c r="E3" s="769"/>
      <c r="F3" s="1972" t="s">
        <v>484</v>
      </c>
      <c r="G3" s="1973"/>
      <c r="H3" s="1973"/>
      <c r="I3" s="1973"/>
      <c r="J3" s="1973"/>
      <c r="K3" s="1973"/>
      <c r="L3" s="1973"/>
      <c r="M3" s="1973"/>
      <c r="N3" s="1973"/>
      <c r="O3" s="1973"/>
      <c r="P3" s="1973"/>
      <c r="Q3" s="1973"/>
      <c r="R3" s="1973"/>
      <c r="S3" s="1973"/>
      <c r="T3" s="1973"/>
      <c r="U3" s="1973"/>
      <c r="V3" s="1973"/>
      <c r="W3" s="1973"/>
      <c r="X3" s="1973"/>
      <c r="Y3" s="1973"/>
      <c r="Z3" s="1974"/>
      <c r="AB3" s="1975" t="s">
        <v>420</v>
      </c>
      <c r="AC3" s="1975"/>
      <c r="AD3" s="1975"/>
      <c r="AE3" s="1975"/>
    </row>
    <row r="4" spans="1:31" ht="18">
      <c r="A4" s="771"/>
      <c r="B4" s="771"/>
      <c r="C4" s="771"/>
      <c r="D4" s="771"/>
      <c r="E4" s="769"/>
      <c r="F4" s="22" t="s">
        <v>485</v>
      </c>
      <c r="G4" s="21" t="s">
        <v>66</v>
      </c>
      <c r="H4" s="21" t="s">
        <v>66</v>
      </c>
      <c r="I4" s="21" t="s">
        <v>66</v>
      </c>
      <c r="J4" s="21" t="s">
        <v>66</v>
      </c>
      <c r="K4" s="21" t="s">
        <v>66</v>
      </c>
      <c r="L4" s="21" t="s">
        <v>66</v>
      </c>
      <c r="M4" s="21" t="s">
        <v>66</v>
      </c>
      <c r="N4" s="21" t="s">
        <v>66</v>
      </c>
      <c r="O4" s="28" t="s">
        <v>66</v>
      </c>
      <c r="P4" s="21" t="s">
        <v>131</v>
      </c>
      <c r="Q4" s="21" t="s">
        <v>131</v>
      </c>
      <c r="R4" s="21" t="s">
        <v>131</v>
      </c>
      <c r="S4" s="21" t="s">
        <v>131</v>
      </c>
      <c r="T4" s="21" t="s">
        <v>131</v>
      </c>
      <c r="U4" s="21" t="s">
        <v>131</v>
      </c>
      <c r="V4" s="21" t="s">
        <v>131</v>
      </c>
      <c r="W4" s="21" t="s">
        <v>131</v>
      </c>
      <c r="X4" s="30" t="s">
        <v>131</v>
      </c>
      <c r="Y4" s="1933" t="s">
        <v>488</v>
      </c>
      <c r="Z4" s="1934"/>
      <c r="AA4" s="291"/>
      <c r="AB4" s="28" t="s">
        <v>66</v>
      </c>
      <c r="AC4" s="30" t="s">
        <v>131</v>
      </c>
      <c r="AD4" s="1933" t="s">
        <v>488</v>
      </c>
      <c r="AE4" s="1934"/>
    </row>
    <row r="5" spans="1:31" ht="60" customHeight="1" thickBot="1">
      <c r="A5" s="346" t="s">
        <v>489</v>
      </c>
      <c r="B5" s="1976" t="s">
        <v>1229</v>
      </c>
      <c r="C5" s="1976"/>
      <c r="D5" s="1976"/>
      <c r="E5" s="767"/>
      <c r="F5" s="32" t="s">
        <v>491</v>
      </c>
      <c r="G5" s="15" t="s">
        <v>1166</v>
      </c>
      <c r="H5" s="15" t="s">
        <v>1167</v>
      </c>
      <c r="I5" s="15" t="s">
        <v>1230</v>
      </c>
      <c r="J5" s="15" t="s">
        <v>1231</v>
      </c>
      <c r="K5" s="15" t="s">
        <v>1101</v>
      </c>
      <c r="L5" s="15" t="s">
        <v>1102</v>
      </c>
      <c r="M5" s="15" t="s">
        <v>1103</v>
      </c>
      <c r="N5" s="15" t="s">
        <v>1104</v>
      </c>
      <c r="O5" s="29" t="s">
        <v>15</v>
      </c>
      <c r="P5" s="15" t="s">
        <v>1166</v>
      </c>
      <c r="Q5" s="15" t="s">
        <v>1167</v>
      </c>
      <c r="R5" s="15" t="s">
        <v>1230</v>
      </c>
      <c r="S5" s="15" t="s">
        <v>1231</v>
      </c>
      <c r="T5" s="15" t="s">
        <v>1101</v>
      </c>
      <c r="U5" s="15" t="s">
        <v>1102</v>
      </c>
      <c r="V5" s="15" t="s">
        <v>1103</v>
      </c>
      <c r="W5" s="15" t="s">
        <v>1104</v>
      </c>
      <c r="X5" s="31" t="s">
        <v>15</v>
      </c>
      <c r="Y5" s="1935"/>
      <c r="Z5" s="1936"/>
      <c r="AA5" s="291"/>
      <c r="AB5" s="29" t="s">
        <v>15</v>
      </c>
      <c r="AC5" s="31" t="s">
        <v>15</v>
      </c>
      <c r="AD5" s="1935"/>
      <c r="AE5" s="1936"/>
    </row>
    <row r="6" spans="1:31" ht="43.2">
      <c r="A6" s="1977" t="s">
        <v>1232</v>
      </c>
      <c r="B6" s="1977"/>
      <c r="C6" s="1977"/>
      <c r="D6" s="1977"/>
      <c r="E6" s="767"/>
      <c r="F6" s="32"/>
      <c r="G6" s="280" t="s">
        <v>1233</v>
      </c>
      <c r="H6" s="280" t="s">
        <v>1234</v>
      </c>
      <c r="I6" s="280" t="s">
        <v>1235</v>
      </c>
      <c r="J6" s="280" t="s">
        <v>1236</v>
      </c>
      <c r="K6" s="280" t="s">
        <v>1237</v>
      </c>
      <c r="L6" s="280" t="s">
        <v>1238</v>
      </c>
      <c r="M6" s="280" t="s">
        <v>1239</v>
      </c>
      <c r="N6" s="280" t="s">
        <v>1240</v>
      </c>
      <c r="O6" s="29" t="s">
        <v>1241</v>
      </c>
      <c r="P6" s="280" t="s">
        <v>1233</v>
      </c>
      <c r="Q6" s="280" t="s">
        <v>1234</v>
      </c>
      <c r="R6" s="280" t="s">
        <v>1235</v>
      </c>
      <c r="S6" s="280" t="s">
        <v>1236</v>
      </c>
      <c r="T6" s="280" t="s">
        <v>1237</v>
      </c>
      <c r="U6" s="280" t="s">
        <v>1238</v>
      </c>
      <c r="V6" s="280" t="s">
        <v>1239</v>
      </c>
      <c r="W6" s="280" t="s">
        <v>1240</v>
      </c>
      <c r="X6" s="31" t="s">
        <v>1241</v>
      </c>
      <c r="Y6" s="23" t="s">
        <v>419</v>
      </c>
      <c r="Z6" s="24" t="str">
        <f>"Discounted @ "&amp;TEXT('Major Assumption Key'!$B$8,"0.0%")</f>
        <v>Discounted @ 3.1%</v>
      </c>
      <c r="AA6" s="291"/>
      <c r="AB6" s="29" t="s">
        <v>1242</v>
      </c>
      <c r="AC6" s="31" t="s">
        <v>1242</v>
      </c>
      <c r="AD6" s="23" t="s">
        <v>419</v>
      </c>
      <c r="AE6" s="24" t="str">
        <f>"Discounted @ "&amp;TEXT('Major Assumption Key'!$B$8,"0.0%")</f>
        <v>Discounted @ 3.1%</v>
      </c>
    </row>
    <row r="7" spans="1:31" ht="19.95" customHeight="1">
      <c r="C7" s="767"/>
      <c r="D7" s="767"/>
      <c r="E7" s="767"/>
      <c r="F7" s="772">
        <f>'Major Assumption Key'!A19</f>
        <v>2020</v>
      </c>
      <c r="G7" s="864"/>
      <c r="H7" s="864"/>
      <c r="I7" s="864"/>
      <c r="J7" s="864"/>
      <c r="K7" s="773">
        <f>G7*$B$23</f>
        <v>0</v>
      </c>
      <c r="L7" s="773">
        <f>H7*$B$23/2</f>
        <v>0</v>
      </c>
      <c r="M7" s="773">
        <f>I7*$B$26</f>
        <v>0</v>
      </c>
      <c r="N7" s="773">
        <f>J7*$B$26/2</f>
        <v>0</v>
      </c>
      <c r="O7" s="784">
        <f>IF(AND($F7&gt;=MIN('Major Assumption Key'!$B$4),$F7&lt;=MAX('Major Assumption Key'!$B$6)),SUM(K7:N7),0)</f>
        <v>0</v>
      </c>
      <c r="P7" s="864"/>
      <c r="Q7" s="864"/>
      <c r="R7" s="864"/>
      <c r="S7" s="864"/>
      <c r="T7" s="773">
        <f>P7*$B$23</f>
        <v>0</v>
      </c>
      <c r="U7" s="773">
        <f>Q7*$B$23/2</f>
        <v>0</v>
      </c>
      <c r="V7" s="773">
        <f>R7*$B$26</f>
        <v>0</v>
      </c>
      <c r="W7" s="773">
        <f>S7*$B$26/2</f>
        <v>0</v>
      </c>
      <c r="X7" s="855">
        <f>IF(AND($F7&gt;=MIN('Major Assumption Key'!$B$4),$F7&lt;=MAX('Major Assumption Key'!$B$6)),SUM(T7:W7),0)</f>
        <v>0</v>
      </c>
      <c r="Y7" s="26">
        <f t="shared" ref="Y7" si="0">X7-O7</f>
        <v>0</v>
      </c>
      <c r="Z7" s="38">
        <f>Y7/(1+'Major Assumption Key'!$B$8)^($F7-'Major Assumption Key'!$B$7)</f>
        <v>0</v>
      </c>
      <c r="AA7" s="291"/>
      <c r="AB7" s="784">
        <f t="shared" ref="AB7" si="1">ROUND(O7,-3)</f>
        <v>0</v>
      </c>
      <c r="AC7" s="855">
        <f t="shared" ref="AC7:AE7" si="2">ROUND(X7,-3)</f>
        <v>0</v>
      </c>
      <c r="AD7" s="26">
        <f t="shared" si="2"/>
        <v>0</v>
      </c>
      <c r="AE7" s="38">
        <f t="shared" si="2"/>
        <v>0</v>
      </c>
    </row>
    <row r="8" spans="1:31" ht="19.95" customHeight="1">
      <c r="A8" s="854"/>
      <c r="B8" s="767"/>
      <c r="C8" s="767"/>
      <c r="D8" s="767"/>
      <c r="E8" s="767"/>
      <c r="F8" s="772">
        <f>'Major Assumption Key'!A20</f>
        <v>2021</v>
      </c>
      <c r="G8" s="864"/>
      <c r="H8" s="864"/>
      <c r="I8" s="864"/>
      <c r="J8" s="864"/>
      <c r="K8" s="773">
        <f t="shared" ref="K8:K45" si="3">G8*$B$23</f>
        <v>0</v>
      </c>
      <c r="L8" s="773">
        <f t="shared" ref="L8:L45" si="4">H8*$B$23/2</f>
        <v>0</v>
      </c>
      <c r="M8" s="773">
        <f t="shared" ref="M8:M45" si="5">I8*$B$26</f>
        <v>0</v>
      </c>
      <c r="N8" s="773">
        <f t="shared" ref="N8:N45" si="6">J8*$B$26/2</f>
        <v>0</v>
      </c>
      <c r="O8" s="784">
        <f>IF(AND($F8&gt;=MIN('Major Assumption Key'!$B$4),$F8&lt;=MAX('Major Assumption Key'!$B$6)),SUM(K8:N8),0)</f>
        <v>0</v>
      </c>
      <c r="P8" s="864"/>
      <c r="Q8" s="864"/>
      <c r="R8" s="864"/>
      <c r="S8" s="864"/>
      <c r="T8" s="773">
        <f t="shared" ref="T8:T45" si="7">P8*$B$23</f>
        <v>0</v>
      </c>
      <c r="U8" s="773">
        <f t="shared" ref="U8:U45" si="8">Q8*$B$23/2</f>
        <v>0</v>
      </c>
      <c r="V8" s="773">
        <f t="shared" ref="V8:V45" si="9">R8*$B$26</f>
        <v>0</v>
      </c>
      <c r="W8" s="773">
        <f t="shared" ref="W8:W45" si="10">S8*$B$26/2</f>
        <v>0</v>
      </c>
      <c r="X8" s="855">
        <f>IF(AND($F8&gt;=MIN('Major Assumption Key'!$B$4),$F8&lt;=MAX('Major Assumption Key'!$B$6)),SUM(T8:W8),0)</f>
        <v>0</v>
      </c>
      <c r="Y8" s="26">
        <f t="shared" ref="Y8:Y45" si="11">X8-O8</f>
        <v>0</v>
      </c>
      <c r="Z8" s="38">
        <f>Y8/(1+'Major Assumption Key'!$B$8)^($F8-'Major Assumption Key'!$B$7)</f>
        <v>0</v>
      </c>
      <c r="AA8" s="291"/>
      <c r="AB8" s="784">
        <f t="shared" ref="AB8:AB45" si="12">ROUND(O8,-3)</f>
        <v>0</v>
      </c>
      <c r="AC8" s="855">
        <f t="shared" ref="AC8:AC45" si="13">ROUND(X8,-3)</f>
        <v>0</v>
      </c>
      <c r="AD8" s="26">
        <f t="shared" ref="AD8:AD45" si="14">ROUND(Y8,-3)</f>
        <v>0</v>
      </c>
      <c r="AE8" s="38">
        <f t="shared" ref="AE8:AE45" si="15">ROUND(Z8,-3)</f>
        <v>0</v>
      </c>
    </row>
    <row r="9" spans="1:31" ht="19.95" customHeight="1">
      <c r="A9" s="1888" t="s">
        <v>432</v>
      </c>
      <c r="B9" s="1889"/>
      <c r="C9" s="1889"/>
      <c r="D9" s="1890"/>
      <c r="E9" s="767"/>
      <c r="F9" s="772">
        <f>'Major Assumption Key'!A21</f>
        <v>2022</v>
      </c>
      <c r="G9" s="864"/>
      <c r="H9" s="864"/>
      <c r="I9" s="864"/>
      <c r="J9" s="864"/>
      <c r="K9" s="773">
        <f t="shared" si="3"/>
        <v>0</v>
      </c>
      <c r="L9" s="773">
        <f t="shared" si="4"/>
        <v>0</v>
      </c>
      <c r="M9" s="773">
        <f t="shared" si="5"/>
        <v>0</v>
      </c>
      <c r="N9" s="773">
        <f t="shared" si="6"/>
        <v>0</v>
      </c>
      <c r="O9" s="784">
        <f>IF(AND($F9&gt;=MIN('Major Assumption Key'!$B$4),$F9&lt;=MAX('Major Assumption Key'!$B$6)),SUM(K9:N9),0)</f>
        <v>0</v>
      </c>
      <c r="P9" s="864"/>
      <c r="Q9" s="864"/>
      <c r="R9" s="864"/>
      <c r="S9" s="864"/>
      <c r="T9" s="773">
        <f t="shared" si="7"/>
        <v>0</v>
      </c>
      <c r="U9" s="773">
        <f t="shared" si="8"/>
        <v>0</v>
      </c>
      <c r="V9" s="773">
        <f t="shared" si="9"/>
        <v>0</v>
      </c>
      <c r="W9" s="773">
        <f t="shared" si="10"/>
        <v>0</v>
      </c>
      <c r="X9" s="855">
        <f>IF(AND($F9&gt;=MIN('Major Assumption Key'!$B$4),$F9&lt;=MAX('Major Assumption Key'!$B$6)),SUM(T9:W9),0)</f>
        <v>0</v>
      </c>
      <c r="Y9" s="26">
        <f t="shared" si="11"/>
        <v>0</v>
      </c>
      <c r="Z9" s="38">
        <f>Y9/(1+'Major Assumption Key'!$B$8)^($F9-'Major Assumption Key'!$B$7)</f>
        <v>0</v>
      </c>
      <c r="AA9" s="291"/>
      <c r="AB9" s="784">
        <f t="shared" si="12"/>
        <v>0</v>
      </c>
      <c r="AC9" s="855">
        <f t="shared" si="13"/>
        <v>0</v>
      </c>
      <c r="AD9" s="26">
        <f t="shared" si="14"/>
        <v>0</v>
      </c>
      <c r="AE9" s="38">
        <f t="shared" si="15"/>
        <v>0</v>
      </c>
    </row>
    <row r="10" spans="1:31" ht="19.95" customHeight="1">
      <c r="A10" s="1891" t="s">
        <v>418</v>
      </c>
      <c r="B10" s="1891"/>
      <c r="C10" s="49" t="s">
        <v>419</v>
      </c>
      <c r="D10" s="49" t="str">
        <f>_xlfn.CONCAT("Discounted @",TEXT('Major Assumption Key'!B8,"0.0%"))</f>
        <v>Discounted @3.1%</v>
      </c>
      <c r="E10" s="767"/>
      <c r="F10" s="772">
        <f>'Major Assumption Key'!A22</f>
        <v>2023</v>
      </c>
      <c r="G10" s="864"/>
      <c r="H10" s="864"/>
      <c r="I10" s="864"/>
      <c r="J10" s="864"/>
      <c r="K10" s="773">
        <f t="shared" si="3"/>
        <v>0</v>
      </c>
      <c r="L10" s="773">
        <f t="shared" si="4"/>
        <v>0</v>
      </c>
      <c r="M10" s="773">
        <f t="shared" si="5"/>
        <v>0</v>
      </c>
      <c r="N10" s="773">
        <f t="shared" si="6"/>
        <v>0</v>
      </c>
      <c r="O10" s="784">
        <f>IF(AND($F10&gt;=MIN('Major Assumption Key'!$B$4),$F10&lt;=MAX('Major Assumption Key'!$B$6)),SUM(K10:N10),0)</f>
        <v>0</v>
      </c>
      <c r="P10" s="864"/>
      <c r="Q10" s="864"/>
      <c r="R10" s="864"/>
      <c r="S10" s="864"/>
      <c r="T10" s="773">
        <f t="shared" si="7"/>
        <v>0</v>
      </c>
      <c r="U10" s="773">
        <f t="shared" si="8"/>
        <v>0</v>
      </c>
      <c r="V10" s="773">
        <f t="shared" si="9"/>
        <v>0</v>
      </c>
      <c r="W10" s="773">
        <f t="shared" si="10"/>
        <v>0</v>
      </c>
      <c r="X10" s="855">
        <f>IF(AND($F10&gt;=MIN('Major Assumption Key'!$B$4),$F10&lt;=MAX('Major Assumption Key'!$B$6)),SUM(T10:W10),0)</f>
        <v>0</v>
      </c>
      <c r="Y10" s="26">
        <f t="shared" si="11"/>
        <v>0</v>
      </c>
      <c r="Z10" s="38">
        <f>Y10/(1+'Major Assumption Key'!$B$8)^($F10-'Major Assumption Key'!$B$7)</f>
        <v>0</v>
      </c>
      <c r="AA10" s="291"/>
      <c r="AB10" s="784">
        <f t="shared" si="12"/>
        <v>0</v>
      </c>
      <c r="AC10" s="855">
        <f t="shared" si="13"/>
        <v>0</v>
      </c>
      <c r="AD10" s="26">
        <f t="shared" si="14"/>
        <v>0</v>
      </c>
      <c r="AE10" s="38">
        <f t="shared" si="15"/>
        <v>0</v>
      </c>
    </row>
    <row r="11" spans="1:31" ht="19.95" customHeight="1">
      <c r="A11" s="1892" t="s">
        <v>11</v>
      </c>
      <c r="B11" s="1892"/>
      <c r="C11" s="56">
        <f>'BCA Summary'!$H$7</f>
        <v>1.0111569298276737</v>
      </c>
      <c r="D11" s="56">
        <f>'BCA Summary'!$I$7</f>
        <v>0.6276932096418345</v>
      </c>
      <c r="E11" s="767"/>
      <c r="F11" s="772">
        <f>'Major Assumption Key'!A23</f>
        <v>2024</v>
      </c>
      <c r="G11" s="864"/>
      <c r="H11" s="864"/>
      <c r="I11" s="864"/>
      <c r="J11" s="864"/>
      <c r="K11" s="773">
        <f t="shared" si="3"/>
        <v>0</v>
      </c>
      <c r="L11" s="773">
        <f t="shared" si="4"/>
        <v>0</v>
      </c>
      <c r="M11" s="773">
        <f t="shared" si="5"/>
        <v>0</v>
      </c>
      <c r="N11" s="773">
        <f t="shared" si="6"/>
        <v>0</v>
      </c>
      <c r="O11" s="784">
        <f>IF(AND($F11&gt;=MIN('Major Assumption Key'!$B$4),$F11&lt;=MAX('Major Assumption Key'!$B$6)),SUM(K11:N11),0)</f>
        <v>0</v>
      </c>
      <c r="P11" s="864"/>
      <c r="Q11" s="864"/>
      <c r="R11" s="864"/>
      <c r="S11" s="864"/>
      <c r="T11" s="773">
        <f t="shared" si="7"/>
        <v>0</v>
      </c>
      <c r="U11" s="773">
        <f t="shared" si="8"/>
        <v>0</v>
      </c>
      <c r="V11" s="773">
        <f t="shared" si="9"/>
        <v>0</v>
      </c>
      <c r="W11" s="773">
        <f t="shared" si="10"/>
        <v>0</v>
      </c>
      <c r="X11" s="855">
        <f>IF(AND($F11&gt;=MIN('Major Assumption Key'!$B$4),$F11&lt;=MAX('Major Assumption Key'!$B$6)),SUM(T11:W11),0)</f>
        <v>0</v>
      </c>
      <c r="Y11" s="26">
        <f t="shared" si="11"/>
        <v>0</v>
      </c>
      <c r="Z11" s="38">
        <f>Y11/(1+'Major Assumption Key'!$B$8)^($F11-'Major Assumption Key'!$B$7)</f>
        <v>0</v>
      </c>
      <c r="AA11" s="291"/>
      <c r="AB11" s="784">
        <f t="shared" si="12"/>
        <v>0</v>
      </c>
      <c r="AC11" s="855">
        <f t="shared" si="13"/>
        <v>0</v>
      </c>
      <c r="AD11" s="26">
        <f t="shared" si="14"/>
        <v>0</v>
      </c>
      <c r="AE11" s="38">
        <f t="shared" si="15"/>
        <v>0</v>
      </c>
    </row>
    <row r="12" spans="1:31" ht="19.95" customHeight="1">
      <c r="A12" s="1892" t="s">
        <v>12</v>
      </c>
      <c r="B12" s="1892"/>
      <c r="C12" s="49">
        <f>'BCA Summary'!$H$8</f>
        <v>236636.98382712901</v>
      </c>
      <c r="D12" s="49">
        <f>'BCA Summary'!$I$8</f>
        <v>-6930297.4454113934</v>
      </c>
      <c r="E12" s="767"/>
      <c r="F12" s="772">
        <f>'Major Assumption Key'!A24</f>
        <v>2025</v>
      </c>
      <c r="G12" s="864"/>
      <c r="H12" s="864"/>
      <c r="I12" s="864"/>
      <c r="J12" s="864"/>
      <c r="K12" s="773">
        <f t="shared" si="3"/>
        <v>0</v>
      </c>
      <c r="L12" s="773">
        <f t="shared" si="4"/>
        <v>0</v>
      </c>
      <c r="M12" s="773">
        <f t="shared" si="5"/>
        <v>0</v>
      </c>
      <c r="N12" s="773">
        <f t="shared" si="6"/>
        <v>0</v>
      </c>
      <c r="O12" s="784">
        <f>IF(AND($F12&gt;=MIN('Major Assumption Key'!$B$4),$F12&lt;=MAX('Major Assumption Key'!$B$6)),SUM(K12:N12),0)</f>
        <v>0</v>
      </c>
      <c r="P12" s="864"/>
      <c r="Q12" s="864"/>
      <c r="R12" s="864"/>
      <c r="S12" s="864"/>
      <c r="T12" s="773">
        <f t="shared" si="7"/>
        <v>0</v>
      </c>
      <c r="U12" s="773">
        <f t="shared" si="8"/>
        <v>0</v>
      </c>
      <c r="V12" s="773">
        <f t="shared" si="9"/>
        <v>0</v>
      </c>
      <c r="W12" s="773">
        <f t="shared" si="10"/>
        <v>0</v>
      </c>
      <c r="X12" s="855">
        <f>IF(AND($F12&gt;=MIN('Major Assumption Key'!$B$4),$F12&lt;=MAX('Major Assumption Key'!$B$6)),SUM(T12:W12),0)</f>
        <v>0</v>
      </c>
      <c r="Y12" s="26">
        <f t="shared" si="11"/>
        <v>0</v>
      </c>
      <c r="Z12" s="38">
        <f>Y12/(1+'Major Assumption Key'!$B$8)^($F12-'Major Assumption Key'!$B$7)</f>
        <v>0</v>
      </c>
      <c r="AA12" s="291"/>
      <c r="AB12" s="784">
        <f t="shared" si="12"/>
        <v>0</v>
      </c>
      <c r="AC12" s="855">
        <f t="shared" si="13"/>
        <v>0</v>
      </c>
      <c r="AD12" s="26">
        <f t="shared" si="14"/>
        <v>0</v>
      </c>
      <c r="AE12" s="38">
        <f t="shared" si="15"/>
        <v>0</v>
      </c>
    </row>
    <row r="13" spans="1:31" ht="19.95" customHeight="1">
      <c r="C13" s="767"/>
      <c r="D13" s="767"/>
      <c r="E13" s="767"/>
      <c r="F13" s="772">
        <f>'Major Assumption Key'!A25</f>
        <v>2026</v>
      </c>
      <c r="G13" s="864"/>
      <c r="H13" s="864"/>
      <c r="I13" s="864"/>
      <c r="J13" s="864"/>
      <c r="K13" s="773">
        <f t="shared" si="3"/>
        <v>0</v>
      </c>
      <c r="L13" s="773">
        <f t="shared" si="4"/>
        <v>0</v>
      </c>
      <c r="M13" s="773">
        <f t="shared" si="5"/>
        <v>0</v>
      </c>
      <c r="N13" s="773">
        <f t="shared" si="6"/>
        <v>0</v>
      </c>
      <c r="O13" s="784">
        <f>IF(AND($F13&gt;=MIN('Major Assumption Key'!$B$4),$F13&lt;=MAX('Major Assumption Key'!$B$6)),SUM(K13:N13),0)</f>
        <v>0</v>
      </c>
      <c r="P13" s="864"/>
      <c r="Q13" s="864"/>
      <c r="R13" s="864"/>
      <c r="S13" s="864"/>
      <c r="T13" s="773">
        <f t="shared" si="7"/>
        <v>0</v>
      </c>
      <c r="U13" s="773">
        <f t="shared" si="8"/>
        <v>0</v>
      </c>
      <c r="V13" s="773">
        <f t="shared" si="9"/>
        <v>0</v>
      </c>
      <c r="W13" s="773">
        <f t="shared" si="10"/>
        <v>0</v>
      </c>
      <c r="X13" s="855">
        <f>IF(AND($F13&gt;=MIN('Major Assumption Key'!$B$4),$F13&lt;=MAX('Major Assumption Key'!$B$6)),SUM(T13:W13),0)</f>
        <v>0</v>
      </c>
      <c r="Y13" s="26">
        <f t="shared" si="11"/>
        <v>0</v>
      </c>
      <c r="Z13" s="38">
        <f>Y13/(1+'Major Assumption Key'!$B$8)^($F13-'Major Assumption Key'!$B$7)</f>
        <v>0</v>
      </c>
      <c r="AA13" s="291"/>
      <c r="AB13" s="784">
        <f t="shared" si="12"/>
        <v>0</v>
      </c>
      <c r="AC13" s="855">
        <f t="shared" si="13"/>
        <v>0</v>
      </c>
      <c r="AD13" s="26">
        <f t="shared" si="14"/>
        <v>0</v>
      </c>
      <c r="AE13" s="38">
        <f t="shared" si="15"/>
        <v>0</v>
      </c>
    </row>
    <row r="14" spans="1:31" ht="19.95" customHeight="1" thickBot="1">
      <c r="C14" s="767"/>
      <c r="D14" s="767"/>
      <c r="E14" s="767"/>
      <c r="F14" s="772">
        <f>'Major Assumption Key'!A26</f>
        <v>2027</v>
      </c>
      <c r="G14" s="864"/>
      <c r="H14" s="864"/>
      <c r="I14" s="864"/>
      <c r="J14" s="864"/>
      <c r="K14" s="773">
        <f t="shared" si="3"/>
        <v>0</v>
      </c>
      <c r="L14" s="773">
        <f t="shared" si="4"/>
        <v>0</v>
      </c>
      <c r="M14" s="773">
        <f t="shared" si="5"/>
        <v>0</v>
      </c>
      <c r="N14" s="773">
        <f t="shared" si="6"/>
        <v>0</v>
      </c>
      <c r="O14" s="784">
        <f>IF(AND($F14&gt;=MIN('Major Assumption Key'!$B$4),$F14&lt;=MAX('Major Assumption Key'!$B$6)),SUM(K14:N14),0)</f>
        <v>0</v>
      </c>
      <c r="P14" s="864"/>
      <c r="Q14" s="864"/>
      <c r="R14" s="864"/>
      <c r="S14" s="864"/>
      <c r="T14" s="773">
        <f t="shared" si="7"/>
        <v>0</v>
      </c>
      <c r="U14" s="773">
        <f t="shared" si="8"/>
        <v>0</v>
      </c>
      <c r="V14" s="773">
        <f t="shared" si="9"/>
        <v>0</v>
      </c>
      <c r="W14" s="773">
        <f t="shared" si="10"/>
        <v>0</v>
      </c>
      <c r="X14" s="855">
        <f>IF(AND($F14&gt;=MIN('Major Assumption Key'!$B$4),$F14&lt;=MAX('Major Assumption Key'!$B$6)),SUM(T14:W14),0)</f>
        <v>0</v>
      </c>
      <c r="Y14" s="26">
        <f t="shared" si="11"/>
        <v>0</v>
      </c>
      <c r="Z14" s="38">
        <f>Y14/(1+'Major Assumption Key'!$B$8)^($F14-'Major Assumption Key'!$B$7)</f>
        <v>0</v>
      </c>
      <c r="AA14" s="291"/>
      <c r="AB14" s="784">
        <f t="shared" si="12"/>
        <v>0</v>
      </c>
      <c r="AC14" s="855">
        <f t="shared" si="13"/>
        <v>0</v>
      </c>
      <c r="AD14" s="26">
        <f t="shared" si="14"/>
        <v>0</v>
      </c>
      <c r="AE14" s="38">
        <f t="shared" si="15"/>
        <v>0</v>
      </c>
    </row>
    <row r="15" spans="1:31" ht="19.95" customHeight="1">
      <c r="A15" s="384" t="s">
        <v>433</v>
      </c>
      <c r="B15" s="385" t="s">
        <v>434</v>
      </c>
      <c r="C15" s="1978" t="s">
        <v>498</v>
      </c>
      <c r="D15" s="1979"/>
      <c r="E15" s="767"/>
      <c r="F15" s="772">
        <f>'Major Assumption Key'!A27</f>
        <v>2028</v>
      </c>
      <c r="G15" s="864"/>
      <c r="H15" s="864"/>
      <c r="I15" s="864"/>
      <c r="J15" s="864"/>
      <c r="K15" s="773">
        <f t="shared" si="3"/>
        <v>0</v>
      </c>
      <c r="L15" s="773">
        <f t="shared" si="4"/>
        <v>0</v>
      </c>
      <c r="M15" s="773">
        <f t="shared" si="5"/>
        <v>0</v>
      </c>
      <c r="N15" s="773">
        <f t="shared" si="6"/>
        <v>0</v>
      </c>
      <c r="O15" s="784">
        <f>IF(AND($F15&gt;=MIN('Major Assumption Key'!$B$4),$F15&lt;=MAX('Major Assumption Key'!$B$6)),SUM(K15:N15),0)</f>
        <v>0</v>
      </c>
      <c r="P15" s="864"/>
      <c r="Q15" s="864"/>
      <c r="R15" s="864"/>
      <c r="S15" s="864"/>
      <c r="T15" s="773">
        <f t="shared" si="7"/>
        <v>0</v>
      </c>
      <c r="U15" s="773">
        <f t="shared" si="8"/>
        <v>0</v>
      </c>
      <c r="V15" s="773">
        <f t="shared" si="9"/>
        <v>0</v>
      </c>
      <c r="W15" s="773">
        <f t="shared" si="10"/>
        <v>0</v>
      </c>
      <c r="X15" s="855">
        <f>IF(AND($F15&gt;=MIN('Major Assumption Key'!$B$4),$F15&lt;=MAX('Major Assumption Key'!$B$6)),SUM(T15:W15),0)</f>
        <v>0</v>
      </c>
      <c r="Y15" s="26">
        <f t="shared" si="11"/>
        <v>0</v>
      </c>
      <c r="Z15" s="38">
        <f>Y15/(1+'Major Assumption Key'!$B$8)^($F15-'Major Assumption Key'!$B$7)</f>
        <v>0</v>
      </c>
      <c r="AA15" s="291"/>
      <c r="AB15" s="784">
        <f t="shared" si="12"/>
        <v>0</v>
      </c>
      <c r="AC15" s="855">
        <f t="shared" si="13"/>
        <v>0</v>
      </c>
      <c r="AD15" s="26">
        <f t="shared" si="14"/>
        <v>0</v>
      </c>
      <c r="AE15" s="38">
        <f t="shared" si="15"/>
        <v>0</v>
      </c>
    </row>
    <row r="16" spans="1:31">
      <c r="A16" s="867" t="s">
        <v>1243</v>
      </c>
      <c r="B16" s="868">
        <f>'Major Assumption Key'!B4</f>
        <v>2022</v>
      </c>
      <c r="C16" s="869" t="s">
        <v>1244</v>
      </c>
      <c r="D16" s="870"/>
      <c r="E16" s="767"/>
      <c r="F16" s="772">
        <f>'Major Assumption Key'!A28</f>
        <v>2029</v>
      </c>
      <c r="G16" s="864"/>
      <c r="H16" s="864"/>
      <c r="I16" s="864"/>
      <c r="J16" s="864"/>
      <c r="K16" s="773">
        <f t="shared" si="3"/>
        <v>0</v>
      </c>
      <c r="L16" s="773">
        <f t="shared" si="4"/>
        <v>0</v>
      </c>
      <c r="M16" s="773">
        <f t="shared" si="5"/>
        <v>0</v>
      </c>
      <c r="N16" s="773">
        <f t="shared" si="6"/>
        <v>0</v>
      </c>
      <c r="O16" s="784">
        <f>IF(AND($F16&gt;=MIN('Major Assumption Key'!$B$4),$F16&lt;=MAX('Major Assumption Key'!$B$6)),SUM(K16:N16),0)</f>
        <v>0</v>
      </c>
      <c r="P16" s="864"/>
      <c r="Q16" s="864"/>
      <c r="R16" s="864"/>
      <c r="S16" s="864"/>
      <c r="T16" s="773">
        <f t="shared" si="7"/>
        <v>0</v>
      </c>
      <c r="U16" s="773">
        <f t="shared" si="8"/>
        <v>0</v>
      </c>
      <c r="V16" s="773">
        <f t="shared" si="9"/>
        <v>0</v>
      </c>
      <c r="W16" s="773">
        <f t="shared" si="10"/>
        <v>0</v>
      </c>
      <c r="X16" s="855">
        <f>IF(AND($F16&gt;=MIN('Major Assumption Key'!$B$4),$F16&lt;=MAX('Major Assumption Key'!$B$6)),SUM(T16:W16),0)</f>
        <v>0</v>
      </c>
      <c r="Y16" s="26">
        <f t="shared" si="11"/>
        <v>0</v>
      </c>
      <c r="Z16" s="38">
        <f>Y16/(1+'Major Assumption Key'!$B$8)^($F16-'Major Assumption Key'!$B$7)</f>
        <v>0</v>
      </c>
      <c r="AA16" s="291"/>
      <c r="AB16" s="784">
        <f t="shared" si="12"/>
        <v>0</v>
      </c>
      <c r="AC16" s="855">
        <f t="shared" si="13"/>
        <v>0</v>
      </c>
      <c r="AD16" s="26">
        <f t="shared" si="14"/>
        <v>0</v>
      </c>
      <c r="AE16" s="38">
        <f t="shared" si="15"/>
        <v>0</v>
      </c>
    </row>
    <row r="17" spans="1:31">
      <c r="A17" s="871" t="s">
        <v>1245</v>
      </c>
      <c r="B17" s="386" t="s">
        <v>364</v>
      </c>
      <c r="C17" s="382" t="s">
        <v>513</v>
      </c>
      <c r="D17" s="870"/>
      <c r="E17" s="767"/>
      <c r="F17" s="772">
        <f>'Major Assumption Key'!A29</f>
        <v>2030</v>
      </c>
      <c r="G17" s="864"/>
      <c r="H17" s="864"/>
      <c r="I17" s="864"/>
      <c r="J17" s="864"/>
      <c r="K17" s="773">
        <f t="shared" si="3"/>
        <v>0</v>
      </c>
      <c r="L17" s="773">
        <f t="shared" si="4"/>
        <v>0</v>
      </c>
      <c r="M17" s="773">
        <f t="shared" si="5"/>
        <v>0</v>
      </c>
      <c r="N17" s="773">
        <f t="shared" si="6"/>
        <v>0</v>
      </c>
      <c r="O17" s="784">
        <f>IF(AND($F17&gt;=MIN('Major Assumption Key'!$B$4),$F17&lt;=MAX('Major Assumption Key'!$B$6)),SUM(K17:N17),0)</f>
        <v>0</v>
      </c>
      <c r="P17" s="864"/>
      <c r="Q17" s="864"/>
      <c r="R17" s="864"/>
      <c r="S17" s="864"/>
      <c r="T17" s="773">
        <f t="shared" si="7"/>
        <v>0</v>
      </c>
      <c r="U17" s="773">
        <f t="shared" si="8"/>
        <v>0</v>
      </c>
      <c r="V17" s="773">
        <f t="shared" si="9"/>
        <v>0</v>
      </c>
      <c r="W17" s="773">
        <f t="shared" si="10"/>
        <v>0</v>
      </c>
      <c r="X17" s="855">
        <f>IF(AND($F17&gt;=MIN('Major Assumption Key'!$B$4),$F17&lt;=MAX('Major Assumption Key'!$B$6)),SUM(T17:W17),0)</f>
        <v>0</v>
      </c>
      <c r="Y17" s="26">
        <f t="shared" si="11"/>
        <v>0</v>
      </c>
      <c r="Z17" s="38">
        <f>Y17/(1+'Major Assumption Key'!$B$8)^($F17-'Major Assumption Key'!$B$7)</f>
        <v>0</v>
      </c>
      <c r="AA17" s="291"/>
      <c r="AB17" s="784">
        <f t="shared" si="12"/>
        <v>0</v>
      </c>
      <c r="AC17" s="855">
        <f t="shared" si="13"/>
        <v>0</v>
      </c>
      <c r="AD17" s="26">
        <f t="shared" si="14"/>
        <v>0</v>
      </c>
      <c r="AE17" s="38">
        <f t="shared" si="15"/>
        <v>0</v>
      </c>
    </row>
    <row r="18" spans="1:31">
      <c r="A18" s="871" t="s">
        <v>1246</v>
      </c>
      <c r="B18" s="386" t="s">
        <v>364</v>
      </c>
      <c r="C18" s="382" t="s">
        <v>513</v>
      </c>
      <c r="D18" s="870"/>
      <c r="E18" s="767"/>
      <c r="F18" s="772">
        <f>'Major Assumption Key'!A30</f>
        <v>2031</v>
      </c>
      <c r="G18" s="864"/>
      <c r="H18" s="864"/>
      <c r="I18" s="864"/>
      <c r="J18" s="864"/>
      <c r="K18" s="773">
        <f t="shared" si="3"/>
        <v>0</v>
      </c>
      <c r="L18" s="773">
        <f t="shared" si="4"/>
        <v>0</v>
      </c>
      <c r="M18" s="773">
        <f t="shared" si="5"/>
        <v>0</v>
      </c>
      <c r="N18" s="773">
        <f t="shared" si="6"/>
        <v>0</v>
      </c>
      <c r="O18" s="784">
        <f>IF(AND($F18&gt;=MIN('Major Assumption Key'!$B$4),$F18&lt;=MAX('Major Assumption Key'!$B$6)),SUM(K18:N18),0)</f>
        <v>0</v>
      </c>
      <c r="P18" s="864"/>
      <c r="Q18" s="864"/>
      <c r="R18" s="864"/>
      <c r="S18" s="864"/>
      <c r="T18" s="773">
        <f t="shared" si="7"/>
        <v>0</v>
      </c>
      <c r="U18" s="773">
        <f t="shared" si="8"/>
        <v>0</v>
      </c>
      <c r="V18" s="773">
        <f t="shared" si="9"/>
        <v>0</v>
      </c>
      <c r="W18" s="773">
        <f t="shared" si="10"/>
        <v>0</v>
      </c>
      <c r="X18" s="855">
        <f>IF(AND($F18&gt;=MIN('Major Assumption Key'!$B$4),$F18&lt;=MAX('Major Assumption Key'!$B$6)),SUM(T18:W18),0)</f>
        <v>0</v>
      </c>
      <c r="Y18" s="26">
        <f t="shared" si="11"/>
        <v>0</v>
      </c>
      <c r="Z18" s="38">
        <f>Y18/(1+'Major Assumption Key'!$B$8)^($F18-'Major Assumption Key'!$B$7)</f>
        <v>0</v>
      </c>
      <c r="AA18" s="291"/>
      <c r="AB18" s="784">
        <f t="shared" si="12"/>
        <v>0</v>
      </c>
      <c r="AC18" s="855">
        <f t="shared" si="13"/>
        <v>0</v>
      </c>
      <c r="AD18" s="26">
        <f t="shared" si="14"/>
        <v>0</v>
      </c>
      <c r="AE18" s="38">
        <f t="shared" si="15"/>
        <v>0</v>
      </c>
    </row>
    <row r="19" spans="1:31">
      <c r="A19" s="871" t="s">
        <v>1247</v>
      </c>
      <c r="B19" s="383">
        <f>_xlfn.XLOOKUP(B17,'BCA Guide - Parameter Values'!B:B,'BCA Guide - Parameter Values'!C:C,,0)</f>
        <v>0</v>
      </c>
      <c r="C19" s="382" t="s">
        <v>211</v>
      </c>
      <c r="D19" s="872"/>
      <c r="E19" s="767"/>
      <c r="F19" s="772">
        <f>'Major Assumption Key'!A31</f>
        <v>2032</v>
      </c>
      <c r="G19" s="864"/>
      <c r="H19" s="864"/>
      <c r="I19" s="864"/>
      <c r="J19" s="864"/>
      <c r="K19" s="773">
        <f t="shared" si="3"/>
        <v>0</v>
      </c>
      <c r="L19" s="773">
        <f t="shared" si="4"/>
        <v>0</v>
      </c>
      <c r="M19" s="773">
        <f t="shared" si="5"/>
        <v>0</v>
      </c>
      <c r="N19" s="773">
        <f t="shared" si="6"/>
        <v>0</v>
      </c>
      <c r="O19" s="784">
        <f>IF(AND($F19&gt;=MIN('Major Assumption Key'!$B$4),$F19&lt;=MAX('Major Assumption Key'!$B$6)),SUM(K19:N19),0)</f>
        <v>0</v>
      </c>
      <c r="P19" s="864"/>
      <c r="Q19" s="864"/>
      <c r="R19" s="864"/>
      <c r="S19" s="864"/>
      <c r="T19" s="773">
        <f t="shared" si="7"/>
        <v>0</v>
      </c>
      <c r="U19" s="773">
        <f t="shared" si="8"/>
        <v>0</v>
      </c>
      <c r="V19" s="773">
        <f t="shared" si="9"/>
        <v>0</v>
      </c>
      <c r="W19" s="773">
        <f t="shared" si="10"/>
        <v>0</v>
      </c>
      <c r="X19" s="855">
        <f>IF(AND($F19&gt;=MIN('Major Assumption Key'!$B$4),$F19&lt;=MAX('Major Assumption Key'!$B$6)),SUM(T19:W19),0)</f>
        <v>0</v>
      </c>
      <c r="Y19" s="26">
        <f t="shared" si="11"/>
        <v>0</v>
      </c>
      <c r="Z19" s="38">
        <f>Y19/(1+'Major Assumption Key'!$B$8)^($F19-'Major Assumption Key'!$B$7)</f>
        <v>0</v>
      </c>
      <c r="AA19" s="291"/>
      <c r="AB19" s="784">
        <f t="shared" si="12"/>
        <v>0</v>
      </c>
      <c r="AC19" s="855">
        <f t="shared" si="13"/>
        <v>0</v>
      </c>
      <c r="AD19" s="26">
        <f t="shared" si="14"/>
        <v>0</v>
      </c>
      <c r="AE19" s="38">
        <f t="shared" si="15"/>
        <v>0</v>
      </c>
    </row>
    <row r="20" spans="1:31" ht="19.95" customHeight="1">
      <c r="A20" s="871" t="s">
        <v>1248</v>
      </c>
      <c r="B20" s="383">
        <f>_xlfn.XLOOKUP(B18,'BCA Guide - Parameter Values'!B:B,'BCA Guide - Parameter Values'!C:C,,0)</f>
        <v>0</v>
      </c>
      <c r="C20" s="382" t="s">
        <v>211</v>
      </c>
      <c r="D20" s="872"/>
      <c r="E20" s="767"/>
      <c r="F20" s="772">
        <f>'Major Assumption Key'!A32</f>
        <v>2033</v>
      </c>
      <c r="G20" s="864"/>
      <c r="H20" s="864"/>
      <c r="I20" s="864"/>
      <c r="J20" s="864"/>
      <c r="K20" s="773">
        <f t="shared" si="3"/>
        <v>0</v>
      </c>
      <c r="L20" s="773">
        <f t="shared" si="4"/>
        <v>0</v>
      </c>
      <c r="M20" s="773">
        <f t="shared" si="5"/>
        <v>0</v>
      </c>
      <c r="N20" s="773">
        <f t="shared" si="6"/>
        <v>0</v>
      </c>
      <c r="O20" s="784">
        <f>IF(AND($F20&gt;=MIN('Major Assumption Key'!$B$4),$F20&lt;=MAX('Major Assumption Key'!$B$6)),SUM(K20:N20),0)</f>
        <v>0</v>
      </c>
      <c r="P20" s="864"/>
      <c r="Q20" s="864"/>
      <c r="R20" s="864"/>
      <c r="S20" s="864"/>
      <c r="T20" s="773">
        <f t="shared" si="7"/>
        <v>0</v>
      </c>
      <c r="U20" s="773">
        <f t="shared" si="8"/>
        <v>0</v>
      </c>
      <c r="V20" s="773">
        <f t="shared" si="9"/>
        <v>0</v>
      </c>
      <c r="W20" s="773">
        <f t="shared" si="10"/>
        <v>0</v>
      </c>
      <c r="X20" s="855">
        <f>IF(AND($F20&gt;=MIN('Major Assumption Key'!$B$4),$F20&lt;=MAX('Major Assumption Key'!$B$6)),SUM(T20:W20),0)</f>
        <v>0</v>
      </c>
      <c r="Y20" s="26">
        <f t="shared" si="11"/>
        <v>0</v>
      </c>
      <c r="Z20" s="38">
        <f>Y20/(1+'Major Assumption Key'!$B$8)^($F20-'Major Assumption Key'!$B$7)</f>
        <v>0</v>
      </c>
      <c r="AA20" s="291"/>
      <c r="AB20" s="784">
        <f t="shared" si="12"/>
        <v>0</v>
      </c>
      <c r="AC20" s="855">
        <f t="shared" si="13"/>
        <v>0</v>
      </c>
      <c r="AD20" s="26">
        <f t="shared" si="14"/>
        <v>0</v>
      </c>
      <c r="AE20" s="38">
        <f t="shared" si="15"/>
        <v>0</v>
      </c>
    </row>
    <row r="21" spans="1:31">
      <c r="A21" s="871" t="s">
        <v>1249</v>
      </c>
      <c r="B21" s="383">
        <f>_xlfn.XLOOKUP(B17,'BCA Guide - Parameter Values'!B:B,'BCA Guide - Parameter Values'!D:D,,0)</f>
        <v>0</v>
      </c>
      <c r="C21" s="382" t="s">
        <v>211</v>
      </c>
      <c r="D21" s="872"/>
      <c r="E21" s="767"/>
      <c r="F21" s="772">
        <f>'Major Assumption Key'!A33</f>
        <v>2034</v>
      </c>
      <c r="G21" s="864"/>
      <c r="H21" s="864"/>
      <c r="I21" s="864"/>
      <c r="J21" s="864"/>
      <c r="K21" s="773">
        <f t="shared" si="3"/>
        <v>0</v>
      </c>
      <c r="L21" s="773">
        <f t="shared" si="4"/>
        <v>0</v>
      </c>
      <c r="M21" s="773">
        <f t="shared" si="5"/>
        <v>0</v>
      </c>
      <c r="N21" s="773">
        <f t="shared" si="6"/>
        <v>0</v>
      </c>
      <c r="O21" s="784">
        <f>IF(AND($F21&gt;=MIN('Major Assumption Key'!$B$4),$F21&lt;=MAX('Major Assumption Key'!$B$6)),SUM(K21:N21),0)</f>
        <v>0</v>
      </c>
      <c r="P21" s="864"/>
      <c r="Q21" s="864"/>
      <c r="R21" s="864"/>
      <c r="S21" s="864"/>
      <c r="T21" s="773">
        <f t="shared" si="7"/>
        <v>0</v>
      </c>
      <c r="U21" s="773">
        <f t="shared" si="8"/>
        <v>0</v>
      </c>
      <c r="V21" s="773">
        <f t="shared" si="9"/>
        <v>0</v>
      </c>
      <c r="W21" s="773">
        <f t="shared" si="10"/>
        <v>0</v>
      </c>
      <c r="X21" s="855">
        <f>IF(AND($F21&gt;=MIN('Major Assumption Key'!$B$4),$F21&lt;=MAX('Major Assumption Key'!$B$6)),SUM(T21:W21),0)</f>
        <v>0</v>
      </c>
      <c r="Y21" s="26">
        <f t="shared" si="11"/>
        <v>0</v>
      </c>
      <c r="Z21" s="38">
        <f>Y21/(1+'Major Assumption Key'!$B$8)^($F21-'Major Assumption Key'!$B$7)</f>
        <v>0</v>
      </c>
      <c r="AA21" s="291"/>
      <c r="AB21" s="784">
        <f t="shared" si="12"/>
        <v>0</v>
      </c>
      <c r="AC21" s="855">
        <f t="shared" si="13"/>
        <v>0</v>
      </c>
      <c r="AD21" s="26">
        <f t="shared" si="14"/>
        <v>0</v>
      </c>
      <c r="AE21" s="38">
        <f t="shared" si="15"/>
        <v>0</v>
      </c>
    </row>
    <row r="22" spans="1:31" ht="28.5" customHeight="1">
      <c r="A22" s="871" t="s">
        <v>1250</v>
      </c>
      <c r="B22" s="383">
        <f>_xlfn.XLOOKUP(B18,'BCA Guide - Parameter Values'!B:B,'BCA Guide - Parameter Values'!D:D,,0)</f>
        <v>0</v>
      </c>
      <c r="C22" s="382" t="s">
        <v>211</v>
      </c>
      <c r="D22" s="387"/>
      <c r="E22" s="767"/>
      <c r="F22" s="772">
        <f>'Major Assumption Key'!A34</f>
        <v>2035</v>
      </c>
      <c r="G22" s="864"/>
      <c r="H22" s="864"/>
      <c r="I22" s="864"/>
      <c r="J22" s="864"/>
      <c r="K22" s="773">
        <f t="shared" si="3"/>
        <v>0</v>
      </c>
      <c r="L22" s="773">
        <f t="shared" si="4"/>
        <v>0</v>
      </c>
      <c r="M22" s="773">
        <f t="shared" si="5"/>
        <v>0</v>
      </c>
      <c r="N22" s="773">
        <f t="shared" si="6"/>
        <v>0</v>
      </c>
      <c r="O22" s="784">
        <f>IF(AND($F22&gt;=MIN('Major Assumption Key'!$B$4),$F22&lt;=MAX('Major Assumption Key'!$B$6)),SUM(K22:N22),0)</f>
        <v>0</v>
      </c>
      <c r="P22" s="864"/>
      <c r="Q22" s="864"/>
      <c r="R22" s="864"/>
      <c r="S22" s="864"/>
      <c r="T22" s="773">
        <f t="shared" si="7"/>
        <v>0</v>
      </c>
      <c r="U22" s="773">
        <f t="shared" si="8"/>
        <v>0</v>
      </c>
      <c r="V22" s="773">
        <f t="shared" si="9"/>
        <v>0</v>
      </c>
      <c r="W22" s="773">
        <f t="shared" si="10"/>
        <v>0</v>
      </c>
      <c r="X22" s="855">
        <f>IF(AND($F22&gt;=MIN('Major Assumption Key'!$B$4),$F22&lt;=MAX('Major Assumption Key'!$B$6)),SUM(T22:W22),0)</f>
        <v>0</v>
      </c>
      <c r="Y22" s="26">
        <f t="shared" si="11"/>
        <v>0</v>
      </c>
      <c r="Z22" s="38">
        <f>Y22/(1+'Major Assumption Key'!$B$8)^($F22-'Major Assumption Key'!$B$7)</f>
        <v>0</v>
      </c>
      <c r="AA22" s="291"/>
      <c r="AB22" s="784">
        <f t="shared" si="12"/>
        <v>0</v>
      </c>
      <c r="AC22" s="855">
        <f t="shared" si="13"/>
        <v>0</v>
      </c>
      <c r="AD22" s="26">
        <f t="shared" si="14"/>
        <v>0</v>
      </c>
      <c r="AE22" s="38">
        <f t="shared" si="15"/>
        <v>0</v>
      </c>
    </row>
    <row r="23" spans="1:31" ht="19.95" customHeight="1">
      <c r="A23" s="871" t="s">
        <v>1251</v>
      </c>
      <c r="B23" s="383">
        <f>B20-B19</f>
        <v>0</v>
      </c>
      <c r="C23" s="382" t="s">
        <v>211</v>
      </c>
      <c r="D23" s="387"/>
      <c r="E23" s="767"/>
      <c r="F23" s="772">
        <f>'Major Assumption Key'!A35</f>
        <v>2036</v>
      </c>
      <c r="G23" s="864"/>
      <c r="H23" s="864"/>
      <c r="I23" s="864"/>
      <c r="J23" s="864"/>
      <c r="K23" s="773">
        <f t="shared" si="3"/>
        <v>0</v>
      </c>
      <c r="L23" s="773">
        <f t="shared" si="4"/>
        <v>0</v>
      </c>
      <c r="M23" s="773">
        <f t="shared" si="5"/>
        <v>0</v>
      </c>
      <c r="N23" s="773">
        <f t="shared" si="6"/>
        <v>0</v>
      </c>
      <c r="O23" s="784">
        <f>IF(AND($F23&gt;=MIN('Major Assumption Key'!$B$4),$F23&lt;=MAX('Major Assumption Key'!$B$6)),SUM(K23:N23),0)</f>
        <v>0</v>
      </c>
      <c r="P23" s="864"/>
      <c r="Q23" s="864"/>
      <c r="R23" s="864"/>
      <c r="S23" s="864"/>
      <c r="T23" s="773">
        <f t="shared" si="7"/>
        <v>0</v>
      </c>
      <c r="U23" s="773">
        <f t="shared" si="8"/>
        <v>0</v>
      </c>
      <c r="V23" s="773">
        <f t="shared" si="9"/>
        <v>0</v>
      </c>
      <c r="W23" s="773">
        <f t="shared" si="10"/>
        <v>0</v>
      </c>
      <c r="X23" s="855">
        <f>IF(AND($F23&gt;=MIN('Major Assumption Key'!$B$4),$F23&lt;=MAX('Major Assumption Key'!$B$6)),SUM(T23:W23),0)</f>
        <v>0</v>
      </c>
      <c r="Y23" s="26">
        <f t="shared" si="11"/>
        <v>0</v>
      </c>
      <c r="Z23" s="38">
        <f>Y23/(1+'Major Assumption Key'!$B$8)^($F23-'Major Assumption Key'!$B$7)</f>
        <v>0</v>
      </c>
      <c r="AA23" s="291"/>
      <c r="AB23" s="784">
        <f t="shared" si="12"/>
        <v>0</v>
      </c>
      <c r="AC23" s="855">
        <f t="shared" si="13"/>
        <v>0</v>
      </c>
      <c r="AD23" s="26">
        <f t="shared" si="14"/>
        <v>0</v>
      </c>
      <c r="AE23" s="38">
        <f t="shared" si="15"/>
        <v>0</v>
      </c>
    </row>
    <row r="24" spans="1:31" ht="19.95" customHeight="1">
      <c r="A24" s="871" t="s">
        <v>1252</v>
      </c>
      <c r="B24" s="383">
        <f>B22-B21</f>
        <v>0</v>
      </c>
      <c r="C24" s="382" t="s">
        <v>211</v>
      </c>
      <c r="D24" s="387"/>
      <c r="E24" s="767"/>
      <c r="F24" s="772">
        <f>'Major Assumption Key'!A36</f>
        <v>2037</v>
      </c>
      <c r="G24" s="864"/>
      <c r="H24" s="864"/>
      <c r="I24" s="864"/>
      <c r="J24" s="864"/>
      <c r="K24" s="773">
        <f t="shared" si="3"/>
        <v>0</v>
      </c>
      <c r="L24" s="773">
        <f t="shared" si="4"/>
        <v>0</v>
      </c>
      <c r="M24" s="773">
        <f t="shared" si="5"/>
        <v>0</v>
      </c>
      <c r="N24" s="773">
        <f t="shared" si="6"/>
        <v>0</v>
      </c>
      <c r="O24" s="784">
        <f>IF(AND($F24&gt;=MIN('Major Assumption Key'!$B$4),$F24&lt;=MAX('Major Assumption Key'!$B$6)),SUM(K24:N24),0)</f>
        <v>0</v>
      </c>
      <c r="P24" s="864"/>
      <c r="Q24" s="864"/>
      <c r="R24" s="864"/>
      <c r="S24" s="864"/>
      <c r="T24" s="773">
        <f t="shared" si="7"/>
        <v>0</v>
      </c>
      <c r="U24" s="773">
        <f t="shared" si="8"/>
        <v>0</v>
      </c>
      <c r="V24" s="773">
        <f t="shared" si="9"/>
        <v>0</v>
      </c>
      <c r="W24" s="773">
        <f t="shared" si="10"/>
        <v>0</v>
      </c>
      <c r="X24" s="855">
        <f>IF(AND($F24&gt;=MIN('Major Assumption Key'!$B$4),$F24&lt;=MAX('Major Assumption Key'!$B$6)),SUM(T24:W24),0)</f>
        <v>0</v>
      </c>
      <c r="Y24" s="26">
        <f t="shared" si="11"/>
        <v>0</v>
      </c>
      <c r="Z24" s="38">
        <f>Y24/(1+'Major Assumption Key'!$B$8)^($F24-'Major Assumption Key'!$B$7)</f>
        <v>0</v>
      </c>
      <c r="AA24" s="291"/>
      <c r="AB24" s="784">
        <f t="shared" si="12"/>
        <v>0</v>
      </c>
      <c r="AC24" s="855">
        <f t="shared" si="13"/>
        <v>0</v>
      </c>
      <c r="AD24" s="26">
        <f t="shared" si="14"/>
        <v>0</v>
      </c>
      <c r="AE24" s="38">
        <f t="shared" si="15"/>
        <v>0</v>
      </c>
    </row>
    <row r="25" spans="1:31" ht="19.95" customHeight="1">
      <c r="A25" s="871" t="s">
        <v>1253</v>
      </c>
      <c r="B25" s="873"/>
      <c r="C25" s="874" t="s">
        <v>1254</v>
      </c>
      <c r="D25" s="872"/>
      <c r="E25" s="767"/>
      <c r="F25" s="772">
        <f>'Major Assumption Key'!A37</f>
        <v>2038</v>
      </c>
      <c r="G25" s="864"/>
      <c r="H25" s="864"/>
      <c r="I25" s="864"/>
      <c r="J25" s="864"/>
      <c r="K25" s="773">
        <f t="shared" si="3"/>
        <v>0</v>
      </c>
      <c r="L25" s="773">
        <f t="shared" si="4"/>
        <v>0</v>
      </c>
      <c r="M25" s="773">
        <f t="shared" si="5"/>
        <v>0</v>
      </c>
      <c r="N25" s="773">
        <f t="shared" si="6"/>
        <v>0</v>
      </c>
      <c r="O25" s="784">
        <f>IF(AND($F25&gt;=MIN('Major Assumption Key'!$B$4),$F25&lt;=MAX('Major Assumption Key'!$B$6)),SUM(K25:N25),0)</f>
        <v>0</v>
      </c>
      <c r="P25" s="864"/>
      <c r="Q25" s="864"/>
      <c r="R25" s="864"/>
      <c r="S25" s="864"/>
      <c r="T25" s="773">
        <f t="shared" si="7"/>
        <v>0</v>
      </c>
      <c r="U25" s="773">
        <f t="shared" si="8"/>
        <v>0</v>
      </c>
      <c r="V25" s="773">
        <f t="shared" si="9"/>
        <v>0</v>
      </c>
      <c r="W25" s="773">
        <f t="shared" si="10"/>
        <v>0</v>
      </c>
      <c r="X25" s="855">
        <f>IF(AND($F25&gt;=MIN('Major Assumption Key'!$B$4),$F25&lt;=MAX('Major Assumption Key'!$B$6)),SUM(T25:W25),0)</f>
        <v>0</v>
      </c>
      <c r="Y25" s="26">
        <f t="shared" si="11"/>
        <v>0</v>
      </c>
      <c r="Z25" s="38">
        <f>Y25/(1+'Major Assumption Key'!$B$8)^($F25-'Major Assumption Key'!$B$7)</f>
        <v>0</v>
      </c>
      <c r="AA25" s="291"/>
      <c r="AB25" s="784">
        <f t="shared" si="12"/>
        <v>0</v>
      </c>
      <c r="AC25" s="855">
        <f t="shared" si="13"/>
        <v>0</v>
      </c>
      <c r="AD25" s="26">
        <f t="shared" si="14"/>
        <v>0</v>
      </c>
      <c r="AE25" s="38">
        <f t="shared" si="15"/>
        <v>0</v>
      </c>
    </row>
    <row r="26" spans="1:31" ht="19.95" customHeight="1">
      <c r="A26" s="871" t="s">
        <v>1255</v>
      </c>
      <c r="B26" s="873"/>
      <c r="C26" s="874" t="s">
        <v>1254</v>
      </c>
      <c r="D26" s="387"/>
      <c r="E26" s="767"/>
      <c r="F26" s="772">
        <f>'Major Assumption Key'!A38</f>
        <v>2039</v>
      </c>
      <c r="G26" s="864"/>
      <c r="H26" s="864"/>
      <c r="I26" s="864"/>
      <c r="J26" s="864"/>
      <c r="K26" s="773">
        <f t="shared" si="3"/>
        <v>0</v>
      </c>
      <c r="L26" s="773">
        <f t="shared" si="4"/>
        <v>0</v>
      </c>
      <c r="M26" s="773">
        <f t="shared" si="5"/>
        <v>0</v>
      </c>
      <c r="N26" s="773">
        <f t="shared" si="6"/>
        <v>0</v>
      </c>
      <c r="O26" s="784">
        <f>IF(AND($F26&gt;=MIN('Major Assumption Key'!$B$4),$F26&lt;=MAX('Major Assumption Key'!$B$6)),SUM(K26:N26),0)</f>
        <v>0</v>
      </c>
      <c r="P26" s="864"/>
      <c r="Q26" s="864"/>
      <c r="R26" s="864"/>
      <c r="S26" s="864"/>
      <c r="T26" s="773">
        <f t="shared" si="7"/>
        <v>0</v>
      </c>
      <c r="U26" s="773">
        <f t="shared" si="8"/>
        <v>0</v>
      </c>
      <c r="V26" s="773">
        <f t="shared" si="9"/>
        <v>0</v>
      </c>
      <c r="W26" s="773">
        <f t="shared" si="10"/>
        <v>0</v>
      </c>
      <c r="X26" s="855">
        <f>IF(AND($F26&gt;=MIN('Major Assumption Key'!$B$4),$F26&lt;=MAX('Major Assumption Key'!$B$6)),SUM(T26:W26),0)</f>
        <v>0</v>
      </c>
      <c r="Y26" s="26">
        <f t="shared" si="11"/>
        <v>0</v>
      </c>
      <c r="Z26" s="38">
        <f>Y26/(1+'Major Assumption Key'!$B$8)^($F26-'Major Assumption Key'!$B$7)</f>
        <v>0</v>
      </c>
      <c r="AA26" s="291"/>
      <c r="AB26" s="784">
        <f t="shared" si="12"/>
        <v>0</v>
      </c>
      <c r="AC26" s="855">
        <f t="shared" si="13"/>
        <v>0</v>
      </c>
      <c r="AD26" s="26">
        <f t="shared" si="14"/>
        <v>0</v>
      </c>
      <c r="AE26" s="38">
        <f t="shared" si="15"/>
        <v>0</v>
      </c>
    </row>
    <row r="27" spans="1:31" ht="19.95" customHeight="1">
      <c r="A27" s="871" t="s">
        <v>1256</v>
      </c>
      <c r="B27" s="873"/>
      <c r="C27" s="874" t="s">
        <v>1254</v>
      </c>
      <c r="D27" s="387"/>
      <c r="E27" s="767"/>
      <c r="F27" s="772">
        <f>'Major Assumption Key'!A39</f>
        <v>2040</v>
      </c>
      <c r="G27" s="864"/>
      <c r="H27" s="864"/>
      <c r="I27" s="864"/>
      <c r="J27" s="864"/>
      <c r="K27" s="773">
        <f t="shared" si="3"/>
        <v>0</v>
      </c>
      <c r="L27" s="773">
        <f t="shared" si="4"/>
        <v>0</v>
      </c>
      <c r="M27" s="773">
        <f t="shared" si="5"/>
        <v>0</v>
      </c>
      <c r="N27" s="773">
        <f t="shared" si="6"/>
        <v>0</v>
      </c>
      <c r="O27" s="784">
        <f>IF(AND($F27&gt;=MIN('Major Assumption Key'!$B$4),$F27&lt;=MAX('Major Assumption Key'!$B$6)),SUM(K27:N27),0)</f>
        <v>0</v>
      </c>
      <c r="P27" s="864"/>
      <c r="Q27" s="864"/>
      <c r="R27" s="864"/>
      <c r="S27" s="864"/>
      <c r="T27" s="773">
        <f t="shared" si="7"/>
        <v>0</v>
      </c>
      <c r="U27" s="773">
        <f t="shared" si="8"/>
        <v>0</v>
      </c>
      <c r="V27" s="773">
        <f t="shared" si="9"/>
        <v>0</v>
      </c>
      <c r="W27" s="773">
        <f t="shared" si="10"/>
        <v>0</v>
      </c>
      <c r="X27" s="855">
        <f>IF(AND($F27&gt;=MIN('Major Assumption Key'!$B$4),$F27&lt;=MAX('Major Assumption Key'!$B$6)),SUM(T27:W27),0)</f>
        <v>0</v>
      </c>
      <c r="Y27" s="26">
        <f t="shared" si="11"/>
        <v>0</v>
      </c>
      <c r="Z27" s="38">
        <f>Y27/(1+'Major Assumption Key'!$B$8)^($F27-'Major Assumption Key'!$B$7)</f>
        <v>0</v>
      </c>
      <c r="AA27" s="291"/>
      <c r="AB27" s="784">
        <f t="shared" si="12"/>
        <v>0</v>
      </c>
      <c r="AC27" s="855">
        <f t="shared" si="13"/>
        <v>0</v>
      </c>
      <c r="AD27" s="26">
        <f t="shared" si="14"/>
        <v>0</v>
      </c>
      <c r="AE27" s="38">
        <f t="shared" si="15"/>
        <v>0</v>
      </c>
    </row>
    <row r="28" spans="1:31" ht="19.95" customHeight="1" thickBot="1">
      <c r="A28" s="875" t="s">
        <v>1257</v>
      </c>
      <c r="B28" s="876"/>
      <c r="C28" s="874" t="s">
        <v>1254</v>
      </c>
      <c r="D28" s="388"/>
      <c r="E28" s="767"/>
      <c r="F28" s="772">
        <f>'Major Assumption Key'!A40</f>
        <v>2041</v>
      </c>
      <c r="G28" s="864"/>
      <c r="H28" s="864"/>
      <c r="I28" s="864"/>
      <c r="J28" s="864"/>
      <c r="K28" s="773">
        <f t="shared" si="3"/>
        <v>0</v>
      </c>
      <c r="L28" s="773">
        <f t="shared" si="4"/>
        <v>0</v>
      </c>
      <c r="M28" s="773">
        <f t="shared" si="5"/>
        <v>0</v>
      </c>
      <c r="N28" s="773">
        <f t="shared" si="6"/>
        <v>0</v>
      </c>
      <c r="O28" s="784">
        <f>IF(AND($F28&gt;=MIN('Major Assumption Key'!$B$4),$F28&lt;=MAX('Major Assumption Key'!$B$6)),SUM(K28:N28),0)</f>
        <v>0</v>
      </c>
      <c r="P28" s="864"/>
      <c r="Q28" s="864"/>
      <c r="R28" s="864"/>
      <c r="S28" s="864"/>
      <c r="T28" s="773">
        <f t="shared" si="7"/>
        <v>0</v>
      </c>
      <c r="U28" s="773">
        <f t="shared" si="8"/>
        <v>0</v>
      </c>
      <c r="V28" s="773">
        <f t="shared" si="9"/>
        <v>0</v>
      </c>
      <c r="W28" s="773">
        <f t="shared" si="10"/>
        <v>0</v>
      </c>
      <c r="X28" s="855">
        <f>IF(AND($F28&gt;=MIN('Major Assumption Key'!$B$4),$F28&lt;=MAX('Major Assumption Key'!$B$6)),SUM(T28:W28),0)</f>
        <v>0</v>
      </c>
      <c r="Y28" s="26">
        <f t="shared" si="11"/>
        <v>0</v>
      </c>
      <c r="Z28" s="38">
        <f>Y28/(1+'Major Assumption Key'!$B$8)^($F28-'Major Assumption Key'!$B$7)</f>
        <v>0</v>
      </c>
      <c r="AA28" s="291"/>
      <c r="AB28" s="784">
        <f t="shared" si="12"/>
        <v>0</v>
      </c>
      <c r="AC28" s="855">
        <f t="shared" si="13"/>
        <v>0</v>
      </c>
      <c r="AD28" s="26">
        <f t="shared" si="14"/>
        <v>0</v>
      </c>
      <c r="AE28" s="38">
        <f t="shared" si="15"/>
        <v>0</v>
      </c>
    </row>
    <row r="29" spans="1:31" ht="19.95" customHeight="1">
      <c r="E29" s="767"/>
      <c r="F29" s="772">
        <f>'Major Assumption Key'!A41</f>
        <v>2042</v>
      </c>
      <c r="G29" s="864"/>
      <c r="H29" s="864"/>
      <c r="I29" s="864"/>
      <c r="J29" s="864"/>
      <c r="K29" s="773">
        <f t="shared" si="3"/>
        <v>0</v>
      </c>
      <c r="L29" s="773">
        <f t="shared" si="4"/>
        <v>0</v>
      </c>
      <c r="M29" s="773">
        <f t="shared" si="5"/>
        <v>0</v>
      </c>
      <c r="N29" s="773">
        <f t="shared" si="6"/>
        <v>0</v>
      </c>
      <c r="O29" s="784">
        <f>IF(AND($F29&gt;=MIN('Major Assumption Key'!$B$4),$F29&lt;=MAX('Major Assumption Key'!$B$6)),SUM(K29:N29),0)</f>
        <v>0</v>
      </c>
      <c r="P29" s="864"/>
      <c r="Q29" s="864"/>
      <c r="R29" s="864"/>
      <c r="S29" s="864"/>
      <c r="T29" s="773">
        <f t="shared" si="7"/>
        <v>0</v>
      </c>
      <c r="U29" s="773">
        <f t="shared" si="8"/>
        <v>0</v>
      </c>
      <c r="V29" s="773">
        <f t="shared" si="9"/>
        <v>0</v>
      </c>
      <c r="W29" s="773">
        <f t="shared" si="10"/>
        <v>0</v>
      </c>
      <c r="X29" s="855">
        <f>IF(AND($F29&gt;=MIN('Major Assumption Key'!$B$4),$F29&lt;=MAX('Major Assumption Key'!$B$6)),SUM(T29:W29),0)</f>
        <v>0</v>
      </c>
      <c r="Y29" s="26">
        <f t="shared" si="11"/>
        <v>0</v>
      </c>
      <c r="Z29" s="38">
        <f>Y29/(1+'Major Assumption Key'!$B$8)^($F29-'Major Assumption Key'!$B$7)</f>
        <v>0</v>
      </c>
      <c r="AA29" s="291"/>
      <c r="AB29" s="784">
        <f t="shared" si="12"/>
        <v>0</v>
      </c>
      <c r="AC29" s="855">
        <f t="shared" si="13"/>
        <v>0</v>
      </c>
      <c r="AD29" s="26">
        <f t="shared" si="14"/>
        <v>0</v>
      </c>
      <c r="AE29" s="38">
        <f t="shared" si="15"/>
        <v>0</v>
      </c>
    </row>
    <row r="30" spans="1:31" ht="19.95" customHeight="1">
      <c r="E30" s="767"/>
      <c r="F30" s="772">
        <f>'Major Assumption Key'!A42</f>
        <v>2043</v>
      </c>
      <c r="G30" s="864"/>
      <c r="H30" s="864"/>
      <c r="I30" s="864"/>
      <c r="J30" s="864"/>
      <c r="K30" s="773">
        <f t="shared" si="3"/>
        <v>0</v>
      </c>
      <c r="L30" s="773">
        <f t="shared" si="4"/>
        <v>0</v>
      </c>
      <c r="M30" s="773">
        <f t="shared" si="5"/>
        <v>0</v>
      </c>
      <c r="N30" s="773">
        <f t="shared" si="6"/>
        <v>0</v>
      </c>
      <c r="O30" s="784">
        <f>IF(AND($F30&gt;=MIN('Major Assumption Key'!$B$4),$F30&lt;=MAX('Major Assumption Key'!$B$6)),SUM(K30:N30),0)</f>
        <v>0</v>
      </c>
      <c r="P30" s="864"/>
      <c r="Q30" s="864"/>
      <c r="R30" s="864"/>
      <c r="S30" s="864"/>
      <c r="T30" s="773">
        <f t="shared" si="7"/>
        <v>0</v>
      </c>
      <c r="U30" s="773">
        <f t="shared" si="8"/>
        <v>0</v>
      </c>
      <c r="V30" s="773">
        <f t="shared" si="9"/>
        <v>0</v>
      </c>
      <c r="W30" s="773">
        <f t="shared" si="10"/>
        <v>0</v>
      </c>
      <c r="X30" s="855">
        <f>IF(AND($F30&gt;=MIN('Major Assumption Key'!$B$4),$F30&lt;=MAX('Major Assumption Key'!$B$6)),SUM(T30:W30),0)</f>
        <v>0</v>
      </c>
      <c r="Y30" s="26">
        <f t="shared" si="11"/>
        <v>0</v>
      </c>
      <c r="Z30" s="38">
        <f>Y30/(1+'Major Assumption Key'!$B$8)^($F30-'Major Assumption Key'!$B$7)</f>
        <v>0</v>
      </c>
      <c r="AA30" s="291"/>
      <c r="AB30" s="784">
        <f t="shared" si="12"/>
        <v>0</v>
      </c>
      <c r="AC30" s="855">
        <f t="shared" si="13"/>
        <v>0</v>
      </c>
      <c r="AD30" s="26">
        <f t="shared" si="14"/>
        <v>0</v>
      </c>
      <c r="AE30" s="38">
        <f t="shared" si="15"/>
        <v>0</v>
      </c>
    </row>
    <row r="31" spans="1:31" ht="19.95" customHeight="1">
      <c r="E31" s="767"/>
      <c r="F31" s="772">
        <f>'Major Assumption Key'!A43</f>
        <v>2044</v>
      </c>
      <c r="G31" s="864"/>
      <c r="H31" s="864"/>
      <c r="I31" s="864"/>
      <c r="J31" s="864"/>
      <c r="K31" s="773">
        <f t="shared" si="3"/>
        <v>0</v>
      </c>
      <c r="L31" s="773">
        <f t="shared" si="4"/>
        <v>0</v>
      </c>
      <c r="M31" s="773">
        <f t="shared" si="5"/>
        <v>0</v>
      </c>
      <c r="N31" s="773">
        <f t="shared" si="6"/>
        <v>0</v>
      </c>
      <c r="O31" s="784">
        <f>IF(AND($F31&gt;=MIN('Major Assumption Key'!$B$4),$F31&lt;=MAX('Major Assumption Key'!$B$6)),SUM(K31:N31),0)</f>
        <v>0</v>
      </c>
      <c r="P31" s="864"/>
      <c r="Q31" s="864"/>
      <c r="R31" s="864"/>
      <c r="S31" s="864"/>
      <c r="T31" s="773">
        <f t="shared" si="7"/>
        <v>0</v>
      </c>
      <c r="U31" s="773">
        <f t="shared" si="8"/>
        <v>0</v>
      </c>
      <c r="V31" s="773">
        <f t="shared" si="9"/>
        <v>0</v>
      </c>
      <c r="W31" s="773">
        <f t="shared" si="10"/>
        <v>0</v>
      </c>
      <c r="X31" s="855">
        <f>IF(AND($F31&gt;=MIN('Major Assumption Key'!$B$4),$F31&lt;=MAX('Major Assumption Key'!$B$6)),SUM(T31:W31),0)</f>
        <v>0</v>
      </c>
      <c r="Y31" s="26">
        <f t="shared" si="11"/>
        <v>0</v>
      </c>
      <c r="Z31" s="38">
        <f>Y31/(1+'Major Assumption Key'!$B$8)^($F31-'Major Assumption Key'!$B$7)</f>
        <v>0</v>
      </c>
      <c r="AA31" s="291"/>
      <c r="AB31" s="784">
        <f t="shared" si="12"/>
        <v>0</v>
      </c>
      <c r="AC31" s="855">
        <f t="shared" si="13"/>
        <v>0</v>
      </c>
      <c r="AD31" s="26">
        <f t="shared" si="14"/>
        <v>0</v>
      </c>
      <c r="AE31" s="38">
        <f t="shared" si="15"/>
        <v>0</v>
      </c>
    </row>
    <row r="32" spans="1:31" ht="19.95" customHeight="1">
      <c r="F32" s="772">
        <f>'Major Assumption Key'!A44</f>
        <v>2045</v>
      </c>
      <c r="G32" s="864"/>
      <c r="H32" s="864"/>
      <c r="I32" s="864"/>
      <c r="J32" s="864"/>
      <c r="K32" s="773">
        <f t="shared" si="3"/>
        <v>0</v>
      </c>
      <c r="L32" s="773">
        <f t="shared" si="4"/>
        <v>0</v>
      </c>
      <c r="M32" s="773">
        <f t="shared" si="5"/>
        <v>0</v>
      </c>
      <c r="N32" s="773">
        <f t="shared" si="6"/>
        <v>0</v>
      </c>
      <c r="O32" s="784">
        <f>IF(AND($F32&gt;=MIN('Major Assumption Key'!$B$4),$F32&lt;=MAX('Major Assumption Key'!$B$6)),SUM(K32:N32),0)</f>
        <v>0</v>
      </c>
      <c r="P32" s="864"/>
      <c r="Q32" s="864"/>
      <c r="R32" s="864"/>
      <c r="S32" s="864"/>
      <c r="T32" s="773">
        <f t="shared" si="7"/>
        <v>0</v>
      </c>
      <c r="U32" s="773">
        <f t="shared" si="8"/>
        <v>0</v>
      </c>
      <c r="V32" s="773">
        <f t="shared" si="9"/>
        <v>0</v>
      </c>
      <c r="W32" s="773">
        <f t="shared" si="10"/>
        <v>0</v>
      </c>
      <c r="X32" s="855">
        <f>IF(AND($F32&gt;=MIN('Major Assumption Key'!$B$4),$F32&lt;=MAX('Major Assumption Key'!$B$6)),SUM(T32:W32),0)</f>
        <v>0</v>
      </c>
      <c r="Y32" s="26">
        <f t="shared" si="11"/>
        <v>0</v>
      </c>
      <c r="Z32" s="38">
        <f>Y32/(1+'Major Assumption Key'!$B$8)^($F32-'Major Assumption Key'!$B$7)</f>
        <v>0</v>
      </c>
      <c r="AA32" s="291"/>
      <c r="AB32" s="784">
        <f t="shared" si="12"/>
        <v>0</v>
      </c>
      <c r="AC32" s="855">
        <f t="shared" si="13"/>
        <v>0</v>
      </c>
      <c r="AD32" s="26">
        <f t="shared" si="14"/>
        <v>0</v>
      </c>
      <c r="AE32" s="38">
        <f t="shared" si="15"/>
        <v>0</v>
      </c>
    </row>
    <row r="33" spans="6:31" ht="19.95" customHeight="1">
      <c r="F33" s="772">
        <f>'Major Assumption Key'!A45</f>
        <v>2046</v>
      </c>
      <c r="G33" s="864"/>
      <c r="H33" s="864"/>
      <c r="I33" s="864"/>
      <c r="J33" s="864"/>
      <c r="K33" s="773">
        <f t="shared" si="3"/>
        <v>0</v>
      </c>
      <c r="L33" s="773">
        <f t="shared" si="4"/>
        <v>0</v>
      </c>
      <c r="M33" s="773">
        <f t="shared" si="5"/>
        <v>0</v>
      </c>
      <c r="N33" s="773">
        <f t="shared" si="6"/>
        <v>0</v>
      </c>
      <c r="O33" s="784">
        <f>IF(AND($F33&gt;=MIN('Major Assumption Key'!$B$4),$F33&lt;=MAX('Major Assumption Key'!$B$6)),SUM(K33:N33),0)</f>
        <v>0</v>
      </c>
      <c r="P33" s="864"/>
      <c r="Q33" s="864"/>
      <c r="R33" s="864"/>
      <c r="S33" s="864"/>
      <c r="T33" s="773">
        <f t="shared" si="7"/>
        <v>0</v>
      </c>
      <c r="U33" s="773">
        <f t="shared" si="8"/>
        <v>0</v>
      </c>
      <c r="V33" s="773">
        <f t="shared" si="9"/>
        <v>0</v>
      </c>
      <c r="W33" s="773">
        <f t="shared" si="10"/>
        <v>0</v>
      </c>
      <c r="X33" s="855">
        <f>IF(AND($F33&gt;=MIN('Major Assumption Key'!$B$4),$F33&lt;=MAX('Major Assumption Key'!$B$6)),SUM(T33:W33),0)</f>
        <v>0</v>
      </c>
      <c r="Y33" s="26">
        <f t="shared" si="11"/>
        <v>0</v>
      </c>
      <c r="Z33" s="38">
        <f>Y33/(1+'Major Assumption Key'!$B$8)^($F33-'Major Assumption Key'!$B$7)</f>
        <v>0</v>
      </c>
      <c r="AA33" s="291"/>
      <c r="AB33" s="784">
        <f t="shared" si="12"/>
        <v>0</v>
      </c>
      <c r="AC33" s="855">
        <f t="shared" si="13"/>
        <v>0</v>
      </c>
      <c r="AD33" s="26">
        <f t="shared" si="14"/>
        <v>0</v>
      </c>
      <c r="AE33" s="38">
        <f t="shared" si="15"/>
        <v>0</v>
      </c>
    </row>
    <row r="34" spans="6:31" ht="19.95" customHeight="1">
      <c r="F34" s="772">
        <f>'Major Assumption Key'!A46</f>
        <v>2047</v>
      </c>
      <c r="G34" s="864"/>
      <c r="H34" s="864"/>
      <c r="I34" s="864"/>
      <c r="J34" s="864"/>
      <c r="K34" s="773">
        <f t="shared" si="3"/>
        <v>0</v>
      </c>
      <c r="L34" s="773">
        <f t="shared" si="4"/>
        <v>0</v>
      </c>
      <c r="M34" s="773">
        <f t="shared" si="5"/>
        <v>0</v>
      </c>
      <c r="N34" s="773">
        <f t="shared" si="6"/>
        <v>0</v>
      </c>
      <c r="O34" s="784">
        <f>IF(AND($F34&gt;=MIN('Major Assumption Key'!$B$4),$F34&lt;=MAX('Major Assumption Key'!$B$6)),SUM(K34:N34),0)</f>
        <v>0</v>
      </c>
      <c r="P34" s="864"/>
      <c r="Q34" s="864"/>
      <c r="R34" s="864"/>
      <c r="S34" s="864"/>
      <c r="T34" s="773">
        <f t="shared" si="7"/>
        <v>0</v>
      </c>
      <c r="U34" s="773">
        <f t="shared" si="8"/>
        <v>0</v>
      </c>
      <c r="V34" s="773">
        <f t="shared" si="9"/>
        <v>0</v>
      </c>
      <c r="W34" s="773">
        <f t="shared" si="10"/>
        <v>0</v>
      </c>
      <c r="X34" s="855">
        <f>IF(AND($F34&gt;=MIN('Major Assumption Key'!$B$4),$F34&lt;=MAX('Major Assumption Key'!$B$6)),SUM(T34:W34),0)</f>
        <v>0</v>
      </c>
      <c r="Y34" s="26">
        <f t="shared" si="11"/>
        <v>0</v>
      </c>
      <c r="Z34" s="38">
        <f>Y34/(1+'Major Assumption Key'!$B$8)^($F34-'Major Assumption Key'!$B$7)</f>
        <v>0</v>
      </c>
      <c r="AA34" s="291"/>
      <c r="AB34" s="784">
        <f t="shared" si="12"/>
        <v>0</v>
      </c>
      <c r="AC34" s="855">
        <f t="shared" si="13"/>
        <v>0</v>
      </c>
      <c r="AD34" s="26">
        <f t="shared" si="14"/>
        <v>0</v>
      </c>
      <c r="AE34" s="38">
        <f t="shared" si="15"/>
        <v>0</v>
      </c>
    </row>
    <row r="35" spans="6:31" ht="19.95" customHeight="1">
      <c r="F35" s="772">
        <f>'Major Assumption Key'!A47</f>
        <v>2048</v>
      </c>
      <c r="G35" s="864"/>
      <c r="H35" s="864"/>
      <c r="I35" s="864"/>
      <c r="J35" s="864"/>
      <c r="K35" s="773">
        <f t="shared" si="3"/>
        <v>0</v>
      </c>
      <c r="L35" s="773">
        <f t="shared" si="4"/>
        <v>0</v>
      </c>
      <c r="M35" s="773">
        <f t="shared" si="5"/>
        <v>0</v>
      </c>
      <c r="N35" s="773">
        <f t="shared" si="6"/>
        <v>0</v>
      </c>
      <c r="O35" s="784">
        <f>IF(AND($F35&gt;=MIN('Major Assumption Key'!$B$4),$F35&lt;=MAX('Major Assumption Key'!$B$6)),SUM(K35:N35),0)</f>
        <v>0</v>
      </c>
      <c r="P35" s="864"/>
      <c r="Q35" s="864"/>
      <c r="R35" s="864"/>
      <c r="S35" s="864"/>
      <c r="T35" s="773">
        <f t="shared" si="7"/>
        <v>0</v>
      </c>
      <c r="U35" s="773">
        <f t="shared" si="8"/>
        <v>0</v>
      </c>
      <c r="V35" s="773">
        <f t="shared" si="9"/>
        <v>0</v>
      </c>
      <c r="W35" s="773">
        <f t="shared" si="10"/>
        <v>0</v>
      </c>
      <c r="X35" s="855">
        <f>IF(AND($F35&gt;=MIN('Major Assumption Key'!$B$4),$F35&lt;=MAX('Major Assumption Key'!$B$6)),SUM(T35:W35),0)</f>
        <v>0</v>
      </c>
      <c r="Y35" s="26">
        <f t="shared" si="11"/>
        <v>0</v>
      </c>
      <c r="Z35" s="38">
        <f>Y35/(1+'Major Assumption Key'!$B$8)^($F35-'Major Assumption Key'!$B$7)</f>
        <v>0</v>
      </c>
      <c r="AA35" s="291"/>
      <c r="AB35" s="784">
        <f t="shared" si="12"/>
        <v>0</v>
      </c>
      <c r="AC35" s="855">
        <f t="shared" si="13"/>
        <v>0</v>
      </c>
      <c r="AD35" s="26">
        <f t="shared" si="14"/>
        <v>0</v>
      </c>
      <c r="AE35" s="38">
        <f t="shared" si="15"/>
        <v>0</v>
      </c>
    </row>
    <row r="36" spans="6:31" ht="19.95" customHeight="1">
      <c r="F36" s="772">
        <f>'Major Assumption Key'!A48</f>
        <v>2049</v>
      </c>
      <c r="G36" s="864"/>
      <c r="H36" s="864"/>
      <c r="I36" s="864"/>
      <c r="J36" s="864"/>
      <c r="K36" s="773">
        <f t="shared" si="3"/>
        <v>0</v>
      </c>
      <c r="L36" s="773">
        <f t="shared" si="4"/>
        <v>0</v>
      </c>
      <c r="M36" s="773">
        <f t="shared" si="5"/>
        <v>0</v>
      </c>
      <c r="N36" s="773">
        <f t="shared" si="6"/>
        <v>0</v>
      </c>
      <c r="O36" s="784">
        <f>IF(AND($F36&gt;=MIN('Major Assumption Key'!$B$4),$F36&lt;=MAX('Major Assumption Key'!$B$6)),SUM(K36:N36),0)</f>
        <v>0</v>
      </c>
      <c r="P36" s="864"/>
      <c r="Q36" s="864"/>
      <c r="R36" s="864"/>
      <c r="S36" s="864"/>
      <c r="T36" s="773">
        <f t="shared" si="7"/>
        <v>0</v>
      </c>
      <c r="U36" s="773">
        <f t="shared" si="8"/>
        <v>0</v>
      </c>
      <c r="V36" s="773">
        <f t="shared" si="9"/>
        <v>0</v>
      </c>
      <c r="W36" s="773">
        <f t="shared" si="10"/>
        <v>0</v>
      </c>
      <c r="X36" s="855">
        <f>IF(AND($F36&gt;=MIN('Major Assumption Key'!$B$4),$F36&lt;=MAX('Major Assumption Key'!$B$6)),SUM(T36:W36),0)</f>
        <v>0</v>
      </c>
      <c r="Y36" s="26">
        <f t="shared" si="11"/>
        <v>0</v>
      </c>
      <c r="Z36" s="38">
        <f>Y36/(1+'Major Assumption Key'!$B$8)^($F36-'Major Assumption Key'!$B$7)</f>
        <v>0</v>
      </c>
      <c r="AA36" s="291"/>
      <c r="AB36" s="784">
        <f t="shared" si="12"/>
        <v>0</v>
      </c>
      <c r="AC36" s="855">
        <f t="shared" si="13"/>
        <v>0</v>
      </c>
      <c r="AD36" s="26">
        <f t="shared" si="14"/>
        <v>0</v>
      </c>
      <c r="AE36" s="38">
        <f t="shared" si="15"/>
        <v>0</v>
      </c>
    </row>
    <row r="37" spans="6:31" ht="19.95" customHeight="1">
      <c r="F37" s="772">
        <f>'Major Assumption Key'!A49</f>
        <v>2050</v>
      </c>
      <c r="G37" s="864"/>
      <c r="H37" s="864"/>
      <c r="I37" s="864"/>
      <c r="J37" s="864"/>
      <c r="K37" s="773">
        <f t="shared" si="3"/>
        <v>0</v>
      </c>
      <c r="L37" s="773">
        <f t="shared" si="4"/>
        <v>0</v>
      </c>
      <c r="M37" s="773">
        <f t="shared" si="5"/>
        <v>0</v>
      </c>
      <c r="N37" s="773">
        <f t="shared" si="6"/>
        <v>0</v>
      </c>
      <c r="O37" s="784">
        <f>IF(AND($F37&gt;=MIN('Major Assumption Key'!$B$4),$F37&lt;=MAX('Major Assumption Key'!$B$6)),SUM(K37:N37),0)</f>
        <v>0</v>
      </c>
      <c r="P37" s="864"/>
      <c r="Q37" s="864"/>
      <c r="R37" s="864"/>
      <c r="S37" s="864"/>
      <c r="T37" s="773">
        <f t="shared" si="7"/>
        <v>0</v>
      </c>
      <c r="U37" s="773">
        <f t="shared" si="8"/>
        <v>0</v>
      </c>
      <c r="V37" s="773">
        <f t="shared" si="9"/>
        <v>0</v>
      </c>
      <c r="W37" s="773">
        <f t="shared" si="10"/>
        <v>0</v>
      </c>
      <c r="X37" s="855">
        <f>IF(AND($F37&gt;=MIN('Major Assumption Key'!$B$4),$F37&lt;=MAX('Major Assumption Key'!$B$6)),SUM(T37:W37),0)</f>
        <v>0</v>
      </c>
      <c r="Y37" s="26">
        <f t="shared" si="11"/>
        <v>0</v>
      </c>
      <c r="Z37" s="38">
        <f>Y37/(1+'Major Assumption Key'!$B$8)^($F37-'Major Assumption Key'!$B$7)</f>
        <v>0</v>
      </c>
      <c r="AA37" s="291"/>
      <c r="AB37" s="784">
        <f t="shared" si="12"/>
        <v>0</v>
      </c>
      <c r="AC37" s="855">
        <f t="shared" si="13"/>
        <v>0</v>
      </c>
      <c r="AD37" s="26">
        <f t="shared" si="14"/>
        <v>0</v>
      </c>
      <c r="AE37" s="38">
        <f t="shared" si="15"/>
        <v>0</v>
      </c>
    </row>
    <row r="38" spans="6:31" ht="19.95" customHeight="1">
      <c r="F38" s="772">
        <f>'Major Assumption Key'!A50</f>
        <v>2051</v>
      </c>
      <c r="G38" s="864"/>
      <c r="H38" s="864"/>
      <c r="I38" s="864"/>
      <c r="J38" s="864"/>
      <c r="K38" s="773">
        <f t="shared" si="3"/>
        <v>0</v>
      </c>
      <c r="L38" s="773">
        <f t="shared" si="4"/>
        <v>0</v>
      </c>
      <c r="M38" s="773">
        <f t="shared" si="5"/>
        <v>0</v>
      </c>
      <c r="N38" s="773">
        <f t="shared" si="6"/>
        <v>0</v>
      </c>
      <c r="O38" s="784">
        <f>IF(AND($F38&gt;=MIN('Major Assumption Key'!$B$4),$F38&lt;=MAX('Major Assumption Key'!$B$6)),SUM(K38:N38),0)</f>
        <v>0</v>
      </c>
      <c r="P38" s="864"/>
      <c r="Q38" s="864"/>
      <c r="R38" s="864"/>
      <c r="S38" s="864"/>
      <c r="T38" s="773">
        <f t="shared" si="7"/>
        <v>0</v>
      </c>
      <c r="U38" s="773">
        <f t="shared" si="8"/>
        <v>0</v>
      </c>
      <c r="V38" s="773">
        <f t="shared" si="9"/>
        <v>0</v>
      </c>
      <c r="W38" s="773">
        <f t="shared" si="10"/>
        <v>0</v>
      </c>
      <c r="X38" s="855">
        <f>IF(AND($F38&gt;=MIN('Major Assumption Key'!$B$4),$F38&lt;=MAX('Major Assumption Key'!$B$6)),SUM(T38:W38),0)</f>
        <v>0</v>
      </c>
      <c r="Y38" s="26">
        <f t="shared" si="11"/>
        <v>0</v>
      </c>
      <c r="Z38" s="38">
        <f>Y38/(1+'Major Assumption Key'!$B$8)^($F38-'Major Assumption Key'!$B$7)</f>
        <v>0</v>
      </c>
      <c r="AA38" s="291"/>
      <c r="AB38" s="784">
        <f t="shared" si="12"/>
        <v>0</v>
      </c>
      <c r="AC38" s="855">
        <f t="shared" si="13"/>
        <v>0</v>
      </c>
      <c r="AD38" s="26">
        <f t="shared" si="14"/>
        <v>0</v>
      </c>
      <c r="AE38" s="38">
        <f t="shared" si="15"/>
        <v>0</v>
      </c>
    </row>
    <row r="39" spans="6:31" ht="19.95" customHeight="1">
      <c r="F39" s="772">
        <f>'Major Assumption Key'!A51</f>
        <v>2052</v>
      </c>
      <c r="G39" s="864"/>
      <c r="H39" s="864"/>
      <c r="I39" s="864"/>
      <c r="J39" s="864"/>
      <c r="K39" s="773">
        <f t="shared" si="3"/>
        <v>0</v>
      </c>
      <c r="L39" s="773">
        <f t="shared" si="4"/>
        <v>0</v>
      </c>
      <c r="M39" s="773">
        <f t="shared" si="5"/>
        <v>0</v>
      </c>
      <c r="N39" s="773">
        <f t="shared" si="6"/>
        <v>0</v>
      </c>
      <c r="O39" s="784">
        <f>IF(AND($F39&gt;=MIN('Major Assumption Key'!$B$4),$F39&lt;=MAX('Major Assumption Key'!$B$6)),SUM(K39:N39),0)</f>
        <v>0</v>
      </c>
      <c r="P39" s="864"/>
      <c r="Q39" s="864"/>
      <c r="R39" s="864"/>
      <c r="S39" s="864"/>
      <c r="T39" s="773">
        <f t="shared" si="7"/>
        <v>0</v>
      </c>
      <c r="U39" s="773">
        <f t="shared" si="8"/>
        <v>0</v>
      </c>
      <c r="V39" s="773">
        <f t="shared" si="9"/>
        <v>0</v>
      </c>
      <c r="W39" s="773">
        <f t="shared" si="10"/>
        <v>0</v>
      </c>
      <c r="X39" s="855">
        <f>IF(AND($F39&gt;=MIN('Major Assumption Key'!$B$4),$F39&lt;=MAX('Major Assumption Key'!$B$6)),SUM(T39:W39),0)</f>
        <v>0</v>
      </c>
      <c r="Y39" s="26">
        <f t="shared" si="11"/>
        <v>0</v>
      </c>
      <c r="Z39" s="38">
        <f>Y39/(1+'Major Assumption Key'!$B$8)^($F39-'Major Assumption Key'!$B$7)</f>
        <v>0</v>
      </c>
      <c r="AA39" s="291"/>
      <c r="AB39" s="784">
        <f t="shared" si="12"/>
        <v>0</v>
      </c>
      <c r="AC39" s="855">
        <f t="shared" si="13"/>
        <v>0</v>
      </c>
      <c r="AD39" s="26">
        <f t="shared" si="14"/>
        <v>0</v>
      </c>
      <c r="AE39" s="38">
        <f t="shared" si="15"/>
        <v>0</v>
      </c>
    </row>
    <row r="40" spans="6:31" ht="19.95" customHeight="1">
      <c r="F40" s="772">
        <f>'Major Assumption Key'!A52</f>
        <v>2053</v>
      </c>
      <c r="G40" s="864"/>
      <c r="H40" s="864"/>
      <c r="I40" s="864"/>
      <c r="J40" s="864"/>
      <c r="K40" s="773">
        <f t="shared" si="3"/>
        <v>0</v>
      </c>
      <c r="L40" s="773">
        <f t="shared" si="4"/>
        <v>0</v>
      </c>
      <c r="M40" s="773">
        <f t="shared" si="5"/>
        <v>0</v>
      </c>
      <c r="N40" s="773">
        <f t="shared" si="6"/>
        <v>0</v>
      </c>
      <c r="O40" s="784">
        <f>IF(AND($F40&gt;=MIN('Major Assumption Key'!$B$4),$F40&lt;=MAX('Major Assumption Key'!$B$6)),SUM(K40:N40),0)</f>
        <v>0</v>
      </c>
      <c r="P40" s="864"/>
      <c r="Q40" s="864"/>
      <c r="R40" s="864"/>
      <c r="S40" s="864"/>
      <c r="T40" s="773">
        <f t="shared" si="7"/>
        <v>0</v>
      </c>
      <c r="U40" s="773">
        <f t="shared" si="8"/>
        <v>0</v>
      </c>
      <c r="V40" s="773">
        <f t="shared" si="9"/>
        <v>0</v>
      </c>
      <c r="W40" s="773">
        <f t="shared" si="10"/>
        <v>0</v>
      </c>
      <c r="X40" s="855">
        <f>IF(AND($F40&gt;=MIN('Major Assumption Key'!$B$4),$F40&lt;=MAX('Major Assumption Key'!$B$6)),SUM(T40:W40),0)</f>
        <v>0</v>
      </c>
      <c r="Y40" s="26">
        <f t="shared" si="11"/>
        <v>0</v>
      </c>
      <c r="Z40" s="38">
        <f>Y40/(1+'Major Assumption Key'!$B$8)^($F40-'Major Assumption Key'!$B$7)</f>
        <v>0</v>
      </c>
      <c r="AA40" s="291"/>
      <c r="AB40" s="784">
        <f t="shared" si="12"/>
        <v>0</v>
      </c>
      <c r="AC40" s="855">
        <f t="shared" si="13"/>
        <v>0</v>
      </c>
      <c r="AD40" s="26">
        <f t="shared" si="14"/>
        <v>0</v>
      </c>
      <c r="AE40" s="38">
        <f t="shared" si="15"/>
        <v>0</v>
      </c>
    </row>
    <row r="41" spans="6:31" ht="19.95" customHeight="1">
      <c r="F41" s="772">
        <f>'Major Assumption Key'!A53</f>
        <v>2054</v>
      </c>
      <c r="G41" s="864"/>
      <c r="H41" s="864"/>
      <c r="I41" s="864"/>
      <c r="J41" s="864"/>
      <c r="K41" s="773">
        <f t="shared" si="3"/>
        <v>0</v>
      </c>
      <c r="L41" s="773">
        <f t="shared" si="4"/>
        <v>0</v>
      </c>
      <c r="M41" s="773">
        <f t="shared" si="5"/>
        <v>0</v>
      </c>
      <c r="N41" s="773">
        <f t="shared" si="6"/>
        <v>0</v>
      </c>
      <c r="O41" s="784">
        <f>IF(AND($F41&gt;=MIN('Major Assumption Key'!$B$4),$F41&lt;=MAX('Major Assumption Key'!$B$6)),SUM(K41:N41),0)</f>
        <v>0</v>
      </c>
      <c r="P41" s="864"/>
      <c r="Q41" s="864"/>
      <c r="R41" s="864"/>
      <c r="S41" s="864"/>
      <c r="T41" s="773">
        <f t="shared" si="7"/>
        <v>0</v>
      </c>
      <c r="U41" s="773">
        <f t="shared" si="8"/>
        <v>0</v>
      </c>
      <c r="V41" s="773">
        <f t="shared" si="9"/>
        <v>0</v>
      </c>
      <c r="W41" s="773">
        <f t="shared" si="10"/>
        <v>0</v>
      </c>
      <c r="X41" s="855">
        <f>IF(AND($F41&gt;=MIN('Major Assumption Key'!$B$4),$F41&lt;=MAX('Major Assumption Key'!$B$6)),SUM(T41:W41),0)</f>
        <v>0</v>
      </c>
      <c r="Y41" s="26">
        <f t="shared" si="11"/>
        <v>0</v>
      </c>
      <c r="Z41" s="38">
        <f>Y41/(1+'Major Assumption Key'!$B$8)^($F41-'Major Assumption Key'!$B$7)</f>
        <v>0</v>
      </c>
      <c r="AA41" s="291"/>
      <c r="AB41" s="784">
        <f t="shared" si="12"/>
        <v>0</v>
      </c>
      <c r="AC41" s="855">
        <f t="shared" si="13"/>
        <v>0</v>
      </c>
      <c r="AD41" s="26">
        <f t="shared" si="14"/>
        <v>0</v>
      </c>
      <c r="AE41" s="38">
        <f t="shared" si="15"/>
        <v>0</v>
      </c>
    </row>
    <row r="42" spans="6:31" ht="19.95" customHeight="1">
      <c r="F42" s="772">
        <f>'Major Assumption Key'!A54</f>
        <v>2055</v>
      </c>
      <c r="G42" s="864"/>
      <c r="H42" s="864"/>
      <c r="I42" s="864"/>
      <c r="J42" s="864"/>
      <c r="K42" s="773">
        <f t="shared" si="3"/>
        <v>0</v>
      </c>
      <c r="L42" s="773">
        <f t="shared" si="4"/>
        <v>0</v>
      </c>
      <c r="M42" s="773">
        <f t="shared" si="5"/>
        <v>0</v>
      </c>
      <c r="N42" s="773">
        <f t="shared" si="6"/>
        <v>0</v>
      </c>
      <c r="O42" s="784">
        <f>IF(AND($F42&gt;=MIN('Major Assumption Key'!$B$4),$F42&lt;=MAX('Major Assumption Key'!$B$6)),SUM(K42:N42),0)</f>
        <v>0</v>
      </c>
      <c r="P42" s="864"/>
      <c r="Q42" s="864"/>
      <c r="R42" s="864"/>
      <c r="S42" s="864"/>
      <c r="T42" s="773">
        <f t="shared" si="7"/>
        <v>0</v>
      </c>
      <c r="U42" s="773">
        <f t="shared" si="8"/>
        <v>0</v>
      </c>
      <c r="V42" s="773">
        <f t="shared" si="9"/>
        <v>0</v>
      </c>
      <c r="W42" s="773">
        <f t="shared" si="10"/>
        <v>0</v>
      </c>
      <c r="X42" s="855">
        <f>IF(AND($F42&gt;=MIN('Major Assumption Key'!$B$4),$F42&lt;=MAX('Major Assumption Key'!$B$6)),SUM(T42:W42),0)</f>
        <v>0</v>
      </c>
      <c r="Y42" s="26">
        <f t="shared" si="11"/>
        <v>0</v>
      </c>
      <c r="Z42" s="38">
        <f>Y42/(1+'Major Assumption Key'!$B$8)^($F42-'Major Assumption Key'!$B$7)</f>
        <v>0</v>
      </c>
      <c r="AA42" s="291"/>
      <c r="AB42" s="784">
        <f t="shared" si="12"/>
        <v>0</v>
      </c>
      <c r="AC42" s="855">
        <f t="shared" si="13"/>
        <v>0</v>
      </c>
      <c r="AD42" s="26">
        <f t="shared" si="14"/>
        <v>0</v>
      </c>
      <c r="AE42" s="38">
        <f t="shared" si="15"/>
        <v>0</v>
      </c>
    </row>
    <row r="43" spans="6:31" ht="19.95" customHeight="1">
      <c r="F43" s="772">
        <f>'Major Assumption Key'!A55</f>
        <v>2056</v>
      </c>
      <c r="G43" s="864"/>
      <c r="H43" s="864"/>
      <c r="I43" s="864"/>
      <c r="J43" s="864"/>
      <c r="K43" s="773">
        <f t="shared" si="3"/>
        <v>0</v>
      </c>
      <c r="L43" s="773">
        <f t="shared" si="4"/>
        <v>0</v>
      </c>
      <c r="M43" s="773">
        <f t="shared" si="5"/>
        <v>0</v>
      </c>
      <c r="N43" s="773">
        <f t="shared" si="6"/>
        <v>0</v>
      </c>
      <c r="O43" s="784">
        <f>IF(AND($F43&gt;=MIN('Major Assumption Key'!$B$4),$F43&lt;=MAX('Major Assumption Key'!$B$6)),SUM(K43:N43),0)</f>
        <v>0</v>
      </c>
      <c r="P43" s="864"/>
      <c r="Q43" s="864"/>
      <c r="R43" s="864"/>
      <c r="S43" s="864"/>
      <c r="T43" s="773">
        <f t="shared" si="7"/>
        <v>0</v>
      </c>
      <c r="U43" s="773">
        <f t="shared" si="8"/>
        <v>0</v>
      </c>
      <c r="V43" s="773">
        <f t="shared" si="9"/>
        <v>0</v>
      </c>
      <c r="W43" s="773">
        <f t="shared" si="10"/>
        <v>0</v>
      </c>
      <c r="X43" s="855">
        <f>IF(AND($F43&gt;=MIN('Major Assumption Key'!$B$4),$F43&lt;=MAX('Major Assumption Key'!$B$6)),SUM(T43:W43),0)</f>
        <v>0</v>
      </c>
      <c r="Y43" s="26">
        <f t="shared" si="11"/>
        <v>0</v>
      </c>
      <c r="Z43" s="38">
        <f>Y43/(1+'Major Assumption Key'!$B$8)^($F43-'Major Assumption Key'!$B$7)</f>
        <v>0</v>
      </c>
      <c r="AA43" s="291"/>
      <c r="AB43" s="784">
        <f t="shared" si="12"/>
        <v>0</v>
      </c>
      <c r="AC43" s="855">
        <f t="shared" si="13"/>
        <v>0</v>
      </c>
      <c r="AD43" s="26">
        <f t="shared" si="14"/>
        <v>0</v>
      </c>
      <c r="AE43" s="38">
        <f t="shared" si="15"/>
        <v>0</v>
      </c>
    </row>
    <row r="44" spans="6:31" ht="19.95" customHeight="1">
      <c r="F44" s="772">
        <f>'Major Assumption Key'!A56</f>
        <v>2057</v>
      </c>
      <c r="G44" s="864"/>
      <c r="H44" s="864"/>
      <c r="I44" s="864"/>
      <c r="J44" s="864"/>
      <c r="K44" s="773">
        <f t="shared" si="3"/>
        <v>0</v>
      </c>
      <c r="L44" s="773">
        <f t="shared" si="4"/>
        <v>0</v>
      </c>
      <c r="M44" s="773">
        <f t="shared" si="5"/>
        <v>0</v>
      </c>
      <c r="N44" s="773">
        <f t="shared" si="6"/>
        <v>0</v>
      </c>
      <c r="O44" s="784">
        <f>IF(AND($F44&gt;=MIN('Major Assumption Key'!$B$4),$F44&lt;=MAX('Major Assumption Key'!$B$6)),SUM(K44:N44),0)</f>
        <v>0</v>
      </c>
      <c r="P44" s="864"/>
      <c r="Q44" s="864"/>
      <c r="R44" s="864"/>
      <c r="S44" s="864"/>
      <c r="T44" s="773">
        <f t="shared" si="7"/>
        <v>0</v>
      </c>
      <c r="U44" s="773">
        <f t="shared" si="8"/>
        <v>0</v>
      </c>
      <c r="V44" s="773">
        <f t="shared" si="9"/>
        <v>0</v>
      </c>
      <c r="W44" s="773">
        <f t="shared" si="10"/>
        <v>0</v>
      </c>
      <c r="X44" s="855">
        <f>IF(AND($F44&gt;=MIN('Major Assumption Key'!$B$4),$F44&lt;=MAX('Major Assumption Key'!$B$6)),SUM(T44:W44),0)</f>
        <v>0</v>
      </c>
      <c r="Y44" s="26">
        <f t="shared" si="11"/>
        <v>0</v>
      </c>
      <c r="Z44" s="38">
        <f>Y44/(1+'Major Assumption Key'!$B$8)^($F44-'Major Assumption Key'!$B$7)</f>
        <v>0</v>
      </c>
      <c r="AA44" s="291"/>
      <c r="AB44" s="784">
        <f t="shared" si="12"/>
        <v>0</v>
      </c>
      <c r="AC44" s="855">
        <f t="shared" si="13"/>
        <v>0</v>
      </c>
      <c r="AD44" s="26">
        <f t="shared" si="14"/>
        <v>0</v>
      </c>
      <c r="AE44" s="38">
        <f t="shared" si="15"/>
        <v>0</v>
      </c>
    </row>
    <row r="45" spans="6:31" ht="19.95" customHeight="1">
      <c r="F45" s="772">
        <f>'Major Assumption Key'!A57</f>
        <v>2058</v>
      </c>
      <c r="G45" s="864"/>
      <c r="H45" s="864"/>
      <c r="I45" s="864"/>
      <c r="J45" s="864"/>
      <c r="K45" s="773">
        <f t="shared" si="3"/>
        <v>0</v>
      </c>
      <c r="L45" s="773">
        <f t="shared" si="4"/>
        <v>0</v>
      </c>
      <c r="M45" s="773">
        <f t="shared" si="5"/>
        <v>0</v>
      </c>
      <c r="N45" s="773">
        <f t="shared" si="6"/>
        <v>0</v>
      </c>
      <c r="O45" s="784">
        <f>IF(AND($F45&gt;=MIN('Major Assumption Key'!$B$4),$F45&lt;=MAX('Major Assumption Key'!$B$6)),SUM(K45:N45),0)</f>
        <v>0</v>
      </c>
      <c r="P45" s="864"/>
      <c r="Q45" s="864"/>
      <c r="R45" s="864"/>
      <c r="S45" s="864"/>
      <c r="T45" s="773">
        <f t="shared" si="7"/>
        <v>0</v>
      </c>
      <c r="U45" s="773">
        <f t="shared" si="8"/>
        <v>0</v>
      </c>
      <c r="V45" s="773">
        <f t="shared" si="9"/>
        <v>0</v>
      </c>
      <c r="W45" s="773">
        <f t="shared" si="10"/>
        <v>0</v>
      </c>
      <c r="X45" s="855">
        <f>IF(AND($F45&gt;=MIN('Major Assumption Key'!$B$4),$F45&lt;=MAX('Major Assumption Key'!$B$6)),SUM(T45:W45),0)</f>
        <v>0</v>
      </c>
      <c r="Y45" s="26">
        <f t="shared" si="11"/>
        <v>0</v>
      </c>
      <c r="Z45" s="38">
        <f>Y45/(1+'Major Assumption Key'!$B$8)^($F45-'Major Assumption Key'!$B$7)</f>
        <v>0</v>
      </c>
      <c r="AA45" s="291"/>
      <c r="AB45" s="784">
        <f t="shared" si="12"/>
        <v>0</v>
      </c>
      <c r="AC45" s="855">
        <f t="shared" si="13"/>
        <v>0</v>
      </c>
      <c r="AD45" s="26">
        <f t="shared" si="14"/>
        <v>0</v>
      </c>
      <c r="AE45" s="38">
        <f t="shared" si="15"/>
        <v>0</v>
      </c>
    </row>
    <row r="46" spans="6:31" ht="19.95" customHeight="1">
      <c r="F46" s="772">
        <f>'Major Assumption Key'!A58</f>
        <v>2059</v>
      </c>
      <c r="G46" s="864"/>
      <c r="H46" s="864"/>
      <c r="I46" s="864"/>
      <c r="J46" s="864"/>
      <c r="K46" s="773">
        <f t="shared" ref="K46:K47" si="16">G46*$B$23</f>
        <v>0</v>
      </c>
      <c r="L46" s="773">
        <f t="shared" ref="L46:L47" si="17">H46*$B$23/2</f>
        <v>0</v>
      </c>
      <c r="M46" s="773">
        <f t="shared" ref="M46:M47" si="18">I46*$B$26</f>
        <v>0</v>
      </c>
      <c r="N46" s="773">
        <f t="shared" ref="N46:N47" si="19">J46*$B$26/2</f>
        <v>0</v>
      </c>
      <c r="O46" s="784">
        <f>IF(AND($F46&gt;=MIN('Major Assumption Key'!$B$4),$F46&lt;=MAX('Major Assumption Key'!$B$6)),SUM(K46:N46),0)</f>
        <v>0</v>
      </c>
      <c r="P46" s="864"/>
      <c r="Q46" s="864"/>
      <c r="R46" s="864"/>
      <c r="S46" s="864"/>
      <c r="T46" s="773">
        <f t="shared" ref="T46:T47" si="20">P46*$B$23</f>
        <v>0</v>
      </c>
      <c r="U46" s="773">
        <f t="shared" ref="U46:U47" si="21">Q46*$B$23/2</f>
        <v>0</v>
      </c>
      <c r="V46" s="773">
        <f t="shared" ref="V46:V47" si="22">R46*$B$26</f>
        <v>0</v>
      </c>
      <c r="W46" s="773">
        <f t="shared" ref="W46:W47" si="23">S46*$B$26/2</f>
        <v>0</v>
      </c>
      <c r="X46" s="855">
        <f>IF(AND($F46&gt;=MIN('Major Assumption Key'!$B$4),$F46&lt;=MAX('Major Assumption Key'!$B$6)),SUM(T46:W46),0)</f>
        <v>0</v>
      </c>
      <c r="Y46" s="26">
        <f t="shared" ref="Y46:Y47" si="24">X46-O46</f>
        <v>0</v>
      </c>
      <c r="Z46" s="38">
        <f>Y46/(1+'Major Assumption Key'!$B$8)^($F46-'Major Assumption Key'!$B$7)</f>
        <v>0</v>
      </c>
      <c r="AA46" s="291"/>
      <c r="AB46" s="784">
        <f t="shared" ref="AB46:AB47" si="25">ROUND(O46,-3)</f>
        <v>0</v>
      </c>
      <c r="AC46" s="855">
        <f t="shared" ref="AC46:AC47" si="26">ROUND(X46,-3)</f>
        <v>0</v>
      </c>
      <c r="AD46" s="26">
        <f t="shared" ref="AD46:AD47" si="27">ROUND(Y46,-3)</f>
        <v>0</v>
      </c>
      <c r="AE46" s="38">
        <f t="shared" ref="AE46:AE47" si="28">ROUND(Z46,-3)</f>
        <v>0</v>
      </c>
    </row>
    <row r="47" spans="6:31" ht="19.95" customHeight="1">
      <c r="F47" s="772">
        <f>'Major Assumption Key'!A59</f>
        <v>2060</v>
      </c>
      <c r="G47" s="864"/>
      <c r="H47" s="864"/>
      <c r="I47" s="864"/>
      <c r="J47" s="864"/>
      <c r="K47" s="773">
        <f t="shared" si="16"/>
        <v>0</v>
      </c>
      <c r="L47" s="773">
        <f t="shared" si="17"/>
        <v>0</v>
      </c>
      <c r="M47" s="773">
        <f t="shared" si="18"/>
        <v>0</v>
      </c>
      <c r="N47" s="773">
        <f t="shared" si="19"/>
        <v>0</v>
      </c>
      <c r="O47" s="784">
        <f>IF(AND($F47&gt;=MIN('Major Assumption Key'!$B$4),$F47&lt;=MAX('Major Assumption Key'!$B$6)),SUM(K47:N47),0)</f>
        <v>0</v>
      </c>
      <c r="P47" s="864"/>
      <c r="Q47" s="864"/>
      <c r="R47" s="864"/>
      <c r="S47" s="864"/>
      <c r="T47" s="773">
        <f t="shared" si="20"/>
        <v>0</v>
      </c>
      <c r="U47" s="773">
        <f t="shared" si="21"/>
        <v>0</v>
      </c>
      <c r="V47" s="773">
        <f t="shared" si="22"/>
        <v>0</v>
      </c>
      <c r="W47" s="773">
        <f t="shared" si="23"/>
        <v>0</v>
      </c>
      <c r="X47" s="855">
        <f>IF(AND($F47&gt;=MIN('Major Assumption Key'!$B$4),$F47&lt;=MAX('Major Assumption Key'!$B$6)),SUM(T47:W47),0)</f>
        <v>0</v>
      </c>
      <c r="Y47" s="26">
        <f t="shared" si="24"/>
        <v>0</v>
      </c>
      <c r="Z47" s="38">
        <f>Y47/(1+'Major Assumption Key'!$B$8)^($F47-'Major Assumption Key'!$B$7)</f>
        <v>0</v>
      </c>
      <c r="AA47" s="291"/>
      <c r="AB47" s="784">
        <f t="shared" si="25"/>
        <v>0</v>
      </c>
      <c r="AC47" s="855">
        <f t="shared" si="26"/>
        <v>0</v>
      </c>
      <c r="AD47" s="26">
        <f t="shared" si="27"/>
        <v>0</v>
      </c>
      <c r="AE47" s="38">
        <f t="shared" si="28"/>
        <v>0</v>
      </c>
    </row>
    <row r="48" spans="6:31" ht="19.95" customHeight="1" thickBot="1">
      <c r="F48" s="115" t="s">
        <v>504</v>
      </c>
      <c r="G48" s="116"/>
      <c r="H48" s="116"/>
      <c r="I48" s="116"/>
      <c r="J48" s="116"/>
      <c r="K48" s="116"/>
      <c r="L48" s="27"/>
      <c r="M48" s="27"/>
      <c r="N48" s="27"/>
      <c r="O48" s="118">
        <f>SUM(O7:O46)</f>
        <v>0</v>
      </c>
      <c r="P48" s="116"/>
      <c r="Q48" s="116"/>
      <c r="R48" s="116"/>
      <c r="S48" s="116"/>
      <c r="T48" s="116"/>
      <c r="U48" s="27"/>
      <c r="V48" s="27"/>
      <c r="W48" s="27"/>
      <c r="X48" s="119">
        <f>SUM(X7:X47)</f>
        <v>0</v>
      </c>
      <c r="Y48" s="19">
        <f>SUM(Y7:Y47)</f>
        <v>0</v>
      </c>
      <c r="Z48" s="20">
        <f>SUM(Z7:Z47)</f>
        <v>0</v>
      </c>
      <c r="AA48" s="291"/>
      <c r="AB48" s="118">
        <f>ROUND(O48,-3)</f>
        <v>0</v>
      </c>
      <c r="AC48" s="119">
        <f>ROUND(X48,-3)</f>
        <v>0</v>
      </c>
      <c r="AD48" s="19">
        <f>ROUND(Y48,-3)</f>
        <v>0</v>
      </c>
      <c r="AE48" s="20">
        <f>ROUND(Z48,-3)</f>
        <v>0</v>
      </c>
    </row>
    <row r="49" spans="7:30" ht="19.5" customHeight="1">
      <c r="G49" s="51"/>
      <c r="H49" s="51"/>
      <c r="I49" s="51"/>
      <c r="J49" s="51"/>
      <c r="O49" s="51"/>
      <c r="P49" s="51"/>
      <c r="Q49" s="51"/>
      <c r="R49" s="51"/>
      <c r="S49" s="51"/>
      <c r="X49" s="51"/>
    </row>
    <row r="50" spans="7:30" ht="19.95" customHeight="1"/>
    <row r="51" spans="7:30" ht="19.95" customHeight="1"/>
    <row r="52" spans="7:30" ht="19.95" customHeight="1">
      <c r="AD52" s="767"/>
    </row>
    <row r="53" spans="7:30" ht="19.95" customHeight="1"/>
    <row r="54" spans="7:30" ht="19.95" customHeight="1"/>
    <row r="55" spans="7:30" ht="19.95"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20"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21875" defaultRowHeight="14.4"/>
  <cols>
    <col min="1" max="1" width="67.21875" style="347" customWidth="1"/>
    <col min="2" max="2" width="43.77734375" style="3" bestFit="1" customWidth="1"/>
    <col min="3" max="3" width="28.21875" style="3" customWidth="1"/>
    <col min="4" max="4" width="36.5546875" style="3" customWidth="1"/>
    <col min="5" max="5" width="7.5546875" style="3" customWidth="1"/>
    <col min="6" max="6" width="31" style="3" customWidth="1"/>
    <col min="7" max="8" width="19.77734375" style="3" customWidth="1"/>
    <col min="9" max="9" width="36.21875" style="3" bestFit="1" customWidth="1"/>
    <col min="10" max="10" width="36.21875" style="3" customWidth="1"/>
    <col min="11" max="13" width="19.77734375" style="3" customWidth="1"/>
    <col min="14" max="14" width="36.21875" style="3" bestFit="1" customWidth="1"/>
    <col min="15" max="15" width="36.21875" style="3" customWidth="1"/>
    <col min="16" max="16" width="19.77734375" style="3" customWidth="1"/>
    <col min="17" max="17" width="20" style="3" bestFit="1" customWidth="1"/>
    <col min="18" max="18" width="18.21875" style="3" bestFit="1" customWidth="1"/>
    <col min="19" max="19" width="9.21875" style="13"/>
    <col min="20" max="20" width="22.44140625" style="13" customWidth="1"/>
    <col min="21" max="21" width="24.5546875" style="13" customWidth="1"/>
    <col min="22" max="23" width="17" style="13" customWidth="1"/>
    <col min="24" max="29" width="9.21875" style="13"/>
    <col min="40" max="40" width="9.21875" style="13"/>
    <col min="41" max="41" width="11.21875" style="13" bestFit="1" customWidth="1"/>
    <col min="42" max="16384" width="9.21875" style="13"/>
  </cols>
  <sheetData>
    <row r="1" spans="1:23" ht="25.2" customHeight="1">
      <c r="A1" s="306" t="s">
        <v>185</v>
      </c>
      <c r="B1" s="42" t="s">
        <v>1258</v>
      </c>
      <c r="C1" s="766"/>
      <c r="D1" s="766"/>
      <c r="E1" s="766"/>
      <c r="F1" s="33" t="s">
        <v>187</v>
      </c>
    </row>
    <row r="2" spans="1:23" ht="15" thickBot="1">
      <c r="A2" s="854"/>
      <c r="B2" s="767"/>
      <c r="C2" s="767"/>
      <c r="D2" s="767"/>
      <c r="E2" s="767"/>
    </row>
    <row r="3" spans="1:23" ht="60" customHeight="1">
      <c r="A3" s="345" t="s">
        <v>482</v>
      </c>
      <c r="B3" s="1884" t="s">
        <v>1259</v>
      </c>
      <c r="C3" s="1884"/>
      <c r="D3" s="1884"/>
      <c r="E3" s="769"/>
      <c r="F3" s="1972" t="s">
        <v>484</v>
      </c>
      <c r="G3" s="1973"/>
      <c r="H3" s="1973"/>
      <c r="I3" s="1973"/>
      <c r="J3" s="1973"/>
      <c r="K3" s="1973"/>
      <c r="L3" s="1973"/>
      <c r="M3" s="1973"/>
      <c r="N3" s="1973"/>
      <c r="O3" s="1973"/>
      <c r="P3" s="1973"/>
      <c r="Q3" s="1973"/>
      <c r="R3" s="1974"/>
      <c r="T3" s="1975" t="s">
        <v>420</v>
      </c>
      <c r="U3" s="1975"/>
      <c r="V3" s="1975"/>
      <c r="W3" s="1975"/>
    </row>
    <row r="4" spans="1:23" ht="18">
      <c r="A4" s="771"/>
      <c r="B4" s="771"/>
      <c r="C4" s="771"/>
      <c r="D4" s="771"/>
      <c r="E4" s="769"/>
      <c r="F4" s="22" t="s">
        <v>485</v>
      </c>
      <c r="G4" s="21" t="s">
        <v>66</v>
      </c>
      <c r="H4" s="21" t="s">
        <v>66</v>
      </c>
      <c r="I4" s="21" t="s">
        <v>66</v>
      </c>
      <c r="J4" s="21" t="s">
        <v>66</v>
      </c>
      <c r="K4" s="28" t="s">
        <v>66</v>
      </c>
      <c r="L4" s="21" t="s">
        <v>131</v>
      </c>
      <c r="M4" s="21" t="s">
        <v>131</v>
      </c>
      <c r="N4" s="21" t="s">
        <v>131</v>
      </c>
      <c r="O4" s="21" t="s">
        <v>131</v>
      </c>
      <c r="P4" s="30" t="s">
        <v>131</v>
      </c>
      <c r="Q4" s="1933" t="s">
        <v>488</v>
      </c>
      <c r="R4" s="1934"/>
      <c r="S4" s="291"/>
      <c r="T4" s="28" t="s">
        <v>66</v>
      </c>
      <c r="U4" s="30" t="s">
        <v>131</v>
      </c>
      <c r="V4" s="1933" t="s">
        <v>488</v>
      </c>
      <c r="W4" s="1934"/>
    </row>
    <row r="5" spans="1:23" ht="60" customHeight="1" thickBot="1">
      <c r="A5" s="346" t="s">
        <v>489</v>
      </c>
      <c r="B5" s="1976" t="s">
        <v>1260</v>
      </c>
      <c r="C5" s="1976"/>
      <c r="D5" s="1976"/>
      <c r="E5" s="767"/>
      <c r="F5" s="32" t="s">
        <v>491</v>
      </c>
      <c r="G5" s="15" t="s">
        <v>1166</v>
      </c>
      <c r="H5" s="15" t="s">
        <v>1167</v>
      </c>
      <c r="I5" s="15" t="s">
        <v>494</v>
      </c>
      <c r="J5" s="15" t="s">
        <v>1168</v>
      </c>
      <c r="K5" s="29" t="s">
        <v>15</v>
      </c>
      <c r="L5" s="15" t="s">
        <v>1166</v>
      </c>
      <c r="M5" s="15" t="s">
        <v>1167</v>
      </c>
      <c r="N5" s="15" t="s">
        <v>494</v>
      </c>
      <c r="O5" s="15" t="s">
        <v>1168</v>
      </c>
      <c r="P5" s="31" t="s">
        <v>15</v>
      </c>
      <c r="Q5" s="1935"/>
      <c r="R5" s="1936"/>
      <c r="S5" s="291"/>
      <c r="T5" s="29" t="s">
        <v>15</v>
      </c>
      <c r="U5" s="31" t="s">
        <v>15</v>
      </c>
      <c r="V5" s="1935"/>
      <c r="W5" s="1936"/>
    </row>
    <row r="6" spans="1:23" ht="57.6">
      <c r="A6" s="1980"/>
      <c r="B6" s="1980"/>
      <c r="C6" s="1980"/>
      <c r="D6" s="1980"/>
      <c r="E6" s="767"/>
      <c r="F6" s="32"/>
      <c r="G6" s="280" t="s">
        <v>1200</v>
      </c>
      <c r="H6" s="280" t="s">
        <v>1209</v>
      </c>
      <c r="I6" s="15" t="s">
        <v>1261</v>
      </c>
      <c r="J6" s="15" t="s">
        <v>1262</v>
      </c>
      <c r="K6" s="29" t="s">
        <v>459</v>
      </c>
      <c r="L6" s="280" t="s">
        <v>1200</v>
      </c>
      <c r="M6" s="280" t="s">
        <v>1209</v>
      </c>
      <c r="N6" s="15" t="s">
        <v>1261</v>
      </c>
      <c r="O6" s="15" t="s">
        <v>1262</v>
      </c>
      <c r="P6" s="31" t="s">
        <v>459</v>
      </c>
      <c r="Q6" s="23" t="s">
        <v>419</v>
      </c>
      <c r="R6" s="24" t="str">
        <f>"Discounted @ "&amp;TEXT('Major Assumption Key'!$B$8,"0.0%")</f>
        <v>Discounted @ 3.1%</v>
      </c>
      <c r="S6" s="291"/>
      <c r="T6" s="29" t="s">
        <v>459</v>
      </c>
      <c r="U6" s="31" t="s">
        <v>459</v>
      </c>
      <c r="V6" s="23" t="s">
        <v>419</v>
      </c>
      <c r="W6" s="24" t="str">
        <f>"Discounted @ "&amp;TEXT('Major Assumption Key'!$B$8,"0.0%")</f>
        <v>Discounted @ 3.1%</v>
      </c>
    </row>
    <row r="7" spans="1:23" ht="19.95" customHeight="1">
      <c r="C7" s="767"/>
      <c r="D7" s="767"/>
      <c r="E7" s="767"/>
      <c r="F7" s="772">
        <f>'Major Assumption Key'!A19</f>
        <v>2020</v>
      </c>
      <c r="G7" s="864">
        <f>_xlfn.XLOOKUP(F7,'Transit Demand'!A:A,'Transit Demand'!B:B,,0)</f>
        <v>17034</v>
      </c>
      <c r="H7" s="864">
        <v>0</v>
      </c>
      <c r="I7" s="773">
        <f>G7*$B$21</f>
        <v>0</v>
      </c>
      <c r="J7" s="773">
        <f>H7*$B$21/2</f>
        <v>0</v>
      </c>
      <c r="K7" s="784">
        <f>IF(AND($F7&gt;=MIN('Major Assumption Key'!$B$4),$F7&lt;=MAX('Major Assumption Key'!$B$6)),I7+J7,0)</f>
        <v>0</v>
      </c>
      <c r="L7" s="864">
        <f>_xlfn.XLOOKUP(F7,'Transit Demand'!A:A,'Transit Demand'!B:B,,0)</f>
        <v>17034</v>
      </c>
      <c r="M7" s="864">
        <f>_xlfn.XLOOKUP(F7,'Transit Demand'!A:A,'Transit Demand'!D:D,,0)</f>
        <v>0</v>
      </c>
      <c r="N7" s="773">
        <f>L7*$B$21</f>
        <v>0</v>
      </c>
      <c r="O7" s="773">
        <f>M7*$B$21/2</f>
        <v>0</v>
      </c>
      <c r="P7" s="855">
        <f>IF(AND($F7&gt;=MIN('Major Assumption Key'!$B$4),$F7&lt;=MAX('Major Assumption Key'!$B$6)),N7+O7,0)</f>
        <v>0</v>
      </c>
      <c r="Q7" s="26">
        <f t="shared" ref="Q7" si="0">P7-K7</f>
        <v>0</v>
      </c>
      <c r="R7" s="38">
        <f>Q7/(1+'Major Assumption Key'!$B$8)^($F7-'Major Assumption Key'!$B$7)</f>
        <v>0</v>
      </c>
      <c r="S7" s="291"/>
      <c r="T7" s="784">
        <f t="shared" ref="T7" si="1">ROUND(K7,-3)</f>
        <v>0</v>
      </c>
      <c r="U7" s="855">
        <f t="shared" ref="U7:W48" si="2">ROUND(P7,-3)</f>
        <v>0</v>
      </c>
      <c r="V7" s="26">
        <f t="shared" si="2"/>
        <v>0</v>
      </c>
      <c r="W7" s="38">
        <f t="shared" si="2"/>
        <v>0</v>
      </c>
    </row>
    <row r="8" spans="1:23" ht="19.95" customHeight="1">
      <c r="A8" s="854"/>
      <c r="B8" s="767"/>
      <c r="C8" s="767"/>
      <c r="D8" s="767"/>
      <c r="E8" s="767"/>
      <c r="F8" s="772">
        <f>'Major Assumption Key'!A20</f>
        <v>2021</v>
      </c>
      <c r="G8" s="864">
        <f>_xlfn.XLOOKUP(F8,'Transit Demand'!A:A,'Transit Demand'!B:B,,0)</f>
        <v>17100.502895490852</v>
      </c>
      <c r="H8" s="864">
        <v>1</v>
      </c>
      <c r="I8" s="773">
        <f t="shared" ref="I8:I47" si="3">G8*$B$21</f>
        <v>0</v>
      </c>
      <c r="J8" s="773">
        <f t="shared" ref="J8:J47" si="4">H8*$B$21/2</f>
        <v>0</v>
      </c>
      <c r="K8" s="784">
        <f>IF(AND($F8&gt;=MIN('Major Assumption Key'!$B$4),$F8&lt;=MAX('Major Assumption Key'!$B$6)),I8+J8,0)</f>
        <v>0</v>
      </c>
      <c r="L8" s="864">
        <f>_xlfn.XLOOKUP(F8,'Transit Demand'!A:A,'Transit Demand'!B:B,,0)</f>
        <v>17100.502895490852</v>
      </c>
      <c r="M8" s="864">
        <f>_xlfn.XLOOKUP(F8,'Transit Demand'!A:A,'Transit Demand'!D:D,,0)</f>
        <v>0</v>
      </c>
      <c r="N8" s="773">
        <f t="shared" ref="N8:N47" si="5">L8*$B$21</f>
        <v>0</v>
      </c>
      <c r="O8" s="773">
        <f t="shared" ref="O8:O47" si="6">M8*$B$21/2</f>
        <v>0</v>
      </c>
      <c r="P8" s="855">
        <f>IF(AND($F8&gt;=MIN('Major Assumption Key'!$B$4),$F8&lt;=MAX('Major Assumption Key'!$B$6)),N8+O8,0)</f>
        <v>0</v>
      </c>
      <c r="Q8" s="26">
        <f t="shared" ref="Q8:Q47" si="7">P8-K8</f>
        <v>0</v>
      </c>
      <c r="R8" s="38">
        <f>Q8/(1+'Major Assumption Key'!$B$8)^($F8-'Major Assumption Key'!$B$7)</f>
        <v>0</v>
      </c>
      <c r="S8" s="291"/>
      <c r="T8" s="784">
        <f t="shared" ref="T8:T47" si="8">ROUND(K8,-3)</f>
        <v>0</v>
      </c>
      <c r="U8" s="855">
        <f t="shared" ref="U8:U47" si="9">ROUND(P8,-3)</f>
        <v>0</v>
      </c>
      <c r="V8" s="26">
        <f t="shared" ref="V8:V47" si="10">ROUND(Q8,-3)</f>
        <v>0</v>
      </c>
      <c r="W8" s="38">
        <f t="shared" ref="W8:W47" si="11">ROUND(R8,-3)</f>
        <v>0</v>
      </c>
    </row>
    <row r="9" spans="1:23" ht="19.95" customHeight="1">
      <c r="A9" s="1888" t="s">
        <v>432</v>
      </c>
      <c r="B9" s="1889"/>
      <c r="C9" s="1889"/>
      <c r="D9" s="1890"/>
      <c r="E9" s="767"/>
      <c r="F9" s="772">
        <f>'Major Assumption Key'!A21</f>
        <v>2022</v>
      </c>
      <c r="G9" s="864">
        <f>_xlfn.XLOOKUP(F9,'Transit Demand'!A:A,'Transit Demand'!B:B,,0)</f>
        <v>17167.265426716625</v>
      </c>
      <c r="H9" s="864">
        <v>2</v>
      </c>
      <c r="I9" s="773">
        <f t="shared" si="3"/>
        <v>0</v>
      </c>
      <c r="J9" s="773">
        <f t="shared" si="4"/>
        <v>0</v>
      </c>
      <c r="K9" s="784">
        <f>IF(AND($F9&gt;=MIN('Major Assumption Key'!$B$4),$F9&lt;=MAX('Major Assumption Key'!$B$6)),I9+J9,0)</f>
        <v>0</v>
      </c>
      <c r="L9" s="864">
        <f>_xlfn.XLOOKUP(F9,'Transit Demand'!A:A,'Transit Demand'!B:B,,0)</f>
        <v>17167.265426716625</v>
      </c>
      <c r="M9" s="864">
        <f>_xlfn.XLOOKUP(F9,'Transit Demand'!A:A,'Transit Demand'!D:D,,0)</f>
        <v>0</v>
      </c>
      <c r="N9" s="773">
        <f t="shared" si="5"/>
        <v>0</v>
      </c>
      <c r="O9" s="773">
        <f t="shared" si="6"/>
        <v>0</v>
      </c>
      <c r="P9" s="855">
        <f>IF(AND($F9&gt;=MIN('Major Assumption Key'!$B$4),$F9&lt;=MAX('Major Assumption Key'!$B$6)),N9+O9,0)</f>
        <v>0</v>
      </c>
      <c r="Q9" s="26">
        <f t="shared" si="7"/>
        <v>0</v>
      </c>
      <c r="R9" s="38">
        <f>Q9/(1+'Major Assumption Key'!$B$8)^($F9-'Major Assumption Key'!$B$7)</f>
        <v>0</v>
      </c>
      <c r="S9" s="291"/>
      <c r="T9" s="784">
        <f t="shared" si="8"/>
        <v>0</v>
      </c>
      <c r="U9" s="855">
        <f t="shared" si="9"/>
        <v>0</v>
      </c>
      <c r="V9" s="26">
        <f t="shared" si="10"/>
        <v>0</v>
      </c>
      <c r="W9" s="38">
        <f t="shared" si="11"/>
        <v>0</v>
      </c>
    </row>
    <row r="10" spans="1:23" ht="19.95" customHeight="1">
      <c r="A10" s="1891" t="s">
        <v>418</v>
      </c>
      <c r="B10" s="1891"/>
      <c r="C10" s="49" t="s">
        <v>419</v>
      </c>
      <c r="D10" s="49" t="str">
        <f>_xlfn.CONCAT("Discounted @",TEXT('Major Assumption Key'!B8,"0.0%"))</f>
        <v>Discounted @3.1%</v>
      </c>
      <c r="E10" s="767"/>
      <c r="F10" s="772">
        <f>'Major Assumption Key'!A22</f>
        <v>2023</v>
      </c>
      <c r="G10" s="864">
        <f>_xlfn.XLOOKUP(F10,'Transit Demand'!A:A,'Transit Demand'!B:B,,0)</f>
        <v>17234.288607328148</v>
      </c>
      <c r="H10" s="864">
        <v>3</v>
      </c>
      <c r="I10" s="773">
        <f t="shared" si="3"/>
        <v>0</v>
      </c>
      <c r="J10" s="773">
        <f t="shared" si="4"/>
        <v>0</v>
      </c>
      <c r="K10" s="784">
        <f>IF(AND($F10&gt;=MIN('Major Assumption Key'!$B$4),$F10&lt;=MAX('Major Assumption Key'!$B$6)),I10+J10,0)</f>
        <v>0</v>
      </c>
      <c r="L10" s="864">
        <f>_xlfn.XLOOKUP(F10,'Transit Demand'!A:A,'Transit Demand'!B:B,,0)</f>
        <v>17234.288607328148</v>
      </c>
      <c r="M10" s="864">
        <f>_xlfn.XLOOKUP(F10,'Transit Demand'!A:A,'Transit Demand'!D:D,,0)</f>
        <v>0</v>
      </c>
      <c r="N10" s="773">
        <f t="shared" si="5"/>
        <v>0</v>
      </c>
      <c r="O10" s="773">
        <f t="shared" si="6"/>
        <v>0</v>
      </c>
      <c r="P10" s="855">
        <f>IF(AND($F10&gt;=MIN('Major Assumption Key'!$B$4),$F10&lt;=MAX('Major Assumption Key'!$B$6)),N10+O10,0)</f>
        <v>0</v>
      </c>
      <c r="Q10" s="26">
        <f t="shared" si="7"/>
        <v>0</v>
      </c>
      <c r="R10" s="38">
        <f>Q10/(1+'Major Assumption Key'!$B$8)^($F10-'Major Assumption Key'!$B$7)</f>
        <v>0</v>
      </c>
      <c r="S10" s="291"/>
      <c r="T10" s="784">
        <f t="shared" si="8"/>
        <v>0</v>
      </c>
      <c r="U10" s="855">
        <f t="shared" si="9"/>
        <v>0</v>
      </c>
      <c r="V10" s="26">
        <f t="shared" si="10"/>
        <v>0</v>
      </c>
      <c r="W10" s="38">
        <f t="shared" si="11"/>
        <v>0</v>
      </c>
    </row>
    <row r="11" spans="1:23" ht="19.95" customHeight="1">
      <c r="A11" s="1892" t="s">
        <v>11</v>
      </c>
      <c r="B11" s="1892"/>
      <c r="C11" s="56">
        <f>'BCA Summary'!$H$7</f>
        <v>1.0111569298276737</v>
      </c>
      <c r="D11" s="56">
        <f>'BCA Summary'!$I$7</f>
        <v>0.6276932096418345</v>
      </c>
      <c r="E11" s="767"/>
      <c r="F11" s="772">
        <f>'Major Assumption Key'!A23</f>
        <v>2024</v>
      </c>
      <c r="G11" s="864">
        <f>_xlfn.XLOOKUP(F11,'Transit Demand'!A:A,'Transit Demand'!B:B,,0)</f>
        <v>17301.573454933663</v>
      </c>
      <c r="H11" s="864">
        <v>4</v>
      </c>
      <c r="I11" s="773">
        <f t="shared" si="3"/>
        <v>0</v>
      </c>
      <c r="J11" s="773">
        <f t="shared" si="4"/>
        <v>0</v>
      </c>
      <c r="K11" s="784">
        <f>IF(AND($F11&gt;=MIN('Major Assumption Key'!$B$4),$F11&lt;=MAX('Major Assumption Key'!$B$6)),I11+J11,0)</f>
        <v>0</v>
      </c>
      <c r="L11" s="864">
        <f>_xlfn.XLOOKUP(F11,'Transit Demand'!A:A,'Transit Demand'!B:B,,0)</f>
        <v>17301.573454933663</v>
      </c>
      <c r="M11" s="864">
        <f>_xlfn.XLOOKUP(F11,'Transit Demand'!A:A,'Transit Demand'!D:D,,0)</f>
        <v>0</v>
      </c>
      <c r="N11" s="773">
        <f t="shared" si="5"/>
        <v>0</v>
      </c>
      <c r="O11" s="773">
        <f t="shared" si="6"/>
        <v>0</v>
      </c>
      <c r="P11" s="855">
        <f>IF(AND($F11&gt;=MIN('Major Assumption Key'!$B$4),$F11&lt;=MAX('Major Assumption Key'!$B$6)),N11+O11,0)</f>
        <v>0</v>
      </c>
      <c r="Q11" s="26">
        <f t="shared" si="7"/>
        <v>0</v>
      </c>
      <c r="R11" s="38">
        <f>Q11/(1+'Major Assumption Key'!$B$8)^($F11-'Major Assumption Key'!$B$7)</f>
        <v>0</v>
      </c>
      <c r="S11" s="291"/>
      <c r="T11" s="784">
        <f t="shared" si="8"/>
        <v>0</v>
      </c>
      <c r="U11" s="855">
        <f t="shared" si="9"/>
        <v>0</v>
      </c>
      <c r="V11" s="26">
        <f t="shared" si="10"/>
        <v>0</v>
      </c>
      <c r="W11" s="38">
        <f t="shared" si="11"/>
        <v>0</v>
      </c>
    </row>
    <row r="12" spans="1:23" ht="19.95" customHeight="1">
      <c r="A12" s="1892" t="s">
        <v>12</v>
      </c>
      <c r="B12" s="1892"/>
      <c r="C12" s="49">
        <f>'BCA Summary'!$H$8</f>
        <v>236636.98382712901</v>
      </c>
      <c r="D12" s="49">
        <f>'BCA Summary'!$I$8</f>
        <v>-6930297.4454113934</v>
      </c>
      <c r="E12" s="767"/>
      <c r="F12" s="772">
        <f>'Major Assumption Key'!A24</f>
        <v>2025</v>
      </c>
      <c r="G12" s="864">
        <f>_xlfn.XLOOKUP(F12,'Transit Demand'!A:A,'Transit Demand'!B:B,,0)</f>
        <v>17369.120991114287</v>
      </c>
      <c r="H12" s="864">
        <v>5</v>
      </c>
      <c r="I12" s="773">
        <f t="shared" si="3"/>
        <v>0</v>
      </c>
      <c r="J12" s="773">
        <f t="shared" si="4"/>
        <v>0</v>
      </c>
      <c r="K12" s="784">
        <f>IF(AND($F12&gt;=MIN('Major Assumption Key'!$B$4),$F12&lt;=MAX('Major Assumption Key'!$B$6)),I12+J12,0)</f>
        <v>0</v>
      </c>
      <c r="L12" s="864">
        <f>_xlfn.XLOOKUP(F12,'Transit Demand'!A:A,'Transit Demand'!B:B,,0)</f>
        <v>17369.120991114287</v>
      </c>
      <c r="M12" s="864">
        <f>_xlfn.XLOOKUP(F12,'Transit Demand'!A:A,'Transit Demand'!D:D,,0)</f>
        <v>0</v>
      </c>
      <c r="N12" s="773">
        <f t="shared" si="5"/>
        <v>0</v>
      </c>
      <c r="O12" s="773">
        <f t="shared" si="6"/>
        <v>0</v>
      </c>
      <c r="P12" s="855">
        <f>IF(AND($F12&gt;=MIN('Major Assumption Key'!$B$4),$F12&lt;=MAX('Major Assumption Key'!$B$6)),N12+O12,0)</f>
        <v>0</v>
      </c>
      <c r="Q12" s="26">
        <f t="shared" si="7"/>
        <v>0</v>
      </c>
      <c r="R12" s="38">
        <f>Q12/(1+'Major Assumption Key'!$B$8)^($F12-'Major Assumption Key'!$B$7)</f>
        <v>0</v>
      </c>
      <c r="S12" s="291"/>
      <c r="T12" s="784">
        <f t="shared" si="8"/>
        <v>0</v>
      </c>
      <c r="U12" s="855">
        <f t="shared" si="9"/>
        <v>0</v>
      </c>
      <c r="V12" s="26">
        <f t="shared" si="10"/>
        <v>0</v>
      </c>
      <c r="W12" s="38">
        <f t="shared" si="11"/>
        <v>0</v>
      </c>
    </row>
    <row r="13" spans="1:23" ht="19.95" customHeight="1">
      <c r="C13" s="767"/>
      <c r="D13" s="767"/>
      <c r="E13" s="767"/>
      <c r="F13" s="772">
        <f>'Major Assumption Key'!A25</f>
        <v>2026</v>
      </c>
      <c r="G13" s="864">
        <f>_xlfn.XLOOKUP(F13,'Transit Demand'!A:A,'Transit Demand'!B:B,,0)</f>
        <v>17436.932241439521</v>
      </c>
      <c r="H13" s="864">
        <v>6</v>
      </c>
      <c r="I13" s="773">
        <f t="shared" si="3"/>
        <v>0</v>
      </c>
      <c r="J13" s="773">
        <f t="shared" si="4"/>
        <v>0</v>
      </c>
      <c r="K13" s="784">
        <f>IF(AND($F13&gt;=MIN('Major Assumption Key'!$B$4),$F13&lt;=MAX('Major Assumption Key'!$B$6)),I13+J13,0)</f>
        <v>0</v>
      </c>
      <c r="L13" s="864">
        <f>_xlfn.XLOOKUP(F13,'Transit Demand'!A:A,'Transit Demand'!B:B,,0)</f>
        <v>17436.932241439521</v>
      </c>
      <c r="M13" s="864">
        <f>_xlfn.XLOOKUP(F13,'Transit Demand'!A:A,'Transit Demand'!D:D,,0)</f>
        <v>0</v>
      </c>
      <c r="N13" s="773">
        <f t="shared" si="5"/>
        <v>0</v>
      </c>
      <c r="O13" s="773">
        <f t="shared" si="6"/>
        <v>0</v>
      </c>
      <c r="P13" s="855">
        <f>IF(AND($F13&gt;=MIN('Major Assumption Key'!$B$4),$F13&lt;=MAX('Major Assumption Key'!$B$6)),N13+O13,0)</f>
        <v>0</v>
      </c>
      <c r="Q13" s="26">
        <f t="shared" si="7"/>
        <v>0</v>
      </c>
      <c r="R13" s="38">
        <f>Q13/(1+'Major Assumption Key'!$B$8)^($F13-'Major Assumption Key'!$B$7)</f>
        <v>0</v>
      </c>
      <c r="S13" s="291"/>
      <c r="T13" s="784">
        <f t="shared" si="8"/>
        <v>0</v>
      </c>
      <c r="U13" s="855">
        <f t="shared" si="9"/>
        <v>0</v>
      </c>
      <c r="V13" s="26">
        <f t="shared" si="10"/>
        <v>0</v>
      </c>
      <c r="W13" s="38">
        <f t="shared" si="11"/>
        <v>0</v>
      </c>
    </row>
    <row r="14" spans="1:23" ht="19.95" customHeight="1" thickBot="1">
      <c r="C14" s="767"/>
      <c r="D14" s="767"/>
      <c r="E14" s="767"/>
      <c r="F14" s="772">
        <f>'Major Assumption Key'!A26</f>
        <v>2027</v>
      </c>
      <c r="G14" s="864">
        <f>_xlfn.XLOOKUP(F14,'Transit Demand'!A:A,'Transit Demand'!B:B,,0)</f>
        <v>17505.008235482819</v>
      </c>
      <c r="H14" s="864">
        <v>7</v>
      </c>
      <c r="I14" s="773">
        <f t="shared" si="3"/>
        <v>0</v>
      </c>
      <c r="J14" s="773">
        <f t="shared" si="4"/>
        <v>0</v>
      </c>
      <c r="K14" s="784">
        <f>IF(AND($F14&gt;=MIN('Major Assumption Key'!$B$4),$F14&lt;=MAX('Major Assumption Key'!$B$6)),I14+J14,0)</f>
        <v>0</v>
      </c>
      <c r="L14" s="864">
        <f>_xlfn.XLOOKUP(F14,'Transit Demand'!A:A,'Transit Demand'!B:B,,0)</f>
        <v>17505.008235482819</v>
      </c>
      <c r="M14" s="864">
        <f>_xlfn.XLOOKUP(F14,'Transit Demand'!A:A,'Transit Demand'!D:D,,0)</f>
        <v>0</v>
      </c>
      <c r="N14" s="773">
        <f t="shared" si="5"/>
        <v>0</v>
      </c>
      <c r="O14" s="773">
        <f t="shared" si="6"/>
        <v>0</v>
      </c>
      <c r="P14" s="855">
        <f>IF(AND($F14&gt;=MIN('Major Assumption Key'!$B$4),$F14&lt;=MAX('Major Assumption Key'!$B$6)),N14+O14,0)</f>
        <v>0</v>
      </c>
      <c r="Q14" s="26">
        <f t="shared" si="7"/>
        <v>0</v>
      </c>
      <c r="R14" s="38">
        <f>Q14/(1+'Major Assumption Key'!$B$8)^($F14-'Major Assumption Key'!$B$7)</f>
        <v>0</v>
      </c>
      <c r="S14" s="291"/>
      <c r="T14" s="784">
        <f t="shared" si="8"/>
        <v>0</v>
      </c>
      <c r="U14" s="855">
        <f t="shared" si="9"/>
        <v>0</v>
      </c>
      <c r="V14" s="26">
        <f t="shared" si="10"/>
        <v>0</v>
      </c>
      <c r="W14" s="38">
        <f t="shared" si="11"/>
        <v>0</v>
      </c>
    </row>
    <row r="15" spans="1:23" ht="19.95" customHeight="1">
      <c r="A15" s="367" t="s">
        <v>433</v>
      </c>
      <c r="B15" s="362" t="s">
        <v>434</v>
      </c>
      <c r="C15" s="1938" t="s">
        <v>498</v>
      </c>
      <c r="D15" s="1939"/>
      <c r="E15" s="767"/>
      <c r="F15" s="772">
        <f>'Major Assumption Key'!A27</f>
        <v>2028</v>
      </c>
      <c r="G15" s="864">
        <f>_xlfn.XLOOKUP(F15,'Transit Demand'!A:A,'Transit Demand'!B:B,,0)</f>
        <v>17573.35000683722</v>
      </c>
      <c r="H15" s="864">
        <v>8</v>
      </c>
      <c r="I15" s="773">
        <f t="shared" si="3"/>
        <v>0</v>
      </c>
      <c r="J15" s="773">
        <f t="shared" si="4"/>
        <v>0</v>
      </c>
      <c r="K15" s="784">
        <f>IF(AND($F15&gt;=MIN('Major Assumption Key'!$B$4),$F15&lt;=MAX('Major Assumption Key'!$B$6)),I15+J15,0)</f>
        <v>0</v>
      </c>
      <c r="L15" s="864">
        <f>_xlfn.XLOOKUP(F15,'Transit Demand'!A:A,'Transit Demand'!B:B,,0)</f>
        <v>17573.35000683722</v>
      </c>
      <c r="M15" s="864">
        <f>_xlfn.XLOOKUP(F15,'Transit Demand'!A:A,'Transit Demand'!D:D,,0)</f>
        <v>2266.9621508820019</v>
      </c>
      <c r="N15" s="773">
        <f t="shared" si="5"/>
        <v>0</v>
      </c>
      <c r="O15" s="773">
        <f t="shared" si="6"/>
        <v>0</v>
      </c>
      <c r="P15" s="855">
        <f>IF(AND($F15&gt;=MIN('Major Assumption Key'!$B$4),$F15&lt;=MAX('Major Assumption Key'!$B$6)),N15+O15,0)</f>
        <v>0</v>
      </c>
      <c r="Q15" s="26">
        <f t="shared" si="7"/>
        <v>0</v>
      </c>
      <c r="R15" s="38">
        <f>Q15/(1+'Major Assumption Key'!$B$8)^($F15-'Major Assumption Key'!$B$7)</f>
        <v>0</v>
      </c>
      <c r="S15" s="291"/>
      <c r="T15" s="784">
        <f t="shared" si="8"/>
        <v>0</v>
      </c>
      <c r="U15" s="855">
        <f t="shared" si="9"/>
        <v>0</v>
      </c>
      <c r="V15" s="26">
        <f t="shared" si="10"/>
        <v>0</v>
      </c>
      <c r="W15" s="38">
        <f t="shared" si="11"/>
        <v>0</v>
      </c>
    </row>
    <row r="16" spans="1:23">
      <c r="A16" s="877" t="s">
        <v>1243</v>
      </c>
      <c r="B16" s="777">
        <f>'Major Assumption Key'!B4</f>
        <v>2022</v>
      </c>
      <c r="C16" s="767" t="s">
        <v>1244</v>
      </c>
      <c r="D16" s="770"/>
      <c r="E16" s="767"/>
      <c r="F16" s="772">
        <f>'Major Assumption Key'!A28</f>
        <v>2029</v>
      </c>
      <c r="G16" s="864">
        <f>_xlfn.XLOOKUP(F16,'Transit Demand'!A:A,'Transit Demand'!B:B,,0)</f>
        <v>17641.958593131036</v>
      </c>
      <c r="H16" s="864">
        <v>9</v>
      </c>
      <c r="I16" s="773">
        <f t="shared" si="3"/>
        <v>0</v>
      </c>
      <c r="J16" s="773">
        <f t="shared" si="4"/>
        <v>0</v>
      </c>
      <c r="K16" s="784">
        <f>IF(AND($F16&gt;=MIN('Major Assumption Key'!$B$4),$F16&lt;=MAX('Major Assumption Key'!$B$6)),I16+J16,0)</f>
        <v>0</v>
      </c>
      <c r="L16" s="864">
        <f>_xlfn.XLOOKUP(F16,'Transit Demand'!A:A,'Transit Demand'!B:B,,0)</f>
        <v>17641.958593131036</v>
      </c>
      <c r="M16" s="864">
        <f>_xlfn.XLOOKUP(F16,'Transit Demand'!A:A,'Transit Demand'!D:D,,0)</f>
        <v>2275.8126585139034</v>
      </c>
      <c r="N16" s="773">
        <f t="shared" si="5"/>
        <v>0</v>
      </c>
      <c r="O16" s="773">
        <f t="shared" si="6"/>
        <v>0</v>
      </c>
      <c r="P16" s="855">
        <f>IF(AND($F16&gt;=MIN('Major Assumption Key'!$B$4),$F16&lt;=MAX('Major Assumption Key'!$B$6)),N16+O16,0)</f>
        <v>0</v>
      </c>
      <c r="Q16" s="26">
        <f t="shared" si="7"/>
        <v>0</v>
      </c>
      <c r="R16" s="38">
        <f>Q16/(1+'Major Assumption Key'!$B$8)^($F16-'Major Assumption Key'!$B$7)</f>
        <v>0</v>
      </c>
      <c r="S16" s="291"/>
      <c r="T16" s="784">
        <f t="shared" si="8"/>
        <v>0</v>
      </c>
      <c r="U16" s="855">
        <f t="shared" si="9"/>
        <v>0</v>
      </c>
      <c r="V16" s="26">
        <f t="shared" si="10"/>
        <v>0</v>
      </c>
      <c r="W16" s="38">
        <f t="shared" si="11"/>
        <v>0</v>
      </c>
    </row>
    <row r="17" spans="1:23">
      <c r="A17" s="860" t="s">
        <v>1263</v>
      </c>
      <c r="B17" s="266" t="s">
        <v>351</v>
      </c>
      <c r="C17" s="862" t="s">
        <v>1264</v>
      </c>
      <c r="D17" s="770"/>
      <c r="E17" s="767"/>
      <c r="F17" s="772">
        <f>'Major Assumption Key'!A29</f>
        <v>2030</v>
      </c>
      <c r="G17" s="864">
        <f>_xlfn.XLOOKUP(F17,'Transit Demand'!A:A,'Transit Demand'!B:B,,0)</f>
        <v>17710.83503604362</v>
      </c>
      <c r="H17" s="864">
        <v>10</v>
      </c>
      <c r="I17" s="773">
        <f t="shared" si="3"/>
        <v>0</v>
      </c>
      <c r="J17" s="773">
        <f t="shared" si="4"/>
        <v>0</v>
      </c>
      <c r="K17" s="784">
        <f>IF(AND($F17&gt;=MIN('Major Assumption Key'!$B$4),$F17&lt;=MAX('Major Assumption Key'!$B$6)),I17+J17,0)</f>
        <v>0</v>
      </c>
      <c r="L17" s="864">
        <f>_xlfn.XLOOKUP(F17,'Transit Demand'!A:A,'Transit Demand'!B:B,,0)</f>
        <v>17710.83503604362</v>
      </c>
      <c r="M17" s="864">
        <f>_xlfn.XLOOKUP(F17,'Transit Demand'!A:A,'Transit Demand'!D:D,,0)</f>
        <v>2284.6977196496264</v>
      </c>
      <c r="N17" s="773">
        <f t="shared" si="5"/>
        <v>0</v>
      </c>
      <c r="O17" s="773">
        <f t="shared" si="6"/>
        <v>0</v>
      </c>
      <c r="P17" s="855">
        <f>IF(AND($F17&gt;=MIN('Major Assumption Key'!$B$4),$F17&lt;=MAX('Major Assumption Key'!$B$6)),N17+O17,0)</f>
        <v>0</v>
      </c>
      <c r="Q17" s="26">
        <f t="shared" si="7"/>
        <v>0</v>
      </c>
      <c r="R17" s="38">
        <f>Q17/(1+'Major Assumption Key'!$B$8)^($F17-'Major Assumption Key'!$B$7)</f>
        <v>0</v>
      </c>
      <c r="S17" s="291"/>
      <c r="T17" s="784">
        <f t="shared" si="8"/>
        <v>0</v>
      </c>
      <c r="U17" s="855">
        <f t="shared" si="9"/>
        <v>0</v>
      </c>
      <c r="V17" s="26">
        <f t="shared" si="10"/>
        <v>0</v>
      </c>
      <c r="W17" s="38">
        <f t="shared" si="11"/>
        <v>0</v>
      </c>
    </row>
    <row r="18" spans="1:23">
      <c r="A18" s="860" t="s">
        <v>1265</v>
      </c>
      <c r="B18" s="266"/>
      <c r="C18" s="366" t="s">
        <v>211</v>
      </c>
      <c r="D18" s="861"/>
      <c r="E18" s="767"/>
      <c r="F18" s="772">
        <f>'Major Assumption Key'!A30</f>
        <v>2031</v>
      </c>
      <c r="G18" s="864">
        <f>_xlfn.XLOOKUP(F18,'Transit Demand'!A:A,'Transit Demand'!B:B,,0)</f>
        <v>17779.980381321166</v>
      </c>
      <c r="H18" s="864">
        <v>11</v>
      </c>
      <c r="I18" s="773">
        <f t="shared" si="3"/>
        <v>0</v>
      </c>
      <c r="J18" s="773">
        <f t="shared" si="4"/>
        <v>0</v>
      </c>
      <c r="K18" s="784">
        <f>IF(AND($F18&gt;=MIN('Major Assumption Key'!$B$4),$F18&lt;=MAX('Major Assumption Key'!$B$6)),I18+J18,0)</f>
        <v>0</v>
      </c>
      <c r="L18" s="864">
        <f>_xlfn.XLOOKUP(F18,'Transit Demand'!A:A,'Transit Demand'!B:B,,0)</f>
        <v>17779.980381321166</v>
      </c>
      <c r="M18" s="864">
        <f>_xlfn.XLOOKUP(F18,'Transit Demand'!A:A,'Transit Demand'!D:D,,0)</f>
        <v>2293.6174691904307</v>
      </c>
      <c r="N18" s="773">
        <f t="shared" si="5"/>
        <v>0</v>
      </c>
      <c r="O18" s="773">
        <f t="shared" si="6"/>
        <v>0</v>
      </c>
      <c r="P18" s="855">
        <f>IF(AND($F18&gt;=MIN('Major Assumption Key'!$B$4),$F18&lt;=MAX('Major Assumption Key'!$B$6)),N18+O18,0)</f>
        <v>0</v>
      </c>
      <c r="Q18" s="26">
        <f t="shared" si="7"/>
        <v>0</v>
      </c>
      <c r="R18" s="38">
        <f>Q18/(1+'Major Assumption Key'!$B$8)^($F18-'Major Assumption Key'!$B$7)</f>
        <v>0</v>
      </c>
      <c r="S18" s="291"/>
      <c r="T18" s="784">
        <f t="shared" si="8"/>
        <v>0</v>
      </c>
      <c r="U18" s="855">
        <f t="shared" si="9"/>
        <v>0</v>
      </c>
      <c r="V18" s="26">
        <f t="shared" si="10"/>
        <v>0</v>
      </c>
      <c r="W18" s="38">
        <f t="shared" si="11"/>
        <v>0</v>
      </c>
    </row>
    <row r="19" spans="1:23">
      <c r="A19" s="860" t="s">
        <v>1266</v>
      </c>
      <c r="B19" s="266"/>
      <c r="C19" s="366" t="s">
        <v>211</v>
      </c>
      <c r="D19" s="861"/>
      <c r="E19" s="767"/>
      <c r="F19" s="772">
        <f>'Major Assumption Key'!A31</f>
        <v>2032</v>
      </c>
      <c r="G19" s="864">
        <f>_xlfn.XLOOKUP(F19,'Transit Demand'!A:A,'Transit Demand'!B:B,,0)</f>
        <v>17849.3956787926</v>
      </c>
      <c r="H19" s="864">
        <v>12</v>
      </c>
      <c r="I19" s="773">
        <f t="shared" si="3"/>
        <v>0</v>
      </c>
      <c r="J19" s="773">
        <f t="shared" si="4"/>
        <v>0</v>
      </c>
      <c r="K19" s="784">
        <f>IF(AND($F19&gt;=MIN('Major Assumption Key'!$B$4),$F19&lt;=MAX('Major Assumption Key'!$B$6)),I19+J19,0)</f>
        <v>0</v>
      </c>
      <c r="L19" s="864">
        <f>_xlfn.XLOOKUP(F19,'Transit Demand'!A:A,'Transit Demand'!B:B,,0)</f>
        <v>17849.3956787926</v>
      </c>
      <c r="M19" s="864">
        <f>_xlfn.XLOOKUP(F19,'Transit Demand'!A:A,'Transit Demand'!D:D,,0)</f>
        <v>2302.5720425642467</v>
      </c>
      <c r="N19" s="773">
        <f t="shared" si="5"/>
        <v>0</v>
      </c>
      <c r="O19" s="773">
        <f t="shared" si="6"/>
        <v>0</v>
      </c>
      <c r="P19" s="855">
        <f>IF(AND($F19&gt;=MIN('Major Assumption Key'!$B$4),$F19&lt;=MAX('Major Assumption Key'!$B$6)),N19+O19,0)</f>
        <v>0</v>
      </c>
      <c r="Q19" s="26">
        <f t="shared" si="7"/>
        <v>0</v>
      </c>
      <c r="R19" s="38">
        <f>Q19/(1+'Major Assumption Key'!$B$8)^($F19-'Major Assumption Key'!$B$7)</f>
        <v>0</v>
      </c>
      <c r="S19" s="291"/>
      <c r="T19" s="784">
        <f t="shared" si="8"/>
        <v>0</v>
      </c>
      <c r="U19" s="855">
        <f t="shared" si="9"/>
        <v>0</v>
      </c>
      <c r="V19" s="26">
        <f t="shared" si="10"/>
        <v>0</v>
      </c>
      <c r="W19" s="38">
        <f t="shared" si="11"/>
        <v>0</v>
      </c>
    </row>
    <row r="20" spans="1:23" ht="19.95" customHeight="1">
      <c r="A20" s="860" t="s">
        <v>1267</v>
      </c>
      <c r="B20" s="266"/>
      <c r="C20" s="366" t="s">
        <v>211</v>
      </c>
      <c r="D20" s="861"/>
      <c r="E20" s="767"/>
      <c r="F20" s="772">
        <f>'Major Assumption Key'!A32</f>
        <v>2033</v>
      </c>
      <c r="G20" s="864">
        <f>_xlfn.XLOOKUP(F20,'Transit Demand'!A:A,'Transit Demand'!B:B,,0)</f>
        <v>17919.081982385509</v>
      </c>
      <c r="H20" s="864">
        <v>13</v>
      </c>
      <c r="I20" s="773">
        <f t="shared" si="3"/>
        <v>0</v>
      </c>
      <c r="J20" s="773">
        <f t="shared" si="4"/>
        <v>0</v>
      </c>
      <c r="K20" s="784">
        <f>IF(AND($F20&gt;=MIN('Major Assumption Key'!$B$4),$F20&lt;=MAX('Major Assumption Key'!$B$6)),I20+J20,0)</f>
        <v>0</v>
      </c>
      <c r="L20" s="864">
        <f>_xlfn.XLOOKUP(F20,'Transit Demand'!A:A,'Transit Demand'!B:B,,0)</f>
        <v>17919.081982385509</v>
      </c>
      <c r="M20" s="864">
        <f>_xlfn.XLOOKUP(F20,'Transit Demand'!A:A,'Transit Demand'!D:D,,0)</f>
        <v>2311.5615757277337</v>
      </c>
      <c r="N20" s="773">
        <f t="shared" si="5"/>
        <v>0</v>
      </c>
      <c r="O20" s="773">
        <f t="shared" si="6"/>
        <v>0</v>
      </c>
      <c r="P20" s="855">
        <f>IF(AND($F20&gt;=MIN('Major Assumption Key'!$B$4),$F20&lt;=MAX('Major Assumption Key'!$B$6)),N20+O20,0)</f>
        <v>0</v>
      </c>
      <c r="Q20" s="26">
        <f t="shared" si="7"/>
        <v>0</v>
      </c>
      <c r="R20" s="38">
        <f>Q20/(1+'Major Assumption Key'!$B$8)^($F20-'Major Assumption Key'!$B$7)</f>
        <v>0</v>
      </c>
      <c r="S20" s="291"/>
      <c r="T20" s="784">
        <f t="shared" si="8"/>
        <v>0</v>
      </c>
      <c r="U20" s="855">
        <f t="shared" si="9"/>
        <v>0</v>
      </c>
      <c r="V20" s="26">
        <f t="shared" si="10"/>
        <v>0</v>
      </c>
      <c r="W20" s="38">
        <f t="shared" si="11"/>
        <v>0</v>
      </c>
    </row>
    <row r="21" spans="1:23">
      <c r="A21" s="860" t="s">
        <v>1268</v>
      </c>
      <c r="B21" s="368">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66" t="s">
        <v>211</v>
      </c>
      <c r="D21" s="363"/>
      <c r="E21" s="767"/>
      <c r="F21" s="772">
        <f>'Major Assumption Key'!A33</f>
        <v>2034</v>
      </c>
      <c r="G21" s="864">
        <f>_xlfn.XLOOKUP(F21,'Transit Demand'!A:A,'Transit Demand'!B:B,,0)</f>
        <v>17989.04035014215</v>
      </c>
      <c r="H21" s="864">
        <v>14</v>
      </c>
      <c r="I21" s="773">
        <f t="shared" si="3"/>
        <v>0</v>
      </c>
      <c r="J21" s="773">
        <f t="shared" si="4"/>
        <v>0</v>
      </c>
      <c r="K21" s="784">
        <f>IF(AND($F21&gt;=MIN('Major Assumption Key'!$B$4),$F21&lt;=MAX('Major Assumption Key'!$B$6)),I21+J21,0)</f>
        <v>0</v>
      </c>
      <c r="L21" s="864">
        <f>_xlfn.XLOOKUP(F21,'Transit Demand'!A:A,'Transit Demand'!B:B,,0)</f>
        <v>17989.04035014215</v>
      </c>
      <c r="M21" s="864">
        <f>_xlfn.XLOOKUP(F21,'Transit Demand'!A:A,'Transit Demand'!D:D,,0)</f>
        <v>2320.5862051683398</v>
      </c>
      <c r="N21" s="773">
        <f t="shared" si="5"/>
        <v>0</v>
      </c>
      <c r="O21" s="773">
        <f t="shared" si="6"/>
        <v>0</v>
      </c>
      <c r="P21" s="855">
        <f>IF(AND($F21&gt;=MIN('Major Assumption Key'!$B$4),$F21&lt;=MAX('Major Assumption Key'!$B$6)),N21+O21,0)</f>
        <v>0</v>
      </c>
      <c r="Q21" s="26">
        <f t="shared" si="7"/>
        <v>0</v>
      </c>
      <c r="R21" s="38">
        <f>Q21/(1+'Major Assumption Key'!$B$8)^($F21-'Major Assumption Key'!$B$7)</f>
        <v>0</v>
      </c>
      <c r="S21" s="291"/>
      <c r="T21" s="784">
        <f t="shared" si="8"/>
        <v>0</v>
      </c>
      <c r="U21" s="855">
        <f t="shared" si="9"/>
        <v>0</v>
      </c>
      <c r="V21" s="26">
        <f t="shared" si="10"/>
        <v>0</v>
      </c>
      <c r="W21" s="38">
        <f t="shared" si="11"/>
        <v>0</v>
      </c>
    </row>
    <row r="22" spans="1:23" ht="19.95" customHeight="1">
      <c r="A22" s="860" t="s">
        <v>1269</v>
      </c>
      <c r="B22" s="856">
        <f>_xlfn.XLOOKUP(B16,'Transit Demand'!A:A,'Transit Demand'!B:B,,0)</f>
        <v>17167.265426716625</v>
      </c>
      <c r="C22" s="862" t="s">
        <v>1225</v>
      </c>
      <c r="D22" s="861"/>
      <c r="E22" s="767"/>
      <c r="F22" s="772">
        <f>'Major Assumption Key'!A34</f>
        <v>2035</v>
      </c>
      <c r="G22" s="864">
        <f>_xlfn.XLOOKUP(F22,'Transit Demand'!A:A,'Transit Demand'!B:B,,0)</f>
        <v>18059.271844235507</v>
      </c>
      <c r="H22" s="864">
        <v>15</v>
      </c>
      <c r="I22" s="773">
        <f t="shared" si="3"/>
        <v>0</v>
      </c>
      <c r="J22" s="773">
        <f t="shared" si="4"/>
        <v>0</v>
      </c>
      <c r="K22" s="784">
        <f>IF(AND($F22&gt;=MIN('Major Assumption Key'!$B$4),$F22&lt;=MAX('Major Assumption Key'!$B$6)),I22+J22,0)</f>
        <v>0</v>
      </c>
      <c r="L22" s="864">
        <f>_xlfn.XLOOKUP(F22,'Transit Demand'!A:A,'Transit Demand'!B:B,,0)</f>
        <v>18059.271844235507</v>
      </c>
      <c r="M22" s="864">
        <f>_xlfn.XLOOKUP(F22,'Transit Demand'!A:A,'Transit Demand'!D:D,,0)</f>
        <v>2329.6460679063821</v>
      </c>
      <c r="N22" s="773">
        <f t="shared" si="5"/>
        <v>0</v>
      </c>
      <c r="O22" s="773">
        <f t="shared" si="6"/>
        <v>0</v>
      </c>
      <c r="P22" s="855">
        <f>IF(AND($F22&gt;=MIN('Major Assumption Key'!$B$4),$F22&lt;=MAX('Major Assumption Key'!$B$6)),N22+O22,0)</f>
        <v>0</v>
      </c>
      <c r="Q22" s="26">
        <f t="shared" si="7"/>
        <v>0</v>
      </c>
      <c r="R22" s="38">
        <f>Q22/(1+'Major Assumption Key'!$B$8)^($F22-'Major Assumption Key'!$B$7)</f>
        <v>0</v>
      </c>
      <c r="S22" s="291"/>
      <c r="T22" s="784">
        <f t="shared" si="8"/>
        <v>0</v>
      </c>
      <c r="U22" s="855">
        <f t="shared" si="9"/>
        <v>0</v>
      </c>
      <c r="V22" s="26">
        <f t="shared" si="10"/>
        <v>0</v>
      </c>
      <c r="W22" s="38">
        <f t="shared" si="11"/>
        <v>0</v>
      </c>
    </row>
    <row r="23" spans="1:23" ht="19.95" customHeight="1" thickBot="1">
      <c r="A23" s="863" t="s">
        <v>1270</v>
      </c>
      <c r="B23" s="878">
        <f>_xlfn.XLOOKUP(B16,'Transit Demand'!A:A,'Transit Demand'!D:D,,0)</f>
        <v>0</v>
      </c>
      <c r="C23" s="866" t="s">
        <v>1225</v>
      </c>
      <c r="D23" s="350"/>
      <c r="E23" s="767"/>
      <c r="F23" s="772">
        <f>'Major Assumption Key'!A35</f>
        <v>2036</v>
      </c>
      <c r="G23" s="864">
        <f>_xlfn.XLOOKUP(F23,'Transit Demand'!A:A,'Transit Demand'!B:B,,0)</f>
        <v>18129.777530985426</v>
      </c>
      <c r="H23" s="864">
        <v>16</v>
      </c>
      <c r="I23" s="773">
        <f t="shared" si="3"/>
        <v>0</v>
      </c>
      <c r="J23" s="773">
        <f t="shared" si="4"/>
        <v>0</v>
      </c>
      <c r="K23" s="784">
        <f>IF(AND($F23&gt;=MIN('Major Assumption Key'!$B$4),$F23&lt;=MAX('Major Assumption Key'!$B$6)),I23+J23,0)</f>
        <v>0</v>
      </c>
      <c r="L23" s="864">
        <f>_xlfn.XLOOKUP(F23,'Transit Demand'!A:A,'Transit Demand'!B:B,,0)</f>
        <v>18129.777530985426</v>
      </c>
      <c r="M23" s="864">
        <f>_xlfn.XLOOKUP(F23,'Transit Demand'!A:A,'Transit Demand'!D:D,,0)</f>
        <v>2338.7413014971207</v>
      </c>
      <c r="N23" s="773">
        <f t="shared" si="5"/>
        <v>0</v>
      </c>
      <c r="O23" s="773">
        <f t="shared" si="6"/>
        <v>0</v>
      </c>
      <c r="P23" s="855">
        <f>IF(AND($F23&gt;=MIN('Major Assumption Key'!$B$4),$F23&lt;=MAX('Major Assumption Key'!$B$6)),N23+O23,0)</f>
        <v>0</v>
      </c>
      <c r="Q23" s="26">
        <f t="shared" si="7"/>
        <v>0</v>
      </c>
      <c r="R23" s="38">
        <f>Q23/(1+'Major Assumption Key'!$B$8)^($F23-'Major Assumption Key'!$B$7)</f>
        <v>0</v>
      </c>
      <c r="S23" s="291"/>
      <c r="T23" s="784">
        <f t="shared" si="8"/>
        <v>0</v>
      </c>
      <c r="U23" s="855">
        <f t="shared" si="9"/>
        <v>0</v>
      </c>
      <c r="V23" s="26">
        <f t="shared" si="10"/>
        <v>0</v>
      </c>
      <c r="W23" s="38">
        <f t="shared" si="11"/>
        <v>0</v>
      </c>
    </row>
    <row r="24" spans="1:23" ht="19.95" customHeight="1">
      <c r="A24" s="348"/>
      <c r="B24" s="13"/>
      <c r="E24" s="767"/>
      <c r="F24" s="772">
        <f>'Major Assumption Key'!A36</f>
        <v>2037</v>
      </c>
      <c r="G24" s="864">
        <f>_xlfn.XLOOKUP(F24,'Transit Demand'!A:A,'Transit Demand'!B:B,,0)</f>
        <v>18200.558480874795</v>
      </c>
      <c r="H24" s="864">
        <v>17</v>
      </c>
      <c r="I24" s="773">
        <f t="shared" si="3"/>
        <v>0</v>
      </c>
      <c r="J24" s="773">
        <f t="shared" si="4"/>
        <v>0</v>
      </c>
      <c r="K24" s="784">
        <f>IF(AND($F24&gt;=MIN('Major Assumption Key'!$B$4),$F24&lt;=MAX('Major Assumption Key'!$B$6)),I24+J24,0)</f>
        <v>0</v>
      </c>
      <c r="L24" s="864">
        <f>_xlfn.XLOOKUP(F24,'Transit Demand'!A:A,'Transit Demand'!B:B,,0)</f>
        <v>18200.558480874795</v>
      </c>
      <c r="M24" s="864">
        <f>_xlfn.XLOOKUP(F24,'Transit Demand'!A:A,'Transit Demand'!D:D,,0)</f>
        <v>2347.8720440328507</v>
      </c>
      <c r="N24" s="773">
        <f t="shared" si="5"/>
        <v>0</v>
      </c>
      <c r="O24" s="773">
        <f t="shared" si="6"/>
        <v>0</v>
      </c>
      <c r="P24" s="855">
        <f>IF(AND($F24&gt;=MIN('Major Assumption Key'!$B$4),$F24&lt;=MAX('Major Assumption Key'!$B$6)),N24+O24,0)</f>
        <v>0</v>
      </c>
      <c r="Q24" s="26">
        <f t="shared" si="7"/>
        <v>0</v>
      </c>
      <c r="R24" s="38">
        <f>Q24/(1+'Major Assumption Key'!$B$8)^($F24-'Major Assumption Key'!$B$7)</f>
        <v>0</v>
      </c>
      <c r="S24" s="291"/>
      <c r="T24" s="784">
        <f t="shared" si="8"/>
        <v>0</v>
      </c>
      <c r="U24" s="855">
        <f t="shared" si="9"/>
        <v>0</v>
      </c>
      <c r="V24" s="26">
        <f t="shared" si="10"/>
        <v>0</v>
      </c>
      <c r="W24" s="38">
        <f t="shared" si="11"/>
        <v>0</v>
      </c>
    </row>
    <row r="25" spans="1:23" ht="19.95" customHeight="1">
      <c r="E25" s="767"/>
      <c r="F25" s="772">
        <f>'Major Assumption Key'!A37</f>
        <v>2038</v>
      </c>
      <c r="G25" s="864">
        <f>_xlfn.XLOOKUP(F25,'Transit Demand'!A:A,'Transit Demand'!B:B,,0)</f>
        <v>18271.615768565811</v>
      </c>
      <c r="H25" s="864">
        <v>18</v>
      </c>
      <c r="I25" s="773">
        <f t="shared" si="3"/>
        <v>0</v>
      </c>
      <c r="J25" s="773">
        <f t="shared" si="4"/>
        <v>0</v>
      </c>
      <c r="K25" s="784">
        <f>IF(AND($F25&gt;=MIN('Major Assumption Key'!$B$4),$F25&lt;=MAX('Major Assumption Key'!$B$6)),I25+J25,0)</f>
        <v>0</v>
      </c>
      <c r="L25" s="864">
        <f>_xlfn.XLOOKUP(F25,'Transit Demand'!A:A,'Transit Demand'!B:B,,0)</f>
        <v>18271.615768565811</v>
      </c>
      <c r="M25" s="864">
        <f>_xlfn.XLOOKUP(F25,'Transit Demand'!A:A,'Transit Demand'!D:D,,0)</f>
        <v>2357.0384341449935</v>
      </c>
      <c r="N25" s="773">
        <f t="shared" si="5"/>
        <v>0</v>
      </c>
      <c r="O25" s="773">
        <f t="shared" si="6"/>
        <v>0</v>
      </c>
      <c r="P25" s="855">
        <f>IF(AND($F25&gt;=MIN('Major Assumption Key'!$B$4),$F25&lt;=MAX('Major Assumption Key'!$B$6)),N25+O25,0)</f>
        <v>0</v>
      </c>
      <c r="Q25" s="26">
        <f t="shared" si="7"/>
        <v>0</v>
      </c>
      <c r="R25" s="38">
        <f>Q25/(1+'Major Assumption Key'!$B$8)^($F25-'Major Assumption Key'!$B$7)</f>
        <v>0</v>
      </c>
      <c r="S25" s="291"/>
      <c r="T25" s="784">
        <f t="shared" si="8"/>
        <v>0</v>
      </c>
      <c r="U25" s="855">
        <f t="shared" si="9"/>
        <v>0</v>
      </c>
      <c r="V25" s="26">
        <f t="shared" si="10"/>
        <v>0</v>
      </c>
      <c r="W25" s="38">
        <f t="shared" si="11"/>
        <v>0</v>
      </c>
    </row>
    <row r="26" spans="1:23" ht="19.95" customHeight="1">
      <c r="E26" s="767"/>
      <c r="F26" s="772">
        <f>'Major Assumption Key'!A38</f>
        <v>2039</v>
      </c>
      <c r="G26" s="864">
        <f>_xlfn.XLOOKUP(F26,'Transit Demand'!A:A,'Transit Demand'!B:B,,0)</f>
        <v>18342.950472916284</v>
      </c>
      <c r="H26" s="864">
        <v>19</v>
      </c>
      <c r="I26" s="773">
        <f t="shared" si="3"/>
        <v>0</v>
      </c>
      <c r="J26" s="773">
        <f t="shared" si="4"/>
        <v>0</v>
      </c>
      <c r="K26" s="784">
        <f>IF(AND($F26&gt;=MIN('Major Assumption Key'!$B$4),$F26&lt;=MAX('Major Assumption Key'!$B$6)),I26+J26,0)</f>
        <v>0</v>
      </c>
      <c r="L26" s="864">
        <f>_xlfn.XLOOKUP(F26,'Transit Demand'!A:A,'Transit Demand'!B:B,,0)</f>
        <v>18342.950472916284</v>
      </c>
      <c r="M26" s="864">
        <f>_xlfn.XLOOKUP(F26,'Transit Demand'!A:A,'Transit Demand'!D:D,,0)</f>
        <v>2366.2406110062038</v>
      </c>
      <c r="N26" s="773">
        <f t="shared" si="5"/>
        <v>0</v>
      </c>
      <c r="O26" s="773">
        <f t="shared" si="6"/>
        <v>0</v>
      </c>
      <c r="P26" s="855">
        <f>IF(AND($F26&gt;=MIN('Major Assumption Key'!$B$4),$F26&lt;=MAX('Major Assumption Key'!$B$6)),N26+O26,0)</f>
        <v>0</v>
      </c>
      <c r="Q26" s="26">
        <f t="shared" si="7"/>
        <v>0</v>
      </c>
      <c r="R26" s="38">
        <f>Q26/(1+'Major Assumption Key'!$B$8)^($F26-'Major Assumption Key'!$B$7)</f>
        <v>0</v>
      </c>
      <c r="S26" s="291"/>
      <c r="T26" s="784">
        <f t="shared" si="8"/>
        <v>0</v>
      </c>
      <c r="U26" s="855">
        <f t="shared" si="9"/>
        <v>0</v>
      </c>
      <c r="V26" s="26">
        <f t="shared" si="10"/>
        <v>0</v>
      </c>
      <c r="W26" s="38">
        <f t="shared" si="11"/>
        <v>0</v>
      </c>
    </row>
    <row r="27" spans="1:23" ht="19.95" customHeight="1">
      <c r="E27" s="767"/>
      <c r="F27" s="772">
        <f>'Major Assumption Key'!A39</f>
        <v>2040</v>
      </c>
      <c r="G27" s="864">
        <f>_xlfn.XLOOKUP(F27,'Transit Demand'!A:A,'Transit Demand'!B:B,,0)</f>
        <v>18414.563676996022</v>
      </c>
      <c r="H27" s="864">
        <v>20</v>
      </c>
      <c r="I27" s="773">
        <f t="shared" si="3"/>
        <v>0</v>
      </c>
      <c r="J27" s="773">
        <f t="shared" si="4"/>
        <v>0</v>
      </c>
      <c r="K27" s="784">
        <f>IF(AND($F27&gt;=MIN('Major Assumption Key'!$B$4),$F27&lt;=MAX('Major Assumption Key'!$B$6)),I27+J27,0)</f>
        <v>0</v>
      </c>
      <c r="L27" s="864">
        <f>_xlfn.XLOOKUP(F27,'Transit Demand'!A:A,'Transit Demand'!B:B,,0)</f>
        <v>18414.563676996022</v>
      </c>
      <c r="M27" s="864">
        <f>_xlfn.XLOOKUP(F27,'Transit Demand'!A:A,'Transit Demand'!D:D,,0)</f>
        <v>2375.4787143324866</v>
      </c>
      <c r="N27" s="773">
        <f t="shared" si="5"/>
        <v>0</v>
      </c>
      <c r="O27" s="773">
        <f t="shared" si="6"/>
        <v>0</v>
      </c>
      <c r="P27" s="855">
        <f>IF(AND($F27&gt;=MIN('Major Assumption Key'!$B$4),$F27&lt;=MAX('Major Assumption Key'!$B$6)),N27+O27,0)</f>
        <v>0</v>
      </c>
      <c r="Q27" s="26">
        <f t="shared" si="7"/>
        <v>0</v>
      </c>
      <c r="R27" s="38">
        <f>Q27/(1+'Major Assumption Key'!$B$8)^($F27-'Major Assumption Key'!$B$7)</f>
        <v>0</v>
      </c>
      <c r="S27" s="291"/>
      <c r="T27" s="784">
        <f t="shared" si="8"/>
        <v>0</v>
      </c>
      <c r="U27" s="855">
        <f t="shared" si="9"/>
        <v>0</v>
      </c>
      <c r="V27" s="26">
        <f t="shared" si="10"/>
        <v>0</v>
      </c>
      <c r="W27" s="38">
        <f t="shared" si="11"/>
        <v>0</v>
      </c>
    </row>
    <row r="28" spans="1:23" ht="19.95" customHeight="1">
      <c r="E28" s="767"/>
      <c r="F28" s="772">
        <f>'Major Assumption Key'!A40</f>
        <v>2041</v>
      </c>
      <c r="G28" s="864">
        <f>_xlfn.XLOOKUP(F28,'Transit Demand'!A:A,'Transit Demand'!B:B,,0)</f>
        <v>18486.456468103272</v>
      </c>
      <c r="H28" s="864">
        <v>21</v>
      </c>
      <c r="I28" s="773">
        <f t="shared" si="3"/>
        <v>0</v>
      </c>
      <c r="J28" s="773">
        <f t="shared" si="4"/>
        <v>0</v>
      </c>
      <c r="K28" s="784">
        <f>IF(AND($F28&gt;=MIN('Major Assumption Key'!$B$4),$F28&lt;=MAX('Major Assumption Key'!$B$6)),I28+J28,0)</f>
        <v>0</v>
      </c>
      <c r="L28" s="864">
        <f>_xlfn.XLOOKUP(F28,'Transit Demand'!A:A,'Transit Demand'!B:B,,0)</f>
        <v>18486.456468103272</v>
      </c>
      <c r="M28" s="864">
        <f>_xlfn.XLOOKUP(F28,'Transit Demand'!A:A,'Transit Demand'!D:D,,0)</f>
        <v>2384.7528843853252</v>
      </c>
      <c r="N28" s="773">
        <f t="shared" si="5"/>
        <v>0</v>
      </c>
      <c r="O28" s="773">
        <f t="shared" si="6"/>
        <v>0</v>
      </c>
      <c r="P28" s="855">
        <f>IF(AND($F28&gt;=MIN('Major Assumption Key'!$B$4),$F28&lt;=MAX('Major Assumption Key'!$B$6)),N28+O28,0)</f>
        <v>0</v>
      </c>
      <c r="Q28" s="26">
        <f t="shared" si="7"/>
        <v>0</v>
      </c>
      <c r="R28" s="38">
        <f>Q28/(1+'Major Assumption Key'!$B$8)^($F28-'Major Assumption Key'!$B$7)</f>
        <v>0</v>
      </c>
      <c r="S28" s="291"/>
      <c r="T28" s="784">
        <f t="shared" si="8"/>
        <v>0</v>
      </c>
      <c r="U28" s="855">
        <f t="shared" si="9"/>
        <v>0</v>
      </c>
      <c r="V28" s="26">
        <f t="shared" si="10"/>
        <v>0</v>
      </c>
      <c r="W28" s="38">
        <f t="shared" si="11"/>
        <v>0</v>
      </c>
    </row>
    <row r="29" spans="1:23" ht="19.95" customHeight="1">
      <c r="C29" s="13"/>
      <c r="D29" s="13"/>
      <c r="E29" s="767"/>
      <c r="F29" s="772">
        <f>'Major Assumption Key'!A41</f>
        <v>2042</v>
      </c>
      <c r="G29" s="864">
        <f>_xlfn.XLOOKUP(F29,'Transit Demand'!A:A,'Transit Demand'!B:B,,0)</f>
        <v>18558.629937781236</v>
      </c>
      <c r="H29" s="864">
        <v>22</v>
      </c>
      <c r="I29" s="773">
        <f t="shared" si="3"/>
        <v>0</v>
      </c>
      <c r="J29" s="773">
        <f t="shared" si="4"/>
        <v>0</v>
      </c>
      <c r="K29" s="784">
        <f>IF(AND($F29&gt;=MIN('Major Assumption Key'!$B$4),$F29&lt;=MAX('Major Assumption Key'!$B$6)),I29+J29,0)</f>
        <v>0</v>
      </c>
      <c r="L29" s="864">
        <f>_xlfn.XLOOKUP(F29,'Transit Demand'!A:A,'Transit Demand'!B:B,,0)</f>
        <v>18558.629937781236</v>
      </c>
      <c r="M29" s="864">
        <f>_xlfn.XLOOKUP(F29,'Transit Demand'!A:A,'Transit Demand'!D:D,,0)</f>
        <v>2394.0632619737844</v>
      </c>
      <c r="N29" s="773">
        <f t="shared" si="5"/>
        <v>0</v>
      </c>
      <c r="O29" s="773">
        <f t="shared" si="6"/>
        <v>0</v>
      </c>
      <c r="P29" s="855">
        <f>IF(AND($F29&gt;=MIN('Major Assumption Key'!$B$4),$F29&lt;=MAX('Major Assumption Key'!$B$6)),N29+O29,0)</f>
        <v>0</v>
      </c>
      <c r="Q29" s="26">
        <f t="shared" si="7"/>
        <v>0</v>
      </c>
      <c r="R29" s="38">
        <f>Q29/(1+'Major Assumption Key'!$B$8)^($F29-'Major Assumption Key'!$B$7)</f>
        <v>0</v>
      </c>
      <c r="S29" s="291"/>
      <c r="T29" s="784">
        <f t="shared" si="8"/>
        <v>0</v>
      </c>
      <c r="U29" s="855">
        <f t="shared" si="9"/>
        <v>0</v>
      </c>
      <c r="V29" s="26">
        <f t="shared" si="10"/>
        <v>0</v>
      </c>
      <c r="W29" s="38">
        <f t="shared" si="11"/>
        <v>0</v>
      </c>
    </row>
    <row r="30" spans="1:23" ht="19.95" customHeight="1">
      <c r="C30" s="13"/>
      <c r="D30" s="13"/>
      <c r="E30" s="767"/>
      <c r="F30" s="772">
        <f>'Major Assumption Key'!A42</f>
        <v>2043</v>
      </c>
      <c r="G30" s="864">
        <f>_xlfn.XLOOKUP(F30,'Transit Demand'!A:A,'Transit Demand'!B:B,,0)</f>
        <v>18631.085181834638</v>
      </c>
      <c r="H30" s="864">
        <v>23</v>
      </c>
      <c r="I30" s="773">
        <f t="shared" si="3"/>
        <v>0</v>
      </c>
      <c r="J30" s="773">
        <f t="shared" si="4"/>
        <v>0</v>
      </c>
      <c r="K30" s="784">
        <f>IF(AND($F30&gt;=MIN('Major Assumption Key'!$B$4),$F30&lt;=MAX('Major Assumption Key'!$B$6)),I30+J30,0)</f>
        <v>0</v>
      </c>
      <c r="L30" s="864">
        <f>_xlfn.XLOOKUP(F30,'Transit Demand'!A:A,'Transit Demand'!B:B,,0)</f>
        <v>18631.085181834638</v>
      </c>
      <c r="M30" s="864">
        <f>_xlfn.XLOOKUP(F30,'Transit Demand'!A:A,'Transit Demand'!D:D,,0)</f>
        <v>2403.4099884566749</v>
      </c>
      <c r="N30" s="773">
        <f t="shared" si="5"/>
        <v>0</v>
      </c>
      <c r="O30" s="773">
        <f t="shared" si="6"/>
        <v>0</v>
      </c>
      <c r="P30" s="855">
        <f>IF(AND($F30&gt;=MIN('Major Assumption Key'!$B$4),$F30&lt;=MAX('Major Assumption Key'!$B$6)),N30+O30,0)</f>
        <v>0</v>
      </c>
      <c r="Q30" s="26">
        <f t="shared" si="7"/>
        <v>0</v>
      </c>
      <c r="R30" s="38">
        <f>Q30/(1+'Major Assumption Key'!$B$8)^($F30-'Major Assumption Key'!$B$7)</f>
        <v>0</v>
      </c>
      <c r="S30" s="291"/>
      <c r="T30" s="784">
        <f t="shared" si="8"/>
        <v>0</v>
      </c>
      <c r="U30" s="855">
        <f t="shared" si="9"/>
        <v>0</v>
      </c>
      <c r="V30" s="26">
        <f t="shared" si="10"/>
        <v>0</v>
      </c>
      <c r="W30" s="38">
        <f t="shared" si="11"/>
        <v>0</v>
      </c>
    </row>
    <row r="31" spans="1:23" ht="19.95" customHeight="1">
      <c r="C31" s="13"/>
      <c r="D31" s="13"/>
      <c r="E31" s="767"/>
      <c r="F31" s="772">
        <f>'Major Assumption Key'!A43</f>
        <v>2044</v>
      </c>
      <c r="G31" s="864">
        <f>_xlfn.XLOOKUP(F31,'Transit Demand'!A:A,'Transit Demand'!B:B,,0)</f>
        <v>18703.823300346365</v>
      </c>
      <c r="H31" s="864">
        <v>24</v>
      </c>
      <c r="I31" s="773">
        <f t="shared" si="3"/>
        <v>0</v>
      </c>
      <c r="J31" s="773">
        <f t="shared" si="4"/>
        <v>0</v>
      </c>
      <c r="K31" s="784">
        <f>IF(AND($F31&gt;=MIN('Major Assumption Key'!$B$4),$F31&lt;=MAX('Major Assumption Key'!$B$6)),I31+J31,0)</f>
        <v>0</v>
      </c>
      <c r="L31" s="864">
        <f>_xlfn.XLOOKUP(F31,'Transit Demand'!A:A,'Transit Demand'!B:B,,0)</f>
        <v>18703.823300346365</v>
      </c>
      <c r="M31" s="864">
        <f>_xlfn.XLOOKUP(F31,'Transit Demand'!A:A,'Transit Demand'!D:D,,0)</f>
        <v>2412.7932057446851</v>
      </c>
      <c r="N31" s="773">
        <f t="shared" si="5"/>
        <v>0</v>
      </c>
      <c r="O31" s="773">
        <f t="shared" si="6"/>
        <v>0</v>
      </c>
      <c r="P31" s="855">
        <f>IF(AND($F31&gt;=MIN('Major Assumption Key'!$B$4),$F31&lt;=MAX('Major Assumption Key'!$B$6)),N31+O31,0)</f>
        <v>0</v>
      </c>
      <c r="Q31" s="26">
        <f t="shared" si="7"/>
        <v>0</v>
      </c>
      <c r="R31" s="38">
        <f>Q31/(1+'Major Assumption Key'!$B$8)^($F31-'Major Assumption Key'!$B$7)</f>
        <v>0</v>
      </c>
      <c r="S31" s="291"/>
      <c r="T31" s="784">
        <f t="shared" si="8"/>
        <v>0</v>
      </c>
      <c r="U31" s="855">
        <f t="shared" si="9"/>
        <v>0</v>
      </c>
      <c r="V31" s="26">
        <f t="shared" si="10"/>
        <v>0</v>
      </c>
      <c r="W31" s="38">
        <f t="shared" si="11"/>
        <v>0</v>
      </c>
    </row>
    <row r="32" spans="1:23" ht="19.95" customHeight="1">
      <c r="C32" s="13"/>
      <c r="D32" s="13"/>
      <c r="F32" s="772">
        <f>'Major Assumption Key'!A44</f>
        <v>2045</v>
      </c>
      <c r="G32" s="864">
        <f>_xlfn.XLOOKUP(F32,'Transit Demand'!A:A,'Transit Demand'!B:B,,0)</f>
        <v>18776.845397694156</v>
      </c>
      <c r="H32" s="864">
        <v>25</v>
      </c>
      <c r="I32" s="773">
        <f t="shared" si="3"/>
        <v>0</v>
      </c>
      <c r="J32" s="773">
        <f t="shared" si="4"/>
        <v>0</v>
      </c>
      <c r="K32" s="784">
        <f>IF(AND($F32&gt;=MIN('Major Assumption Key'!$B$4),$F32&lt;=MAX('Major Assumption Key'!$B$6)),I32+J32,0)</f>
        <v>0</v>
      </c>
      <c r="L32" s="864">
        <f>_xlfn.XLOOKUP(F32,'Transit Demand'!A:A,'Transit Demand'!B:B,,0)</f>
        <v>18776.845397694156</v>
      </c>
      <c r="M32" s="864">
        <f>_xlfn.XLOOKUP(F32,'Transit Demand'!A:A,'Transit Demand'!D:D,,0)</f>
        <v>2422.213056302553</v>
      </c>
      <c r="N32" s="773">
        <f t="shared" si="5"/>
        <v>0</v>
      </c>
      <c r="O32" s="773">
        <f t="shared" si="6"/>
        <v>0</v>
      </c>
      <c r="P32" s="855">
        <f>IF(AND($F32&gt;=MIN('Major Assumption Key'!$B$4),$F32&lt;=MAX('Major Assumption Key'!$B$6)),N32+O32,0)</f>
        <v>0</v>
      </c>
      <c r="Q32" s="26">
        <f t="shared" si="7"/>
        <v>0</v>
      </c>
      <c r="R32" s="38">
        <f>Q32/(1+'Major Assumption Key'!$B$8)^($F32-'Major Assumption Key'!$B$7)</f>
        <v>0</v>
      </c>
      <c r="S32" s="291"/>
      <c r="T32" s="784">
        <f t="shared" si="8"/>
        <v>0</v>
      </c>
      <c r="U32" s="855">
        <f t="shared" si="9"/>
        <v>0</v>
      </c>
      <c r="V32" s="26">
        <f t="shared" si="10"/>
        <v>0</v>
      </c>
      <c r="W32" s="38">
        <f t="shared" si="11"/>
        <v>0</v>
      </c>
    </row>
    <row r="33" spans="3:23" ht="19.95" customHeight="1">
      <c r="C33" s="13"/>
      <c r="D33" s="13"/>
      <c r="F33" s="772">
        <f>'Major Assumption Key'!A45</f>
        <v>2046</v>
      </c>
      <c r="G33" s="864">
        <f>_xlfn.XLOOKUP(F33,'Transit Demand'!A:A,'Transit Demand'!B:B,,0)</f>
        <v>18850.152582567396</v>
      </c>
      <c r="H33" s="864">
        <v>26</v>
      </c>
      <c r="I33" s="773">
        <f t="shared" si="3"/>
        <v>0</v>
      </c>
      <c r="J33" s="773">
        <f t="shared" si="4"/>
        <v>0</v>
      </c>
      <c r="K33" s="784">
        <f>IF(AND($F33&gt;=MIN('Major Assumption Key'!$B$4),$F33&lt;=MAX('Major Assumption Key'!$B$6)),I33+J33,0)</f>
        <v>0</v>
      </c>
      <c r="L33" s="864">
        <f>_xlfn.XLOOKUP(F33,'Transit Demand'!A:A,'Transit Demand'!B:B,,0)</f>
        <v>18850.152582567396</v>
      </c>
      <c r="M33" s="864">
        <f>_xlfn.XLOOKUP(F33,'Transit Demand'!A:A,'Transit Demand'!D:D,,0)</f>
        <v>2431.6696831512018</v>
      </c>
      <c r="N33" s="773">
        <f t="shared" si="5"/>
        <v>0</v>
      </c>
      <c r="O33" s="773">
        <f t="shared" si="6"/>
        <v>0</v>
      </c>
      <c r="P33" s="855">
        <f>IF(AND($F33&gt;=MIN('Major Assumption Key'!$B$4),$F33&lt;=MAX('Major Assumption Key'!$B$6)),N33+O33,0)</f>
        <v>0</v>
      </c>
      <c r="Q33" s="26">
        <f t="shared" si="7"/>
        <v>0</v>
      </c>
      <c r="R33" s="38">
        <f>Q33/(1+'Major Assumption Key'!$B$8)^($F33-'Major Assumption Key'!$B$7)</f>
        <v>0</v>
      </c>
      <c r="S33" s="291"/>
      <c r="T33" s="784">
        <f t="shared" si="8"/>
        <v>0</v>
      </c>
      <c r="U33" s="855">
        <f t="shared" si="9"/>
        <v>0</v>
      </c>
      <c r="V33" s="26">
        <f t="shared" si="10"/>
        <v>0</v>
      </c>
      <c r="W33" s="38">
        <f t="shared" si="11"/>
        <v>0</v>
      </c>
    </row>
    <row r="34" spans="3:23" ht="19.95" customHeight="1">
      <c r="F34" s="772">
        <f>'Major Assumption Key'!A46</f>
        <v>2047</v>
      </c>
      <c r="G34" s="864">
        <f>_xlfn.XLOOKUP(F34,'Transit Demand'!A:A,'Transit Demand'!B:B,,0)</f>
        <v>18923.745967983923</v>
      </c>
      <c r="H34" s="864">
        <v>27</v>
      </c>
      <c r="I34" s="773">
        <f t="shared" si="3"/>
        <v>0</v>
      </c>
      <c r="J34" s="773">
        <f t="shared" si="4"/>
        <v>0</v>
      </c>
      <c r="K34" s="784">
        <f>IF(AND($F34&gt;=MIN('Major Assumption Key'!$B$4),$F34&lt;=MAX('Major Assumption Key'!$B$6)),I34+J34,0)</f>
        <v>0</v>
      </c>
      <c r="L34" s="864">
        <f>_xlfn.XLOOKUP(F34,'Transit Demand'!A:A,'Transit Demand'!B:B,,0)</f>
        <v>18923.745967983923</v>
      </c>
      <c r="M34" s="864">
        <f>_xlfn.XLOOKUP(F34,'Transit Demand'!A:A,'Transit Demand'!D:D,,0)</f>
        <v>2441.1632298699333</v>
      </c>
      <c r="N34" s="773">
        <f t="shared" si="5"/>
        <v>0</v>
      </c>
      <c r="O34" s="773">
        <f t="shared" si="6"/>
        <v>0</v>
      </c>
      <c r="P34" s="855">
        <f>IF(AND($F34&gt;=MIN('Major Assumption Key'!$B$4),$F34&lt;=MAX('Major Assumption Key'!$B$6)),N34+O34,0)</f>
        <v>0</v>
      </c>
      <c r="Q34" s="26">
        <f t="shared" si="7"/>
        <v>0</v>
      </c>
      <c r="R34" s="38">
        <f>Q34/(1+'Major Assumption Key'!$B$8)^($F34-'Major Assumption Key'!$B$7)</f>
        <v>0</v>
      </c>
      <c r="S34" s="291"/>
      <c r="T34" s="784">
        <f t="shared" si="8"/>
        <v>0</v>
      </c>
      <c r="U34" s="855">
        <f t="shared" si="9"/>
        <v>0</v>
      </c>
      <c r="V34" s="26">
        <f t="shared" si="10"/>
        <v>0</v>
      </c>
      <c r="W34" s="38">
        <f t="shared" si="11"/>
        <v>0</v>
      </c>
    </row>
    <row r="35" spans="3:23" ht="19.95" customHeight="1">
      <c r="F35" s="772">
        <f>'Major Assumption Key'!A47</f>
        <v>2048</v>
      </c>
      <c r="G35" s="864">
        <f>_xlfn.XLOOKUP(F35,'Transit Demand'!A:A,'Transit Demand'!B:B,,0)</f>
        <v>18997.626671306942</v>
      </c>
      <c r="H35" s="864">
        <v>28</v>
      </c>
      <c r="I35" s="773">
        <f t="shared" si="3"/>
        <v>0</v>
      </c>
      <c r="J35" s="773">
        <f t="shared" si="4"/>
        <v>0</v>
      </c>
      <c r="K35" s="784">
        <f>IF(AND($F35&gt;=MIN('Major Assumption Key'!$B$4),$F35&lt;=MAX('Major Assumption Key'!$B$6)),I35+J35,0)</f>
        <v>0</v>
      </c>
      <c r="L35" s="864">
        <f>_xlfn.XLOOKUP(F35,'Transit Demand'!A:A,'Transit Demand'!B:B,,0)</f>
        <v>18997.626671306942</v>
      </c>
      <c r="M35" s="864">
        <f>_xlfn.XLOOKUP(F35,'Transit Demand'!A:A,'Transit Demand'!D:D,,0)</f>
        <v>2450.6938405986002</v>
      </c>
      <c r="N35" s="773">
        <f t="shared" si="5"/>
        <v>0</v>
      </c>
      <c r="O35" s="773">
        <f t="shared" si="6"/>
        <v>0</v>
      </c>
      <c r="P35" s="855">
        <f>IF(AND($F35&gt;=MIN('Major Assumption Key'!$B$4),$F35&lt;=MAX('Major Assumption Key'!$B$6)),N35+O35,0)</f>
        <v>0</v>
      </c>
      <c r="Q35" s="26">
        <f t="shared" si="7"/>
        <v>0</v>
      </c>
      <c r="R35" s="38">
        <f>Q35/(1+'Major Assumption Key'!$B$8)^($F35-'Major Assumption Key'!$B$7)</f>
        <v>0</v>
      </c>
      <c r="S35" s="291"/>
      <c r="T35" s="784">
        <f t="shared" si="8"/>
        <v>0</v>
      </c>
      <c r="U35" s="855">
        <f t="shared" si="9"/>
        <v>0</v>
      </c>
      <c r="V35" s="26">
        <f t="shared" si="10"/>
        <v>0</v>
      </c>
      <c r="W35" s="38">
        <f t="shared" si="11"/>
        <v>0</v>
      </c>
    </row>
    <row r="36" spans="3:23" ht="19.95" customHeight="1">
      <c r="F36" s="772">
        <f>'Major Assumption Key'!A48</f>
        <v>2049</v>
      </c>
      <c r="G36" s="864">
        <f>_xlfn.XLOOKUP(F36,'Transit Demand'!A:A,'Transit Demand'!B:B,,0)</f>
        <v>19071.795814261983</v>
      </c>
      <c r="H36" s="864">
        <v>29</v>
      </c>
      <c r="I36" s="773">
        <f t="shared" si="3"/>
        <v>0</v>
      </c>
      <c r="J36" s="773">
        <f t="shared" si="4"/>
        <v>0</v>
      </c>
      <c r="K36" s="784">
        <f>IF(AND($F36&gt;=MIN('Major Assumption Key'!$B$4),$F36&lt;=MAX('Major Assumption Key'!$B$6)),I36+J36,0)</f>
        <v>0</v>
      </c>
      <c r="L36" s="864">
        <f>_xlfn.XLOOKUP(F36,'Transit Demand'!A:A,'Transit Demand'!B:B,,0)</f>
        <v>19071.795814261983</v>
      </c>
      <c r="M36" s="864">
        <f>_xlfn.XLOOKUP(F36,'Transit Demand'!A:A,'Transit Demand'!D:D,,0)</f>
        <v>2460.2616600397996</v>
      </c>
      <c r="N36" s="773">
        <f t="shared" si="5"/>
        <v>0</v>
      </c>
      <c r="O36" s="773">
        <f t="shared" si="6"/>
        <v>0</v>
      </c>
      <c r="P36" s="855">
        <f>IF(AND($F36&gt;=MIN('Major Assumption Key'!$B$4),$F36&lt;=MAX('Major Assumption Key'!$B$6)),N36+O36,0)</f>
        <v>0</v>
      </c>
      <c r="Q36" s="26">
        <f t="shared" si="7"/>
        <v>0</v>
      </c>
      <c r="R36" s="38">
        <f>Q36/(1+'Major Assumption Key'!$B$8)^($F36-'Major Assumption Key'!$B$7)</f>
        <v>0</v>
      </c>
      <c r="S36" s="291"/>
      <c r="T36" s="784">
        <f t="shared" si="8"/>
        <v>0</v>
      </c>
      <c r="U36" s="855">
        <f t="shared" si="9"/>
        <v>0</v>
      </c>
      <c r="V36" s="26">
        <f t="shared" si="10"/>
        <v>0</v>
      </c>
      <c r="W36" s="38">
        <f t="shared" si="11"/>
        <v>0</v>
      </c>
    </row>
    <row r="37" spans="3:23" ht="19.95" customHeight="1">
      <c r="F37" s="772">
        <f>'Major Assumption Key'!A49</f>
        <v>2050</v>
      </c>
      <c r="G37" s="864">
        <f>_xlfn.XLOOKUP(F37,'Transit Demand'!A:A,'Transit Demand'!B:B,,0)</f>
        <v>19146.254522953936</v>
      </c>
      <c r="H37" s="864">
        <v>30</v>
      </c>
      <c r="I37" s="773">
        <f t="shared" si="3"/>
        <v>0</v>
      </c>
      <c r="J37" s="773">
        <f t="shared" si="4"/>
        <v>0</v>
      </c>
      <c r="K37" s="784">
        <f>IF(AND($F37&gt;=MIN('Major Assumption Key'!$B$4),$F37&lt;=MAX('Major Assumption Key'!$B$6)),I37+J37,0)</f>
        <v>0</v>
      </c>
      <c r="L37" s="864">
        <f>_xlfn.XLOOKUP(F37,'Transit Demand'!A:A,'Transit Demand'!B:B,,0)</f>
        <v>19146.254522953936</v>
      </c>
      <c r="M37" s="864">
        <f>_xlfn.XLOOKUP(F37,'Transit Demand'!A:A,'Transit Demand'!D:D,,0)</f>
        <v>2469.8668334610629</v>
      </c>
      <c r="N37" s="773">
        <f t="shared" si="5"/>
        <v>0</v>
      </c>
      <c r="O37" s="773">
        <f t="shared" si="6"/>
        <v>0</v>
      </c>
      <c r="P37" s="855">
        <f>IF(AND($F37&gt;=MIN('Major Assumption Key'!$B$4),$F37&lt;=MAX('Major Assumption Key'!$B$6)),N37+O37,0)</f>
        <v>0</v>
      </c>
      <c r="Q37" s="26">
        <f t="shared" si="7"/>
        <v>0</v>
      </c>
      <c r="R37" s="38">
        <f>Q37/(1+'Major Assumption Key'!$B$8)^($F37-'Major Assumption Key'!$B$7)</f>
        <v>0</v>
      </c>
      <c r="S37" s="291"/>
      <c r="T37" s="784">
        <f t="shared" si="8"/>
        <v>0</v>
      </c>
      <c r="U37" s="855">
        <f t="shared" si="9"/>
        <v>0</v>
      </c>
      <c r="V37" s="26">
        <f t="shared" si="10"/>
        <v>0</v>
      </c>
      <c r="W37" s="38">
        <f t="shared" si="11"/>
        <v>0</v>
      </c>
    </row>
    <row r="38" spans="3:23" ht="19.95" customHeight="1">
      <c r="F38" s="772">
        <f>'Major Assumption Key'!A50</f>
        <v>2051</v>
      </c>
      <c r="G38" s="864">
        <f>_xlfn.XLOOKUP(F38,'Transit Demand'!A:A,'Transit Demand'!B:B,,0)</f>
        <v>19221.00392788415</v>
      </c>
      <c r="H38" s="864">
        <v>31</v>
      </c>
      <c r="I38" s="773">
        <f t="shared" si="3"/>
        <v>0</v>
      </c>
      <c r="J38" s="773">
        <f t="shared" si="4"/>
        <v>0</v>
      </c>
      <c r="K38" s="784">
        <f>IF(AND($F38&gt;=MIN('Major Assumption Key'!$B$4),$F38&lt;=MAX('Major Assumption Key'!$B$6)),I38+J38,0)</f>
        <v>0</v>
      </c>
      <c r="L38" s="864">
        <f>_xlfn.XLOOKUP(F38,'Transit Demand'!A:A,'Transit Demand'!B:B,,0)</f>
        <v>19221.00392788415</v>
      </c>
      <c r="M38" s="864">
        <f>_xlfn.XLOOKUP(F38,'Transit Demand'!A:A,'Transit Demand'!D:D,,0)</f>
        <v>2479.5095066970607</v>
      </c>
      <c r="N38" s="773">
        <f t="shared" si="5"/>
        <v>0</v>
      </c>
      <c r="O38" s="773">
        <f t="shared" si="6"/>
        <v>0</v>
      </c>
      <c r="P38" s="855">
        <f>IF(AND($F38&gt;=MIN('Major Assumption Key'!$B$4),$F38&lt;=MAX('Major Assumption Key'!$B$6)),N38+O38,0)</f>
        <v>0</v>
      </c>
      <c r="Q38" s="26">
        <f t="shared" si="7"/>
        <v>0</v>
      </c>
      <c r="R38" s="38">
        <f>Q38/(1+'Major Assumption Key'!$B$8)^($F38-'Major Assumption Key'!$B$7)</f>
        <v>0</v>
      </c>
      <c r="S38" s="291"/>
      <c r="T38" s="784">
        <f t="shared" si="8"/>
        <v>0</v>
      </c>
      <c r="U38" s="855">
        <f t="shared" si="9"/>
        <v>0</v>
      </c>
      <c r="V38" s="26">
        <f t="shared" si="10"/>
        <v>0</v>
      </c>
      <c r="W38" s="38">
        <f t="shared" si="11"/>
        <v>0</v>
      </c>
    </row>
    <row r="39" spans="3:23" ht="19.95" customHeight="1">
      <c r="F39" s="772">
        <f>'Major Assumption Key'!A51</f>
        <v>2052</v>
      </c>
      <c r="G39" s="864">
        <f>_xlfn.XLOOKUP(F39,'Transit Demand'!A:A,'Transit Demand'!B:B,,0)</f>
        <v>19296.045163967592</v>
      </c>
      <c r="H39" s="864">
        <v>32</v>
      </c>
      <c r="I39" s="773">
        <f t="shared" si="3"/>
        <v>0</v>
      </c>
      <c r="J39" s="773">
        <f t="shared" si="4"/>
        <v>0</v>
      </c>
      <c r="K39" s="784">
        <f>IF(AND($F39&gt;=MIN('Major Assumption Key'!$B$4),$F39&lt;=MAX('Major Assumption Key'!$B$6)),I39+J39,0)</f>
        <v>0</v>
      </c>
      <c r="L39" s="864">
        <f>_xlfn.XLOOKUP(F39,'Transit Demand'!A:A,'Transit Demand'!B:B,,0)</f>
        <v>19296.045163967592</v>
      </c>
      <c r="M39" s="864">
        <f>_xlfn.XLOOKUP(F39,'Transit Demand'!A:A,'Transit Demand'!D:D,,0)</f>
        <v>2489.1898261518254</v>
      </c>
      <c r="N39" s="773">
        <f t="shared" si="5"/>
        <v>0</v>
      </c>
      <c r="O39" s="773">
        <f t="shared" si="6"/>
        <v>0</v>
      </c>
      <c r="P39" s="855">
        <f>IF(AND($F39&gt;=MIN('Major Assumption Key'!$B$4),$F39&lt;=MAX('Major Assumption Key'!$B$6)),N39+O39,0)</f>
        <v>0</v>
      </c>
      <c r="Q39" s="26">
        <f t="shared" si="7"/>
        <v>0</v>
      </c>
      <c r="R39" s="38">
        <f>Q39/(1+'Major Assumption Key'!$B$8)^($F39-'Major Assumption Key'!$B$7)</f>
        <v>0</v>
      </c>
      <c r="S39" s="291"/>
      <c r="T39" s="784">
        <f t="shared" si="8"/>
        <v>0</v>
      </c>
      <c r="U39" s="855">
        <f t="shared" si="9"/>
        <v>0</v>
      </c>
      <c r="V39" s="26">
        <f t="shared" si="10"/>
        <v>0</v>
      </c>
      <c r="W39" s="38">
        <f t="shared" si="11"/>
        <v>0</v>
      </c>
    </row>
    <row r="40" spans="3:23" ht="19.95" customHeight="1">
      <c r="F40" s="772">
        <f>'Major Assumption Key'!A52</f>
        <v>2053</v>
      </c>
      <c r="G40" s="864">
        <f>_xlfn.XLOOKUP(F40,'Transit Demand'!A:A,'Transit Demand'!B:B,,0)</f>
        <v>19371.379370550079</v>
      </c>
      <c r="H40" s="864">
        <v>33</v>
      </c>
      <c r="I40" s="773">
        <f t="shared" si="3"/>
        <v>0</v>
      </c>
      <c r="J40" s="773">
        <f t="shared" si="4"/>
        <v>0</v>
      </c>
      <c r="K40" s="784">
        <f>IF(AND($F40&gt;=MIN('Major Assumption Key'!$B$4),$F40&lt;=MAX('Major Assumption Key'!$B$6)),I40+J40,0)</f>
        <v>0</v>
      </c>
      <c r="L40" s="864">
        <f>_xlfn.XLOOKUP(F40,'Transit Demand'!A:A,'Transit Demand'!B:B,,0)</f>
        <v>19371.379370550079</v>
      </c>
      <c r="M40" s="864">
        <f>_xlfn.XLOOKUP(F40,'Transit Demand'!A:A,'Transit Demand'!D:D,,0)</f>
        <v>2498.9079388009668</v>
      </c>
      <c r="N40" s="773">
        <f t="shared" si="5"/>
        <v>0</v>
      </c>
      <c r="O40" s="773">
        <f t="shared" si="6"/>
        <v>0</v>
      </c>
      <c r="P40" s="855">
        <f>IF(AND($F40&gt;=MIN('Major Assumption Key'!$B$4),$F40&lt;=MAX('Major Assumption Key'!$B$6)),N40+O40,0)</f>
        <v>0</v>
      </c>
      <c r="Q40" s="26">
        <f t="shared" si="7"/>
        <v>0</v>
      </c>
      <c r="R40" s="38">
        <f>Q40/(1+'Major Assumption Key'!$B$8)^($F40-'Major Assumption Key'!$B$7)</f>
        <v>0</v>
      </c>
      <c r="S40" s="291"/>
      <c r="T40" s="784">
        <f t="shared" si="8"/>
        <v>0</v>
      </c>
      <c r="U40" s="855">
        <f t="shared" si="9"/>
        <v>0</v>
      </c>
      <c r="V40" s="26">
        <f t="shared" si="10"/>
        <v>0</v>
      </c>
      <c r="W40" s="38">
        <f t="shared" si="11"/>
        <v>0</v>
      </c>
    </row>
    <row r="41" spans="3:23" ht="19.95" customHeight="1">
      <c r="F41" s="772">
        <f>'Major Assumption Key'!A53</f>
        <v>2054</v>
      </c>
      <c r="G41" s="864">
        <f>_xlfn.XLOOKUP(F41,'Transit Demand'!A:A,'Transit Demand'!B:B,,0)</f>
        <v>19447.007691425584</v>
      </c>
      <c r="H41" s="864">
        <v>34</v>
      </c>
      <c r="I41" s="773">
        <f t="shared" si="3"/>
        <v>0</v>
      </c>
      <c r="J41" s="773">
        <f t="shared" si="4"/>
        <v>0</v>
      </c>
      <c r="K41" s="784">
        <f>IF(AND($F41&gt;=MIN('Major Assumption Key'!$B$4),$F41&lt;=MAX('Major Assumption Key'!$B$6)),I41+J41,0)</f>
        <v>0</v>
      </c>
      <c r="L41" s="864">
        <f>_xlfn.XLOOKUP(F41,'Transit Demand'!A:A,'Transit Demand'!B:B,,0)</f>
        <v>19447.007691425584</v>
      </c>
      <c r="M41" s="864">
        <f>_xlfn.XLOOKUP(F41,'Transit Demand'!A:A,'Transit Demand'!D:D,,0)</f>
        <v>2508.6639921939059</v>
      </c>
      <c r="N41" s="773">
        <f t="shared" si="5"/>
        <v>0</v>
      </c>
      <c r="O41" s="773">
        <f t="shared" si="6"/>
        <v>0</v>
      </c>
      <c r="P41" s="855">
        <f>IF(AND($F41&gt;=MIN('Major Assumption Key'!$B$4),$F41&lt;=MAX('Major Assumption Key'!$B$6)),N41+O41,0)</f>
        <v>0</v>
      </c>
      <c r="Q41" s="26">
        <f t="shared" si="7"/>
        <v>0</v>
      </c>
      <c r="R41" s="38">
        <f>Q41/(1+'Major Assumption Key'!$B$8)^($F41-'Major Assumption Key'!$B$7)</f>
        <v>0</v>
      </c>
      <c r="S41" s="291"/>
      <c r="T41" s="784">
        <f t="shared" si="8"/>
        <v>0</v>
      </c>
      <c r="U41" s="855">
        <f t="shared" si="9"/>
        <v>0</v>
      </c>
      <c r="V41" s="26">
        <f t="shared" si="10"/>
        <v>0</v>
      </c>
      <c r="W41" s="38">
        <f t="shared" si="11"/>
        <v>0</v>
      </c>
    </row>
    <row r="42" spans="3:23" ht="19.95" customHeight="1">
      <c r="F42" s="772">
        <f>'Major Assumption Key'!A54</f>
        <v>2055</v>
      </c>
      <c r="G42" s="864">
        <f>_xlfn.XLOOKUP(F42,'Transit Demand'!A:A,'Transit Demand'!B:B,,0)</f>
        <v>19522.931274853592</v>
      </c>
      <c r="H42" s="864">
        <v>35</v>
      </c>
      <c r="I42" s="773">
        <f t="shared" si="3"/>
        <v>0</v>
      </c>
      <c r="J42" s="773">
        <f t="shared" si="4"/>
        <v>0</v>
      </c>
      <c r="K42" s="784">
        <f>IF(AND($F42&gt;=MIN('Major Assumption Key'!$B$4),$F42&lt;=MAX('Major Assumption Key'!$B$6)),I42+J42,0)</f>
        <v>0</v>
      </c>
      <c r="L42" s="864">
        <f>_xlfn.XLOOKUP(F42,'Transit Demand'!A:A,'Transit Demand'!B:B,,0)</f>
        <v>19522.931274853592</v>
      </c>
      <c r="M42" s="864">
        <f>_xlfn.XLOOKUP(F42,'Transit Demand'!A:A,'Transit Demand'!D:D,,0)</f>
        <v>2518.4581344561193</v>
      </c>
      <c r="N42" s="773">
        <f t="shared" si="5"/>
        <v>0</v>
      </c>
      <c r="O42" s="773">
        <f t="shared" si="6"/>
        <v>0</v>
      </c>
      <c r="P42" s="855">
        <f>IF(AND($F42&gt;=MIN('Major Assumption Key'!$B$4),$F42&lt;=MAX('Major Assumption Key'!$B$6)),N42+O42,0)</f>
        <v>0</v>
      </c>
      <c r="Q42" s="26">
        <f t="shared" si="7"/>
        <v>0</v>
      </c>
      <c r="R42" s="38">
        <f>Q42/(1+'Major Assumption Key'!$B$8)^($F42-'Major Assumption Key'!$B$7)</f>
        <v>0</v>
      </c>
      <c r="S42" s="291"/>
      <c r="T42" s="784">
        <f t="shared" si="8"/>
        <v>0</v>
      </c>
      <c r="U42" s="855">
        <f t="shared" si="9"/>
        <v>0</v>
      </c>
      <c r="V42" s="26">
        <f t="shared" si="10"/>
        <v>0</v>
      </c>
      <c r="W42" s="38">
        <f t="shared" si="11"/>
        <v>0</v>
      </c>
    </row>
    <row r="43" spans="3:23" ht="19.95" customHeight="1">
      <c r="F43" s="772">
        <f>'Major Assumption Key'!A55</f>
        <v>2056</v>
      </c>
      <c r="G43" s="864">
        <f>_xlfn.XLOOKUP(F43,'Transit Demand'!A:A,'Transit Demand'!B:B,,0)</f>
        <v>19599.151273576539</v>
      </c>
      <c r="H43" s="864">
        <v>36</v>
      </c>
      <c r="I43" s="773">
        <f t="shared" si="3"/>
        <v>0</v>
      </c>
      <c r="J43" s="773">
        <f t="shared" si="4"/>
        <v>0</v>
      </c>
      <c r="K43" s="784">
        <f>IF(AND($F43&gt;=MIN('Major Assumption Key'!$B$4),$F43&lt;=MAX('Major Assumption Key'!$B$6)),I43+J43,0)</f>
        <v>0</v>
      </c>
      <c r="L43" s="864">
        <f>_xlfn.XLOOKUP(F43,'Transit Demand'!A:A,'Transit Demand'!B:B,,0)</f>
        <v>19599.151273576539</v>
      </c>
      <c r="M43" s="864">
        <f>_xlfn.XLOOKUP(F43,'Transit Demand'!A:A,'Transit Demand'!D:D,,0)</f>
        <v>2528.2905142913805</v>
      </c>
      <c r="N43" s="773">
        <f t="shared" si="5"/>
        <v>0</v>
      </c>
      <c r="O43" s="773">
        <f t="shared" si="6"/>
        <v>0</v>
      </c>
      <c r="P43" s="855">
        <f>IF(AND($F43&gt;=MIN('Major Assumption Key'!$B$4),$F43&lt;=MAX('Major Assumption Key'!$B$6)),N43+O43,0)</f>
        <v>0</v>
      </c>
      <c r="Q43" s="26">
        <f t="shared" si="7"/>
        <v>0</v>
      </c>
      <c r="R43" s="38">
        <f>Q43/(1+'Major Assumption Key'!$B$8)^($F43-'Major Assumption Key'!$B$7)</f>
        <v>0</v>
      </c>
      <c r="S43" s="291"/>
      <c r="T43" s="784">
        <f t="shared" si="8"/>
        <v>0</v>
      </c>
      <c r="U43" s="855">
        <f t="shared" si="9"/>
        <v>0</v>
      </c>
      <c r="V43" s="26">
        <f t="shared" si="10"/>
        <v>0</v>
      </c>
      <c r="W43" s="38">
        <f t="shared" si="11"/>
        <v>0</v>
      </c>
    </row>
    <row r="44" spans="3:23" ht="19.95" customHeight="1">
      <c r="F44" s="772">
        <f>'Major Assumption Key'!A56</f>
        <v>2057</v>
      </c>
      <c r="G44" s="864">
        <f>_xlfn.XLOOKUP(F44,'Transit Demand'!A:A,'Transit Demand'!B:B,,0)</f>
        <v>19675.668844837317</v>
      </c>
      <c r="H44" s="864">
        <v>37</v>
      </c>
      <c r="I44" s="773">
        <f t="shared" si="3"/>
        <v>0</v>
      </c>
      <c r="J44" s="773">
        <f t="shared" si="4"/>
        <v>0</v>
      </c>
      <c r="K44" s="784">
        <f>IF(AND($F44&gt;=MIN('Major Assumption Key'!$B$4),$F44&lt;=MAX('Major Assumption Key'!$B$6)),I44+J44,0)</f>
        <v>0</v>
      </c>
      <c r="L44" s="864">
        <f>_xlfn.XLOOKUP(F44,'Transit Demand'!A:A,'Transit Demand'!B:B,,0)</f>
        <v>19675.668844837317</v>
      </c>
      <c r="M44" s="864">
        <f>_xlfn.XLOOKUP(F44,'Transit Demand'!A:A,'Transit Demand'!D:D,,0)</f>
        <v>2538.161280984019</v>
      </c>
      <c r="N44" s="773">
        <f t="shared" si="5"/>
        <v>0</v>
      </c>
      <c r="O44" s="773">
        <f t="shared" si="6"/>
        <v>0</v>
      </c>
      <c r="P44" s="855">
        <f>IF(AND($F44&gt;=MIN('Major Assumption Key'!$B$4),$F44&lt;=MAX('Major Assumption Key'!$B$6)),N44+O44,0)</f>
        <v>0</v>
      </c>
      <c r="Q44" s="26">
        <f t="shared" si="7"/>
        <v>0</v>
      </c>
      <c r="R44" s="38">
        <f>Q44/(1+'Major Assumption Key'!$B$8)^($F44-'Major Assumption Key'!$B$7)</f>
        <v>0</v>
      </c>
      <c r="S44" s="291"/>
      <c r="T44" s="784">
        <f t="shared" si="8"/>
        <v>0</v>
      </c>
      <c r="U44" s="855">
        <f t="shared" si="9"/>
        <v>0</v>
      </c>
      <c r="V44" s="26">
        <f t="shared" si="10"/>
        <v>0</v>
      </c>
      <c r="W44" s="38">
        <f t="shared" si="11"/>
        <v>0</v>
      </c>
    </row>
    <row r="45" spans="3:23" ht="19.95" customHeight="1">
      <c r="F45" s="772">
        <f>'Major Assumption Key'!A57</f>
        <v>2058</v>
      </c>
      <c r="G45" s="864">
        <f>_xlfn.XLOOKUP(F45,'Transit Demand'!A:A,'Transit Demand'!B:B,,0)</f>
        <v>19752.485150396835</v>
      </c>
      <c r="H45" s="864">
        <v>38</v>
      </c>
      <c r="I45" s="773">
        <f t="shared" si="3"/>
        <v>0</v>
      </c>
      <c r="J45" s="773">
        <f t="shared" si="4"/>
        <v>0</v>
      </c>
      <c r="K45" s="784">
        <f>IF(AND($F45&gt;=MIN('Major Assumption Key'!$B$4),$F45&lt;=MAX('Major Assumption Key'!$B$6)),I45+J45,0)</f>
        <v>0</v>
      </c>
      <c r="L45" s="864">
        <f>_xlfn.XLOOKUP(F45,'Transit Demand'!A:A,'Transit Demand'!B:B,,0)</f>
        <v>19752.485150396835</v>
      </c>
      <c r="M45" s="864">
        <f>_xlfn.XLOOKUP(F45,'Transit Demand'!A:A,'Transit Demand'!D:D,,0)</f>
        <v>2548.0705844011973</v>
      </c>
      <c r="N45" s="773">
        <f t="shared" si="5"/>
        <v>0</v>
      </c>
      <c r="O45" s="773">
        <f t="shared" si="6"/>
        <v>0</v>
      </c>
      <c r="P45" s="855">
        <f>IF(AND($F45&gt;=MIN('Major Assumption Key'!$B$4),$F45&lt;=MAX('Major Assumption Key'!$B$6)),N45+O45,0)</f>
        <v>0</v>
      </c>
      <c r="Q45" s="26">
        <f t="shared" si="7"/>
        <v>0</v>
      </c>
      <c r="R45" s="38">
        <f>Q45/(1+'Major Assumption Key'!$B$8)^($F45-'Major Assumption Key'!$B$7)</f>
        <v>0</v>
      </c>
      <c r="S45" s="291"/>
      <c r="T45" s="784">
        <f t="shared" si="8"/>
        <v>0</v>
      </c>
      <c r="U45" s="855">
        <f t="shared" si="9"/>
        <v>0</v>
      </c>
      <c r="V45" s="26">
        <f t="shared" si="10"/>
        <v>0</v>
      </c>
      <c r="W45" s="38">
        <f t="shared" si="11"/>
        <v>0</v>
      </c>
    </row>
    <row r="46" spans="3:23" ht="19.95" customHeight="1">
      <c r="F46" s="772">
        <f>'Major Assumption Key'!A58</f>
        <v>2059</v>
      </c>
      <c r="G46" s="864">
        <f>_xlfn.XLOOKUP(F46,'Transit Demand'!A:A,'Transit Demand'!B:B,,0)</f>
        <v>19829.60135655167</v>
      </c>
      <c r="H46" s="864">
        <v>39</v>
      </c>
      <c r="I46" s="773">
        <f t="shared" si="3"/>
        <v>0</v>
      </c>
      <c r="J46" s="773">
        <f t="shared" si="4"/>
        <v>0</v>
      </c>
      <c r="K46" s="784">
        <f>IF(AND($F46&gt;=MIN('Major Assumption Key'!$B$4),$F46&lt;=MAX('Major Assumption Key'!$B$6)),I46+J46,0)</f>
        <v>0</v>
      </c>
      <c r="L46" s="864">
        <f>_xlfn.XLOOKUP(F46,'Transit Demand'!A:A,'Transit Demand'!B:B,,0)</f>
        <v>19829.60135655167</v>
      </c>
      <c r="M46" s="864">
        <f>_xlfn.XLOOKUP(F46,'Transit Demand'!A:A,'Transit Demand'!D:D,,0)</f>
        <v>2558.0185749951706</v>
      </c>
      <c r="N46" s="773">
        <f t="shared" si="5"/>
        <v>0</v>
      </c>
      <c r="O46" s="773">
        <f t="shared" si="6"/>
        <v>0</v>
      </c>
      <c r="P46" s="855">
        <f>IF(AND($F46&gt;=MIN('Major Assumption Key'!$B$4),$F46&lt;=MAX('Major Assumption Key'!$B$6)),N46+O46,0)</f>
        <v>0</v>
      </c>
      <c r="Q46" s="26">
        <f t="shared" si="7"/>
        <v>0</v>
      </c>
      <c r="R46" s="38">
        <f>Q46/(1+'Major Assumption Key'!$B$8)^($F46-'Major Assumption Key'!$B$7)</f>
        <v>0</v>
      </c>
      <c r="S46" s="291"/>
      <c r="T46" s="784">
        <f t="shared" si="8"/>
        <v>0</v>
      </c>
      <c r="U46" s="855">
        <f t="shared" si="9"/>
        <v>0</v>
      </c>
      <c r="V46" s="26">
        <f t="shared" si="10"/>
        <v>0</v>
      </c>
      <c r="W46" s="38">
        <f t="shared" si="11"/>
        <v>0</v>
      </c>
    </row>
    <row r="47" spans="3:23" ht="19.95" customHeight="1">
      <c r="F47" s="772">
        <f>'Major Assumption Key'!A59</f>
        <v>2060</v>
      </c>
      <c r="G47" s="864">
        <f>_xlfn.XLOOKUP(F47,'Transit Demand'!A:A,'Transit Demand'!B:B,,0)</f>
        <v>19907.018634151766</v>
      </c>
      <c r="H47" s="864">
        <v>40</v>
      </c>
      <c r="I47" s="773">
        <f t="shared" si="3"/>
        <v>0</v>
      </c>
      <c r="J47" s="773">
        <f t="shared" si="4"/>
        <v>0</v>
      </c>
      <c r="K47" s="784">
        <f>IF(AND($F47&gt;=MIN('Major Assumption Key'!$B$4),$F47&lt;=MAX('Major Assumption Key'!$B$6)),I47+J47,0)</f>
        <v>0</v>
      </c>
      <c r="L47" s="864">
        <f>_xlfn.XLOOKUP(F47,'Transit Demand'!A:A,'Transit Demand'!B:B,,0)</f>
        <v>19907.018634151766</v>
      </c>
      <c r="M47" s="864">
        <f>_xlfn.XLOOKUP(F47,'Transit Demand'!A:A,'Transit Demand'!D:D,,0)</f>
        <v>2568.0054038055823</v>
      </c>
      <c r="N47" s="773">
        <f t="shared" si="5"/>
        <v>0</v>
      </c>
      <c r="O47" s="773">
        <f t="shared" si="6"/>
        <v>0</v>
      </c>
      <c r="P47" s="855">
        <f>IF(AND($F47&gt;=MIN('Major Assumption Key'!$B$4),$F47&lt;=MAX('Major Assumption Key'!$B$6)),N47+O47,0)</f>
        <v>0</v>
      </c>
      <c r="Q47" s="26">
        <f t="shared" si="7"/>
        <v>0</v>
      </c>
      <c r="R47" s="38">
        <f>Q47/(1+'Major Assumption Key'!$B$8)^($F47-'Major Assumption Key'!$B$7)</f>
        <v>0</v>
      </c>
      <c r="S47" s="291"/>
      <c r="T47" s="784">
        <f t="shared" si="8"/>
        <v>0</v>
      </c>
      <c r="U47" s="855">
        <f t="shared" si="9"/>
        <v>0</v>
      </c>
      <c r="V47" s="26">
        <f t="shared" si="10"/>
        <v>0</v>
      </c>
      <c r="W47" s="38">
        <f t="shared" si="11"/>
        <v>0</v>
      </c>
    </row>
    <row r="48" spans="3:23" ht="19.95" customHeight="1" thickBot="1">
      <c r="F48" s="115" t="s">
        <v>504</v>
      </c>
      <c r="G48" s="116"/>
      <c r="H48" s="116"/>
      <c r="I48" s="116"/>
      <c r="J48" s="27"/>
      <c r="K48" s="118">
        <f>SUM(K7:K47)</f>
        <v>0</v>
      </c>
      <c r="L48" s="116"/>
      <c r="M48" s="116"/>
      <c r="N48" s="116"/>
      <c r="O48" s="27"/>
      <c r="P48" s="119">
        <f>SUM(P7:P47)</f>
        <v>0</v>
      </c>
      <c r="Q48" s="19">
        <f>SUM(Q7:Q47)</f>
        <v>0</v>
      </c>
      <c r="R48" s="20">
        <f>SUM(R7:R47)</f>
        <v>0</v>
      </c>
      <c r="S48" s="291"/>
      <c r="T48" s="118">
        <f>ROUND(K48,-3)</f>
        <v>0</v>
      </c>
      <c r="U48" s="119">
        <f t="shared" si="2"/>
        <v>0</v>
      </c>
      <c r="V48" s="19">
        <f t="shared" si="2"/>
        <v>0</v>
      </c>
      <c r="W48" s="20">
        <f t="shared" si="2"/>
        <v>0</v>
      </c>
    </row>
    <row r="49" spans="7:22" ht="19.95" customHeight="1">
      <c r="G49" s="51"/>
      <c r="H49" s="51"/>
      <c r="K49" s="51"/>
      <c r="L49" s="51"/>
      <c r="M49" s="51"/>
      <c r="P49" s="51"/>
    </row>
    <row r="50" spans="7:22" ht="19.95" customHeight="1"/>
    <row r="51" spans="7:22" ht="19.95" customHeight="1"/>
    <row r="52" spans="7:22" ht="19.95" customHeight="1">
      <c r="V52" s="767"/>
    </row>
    <row r="53" spans="7:22" ht="19.95" customHeight="1"/>
    <row r="54" spans="7:22" ht="19.95" customHeight="1"/>
    <row r="55" spans="7:22" ht="19.95"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196"/>
  <sheetViews>
    <sheetView workbookViewId="0">
      <selection sqref="A1:XFD1048576"/>
    </sheetView>
  </sheetViews>
  <sheetFormatPr defaultColWidth="8.77734375" defaultRowHeight="14.4"/>
  <cols>
    <col min="1" max="1" width="42.44140625" style="1149" bestFit="1" customWidth="1"/>
    <col min="2" max="3" width="35.5546875" style="1149" customWidth="1"/>
    <col min="4" max="4" width="32.77734375" style="1149" customWidth="1"/>
    <col min="5" max="5" width="23.21875" style="1149" customWidth="1"/>
    <col min="6" max="6" width="26.77734375" style="1149" customWidth="1"/>
    <col min="7" max="7" width="8.77734375" style="1149"/>
    <col min="8" max="8" width="22.77734375" style="1149" bestFit="1" customWidth="1"/>
    <col min="9" max="9" width="16" style="1149" bestFit="1" customWidth="1"/>
    <col min="10" max="10" width="15.77734375" style="1149" bestFit="1" customWidth="1"/>
    <col min="11" max="11" width="7.21875" style="1149" customWidth="1"/>
    <col min="12" max="13" width="8.77734375" style="1149"/>
    <col min="14" max="14" width="6.77734375" style="1149" bestFit="1" customWidth="1"/>
    <col min="15" max="16384" width="8.77734375" style="1149"/>
  </cols>
  <sheetData>
    <row r="1" spans="1:19" ht="25.2" customHeight="1">
      <c r="A1" s="1025" t="s">
        <v>546</v>
      </c>
      <c r="B1" s="1026"/>
      <c r="C1" s="1026"/>
      <c r="D1" s="1026"/>
      <c r="E1" s="1028"/>
      <c r="F1" s="1028"/>
      <c r="G1" s="1028"/>
      <c r="H1" s="1011"/>
      <c r="I1" s="1029"/>
    </row>
    <row r="2" spans="1:19">
      <c r="A2" s="1173"/>
      <c r="B2" s="1173"/>
      <c r="C2" s="1173"/>
      <c r="D2" s="1173"/>
      <c r="E2" s="1173"/>
      <c r="F2" s="1173"/>
      <c r="G2" s="1173"/>
      <c r="H2" s="1173"/>
      <c r="I2" s="1173"/>
      <c r="J2" s="1173"/>
      <c r="K2" s="1173"/>
      <c r="L2" s="1173"/>
      <c r="M2" s="1173"/>
      <c r="N2" s="1173"/>
      <c r="O2" s="1173"/>
      <c r="P2" s="1173"/>
      <c r="Q2" s="1173"/>
      <c r="R2" s="1173"/>
      <c r="S2" s="1173"/>
    </row>
    <row r="3" spans="1:19" hidden="1">
      <c r="A3" s="1222" t="s">
        <v>1271</v>
      </c>
      <c r="B3" s="1173"/>
      <c r="C3" s="1173"/>
      <c r="D3" s="1173"/>
      <c r="E3" s="1173"/>
      <c r="F3" s="1173"/>
      <c r="G3" s="1173"/>
      <c r="H3" s="1173"/>
      <c r="I3" s="1173"/>
      <c r="J3" s="1173"/>
      <c r="K3" s="1173"/>
      <c r="L3" s="1173"/>
      <c r="M3" s="1173"/>
      <c r="N3" s="1173"/>
      <c r="O3" s="1173"/>
      <c r="P3" s="1173"/>
      <c r="Q3" s="1173"/>
      <c r="R3" s="1173"/>
      <c r="S3" s="1173"/>
    </row>
    <row r="4" spans="1:19">
      <c r="A4" s="1222" t="s">
        <v>210</v>
      </c>
      <c r="B4" s="1227" t="s">
        <v>1272</v>
      </c>
      <c r="C4" s="1173"/>
      <c r="D4" s="1173"/>
      <c r="E4" s="1173"/>
      <c r="F4" s="1173"/>
      <c r="G4" s="1173"/>
      <c r="H4" s="1173"/>
      <c r="I4" s="1173"/>
      <c r="J4" s="1173"/>
      <c r="K4" s="1173"/>
      <c r="L4" s="1173"/>
      <c r="M4" s="1173"/>
      <c r="N4" s="1173"/>
      <c r="O4" s="1173"/>
      <c r="P4" s="1173"/>
      <c r="Q4" s="1173"/>
      <c r="R4" s="1173"/>
      <c r="S4" s="1173"/>
    </row>
    <row r="5" spans="1:19" hidden="1">
      <c r="A5" s="1981" t="s">
        <v>1273</v>
      </c>
      <c r="B5" s="1173" t="s">
        <v>1274</v>
      </c>
      <c r="C5" s="1173"/>
      <c r="D5" s="1173"/>
      <c r="E5" s="1173"/>
      <c r="F5" s="1173"/>
      <c r="G5" s="1173"/>
      <c r="H5" s="1173"/>
      <c r="I5" s="1173"/>
      <c r="J5" s="1173"/>
      <c r="K5" s="1173"/>
      <c r="L5" s="1173"/>
      <c r="M5" s="1173"/>
      <c r="N5" s="1173"/>
      <c r="O5" s="1173"/>
      <c r="P5" s="1173"/>
      <c r="Q5" s="1173"/>
      <c r="R5" s="1173"/>
      <c r="S5" s="1173"/>
    </row>
    <row r="6" spans="1:19" hidden="1">
      <c r="A6" s="1981"/>
      <c r="B6" s="1173" t="s">
        <v>1275</v>
      </c>
      <c r="C6" s="1173"/>
      <c r="D6" s="1173"/>
      <c r="E6" s="1173"/>
      <c r="F6" s="1173"/>
      <c r="G6" s="1173"/>
      <c r="H6" s="1173"/>
      <c r="I6" s="1173"/>
      <c r="J6" s="1173"/>
      <c r="K6" s="1173"/>
      <c r="L6" s="1173"/>
      <c r="M6" s="1173"/>
      <c r="N6" s="1173"/>
      <c r="O6" s="1173"/>
      <c r="P6" s="1173"/>
      <c r="Q6" s="1173"/>
      <c r="R6" s="1173"/>
      <c r="S6" s="1173"/>
    </row>
    <row r="7" spans="1:19" hidden="1">
      <c r="A7" s="1981"/>
      <c r="B7" s="1173" t="s">
        <v>1276</v>
      </c>
      <c r="C7" s="1173"/>
      <c r="D7" s="1173"/>
      <c r="E7" s="1173"/>
      <c r="F7" s="1173"/>
      <c r="G7" s="1173"/>
      <c r="H7" s="1173"/>
      <c r="I7" s="1173"/>
      <c r="J7" s="1173"/>
      <c r="K7" s="1173"/>
      <c r="L7" s="1173"/>
      <c r="M7" s="1173"/>
      <c r="N7" s="1173"/>
      <c r="O7" s="1173"/>
      <c r="P7" s="1173"/>
      <c r="Q7" s="1173"/>
      <c r="R7" s="1173"/>
      <c r="S7" s="1173"/>
    </row>
    <row r="8" spans="1:19" hidden="1">
      <c r="A8" s="1173"/>
      <c r="B8" s="1600" t="s">
        <v>1277</v>
      </c>
      <c r="C8" s="1173"/>
      <c r="D8" s="1173"/>
      <c r="E8" s="1173"/>
      <c r="F8" s="1173"/>
      <c r="G8" s="1173"/>
      <c r="H8" s="1173"/>
      <c r="I8" s="1173"/>
      <c r="J8" s="1173"/>
      <c r="K8" s="1173"/>
      <c r="L8" s="1173"/>
      <c r="M8" s="1173"/>
      <c r="N8" s="1173"/>
      <c r="O8" s="1173"/>
      <c r="P8" s="1173"/>
      <c r="Q8" s="1173"/>
      <c r="R8" s="1173"/>
      <c r="S8" s="1173"/>
    </row>
    <row r="9" spans="1:19" hidden="1">
      <c r="A9" s="1173"/>
      <c r="B9" s="1173"/>
      <c r="C9" s="1173"/>
      <c r="D9" s="1173"/>
      <c r="E9" s="1173"/>
      <c r="F9" s="1173"/>
      <c r="G9" s="1173"/>
      <c r="H9" s="1173"/>
      <c r="I9" s="1173"/>
      <c r="J9" s="1173"/>
      <c r="K9" s="1173"/>
      <c r="L9" s="1173"/>
      <c r="M9" s="1173"/>
      <c r="N9" s="1173"/>
      <c r="O9" s="1173"/>
      <c r="P9" s="1173"/>
      <c r="Q9" s="1173"/>
      <c r="R9" s="1173"/>
      <c r="S9" s="1173"/>
    </row>
    <row r="10" spans="1:19" hidden="1">
      <c r="A10" s="1222" t="s">
        <v>1278</v>
      </c>
      <c r="B10" s="1173"/>
      <c r="C10" s="1173"/>
      <c r="D10" s="1173"/>
      <c r="E10" s="1173"/>
      <c r="F10" s="1173"/>
      <c r="G10" s="1173"/>
      <c r="H10" s="1173"/>
      <c r="I10" s="1173"/>
      <c r="J10" s="1173"/>
      <c r="K10" s="1173"/>
      <c r="L10" s="1173"/>
      <c r="M10" s="1173"/>
      <c r="N10" s="1173"/>
      <c r="O10" s="1173"/>
      <c r="P10" s="1173"/>
      <c r="Q10" s="1173"/>
      <c r="R10" s="1173"/>
      <c r="S10" s="1173"/>
    </row>
    <row r="11" spans="1:19" hidden="1">
      <c r="A11" s="1982" t="s">
        <v>1279</v>
      </c>
      <c r="B11" s="1173" t="s">
        <v>1280</v>
      </c>
      <c r="C11" s="1173"/>
      <c r="D11" s="1173"/>
      <c r="E11" s="1173"/>
      <c r="F11" s="1173"/>
      <c r="G11" s="1173"/>
      <c r="H11" s="1173"/>
      <c r="I11" s="1173"/>
      <c r="J11" s="1173"/>
      <c r="K11" s="1173"/>
      <c r="L11" s="1173"/>
      <c r="M11" s="1173"/>
      <c r="N11" s="1173"/>
      <c r="O11" s="1173"/>
      <c r="P11" s="1173"/>
      <c r="Q11" s="1173"/>
      <c r="R11" s="1173"/>
      <c r="S11" s="1173"/>
    </row>
    <row r="12" spans="1:19" hidden="1">
      <c r="A12" s="1982"/>
      <c r="B12" s="1614" t="s">
        <v>1281</v>
      </c>
      <c r="C12" s="1173"/>
      <c r="D12" s="1173"/>
      <c r="E12" s="1173"/>
      <c r="F12" s="1173"/>
      <c r="G12" s="1173"/>
      <c r="H12" s="1173"/>
      <c r="I12" s="1173"/>
      <c r="J12" s="1173"/>
      <c r="K12" s="1173"/>
      <c r="L12" s="1173"/>
      <c r="M12" s="1173"/>
      <c r="N12" s="1173"/>
      <c r="O12" s="1173"/>
      <c r="P12" s="1173"/>
      <c r="Q12" s="1173"/>
      <c r="R12" s="1173"/>
      <c r="S12" s="1173"/>
    </row>
    <row r="13" spans="1:19" hidden="1">
      <c r="A13" s="1982"/>
      <c r="B13" s="1615" t="s">
        <v>1282</v>
      </c>
      <c r="C13" s="1195"/>
      <c r="D13" s="1195"/>
      <c r="E13" s="1195"/>
      <c r="F13" s="1195"/>
      <c r="G13" s="1195"/>
      <c r="H13" s="1195"/>
      <c r="I13" s="1195"/>
      <c r="J13" s="1173"/>
      <c r="K13" s="1173"/>
      <c r="L13" s="1173"/>
      <c r="M13" s="1173"/>
      <c r="N13" s="1173"/>
      <c r="O13" s="1173"/>
      <c r="P13" s="1173"/>
      <c r="Q13" s="1173"/>
      <c r="R13" s="1173"/>
      <c r="S13" s="1173"/>
    </row>
    <row r="14" spans="1:19" hidden="1">
      <c r="A14" s="1983" t="s">
        <v>1273</v>
      </c>
      <c r="B14" s="1173" t="s">
        <v>1283</v>
      </c>
      <c r="C14" s="1195"/>
      <c r="D14" s="1195"/>
      <c r="E14" s="1195"/>
      <c r="F14" s="1195"/>
      <c r="G14" s="1195"/>
      <c r="H14" s="1195"/>
      <c r="I14" s="1195"/>
      <c r="J14" s="1173"/>
      <c r="K14" s="1173"/>
      <c r="L14" s="1173"/>
      <c r="M14" s="1173"/>
      <c r="N14" s="1173"/>
      <c r="O14" s="1173"/>
      <c r="P14" s="1173"/>
      <c r="Q14" s="1173"/>
      <c r="R14" s="1173"/>
      <c r="S14" s="1173"/>
    </row>
    <row r="15" spans="1:19" hidden="1">
      <c r="A15" s="1983"/>
      <c r="B15" s="1173" t="s">
        <v>1284</v>
      </c>
      <c r="C15" s="1195"/>
      <c r="D15" s="1195"/>
      <c r="E15" s="1195"/>
      <c r="F15" s="1195"/>
      <c r="G15" s="1195"/>
      <c r="H15" s="1195"/>
      <c r="I15" s="1195"/>
      <c r="J15" s="1173"/>
      <c r="K15" s="1173"/>
      <c r="L15" s="1173"/>
      <c r="M15" s="1173"/>
      <c r="N15" s="1173"/>
      <c r="O15" s="1173"/>
      <c r="P15" s="1173"/>
      <c r="Q15" s="1173"/>
      <c r="R15" s="1173"/>
      <c r="S15" s="1173"/>
    </row>
    <row r="16" spans="1:19" hidden="1">
      <c r="A16" s="1983"/>
      <c r="B16" s="1173" t="s">
        <v>1285</v>
      </c>
      <c r="C16" s="1195"/>
      <c r="D16" s="1195"/>
      <c r="E16" s="1195"/>
      <c r="F16" s="1195"/>
      <c r="G16" s="1195"/>
      <c r="H16" s="1195"/>
      <c r="I16" s="1195"/>
      <c r="J16" s="1173"/>
      <c r="K16" s="1173"/>
      <c r="L16" s="1173"/>
      <c r="M16" s="1173"/>
      <c r="N16" s="1173"/>
      <c r="O16" s="1173"/>
      <c r="P16" s="1173"/>
      <c r="Q16" s="1173"/>
      <c r="R16" s="1173"/>
      <c r="S16" s="1173"/>
    </row>
    <row r="17" spans="1:19" hidden="1">
      <c r="A17" s="1173"/>
      <c r="B17" s="1173"/>
      <c r="C17" s="1195"/>
      <c r="D17" s="1195"/>
      <c r="E17" s="1195"/>
      <c r="F17" s="1195"/>
      <c r="G17" s="1195"/>
      <c r="H17" s="1195"/>
      <c r="I17" s="1195"/>
      <c r="J17" s="1173"/>
      <c r="K17" s="1173"/>
      <c r="L17" s="1173"/>
      <c r="M17" s="1173"/>
      <c r="N17" s="1173"/>
      <c r="O17" s="1173"/>
      <c r="P17" s="1173"/>
      <c r="Q17" s="1173"/>
      <c r="R17" s="1173"/>
      <c r="S17" s="1173"/>
    </row>
    <row r="18" spans="1:19" hidden="1">
      <c r="A18" s="1222" t="s">
        <v>1286</v>
      </c>
      <c r="B18" s="1173"/>
      <c r="C18" s="1195"/>
      <c r="D18" s="1195"/>
      <c r="E18" s="1195"/>
      <c r="F18" s="1195"/>
      <c r="G18" s="1195"/>
      <c r="H18" s="1195"/>
      <c r="I18" s="1195"/>
      <c r="J18" s="1173"/>
      <c r="K18" s="1173"/>
      <c r="L18" s="1173"/>
      <c r="M18" s="1173"/>
      <c r="N18" s="1173"/>
      <c r="O18" s="1173"/>
      <c r="P18" s="1173"/>
      <c r="Q18" s="1173"/>
      <c r="R18" s="1173"/>
      <c r="S18" s="1173"/>
    </row>
    <row r="19" spans="1:19">
      <c r="A19" s="1222" t="s">
        <v>1287</v>
      </c>
      <c r="B19" s="1614" t="s">
        <v>1288</v>
      </c>
      <c r="C19" s="1195"/>
      <c r="D19" s="1195"/>
      <c r="E19" s="1195"/>
      <c r="F19" s="1195"/>
      <c r="G19" s="1195"/>
      <c r="H19" s="1195"/>
      <c r="I19" s="1195"/>
      <c r="J19" s="1173"/>
      <c r="K19" s="1173"/>
      <c r="L19" s="1173"/>
      <c r="M19" s="1173"/>
      <c r="N19" s="1173"/>
      <c r="O19" s="1173"/>
      <c r="P19" s="1173"/>
      <c r="Q19" s="1173"/>
      <c r="R19" s="1173"/>
      <c r="S19" s="1173"/>
    </row>
    <row r="20" spans="1:19" hidden="1">
      <c r="A20" s="1983" t="s">
        <v>1289</v>
      </c>
      <c r="B20" s="1173" t="s">
        <v>1290</v>
      </c>
      <c r="C20" s="1195"/>
      <c r="D20" s="1195"/>
      <c r="E20" s="1195"/>
      <c r="F20" s="1195"/>
      <c r="G20" s="1195"/>
      <c r="H20" s="1195"/>
      <c r="I20" s="1195"/>
      <c r="J20" s="1173"/>
      <c r="K20" s="1173"/>
      <c r="L20" s="1173"/>
      <c r="M20" s="1173"/>
      <c r="N20" s="1173"/>
      <c r="O20" s="1173"/>
      <c r="P20" s="1173"/>
      <c r="Q20" s="1173"/>
      <c r="R20" s="1173"/>
      <c r="S20" s="1173"/>
    </row>
    <row r="21" spans="1:19" hidden="1">
      <c r="A21" s="1983"/>
      <c r="B21" s="1173" t="s">
        <v>1284</v>
      </c>
      <c r="C21" s="1195"/>
      <c r="D21" s="1195"/>
      <c r="E21" s="1195"/>
      <c r="F21" s="1195"/>
      <c r="G21" s="1195"/>
      <c r="H21" s="1195"/>
      <c r="I21" s="1195"/>
      <c r="J21" s="1173"/>
      <c r="K21" s="1173"/>
      <c r="L21" s="1173"/>
      <c r="M21" s="1173"/>
      <c r="N21" s="1173"/>
      <c r="O21" s="1173"/>
      <c r="P21" s="1173"/>
      <c r="Q21" s="1173"/>
      <c r="R21" s="1173"/>
      <c r="S21" s="1173"/>
    </row>
    <row r="22" spans="1:19" hidden="1">
      <c r="A22" s="1983"/>
      <c r="B22" s="1173" t="s">
        <v>1291</v>
      </c>
      <c r="C22" s="1195"/>
      <c r="D22" s="1195"/>
      <c r="E22" s="1195"/>
      <c r="F22" s="1195"/>
      <c r="G22" s="1195"/>
      <c r="H22" s="1195"/>
      <c r="I22" s="1195"/>
      <c r="J22" s="1173"/>
      <c r="K22" s="1173"/>
      <c r="L22" s="1173"/>
      <c r="M22" s="1173"/>
      <c r="N22" s="1173"/>
      <c r="O22" s="1173"/>
      <c r="P22" s="1173"/>
      <c r="Q22" s="1173"/>
      <c r="R22" s="1173"/>
      <c r="S22" s="1173"/>
    </row>
    <row r="23" spans="1:19" ht="15" thickBot="1">
      <c r="A23" s="1011" t="s">
        <v>1292</v>
      </c>
      <c r="B23" s="1173"/>
      <c r="C23" s="1173"/>
      <c r="D23" s="1173"/>
      <c r="E23" s="1173"/>
      <c r="F23" s="1173"/>
      <c r="G23" s="1173"/>
      <c r="H23" s="1173"/>
      <c r="I23" s="1173"/>
      <c r="J23" s="1173"/>
      <c r="K23" s="1173"/>
      <c r="L23" s="1173"/>
      <c r="M23" s="1173"/>
      <c r="N23" s="1173"/>
      <c r="O23" s="1173"/>
      <c r="P23" s="1173"/>
      <c r="Q23" s="1173"/>
      <c r="R23" s="1173"/>
      <c r="S23" s="1173"/>
    </row>
    <row r="24" spans="1:19" ht="15" thickTop="1">
      <c r="A24" s="1616" t="s">
        <v>1293</v>
      </c>
      <c r="B24" s="1617">
        <v>0.3</v>
      </c>
      <c r="C24" s="1617">
        <v>0.35</v>
      </c>
      <c r="D24" s="1617">
        <v>0.39999999999999997</v>
      </c>
      <c r="E24" s="1617">
        <v>0.44999999999999996</v>
      </c>
      <c r="F24" s="1617">
        <v>0.49999999999999994</v>
      </c>
      <c r="G24" s="1617">
        <v>0.54999999999999993</v>
      </c>
      <c r="H24" s="1617">
        <v>0.6</v>
      </c>
      <c r="I24" s="1617">
        <v>0.65</v>
      </c>
      <c r="J24" s="1617">
        <v>0.70000000000000007</v>
      </c>
      <c r="K24" s="1617">
        <v>0.75000000000000011</v>
      </c>
      <c r="L24" s="1617">
        <v>0.80000000000000016</v>
      </c>
      <c r="M24" s="1617">
        <v>0.8500000000000002</v>
      </c>
      <c r="N24" s="1617">
        <v>0.90000000000000024</v>
      </c>
      <c r="O24" s="1617">
        <v>0.95000000000000029</v>
      </c>
      <c r="P24" s="1618">
        <v>1.0000000000000002</v>
      </c>
      <c r="Q24" s="1173"/>
      <c r="R24" s="1173"/>
      <c r="S24" s="1173"/>
    </row>
    <row r="25" spans="1:19" ht="11.25" customHeight="1" thickBot="1">
      <c r="A25" s="1619" t="s">
        <v>1294</v>
      </c>
      <c r="B25" s="1620">
        <v>0.1207</v>
      </c>
      <c r="C25" s="1620">
        <v>0.13464999999999999</v>
      </c>
      <c r="D25" s="1620">
        <v>0.14859999999999998</v>
      </c>
      <c r="E25" s="1620">
        <v>0.16255</v>
      </c>
      <c r="F25" s="1620">
        <v>0.17649999999999999</v>
      </c>
      <c r="G25" s="1620">
        <v>0.18989999999999999</v>
      </c>
      <c r="H25" s="1620">
        <v>0.20329999999999998</v>
      </c>
      <c r="I25" s="1620">
        <v>0.2167</v>
      </c>
      <c r="J25" s="1620">
        <v>0.23010000000000003</v>
      </c>
      <c r="K25" s="1620">
        <v>0.24350000000000002</v>
      </c>
      <c r="L25" s="1620">
        <v>0.25690000000000002</v>
      </c>
      <c r="M25" s="1620">
        <v>0.27029999999999998</v>
      </c>
      <c r="N25" s="1620">
        <v>0.28370000000000001</v>
      </c>
      <c r="O25" s="1620">
        <v>0.29710000000000003</v>
      </c>
      <c r="P25" s="1621">
        <v>0.3105</v>
      </c>
      <c r="Q25" s="1173"/>
      <c r="R25" s="1173"/>
      <c r="S25" s="1173"/>
    </row>
    <row r="26" spans="1:19" ht="11.25" customHeight="1" thickTop="1">
      <c r="A26" s="1195"/>
      <c r="B26" s="1228"/>
      <c r="C26" s="1228"/>
      <c r="D26" s="1228"/>
      <c r="E26" s="1228"/>
      <c r="F26" s="1228"/>
      <c r="G26" s="1228"/>
      <c r="H26" s="1228"/>
      <c r="I26" s="1228"/>
      <c r="J26" s="1228"/>
      <c r="K26" s="1228"/>
      <c r="L26" s="1228"/>
      <c r="M26" s="1228"/>
      <c r="N26" s="1228"/>
      <c r="O26" s="1228"/>
      <c r="P26" s="1228"/>
      <c r="Q26" s="1173"/>
      <c r="R26" s="1173"/>
      <c r="S26" s="1173"/>
    </row>
    <row r="27" spans="1:19" ht="11.25" customHeight="1">
      <c r="A27" s="1195"/>
      <c r="B27" s="1228"/>
      <c r="C27" s="1228"/>
      <c r="D27" s="1228"/>
      <c r="E27" s="1228"/>
      <c r="F27" s="1228"/>
      <c r="G27" s="1228"/>
      <c r="H27" s="1228"/>
      <c r="I27" s="1228"/>
      <c r="J27" s="1228"/>
      <c r="K27" s="1228"/>
      <c r="L27" s="1228"/>
      <c r="M27" s="1228"/>
      <c r="N27" s="1228"/>
      <c r="O27" s="1228"/>
      <c r="P27" s="1228"/>
      <c r="Q27" s="1173"/>
      <c r="R27" s="1173"/>
      <c r="S27" s="1173"/>
    </row>
    <row r="28" spans="1:19">
      <c r="A28" s="1599" t="s">
        <v>1295</v>
      </c>
      <c r="B28" s="1600" t="s">
        <v>1296</v>
      </c>
      <c r="C28" s="1195"/>
      <c r="D28" s="1195"/>
      <c r="E28" s="1195"/>
      <c r="F28" s="1195"/>
      <c r="G28" s="1195"/>
      <c r="H28" s="1195"/>
      <c r="I28" s="1195"/>
      <c r="J28" s="1173"/>
      <c r="K28" s="1173"/>
      <c r="L28" s="1173"/>
      <c r="M28" s="1173"/>
      <c r="N28" s="1173"/>
      <c r="O28" s="1173"/>
      <c r="P28" s="1173"/>
      <c r="Q28" s="1173"/>
      <c r="R28" s="1173"/>
      <c r="S28" s="1173"/>
    </row>
    <row r="29" spans="1:19">
      <c r="A29" s="1610"/>
      <c r="B29" s="1195"/>
      <c r="C29" s="1195"/>
      <c r="D29" s="1195"/>
      <c r="E29" s="1195"/>
      <c r="F29" s="1195"/>
      <c r="G29" s="1195"/>
      <c r="H29" s="1195"/>
      <c r="I29" s="1195"/>
      <c r="J29" s="1173"/>
      <c r="K29" s="1173"/>
      <c r="L29" s="1173"/>
      <c r="M29" s="1173"/>
      <c r="N29" s="1173"/>
      <c r="O29" s="1173"/>
      <c r="P29" s="1173"/>
      <c r="Q29" s="1173"/>
      <c r="R29" s="1173"/>
      <c r="S29" s="1173"/>
    </row>
    <row r="30" spans="1:19">
      <c r="A30" s="1607" t="s">
        <v>1297</v>
      </c>
      <c r="B30" s="1173"/>
      <c r="C30" s="1195"/>
      <c r="D30" s="1195"/>
      <c r="E30" s="1195"/>
      <c r="F30" s="1195"/>
      <c r="G30" s="1195"/>
      <c r="H30" s="1195"/>
      <c r="I30" s="1195"/>
      <c r="J30" s="1173"/>
      <c r="K30" s="1173"/>
      <c r="L30" s="1173"/>
      <c r="M30" s="1173"/>
      <c r="N30" s="1173"/>
      <c r="O30" s="1173"/>
      <c r="P30" s="1173"/>
      <c r="Q30" s="1173"/>
      <c r="R30" s="1173"/>
      <c r="S30" s="1173"/>
    </row>
    <row r="31" spans="1:19">
      <c r="A31" s="1622" t="s">
        <v>1298</v>
      </c>
      <c r="B31" s="1425">
        <f>'Major Assumption Key'!B12</f>
        <v>1.4738604988289711E-2</v>
      </c>
      <c r="C31" s="1608" t="str">
        <f>'Major Assumption Key'!C12</f>
        <v>Source: TxDOT State Planning Map, "Future Traffic &amp; Percent Truck"  https://www.txdot.gov/apps/statewide_mapping/StatewidePlanningMap.html</v>
      </c>
      <c r="D31" s="1195"/>
      <c r="E31" s="1195"/>
      <c r="F31" s="1195"/>
      <c r="G31" s="1195"/>
      <c r="H31" s="1195"/>
      <c r="I31" s="1195"/>
      <c r="J31" s="1173"/>
      <c r="K31" s="1173"/>
      <c r="L31" s="1173"/>
      <c r="M31" s="1173"/>
      <c r="N31" s="1173"/>
      <c r="O31" s="1173"/>
      <c r="P31" s="1173"/>
      <c r="Q31" s="1173"/>
      <c r="R31" s="1173"/>
      <c r="S31" s="1173"/>
    </row>
    <row r="32" spans="1:19" hidden="1">
      <c r="A32" s="1195" t="s">
        <v>1299</v>
      </c>
      <c r="B32" s="1228">
        <f>2523/(2523+510+11496+4146+18483+1790)</f>
        <v>6.4778679264660577E-2</v>
      </c>
      <c r="C32" s="1195" t="s">
        <v>1300</v>
      </c>
      <c r="D32" s="1195"/>
      <c r="E32" s="1195"/>
      <c r="F32" s="1195"/>
      <c r="G32" s="1195"/>
      <c r="H32" s="1195"/>
      <c r="I32" s="1195"/>
      <c r="J32" s="1195"/>
      <c r="K32" s="1195"/>
      <c r="L32" s="1173"/>
      <c r="M32" s="1173"/>
      <c r="N32" s="1173"/>
      <c r="O32" s="1173"/>
      <c r="P32" s="1173"/>
      <c r="Q32" s="1173"/>
      <c r="R32" s="1173"/>
      <c r="S32" s="1173"/>
    </row>
    <row r="33" spans="1:19" hidden="1">
      <c r="A33" s="1195"/>
      <c r="B33" s="1173"/>
      <c r="C33" s="1195"/>
      <c r="D33" s="1195"/>
      <c r="E33" s="1195"/>
      <c r="F33" s="1195"/>
      <c r="G33" s="1195"/>
      <c r="H33" s="1195"/>
      <c r="I33" s="1195"/>
      <c r="J33" s="1173"/>
      <c r="K33" s="1173"/>
      <c r="L33" s="1173"/>
      <c r="M33" s="1173"/>
      <c r="N33" s="1173"/>
      <c r="O33" s="1173"/>
      <c r="P33" s="1173"/>
      <c r="Q33" s="1173"/>
      <c r="R33" s="1173"/>
      <c r="S33" s="1173"/>
    </row>
    <row r="34" spans="1:19" hidden="1">
      <c r="A34" s="1229" t="s">
        <v>1301</v>
      </c>
      <c r="B34" s="1229" t="s">
        <v>1302</v>
      </c>
      <c r="C34" s="1229" t="s">
        <v>1303</v>
      </c>
      <c r="D34" s="1230" t="s">
        <v>1304</v>
      </c>
      <c r="E34" s="1195"/>
      <c r="F34" s="1231" t="s">
        <v>1305</v>
      </c>
      <c r="G34" s="1231"/>
      <c r="H34" s="1195"/>
      <c r="I34" s="1173"/>
      <c r="J34" s="1173"/>
      <c r="K34" s="1173"/>
      <c r="L34" s="1173"/>
      <c r="M34" s="1173"/>
      <c r="N34" s="1173"/>
      <c r="O34" s="1173"/>
      <c r="P34" s="1173"/>
      <c r="Q34" s="1173"/>
      <c r="R34" s="1173"/>
      <c r="S34" s="1173"/>
    </row>
    <row r="35" spans="1:19" hidden="1">
      <c r="A35" s="1623" t="s">
        <v>1306</v>
      </c>
      <c r="B35" s="1229" t="s">
        <v>1307</v>
      </c>
      <c r="C35" s="1624">
        <v>0</v>
      </c>
      <c r="D35" s="1625" t="s">
        <v>1308</v>
      </c>
      <c r="E35" s="1195"/>
      <c r="F35" s="1229" t="s">
        <v>1309</v>
      </c>
      <c r="G35" s="1626">
        <f>IFERROR((C50/C43)^(1/($A$50-$A$43))-1,0)</f>
        <v>-1.9021267201173586E-3</v>
      </c>
      <c r="H35" s="1195"/>
      <c r="I35" s="1173"/>
      <c r="J35" s="1173"/>
      <c r="K35" s="1173"/>
      <c r="L35" s="1173"/>
      <c r="M35" s="1173"/>
      <c r="N35" s="1173"/>
      <c r="O35" s="1173"/>
      <c r="P35" s="1173"/>
      <c r="Q35" s="1173"/>
      <c r="R35" s="1173"/>
      <c r="S35" s="1173"/>
    </row>
    <row r="36" spans="1:19" hidden="1">
      <c r="A36" s="1623" t="s">
        <v>1310</v>
      </c>
      <c r="B36" s="1229" t="s">
        <v>1311</v>
      </c>
      <c r="C36" s="1624">
        <v>0</v>
      </c>
      <c r="D36" s="1625" t="s">
        <v>1308</v>
      </c>
      <c r="E36" s="1195"/>
      <c r="F36" s="1229" t="s">
        <v>1312</v>
      </c>
      <c r="G36" s="1626">
        <f>IFERROR((C70/C50)^(1/($A$70-$A$50))-1,0)</f>
        <v>1.1865297009066023E-3</v>
      </c>
      <c r="H36" s="1173"/>
      <c r="I36" s="1173"/>
      <c r="J36" s="1173"/>
      <c r="K36" s="1173"/>
      <c r="L36" s="1173"/>
      <c r="M36" s="1173"/>
      <c r="N36" s="1173"/>
      <c r="O36" s="1173"/>
      <c r="P36" s="1173"/>
      <c r="Q36" s="1173"/>
      <c r="R36" s="1173"/>
      <c r="S36" s="1173"/>
    </row>
    <row r="37" spans="1:19" hidden="1">
      <c r="A37" s="1195"/>
      <c r="B37" s="1195"/>
      <c r="C37" s="1195"/>
      <c r="D37" s="1195"/>
      <c r="E37" s="1195"/>
      <c r="F37" s="1195"/>
      <c r="G37" s="1195"/>
      <c r="H37" s="1195"/>
      <c r="I37" s="1195"/>
      <c r="J37" s="1173"/>
      <c r="K37" s="1173"/>
      <c r="L37" s="1173"/>
      <c r="M37" s="1173"/>
      <c r="N37" s="1173"/>
      <c r="O37" s="1173"/>
      <c r="P37" s="1173"/>
      <c r="Q37" s="1173"/>
      <c r="R37" s="1173"/>
      <c r="S37" s="1173"/>
    </row>
    <row r="38" spans="1:19" hidden="1">
      <c r="A38" s="1195"/>
      <c r="B38" s="1229" t="s">
        <v>1302</v>
      </c>
      <c r="C38" s="1229" t="s">
        <v>1313</v>
      </c>
      <c r="D38" s="1195"/>
      <c r="E38" s="1195"/>
      <c r="F38" s="1195"/>
      <c r="G38" s="1195"/>
      <c r="H38" s="1195"/>
      <c r="I38" s="1195"/>
      <c r="J38" s="1173"/>
      <c r="K38" s="1173"/>
      <c r="L38" s="1173"/>
      <c r="M38" s="1173"/>
      <c r="N38" s="1173"/>
      <c r="O38" s="1173"/>
      <c r="P38" s="1173"/>
      <c r="Q38" s="1173"/>
      <c r="R38" s="1173"/>
      <c r="S38" s="1173"/>
    </row>
    <row r="39" spans="1:19" hidden="1">
      <c r="A39" s="1627" t="s">
        <v>1314</v>
      </c>
      <c r="B39" s="1229" t="s">
        <v>1315</v>
      </c>
      <c r="C39" s="1628"/>
      <c r="D39" s="1195"/>
      <c r="E39" s="1195"/>
      <c r="F39" s="1195"/>
      <c r="G39" s="1195"/>
      <c r="H39" s="1195"/>
      <c r="I39" s="1195"/>
      <c r="J39" s="1173"/>
      <c r="K39" s="1173"/>
      <c r="L39" s="1173"/>
      <c r="M39" s="1173"/>
      <c r="N39" s="1173"/>
      <c r="O39" s="1173"/>
      <c r="P39" s="1173"/>
      <c r="Q39" s="1173"/>
      <c r="R39" s="1173"/>
      <c r="S39" s="1173"/>
    </row>
    <row r="40" spans="1:19" hidden="1">
      <c r="A40" s="1627" t="s">
        <v>1316</v>
      </c>
      <c r="B40" s="1229" t="s">
        <v>1317</v>
      </c>
      <c r="C40" s="1629">
        <f>C39*F25</f>
        <v>0</v>
      </c>
      <c r="D40" s="1195"/>
      <c r="E40" s="1195"/>
      <c r="F40" s="1195"/>
      <c r="G40" s="1195"/>
      <c r="H40" s="1195"/>
      <c r="I40" s="1195"/>
      <c r="J40" s="1173"/>
      <c r="K40" s="1173"/>
      <c r="L40" s="1173"/>
      <c r="M40" s="1173"/>
      <c r="N40" s="1173"/>
      <c r="O40" s="1173"/>
      <c r="P40" s="1173"/>
      <c r="Q40" s="1173"/>
      <c r="R40" s="1173"/>
      <c r="S40" s="1173"/>
    </row>
    <row r="41" spans="1:19">
      <c r="A41" s="1611"/>
      <c r="B41" s="1303"/>
      <c r="C41" s="1630"/>
      <c r="D41" s="1195"/>
      <c r="E41" s="1195"/>
      <c r="F41" s="1195"/>
      <c r="G41" s="1195"/>
      <c r="H41" s="1195"/>
      <c r="I41" s="1195"/>
      <c r="J41" s="1173"/>
      <c r="K41" s="1173"/>
      <c r="L41" s="1173"/>
      <c r="M41" s="1173"/>
      <c r="N41" s="1173"/>
      <c r="O41" s="1173"/>
      <c r="P41" s="1173"/>
      <c r="Q41" s="1173"/>
      <c r="R41" s="1173"/>
      <c r="S41" s="1173"/>
    </row>
    <row r="42" spans="1:19" ht="43.2">
      <c r="A42" s="1232" t="s">
        <v>510</v>
      </c>
      <c r="B42" s="1232" t="s">
        <v>1318</v>
      </c>
      <c r="C42" s="1232" t="s">
        <v>1319</v>
      </c>
      <c r="D42" s="1233" t="s">
        <v>1320</v>
      </c>
      <c r="E42" s="1013"/>
      <c r="F42" s="1234" t="s">
        <v>1321</v>
      </c>
      <c r="G42" s="1013"/>
      <c r="H42" s="1013"/>
      <c r="I42" s="1013"/>
    </row>
    <row r="43" spans="1:19">
      <c r="A43" s="1223">
        <f>'Major Assumption Key'!A19</f>
        <v>2020</v>
      </c>
      <c r="B43" s="1631">
        <v>0</v>
      </c>
      <c r="C43" s="1613">
        <v>11.428009866559387</v>
      </c>
      <c r="D43" s="1119">
        <f>IF(A43&lt;'Major Assumption Key'!$B$3,0,C43*$L$25)</f>
        <v>0</v>
      </c>
      <c r="E43" s="1013"/>
      <c r="F43" s="1632">
        <v>615</v>
      </c>
      <c r="G43" s="1013"/>
      <c r="H43" s="1013"/>
      <c r="I43" s="1013"/>
    </row>
    <row r="44" spans="1:19">
      <c r="A44" s="1223">
        <f>'Major Assumption Key'!A20</f>
        <v>2021</v>
      </c>
      <c r="B44" s="1631">
        <f>87*2</f>
        <v>174</v>
      </c>
      <c r="C44" s="1613">
        <v>11.392183973726487</v>
      </c>
      <c r="D44" s="1119">
        <f>IF(A44&lt;'Major Assumption Key'!$B$3,0,C44*$L$25)</f>
        <v>0</v>
      </c>
      <c r="E44" s="1013"/>
      <c r="F44" s="1632">
        <v>616</v>
      </c>
      <c r="G44" s="1013"/>
      <c r="H44" s="1013"/>
      <c r="I44" s="1013"/>
    </row>
    <row r="45" spans="1:19">
      <c r="A45" s="1223">
        <f>'Major Assumption Key'!A21</f>
        <v>2022</v>
      </c>
      <c r="B45" s="1631">
        <f>B44*(1+$B$31)</f>
        <v>176.5645172679624</v>
      </c>
      <c r="C45" s="1613">
        <v>11.356470392189452</v>
      </c>
      <c r="D45" s="1119">
        <f>IF(A45&lt;'Major Assumption Key'!$B$3,0,C45*$L$25)</f>
        <v>0</v>
      </c>
      <c r="E45" s="1013"/>
      <c r="F45" s="1632">
        <v>618</v>
      </c>
      <c r="G45" s="1013"/>
      <c r="H45" s="1013"/>
      <c r="I45" s="1013"/>
    </row>
    <row r="46" spans="1:19">
      <c r="A46" s="1223">
        <f>'Major Assumption Key'!A22</f>
        <v>2023</v>
      </c>
      <c r="B46" s="1631">
        <f t="shared" ref="B46:B83" si="0">B45*(1+$B$31)</f>
        <v>179.16683194292293</v>
      </c>
      <c r="C46" s="1613">
        <v>11.320868769861393</v>
      </c>
      <c r="D46" s="1119">
        <f>IF(A46&lt;'Major Assumption Key'!$B$3,0,C46*$L$25)</f>
        <v>0</v>
      </c>
      <c r="E46" s="1013"/>
      <c r="F46" s="1632">
        <v>619</v>
      </c>
      <c r="G46" s="1013"/>
      <c r="H46" s="1013"/>
      <c r="I46" s="1013"/>
    </row>
    <row r="47" spans="1:19">
      <c r="A47" s="1223">
        <f>'Major Assumption Key'!A23</f>
        <v>2024</v>
      </c>
      <c r="B47" s="1631">
        <f t="shared" si="0"/>
        <v>181.80750110593294</v>
      </c>
      <c r="C47" s="1613">
        <v>11.285378755759185</v>
      </c>
      <c r="D47" s="1119">
        <f>IF(A47&lt;'Major Assumption Key'!$B$3,0,C47*$L$25)</f>
        <v>0</v>
      </c>
      <c r="E47" s="1013"/>
      <c r="F47" s="1632">
        <v>620</v>
      </c>
      <c r="G47" s="1013"/>
      <c r="H47" s="1013"/>
      <c r="I47" s="1013"/>
    </row>
    <row r="48" spans="1:19">
      <c r="A48" s="1223">
        <f>'Major Assumption Key'!A24</f>
        <v>2025</v>
      </c>
      <c r="B48" s="1631">
        <f t="shared" si="0"/>
        <v>184.48709004864131</v>
      </c>
      <c r="C48" s="1613">
        <v>11.25</v>
      </c>
      <c r="D48" s="1119">
        <f>IF(A48&lt;'Major Assumption Key'!$B$3,0,C48*$L$25)</f>
        <v>0</v>
      </c>
      <c r="E48" s="1013"/>
      <c r="F48" s="1632">
        <v>680</v>
      </c>
      <c r="G48" s="1013"/>
      <c r="H48" s="1013"/>
      <c r="I48" s="1013"/>
    </row>
    <row r="49" spans="1:9">
      <c r="A49" s="1223">
        <f>'Major Assumption Key'!A25</f>
        <v>2026</v>
      </c>
      <c r="B49" s="1631">
        <f t="shared" si="0"/>
        <v>187.20617239430723</v>
      </c>
      <c r="C49" s="1613">
        <v>11.2633484591352</v>
      </c>
      <c r="D49" s="1119">
        <f>IF(A49&lt;'Major Assumption Key'!$B$3,0,C49*$L$25)</f>
        <v>0</v>
      </c>
      <c r="E49" s="1013"/>
      <c r="F49" s="1632"/>
      <c r="G49" s="1013"/>
      <c r="H49" s="1013"/>
      <c r="I49" s="1013"/>
    </row>
    <row r="50" spans="1:9">
      <c r="A50" s="1223">
        <f>'Major Assumption Key'!A26</f>
        <v>2027</v>
      </c>
      <c r="B50" s="1631">
        <f t="shared" si="0"/>
        <v>189.96533022059657</v>
      </c>
      <c r="C50" s="1613">
        <v>11.276712756613625</v>
      </c>
      <c r="D50" s="1119">
        <f>IF(A50&lt;'Major Assumption Key'!$B$3,0,C50*$L$25)</f>
        <v>0</v>
      </c>
      <c r="E50" s="1013"/>
      <c r="F50" s="1632"/>
      <c r="G50" s="1013"/>
      <c r="H50" s="1013"/>
      <c r="I50" s="1013"/>
    </row>
    <row r="51" spans="1:9">
      <c r="A51" s="1223">
        <f>'Major Assumption Key'!A27</f>
        <v>2028</v>
      </c>
      <c r="B51" s="1631">
        <f t="shared" si="0"/>
        <v>192.76515418418794</v>
      </c>
      <c r="C51" s="1613">
        <v>11.290092911227939</v>
      </c>
      <c r="D51" s="1633">
        <f>IF(A51&lt;'Major Assumption Key'!$B$3,0,C51*$L$25)</f>
        <v>2.9004248688944578</v>
      </c>
      <c r="E51" s="1013"/>
      <c r="F51" s="1632"/>
      <c r="G51" s="1013"/>
      <c r="H51" s="1013"/>
      <c r="I51" s="1013"/>
    </row>
    <row r="52" spans="1:9">
      <c r="A52" s="1223">
        <f>'Major Assumption Key'!A28</f>
        <v>2029</v>
      </c>
      <c r="B52" s="1631">
        <f t="shared" si="0"/>
        <v>195.60624364721542</v>
      </c>
      <c r="C52" s="1613">
        <v>11.303488941793105</v>
      </c>
      <c r="D52" s="1633">
        <f>IF(A52&lt;'Major Assumption Key'!$B$3,0,C52*$L$25)</f>
        <v>2.903866309146649</v>
      </c>
      <c r="E52" s="1013"/>
      <c r="F52" s="1632"/>
      <c r="G52" s="1013"/>
      <c r="H52" s="1013"/>
      <c r="I52" s="1013"/>
    </row>
    <row r="53" spans="1:9">
      <c r="A53" s="1223">
        <f>'Major Assumption Key'!A29</f>
        <v>2030</v>
      </c>
      <c r="B53" s="1631">
        <f t="shared" si="0"/>
        <v>198.48920680557487</v>
      </c>
      <c r="C53" s="1613">
        <v>11.316900867146412</v>
      </c>
      <c r="D53" s="1633">
        <f>IF(A53&lt;'Major Assumption Key'!$B$3,0,C53*$L$25)</f>
        <v>2.9073118327699135</v>
      </c>
      <c r="E53" s="1013"/>
      <c r="F53" s="1632"/>
      <c r="G53" s="1013"/>
      <c r="H53" s="1013"/>
      <c r="I53" s="1013"/>
    </row>
    <row r="54" spans="1:9" ht="15.75" customHeight="1">
      <c r="A54" s="1223">
        <f>'Major Assumption Key'!A30</f>
        <v>2031</v>
      </c>
      <c r="B54" s="1631">
        <f t="shared" si="0"/>
        <v>201.41466081912117</v>
      </c>
      <c r="C54" s="1613">
        <v>11.330328706147498</v>
      </c>
      <c r="D54" s="1633">
        <f>IF(A54&lt;'Major Assumption Key'!$B$3,0,C54*$L$25)</f>
        <v>2.9107614446092924</v>
      </c>
      <c r="E54" s="1013"/>
      <c r="F54" s="1632"/>
      <c r="G54" s="1013"/>
      <c r="H54" s="1013"/>
      <c r="I54" s="1013"/>
    </row>
    <row r="55" spans="1:9">
      <c r="A55" s="1223">
        <f>'Major Assumption Key'!A31</f>
        <v>2032</v>
      </c>
      <c r="B55" s="1631">
        <f t="shared" si="0"/>
        <v>204.38323194378452</v>
      </c>
      <c r="C55" s="1613">
        <v>11.343772477678376</v>
      </c>
      <c r="D55" s="1633">
        <f>IF(A55&lt;'Major Assumption Key'!$B$3,0,C55*$L$25)</f>
        <v>2.914215149515575</v>
      </c>
      <c r="E55" s="1013"/>
      <c r="F55" s="1632"/>
      <c r="G55" s="1013"/>
      <c r="H55" s="1013"/>
      <c r="I55" s="1013"/>
    </row>
    <row r="56" spans="1:9">
      <c r="A56" s="1223">
        <f>'Major Assumption Key'!A32</f>
        <v>2033</v>
      </c>
      <c r="B56" s="1631">
        <f t="shared" si="0"/>
        <v>207.39555566563394</v>
      </c>
      <c r="C56" s="1613">
        <v>11.357232200643468</v>
      </c>
      <c r="D56" s="1633">
        <f>IF(A56&lt;'Major Assumption Key'!$B$3,0,C56*$L$25)</f>
        <v>2.9176729523453071</v>
      </c>
      <c r="E56" s="1013"/>
      <c r="F56" s="1632"/>
      <c r="G56" s="1013"/>
      <c r="H56" s="1013"/>
      <c r="I56" s="1013"/>
    </row>
    <row r="57" spans="1:9">
      <c r="A57" s="1223">
        <f>'Major Assumption Key'!A33</f>
        <v>2034</v>
      </c>
      <c r="B57" s="1631">
        <f t="shared" si="0"/>
        <v>210.45227683691655</v>
      </c>
      <c r="C57" s="1613">
        <v>11.370707893969625</v>
      </c>
      <c r="D57" s="1633">
        <f>IF(A57&lt;'Major Assumption Key'!$B$3,0,C57*$L$25)</f>
        <v>2.921134857960797</v>
      </c>
      <c r="E57" s="1013"/>
      <c r="F57" s="1632"/>
      <c r="G57" s="1013"/>
      <c r="H57" s="1013"/>
      <c r="I57" s="1013"/>
    </row>
    <row r="58" spans="1:9">
      <c r="A58" s="1223">
        <f>'Major Assumption Key'!A34</f>
        <v>2035</v>
      </c>
      <c r="B58" s="1631">
        <f t="shared" si="0"/>
        <v>213.55404981410203</v>
      </c>
      <c r="C58" s="1613">
        <v>11.384199576606154</v>
      </c>
      <c r="D58" s="1633">
        <f>IF(A58&lt;'Major Assumption Key'!$B$3,0,C58*$L$25)</f>
        <v>2.9246008712301212</v>
      </c>
      <c r="E58" s="1013"/>
      <c r="F58" s="1632"/>
      <c r="G58" s="1013"/>
      <c r="H58" s="1013"/>
      <c r="I58" s="1013"/>
    </row>
    <row r="59" spans="1:9">
      <c r="A59" s="1223">
        <f>'Major Assumption Key'!A35</f>
        <v>2036</v>
      </c>
      <c r="B59" s="1631">
        <f t="shared" si="0"/>
        <v>216.70153859796159</v>
      </c>
      <c r="C59" s="1613">
        <v>11.397707267524845</v>
      </c>
      <c r="D59" s="1633">
        <f>IF(A59&lt;'Major Assumption Key'!$B$3,0,C59*$L$25)</f>
        <v>2.9280709970271328</v>
      </c>
      <c r="E59" s="1013"/>
      <c r="F59" s="1632"/>
      <c r="G59" s="1013"/>
      <c r="H59" s="1013"/>
      <c r="I59" s="1013"/>
    </row>
    <row r="60" spans="1:9">
      <c r="A60" s="1223">
        <f>'Major Assumption Key'!A36</f>
        <v>2037</v>
      </c>
      <c r="B60" s="1631">
        <f t="shared" si="0"/>
        <v>219.89541697571153</v>
      </c>
      <c r="C60" s="1613">
        <v>11.411230985720003</v>
      </c>
      <c r="D60" s="1633">
        <f>IF(A60&lt;'Major Assumption Key'!$B$3,0,C60*$L$25)</f>
        <v>2.9315452402314692</v>
      </c>
      <c r="E60" s="1013"/>
      <c r="F60" s="1632"/>
      <c r="G60" s="1013"/>
      <c r="H60" s="1013"/>
      <c r="I60" s="1013"/>
    </row>
    <row r="61" spans="1:9">
      <c r="A61" s="1223">
        <f>'Major Assumption Key'!A37</f>
        <v>2038</v>
      </c>
      <c r="B61" s="1631">
        <f t="shared" si="0"/>
        <v>223.13636866525178</v>
      </c>
      <c r="C61" s="1613">
        <v>11.424770750208467</v>
      </c>
      <c r="D61" s="1633">
        <f>IF(A61&lt;'Major Assumption Key'!$B$3,0,C61*$L$25)</f>
        <v>2.9350236057285555</v>
      </c>
      <c r="E61" s="1013"/>
      <c r="F61" s="1632"/>
      <c r="G61" s="1013"/>
      <c r="H61" s="1013"/>
      <c r="I61" s="1013"/>
    </row>
    <row r="62" spans="1:9">
      <c r="A62" s="1223">
        <f>'Major Assumption Key'!A38</f>
        <v>2039</v>
      </c>
      <c r="B62" s="1631">
        <f t="shared" si="0"/>
        <v>226.4250874615303</v>
      </c>
      <c r="C62" s="1613">
        <v>11.438326580029639</v>
      </c>
      <c r="D62" s="1633">
        <f>IF(A62&lt;'Major Assumption Key'!$B$3,0,C62*$L$25)</f>
        <v>2.9385060984096145</v>
      </c>
      <c r="E62" s="1013"/>
      <c r="F62" s="1013"/>
      <c r="G62" s="1013"/>
      <c r="H62" s="1013"/>
      <c r="I62" s="1013"/>
    </row>
    <row r="63" spans="1:9">
      <c r="A63" s="1223">
        <f>'Major Assumption Key'!A39</f>
        <v>2040</v>
      </c>
      <c r="B63" s="1631">
        <f t="shared" si="0"/>
        <v>229.76227738506472</v>
      </c>
      <c r="C63" s="1613">
        <v>11.451898494245514</v>
      </c>
      <c r="D63" s="1633">
        <f>IF(A63&lt;'Major Assumption Key'!$B$3,0,C63*$L$25)</f>
        <v>2.9419927231716727</v>
      </c>
      <c r="E63" s="1013"/>
      <c r="F63" s="1013"/>
      <c r="G63" s="1013"/>
      <c r="H63" s="1013"/>
      <c r="I63" s="1013"/>
    </row>
    <row r="64" spans="1:9">
      <c r="A64" s="1223">
        <f>'Major Assumption Key'!A40</f>
        <v>2041</v>
      </c>
      <c r="B64" s="1631">
        <f t="shared" si="0"/>
        <v>233.14865283265303</v>
      </c>
      <c r="C64" s="1613">
        <v>11.465486511940703</v>
      </c>
      <c r="D64" s="1633">
        <f>IF(A64&lt;'Major Assumption Key'!$B$3,0,C64*$L$25)</f>
        <v>2.9454834849175668</v>
      </c>
      <c r="E64" s="1013"/>
      <c r="F64" s="1013"/>
      <c r="G64" s="1013"/>
      <c r="H64" s="1013"/>
      <c r="I64" s="1013"/>
    </row>
    <row r="65" spans="1:9">
      <c r="A65" s="1223">
        <f>'Major Assumption Key'!A41</f>
        <v>2042</v>
      </c>
      <c r="B65" s="1631">
        <f t="shared" si="0"/>
        <v>236.58493873030537</v>
      </c>
      <c r="C65" s="1613">
        <v>11.479090652222466</v>
      </c>
      <c r="D65" s="1633">
        <f>IF(A65&lt;'Major Assumption Key'!$B$3,0,C65*$L$25)</f>
        <v>2.9489783885559517</v>
      </c>
      <c r="E65" s="1013"/>
      <c r="F65" s="1013"/>
      <c r="G65" s="1013"/>
      <c r="H65" s="1013"/>
      <c r="I65" s="1013"/>
    </row>
    <row r="66" spans="1:9">
      <c r="A66" s="1223">
        <f>'Major Assumption Key'!A42</f>
        <v>2043</v>
      </c>
      <c r="B66" s="1631">
        <f t="shared" si="0"/>
        <v>240.07187068843004</v>
      </c>
      <c r="C66" s="1613">
        <v>11.492710934220726</v>
      </c>
      <c r="D66" s="1633">
        <f>IF(A66&lt;'Major Assumption Key'!$B$3,0,C66*$L$25)</f>
        <v>2.9524774390013047</v>
      </c>
      <c r="E66" s="1013"/>
      <c r="F66" s="1013"/>
      <c r="G66" s="1013"/>
      <c r="H66" s="1013"/>
      <c r="I66" s="1013"/>
    </row>
    <row r="67" spans="1:9">
      <c r="A67" s="1223">
        <f>'Major Assumption Key'!A43</f>
        <v>2044</v>
      </c>
      <c r="B67" s="1631">
        <f t="shared" si="0"/>
        <v>243.61019515930656</v>
      </c>
      <c r="C67" s="1613">
        <v>11.506347377088114</v>
      </c>
      <c r="D67" s="1633">
        <f>IF(A67&lt;'Major Assumption Key'!$B$3,0,C67*$L$25)</f>
        <v>2.9559806411739364</v>
      </c>
      <c r="E67" s="1013"/>
      <c r="F67" s="1013"/>
      <c r="G67" s="1013"/>
      <c r="H67" s="1013"/>
      <c r="I67" s="1013"/>
    </row>
    <row r="68" spans="1:9">
      <c r="A68" s="1223">
        <f>'Major Assumption Key'!A44</f>
        <v>2045</v>
      </c>
      <c r="B68" s="1631">
        <f t="shared" si="0"/>
        <v>247.20066959687972</v>
      </c>
      <c r="C68" s="1613">
        <v>11.519999999999998</v>
      </c>
      <c r="D68" s="1633">
        <f>IF(A68&lt;'Major Assumption Key'!$B$3,0,C68*$L$25)</f>
        <v>2.9594879999999995</v>
      </c>
      <c r="E68" s="1013"/>
      <c r="F68" s="1013"/>
      <c r="G68" s="1013"/>
      <c r="H68" s="1013"/>
      <c r="I68" s="1013"/>
    </row>
    <row r="69" spans="1:9">
      <c r="A69" s="1223">
        <f>'Major Assumption Key'!A45</f>
        <v>2046</v>
      </c>
      <c r="B69" s="1631">
        <f t="shared" si="0"/>
        <v>250.84406261890882</v>
      </c>
      <c r="C69" s="1613">
        <v>11.533668822154441</v>
      </c>
      <c r="D69" s="1633">
        <f>IF(A69&lt;'Major Assumption Key'!$B$3,0,C69*$L$25)</f>
        <v>2.9629995204114761</v>
      </c>
      <c r="E69" s="1013"/>
      <c r="F69" s="1013"/>
      <c r="G69" s="1013"/>
      <c r="H69" s="1013"/>
      <c r="I69" s="1013"/>
    </row>
    <row r="70" spans="1:9">
      <c r="A70" s="1223">
        <f>'Major Assumption Key'!A46</f>
        <v>2047</v>
      </c>
      <c r="B70" s="1631">
        <f t="shared" si="0"/>
        <v>254.54115417150669</v>
      </c>
      <c r="C70" s="1613">
        <v>11.547353862772347</v>
      </c>
      <c r="D70" s="1633">
        <f>IF(A70&lt;'Major Assumption Key'!$B$3,0,C70*$L$25)</f>
        <v>2.966515207346216</v>
      </c>
      <c r="E70" s="1013"/>
      <c r="F70" s="1013"/>
      <c r="G70" s="1013"/>
      <c r="H70" s="1013"/>
      <c r="I70" s="1013"/>
    </row>
    <row r="71" spans="1:9">
      <c r="A71" s="1223">
        <f>'Major Assumption Key'!A47</f>
        <v>2048</v>
      </c>
      <c r="B71" s="1631">
        <f t="shared" si="0"/>
        <v>258.29273569610388</v>
      </c>
      <c r="C71" s="1613">
        <v>11.561055141097405</v>
      </c>
      <c r="D71" s="1633">
        <f>IF(A71&lt;'Major Assumption Key'!$B$3,0,C71*$L$25)</f>
        <v>2.9700350657479238</v>
      </c>
      <c r="E71" s="1013"/>
      <c r="F71" s="1013"/>
      <c r="G71" s="1013"/>
      <c r="H71" s="1013"/>
      <c r="I71" s="1013"/>
    </row>
    <row r="72" spans="1:9">
      <c r="A72" s="1223">
        <f>'Major Assumption Key'!A48</f>
        <v>2049</v>
      </c>
      <c r="B72" s="1631">
        <f t="shared" si="0"/>
        <v>262.09961029887342</v>
      </c>
      <c r="C72" s="1613">
        <v>11.574772676396137</v>
      </c>
      <c r="D72" s="1633">
        <f>IF(A72&lt;'Major Assumption Key'!$B$3,0,C72*$L$25)</f>
        <v>2.9735591005661677</v>
      </c>
    </row>
    <row r="73" spans="1:9">
      <c r="A73" s="1223">
        <f>'Major Assumption Key'!A49</f>
        <v>2050</v>
      </c>
      <c r="B73" s="1631">
        <f t="shared" si="0"/>
        <v>265.96259292265313</v>
      </c>
      <c r="C73" s="1613">
        <v>11.588506487957924</v>
      </c>
      <c r="D73" s="1633">
        <f>IF(A73&lt;'Major Assumption Key'!$B$3,0,C73*$L$25)</f>
        <v>2.9770873167563909</v>
      </c>
    </row>
    <row r="74" spans="1:9">
      <c r="A74" s="1223">
        <f>'Major Assumption Key'!A50</f>
        <v>2051</v>
      </c>
      <c r="B74" s="1631">
        <f t="shared" si="0"/>
        <v>269.8825105214014</v>
      </c>
      <c r="C74" s="1613">
        <v>11.602256595095035</v>
      </c>
      <c r="D74" s="1633">
        <f>IF(A74&lt;'Major Assumption Key'!$B$3,0,C74*$L$25)</f>
        <v>2.9806197192799146</v>
      </c>
    </row>
    <row r="75" spans="1:9">
      <c r="A75" s="1223">
        <f>'Major Assumption Key'!A51</f>
        <v>2052</v>
      </c>
      <c r="B75" s="1631">
        <f t="shared" si="0"/>
        <v>273.86020223722426</v>
      </c>
      <c r="C75" s="1613">
        <v>11.6159958385153</v>
      </c>
      <c r="D75" s="1633">
        <f>IF(A75&lt;'Major Assumption Key'!$B$3,0,C75*$L$25)</f>
        <v>2.9841493309145806</v>
      </c>
    </row>
    <row r="76" spans="1:9">
      <c r="A76" s="1223">
        <f>'Major Assumption Key'!A52</f>
        <v>2053</v>
      </c>
      <c r="B76" s="1631">
        <f t="shared" si="0"/>
        <v>277.89651958001178</v>
      </c>
      <c r="C76" s="1613">
        <v>11.629737797864699</v>
      </c>
      <c r="D76" s="1119">
        <f>IF(A76&lt;'Major Assumption Key'!$B$3,0,C76*$L$25)</f>
        <v>2.9876796402714416</v>
      </c>
    </row>
    <row r="77" spans="1:9">
      <c r="A77" s="1223">
        <f>'Major Assumption Key'!A53</f>
        <v>2054</v>
      </c>
      <c r="B77" s="1631">
        <f t="shared" si="0"/>
        <v>281.99232660972206</v>
      </c>
      <c r="C77" s="1613">
        <v>11.6434797572142</v>
      </c>
      <c r="D77" s="1119">
        <f>IF(A77&lt;'Major Assumption Key'!$B$3,0,C77*$L$25)</f>
        <v>2.991209949628328</v>
      </c>
    </row>
    <row r="78" spans="1:9">
      <c r="A78" s="1223">
        <f>'Major Assumption Key'!A54</f>
        <v>2055</v>
      </c>
      <c r="B78" s="1631">
        <f t="shared" si="0"/>
        <v>286.1485001213515</v>
      </c>
      <c r="C78" s="1613">
        <v>11.657221716563599</v>
      </c>
      <c r="D78" s="1119">
        <f>IF(A78&lt;'Major Assumption Key'!$B$3,0,C78*$L$25)</f>
        <v>2.994740258985189</v>
      </c>
    </row>
    <row r="79" spans="1:9">
      <c r="A79" s="1223">
        <f>'Major Assumption Key'!A55</f>
        <v>2056</v>
      </c>
      <c r="B79" s="1631">
        <f t="shared" si="0"/>
        <v>290.36592983263165</v>
      </c>
      <c r="C79" s="1613">
        <v>11.6709636759131</v>
      </c>
      <c r="D79" s="1119">
        <f>IF(A79&lt;'Major Assumption Key'!$B$3,0,C79*$L$25)</f>
        <v>2.9982705683420758</v>
      </c>
    </row>
    <row r="80" spans="1:9">
      <c r="A80" s="1223">
        <f>'Major Assumption Key'!A56</f>
        <v>2057</v>
      </c>
      <c r="B80" s="1631">
        <f t="shared" si="0"/>
        <v>294.6455185744922</v>
      </c>
      <c r="C80" s="1613">
        <v>11.6847056352625</v>
      </c>
      <c r="D80" s="1119">
        <f>IF(A80&lt;'Major Assumption Key'!$B$3,0,C80*$L$25)</f>
        <v>3.0018008776989364</v>
      </c>
    </row>
    <row r="81" spans="1:4">
      <c r="A81" s="1223">
        <f>'Major Assumption Key'!A57</f>
        <v>2058</v>
      </c>
      <c r="B81" s="1631">
        <f t="shared" si="0"/>
        <v>298.98818248433139</v>
      </c>
      <c r="C81" s="1613">
        <v>11.698447594612</v>
      </c>
      <c r="D81" s="1119">
        <f>IF(A81&lt;'Major Assumption Key'!$B$3,0,C81*$L$25)</f>
        <v>3.0053311870558232</v>
      </c>
    </row>
    <row r="82" spans="1:4">
      <c r="A82" s="1223">
        <f>'Major Assumption Key'!A58</f>
        <v>2059</v>
      </c>
      <c r="B82" s="1631">
        <f t="shared" si="0"/>
        <v>303.39485120213459</v>
      </c>
      <c r="C82" s="1613">
        <v>11.7121895539614</v>
      </c>
      <c r="D82" s="1119">
        <f>IF(A82&lt;'Major Assumption Key'!$B$3,0,C82*$L$25)</f>
        <v>3.0088614964126839</v>
      </c>
    </row>
    <row r="83" spans="1:4">
      <c r="A83" s="1223">
        <f>'Major Assumption Key'!A59</f>
        <v>2060</v>
      </c>
      <c r="B83" s="1631">
        <f t="shared" si="0"/>
        <v>307.86646806948374</v>
      </c>
      <c r="C83" s="1613">
        <v>11.725931513310901</v>
      </c>
      <c r="D83" s="1119">
        <f>IF(A83&lt;'Major Assumption Key'!$B$3,0,C83*$L$25)</f>
        <v>3.0123918057695707</v>
      </c>
    </row>
    <row r="97" s="1149" customFormat="1"/>
    <row r="98" s="1149" customFormat="1"/>
    <row r="99" s="1149" customFormat="1"/>
    <row r="100" s="1149" customFormat="1"/>
    <row r="101" s="1149" customFormat="1"/>
    <row r="102" s="1149" customFormat="1"/>
    <row r="103" s="1149" customFormat="1"/>
    <row r="104" s="1149" customFormat="1"/>
    <row r="105" s="1149" customFormat="1"/>
    <row r="106" s="1149" customFormat="1"/>
    <row r="107" s="1149" customFormat="1"/>
    <row r="108" s="1149" customFormat="1"/>
    <row r="109" s="1149" customFormat="1"/>
    <row r="110" s="1149" customFormat="1"/>
    <row r="111" s="1149" customFormat="1"/>
    <row r="112" s="1149" customFormat="1"/>
    <row r="113" s="1149" customFormat="1"/>
    <row r="114" s="1149" customFormat="1"/>
    <row r="115" s="1149" customFormat="1"/>
    <row r="116" s="1149" customFormat="1"/>
    <row r="117" s="1149" customFormat="1"/>
    <row r="118" s="1149" customFormat="1"/>
    <row r="119" s="1149" customFormat="1"/>
    <row r="120" s="1149" customFormat="1"/>
    <row r="121" s="1149" customFormat="1"/>
    <row r="122" s="1149" customFormat="1"/>
    <row r="123" s="1149" customFormat="1"/>
    <row r="124" s="1149" customFormat="1"/>
    <row r="125" s="1149" customFormat="1"/>
    <row r="126" s="1149" customFormat="1"/>
    <row r="127" s="1149" customFormat="1"/>
    <row r="128" s="1149" customFormat="1"/>
    <row r="129" s="1149" customFormat="1"/>
    <row r="130" s="1149" customFormat="1"/>
    <row r="131" s="1149" customFormat="1"/>
    <row r="132" s="1149" customFormat="1"/>
    <row r="133" s="1149" customFormat="1"/>
    <row r="134" s="1149" customFormat="1"/>
    <row r="135" s="1149" customFormat="1"/>
    <row r="136" s="1149" customFormat="1"/>
    <row r="137" s="1149" customFormat="1"/>
    <row r="138" s="1149" customFormat="1"/>
    <row r="139" s="1149" customFormat="1"/>
    <row r="140" s="1149" customFormat="1"/>
    <row r="141" s="1149" customFormat="1"/>
    <row r="142" s="1149" customFormat="1"/>
    <row r="143" s="1149" customFormat="1"/>
    <row r="144" s="1149" customFormat="1"/>
    <row r="145" s="1149" customFormat="1"/>
    <row r="146" s="1149" customFormat="1"/>
    <row r="147" s="1149" customFormat="1"/>
    <row r="148" s="1149" customFormat="1"/>
    <row r="149" s="1149" customFormat="1"/>
    <row r="150" s="1149" customFormat="1"/>
    <row r="151" s="1149" customFormat="1"/>
    <row r="152" s="1149" customFormat="1"/>
    <row r="153" s="1149" customFormat="1"/>
    <row r="154" s="1149" customFormat="1"/>
    <row r="155" s="1149" customFormat="1"/>
    <row r="156" s="1149" customFormat="1"/>
    <row r="157" s="1149" customFormat="1"/>
    <row r="158" s="1149" customFormat="1"/>
    <row r="159" s="1149" customFormat="1"/>
    <row r="160" s="1149" customFormat="1"/>
    <row r="161" s="1149" customFormat="1"/>
    <row r="162" s="1149" customFormat="1"/>
    <row r="163" s="1149" customFormat="1"/>
    <row r="164" s="1149" customFormat="1"/>
    <row r="165" s="1149" customFormat="1"/>
    <row r="166" s="1149" customFormat="1"/>
    <row r="167" s="1149" customFormat="1"/>
    <row r="168" s="1149" customFormat="1"/>
    <row r="169" s="1149" customFormat="1"/>
    <row r="170" s="1149" customFormat="1"/>
    <row r="171" s="1149" customFormat="1"/>
    <row r="172" s="1149" customFormat="1"/>
    <row r="173" s="1149" customFormat="1"/>
    <row r="174" s="1149" customFormat="1"/>
    <row r="175" s="1149" customFormat="1"/>
    <row r="176" s="1149" customFormat="1"/>
    <row r="177" s="1149" customFormat="1"/>
    <row r="178" s="1149" customFormat="1"/>
    <row r="179" s="1149" customFormat="1"/>
    <row r="180" s="1149" customFormat="1"/>
    <row r="181" s="1149" customFormat="1"/>
    <row r="182" s="1149" customFormat="1"/>
    <row r="183" s="1149" customFormat="1"/>
    <row r="184" s="1149" customFormat="1"/>
    <row r="185" s="1149" customFormat="1"/>
    <row r="186" s="1149" customFormat="1"/>
    <row r="187" s="1149" customFormat="1"/>
    <row r="188" s="1149" customFormat="1"/>
    <row r="189" s="1149" customFormat="1"/>
    <row r="190" s="1149" customFormat="1"/>
    <row r="191" s="1149" customFormat="1"/>
    <row r="192" s="1149" customFormat="1"/>
    <row r="193" s="1149" customFormat="1"/>
    <row r="194" s="1149" customFormat="1"/>
    <row r="195" s="1149" customFormat="1"/>
    <row r="196" s="1149" customFormat="1"/>
  </sheetData>
  <sheetProtection algorithmName="SHA-512" hashValue="8NeFvM/QwC3DPALbuj2RMwEsjLdyE0+EnPcUnrQGyTyaZkPAEvXhlZqNH0lsXBjtI/SW3vMZ5uGH3g3+pgulYg==" saltValue="T0OdelHPl67I3BtwZSDq/w=="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196"/>
  <sheetViews>
    <sheetView workbookViewId="0">
      <selection sqref="A1:XFD1048576"/>
    </sheetView>
  </sheetViews>
  <sheetFormatPr defaultColWidth="8.77734375" defaultRowHeight="14.4"/>
  <cols>
    <col min="1" max="1" width="35.5546875" style="1149" customWidth="1"/>
    <col min="2" max="2" width="21.5546875" style="1149" customWidth="1"/>
    <col min="3" max="3" width="21.77734375" style="1149" hidden="1" customWidth="1"/>
    <col min="4" max="4" width="19.21875" style="1149" bestFit="1" customWidth="1"/>
    <col min="5" max="5" width="23.21875" style="1149" customWidth="1"/>
    <col min="6" max="6" width="26.77734375" style="1149" bestFit="1" customWidth="1"/>
    <col min="7" max="7" width="26.77734375" style="1149" hidden="1" customWidth="1"/>
    <col min="8" max="8" width="8.77734375" style="1149"/>
    <col min="9" max="9" width="31" style="1149" customWidth="1"/>
    <col min="10" max="16384" width="8.77734375" style="1149"/>
  </cols>
  <sheetData>
    <row r="1" spans="1:5" ht="25.2" customHeight="1">
      <c r="A1" s="1025" t="s">
        <v>546</v>
      </c>
      <c r="B1" s="1026" t="s">
        <v>1322</v>
      </c>
      <c r="C1" s="1028"/>
      <c r="D1" s="1011"/>
      <c r="E1" s="1029"/>
    </row>
    <row r="2" spans="1:5">
      <c r="A2" s="1173"/>
      <c r="B2" s="1173"/>
      <c r="C2" s="1173"/>
      <c r="D2" s="1173"/>
    </row>
    <row r="3" spans="1:5">
      <c r="A3" s="1222" t="s">
        <v>1323</v>
      </c>
      <c r="B3" s="1173"/>
      <c r="C3" s="1173"/>
      <c r="D3" s="1173"/>
    </row>
    <row r="4" spans="1:5">
      <c r="A4" s="1222" t="s">
        <v>210</v>
      </c>
      <c r="B4" s="1173" t="s">
        <v>1272</v>
      </c>
      <c r="C4" s="1173"/>
      <c r="D4" s="1173"/>
    </row>
    <row r="5" spans="1:5">
      <c r="A5" s="1981" t="s">
        <v>1273</v>
      </c>
      <c r="B5" s="1173" t="s">
        <v>1324</v>
      </c>
      <c r="C5" s="1173"/>
      <c r="D5" s="1173"/>
    </row>
    <row r="6" spans="1:5">
      <c r="A6" s="1981"/>
      <c r="B6" s="1173" t="s">
        <v>1325</v>
      </c>
      <c r="C6" s="1173"/>
      <c r="D6" s="1173"/>
    </row>
    <row r="7" spans="1:5">
      <c r="A7" s="1981"/>
      <c r="B7" s="1173" t="s">
        <v>1276</v>
      </c>
      <c r="C7" s="1173"/>
      <c r="D7" s="1173"/>
    </row>
    <row r="8" spans="1:5" hidden="1">
      <c r="A8" s="1173"/>
      <c r="B8" s="1173"/>
      <c r="C8" s="1173"/>
      <c r="D8" s="1173"/>
    </row>
    <row r="9" spans="1:5" hidden="1">
      <c r="A9" s="1222" t="s">
        <v>1326</v>
      </c>
      <c r="B9" s="1173"/>
      <c r="C9" s="1173"/>
      <c r="D9" s="1173"/>
    </row>
    <row r="10" spans="1:5" hidden="1">
      <c r="A10" s="1982" t="s">
        <v>1279</v>
      </c>
      <c r="B10" s="1597" t="s">
        <v>1327</v>
      </c>
      <c r="C10" s="1173"/>
      <c r="D10" s="1173"/>
    </row>
    <row r="11" spans="1:5" hidden="1">
      <c r="A11" s="1982"/>
      <c r="B11" s="1173" t="s">
        <v>1328</v>
      </c>
      <c r="C11" s="1173"/>
      <c r="D11" s="1173"/>
    </row>
    <row r="12" spans="1:5" s="1013" customFormat="1" hidden="1">
      <c r="A12" s="1598" t="s">
        <v>1329</v>
      </c>
      <c r="B12" s="1173" t="s">
        <v>1330</v>
      </c>
      <c r="C12" s="1195"/>
      <c r="D12" s="1195"/>
    </row>
    <row r="13" spans="1:5" s="1013" customFormat="1" hidden="1">
      <c r="A13" s="1599" t="s">
        <v>1295</v>
      </c>
      <c r="B13" s="1600" t="s">
        <v>1331</v>
      </c>
      <c r="C13" s="1195"/>
      <c r="D13" s="1195"/>
    </row>
    <row r="14" spans="1:5" s="1013" customFormat="1" hidden="1">
      <c r="A14" s="1195"/>
      <c r="B14" s="1229" t="s">
        <v>1302</v>
      </c>
      <c r="C14" s="1229" t="s">
        <v>1313</v>
      </c>
      <c r="D14" s="1195"/>
    </row>
    <row r="15" spans="1:5" s="1013" customFormat="1" ht="29.25" hidden="1" customHeight="1">
      <c r="A15" s="1601" t="s">
        <v>1332</v>
      </c>
      <c r="B15" s="1602" t="s">
        <v>1333</v>
      </c>
      <c r="C15" s="1603">
        <v>1.3599999999999999E-2</v>
      </c>
      <c r="D15" s="1195"/>
    </row>
    <row r="16" spans="1:5" s="1013" customFormat="1" ht="29.25" customHeight="1">
      <c r="A16" s="1604"/>
      <c r="B16" s="1605"/>
      <c r="C16" s="1606"/>
      <c r="D16" s="1195"/>
    </row>
    <row r="17" spans="1:12" s="1013" customFormat="1" ht="29.25" customHeight="1">
      <c r="A17" s="1607" t="s">
        <v>433</v>
      </c>
      <c r="B17" s="1605"/>
      <c r="C17" s="1606"/>
      <c r="D17" s="1195"/>
    </row>
    <row r="18" spans="1:12" s="1013" customFormat="1" ht="11.25" customHeight="1">
      <c r="A18" s="1604" t="s">
        <v>1298</v>
      </c>
      <c r="B18" s="1425">
        <f>'Major Assumption Key'!B12</f>
        <v>1.4738604988289711E-2</v>
      </c>
      <c r="C18" s="1608" t="str">
        <f>'Major Assumption Key'!C12</f>
        <v>Source: TxDOT State Planning Map, "Future Traffic &amp; Percent Truck"  https://www.txdot.gov/apps/statewide_mapping/StatewidePlanningMap.html</v>
      </c>
      <c r="D18" s="1195"/>
    </row>
    <row r="19" spans="1:12" hidden="1">
      <c r="A19" s="1195" t="s">
        <v>1334</v>
      </c>
      <c r="B19" s="1609">
        <v>0.17399999999999999</v>
      </c>
      <c r="C19" s="1610" t="s">
        <v>1335</v>
      </c>
      <c r="D19" s="1195"/>
      <c r="E19" s="1013"/>
      <c r="F19" s="1013"/>
      <c r="G19" s="1013"/>
      <c r="H19" s="1013"/>
      <c r="I19" s="1013"/>
      <c r="J19" s="1013"/>
      <c r="K19" s="1013"/>
      <c r="L19" s="1013"/>
    </row>
    <row r="20" spans="1:12" ht="72" hidden="1">
      <c r="A20" s="1195" t="s">
        <v>7906</v>
      </c>
      <c r="B20" s="1609">
        <v>0.56000000000000005</v>
      </c>
      <c r="C20" s="1610"/>
      <c r="D20" s="1611" t="s">
        <v>7907</v>
      </c>
      <c r="E20" s="1013"/>
      <c r="F20" s="1013"/>
      <c r="G20" s="1013"/>
      <c r="H20" s="1013"/>
      <c r="I20" s="1013"/>
      <c r="J20" s="1013"/>
      <c r="K20" s="1013"/>
      <c r="L20" s="1013"/>
    </row>
    <row r="21" spans="1:12">
      <c r="A21" s="1013"/>
      <c r="B21" s="1013"/>
      <c r="C21" s="1013"/>
      <c r="D21" s="1013"/>
      <c r="E21" s="1013"/>
      <c r="F21" s="1013"/>
      <c r="G21" s="1013"/>
      <c r="H21" s="1013"/>
      <c r="I21" s="1013"/>
      <c r="J21" s="1013"/>
      <c r="K21" s="1013"/>
      <c r="L21" s="1013"/>
    </row>
    <row r="22" spans="1:12" ht="28.8">
      <c r="A22" s="1232" t="s">
        <v>510</v>
      </c>
      <c r="B22" s="1232" t="s">
        <v>1336</v>
      </c>
      <c r="C22" s="1232" t="s">
        <v>1337</v>
      </c>
      <c r="D22" s="1233" t="s">
        <v>1338</v>
      </c>
      <c r="F22" s="1013"/>
      <c r="G22" s="1612" t="s">
        <v>1339</v>
      </c>
      <c r="H22" s="1013"/>
      <c r="I22" s="1013"/>
      <c r="J22" s="1013"/>
    </row>
    <row r="23" spans="1:12">
      <c r="A23" s="1223">
        <f>'Major Assumption Key'!A19</f>
        <v>2020</v>
      </c>
      <c r="B23" s="1224">
        <v>0</v>
      </c>
      <c r="C23" s="1613">
        <v>0</v>
      </c>
      <c r="D23" s="1119">
        <f>IF(A23&lt;'Major Assumption Key'!$B$3,0,C23*$C$15)</f>
        <v>0</v>
      </c>
      <c r="F23" s="1124"/>
      <c r="G23" s="1225"/>
      <c r="H23" s="1013"/>
      <c r="I23" s="1013"/>
      <c r="J23" s="1013"/>
    </row>
    <row r="24" spans="1:12">
      <c r="A24" s="1223">
        <f>'Major Assumption Key'!A20</f>
        <v>2021</v>
      </c>
      <c r="B24" s="1224">
        <f>6*2</f>
        <v>12</v>
      </c>
      <c r="C24" s="1613">
        <v>0</v>
      </c>
      <c r="D24" s="1119">
        <v>152</v>
      </c>
      <c r="F24" s="1013"/>
      <c r="G24" s="1225"/>
      <c r="H24" s="1013"/>
      <c r="I24" s="1013"/>
      <c r="J24" s="1013"/>
    </row>
    <row r="25" spans="1:12">
      <c r="A25" s="1223">
        <f>'Major Assumption Key'!A21</f>
        <v>2022</v>
      </c>
      <c r="B25" s="1224">
        <f>B24*(1+$B$18)</f>
        <v>12.176863259859475</v>
      </c>
      <c r="C25" s="1224">
        <f t="shared" ref="C25:D25" si="0">C24*(1+$B$18)</f>
        <v>0</v>
      </c>
      <c r="D25" s="1119">
        <f t="shared" si="0"/>
        <v>154.24026795822002</v>
      </c>
      <c r="F25" s="1013"/>
      <c r="G25" s="1225"/>
      <c r="H25" s="1013"/>
      <c r="I25" s="1013"/>
      <c r="J25" s="1013"/>
    </row>
    <row r="26" spans="1:12">
      <c r="A26" s="1223">
        <f>'Major Assumption Key'!A22</f>
        <v>2023</v>
      </c>
      <c r="B26" s="1224">
        <f t="shared" ref="B26:B63" si="1">B25*(1+$B$18)</f>
        <v>12.356333237442961</v>
      </c>
      <c r="C26" s="1224">
        <f t="shared" ref="C26:C63" si="2">C25*(1+$B$18)</f>
        <v>0</v>
      </c>
      <c r="D26" s="1119">
        <f t="shared" ref="D26:D63" si="3">D25*(1+$B$18)</f>
        <v>156.51355434094415</v>
      </c>
      <c r="F26" s="1013"/>
      <c r="G26" s="1225"/>
      <c r="H26" s="1013"/>
      <c r="I26" s="1013"/>
      <c r="J26" s="1013"/>
    </row>
    <row r="27" spans="1:12">
      <c r="A27" s="1223">
        <f>'Major Assumption Key'!A23</f>
        <v>2024</v>
      </c>
      <c r="B27" s="1224">
        <f t="shared" si="1"/>
        <v>12.538448352133306</v>
      </c>
      <c r="C27" s="1224">
        <f t="shared" si="2"/>
        <v>0</v>
      </c>
      <c r="D27" s="1119">
        <f t="shared" si="3"/>
        <v>158.82034579368852</v>
      </c>
      <c r="F27" s="1013"/>
      <c r="G27" s="1225"/>
      <c r="H27" s="1013"/>
      <c r="I27" s="1013"/>
      <c r="J27" s="1013"/>
    </row>
    <row r="28" spans="1:12">
      <c r="A28" s="1223">
        <f>'Major Assumption Key'!A24</f>
        <v>2025</v>
      </c>
      <c r="B28" s="1224">
        <f t="shared" si="1"/>
        <v>12.723247589561471</v>
      </c>
      <c r="C28" s="1224">
        <f t="shared" si="2"/>
        <v>0</v>
      </c>
      <c r="D28" s="1119">
        <f t="shared" si="3"/>
        <v>161.16113613444526</v>
      </c>
      <c r="F28" s="1013"/>
      <c r="G28" s="1226"/>
      <c r="H28" s="1013"/>
      <c r="I28" s="1013"/>
      <c r="J28" s="1013"/>
    </row>
    <row r="29" spans="1:12">
      <c r="A29" s="1223">
        <f>'Major Assumption Key'!A25</f>
        <v>2026</v>
      </c>
      <c r="B29" s="1224">
        <f t="shared" si="1"/>
        <v>12.910770509952226</v>
      </c>
      <c r="C29" s="1224">
        <f t="shared" si="2"/>
        <v>0</v>
      </c>
      <c r="D29" s="1119">
        <f t="shared" si="3"/>
        <v>163.53642645939482</v>
      </c>
      <c r="F29" s="1013"/>
      <c r="G29" s="1226"/>
      <c r="H29" s="1013"/>
      <c r="I29" s="1013"/>
      <c r="J29" s="1013"/>
    </row>
    <row r="30" spans="1:12">
      <c r="A30" s="1223">
        <f>'Major Assumption Key'!A26</f>
        <v>2027</v>
      </c>
      <c r="B30" s="1224">
        <f t="shared" si="1"/>
        <v>13.10105725659287</v>
      </c>
      <c r="C30" s="1224">
        <f t="shared" si="2"/>
        <v>0</v>
      </c>
      <c r="D30" s="1119">
        <f t="shared" si="3"/>
        <v>165.94672525017631</v>
      </c>
      <c r="F30" s="1013"/>
      <c r="G30" s="1226"/>
      <c r="H30" s="1013"/>
      <c r="I30" s="1013"/>
      <c r="J30" s="1013"/>
    </row>
    <row r="31" spans="1:12">
      <c r="A31" s="1223">
        <f>'Major Assumption Key'!A27</f>
        <v>2028</v>
      </c>
      <c r="B31" s="1224">
        <f t="shared" si="1"/>
        <v>13.294148564426758</v>
      </c>
      <c r="C31" s="1224">
        <f t="shared" si="2"/>
        <v>0</v>
      </c>
      <c r="D31" s="1119">
        <f t="shared" si="3"/>
        <v>168.39254848273887</v>
      </c>
      <c r="F31" s="1013"/>
      <c r="G31" s="1226"/>
      <c r="H31" s="1013"/>
      <c r="I31" s="1013"/>
      <c r="J31" s="1013"/>
    </row>
    <row r="32" spans="1:12">
      <c r="A32" s="1223">
        <f>'Major Assumption Key'!A28</f>
        <v>2029</v>
      </c>
      <c r="B32" s="1224">
        <f t="shared" si="1"/>
        <v>13.490085768773481</v>
      </c>
      <c r="C32" s="1224">
        <f t="shared" si="2"/>
        <v>0</v>
      </c>
      <c r="D32" s="1119">
        <f t="shared" si="3"/>
        <v>170.87441973779738</v>
      </c>
      <c r="F32" s="1013"/>
      <c r="G32" s="1226"/>
      <c r="H32" s="1013"/>
      <c r="I32" s="1013"/>
      <c r="J32" s="1013"/>
    </row>
    <row r="33" spans="1:10">
      <c r="A33" s="1223">
        <f>'Major Assumption Key'!A29</f>
        <v>2030</v>
      </c>
      <c r="B33" s="1224">
        <f t="shared" si="1"/>
        <v>13.68891081417758</v>
      </c>
      <c r="C33" s="1224">
        <f t="shared" si="2"/>
        <v>0</v>
      </c>
      <c r="D33" s="1119">
        <f t="shared" si="3"/>
        <v>173.39287031291596</v>
      </c>
      <c r="F33" s="1013"/>
      <c r="G33" s="1226"/>
      <c r="H33" s="1013"/>
      <c r="I33" s="1013"/>
      <c r="J33" s="1013"/>
    </row>
    <row r="34" spans="1:10">
      <c r="A34" s="1223">
        <f>'Major Assumption Key'!A30</f>
        <v>2031</v>
      </c>
      <c r="B34" s="1224">
        <f t="shared" si="1"/>
        <v>13.89066626338767</v>
      </c>
      <c r="C34" s="1224">
        <f t="shared" si="2"/>
        <v>0</v>
      </c>
      <c r="D34" s="1119">
        <f t="shared" si="3"/>
        <v>175.94843933624375</v>
      </c>
      <c r="F34" s="1013"/>
      <c r="G34" s="1226"/>
      <c r="H34" s="1013"/>
      <c r="I34" s="1013"/>
      <c r="J34" s="1013"/>
    </row>
    <row r="35" spans="1:10">
      <c r="A35" s="1223">
        <f>'Major Assumption Key'!A31</f>
        <v>2032</v>
      </c>
      <c r="B35" s="1224">
        <f t="shared" si="1"/>
        <v>14.095395306467902</v>
      </c>
      <c r="C35" s="1224">
        <f t="shared" si="2"/>
        <v>0</v>
      </c>
      <c r="D35" s="1119">
        <f t="shared" si="3"/>
        <v>178.5416738819267</v>
      </c>
      <c r="F35" s="1013"/>
      <c r="G35" s="1226"/>
      <c r="H35" s="1013"/>
      <c r="I35" s="1013"/>
      <c r="J35" s="1013"/>
    </row>
    <row r="36" spans="1:10">
      <c r="A36" s="1223">
        <f>'Major Assumption Key'!A32</f>
        <v>2033</v>
      </c>
      <c r="B36" s="1224">
        <f t="shared" si="1"/>
        <v>14.303141770043723</v>
      </c>
      <c r="C36" s="1224">
        <f t="shared" si="2"/>
        <v>0</v>
      </c>
      <c r="D36" s="1119">
        <f t="shared" si="3"/>
        <v>181.17312908722045</v>
      </c>
      <c r="F36" s="1013"/>
      <c r="G36" s="1226"/>
      <c r="H36" s="1013"/>
      <c r="I36" s="1013"/>
      <c r="J36" s="1013"/>
    </row>
    <row r="37" spans="1:10">
      <c r="A37" s="1223">
        <f>'Major Assumption Key'!A33</f>
        <v>2034</v>
      </c>
      <c r="B37" s="1224">
        <f t="shared" si="1"/>
        <v>14.513950126683904</v>
      </c>
      <c r="C37" s="1224">
        <f t="shared" si="2"/>
        <v>0</v>
      </c>
      <c r="D37" s="1119">
        <f t="shared" si="3"/>
        <v>183.84336827132938</v>
      </c>
      <c r="F37" s="1013"/>
      <c r="G37" s="1226"/>
      <c r="H37" s="1013"/>
      <c r="I37" s="1013"/>
      <c r="J37" s="1013"/>
    </row>
    <row r="38" spans="1:10">
      <c r="A38" s="1223">
        <f>'Major Assumption Key'!A34</f>
        <v>2035</v>
      </c>
      <c r="B38" s="1224">
        <f t="shared" si="1"/>
        <v>14.727865504420834</v>
      </c>
      <c r="C38" s="1224">
        <f t="shared" si="2"/>
        <v>0</v>
      </c>
      <c r="D38" s="1119">
        <f t="shared" si="3"/>
        <v>186.55296305599717</v>
      </c>
      <c r="F38" s="1013"/>
      <c r="G38" s="1226"/>
      <c r="H38" s="1013"/>
      <c r="I38" s="1013"/>
      <c r="J38" s="1013"/>
    </row>
    <row r="39" spans="1:10">
      <c r="A39" s="1223">
        <f>'Major Assumption Key'!A35</f>
        <v>2036</v>
      </c>
      <c r="B39" s="1224">
        <f t="shared" si="1"/>
        <v>14.944933696411148</v>
      </c>
      <c r="C39" s="1224">
        <f t="shared" si="2"/>
        <v>0</v>
      </c>
      <c r="D39" s="1119">
        <f t="shared" si="3"/>
        <v>189.3024934878745</v>
      </c>
      <c r="F39" s="1013"/>
      <c r="G39" s="1226"/>
      <c r="H39" s="1013"/>
      <c r="I39" s="1013"/>
      <c r="J39" s="1013"/>
    </row>
    <row r="40" spans="1:10">
      <c r="A40" s="1223">
        <f>'Major Assumption Key'!A36</f>
        <v>2037</v>
      </c>
      <c r="B40" s="1224">
        <f t="shared" si="1"/>
        <v>15.165201170738731</v>
      </c>
      <c r="C40" s="1224">
        <f t="shared" si="2"/>
        <v>0</v>
      </c>
      <c r="D40" s="1119">
        <f t="shared" si="3"/>
        <v>192.09254816269055</v>
      </c>
      <c r="F40" s="1013"/>
      <c r="G40" s="1226"/>
      <c r="H40" s="1013"/>
      <c r="I40" s="1013"/>
      <c r="J40" s="1013"/>
    </row>
    <row r="41" spans="1:10">
      <c r="A41" s="1223">
        <f>'Major Assumption Key'!A37</f>
        <v>2038</v>
      </c>
      <c r="B41" s="1224">
        <f t="shared" si="1"/>
        <v>15.388715080362196</v>
      </c>
      <c r="C41" s="1224">
        <f t="shared" si="2"/>
        <v>0</v>
      </c>
      <c r="D41" s="1119">
        <f t="shared" si="3"/>
        <v>194.92372435125444</v>
      </c>
      <c r="F41" s="1013"/>
      <c r="G41" s="1226"/>
      <c r="H41" s="1013"/>
      <c r="I41" s="1013"/>
      <c r="J41" s="1013"/>
    </row>
    <row r="42" spans="1:10">
      <c r="A42" s="1223">
        <f>'Major Assumption Key'!A38</f>
        <v>2039</v>
      </c>
      <c r="B42" s="1224">
        <f t="shared" si="1"/>
        <v>15.615523273208989</v>
      </c>
      <c r="C42" s="1224">
        <f t="shared" si="2"/>
        <v>0</v>
      </c>
      <c r="D42" s="1119">
        <f t="shared" si="3"/>
        <v>197.79662812731382</v>
      </c>
      <c r="F42" s="1013"/>
      <c r="G42" s="1013"/>
      <c r="H42" s="1013"/>
      <c r="I42" s="1013"/>
      <c r="J42" s="1013"/>
    </row>
    <row r="43" spans="1:10">
      <c r="A43" s="1223">
        <f>'Major Assumption Key'!A39</f>
        <v>2040</v>
      </c>
      <c r="B43" s="1224">
        <f t="shared" si="1"/>
        <v>15.84567430241826</v>
      </c>
      <c r="C43" s="1224">
        <f t="shared" si="2"/>
        <v>0</v>
      </c>
      <c r="D43" s="1119">
        <f t="shared" si="3"/>
        <v>200.71187449729791</v>
      </c>
      <c r="F43" s="1013"/>
      <c r="G43" s="1013"/>
      <c r="H43" s="1013"/>
      <c r="I43" s="1013"/>
      <c r="J43" s="1013"/>
    </row>
    <row r="44" spans="1:10">
      <c r="A44" s="1223">
        <f>'Major Assumption Key'!A40</f>
        <v>2041</v>
      </c>
      <c r="B44" s="1224">
        <f t="shared" si="1"/>
        <v>16.079217436734695</v>
      </c>
      <c r="C44" s="1224">
        <f t="shared" si="2"/>
        <v>0</v>
      </c>
      <c r="D44" s="1119">
        <f t="shared" si="3"/>
        <v>203.67008753197274</v>
      </c>
      <c r="F44" s="1013"/>
      <c r="G44" s="1013"/>
      <c r="H44" s="1013"/>
      <c r="I44" s="1013"/>
      <c r="J44" s="1013"/>
    </row>
    <row r="45" spans="1:10">
      <c r="A45" s="1223">
        <f>'Major Assumption Key'!A41</f>
        <v>2042</v>
      </c>
      <c r="B45" s="1224">
        <f t="shared" si="1"/>
        <v>16.316202671055546</v>
      </c>
      <c r="C45" s="1224">
        <f t="shared" si="2"/>
        <v>0</v>
      </c>
      <c r="D45" s="1119">
        <f t="shared" si="3"/>
        <v>206.67190050003686</v>
      </c>
      <c r="F45" s="1013"/>
      <c r="G45" s="1013"/>
      <c r="H45" s="1013"/>
      <c r="I45" s="1013"/>
      <c r="J45" s="1013"/>
    </row>
    <row r="46" spans="1:10">
      <c r="A46" s="1223">
        <f>'Major Assumption Key'!A42</f>
        <v>2043</v>
      </c>
      <c r="B46" s="1224">
        <f t="shared" si="1"/>
        <v>16.55668073713311</v>
      </c>
      <c r="C46" s="1224">
        <f t="shared" si="2"/>
        <v>0</v>
      </c>
      <c r="D46" s="1119">
        <f t="shared" si="3"/>
        <v>209.717956003686</v>
      </c>
      <c r="F46" s="1013"/>
      <c r="G46" s="1013"/>
      <c r="H46" s="1013"/>
      <c r="I46" s="1013"/>
      <c r="J46" s="1013"/>
    </row>
    <row r="47" spans="1:10">
      <c r="A47" s="1223">
        <f>'Major Assumption Key'!A43</f>
        <v>2044</v>
      </c>
      <c r="B47" s="1224">
        <f t="shared" si="1"/>
        <v>16.800703114434938</v>
      </c>
      <c r="C47" s="1224">
        <f t="shared" si="2"/>
        <v>0</v>
      </c>
      <c r="D47" s="1119">
        <f t="shared" si="3"/>
        <v>212.80890611617582</v>
      </c>
      <c r="F47" s="1013"/>
      <c r="G47" s="1013"/>
      <c r="H47" s="1013"/>
      <c r="I47" s="1013"/>
      <c r="J47" s="1013"/>
    </row>
    <row r="48" spans="1:10">
      <c r="A48" s="1223">
        <f>'Major Assumption Key'!A44</f>
        <v>2045</v>
      </c>
      <c r="B48" s="1224">
        <f t="shared" si="1"/>
        <v>17.048322041164123</v>
      </c>
      <c r="C48" s="1224">
        <f t="shared" si="2"/>
        <v>0</v>
      </c>
      <c r="D48" s="1119">
        <f t="shared" si="3"/>
        <v>215.94541252141215</v>
      </c>
      <c r="F48" s="1013"/>
      <c r="G48" s="1013"/>
      <c r="H48" s="1013"/>
      <c r="I48" s="1013"/>
      <c r="J48" s="1013"/>
    </row>
    <row r="49" spans="1:10">
      <c r="A49" s="1223">
        <f>'Major Assumption Key'!A45</f>
        <v>2046</v>
      </c>
      <c r="B49" s="1224">
        <f t="shared" si="1"/>
        <v>17.299590525441992</v>
      </c>
      <c r="C49" s="1224">
        <f t="shared" si="2"/>
        <v>0</v>
      </c>
      <c r="D49" s="1119">
        <f t="shared" si="3"/>
        <v>219.1281466555985</v>
      </c>
      <c r="F49" s="1013"/>
      <c r="G49" s="1013"/>
      <c r="H49" s="1013"/>
      <c r="I49" s="1013"/>
      <c r="J49" s="1013"/>
    </row>
    <row r="50" spans="1:10">
      <c r="A50" s="1223">
        <f>'Major Assumption Key'!A46</f>
        <v>2047</v>
      </c>
      <c r="B50" s="1224">
        <f t="shared" si="1"/>
        <v>17.554562356655641</v>
      </c>
      <c r="C50" s="1224">
        <f t="shared" si="2"/>
        <v>0</v>
      </c>
      <c r="D50" s="1119">
        <f t="shared" si="3"/>
        <v>222.35778985097136</v>
      </c>
      <c r="F50" s="1013"/>
      <c r="G50" s="1013"/>
      <c r="H50" s="1013"/>
      <c r="I50" s="1013"/>
      <c r="J50" s="1013"/>
    </row>
    <row r="51" spans="1:10">
      <c r="A51" s="1223">
        <f>'Major Assumption Key'!A47</f>
        <v>2048</v>
      </c>
      <c r="B51" s="1224">
        <f t="shared" si="1"/>
        <v>17.813292116972686</v>
      </c>
      <c r="C51" s="1224">
        <f t="shared" si="2"/>
        <v>0</v>
      </c>
      <c r="D51" s="1119">
        <f t="shared" si="3"/>
        <v>225.63503348165395</v>
      </c>
      <c r="F51" s="1013"/>
      <c r="G51" s="1013"/>
      <c r="H51" s="1013"/>
      <c r="I51" s="1013"/>
      <c r="J51" s="1013"/>
    </row>
    <row r="52" spans="1:10">
      <c r="A52" s="1223">
        <f>'Major Assumption Key'!A48</f>
        <v>2049</v>
      </c>
      <c r="B52" s="1224">
        <f t="shared" si="1"/>
        <v>18.07583519302576</v>
      </c>
      <c r="C52" s="1224">
        <f t="shared" si="2"/>
        <v>0</v>
      </c>
      <c r="D52" s="1119">
        <f t="shared" si="3"/>
        <v>228.96057911165954</v>
      </c>
    </row>
    <row r="53" spans="1:10">
      <c r="A53" s="1223">
        <f>'Major Assumption Key'!A49</f>
        <v>2050</v>
      </c>
      <c r="B53" s="1224">
        <f t="shared" si="1"/>
        <v>18.342247787769189</v>
      </c>
      <c r="C53" s="1224">
        <f t="shared" si="2"/>
        <v>0</v>
      </c>
      <c r="D53" s="1119">
        <f t="shared" si="3"/>
        <v>232.33513864507631</v>
      </c>
    </row>
    <row r="54" spans="1:10">
      <c r="A54" s="1223">
        <f>'Major Assumption Key'!A50</f>
        <v>2051</v>
      </c>
      <c r="B54" s="1224">
        <f t="shared" si="1"/>
        <v>18.61258693251045</v>
      </c>
      <c r="C54" s="1224">
        <f t="shared" si="2"/>
        <v>0</v>
      </c>
      <c r="D54" s="1119">
        <f t="shared" si="3"/>
        <v>235.75943447846558</v>
      </c>
    </row>
    <row r="55" spans="1:10">
      <c r="A55" s="1223">
        <f>'Major Assumption Key'!A51</f>
        <v>2052</v>
      </c>
      <c r="B55" s="1224">
        <f t="shared" si="1"/>
        <v>18.886910499118923</v>
      </c>
      <c r="C55" s="1224">
        <f t="shared" si="2"/>
        <v>0</v>
      </c>
      <c r="D55" s="1119">
        <f t="shared" si="3"/>
        <v>239.23419965550622</v>
      </c>
    </row>
    <row r="56" spans="1:10">
      <c r="A56" s="1223">
        <f>'Major Assumption Key'!A52</f>
        <v>2053</v>
      </c>
      <c r="B56" s="1224">
        <f t="shared" si="1"/>
        <v>19.165277212414615</v>
      </c>
      <c r="C56" s="1224">
        <f t="shared" si="2"/>
        <v>0</v>
      </c>
      <c r="D56" s="1119">
        <f t="shared" si="3"/>
        <v>242.76017802391834</v>
      </c>
    </row>
    <row r="57" spans="1:10">
      <c r="A57" s="1223">
        <f>'Major Assumption Key'!A53</f>
        <v>2054</v>
      </c>
      <c r="B57" s="1224">
        <f t="shared" si="1"/>
        <v>19.447746662739462</v>
      </c>
      <c r="C57" s="1224">
        <f t="shared" si="2"/>
        <v>0</v>
      </c>
      <c r="D57" s="1119">
        <f t="shared" si="3"/>
        <v>246.33812439469975</v>
      </c>
    </row>
    <row r="58" spans="1:10">
      <c r="A58" s="1223">
        <f>'Major Assumption Key'!A54</f>
        <v>2055</v>
      </c>
      <c r="B58" s="1224">
        <f t="shared" si="1"/>
        <v>19.734379318713906</v>
      </c>
      <c r="C58" s="1224">
        <f t="shared" si="2"/>
        <v>0</v>
      </c>
      <c r="D58" s="1119">
        <f t="shared" si="3"/>
        <v>249.96880470370937</v>
      </c>
    </row>
    <row r="59" spans="1:10">
      <c r="A59" s="1223">
        <f>'Major Assumption Key'!A55</f>
        <v>2056</v>
      </c>
      <c r="B59" s="1224">
        <f t="shared" si="1"/>
        <v>20.025236540181503</v>
      </c>
      <c r="C59" s="1224">
        <f t="shared" si="2"/>
        <v>0</v>
      </c>
      <c r="D59" s="1119">
        <f t="shared" si="3"/>
        <v>253.65299617563224</v>
      </c>
    </row>
    <row r="60" spans="1:10">
      <c r="A60" s="1223">
        <f>'Major Assumption Key'!A56</f>
        <v>2057</v>
      </c>
      <c r="B60" s="1224">
        <f t="shared" si="1"/>
        <v>20.3203805913443</v>
      </c>
      <c r="C60" s="1224">
        <f t="shared" si="2"/>
        <v>0</v>
      </c>
      <c r="D60" s="1119">
        <f t="shared" si="3"/>
        <v>257.39148749036104</v>
      </c>
    </row>
    <row r="61" spans="1:10">
      <c r="A61" s="1223">
        <f>'Major Assumption Key'!A57</f>
        <v>2058</v>
      </c>
      <c r="B61" s="1224">
        <f t="shared" si="1"/>
        <v>20.619874654091831</v>
      </c>
      <c r="C61" s="1224">
        <f t="shared" si="2"/>
        <v>0</v>
      </c>
      <c r="D61" s="1119">
        <f t="shared" si="3"/>
        <v>261.18507895182978</v>
      </c>
    </row>
    <row r="62" spans="1:10">
      <c r="A62" s="1223">
        <f>'Major Assumption Key'!A58</f>
        <v>2059</v>
      </c>
      <c r="B62" s="1224">
        <f t="shared" si="1"/>
        <v>20.923782841526535</v>
      </c>
      <c r="C62" s="1224">
        <f t="shared" si="2"/>
        <v>0</v>
      </c>
      <c r="D62" s="1119">
        <f t="shared" si="3"/>
        <v>265.03458265933602</v>
      </c>
    </row>
    <row r="63" spans="1:10">
      <c r="A63" s="1223">
        <f>'Major Assumption Key'!A59</f>
        <v>2060</v>
      </c>
      <c r="B63" s="1224">
        <f t="shared" si="1"/>
        <v>21.232170211688548</v>
      </c>
      <c r="C63" s="1224">
        <f t="shared" si="2"/>
        <v>0</v>
      </c>
      <c r="D63" s="1119">
        <f t="shared" si="3"/>
        <v>268.94082268138817</v>
      </c>
    </row>
    <row r="65" s="1149" customFormat="1"/>
    <row r="66" s="1149" customFormat="1"/>
    <row r="67" s="1149" customFormat="1"/>
    <row r="68" s="1149" customFormat="1"/>
    <row r="69" s="1149" customFormat="1"/>
    <row r="70" s="1149" customFormat="1"/>
    <row r="71" s="1149" customFormat="1"/>
    <row r="72" s="1149" customFormat="1"/>
    <row r="73" s="1149" customFormat="1"/>
    <row r="74" s="1149" customFormat="1"/>
    <row r="75" s="1149" customFormat="1"/>
    <row r="76" s="1149" customFormat="1"/>
    <row r="77" s="1149" customFormat="1"/>
    <row r="78" s="1149" customFormat="1"/>
    <row r="79" s="1149" customFormat="1"/>
    <row r="80" s="1149" customFormat="1"/>
    <row r="81" s="1149" customFormat="1"/>
    <row r="82" s="1149" customFormat="1"/>
    <row r="83" s="1149" customFormat="1"/>
    <row r="84" s="1149" customFormat="1"/>
    <row r="85" s="1149" customFormat="1"/>
    <row r="86" s="1149" customFormat="1"/>
    <row r="87" s="1149" customFormat="1"/>
    <row r="88" s="1149" customFormat="1"/>
    <row r="89" s="1149" customFormat="1"/>
    <row r="90" s="1149" customFormat="1"/>
    <row r="91" s="1149" customFormat="1"/>
    <row r="92" s="1149" customFormat="1"/>
    <row r="93" s="1149" customFormat="1"/>
    <row r="94" s="1149" customFormat="1"/>
    <row r="95" s="1149" customFormat="1"/>
    <row r="96" s="1149" customFormat="1"/>
    <row r="97" s="1149" customFormat="1"/>
    <row r="98" s="1149" customFormat="1"/>
    <row r="99" s="1149" customFormat="1"/>
    <row r="100" s="1149" customFormat="1"/>
    <row r="101" s="1149" customFormat="1"/>
    <row r="102" s="1149" customFormat="1"/>
    <row r="103" s="1149" customFormat="1"/>
    <row r="104" s="1149" customFormat="1"/>
    <row r="105" s="1149" customFormat="1"/>
    <row r="106" s="1149" customFormat="1"/>
    <row r="107" s="1149" customFormat="1"/>
    <row r="108" s="1149" customFormat="1"/>
    <row r="109" s="1149" customFormat="1"/>
    <row r="110" s="1149" customFormat="1"/>
    <row r="111" s="1149" customFormat="1"/>
    <row r="112" s="1149" customFormat="1"/>
    <row r="113" s="1149" customFormat="1"/>
    <row r="114" s="1149" customFormat="1"/>
    <row r="115" s="1149" customFormat="1"/>
    <row r="116" s="1149" customFormat="1"/>
    <row r="117" s="1149" customFormat="1"/>
    <row r="118" s="1149" customFormat="1"/>
    <row r="119" s="1149" customFormat="1"/>
    <row r="120" s="1149" customFormat="1"/>
    <row r="121" s="1149" customFormat="1"/>
    <row r="122" s="1149" customFormat="1"/>
    <row r="123" s="1149" customFormat="1"/>
    <row r="124" s="1149" customFormat="1"/>
    <row r="125" s="1149" customFormat="1"/>
    <row r="126" s="1149" customFormat="1"/>
    <row r="127" s="1149" customFormat="1"/>
    <row r="128" s="1149" customFormat="1"/>
    <row r="129" s="1149" customFormat="1"/>
    <row r="130" s="1149" customFormat="1"/>
    <row r="131" s="1149" customFormat="1"/>
    <row r="132" s="1149" customFormat="1"/>
    <row r="133" s="1149" customFormat="1"/>
    <row r="134" s="1149" customFormat="1"/>
    <row r="135" s="1149" customFormat="1"/>
    <row r="136" s="1149" customFormat="1"/>
    <row r="137" s="1149" customFormat="1"/>
    <row r="138" s="1149" customFormat="1"/>
    <row r="139" s="1149" customFormat="1"/>
    <row r="140" s="1149" customFormat="1"/>
    <row r="141" s="1149" customFormat="1"/>
    <row r="142" s="1149" customFormat="1"/>
    <row r="143" s="1149" customFormat="1"/>
    <row r="144" s="1149" customFormat="1"/>
    <row r="145" s="1149" customFormat="1"/>
    <row r="146" s="1149" customFormat="1"/>
    <row r="147" s="1149" customFormat="1"/>
    <row r="148" s="1149" customFormat="1"/>
    <row r="149" s="1149" customFormat="1"/>
    <row r="150" s="1149" customFormat="1"/>
    <row r="151" s="1149" customFormat="1"/>
    <row r="152" s="1149" customFormat="1"/>
    <row r="153" s="1149" customFormat="1"/>
    <row r="154" s="1149" customFormat="1"/>
    <row r="155" s="1149" customFormat="1"/>
    <row r="156" s="1149" customFormat="1"/>
    <row r="157" s="1149" customFormat="1"/>
    <row r="158" s="1149" customFormat="1"/>
    <row r="159" s="1149" customFormat="1"/>
    <row r="160" s="1149" customFormat="1"/>
    <row r="161" s="1149" customFormat="1"/>
    <row r="162" s="1149" customFormat="1"/>
    <row r="163" s="1149" customFormat="1"/>
    <row r="164" s="1149" customFormat="1"/>
    <row r="165" s="1149" customFormat="1"/>
    <row r="166" s="1149" customFormat="1"/>
    <row r="167" s="1149" customFormat="1"/>
    <row r="168" s="1149" customFormat="1"/>
    <row r="169" s="1149" customFormat="1"/>
    <row r="170" s="1149" customFormat="1"/>
    <row r="171" s="1149" customFormat="1"/>
    <row r="172" s="1149" customFormat="1"/>
    <row r="173" s="1149" customFormat="1"/>
    <row r="174" s="1149" customFormat="1"/>
    <row r="175" s="1149" customFormat="1"/>
    <row r="176" s="1149" customFormat="1"/>
    <row r="177" s="1149" customFormat="1"/>
    <row r="178" s="1149" customFormat="1"/>
    <row r="179" s="1149" customFormat="1"/>
    <row r="180" s="1149" customFormat="1"/>
    <row r="181" s="1149" customFormat="1"/>
    <row r="182" s="1149" customFormat="1"/>
    <row r="183" s="1149" customFormat="1"/>
    <row r="184" s="1149" customFormat="1"/>
    <row r="185" s="1149" customFormat="1"/>
    <row r="186" s="1149" customFormat="1"/>
    <row r="187" s="1149" customFormat="1"/>
    <row r="188" s="1149" customFormat="1"/>
    <row r="189" s="1149" customFormat="1"/>
    <row r="190" s="1149" customFormat="1"/>
    <row r="191" s="1149" customFormat="1"/>
    <row r="192" s="1149" customFormat="1"/>
    <row r="193" s="1149" customFormat="1"/>
    <row r="194" s="1149" customFormat="1"/>
    <row r="195" s="1149" customFormat="1"/>
    <row r="196" s="1149" customFormat="1"/>
  </sheetData>
  <sheetProtection algorithmName="SHA-512" hashValue="k5+hrbSEn+CFoY+cuu4NZQCzlqaMD+7LcQjUdApzL+Qib9Mc1FUmPG+3/Jj7T31d0Wdwcbsr/2d8H/mlmD5hCw==" saltValue="9+egPQ2XSfqSkIidygmlxg=="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election sqref="A1:XFD1048576"/>
    </sheetView>
  </sheetViews>
  <sheetFormatPr defaultColWidth="8.77734375" defaultRowHeight="13.2"/>
  <cols>
    <col min="1" max="1" width="38" style="1013" customWidth="1"/>
    <col min="2" max="2" width="32.21875" style="1217" customWidth="1"/>
    <col min="3" max="3" width="11.21875" style="1217" bestFit="1" customWidth="1"/>
    <col min="4" max="4" width="12.77734375" style="1217" bestFit="1" customWidth="1"/>
    <col min="5" max="5" width="11.77734375" style="1013" bestFit="1" customWidth="1"/>
    <col min="6" max="6" width="12.44140625" style="1013" bestFit="1" customWidth="1"/>
    <col min="7" max="7" width="9.5546875" style="1013" bestFit="1" customWidth="1"/>
    <col min="8" max="8" width="24.44140625" style="1013" bestFit="1" customWidth="1"/>
    <col min="9" max="9" width="24.5546875" style="1013" bestFit="1" customWidth="1"/>
    <col min="10" max="10" width="24.5546875" style="1013" customWidth="1"/>
    <col min="11" max="11" width="21.5546875" style="1013" bestFit="1" customWidth="1"/>
    <col min="12" max="12" width="21.77734375" style="1013" customWidth="1"/>
    <col min="13" max="13" width="18" style="1013" bestFit="1" customWidth="1"/>
    <col min="14" max="14" width="14.21875" style="1013" bestFit="1" customWidth="1"/>
    <col min="15" max="15" width="20.44140625" style="1013" customWidth="1"/>
    <col min="16" max="16" width="24.44140625" style="1013" bestFit="1" customWidth="1"/>
    <col min="17" max="17" width="31.21875" style="1013" customWidth="1"/>
    <col min="18" max="18" width="10.44140625" style="1013" bestFit="1" customWidth="1"/>
    <col min="19" max="16384" width="8.77734375" style="1013"/>
  </cols>
  <sheetData>
    <row r="1" spans="1:17" ht="14.4">
      <c r="A1" s="1025" t="s">
        <v>546</v>
      </c>
      <c r="B1" s="1026" t="s">
        <v>1340</v>
      </c>
      <c r="C1" s="1026"/>
      <c r="D1" s="1026"/>
      <c r="E1" s="1026"/>
      <c r="F1" s="1026"/>
      <c r="G1" s="1026"/>
      <c r="H1" s="1011"/>
      <c r="I1" s="1029"/>
      <c r="J1" s="1203"/>
      <c r="K1" s="1203"/>
      <c r="L1" s="1203"/>
      <c r="M1" s="1203"/>
      <c r="N1" s="1203"/>
      <c r="O1" s="1203"/>
    </row>
    <row r="2" spans="1:17" ht="14.4">
      <c r="A2" s="1025"/>
      <c r="B2" s="1026"/>
      <c r="C2" s="1026"/>
      <c r="D2" s="1026"/>
      <c r="E2" s="1026"/>
      <c r="F2" s="1026"/>
      <c r="G2" s="1026"/>
      <c r="H2" s="1011"/>
      <c r="I2" s="1012"/>
      <c r="J2" s="1203"/>
      <c r="K2" s="1203"/>
      <c r="L2" s="1203"/>
      <c r="M2" s="1203"/>
      <c r="N2" s="1203"/>
      <c r="O2" s="1203"/>
    </row>
    <row r="3" spans="1:17" ht="15" thickBot="1">
      <c r="A3" s="1204" t="s">
        <v>1341</v>
      </c>
      <c r="B3" s="1205">
        <v>2021</v>
      </c>
      <c r="C3" s="1206" t="s">
        <v>7908</v>
      </c>
      <c r="D3" s="1207"/>
      <c r="E3" s="1207"/>
      <c r="F3" s="1207"/>
      <c r="G3" s="1207"/>
      <c r="H3" s="1207"/>
      <c r="I3" s="1207"/>
      <c r="J3" s="1207"/>
      <c r="K3" s="1207"/>
      <c r="L3" s="1207"/>
      <c r="M3" s="1207"/>
      <c r="N3" s="1207"/>
      <c r="O3" s="1207"/>
      <c r="P3" s="1011"/>
      <c r="Q3" s="1012"/>
    </row>
    <row r="4" spans="1:17" ht="13.8">
      <c r="A4" s="1994" t="s">
        <v>1342</v>
      </c>
      <c r="B4" s="1995" t="s">
        <v>1343</v>
      </c>
      <c r="C4" s="1995" t="s">
        <v>1344</v>
      </c>
      <c r="D4" s="1987" t="s">
        <v>1345</v>
      </c>
      <c r="E4" s="1994" t="s">
        <v>1346</v>
      </c>
      <c r="F4" s="1995"/>
      <c r="G4" s="1995"/>
      <c r="H4" s="1987"/>
      <c r="I4" s="1984" t="s">
        <v>1347</v>
      </c>
      <c r="J4" s="1985"/>
      <c r="K4" s="1985"/>
      <c r="L4" s="1985"/>
      <c r="M4" s="1985"/>
      <c r="N4" s="1986"/>
      <c r="O4" s="1208"/>
      <c r="P4" s="1209"/>
    </row>
    <row r="5" spans="1:17" s="1014" customFormat="1" ht="26.4">
      <c r="A5" s="1997"/>
      <c r="B5" s="1996"/>
      <c r="C5" s="1996"/>
      <c r="D5" s="1988"/>
      <c r="E5" s="1556" t="s">
        <v>1348</v>
      </c>
      <c r="F5" s="1557" t="s">
        <v>1349</v>
      </c>
      <c r="G5" s="1557" t="s">
        <v>1350</v>
      </c>
      <c r="H5" s="1558" t="s">
        <v>1351</v>
      </c>
      <c r="I5" s="1559" t="str">
        <f>"Amenity 1 - " &amp; 'Facility Improve - Transit Stop'!B19</f>
        <v xml:space="preserve">Amenity 1 - </v>
      </c>
      <c r="J5" s="1560" t="str">
        <f>"Amenity 2 - " &amp; 'Facility Improve - Transit Stop'!B20</f>
        <v xml:space="preserve">Amenity 2 - </v>
      </c>
      <c r="K5" s="1561" t="str">
        <f>"Amenity 3 - " &amp; 'Facility Improve - Transit Stop'!B21</f>
        <v xml:space="preserve">Amenity 3 - </v>
      </c>
      <c r="L5" s="1561" t="str">
        <f>"Amenity 4 - " &amp; 'Facility Improve - Transit Stop'!B22</f>
        <v xml:space="preserve">Amenity 4 - </v>
      </c>
      <c r="M5" s="1561" t="str">
        <f>"Amenity 5 - " &amp; 'Facility Improve - Transit Stop'!B23</f>
        <v xml:space="preserve">Amenity 5 - </v>
      </c>
      <c r="N5" s="1562" t="str">
        <f>"Amenity 6 - " &amp; 'Facility Improve - Transit Stop'!B24</f>
        <v xml:space="preserve">Amenity 6 - </v>
      </c>
    </row>
    <row r="6" spans="1:17">
      <c r="A6" s="1211">
        <v>11250</v>
      </c>
      <c r="B6" s="1211" t="s">
        <v>7909</v>
      </c>
      <c r="C6" s="1211" t="s">
        <v>7790</v>
      </c>
      <c r="D6" s="1211" t="s">
        <v>7910</v>
      </c>
      <c r="E6" s="1210">
        <v>21.85</v>
      </c>
      <c r="F6" s="1214">
        <v>14</v>
      </c>
      <c r="G6" s="1214">
        <v>15.666667</v>
      </c>
      <c r="H6" s="1215">
        <f>E6*B42+F6*B45+G6*B48</f>
        <v>7239.3333510000002</v>
      </c>
      <c r="I6" s="1216"/>
      <c r="J6" s="1214"/>
      <c r="K6" s="1214"/>
      <c r="L6" s="1214"/>
      <c r="M6" s="1214"/>
      <c r="N6" s="1213"/>
    </row>
    <row r="7" spans="1:17">
      <c r="A7" s="1211">
        <v>11251</v>
      </c>
      <c r="B7" s="1211" t="s">
        <v>7909</v>
      </c>
      <c r="C7" s="1211" t="s">
        <v>7842</v>
      </c>
      <c r="D7" s="1211" t="s">
        <v>7910</v>
      </c>
      <c r="E7" s="1210">
        <v>31.55</v>
      </c>
      <c r="F7" s="1214">
        <v>16</v>
      </c>
      <c r="G7" s="1214">
        <v>14.333333</v>
      </c>
      <c r="H7" s="1215">
        <f t="shared" ref="H7:H31" si="0">E7*$B$42+F7*$B$45+G7*$B$48</f>
        <v>9794.6666490000007</v>
      </c>
      <c r="I7" s="1216"/>
      <c r="J7" s="1214"/>
      <c r="K7" s="1214"/>
      <c r="L7" s="1214"/>
      <c r="M7" s="1214"/>
      <c r="N7" s="1213"/>
    </row>
    <row r="8" spans="1:17">
      <c r="A8" s="1211"/>
      <c r="B8" s="1211"/>
      <c r="C8" s="1211"/>
      <c r="D8" s="1211"/>
      <c r="E8" s="1210"/>
      <c r="F8" s="1214"/>
      <c r="G8" s="1214"/>
      <c r="H8" s="1215">
        <f t="shared" si="0"/>
        <v>0</v>
      </c>
      <c r="I8" s="1216"/>
      <c r="J8" s="1214"/>
      <c r="K8" s="1214"/>
      <c r="L8" s="1214"/>
      <c r="M8" s="1214"/>
      <c r="N8" s="1213"/>
    </row>
    <row r="9" spans="1:17">
      <c r="A9" s="1211"/>
      <c r="B9" s="1211"/>
      <c r="C9" s="1211"/>
      <c r="D9" s="1211"/>
      <c r="E9" s="1210"/>
      <c r="F9" s="1214"/>
      <c r="G9" s="1214"/>
      <c r="H9" s="1215">
        <f t="shared" si="0"/>
        <v>0</v>
      </c>
      <c r="I9" s="1216"/>
      <c r="J9" s="1214"/>
      <c r="K9" s="1214"/>
      <c r="L9" s="1214"/>
      <c r="M9" s="1214"/>
      <c r="N9" s="1213"/>
    </row>
    <row r="10" spans="1:17">
      <c r="A10" s="1210"/>
      <c r="B10" s="1211"/>
      <c r="C10" s="1212"/>
      <c r="D10" s="1213"/>
      <c r="E10" s="1210"/>
      <c r="F10" s="1214"/>
      <c r="G10" s="1214"/>
      <c r="H10" s="1215">
        <f t="shared" si="0"/>
        <v>0</v>
      </c>
      <c r="I10" s="1216"/>
      <c r="J10" s="1214"/>
      <c r="K10" s="1214"/>
      <c r="L10" s="1214"/>
      <c r="M10" s="1214"/>
      <c r="N10" s="1213"/>
    </row>
    <row r="11" spans="1:17">
      <c r="A11" s="1210"/>
      <c r="B11" s="1211"/>
      <c r="C11" s="1212"/>
      <c r="D11" s="1213"/>
      <c r="E11" s="1210"/>
      <c r="F11" s="1214"/>
      <c r="G11" s="1214"/>
      <c r="H11" s="1215">
        <f t="shared" si="0"/>
        <v>0</v>
      </c>
      <c r="I11" s="1216"/>
      <c r="J11" s="1214"/>
      <c r="K11" s="1214"/>
      <c r="L11" s="1214"/>
      <c r="M11" s="1214"/>
      <c r="N11" s="1213"/>
    </row>
    <row r="12" spans="1:17">
      <c r="A12" s="1210"/>
      <c r="B12" s="1211"/>
      <c r="C12" s="1212"/>
      <c r="D12" s="1213"/>
      <c r="E12" s="1210"/>
      <c r="F12" s="1214"/>
      <c r="G12" s="1214"/>
      <c r="H12" s="1215">
        <f t="shared" si="0"/>
        <v>0</v>
      </c>
      <c r="I12" s="1216"/>
      <c r="J12" s="1214"/>
      <c r="K12" s="1214"/>
      <c r="L12" s="1214"/>
      <c r="M12" s="1214"/>
      <c r="N12" s="1213"/>
    </row>
    <row r="13" spans="1:17">
      <c r="A13" s="1210"/>
      <c r="B13" s="1211"/>
      <c r="C13" s="1212"/>
      <c r="D13" s="1213"/>
      <c r="E13" s="1210"/>
      <c r="F13" s="1214"/>
      <c r="G13" s="1214"/>
      <c r="H13" s="1215">
        <f t="shared" si="0"/>
        <v>0</v>
      </c>
      <c r="I13" s="1216"/>
      <c r="J13" s="1214"/>
      <c r="K13" s="1214"/>
      <c r="L13" s="1214"/>
      <c r="M13" s="1214"/>
      <c r="N13" s="1213"/>
    </row>
    <row r="14" spans="1:17">
      <c r="A14" s="1210"/>
      <c r="B14" s="1211"/>
      <c r="C14" s="1212"/>
      <c r="D14" s="1213"/>
      <c r="E14" s="1210"/>
      <c r="F14" s="1214"/>
      <c r="G14" s="1214"/>
      <c r="H14" s="1215">
        <f t="shared" si="0"/>
        <v>0</v>
      </c>
      <c r="I14" s="1216"/>
      <c r="J14" s="1214"/>
      <c r="K14" s="1214"/>
      <c r="L14" s="1214"/>
      <c r="M14" s="1214"/>
      <c r="N14" s="1213"/>
    </row>
    <row r="15" spans="1:17">
      <c r="A15" s="1210"/>
      <c r="B15" s="1211"/>
      <c r="C15" s="1212"/>
      <c r="D15" s="1213"/>
      <c r="E15" s="1210"/>
      <c r="F15" s="1214"/>
      <c r="G15" s="1214"/>
      <c r="H15" s="1215">
        <f t="shared" si="0"/>
        <v>0</v>
      </c>
      <c r="I15" s="1216"/>
      <c r="J15" s="1214"/>
      <c r="K15" s="1214"/>
      <c r="L15" s="1214"/>
      <c r="M15" s="1214"/>
      <c r="N15" s="1213"/>
    </row>
    <row r="16" spans="1:17">
      <c r="A16" s="1210"/>
      <c r="B16" s="1211"/>
      <c r="C16" s="1212"/>
      <c r="D16" s="1213"/>
      <c r="E16" s="1210"/>
      <c r="F16" s="1214"/>
      <c r="G16" s="1214"/>
      <c r="H16" s="1215">
        <f t="shared" si="0"/>
        <v>0</v>
      </c>
      <c r="I16" s="1216"/>
      <c r="J16" s="1214"/>
      <c r="K16" s="1214"/>
      <c r="L16" s="1214"/>
      <c r="M16" s="1214"/>
      <c r="N16" s="1213"/>
    </row>
    <row r="17" spans="1:18">
      <c r="A17" s="1210"/>
      <c r="B17" s="1211"/>
      <c r="C17" s="1212"/>
      <c r="D17" s="1213"/>
      <c r="E17" s="1210"/>
      <c r="F17" s="1214"/>
      <c r="G17" s="1214"/>
      <c r="H17" s="1215">
        <f t="shared" si="0"/>
        <v>0</v>
      </c>
      <c r="I17" s="1216"/>
      <c r="J17" s="1214"/>
      <c r="K17" s="1214"/>
      <c r="L17" s="1214"/>
      <c r="M17" s="1214"/>
      <c r="N17" s="1213"/>
    </row>
    <row r="18" spans="1:18">
      <c r="A18" s="1210"/>
      <c r="B18" s="1211"/>
      <c r="C18" s="1212"/>
      <c r="D18" s="1213"/>
      <c r="E18" s="1210"/>
      <c r="F18" s="1214"/>
      <c r="G18" s="1214"/>
      <c r="H18" s="1215">
        <f t="shared" si="0"/>
        <v>0</v>
      </c>
      <c r="I18" s="1216"/>
      <c r="J18" s="1214"/>
      <c r="K18" s="1214"/>
      <c r="L18" s="1214"/>
      <c r="M18" s="1214"/>
      <c r="N18" s="1213"/>
      <c r="R18" s="1563"/>
    </row>
    <row r="19" spans="1:18">
      <c r="A19" s="1210"/>
      <c r="B19" s="1211"/>
      <c r="C19" s="1212"/>
      <c r="D19" s="1213"/>
      <c r="E19" s="1210"/>
      <c r="F19" s="1214"/>
      <c r="G19" s="1214"/>
      <c r="H19" s="1215">
        <f t="shared" si="0"/>
        <v>0</v>
      </c>
      <c r="I19" s="1216"/>
      <c r="J19" s="1214"/>
      <c r="K19" s="1214"/>
      <c r="L19" s="1214"/>
      <c r="M19" s="1214"/>
      <c r="N19" s="1213"/>
    </row>
    <row r="20" spans="1:18">
      <c r="A20" s="1210"/>
      <c r="B20" s="1211"/>
      <c r="C20" s="1212"/>
      <c r="D20" s="1213"/>
      <c r="E20" s="1210"/>
      <c r="F20" s="1214"/>
      <c r="G20" s="1214"/>
      <c r="H20" s="1215">
        <f t="shared" si="0"/>
        <v>0</v>
      </c>
      <c r="I20" s="1216"/>
      <c r="J20" s="1214"/>
      <c r="K20" s="1214"/>
      <c r="L20" s="1214"/>
      <c r="M20" s="1214"/>
      <c r="N20" s="1213"/>
    </row>
    <row r="21" spans="1:18">
      <c r="A21" s="1210"/>
      <c r="B21" s="1211"/>
      <c r="C21" s="1212"/>
      <c r="D21" s="1213"/>
      <c r="E21" s="1210"/>
      <c r="F21" s="1214"/>
      <c r="G21" s="1214"/>
      <c r="H21" s="1215">
        <f t="shared" si="0"/>
        <v>0</v>
      </c>
      <c r="I21" s="1216"/>
      <c r="J21" s="1214"/>
      <c r="K21" s="1214"/>
      <c r="L21" s="1214"/>
      <c r="M21" s="1214"/>
      <c r="N21" s="1213"/>
    </row>
    <row r="22" spans="1:18">
      <c r="A22" s="1210"/>
      <c r="B22" s="1211"/>
      <c r="C22" s="1212"/>
      <c r="D22" s="1213"/>
      <c r="E22" s="1210"/>
      <c r="F22" s="1214"/>
      <c r="G22" s="1214"/>
      <c r="H22" s="1215">
        <f t="shared" si="0"/>
        <v>0</v>
      </c>
      <c r="I22" s="1216"/>
      <c r="J22" s="1214"/>
      <c r="K22" s="1214"/>
      <c r="L22" s="1214"/>
      <c r="M22" s="1214"/>
      <c r="N22" s="1213"/>
    </row>
    <row r="23" spans="1:18">
      <c r="A23" s="1210"/>
      <c r="B23" s="1211"/>
      <c r="C23" s="1212"/>
      <c r="D23" s="1213"/>
      <c r="E23" s="1210"/>
      <c r="F23" s="1214"/>
      <c r="G23" s="1214"/>
      <c r="H23" s="1215">
        <f t="shared" si="0"/>
        <v>0</v>
      </c>
      <c r="I23" s="1216"/>
      <c r="J23" s="1214"/>
      <c r="K23" s="1214"/>
      <c r="L23" s="1214"/>
      <c r="M23" s="1214"/>
      <c r="N23" s="1213"/>
    </row>
    <row r="24" spans="1:18">
      <c r="A24" s="1210"/>
      <c r="B24" s="1212"/>
      <c r="C24" s="1212"/>
      <c r="D24" s="1213"/>
      <c r="E24" s="1210"/>
      <c r="F24" s="1214"/>
      <c r="G24" s="1214"/>
      <c r="H24" s="1215">
        <f t="shared" si="0"/>
        <v>0</v>
      </c>
      <c r="I24" s="1216"/>
      <c r="J24" s="1214"/>
      <c r="K24" s="1214"/>
      <c r="L24" s="1214"/>
      <c r="M24" s="1214"/>
      <c r="N24" s="1213"/>
    </row>
    <row r="25" spans="1:18">
      <c r="A25" s="1210"/>
      <c r="B25" s="1212"/>
      <c r="C25" s="1212"/>
      <c r="D25" s="1213"/>
      <c r="E25" s="1210"/>
      <c r="F25" s="1214"/>
      <c r="G25" s="1214"/>
      <c r="H25" s="1215">
        <f t="shared" si="0"/>
        <v>0</v>
      </c>
      <c r="I25" s="1216"/>
      <c r="J25" s="1214"/>
      <c r="K25" s="1214"/>
      <c r="L25" s="1214"/>
      <c r="M25" s="1214"/>
      <c r="N25" s="1213"/>
    </row>
    <row r="26" spans="1:18">
      <c r="A26" s="1210"/>
      <c r="B26" s="1211"/>
      <c r="C26" s="1212"/>
      <c r="D26" s="1213"/>
      <c r="E26" s="1210"/>
      <c r="F26" s="1214"/>
      <c r="G26" s="1214"/>
      <c r="H26" s="1215">
        <f t="shared" si="0"/>
        <v>0</v>
      </c>
      <c r="I26" s="1216"/>
      <c r="J26" s="1214"/>
      <c r="K26" s="1214"/>
      <c r="L26" s="1214"/>
      <c r="M26" s="1214"/>
      <c r="N26" s="1213"/>
    </row>
    <row r="27" spans="1:18">
      <c r="A27" s="1210"/>
      <c r="B27" s="1211"/>
      <c r="C27" s="1212"/>
      <c r="D27" s="1213"/>
      <c r="E27" s="1210"/>
      <c r="F27" s="1214"/>
      <c r="G27" s="1214"/>
      <c r="H27" s="1215">
        <f t="shared" si="0"/>
        <v>0</v>
      </c>
      <c r="I27" s="1216"/>
      <c r="J27" s="1214"/>
      <c r="K27" s="1214"/>
      <c r="L27" s="1214"/>
      <c r="M27" s="1214"/>
      <c r="N27" s="1213"/>
    </row>
    <row r="28" spans="1:18">
      <c r="A28" s="1210"/>
      <c r="B28" s="1211"/>
      <c r="C28" s="1212"/>
      <c r="D28" s="1213"/>
      <c r="E28" s="1210"/>
      <c r="F28" s="1214"/>
      <c r="G28" s="1214"/>
      <c r="H28" s="1215">
        <f t="shared" si="0"/>
        <v>0</v>
      </c>
      <c r="I28" s="1216"/>
      <c r="J28" s="1214"/>
      <c r="K28" s="1214"/>
      <c r="L28" s="1214"/>
      <c r="M28" s="1214"/>
      <c r="N28" s="1213"/>
    </row>
    <row r="29" spans="1:18">
      <c r="A29" s="1210"/>
      <c r="B29" s="1211"/>
      <c r="C29" s="1212"/>
      <c r="D29" s="1213"/>
      <c r="E29" s="1210"/>
      <c r="F29" s="1214"/>
      <c r="G29" s="1214"/>
      <c r="H29" s="1215">
        <f t="shared" si="0"/>
        <v>0</v>
      </c>
      <c r="I29" s="1216"/>
      <c r="J29" s="1214"/>
      <c r="K29" s="1214"/>
      <c r="L29" s="1214"/>
      <c r="M29" s="1214"/>
      <c r="N29" s="1213"/>
    </row>
    <row r="30" spans="1:18">
      <c r="A30" s="1210"/>
      <c r="B30" s="1211"/>
      <c r="C30" s="1212"/>
      <c r="D30" s="1213"/>
      <c r="E30" s="1210"/>
      <c r="F30" s="1214"/>
      <c r="G30" s="1214"/>
      <c r="H30" s="1215">
        <f t="shared" si="0"/>
        <v>0</v>
      </c>
      <c r="I30" s="1216"/>
      <c r="J30" s="1214"/>
      <c r="K30" s="1214"/>
      <c r="L30" s="1214"/>
      <c r="M30" s="1214"/>
      <c r="N30" s="1213"/>
    </row>
    <row r="31" spans="1:18" ht="13.8" thickBot="1">
      <c r="A31" s="1564"/>
      <c r="B31" s="1565"/>
      <c r="C31" s="1566"/>
      <c r="D31" s="1567"/>
      <c r="E31" s="1564"/>
      <c r="F31" s="1568"/>
      <c r="G31" s="1568"/>
      <c r="H31" s="1569">
        <f t="shared" si="0"/>
        <v>0</v>
      </c>
      <c r="I31" s="1570"/>
      <c r="J31" s="1568"/>
      <c r="K31" s="1568"/>
      <c r="L31" s="1568"/>
      <c r="M31" s="1568"/>
      <c r="N31" s="1567"/>
    </row>
    <row r="32" spans="1:18">
      <c r="A32" s="1206"/>
      <c r="B32" s="1206"/>
      <c r="D32" s="1571" t="s">
        <v>1352</v>
      </c>
      <c r="E32" s="1571">
        <f>SUM(E6:E31)</f>
        <v>53.400000000000006</v>
      </c>
      <c r="F32" s="1571">
        <f>SUM(F6:F31)</f>
        <v>30</v>
      </c>
      <c r="G32" s="1571">
        <f>SUM(G6:G31)</f>
        <v>30</v>
      </c>
      <c r="H32" s="1571">
        <f>SUM(H6:H31)</f>
        <v>17034</v>
      </c>
      <c r="I32" s="1572">
        <f t="shared" ref="I32:N32" si="1">IFERROR(SUMPRODUCT($H$6:$H$31,I6:I31)/$H$32,0)</f>
        <v>0</v>
      </c>
      <c r="J32" s="1572">
        <f t="shared" si="1"/>
        <v>0</v>
      </c>
      <c r="K32" s="1572">
        <f t="shared" si="1"/>
        <v>0</v>
      </c>
      <c r="L32" s="1572">
        <f t="shared" si="1"/>
        <v>0</v>
      </c>
      <c r="M32" s="1572">
        <f t="shared" si="1"/>
        <v>0</v>
      </c>
      <c r="N32" s="1572">
        <f t="shared" si="1"/>
        <v>0</v>
      </c>
    </row>
    <row r="33" spans="1:14">
      <c r="B33" s="1206"/>
      <c r="D33" s="1218"/>
      <c r="E33" s="1218"/>
      <c r="F33" s="1218"/>
      <c r="G33" s="1218"/>
      <c r="H33" s="1573"/>
      <c r="I33" s="1218"/>
      <c r="J33" s="1218"/>
      <c r="K33" s="1218"/>
      <c r="L33" s="1218"/>
      <c r="M33" s="1218"/>
      <c r="N33" s="1219"/>
    </row>
    <row r="34" spans="1:14" ht="13.8" thickBot="1">
      <c r="A34" s="1206"/>
      <c r="B34" s="1206"/>
      <c r="D34" s="1218"/>
      <c r="E34" s="1218"/>
      <c r="F34" s="1219"/>
      <c r="G34" s="1219"/>
      <c r="H34" s="1219"/>
      <c r="I34" s="1219"/>
      <c r="J34" s="1219"/>
      <c r="K34" s="1219"/>
      <c r="L34" s="1219"/>
      <c r="M34" s="1219"/>
      <c r="N34" s="1219"/>
    </row>
    <row r="35" spans="1:14">
      <c r="A35" s="1991" t="s">
        <v>433</v>
      </c>
      <c r="B35" s="1992"/>
      <c r="C35" s="1574"/>
      <c r="D35" s="1218"/>
      <c r="G35" s="1219"/>
      <c r="H35" s="1219"/>
      <c r="I35" s="1219"/>
      <c r="J35" s="1219"/>
      <c r="K35" s="1219"/>
      <c r="L35" s="1219"/>
      <c r="M35" s="1219"/>
      <c r="N35" s="1219"/>
    </row>
    <row r="36" spans="1:14">
      <c r="A36" s="1220" t="s">
        <v>1353</v>
      </c>
      <c r="B36" s="1575">
        <f>'BOOST Pilot Segment'!M33</f>
        <v>0.12540211876753382</v>
      </c>
      <c r="C36" s="1576" t="s">
        <v>1354</v>
      </c>
      <c r="D36" s="1218"/>
      <c r="G36" s="1219"/>
      <c r="H36" s="1219"/>
      <c r="I36" s="1219"/>
      <c r="J36" s="1219"/>
      <c r="K36" s="1219"/>
      <c r="L36" s="1219"/>
      <c r="M36" s="1219"/>
      <c r="N36" s="1219"/>
    </row>
    <row r="37" spans="1:14">
      <c r="A37" s="1220" t="s">
        <v>1355</v>
      </c>
      <c r="B37" s="1573">
        <v>0.129</v>
      </c>
      <c r="C37" s="1576" t="s">
        <v>1356</v>
      </c>
      <c r="D37" s="1218"/>
      <c r="G37" s="1219"/>
      <c r="H37" s="1219"/>
      <c r="I37" s="1219"/>
      <c r="J37" s="1219"/>
      <c r="K37" s="1219"/>
      <c r="L37" s="1219"/>
      <c r="M37" s="1219"/>
      <c r="N37" s="1219"/>
    </row>
    <row r="38" spans="1:14">
      <c r="A38" s="1577" t="s">
        <v>1357</v>
      </c>
      <c r="B38" s="1578">
        <f>F51</f>
        <v>3.9041267753230358E-3</v>
      </c>
      <c r="C38" s="1576"/>
      <c r="D38" s="1218"/>
      <c r="G38" s="1219"/>
      <c r="H38" s="1219"/>
      <c r="I38" s="1219"/>
      <c r="J38" s="1219"/>
      <c r="K38" s="1219"/>
      <c r="L38" s="1219"/>
      <c r="M38" s="1219"/>
      <c r="N38" s="1219"/>
    </row>
    <row r="39" spans="1:14">
      <c r="C39" s="1579"/>
      <c r="D39" s="1218"/>
      <c r="G39" s="1219"/>
      <c r="H39" s="1219"/>
      <c r="I39" s="1219"/>
      <c r="J39" s="1219"/>
      <c r="K39" s="1219"/>
      <c r="L39" s="1219"/>
      <c r="M39" s="1219"/>
      <c r="N39" s="1219"/>
    </row>
    <row r="40" spans="1:14">
      <c r="A40" s="1989" t="s">
        <v>1358</v>
      </c>
      <c r="B40" s="1990"/>
      <c r="C40" s="1221"/>
    </row>
    <row r="41" spans="1:14">
      <c r="A41" s="1220" t="s">
        <v>1359</v>
      </c>
      <c r="B41" s="1218">
        <f>E32</f>
        <v>53.400000000000006</v>
      </c>
      <c r="C41" s="1221"/>
    </row>
    <row r="42" spans="1:14" ht="13.8" thickBot="1">
      <c r="A42" s="1220" t="s">
        <v>1360</v>
      </c>
      <c r="B42" s="1217">
        <v>260</v>
      </c>
      <c r="C42" s="1221"/>
    </row>
    <row r="43" spans="1:14">
      <c r="A43" s="1580" t="s">
        <v>1361</v>
      </c>
      <c r="B43" s="1581">
        <f>B41*B42</f>
        <v>13884.000000000002</v>
      </c>
      <c r="C43" s="1221"/>
      <c r="E43" s="1582" t="s">
        <v>510</v>
      </c>
      <c r="F43" s="1583" t="s">
        <v>1362</v>
      </c>
    </row>
    <row r="44" spans="1:14">
      <c r="A44" s="1220" t="s">
        <v>1363</v>
      </c>
      <c r="B44" s="1218">
        <f>F32</f>
        <v>30</v>
      </c>
      <c r="C44" s="1221"/>
      <c r="E44" s="1584">
        <v>2016</v>
      </c>
      <c r="F44" s="1585">
        <v>58852033</v>
      </c>
    </row>
    <row r="45" spans="1:14">
      <c r="A45" s="1220" t="s">
        <v>1364</v>
      </c>
      <c r="B45" s="1218">
        <v>52</v>
      </c>
      <c r="C45" s="1221"/>
      <c r="E45" s="1584">
        <v>2017</v>
      </c>
      <c r="F45" s="1585">
        <v>58050763</v>
      </c>
    </row>
    <row r="46" spans="1:14">
      <c r="A46" s="1580" t="s">
        <v>1365</v>
      </c>
      <c r="B46" s="1581">
        <f>B44*B45</f>
        <v>1560</v>
      </c>
      <c r="C46" s="1221"/>
      <c r="E46" s="1584">
        <v>2018</v>
      </c>
      <c r="F46" s="1585">
        <v>59555011</v>
      </c>
    </row>
    <row r="47" spans="1:14">
      <c r="A47" s="1220" t="s">
        <v>1366</v>
      </c>
      <c r="B47" s="1218">
        <f>G32</f>
        <v>30</v>
      </c>
      <c r="C47" s="1221"/>
      <c r="E47" s="1584">
        <v>2019</v>
      </c>
      <c r="F47" s="1585">
        <v>59544025</v>
      </c>
    </row>
    <row r="48" spans="1:14">
      <c r="A48" s="1220" t="s">
        <v>1367</v>
      </c>
      <c r="B48" s="1218">
        <v>53</v>
      </c>
      <c r="C48" s="1221"/>
      <c r="E48" s="1584">
        <v>2020</v>
      </c>
      <c r="F48" s="1585">
        <v>45577092</v>
      </c>
    </row>
    <row r="49" spans="1:6">
      <c r="A49" s="1580" t="s">
        <v>1365</v>
      </c>
      <c r="B49" s="1581">
        <f>B47*B48</f>
        <v>1590</v>
      </c>
      <c r="C49" s="1221"/>
      <c r="E49" s="1584">
        <v>2021</v>
      </c>
      <c r="F49" s="1585">
        <v>33384449</v>
      </c>
    </row>
    <row r="50" spans="1:6">
      <c r="A50" s="1586" t="s">
        <v>1368</v>
      </c>
      <c r="B50" s="1587">
        <f>B43+B46+B49</f>
        <v>17034</v>
      </c>
      <c r="C50" s="1221"/>
      <c r="E50" s="1584">
        <v>2022</v>
      </c>
      <c r="F50" s="1585">
        <v>41025814</v>
      </c>
    </row>
    <row r="51" spans="1:6" ht="13.8" thickBot="1">
      <c r="A51" s="1588" t="s">
        <v>1370</v>
      </c>
      <c r="B51" s="1487">
        <f>B50/(B48+B45+B42)</f>
        <v>46.668493150684931</v>
      </c>
      <c r="C51" s="1589"/>
      <c r="E51" s="1590" t="s">
        <v>1369</v>
      </c>
      <c r="F51" s="1591">
        <f>(F47/F44)^(1/(E47-E44))-1</f>
        <v>3.9041267753230358E-3</v>
      </c>
    </row>
    <row r="52" spans="1:6">
      <c r="E52" s="1592" t="s">
        <v>7540</v>
      </c>
      <c r="F52" s="1219"/>
    </row>
    <row r="53" spans="1:6">
      <c r="A53" s="1993" t="s">
        <v>1371</v>
      </c>
      <c r="B53" s="1993"/>
      <c r="C53" s="1993"/>
      <c r="D53" s="1993"/>
    </row>
    <row r="54" spans="1:6" ht="14.4">
      <c r="A54" s="1593" t="s">
        <v>510</v>
      </c>
      <c r="B54" s="1593" t="s">
        <v>66</v>
      </c>
      <c r="C54" s="1593" t="s">
        <v>131</v>
      </c>
      <c r="D54" s="1593" t="s">
        <v>1372</v>
      </c>
    </row>
    <row r="55" spans="1:6" ht="14.4">
      <c r="A55" s="1594">
        <f>'Major Assumption Key'!A19</f>
        <v>2020</v>
      </c>
      <c r="B55" s="1595">
        <f>B50</f>
        <v>17034</v>
      </c>
      <c r="C55" s="1596">
        <f>IF(A55&lt;'Major Assumption Key'!$B$3,B55,IF(A55='Major Assumption Key'!$B$3,B55*($B$37+1),C54*(1+$B$38)))</f>
        <v>17034</v>
      </c>
      <c r="D55" s="1595">
        <f>C55-B55</f>
        <v>0</v>
      </c>
    </row>
    <row r="56" spans="1:6" ht="14.4">
      <c r="A56" s="1594">
        <f>'Major Assumption Key'!A20</f>
        <v>2021</v>
      </c>
      <c r="B56" s="1595">
        <f>B55*(1+$B$38)</f>
        <v>17100.502895490852</v>
      </c>
      <c r="C56" s="1596">
        <f>IF(A56&lt;'Major Assumption Key'!$B$3,B56,IF(A56='Major Assumption Key'!$B$3,B56*($B$37+1),C55*(1+$B$38)))</f>
        <v>17100.502895490852</v>
      </c>
      <c r="D56" s="1595">
        <f t="shared" ref="D56:D87" si="2">C56-B56</f>
        <v>0</v>
      </c>
    </row>
    <row r="57" spans="1:6" ht="14.4">
      <c r="A57" s="1594">
        <f>'Major Assumption Key'!A21</f>
        <v>2022</v>
      </c>
      <c r="B57" s="1595">
        <f t="shared" ref="B57:B95" si="3">B56*(1+$B$38)</f>
        <v>17167.265426716625</v>
      </c>
      <c r="C57" s="1596">
        <f>IF(A57&lt;'Major Assumption Key'!$B$3,B57,IF(A57='Major Assumption Key'!$B$3,B57*($B$37+1),C56*(1+$B$38)))</f>
        <v>17167.265426716625</v>
      </c>
      <c r="D57" s="1595">
        <f t="shared" si="2"/>
        <v>0</v>
      </c>
    </row>
    <row r="58" spans="1:6" ht="14.4">
      <c r="A58" s="1594">
        <f>'Major Assumption Key'!A22</f>
        <v>2023</v>
      </c>
      <c r="B58" s="1595">
        <f t="shared" si="3"/>
        <v>17234.288607328148</v>
      </c>
      <c r="C58" s="1596">
        <f>IF(A58&lt;'Major Assumption Key'!$B$3,B58,IF(A58='Major Assumption Key'!$B$3,B58*($B$37+1),C57*(1+$B$38)))</f>
        <v>17234.288607328148</v>
      </c>
      <c r="D58" s="1595">
        <f t="shared" si="2"/>
        <v>0</v>
      </c>
    </row>
    <row r="59" spans="1:6" ht="14.4">
      <c r="A59" s="1594">
        <f>'Major Assumption Key'!A23</f>
        <v>2024</v>
      </c>
      <c r="B59" s="1595">
        <f t="shared" si="3"/>
        <v>17301.573454933663</v>
      </c>
      <c r="C59" s="1596">
        <f>IF(A59&lt;'Major Assumption Key'!$B$3,B59,IF(A59='Major Assumption Key'!$B$3,B59*($B$37+1),C58*(1+$B$38)))</f>
        <v>17301.573454933663</v>
      </c>
      <c r="D59" s="1595">
        <f t="shared" si="2"/>
        <v>0</v>
      </c>
    </row>
    <row r="60" spans="1:6" ht="14.4">
      <c r="A60" s="1594">
        <f>'Major Assumption Key'!A24</f>
        <v>2025</v>
      </c>
      <c r="B60" s="1595">
        <f t="shared" si="3"/>
        <v>17369.120991114287</v>
      </c>
      <c r="C60" s="1596">
        <f>IF(A60&lt;'Major Assumption Key'!$B$3,B60,IF(A60='Major Assumption Key'!$B$3,B60*($B$37+1),C59*(1+$B$38)))</f>
        <v>17369.120991114287</v>
      </c>
      <c r="D60" s="1595">
        <f t="shared" si="2"/>
        <v>0</v>
      </c>
    </row>
    <row r="61" spans="1:6" ht="14.4">
      <c r="A61" s="1594">
        <f>'Major Assumption Key'!A25</f>
        <v>2026</v>
      </c>
      <c r="B61" s="1595">
        <f t="shared" si="3"/>
        <v>17436.932241439521</v>
      </c>
      <c r="C61" s="1596">
        <f>IF(A61&lt;'Major Assumption Key'!$B$3,B61,IF(A61='Major Assumption Key'!$B$3,B61*($B$37+1),C60*(1+$B$38)))</f>
        <v>17436.932241439521</v>
      </c>
      <c r="D61" s="1595">
        <f t="shared" si="2"/>
        <v>0</v>
      </c>
    </row>
    <row r="62" spans="1:6" ht="14.4">
      <c r="A62" s="1594">
        <f>'Major Assumption Key'!A26</f>
        <v>2027</v>
      </c>
      <c r="B62" s="1595">
        <f t="shared" si="3"/>
        <v>17505.008235482819</v>
      </c>
      <c r="C62" s="1596">
        <f>IF(A62&lt;'Major Assumption Key'!$B$3,B62,IF(A62='Major Assumption Key'!$B$3,B62*($B$37+1),C61*(1+$B$38)))</f>
        <v>17505.008235482819</v>
      </c>
      <c r="D62" s="1595">
        <f t="shared" si="2"/>
        <v>0</v>
      </c>
    </row>
    <row r="63" spans="1:6" ht="14.4">
      <c r="A63" s="1594">
        <f>'Major Assumption Key'!A27</f>
        <v>2028</v>
      </c>
      <c r="B63" s="1595">
        <f t="shared" si="3"/>
        <v>17573.35000683722</v>
      </c>
      <c r="C63" s="1596">
        <f>IF(A63&lt;'Major Assumption Key'!$B$3,B63,IF(A63='Major Assumption Key'!$B$3,B63*($B$37+1),C62*(1+$B$38)))</f>
        <v>19840.312157719221</v>
      </c>
      <c r="D63" s="1595">
        <f t="shared" si="2"/>
        <v>2266.9621508820019</v>
      </c>
    </row>
    <row r="64" spans="1:6" ht="14.4">
      <c r="A64" s="1594">
        <f>'Major Assumption Key'!A28</f>
        <v>2029</v>
      </c>
      <c r="B64" s="1595">
        <f t="shared" si="3"/>
        <v>17641.958593131036</v>
      </c>
      <c r="C64" s="1596">
        <f>IF(A64&lt;'Major Assumption Key'!$B$3,B64,IF(A64='Major Assumption Key'!$B$3,B64*($B$37+1),C63*(1+$B$38)))</f>
        <v>19917.771251644939</v>
      </c>
      <c r="D64" s="1595">
        <f t="shared" si="2"/>
        <v>2275.8126585139034</v>
      </c>
    </row>
    <row r="65" spans="1:4" ht="14.4">
      <c r="A65" s="1594">
        <f>'Major Assumption Key'!A29</f>
        <v>2030</v>
      </c>
      <c r="B65" s="1595">
        <f t="shared" si="3"/>
        <v>17710.83503604362</v>
      </c>
      <c r="C65" s="1596">
        <f>IF(A65&lt;'Major Assumption Key'!$B$3,B65,IF(A65='Major Assumption Key'!$B$3,B65*($B$37+1),C64*(1+$B$38)))</f>
        <v>19995.532755693246</v>
      </c>
      <c r="D65" s="1595">
        <f>C65-B65</f>
        <v>2284.6977196496264</v>
      </c>
    </row>
    <row r="66" spans="1:4" ht="14.4">
      <c r="A66" s="1594">
        <f>'Major Assumption Key'!A30</f>
        <v>2031</v>
      </c>
      <c r="B66" s="1595">
        <f t="shared" si="3"/>
        <v>17779.980381321166</v>
      </c>
      <c r="C66" s="1596">
        <f>IF(A66&lt;'Major Assumption Key'!$B$3,B66,IF(A66='Major Assumption Key'!$B$3,B66*($B$37+1),C65*(1+$B$38)))</f>
        <v>20073.597850511596</v>
      </c>
      <c r="D66" s="1595">
        <f t="shared" si="2"/>
        <v>2293.6174691904307</v>
      </c>
    </row>
    <row r="67" spans="1:4" ht="14.4">
      <c r="A67" s="1594">
        <f>'Major Assumption Key'!A31</f>
        <v>2032</v>
      </c>
      <c r="B67" s="1595">
        <f t="shared" si="3"/>
        <v>17849.3956787926</v>
      </c>
      <c r="C67" s="1596">
        <f>IF(A67&lt;'Major Assumption Key'!$B$3,B67,IF(A67='Major Assumption Key'!$B$3,B67*($B$37+1),C66*(1+$B$38)))</f>
        <v>20151.967721356847</v>
      </c>
      <c r="D67" s="1595">
        <f t="shared" si="2"/>
        <v>2302.5720425642467</v>
      </c>
    </row>
    <row r="68" spans="1:4" ht="14.4">
      <c r="A68" s="1594">
        <f>'Major Assumption Key'!A32</f>
        <v>2033</v>
      </c>
      <c r="B68" s="1595">
        <f t="shared" si="3"/>
        <v>17919.081982385509</v>
      </c>
      <c r="C68" s="1596">
        <f>IF(A68&lt;'Major Assumption Key'!$B$3,B68,IF(A68='Major Assumption Key'!$B$3,B68*($B$37+1),C67*(1+$B$38)))</f>
        <v>20230.643558113243</v>
      </c>
      <c r="D68" s="1595">
        <f t="shared" si="2"/>
        <v>2311.5615757277337</v>
      </c>
    </row>
    <row r="69" spans="1:4" ht="14.4">
      <c r="A69" s="1594">
        <f>'Major Assumption Key'!A33</f>
        <v>2034</v>
      </c>
      <c r="B69" s="1595">
        <f t="shared" si="3"/>
        <v>17989.04035014215</v>
      </c>
      <c r="C69" s="1596">
        <f>IF(A69&lt;'Major Assumption Key'!$B$3,B69,IF(A69='Major Assumption Key'!$B$3,B69*($B$37+1),C68*(1+$B$38)))</f>
        <v>20309.626555310489</v>
      </c>
      <c r="D69" s="1595">
        <f t="shared" si="2"/>
        <v>2320.5862051683398</v>
      </c>
    </row>
    <row r="70" spans="1:4" ht="14.4">
      <c r="A70" s="1594">
        <f>'Major Assumption Key'!A34</f>
        <v>2035</v>
      </c>
      <c r="B70" s="1595">
        <f t="shared" si="3"/>
        <v>18059.271844235507</v>
      </c>
      <c r="C70" s="1596">
        <f>IF(A70&lt;'Major Assumption Key'!$B$3,B70,IF(A70='Major Assumption Key'!$B$3,B70*($B$37+1),C69*(1+$B$38)))</f>
        <v>20388.917912141889</v>
      </c>
      <c r="D70" s="1595">
        <f t="shared" si="2"/>
        <v>2329.6460679063821</v>
      </c>
    </row>
    <row r="71" spans="1:4" ht="14.4">
      <c r="A71" s="1594">
        <f>'Major Assumption Key'!A35</f>
        <v>2036</v>
      </c>
      <c r="B71" s="1595">
        <f t="shared" si="3"/>
        <v>18129.777530985426</v>
      </c>
      <c r="C71" s="1596">
        <f>IF(A71&lt;'Major Assumption Key'!$B$3,B71,IF(A71='Major Assumption Key'!$B$3,B71*($B$37+1),C70*(1+$B$38)))</f>
        <v>20468.518832482547</v>
      </c>
      <c r="D71" s="1595">
        <f t="shared" si="2"/>
        <v>2338.7413014971207</v>
      </c>
    </row>
    <row r="72" spans="1:4" ht="14.4">
      <c r="A72" s="1594">
        <f>'Major Assumption Key'!A36</f>
        <v>2037</v>
      </c>
      <c r="B72" s="1595">
        <f t="shared" si="3"/>
        <v>18200.558480874795</v>
      </c>
      <c r="C72" s="1596">
        <f>IF(A72&lt;'Major Assumption Key'!$B$3,B72,IF(A72='Major Assumption Key'!$B$3,B72*($B$37+1),C71*(1+$B$38)))</f>
        <v>20548.430524907646</v>
      </c>
      <c r="D72" s="1595">
        <f t="shared" si="2"/>
        <v>2347.8720440328507</v>
      </c>
    </row>
    <row r="73" spans="1:4" ht="14.4">
      <c r="A73" s="1594">
        <f>'Major Assumption Key'!A37</f>
        <v>2038</v>
      </c>
      <c r="B73" s="1595">
        <f t="shared" si="3"/>
        <v>18271.615768565811</v>
      </c>
      <c r="C73" s="1596">
        <f>IF(A73&lt;'Major Assumption Key'!$B$3,B73,IF(A73='Major Assumption Key'!$B$3,B73*($B$37+1),C72*(1+$B$38)))</f>
        <v>20628.654202710804</v>
      </c>
      <c r="D73" s="1595">
        <f t="shared" si="2"/>
        <v>2357.0384341449935</v>
      </c>
    </row>
    <row r="74" spans="1:4" ht="14.4">
      <c r="A74" s="1594">
        <f>'Major Assumption Key'!A38</f>
        <v>2039</v>
      </c>
      <c r="B74" s="1595">
        <f t="shared" si="3"/>
        <v>18342.950472916284</v>
      </c>
      <c r="C74" s="1596">
        <f>IF(A74&lt;'Major Assumption Key'!$B$3,B74,IF(A74='Major Assumption Key'!$B$3,B74*($B$37+1),C73*(1+$B$38)))</f>
        <v>20709.191083922487</v>
      </c>
      <c r="D74" s="1595">
        <f t="shared" si="2"/>
        <v>2366.2406110062038</v>
      </c>
    </row>
    <row r="75" spans="1:4" ht="14.4">
      <c r="A75" s="1594">
        <f>'Major Assumption Key'!A39</f>
        <v>2040</v>
      </c>
      <c r="B75" s="1595">
        <f t="shared" si="3"/>
        <v>18414.563676996022</v>
      </c>
      <c r="C75" s="1596">
        <f>IF(A75&lt;'Major Assumption Key'!$B$3,B75,IF(A75='Major Assumption Key'!$B$3,B75*($B$37+1),C74*(1+$B$38)))</f>
        <v>20790.042391328509</v>
      </c>
      <c r="D75" s="1595">
        <f t="shared" si="2"/>
        <v>2375.4787143324866</v>
      </c>
    </row>
    <row r="76" spans="1:4" ht="14.4">
      <c r="A76" s="1594">
        <f>'Major Assumption Key'!A40</f>
        <v>2041</v>
      </c>
      <c r="B76" s="1595">
        <f t="shared" si="3"/>
        <v>18486.456468103272</v>
      </c>
      <c r="C76" s="1596">
        <f>IF(A76&lt;'Major Assumption Key'!$B$3,B76,IF(A76='Major Assumption Key'!$B$3,B76*($B$37+1),C75*(1+$B$38)))</f>
        <v>20871.209352488597</v>
      </c>
      <c r="D76" s="1595">
        <f t="shared" si="2"/>
        <v>2384.7528843853252</v>
      </c>
    </row>
    <row r="77" spans="1:4" ht="14.4">
      <c r="A77" s="1594">
        <f>'Major Assumption Key'!A41</f>
        <v>2042</v>
      </c>
      <c r="B77" s="1595">
        <f t="shared" si="3"/>
        <v>18558.629937781236</v>
      </c>
      <c r="C77" s="1596">
        <f>IF(A77&lt;'Major Assumption Key'!$B$3,B77,IF(A77='Major Assumption Key'!$B$3,B77*($B$37+1),C76*(1+$B$38)))</f>
        <v>20952.69319975502</v>
      </c>
      <c r="D77" s="1595">
        <f t="shared" si="2"/>
        <v>2394.0632619737844</v>
      </c>
    </row>
    <row r="78" spans="1:4" ht="14.4">
      <c r="A78" s="1594">
        <f>'Major Assumption Key'!A42</f>
        <v>2043</v>
      </c>
      <c r="B78" s="1595">
        <f t="shared" si="3"/>
        <v>18631.085181834638</v>
      </c>
      <c r="C78" s="1596">
        <f>IF(A78&lt;'Major Assumption Key'!$B$3,B78,IF(A78='Major Assumption Key'!$B$3,B78*($B$37+1),C77*(1+$B$38)))</f>
        <v>21034.495170291313</v>
      </c>
      <c r="D78" s="1595">
        <f t="shared" si="2"/>
        <v>2403.4099884566749</v>
      </c>
    </row>
    <row r="79" spans="1:4" ht="14.4">
      <c r="A79" s="1594">
        <f>'Major Assumption Key'!A43</f>
        <v>2044</v>
      </c>
      <c r="B79" s="1595">
        <f t="shared" si="3"/>
        <v>18703.823300346365</v>
      </c>
      <c r="C79" s="1596">
        <f>IF(A79&lt;'Major Assumption Key'!$B$3,B79,IF(A79='Major Assumption Key'!$B$3,B79*($B$37+1),C78*(1+$B$38)))</f>
        <v>21116.61650609105</v>
      </c>
      <c r="D79" s="1595">
        <f t="shared" si="2"/>
        <v>2412.7932057446851</v>
      </c>
    </row>
    <row r="80" spans="1:4" ht="14.4">
      <c r="A80" s="1594">
        <f>'Major Assumption Key'!A44</f>
        <v>2045</v>
      </c>
      <c r="B80" s="1595">
        <f t="shared" si="3"/>
        <v>18776.845397694156</v>
      </c>
      <c r="C80" s="1596">
        <f>IF(A80&lt;'Major Assumption Key'!$B$3,B80,IF(A80='Major Assumption Key'!$B$3,B80*($B$37+1),C79*(1+$B$38)))</f>
        <v>21199.058453996709</v>
      </c>
      <c r="D80" s="1595">
        <f t="shared" si="2"/>
        <v>2422.213056302553</v>
      </c>
    </row>
    <row r="81" spans="1:4" ht="14.4">
      <c r="A81" s="1594">
        <f>'Major Assumption Key'!A45</f>
        <v>2046</v>
      </c>
      <c r="B81" s="1595">
        <f t="shared" si="3"/>
        <v>18850.152582567396</v>
      </c>
      <c r="C81" s="1596">
        <f>IF(A81&lt;'Major Assumption Key'!$B$3,B81,IF(A81='Major Assumption Key'!$B$3,B81*($B$37+1),C80*(1+$B$38)))</f>
        <v>21281.822265718598</v>
      </c>
      <c r="D81" s="1595">
        <f t="shared" si="2"/>
        <v>2431.6696831512018</v>
      </c>
    </row>
    <row r="82" spans="1:4" ht="14.4">
      <c r="A82" s="1594">
        <f>'Major Assumption Key'!A46</f>
        <v>2047</v>
      </c>
      <c r="B82" s="1595">
        <f t="shared" si="3"/>
        <v>18923.745967983923</v>
      </c>
      <c r="C82" s="1596">
        <f>IF(A82&lt;'Major Assumption Key'!$B$3,B82,IF(A82='Major Assumption Key'!$B$3,B82*($B$37+1),C81*(1+$B$38)))</f>
        <v>21364.909197853856</v>
      </c>
      <c r="D82" s="1595">
        <f t="shared" si="2"/>
        <v>2441.1632298699333</v>
      </c>
    </row>
    <row r="83" spans="1:4" ht="14.4">
      <c r="A83" s="1594">
        <f>'Major Assumption Key'!A47</f>
        <v>2048</v>
      </c>
      <c r="B83" s="1595">
        <f t="shared" si="3"/>
        <v>18997.626671306942</v>
      </c>
      <c r="C83" s="1596">
        <f>IF(A83&lt;'Major Assumption Key'!$B$3,B83,IF(A83='Major Assumption Key'!$B$3,B83*($B$37+1),C82*(1+$B$38)))</f>
        <v>21448.320511905542</v>
      </c>
      <c r="D83" s="1595">
        <f t="shared" si="2"/>
        <v>2450.6938405986002</v>
      </c>
    </row>
    <row r="84" spans="1:4" ht="14.4">
      <c r="A84" s="1594">
        <f>'Major Assumption Key'!A48</f>
        <v>2049</v>
      </c>
      <c r="B84" s="1595">
        <f t="shared" si="3"/>
        <v>19071.795814261983</v>
      </c>
      <c r="C84" s="1596">
        <f>IF(A84&lt;'Major Assumption Key'!$B$3,B84,IF(A84='Major Assumption Key'!$B$3,B84*($B$37+1),C83*(1+$B$38)))</f>
        <v>21532.057474301782</v>
      </c>
      <c r="D84" s="1595">
        <f t="shared" si="2"/>
        <v>2460.2616600397996</v>
      </c>
    </row>
    <row r="85" spans="1:4" ht="14.4">
      <c r="A85" s="1594">
        <f>'Major Assumption Key'!A49</f>
        <v>2050</v>
      </c>
      <c r="B85" s="1595">
        <f t="shared" si="3"/>
        <v>19146.254522953936</v>
      </c>
      <c r="C85" s="1596">
        <f>IF(A85&lt;'Major Assumption Key'!$B$3,B85,IF(A85='Major Assumption Key'!$B$3,B85*($B$37+1),C84*(1+$B$38)))</f>
        <v>21616.121356414998</v>
      </c>
      <c r="D85" s="1595">
        <f t="shared" si="2"/>
        <v>2469.8668334610629</v>
      </c>
    </row>
    <row r="86" spans="1:4" ht="14.4">
      <c r="A86" s="1594">
        <f>'Major Assumption Key'!A50</f>
        <v>2051</v>
      </c>
      <c r="B86" s="1595">
        <f t="shared" si="3"/>
        <v>19221.00392788415</v>
      </c>
      <c r="C86" s="1596">
        <f>IF(A86&lt;'Major Assumption Key'!$B$3,B86,IF(A86='Major Assumption Key'!$B$3,B86*($B$37+1),C85*(1+$B$38)))</f>
        <v>21700.513434581211</v>
      </c>
      <c r="D86" s="1595">
        <f t="shared" si="2"/>
        <v>2479.5095066970607</v>
      </c>
    </row>
    <row r="87" spans="1:4" ht="14.4">
      <c r="A87" s="1594">
        <f>'Major Assumption Key'!A51</f>
        <v>2052</v>
      </c>
      <c r="B87" s="1595">
        <f t="shared" si="3"/>
        <v>19296.045163967592</v>
      </c>
      <c r="C87" s="1596">
        <f>IF(A87&lt;'Major Assumption Key'!$B$3,B87,IF(A87='Major Assumption Key'!$B$3,B87*($B$37+1),C86*(1+$B$38)))</f>
        <v>21785.234990119417</v>
      </c>
      <c r="D87" s="1595">
        <f t="shared" si="2"/>
        <v>2489.1898261518254</v>
      </c>
    </row>
    <row r="88" spans="1:4" ht="14.4">
      <c r="A88" s="1594">
        <f>'Major Assumption Key'!A52</f>
        <v>2053</v>
      </c>
      <c r="B88" s="1595">
        <f t="shared" si="3"/>
        <v>19371.379370550079</v>
      </c>
      <c r="C88" s="1596">
        <f>IF(A88&lt;'Major Assumption Key'!$B$3,B88,IF(A88='Major Assumption Key'!$B$3,B88*($B$37+1),C87*(1+$B$38)))</f>
        <v>21870.287309351046</v>
      </c>
      <c r="D88" s="1595">
        <f t="shared" ref="D88:D95" si="4">C88-B88</f>
        <v>2498.9079388009668</v>
      </c>
    </row>
    <row r="89" spans="1:4" ht="14.4">
      <c r="A89" s="1594">
        <f>'Major Assumption Key'!A53</f>
        <v>2054</v>
      </c>
      <c r="B89" s="1595">
        <f t="shared" si="3"/>
        <v>19447.007691425584</v>
      </c>
      <c r="C89" s="1596">
        <f>IF(A89&lt;'Major Assumption Key'!$B$3,B89,IF(A89='Major Assumption Key'!$B$3,B89*($B$37+1),C88*(1+$B$38)))</f>
        <v>21955.67168361949</v>
      </c>
      <c r="D89" s="1595">
        <f t="shared" si="4"/>
        <v>2508.6639921939059</v>
      </c>
    </row>
    <row r="90" spans="1:4" ht="14.4">
      <c r="A90" s="1594">
        <f>'Major Assumption Key'!A54</f>
        <v>2055</v>
      </c>
      <c r="B90" s="1595">
        <f t="shared" si="3"/>
        <v>19522.931274853592</v>
      </c>
      <c r="C90" s="1596">
        <f>IF(A90&lt;'Major Assumption Key'!$B$3,B90,IF(A90='Major Assumption Key'!$B$3,B90*($B$37+1),C89*(1+$B$38)))</f>
        <v>22041.389409309711</v>
      </c>
      <c r="D90" s="1595">
        <f t="shared" si="4"/>
        <v>2518.4581344561193</v>
      </c>
    </row>
    <row r="91" spans="1:4" ht="14.4">
      <c r="A91" s="1594">
        <f>'Major Assumption Key'!A55</f>
        <v>2056</v>
      </c>
      <c r="B91" s="1595">
        <f t="shared" si="3"/>
        <v>19599.151273576539</v>
      </c>
      <c r="C91" s="1596">
        <f>IF(A91&lt;'Major Assumption Key'!$B$3,B91,IF(A91='Major Assumption Key'!$B$3,B91*($B$37+1),C90*(1+$B$38)))</f>
        <v>22127.44178786792</v>
      </c>
      <c r="D91" s="1595">
        <f t="shared" si="4"/>
        <v>2528.2905142913805</v>
      </c>
    </row>
    <row r="92" spans="1:4" ht="14.4">
      <c r="A92" s="1594">
        <f>'Major Assumption Key'!A56</f>
        <v>2057</v>
      </c>
      <c r="B92" s="1595">
        <f t="shared" si="3"/>
        <v>19675.668844837317</v>
      </c>
      <c r="C92" s="1596">
        <f>IF(A92&lt;'Major Assumption Key'!$B$3,B92,IF(A92='Major Assumption Key'!$B$3,B92*($B$37+1),C91*(1+$B$38)))</f>
        <v>22213.830125821336</v>
      </c>
      <c r="D92" s="1595">
        <f t="shared" si="4"/>
        <v>2538.161280984019</v>
      </c>
    </row>
    <row r="93" spans="1:4" ht="14.4">
      <c r="A93" s="1594">
        <f>'Major Assumption Key'!A57</f>
        <v>2058</v>
      </c>
      <c r="B93" s="1595">
        <f t="shared" si="3"/>
        <v>19752.485150396835</v>
      </c>
      <c r="C93" s="1596">
        <f>IF(A93&lt;'Major Assumption Key'!$B$3,B93,IF(A93='Major Assumption Key'!$B$3,B93*($B$37+1),C92*(1+$B$38)))</f>
        <v>22300.555734798032</v>
      </c>
      <c r="D93" s="1595">
        <f t="shared" si="4"/>
        <v>2548.0705844011973</v>
      </c>
    </row>
    <row r="94" spans="1:4" ht="14.4">
      <c r="A94" s="1594">
        <f>'Major Assumption Key'!A58</f>
        <v>2059</v>
      </c>
      <c r="B94" s="1595">
        <f t="shared" si="3"/>
        <v>19829.60135655167</v>
      </c>
      <c r="C94" s="1596">
        <f>IF(A94&lt;'Major Assumption Key'!$B$3,B94,IF(A94='Major Assumption Key'!$B$3,B94*($B$37+1),C93*(1+$B$38)))</f>
        <v>22387.61993154684</v>
      </c>
      <c r="D94" s="1595">
        <f t="shared" si="4"/>
        <v>2558.0185749951706</v>
      </c>
    </row>
    <row r="95" spans="1:4" ht="14.4">
      <c r="A95" s="1594">
        <f>'Major Assumption Key'!A59</f>
        <v>2060</v>
      </c>
      <c r="B95" s="1595">
        <f t="shared" si="3"/>
        <v>19907.018634151766</v>
      </c>
      <c r="C95" s="1596">
        <f>IF(A95&lt;'Major Assumption Key'!$B$3,B95,IF(A95='Major Assumption Key'!$B$3,B95*($B$37+1),C94*(1+$B$38)))</f>
        <v>22475.024037957348</v>
      </c>
      <c r="D95" s="1595">
        <f t="shared" si="4"/>
        <v>2568.0054038055823</v>
      </c>
    </row>
  </sheetData>
  <sheetProtection algorithmName="SHA-512" hashValue="V6Yr0sKDE1RJ+TIdbWSXw0uVDLIQ05F0K0wrSZtpNZtEXc1Ta/BZQcWxsvIh8JlZTJX7uDK5f+u/ECvZXXaX/A==" saltValue="LxC85LjgZYEdeMWqQa+Vdw==" spinCount="100000" sheet="1" objects="1" scenarios="1"/>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21875" bestFit="1" customWidth="1"/>
  </cols>
  <sheetData>
    <row r="1" spans="1:11" ht="14.4">
      <c r="A1" s="272" t="s">
        <v>546</v>
      </c>
      <c r="B1" s="1949" t="s">
        <v>1373</v>
      </c>
      <c r="C1" s="1949"/>
      <c r="D1" s="1949"/>
      <c r="E1" s="1949"/>
      <c r="F1" s="1949"/>
      <c r="G1" s="1949"/>
      <c r="H1" s="1949"/>
      <c r="I1" s="1949"/>
      <c r="J1" s="33" t="s">
        <v>187</v>
      </c>
      <c r="K1" s="45" t="str">
        <f>HYPERLINK("#'"&amp;INDEX('Master Key'!$B:$B,MATCH("Master Key",'Master Key'!$B:$B,0),1)&amp;"'!A1","Go To Sheet")</f>
        <v>Go To Sheet</v>
      </c>
    </row>
  </sheetData>
  <mergeCells count="1">
    <mergeCell ref="B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S196"/>
  <sheetViews>
    <sheetView workbookViewId="0">
      <selection activeCell="B11" sqref="B11"/>
    </sheetView>
  </sheetViews>
  <sheetFormatPr defaultColWidth="8.77734375" defaultRowHeight="13.2"/>
  <cols>
    <col min="1" max="1" width="52" style="1013" bestFit="1" customWidth="1"/>
    <col min="2" max="2" width="32" style="1013" bestFit="1" customWidth="1"/>
    <col min="3" max="3" width="36" style="1013" customWidth="1"/>
    <col min="4" max="4" width="12.77734375" style="1013" customWidth="1"/>
    <col min="5" max="5" width="8.77734375" style="1013"/>
    <col min="6" max="6" width="24.44140625" style="1013" bestFit="1" customWidth="1"/>
    <col min="7" max="7" width="11.44140625" style="1013" bestFit="1" customWidth="1"/>
    <col min="8" max="8" width="8.5546875" style="1013" hidden="1" customWidth="1"/>
    <col min="9" max="9" width="0" style="1013" hidden="1" customWidth="1"/>
    <col min="10" max="10" width="14.77734375" style="1013" hidden="1" customWidth="1"/>
    <col min="11" max="11" width="14.5546875" style="1013" hidden="1" customWidth="1"/>
    <col min="12" max="12" width="12.77734375" style="1013" hidden="1" customWidth="1"/>
    <col min="13" max="13" width="25.77734375" style="1013" hidden="1" customWidth="1"/>
    <col min="14" max="14" width="13.5546875" style="1013" hidden="1" customWidth="1"/>
    <col min="15" max="15" width="12.21875" style="1013" hidden="1" customWidth="1"/>
    <col min="16" max="16" width="12" style="1013" hidden="1" customWidth="1"/>
    <col min="17" max="17" width="0" style="1013" hidden="1" customWidth="1"/>
    <col min="18" max="18" width="21.5546875" style="1013" hidden="1" customWidth="1"/>
    <col min="19" max="19" width="13.21875" style="1013" hidden="1" customWidth="1"/>
    <col min="20" max="20" width="19.5546875" style="1013" bestFit="1" customWidth="1"/>
    <col min="21" max="16384" width="8.77734375" style="1013"/>
  </cols>
  <sheetData>
    <row r="1" spans="1:19" ht="14.4">
      <c r="A1" s="1009" t="s">
        <v>185</v>
      </c>
      <c r="B1" s="1143" t="s">
        <v>186</v>
      </c>
      <c r="C1" s="1172"/>
      <c r="D1" s="1172"/>
      <c r="E1" s="1172"/>
      <c r="F1" s="1305"/>
      <c r="G1" s="1416"/>
      <c r="H1" s="1145"/>
    </row>
    <row r="2" spans="1:19" ht="14.4">
      <c r="A2" s="1417"/>
      <c r="B2" s="1418"/>
      <c r="C2" s="1173"/>
      <c r="D2" s="1173"/>
      <c r="E2" s="1173"/>
      <c r="F2" s="1305"/>
      <c r="G2" s="1419"/>
      <c r="H2" s="1145"/>
    </row>
    <row r="3" spans="1:19" ht="14.4">
      <c r="A3" s="1420" t="s">
        <v>188</v>
      </c>
      <c r="B3" s="1302">
        <v>2028</v>
      </c>
      <c r="C3" s="1195"/>
      <c r="H3" s="1145" t="s">
        <v>7541</v>
      </c>
      <c r="I3" s="1145" t="s">
        <v>7542</v>
      </c>
      <c r="J3" s="1013" t="s">
        <v>7543</v>
      </c>
      <c r="K3" s="1013" t="s">
        <v>7544</v>
      </c>
      <c r="L3" s="1013" t="s">
        <v>7545</v>
      </c>
      <c r="M3" s="1013" t="s">
        <v>7548</v>
      </c>
      <c r="N3" s="1013" t="s">
        <v>7549</v>
      </c>
      <c r="O3" s="1013" t="s">
        <v>7550</v>
      </c>
      <c r="P3" s="1013" t="s">
        <v>7551</v>
      </c>
      <c r="Q3" s="1013" t="s">
        <v>7546</v>
      </c>
      <c r="R3" s="1013" t="s">
        <v>7547</v>
      </c>
      <c r="S3" s="1013" t="s">
        <v>7552</v>
      </c>
    </row>
    <row r="4" spans="1:19" ht="14.4">
      <c r="A4" s="1420" t="s">
        <v>189</v>
      </c>
      <c r="B4" s="1302">
        <v>2022</v>
      </c>
      <c r="C4" s="1195"/>
      <c r="H4" s="1145">
        <v>2022</v>
      </c>
      <c r="I4" s="1145">
        <v>10818</v>
      </c>
      <c r="J4" s="1013">
        <v>3.2</v>
      </c>
      <c r="K4" s="1013">
        <v>1.8</v>
      </c>
      <c r="L4" s="1013">
        <v>346</v>
      </c>
      <c r="M4" s="1013">
        <v>2042</v>
      </c>
      <c r="N4" s="1013">
        <v>15145</v>
      </c>
      <c r="O4" s="1013">
        <v>1.4</v>
      </c>
      <c r="P4" s="1013">
        <v>4327</v>
      </c>
      <c r="Q4" s="1013">
        <v>6.8160999999999999E-2</v>
      </c>
      <c r="R4" s="1421">
        <f>SUMPRODUCT($J$4:$J$10,$Q$4:$Q$10)/SUM($Q$4:$Q$10)</f>
        <v>3.1469138466308313</v>
      </c>
      <c r="S4" s="1421">
        <f>SUMPRODUCT(O4:O10,Q4:Q10)/SUM(Q4:Q10)</f>
        <v>1.4738604988289712</v>
      </c>
    </row>
    <row r="5" spans="1:19" ht="14.4">
      <c r="A5" s="1195" t="s">
        <v>190</v>
      </c>
      <c r="B5" s="1302">
        <v>20</v>
      </c>
      <c r="C5" s="1195"/>
      <c r="H5" s="1145">
        <v>2022</v>
      </c>
      <c r="I5" s="1145">
        <v>4248</v>
      </c>
      <c r="J5" s="1013">
        <v>3.2</v>
      </c>
      <c r="K5" s="1013">
        <v>1.8</v>
      </c>
      <c r="L5" s="1013">
        <v>135</v>
      </c>
      <c r="M5" s="1013">
        <v>2042</v>
      </c>
      <c r="N5" s="1013">
        <v>5947</v>
      </c>
      <c r="O5" s="1013">
        <v>1.4</v>
      </c>
      <c r="P5" s="1013">
        <v>1699</v>
      </c>
      <c r="Q5" s="1013">
        <v>5.6618000000000002E-2</v>
      </c>
    </row>
    <row r="6" spans="1:19" ht="14.4">
      <c r="A6" s="1195" t="s">
        <v>191</v>
      </c>
      <c r="B6" s="1303">
        <f>B3+B5-1</f>
        <v>2047</v>
      </c>
      <c r="C6" s="1195"/>
      <c r="H6" s="1145">
        <v>2022</v>
      </c>
      <c r="I6" s="1145">
        <v>3532</v>
      </c>
      <c r="J6" s="1013">
        <v>3.2</v>
      </c>
      <c r="K6" s="1013">
        <v>1.8</v>
      </c>
      <c r="L6" s="1013">
        <v>113</v>
      </c>
      <c r="M6" s="1013">
        <v>2042</v>
      </c>
      <c r="N6" s="1013">
        <v>378</v>
      </c>
      <c r="O6" s="1013">
        <v>1.5</v>
      </c>
      <c r="P6" s="1013">
        <v>126</v>
      </c>
      <c r="Q6" s="1013">
        <v>9.9364999999999995E-2</v>
      </c>
    </row>
    <row r="7" spans="1:19" ht="14.4">
      <c r="A7" s="1195" t="s">
        <v>192</v>
      </c>
      <c r="B7" s="1303">
        <v>2022</v>
      </c>
      <c r="C7" s="1195" t="s">
        <v>193</v>
      </c>
      <c r="E7" s="1423"/>
      <c r="F7" s="1423"/>
      <c r="G7" s="1423"/>
      <c r="H7" s="1145">
        <v>2022</v>
      </c>
      <c r="I7" s="1145">
        <v>642</v>
      </c>
      <c r="J7" s="1013">
        <v>3.2</v>
      </c>
      <c r="K7" s="1013">
        <v>1.8</v>
      </c>
      <c r="L7" s="1013">
        <v>21</v>
      </c>
      <c r="M7" s="1013">
        <v>2042</v>
      </c>
      <c r="N7" s="1013">
        <v>378</v>
      </c>
      <c r="O7" s="1013">
        <v>1.5</v>
      </c>
      <c r="P7" s="1013">
        <v>126</v>
      </c>
      <c r="Q7" s="1013">
        <v>1.75E-4</v>
      </c>
    </row>
    <row r="8" spans="1:19" ht="14.4">
      <c r="A8" s="1195" t="s">
        <v>194</v>
      </c>
      <c r="B8" s="1424">
        <v>3.1E-2</v>
      </c>
      <c r="C8" s="1195" t="s">
        <v>193</v>
      </c>
      <c r="E8" s="1423"/>
      <c r="F8" s="1423"/>
      <c r="G8" s="1423"/>
      <c r="H8" s="1145">
        <v>2022</v>
      </c>
      <c r="I8" s="1145">
        <v>642</v>
      </c>
      <c r="J8" s="1013">
        <v>3.2</v>
      </c>
      <c r="K8" s="1013">
        <v>1.8</v>
      </c>
      <c r="L8" s="1013">
        <v>21</v>
      </c>
      <c r="M8" s="1013">
        <v>2042</v>
      </c>
      <c r="N8" s="1013">
        <v>378</v>
      </c>
      <c r="O8" s="1013">
        <v>1.5</v>
      </c>
      <c r="P8" s="1013">
        <v>126</v>
      </c>
      <c r="Q8" s="1013">
        <v>9.5344999999999999E-2</v>
      </c>
    </row>
    <row r="9" spans="1:19" ht="14.4">
      <c r="A9" s="1195" t="s">
        <v>195</v>
      </c>
      <c r="B9" s="1424">
        <v>0.02</v>
      </c>
      <c r="C9" s="1195" t="s">
        <v>196</v>
      </c>
      <c r="E9" s="1423"/>
      <c r="F9" s="1423"/>
      <c r="G9" s="1423"/>
      <c r="H9" s="1145">
        <v>2022</v>
      </c>
      <c r="I9" s="1145">
        <v>5860</v>
      </c>
      <c r="J9" s="1013">
        <v>3.6</v>
      </c>
      <c r="K9" s="1013">
        <v>2.1</v>
      </c>
      <c r="L9" s="1013">
        <v>211</v>
      </c>
      <c r="M9" s="1013">
        <v>2042</v>
      </c>
      <c r="N9" s="1013">
        <v>8790</v>
      </c>
      <c r="O9" s="1013">
        <v>1.5</v>
      </c>
      <c r="P9" s="1013">
        <v>2930</v>
      </c>
      <c r="Q9" s="1013">
        <v>5.9450999999999997E-2</v>
      </c>
    </row>
    <row r="10" spans="1:19" ht="14.4">
      <c r="A10" s="1195" t="s">
        <v>197</v>
      </c>
      <c r="B10" s="1424">
        <f>('Major Assumption Key'!$B$64-1)/('Major Assumption Key'!$A$83-'Major Assumption Key'!$A$64)</f>
        <v>2.7894736842105264E-2</v>
      </c>
      <c r="C10" s="1195" t="s">
        <v>193</v>
      </c>
      <c r="E10" s="1423"/>
      <c r="F10" s="1423"/>
      <c r="G10" s="1423"/>
      <c r="H10" s="1145">
        <v>2022</v>
      </c>
      <c r="I10" s="1145">
        <v>16548</v>
      </c>
      <c r="J10" s="1013">
        <v>2.7</v>
      </c>
      <c r="K10" s="1013">
        <v>2.6</v>
      </c>
      <c r="L10" s="1013">
        <v>447</v>
      </c>
      <c r="M10" s="1013">
        <v>2042</v>
      </c>
      <c r="N10" s="1013">
        <v>24822</v>
      </c>
      <c r="O10" s="1013">
        <v>1.5</v>
      </c>
      <c r="P10" s="1013">
        <v>8274</v>
      </c>
      <c r="Q10" s="1013">
        <v>9.8242999999999997E-2</v>
      </c>
    </row>
    <row r="11" spans="1:19" ht="14.4">
      <c r="A11" s="1195" t="s">
        <v>198</v>
      </c>
      <c r="B11" s="1425">
        <f>R4/100</f>
        <v>3.1469138466308312E-2</v>
      </c>
      <c r="C11" s="1195" t="s">
        <v>199</v>
      </c>
    </row>
    <row r="12" spans="1:19" ht="14.4">
      <c r="A12" s="1195" t="s">
        <v>200</v>
      </c>
      <c r="B12" s="1425">
        <f>S4/100</f>
        <v>1.4738604988289711E-2</v>
      </c>
      <c r="C12" s="1195" t="s">
        <v>199</v>
      </c>
    </row>
    <row r="13" spans="1:19" ht="14.4">
      <c r="A13" s="1195" t="s">
        <v>201</v>
      </c>
      <c r="B13" s="1426">
        <v>0.48</v>
      </c>
      <c r="C13" s="1427" t="s">
        <v>202</v>
      </c>
    </row>
    <row r="14" spans="1:19" ht="14.4">
      <c r="A14" s="1195" t="s">
        <v>203</v>
      </c>
      <c r="B14" s="1426">
        <v>0.48</v>
      </c>
      <c r="C14" s="1427" t="s">
        <v>204</v>
      </c>
    </row>
    <row r="15" spans="1:19" ht="14.4">
      <c r="A15" s="1195" t="s">
        <v>205</v>
      </c>
      <c r="B15" s="1426">
        <v>0.48</v>
      </c>
      <c r="C15" s="1427" t="s">
        <v>206</v>
      </c>
    </row>
    <row r="16" spans="1:19" ht="14.4">
      <c r="A16" s="1195"/>
    </row>
    <row r="18" spans="1:4" ht="13.8">
      <c r="A18" s="1428" t="s">
        <v>207</v>
      </c>
      <c r="B18" s="1145"/>
    </row>
    <row r="19" spans="1:4" ht="13.8">
      <c r="A19" s="1422">
        <v>2020</v>
      </c>
      <c r="B19" s="1145"/>
    </row>
    <row r="20" spans="1:4" ht="13.8">
      <c r="A20" s="1422">
        <v>2021</v>
      </c>
      <c r="B20" s="1145"/>
    </row>
    <row r="21" spans="1:4" ht="13.8">
      <c r="A21" s="1422">
        <v>2022</v>
      </c>
      <c r="B21" s="1145"/>
    </row>
    <row r="22" spans="1:4" ht="13.8">
      <c r="A22" s="1422">
        <v>2023</v>
      </c>
      <c r="B22" s="1145"/>
    </row>
    <row r="23" spans="1:4" ht="13.8">
      <c r="A23" s="1422">
        <v>2024</v>
      </c>
      <c r="B23" s="1145"/>
    </row>
    <row r="24" spans="1:4" ht="13.8">
      <c r="A24" s="1422">
        <v>2025</v>
      </c>
      <c r="B24" s="1145"/>
    </row>
    <row r="25" spans="1:4" ht="13.8">
      <c r="A25" s="1422">
        <v>2026</v>
      </c>
      <c r="B25" s="1145"/>
    </row>
    <row r="26" spans="1:4" ht="13.8">
      <c r="A26" s="1422">
        <v>2027</v>
      </c>
      <c r="B26" s="1145"/>
      <c r="C26" s="1145"/>
      <c r="D26" s="1145"/>
    </row>
    <row r="27" spans="1:4" ht="13.8">
      <c r="A27" s="1422">
        <v>2028</v>
      </c>
      <c r="B27" s="1145"/>
      <c r="C27" s="1145"/>
      <c r="D27" s="1145"/>
    </row>
    <row r="28" spans="1:4" ht="13.8">
      <c r="A28" s="1422">
        <v>2029</v>
      </c>
      <c r="B28" s="1145"/>
      <c r="C28" s="1145"/>
      <c r="D28" s="1145"/>
    </row>
    <row r="29" spans="1:4" ht="13.8">
      <c r="A29" s="1422">
        <v>2030</v>
      </c>
      <c r="B29" s="1145"/>
      <c r="C29" s="1145"/>
      <c r="D29" s="1145"/>
    </row>
    <row r="30" spans="1:4" ht="13.8">
      <c r="A30" s="1422">
        <v>2031</v>
      </c>
      <c r="B30" s="1145"/>
      <c r="C30" s="1145"/>
      <c r="D30" s="1145"/>
    </row>
    <row r="31" spans="1:4" ht="13.8">
      <c r="A31" s="1422">
        <v>2032</v>
      </c>
      <c r="B31" s="1145"/>
      <c r="C31" s="1145"/>
      <c r="D31" s="1145"/>
    </row>
    <row r="32" spans="1:4" ht="13.8">
      <c r="A32" s="1422">
        <v>2033</v>
      </c>
      <c r="B32" s="1145"/>
      <c r="C32" s="1145"/>
      <c r="D32" s="1145"/>
    </row>
    <row r="33" spans="1:4" ht="13.8">
      <c r="A33" s="1422">
        <v>2034</v>
      </c>
      <c r="B33" s="1145"/>
      <c r="C33" s="1145"/>
      <c r="D33" s="1145"/>
    </row>
    <row r="34" spans="1:4" ht="13.8">
      <c r="A34" s="1422">
        <v>2035</v>
      </c>
      <c r="B34" s="1145"/>
      <c r="C34" s="1145"/>
      <c r="D34" s="1145"/>
    </row>
    <row r="35" spans="1:4" ht="13.8">
      <c r="A35" s="1422">
        <v>2036</v>
      </c>
      <c r="B35" s="1145"/>
      <c r="C35" s="1145"/>
      <c r="D35" s="1145"/>
    </row>
    <row r="36" spans="1:4" ht="13.8">
      <c r="A36" s="1422">
        <v>2037</v>
      </c>
      <c r="B36" s="1145"/>
      <c r="C36" s="1145"/>
      <c r="D36" s="1145"/>
    </row>
    <row r="37" spans="1:4" ht="13.8">
      <c r="A37" s="1422">
        <v>2038</v>
      </c>
      <c r="B37" s="1145"/>
      <c r="C37" s="1145"/>
      <c r="D37" s="1145"/>
    </row>
    <row r="38" spans="1:4" ht="13.8">
      <c r="A38" s="1422">
        <v>2039</v>
      </c>
      <c r="B38" s="1145"/>
      <c r="C38" s="1145"/>
      <c r="D38" s="1145"/>
    </row>
    <row r="39" spans="1:4" ht="13.8">
      <c r="A39" s="1422">
        <v>2040</v>
      </c>
      <c r="B39" s="1145"/>
      <c r="C39" s="1145"/>
      <c r="D39" s="1145"/>
    </row>
    <row r="40" spans="1:4" ht="13.8">
      <c r="A40" s="1422">
        <v>2041</v>
      </c>
      <c r="B40" s="1145"/>
      <c r="C40" s="1145"/>
      <c r="D40" s="1145"/>
    </row>
    <row r="41" spans="1:4" ht="13.8">
      <c r="A41" s="1422">
        <v>2042</v>
      </c>
      <c r="B41" s="1145"/>
      <c r="C41" s="1145"/>
      <c r="D41" s="1145"/>
    </row>
    <row r="42" spans="1:4" ht="13.8">
      <c r="A42" s="1422">
        <v>2043</v>
      </c>
      <c r="B42" s="1145"/>
      <c r="C42" s="1145"/>
      <c r="D42" s="1145"/>
    </row>
    <row r="43" spans="1:4" ht="13.8">
      <c r="A43" s="1422">
        <v>2044</v>
      </c>
      <c r="B43" s="1145"/>
      <c r="C43" s="1145"/>
      <c r="D43" s="1145"/>
    </row>
    <row r="44" spans="1:4" ht="13.8">
      <c r="A44" s="1422">
        <v>2045</v>
      </c>
      <c r="B44" s="1145"/>
      <c r="C44" s="1145"/>
      <c r="D44" s="1145"/>
    </row>
    <row r="45" spans="1:4" ht="13.8">
      <c r="A45" s="1422">
        <v>2046</v>
      </c>
      <c r="B45" s="1145"/>
      <c r="C45" s="1145"/>
      <c r="D45" s="1145"/>
    </row>
    <row r="46" spans="1:4" ht="13.8">
      <c r="A46" s="1422">
        <v>2047</v>
      </c>
      <c r="B46" s="1145"/>
      <c r="C46" s="1145"/>
      <c r="D46" s="1145"/>
    </row>
    <row r="47" spans="1:4" ht="13.8">
      <c r="A47" s="1422">
        <v>2048</v>
      </c>
      <c r="B47" s="1145"/>
      <c r="C47" s="1145"/>
      <c r="D47" s="1145"/>
    </row>
    <row r="48" spans="1:4" ht="13.8">
      <c r="A48" s="1422">
        <v>2049</v>
      </c>
      <c r="B48" s="1145"/>
      <c r="C48" s="1145"/>
      <c r="D48" s="1145"/>
    </row>
    <row r="49" spans="1:6" ht="13.8">
      <c r="A49" s="1422">
        <v>2050</v>
      </c>
      <c r="B49" s="1145"/>
      <c r="C49" s="1145"/>
      <c r="D49" s="1145"/>
    </row>
    <row r="50" spans="1:6" ht="13.8">
      <c r="A50" s="1422">
        <v>2051</v>
      </c>
      <c r="B50" s="1145"/>
      <c r="C50" s="1145"/>
      <c r="D50" s="1145"/>
    </row>
    <row r="51" spans="1:6" ht="13.8">
      <c r="A51" s="1422">
        <v>2052</v>
      </c>
      <c r="B51" s="1145"/>
      <c r="C51" s="1145"/>
      <c r="D51" s="1145"/>
    </row>
    <row r="52" spans="1:6" ht="13.8">
      <c r="A52" s="1422">
        <v>2053</v>
      </c>
      <c r="B52" s="1145"/>
      <c r="C52" s="1145"/>
      <c r="D52" s="1145"/>
    </row>
    <row r="53" spans="1:6" ht="13.8">
      <c r="A53" s="1422">
        <v>2054</v>
      </c>
      <c r="B53" s="1145"/>
      <c r="C53" s="1145"/>
      <c r="D53" s="1145"/>
    </row>
    <row r="54" spans="1:6" ht="13.8">
      <c r="A54" s="1422">
        <v>2055</v>
      </c>
      <c r="B54" s="1145"/>
      <c r="C54" s="1145"/>
      <c r="D54" s="1145"/>
    </row>
    <row r="55" spans="1:6" ht="13.8">
      <c r="A55" s="1422">
        <v>2056</v>
      </c>
      <c r="B55" s="1145"/>
      <c r="C55" s="1145"/>
      <c r="D55" s="1145"/>
    </row>
    <row r="56" spans="1:6" ht="13.8">
      <c r="A56" s="1422">
        <v>2057</v>
      </c>
      <c r="B56" s="1145"/>
      <c r="C56" s="1145"/>
      <c r="D56" s="1145"/>
    </row>
    <row r="57" spans="1:6" ht="13.8">
      <c r="A57" s="1422">
        <v>2058</v>
      </c>
      <c r="B57" s="1145"/>
      <c r="C57" s="1145"/>
      <c r="D57" s="1145"/>
    </row>
    <row r="58" spans="1:6" ht="13.8">
      <c r="A58" s="1422">
        <v>2059</v>
      </c>
      <c r="B58" s="1145"/>
      <c r="C58" s="1145"/>
      <c r="D58" s="1145"/>
    </row>
    <row r="59" spans="1:6" ht="13.8">
      <c r="A59" s="1422">
        <v>2060</v>
      </c>
      <c r="B59" s="1145"/>
      <c r="C59" s="1145"/>
      <c r="D59" s="1145"/>
    </row>
    <row r="60" spans="1:6" ht="13.8">
      <c r="A60" s="1422"/>
      <c r="B60" s="1145"/>
      <c r="C60" s="1145"/>
      <c r="D60" s="1145"/>
    </row>
    <row r="61" spans="1:6" ht="13.8">
      <c r="A61" s="1422"/>
      <c r="B61" s="1145"/>
      <c r="C61" s="1145"/>
      <c r="D61" s="1145"/>
    </row>
    <row r="62" spans="1:6" ht="13.8">
      <c r="A62" s="1428" t="s">
        <v>208</v>
      </c>
      <c r="B62" s="1145"/>
      <c r="C62" s="1145"/>
      <c r="D62" s="1145"/>
    </row>
    <row r="63" spans="1:6" ht="13.8">
      <c r="A63" s="1429" t="s">
        <v>209</v>
      </c>
      <c r="B63" s="1429" t="str">
        <f>"Multiplier to Adjust to Real $"&amp;B7</f>
        <v>Multiplier to Adjust to Real $2022</v>
      </c>
      <c r="C63" s="1145"/>
      <c r="D63" s="1145"/>
    </row>
    <row r="64" spans="1:6" ht="13.8">
      <c r="A64" s="1145">
        <f>'BCA Guide - Parameter Values'!B120</f>
        <v>2003</v>
      </c>
      <c r="B64" s="1430">
        <f>'BCA Guide - Parameter Values'!C120</f>
        <v>1.53</v>
      </c>
      <c r="D64" s="1145"/>
      <c r="F64" s="1049"/>
    </row>
    <row r="65" spans="1:4" ht="13.8">
      <c r="A65" s="1145">
        <f>'BCA Guide - Parameter Values'!B121</f>
        <v>2004</v>
      </c>
      <c r="B65" s="1430">
        <f>'BCA Guide - Parameter Values'!C121</f>
        <v>1.49</v>
      </c>
      <c r="D65" s="1145"/>
    </row>
    <row r="66" spans="1:4" ht="13.8">
      <c r="A66" s="1145">
        <f>'BCA Guide - Parameter Values'!B122</f>
        <v>2005</v>
      </c>
      <c r="B66" s="1430">
        <f>'BCA Guide - Parameter Values'!C122</f>
        <v>1.45</v>
      </c>
      <c r="D66" s="1145"/>
    </row>
    <row r="67" spans="1:4" ht="13.8">
      <c r="A67" s="1145">
        <f>'BCA Guide - Parameter Values'!B123</f>
        <v>2006</v>
      </c>
      <c r="B67" s="1430">
        <f>'BCA Guide - Parameter Values'!C123</f>
        <v>1.4</v>
      </c>
      <c r="D67" s="1145"/>
    </row>
    <row r="68" spans="1:4" ht="13.8">
      <c r="A68" s="1145">
        <f>'BCA Guide - Parameter Values'!B124</f>
        <v>2007</v>
      </c>
      <c r="B68" s="1430">
        <f>'BCA Guide - Parameter Values'!C124</f>
        <v>1.37</v>
      </c>
      <c r="D68" s="1145"/>
    </row>
    <row r="69" spans="1:4" ht="13.8">
      <c r="A69" s="1145">
        <f>'BCA Guide - Parameter Values'!B125</f>
        <v>2008</v>
      </c>
      <c r="B69" s="1430">
        <f>'BCA Guide - Parameter Values'!C125</f>
        <v>1.34</v>
      </c>
      <c r="D69" s="1145"/>
    </row>
    <row r="70" spans="1:4" ht="13.8">
      <c r="A70" s="1145">
        <f>'BCA Guide - Parameter Values'!B126</f>
        <v>2009</v>
      </c>
      <c r="B70" s="1430">
        <f>'BCA Guide - Parameter Values'!C126</f>
        <v>1.33</v>
      </c>
      <c r="D70" s="1145"/>
    </row>
    <row r="71" spans="1:4" ht="13.8">
      <c r="A71" s="1145">
        <f>'BCA Guide - Parameter Values'!B127</f>
        <v>2010</v>
      </c>
      <c r="B71" s="1430">
        <f>'BCA Guide - Parameter Values'!C127</f>
        <v>1.32</v>
      </c>
      <c r="D71" s="1145"/>
    </row>
    <row r="72" spans="1:4" ht="13.8">
      <c r="A72" s="1145">
        <f>'BCA Guide - Parameter Values'!B128</f>
        <v>2011</v>
      </c>
      <c r="B72" s="1430">
        <f>'BCA Guide - Parameter Values'!C128</f>
        <v>1.29</v>
      </c>
      <c r="D72" s="1145"/>
    </row>
    <row r="73" spans="1:4" ht="13.8">
      <c r="A73" s="1145">
        <f>'BCA Guide - Parameter Values'!B129</f>
        <v>2012</v>
      </c>
      <c r="B73" s="1430">
        <f>'BCA Guide - Parameter Values'!C129</f>
        <v>1.27</v>
      </c>
      <c r="D73" s="1145"/>
    </row>
    <row r="74" spans="1:4" ht="13.8">
      <c r="A74" s="1145">
        <f>'BCA Guide - Parameter Values'!B130</f>
        <v>2013</v>
      </c>
      <c r="B74" s="1430">
        <f>'BCA Guide - Parameter Values'!C130</f>
        <v>1.24</v>
      </c>
      <c r="D74" s="1145"/>
    </row>
    <row r="75" spans="1:4" ht="13.8">
      <c r="A75" s="1145">
        <f>'BCA Guide - Parameter Values'!B131</f>
        <v>2014</v>
      </c>
      <c r="B75" s="1430">
        <f>'BCA Guide - Parameter Values'!C131</f>
        <v>1.22</v>
      </c>
      <c r="D75" s="1145"/>
    </row>
    <row r="76" spans="1:4" ht="13.8">
      <c r="A76" s="1145">
        <f>'BCA Guide - Parameter Values'!B132</f>
        <v>2015</v>
      </c>
      <c r="B76" s="1430">
        <f>'BCA Guide - Parameter Values'!C132</f>
        <v>1.21</v>
      </c>
      <c r="D76" s="1145"/>
    </row>
    <row r="77" spans="1:4" ht="13.8">
      <c r="A77" s="1145">
        <f>'BCA Guide - Parameter Values'!B133</f>
        <v>2016</v>
      </c>
      <c r="B77" s="1430">
        <f>'BCA Guide - Parameter Values'!C133</f>
        <v>1.2</v>
      </c>
      <c r="D77" s="1145"/>
    </row>
    <row r="78" spans="1:4" ht="13.8">
      <c r="A78" s="1145">
        <f>'BCA Guide - Parameter Values'!B134</f>
        <v>2017</v>
      </c>
      <c r="B78" s="1430">
        <f>'BCA Guide - Parameter Values'!C134</f>
        <v>1.18</v>
      </c>
      <c r="D78" s="1145"/>
    </row>
    <row r="79" spans="1:4" ht="13.8">
      <c r="A79" s="1145">
        <f>'BCA Guide - Parameter Values'!B135</f>
        <v>2018</v>
      </c>
      <c r="B79" s="1430">
        <f>'BCA Guide - Parameter Values'!C135</f>
        <v>1.1499999999999999</v>
      </c>
      <c r="D79" s="1145"/>
    </row>
    <row r="80" spans="1:4" ht="13.8">
      <c r="A80" s="1145">
        <f>'BCA Guide - Parameter Values'!B136</f>
        <v>2019</v>
      </c>
      <c r="B80" s="1430">
        <f>'BCA Guide - Parameter Values'!C136</f>
        <v>1.1299999999999999</v>
      </c>
      <c r="D80" s="1145"/>
    </row>
    <row r="81" spans="1:2" ht="13.8">
      <c r="A81" s="1145">
        <f>'BCA Guide - Parameter Values'!B137</f>
        <v>2020</v>
      </c>
      <c r="B81" s="1430">
        <f>'BCA Guide - Parameter Values'!C137</f>
        <v>1.1200000000000001</v>
      </c>
    </row>
    <row r="82" spans="1:2" ht="13.8">
      <c r="A82" s="1145">
        <f>'BCA Guide - Parameter Values'!B138</f>
        <v>2021</v>
      </c>
      <c r="B82" s="1430">
        <f>'BCA Guide - Parameter Values'!C138</f>
        <v>1.07</v>
      </c>
    </row>
    <row r="83" spans="1:2" ht="13.8">
      <c r="A83" s="1145">
        <f>'BCA Guide - Parameter Values'!B139</f>
        <v>2022</v>
      </c>
      <c r="B83" s="1430">
        <f>'BCA Guide - Parameter Values'!C139</f>
        <v>1</v>
      </c>
    </row>
    <row r="84" spans="1:2" ht="13.8">
      <c r="A84" s="1145"/>
      <c r="B84" s="1430"/>
    </row>
    <row r="97" s="1013" customFormat="1"/>
    <row r="98" s="1013" customFormat="1"/>
    <row r="99" s="1013" customFormat="1"/>
    <row r="100" s="1013" customFormat="1"/>
    <row r="101" s="1013" customFormat="1"/>
    <row r="102" s="1013" customFormat="1"/>
    <row r="103" s="1013" customFormat="1"/>
    <row r="104" s="1013" customFormat="1"/>
    <row r="105" s="1013" customFormat="1"/>
    <row r="106" s="1013" customFormat="1"/>
    <row r="107" s="1013" customFormat="1"/>
    <row r="108" s="1013" customFormat="1"/>
    <row r="109" s="1013" customFormat="1"/>
    <row r="110" s="1013" customFormat="1"/>
    <row r="111" s="1013" customFormat="1"/>
    <row r="112" s="1013" customFormat="1"/>
    <row r="113" s="1013" customFormat="1"/>
    <row r="114" s="1013" customFormat="1"/>
    <row r="115" s="1013" customFormat="1"/>
    <row r="116" s="1013" customFormat="1"/>
    <row r="117" s="1013" customFormat="1"/>
    <row r="118" s="1013" customFormat="1"/>
    <row r="119" s="1013" customFormat="1"/>
    <row r="120" s="1013" customFormat="1"/>
    <row r="121" s="1013" customFormat="1"/>
    <row r="122" s="1013" customFormat="1"/>
    <row r="123" s="1013" customFormat="1"/>
    <row r="124" s="1013" customFormat="1"/>
    <row r="125" s="1013" customFormat="1"/>
    <row r="126" s="1013" customFormat="1"/>
    <row r="127" s="1013" customFormat="1"/>
    <row r="128" s="1013" customFormat="1"/>
    <row r="129" s="1013" customFormat="1"/>
    <row r="130" s="1013" customFormat="1"/>
    <row r="131" s="1013" customFormat="1"/>
    <row r="132" s="1013" customFormat="1"/>
    <row r="133" s="1013" customFormat="1"/>
    <row r="134" s="1013" customFormat="1"/>
    <row r="135" s="1013" customFormat="1"/>
    <row r="136" s="1013" customFormat="1"/>
    <row r="137" s="1013" customFormat="1"/>
    <row r="138" s="1013" customFormat="1"/>
    <row r="139" s="1013" customFormat="1"/>
    <row r="140" s="1013" customFormat="1"/>
    <row r="141" s="1013" customFormat="1"/>
    <row r="142" s="1013" customFormat="1"/>
    <row r="143" s="1013" customFormat="1"/>
    <row r="144" s="1013" customFormat="1"/>
    <row r="145" s="1013" customFormat="1"/>
    <row r="146" s="1013" customFormat="1"/>
    <row r="147" s="1013" customFormat="1"/>
    <row r="148" s="1013" customFormat="1"/>
    <row r="149" s="1013" customFormat="1"/>
    <row r="150" s="1013" customFormat="1"/>
    <row r="151" s="1013" customFormat="1"/>
    <row r="152" s="1013" customFormat="1"/>
    <row r="153" s="1013" customFormat="1"/>
    <row r="154" s="1013" customFormat="1"/>
    <row r="155" s="1013" customFormat="1"/>
    <row r="156" s="1013" customFormat="1"/>
    <row r="157" s="1013" customFormat="1"/>
    <row r="158" s="1013" customFormat="1"/>
    <row r="159" s="1013" customFormat="1"/>
    <row r="160" s="1013" customFormat="1"/>
    <row r="161" s="1013" customFormat="1"/>
    <row r="162" s="1013" customFormat="1"/>
    <row r="163" s="1013" customFormat="1"/>
    <row r="164" s="1013" customFormat="1"/>
    <row r="165" s="1013" customFormat="1"/>
    <row r="166" s="1013" customFormat="1"/>
    <row r="167" s="1013" customFormat="1"/>
    <row r="168" s="1013" customFormat="1"/>
    <row r="169" s="1013" customFormat="1"/>
    <row r="170" s="1013" customFormat="1"/>
    <row r="171" s="1013" customFormat="1"/>
    <row r="172" s="1013" customFormat="1"/>
    <row r="173" s="1013" customFormat="1"/>
    <row r="174" s="1013" customFormat="1"/>
    <row r="175" s="1013" customFormat="1"/>
    <row r="176" s="1013" customFormat="1"/>
    <row r="177" s="1013" customFormat="1"/>
    <row r="178" s="1013" customFormat="1"/>
    <row r="179" s="1013" customFormat="1"/>
    <row r="180" s="1013" customFormat="1"/>
    <row r="181" s="1013" customFormat="1"/>
    <row r="182" s="1013" customFormat="1"/>
    <row r="183" s="1013" customFormat="1"/>
    <row r="184" s="1013" customFormat="1"/>
    <row r="185" s="1013" customFormat="1"/>
    <row r="186" s="1013" customFormat="1"/>
    <row r="187" s="1013" customFormat="1"/>
    <row r="188" s="1013" customFormat="1"/>
    <row r="189" s="1013" customFormat="1"/>
    <row r="190" s="1013" customFormat="1"/>
    <row r="191" s="1013" customFormat="1"/>
    <row r="192" s="1013" customFormat="1"/>
    <row r="193" s="1013" customFormat="1"/>
    <row r="194" s="1013" customFormat="1"/>
    <row r="195" s="1013" customFormat="1"/>
    <row r="196" s="1013" customFormat="1"/>
  </sheetData>
  <sheetProtection algorithmName="SHA-512" hashValue="18zzYcisvqeyzDycS+/YDBEKT2BuA1XGaWpdnb4bBcJ/UDE9nyYpNYw6HDV6rLJ8QJREfKEGGrlBWbk2cIsiZA==" saltValue="0ruXtcBfuXPAuI/hvmPHkw==" spinCount="100000" sheet="1" objects="1" scenarios="1"/>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21875" style="10" bestFit="1" customWidth="1"/>
    <col min="2" max="2" width="27.44140625" style="10" bestFit="1" customWidth="1"/>
    <col min="3" max="3" width="6.44140625" style="10" bestFit="1" customWidth="1"/>
    <col min="4" max="4" width="8.77734375" style="10" bestFit="1" customWidth="1"/>
    <col min="5" max="5" width="16.21875" style="10" bestFit="1" customWidth="1"/>
    <col min="6" max="6" width="8.21875" style="10" bestFit="1" customWidth="1"/>
    <col min="7" max="8" width="11.21875" style="10" bestFit="1" customWidth="1"/>
    <col min="9" max="9" width="15.77734375" style="10" bestFit="1" customWidth="1"/>
    <col min="10" max="10" width="9.21875" style="10" bestFit="1" customWidth="1"/>
    <col min="11" max="11" width="11.77734375" style="10" bestFit="1" customWidth="1"/>
    <col min="12" max="12" width="23.77734375" style="436" bestFit="1" customWidth="1"/>
    <col min="13" max="16384" width="9.21875" style="10"/>
  </cols>
  <sheetData>
    <row r="1" spans="1:12" ht="14.4">
      <c r="A1" s="272" t="s">
        <v>546</v>
      </c>
      <c r="B1" s="272" t="s">
        <v>1374</v>
      </c>
      <c r="C1" s="272"/>
      <c r="D1" s="272"/>
      <c r="E1" s="272"/>
      <c r="F1" s="33" t="s">
        <v>187</v>
      </c>
      <c r="G1" s="45" t="str">
        <f>HYPERLINK("#'"&amp;INDEX('Master Key'!$B:$B,MATCH("Master Key",'Master Key'!$B:$B,0),1)&amp;"'!A1","Go To Sheet")</f>
        <v>Go To Sheet</v>
      </c>
    </row>
    <row r="3" spans="1:12">
      <c r="A3" s="434" t="s">
        <v>1342</v>
      </c>
      <c r="B3" s="434" t="s">
        <v>1375</v>
      </c>
      <c r="C3" s="434" t="s">
        <v>1376</v>
      </c>
      <c r="D3" s="434" t="s">
        <v>1345</v>
      </c>
      <c r="E3" s="434" t="s">
        <v>1377</v>
      </c>
      <c r="F3" s="434" t="s">
        <v>1378</v>
      </c>
      <c r="G3" s="434" t="s">
        <v>1379</v>
      </c>
      <c r="H3" s="434" t="s">
        <v>1380</v>
      </c>
      <c r="I3" s="434" t="s">
        <v>1381</v>
      </c>
      <c r="J3" s="434" t="s">
        <v>1382</v>
      </c>
      <c r="K3" s="434" t="s">
        <v>1383</v>
      </c>
      <c r="L3" s="435" t="s">
        <v>1384</v>
      </c>
    </row>
  </sheetData>
  <autoFilter ref="A3:L3" xr:uid="{8C2BC061-180E-4CD9-9629-A14557A4E2C7}"/>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21875" style="414" bestFit="1" customWidth="1"/>
    <col min="2" max="2" width="25.5546875" style="414" bestFit="1" customWidth="1"/>
    <col min="3" max="3" width="4.44140625" style="414" bestFit="1" customWidth="1"/>
    <col min="4" max="4" width="6.77734375" style="414" bestFit="1" customWidth="1"/>
    <col min="5" max="5" width="17" style="414" bestFit="1" customWidth="1"/>
    <col min="6" max="6" width="13.77734375" style="423" bestFit="1" customWidth="1"/>
    <col min="7" max="7" width="15.21875" style="423" bestFit="1" customWidth="1"/>
    <col min="8" max="8" width="17.77734375" style="423" bestFit="1" customWidth="1"/>
    <col min="9" max="9" width="15.77734375" style="423" bestFit="1" customWidth="1"/>
    <col min="10" max="12" width="14.77734375" style="417" customWidth="1"/>
    <col min="13" max="13" width="15.21875" style="417" customWidth="1"/>
    <col min="14" max="16384" width="9.21875" style="414"/>
  </cols>
  <sheetData>
    <row r="1" spans="1:13" ht="14.4">
      <c r="A1" s="272" t="s">
        <v>546</v>
      </c>
      <c r="B1" s="272" t="s">
        <v>1385</v>
      </c>
      <c r="C1" s="272"/>
      <c r="D1" s="272"/>
      <c r="E1" s="272"/>
      <c r="F1" s="33" t="s">
        <v>187</v>
      </c>
      <c r="G1" s="45" t="str">
        <f>HYPERLINK("#'"&amp;INDEX('Master Key'!$B:$B,MATCH("Master Key",'Master Key'!$B:$B,0),1)&amp;"'!A1","Go To Sheet")</f>
        <v>Go To Sheet</v>
      </c>
    </row>
    <row r="2" spans="1:13">
      <c r="A2" s="10"/>
      <c r="B2" s="10"/>
      <c r="C2" s="10"/>
      <c r="D2" s="10"/>
      <c r="E2" s="10"/>
      <c r="F2" s="10"/>
      <c r="G2" s="10"/>
    </row>
    <row r="3" spans="1:13">
      <c r="F3" s="415" t="s">
        <v>1386</v>
      </c>
      <c r="G3" s="415" t="s">
        <v>1387</v>
      </c>
      <c r="H3" s="415" t="s">
        <v>1388</v>
      </c>
      <c r="I3" s="415" t="s">
        <v>1389</v>
      </c>
      <c r="J3" s="416" t="s">
        <v>1390</v>
      </c>
      <c r="L3" s="416" t="s">
        <v>1391</v>
      </c>
      <c r="M3" s="418" t="s">
        <v>1392</v>
      </c>
    </row>
    <row r="4" spans="1:13" ht="14.4">
      <c r="A4" s="419" t="s">
        <v>1342</v>
      </c>
      <c r="B4" s="419" t="s">
        <v>1375</v>
      </c>
      <c r="C4" s="419" t="s">
        <v>1376</v>
      </c>
      <c r="D4" s="419" t="s">
        <v>1345</v>
      </c>
      <c r="E4" s="419" t="s">
        <v>1393</v>
      </c>
      <c r="F4" s="420" t="s">
        <v>1394</v>
      </c>
      <c r="G4" s="420" t="s">
        <v>1395</v>
      </c>
      <c r="H4" s="420" t="s">
        <v>1396</v>
      </c>
      <c r="I4" s="420" t="s">
        <v>1397</v>
      </c>
      <c r="J4" s="421" t="s">
        <v>1398</v>
      </c>
      <c r="K4" s="421" t="s">
        <v>1399</v>
      </c>
      <c r="L4" s="421" t="s">
        <v>1400</v>
      </c>
      <c r="M4" s="422" t="s">
        <v>1401</v>
      </c>
    </row>
    <row r="5" spans="1:13">
      <c r="A5" s="414">
        <v>6187</v>
      </c>
      <c r="B5" s="414" t="s">
        <v>1402</v>
      </c>
      <c r="C5" s="414" t="s">
        <v>1403</v>
      </c>
      <c r="D5" s="414">
        <v>56</v>
      </c>
      <c r="E5" s="414" t="s">
        <v>1404</v>
      </c>
      <c r="F5" s="423">
        <v>68.666666666666671</v>
      </c>
      <c r="G5" s="423">
        <v>24.809523809523814</v>
      </c>
      <c r="H5" s="423">
        <v>32.547619047619044</v>
      </c>
      <c r="I5" s="423">
        <v>35.976190476190474</v>
      </c>
      <c r="J5" s="424">
        <f>G5/F5</f>
        <v>0.36130374479889049</v>
      </c>
      <c r="K5" s="424">
        <f>H5/G5</f>
        <v>1.3119001919385793</v>
      </c>
      <c r="L5" s="424">
        <f>I5/H5</f>
        <v>1.1053401609363571</v>
      </c>
      <c r="M5" s="425">
        <f>I5/F5</f>
        <v>0.52392510402219139</v>
      </c>
    </row>
    <row r="6" spans="1:13">
      <c r="A6" s="414">
        <v>6186</v>
      </c>
      <c r="B6" s="414" t="s">
        <v>1402</v>
      </c>
      <c r="C6" s="414" t="s">
        <v>1405</v>
      </c>
      <c r="D6" s="414">
        <v>56</v>
      </c>
      <c r="E6" s="414" t="s">
        <v>1404</v>
      </c>
      <c r="F6" s="423">
        <v>21.690476190476193</v>
      </c>
      <c r="G6" s="423">
        <v>14.19047619047619</v>
      </c>
      <c r="H6" s="423">
        <v>11.047619047619047</v>
      </c>
      <c r="I6" s="423">
        <v>9.3095238095238102</v>
      </c>
      <c r="J6" s="424">
        <f t="shared" ref="J6:L30" si="0">G6/F6</f>
        <v>0.65422612513721179</v>
      </c>
      <c r="K6" s="424">
        <f t="shared" si="0"/>
        <v>0.77852348993288589</v>
      </c>
      <c r="L6" s="424">
        <f t="shared" si="0"/>
        <v>0.84267241379310354</v>
      </c>
      <c r="M6" s="425">
        <f t="shared" ref="M6:M30" si="1">I6/F6</f>
        <v>0.429198682766191</v>
      </c>
    </row>
    <row r="7" spans="1:13">
      <c r="A7" s="414">
        <v>6185</v>
      </c>
      <c r="B7" s="414" t="s">
        <v>1406</v>
      </c>
      <c r="C7" s="414" t="s">
        <v>1405</v>
      </c>
      <c r="D7" s="414">
        <v>56</v>
      </c>
      <c r="E7" s="414" t="s">
        <v>1404</v>
      </c>
      <c r="F7" s="423">
        <v>6.9285714285714297</v>
      </c>
      <c r="G7" s="423">
        <v>2.7857142857142856</v>
      </c>
      <c r="H7" s="423">
        <v>1.0238095238095239</v>
      </c>
      <c r="I7" s="423">
        <v>3.4880952380952377</v>
      </c>
      <c r="J7" s="424">
        <f t="shared" si="0"/>
        <v>0.402061855670103</v>
      </c>
      <c r="K7" s="424">
        <f t="shared" si="0"/>
        <v>0.3675213675213676</v>
      </c>
      <c r="L7" s="424">
        <f t="shared" si="0"/>
        <v>3.4069767441860455</v>
      </c>
      <c r="M7" s="425">
        <f t="shared" si="1"/>
        <v>0.50343642611683836</v>
      </c>
    </row>
    <row r="8" spans="1:13">
      <c r="A8" s="414">
        <v>6188</v>
      </c>
      <c r="B8" s="414" t="s">
        <v>1406</v>
      </c>
      <c r="C8" s="414" t="s">
        <v>1403</v>
      </c>
      <c r="D8" s="414">
        <v>56</v>
      </c>
      <c r="E8" s="426" t="s">
        <v>1407</v>
      </c>
      <c r="F8" s="427">
        <v>9.1904761904761916</v>
      </c>
      <c r="G8" s="427">
        <v>2.2380952380952381</v>
      </c>
      <c r="H8" s="427">
        <v>3.1904761904761902</v>
      </c>
      <c r="I8" s="427">
        <v>6.5476190476190466</v>
      </c>
      <c r="J8" s="424">
        <f t="shared" si="0"/>
        <v>0.24352331606217614</v>
      </c>
      <c r="K8" s="424">
        <f t="shared" si="0"/>
        <v>1.425531914893617</v>
      </c>
      <c r="L8" s="424">
        <f t="shared" si="0"/>
        <v>2.0522388059701493</v>
      </c>
      <c r="M8" s="425">
        <f t="shared" si="1"/>
        <v>0.71243523316062152</v>
      </c>
    </row>
    <row r="9" spans="1:13">
      <c r="A9" s="414">
        <v>6189</v>
      </c>
      <c r="B9" s="414" t="s">
        <v>1408</v>
      </c>
      <c r="C9" s="414" t="s">
        <v>1403</v>
      </c>
      <c r="D9" s="414">
        <v>56</v>
      </c>
      <c r="E9" s="426" t="s">
        <v>1407</v>
      </c>
      <c r="F9" s="427">
        <v>6.1190476190476204</v>
      </c>
      <c r="G9" s="427">
        <v>2.0476190476190479</v>
      </c>
      <c r="H9" s="427">
        <v>2.0714285714285716</v>
      </c>
      <c r="I9" s="427">
        <v>2.1071428571428572</v>
      </c>
      <c r="J9" s="424">
        <f t="shared" si="0"/>
        <v>0.33463035019455251</v>
      </c>
      <c r="K9" s="424">
        <f t="shared" si="0"/>
        <v>1.0116279069767442</v>
      </c>
      <c r="L9" s="424">
        <f t="shared" si="0"/>
        <v>1.0172413793103448</v>
      </c>
      <c r="M9" s="425">
        <f t="shared" si="1"/>
        <v>0.34435797665369644</v>
      </c>
    </row>
    <row r="10" spans="1:13">
      <c r="A10" s="414">
        <v>6184</v>
      </c>
      <c r="B10" s="414" t="s">
        <v>1408</v>
      </c>
      <c r="C10" s="414" t="s">
        <v>1405</v>
      </c>
      <c r="D10" s="414">
        <v>56</v>
      </c>
      <c r="E10" s="414" t="s">
        <v>1404</v>
      </c>
      <c r="F10" s="423">
        <v>2.0476190476190479</v>
      </c>
      <c r="G10" s="423">
        <v>1.0476190476190474</v>
      </c>
      <c r="H10" s="423">
        <v>2.0714285714285716</v>
      </c>
      <c r="I10" s="423">
        <v>1.8809523809523812</v>
      </c>
      <c r="J10" s="424">
        <f t="shared" si="0"/>
        <v>0.51162790697674398</v>
      </c>
      <c r="K10" s="424">
        <f t="shared" si="0"/>
        <v>1.9772727272727277</v>
      </c>
      <c r="L10" s="424">
        <f t="shared" si="0"/>
        <v>0.90804597701149425</v>
      </c>
      <c r="M10" s="425">
        <f t="shared" si="1"/>
        <v>0.91860465116279066</v>
      </c>
    </row>
    <row r="11" spans="1:13">
      <c r="A11" s="414">
        <v>6190</v>
      </c>
      <c r="B11" s="414" t="s">
        <v>1409</v>
      </c>
      <c r="C11" s="414" t="s">
        <v>1403</v>
      </c>
      <c r="D11" s="414">
        <v>56</v>
      </c>
      <c r="E11" s="426" t="s">
        <v>1407</v>
      </c>
      <c r="F11" s="427">
        <v>4.1904761904761907</v>
      </c>
      <c r="G11" s="427">
        <v>1.7619047619047621</v>
      </c>
      <c r="H11" s="427">
        <v>1.8095238095238098</v>
      </c>
      <c r="I11" s="427">
        <v>2.3928571428571428</v>
      </c>
      <c r="J11" s="424">
        <f t="shared" si="0"/>
        <v>0.42045454545454547</v>
      </c>
      <c r="K11" s="424">
        <f t="shared" si="0"/>
        <v>1.027027027027027</v>
      </c>
      <c r="L11" s="424">
        <f t="shared" si="0"/>
        <v>1.3223684210526314</v>
      </c>
      <c r="M11" s="425">
        <f t="shared" si="1"/>
        <v>0.57102272727272718</v>
      </c>
    </row>
    <row r="12" spans="1:13">
      <c r="A12" s="414">
        <v>6183</v>
      </c>
      <c r="B12" s="414" t="s">
        <v>1409</v>
      </c>
      <c r="C12" s="414" t="s">
        <v>1405</v>
      </c>
      <c r="D12" s="414">
        <v>56</v>
      </c>
      <c r="E12" s="426" t="s">
        <v>1407</v>
      </c>
      <c r="F12" s="427">
        <v>4.4999999999999991</v>
      </c>
      <c r="G12" s="427">
        <v>1.9761904761904761</v>
      </c>
      <c r="H12" s="427">
        <v>2.4047619047619051</v>
      </c>
      <c r="I12" s="427">
        <v>1.8809523809523812</v>
      </c>
      <c r="J12" s="424">
        <f t="shared" si="0"/>
        <v>0.43915343915343918</v>
      </c>
      <c r="K12" s="424">
        <f t="shared" si="0"/>
        <v>1.2168674698795183</v>
      </c>
      <c r="L12" s="424">
        <f t="shared" si="0"/>
        <v>0.78217821782178221</v>
      </c>
      <c r="M12" s="425">
        <f t="shared" si="1"/>
        <v>0.41798941798941813</v>
      </c>
    </row>
    <row r="13" spans="1:13">
      <c r="A13" s="414">
        <v>6191</v>
      </c>
      <c r="B13" s="414" t="s">
        <v>1410</v>
      </c>
      <c r="C13" s="414" t="s">
        <v>1403</v>
      </c>
      <c r="D13" s="414">
        <v>56</v>
      </c>
      <c r="E13" s="414" t="s">
        <v>1404</v>
      </c>
      <c r="F13" s="423">
        <v>27.690476190476193</v>
      </c>
      <c r="G13" s="423">
        <v>4.5238095238095237</v>
      </c>
      <c r="H13" s="423">
        <v>11.809523809523808</v>
      </c>
      <c r="I13" s="423">
        <v>12.071428571428571</v>
      </c>
      <c r="J13" s="424">
        <f t="shared" si="0"/>
        <v>0.16337059329320719</v>
      </c>
      <c r="K13" s="424">
        <f t="shared" si="0"/>
        <v>2.6105263157894734</v>
      </c>
      <c r="L13" s="424">
        <f t="shared" si="0"/>
        <v>1.0221774193548387</v>
      </c>
      <c r="M13" s="425">
        <f t="shared" si="1"/>
        <v>0.43594153052450552</v>
      </c>
    </row>
    <row r="14" spans="1:13">
      <c r="A14" s="414">
        <v>6182</v>
      </c>
      <c r="B14" s="414" t="s">
        <v>1411</v>
      </c>
      <c r="C14" s="414" t="s">
        <v>1405</v>
      </c>
      <c r="D14" s="414">
        <v>56</v>
      </c>
      <c r="E14" s="426" t="s">
        <v>1407</v>
      </c>
      <c r="F14" s="427">
        <v>15.547619047619046</v>
      </c>
      <c r="G14" s="427">
        <v>5.2857142857142856</v>
      </c>
      <c r="H14" s="427">
        <v>7.5238095238095246</v>
      </c>
      <c r="I14" s="427">
        <v>12.892857142857142</v>
      </c>
      <c r="J14" s="424">
        <f t="shared" si="0"/>
        <v>0.33996937212863709</v>
      </c>
      <c r="K14" s="424">
        <f t="shared" si="0"/>
        <v>1.4234234234234235</v>
      </c>
      <c r="L14" s="424">
        <f t="shared" si="0"/>
        <v>1.7136075949367087</v>
      </c>
      <c r="M14" s="425">
        <f t="shared" si="1"/>
        <v>0.82924961715160805</v>
      </c>
    </row>
    <row r="15" spans="1:13">
      <c r="A15" s="414">
        <v>6181</v>
      </c>
      <c r="B15" s="414" t="s">
        <v>1412</v>
      </c>
      <c r="C15" s="414" t="s">
        <v>1405</v>
      </c>
      <c r="D15" s="414">
        <v>56</v>
      </c>
      <c r="E15" s="414" t="s">
        <v>1404</v>
      </c>
      <c r="F15" s="423">
        <v>14.690476190476192</v>
      </c>
      <c r="G15" s="423">
        <v>1.1190476190476191</v>
      </c>
      <c r="H15" s="423">
        <v>8.7857142857142847</v>
      </c>
      <c r="I15" s="423">
        <v>13.035714285714286</v>
      </c>
      <c r="J15" s="424">
        <f t="shared" si="0"/>
        <v>7.6175040518638576E-2</v>
      </c>
      <c r="K15" s="424">
        <f t="shared" si="0"/>
        <v>7.8510638297872326</v>
      </c>
      <c r="L15" s="424">
        <f t="shared" si="0"/>
        <v>1.4837398373983743</v>
      </c>
      <c r="M15" s="425">
        <f t="shared" si="1"/>
        <v>0.88735818476499184</v>
      </c>
    </row>
    <row r="16" spans="1:13">
      <c r="A16" s="414">
        <v>6192</v>
      </c>
      <c r="B16" s="414" t="s">
        <v>1413</v>
      </c>
      <c r="C16" s="414" t="s">
        <v>1403</v>
      </c>
      <c r="D16" s="414">
        <v>56</v>
      </c>
      <c r="E16" s="414" t="s">
        <v>1404</v>
      </c>
      <c r="F16" s="423">
        <v>13.476190476190473</v>
      </c>
      <c r="G16" s="423">
        <v>2.0238095238095237</v>
      </c>
      <c r="H16" s="423">
        <v>6.6904761904761898</v>
      </c>
      <c r="I16" s="423">
        <v>9.6428571428571423</v>
      </c>
      <c r="J16" s="424">
        <f t="shared" si="0"/>
        <v>0.15017667844522972</v>
      </c>
      <c r="K16" s="424">
        <f t="shared" si="0"/>
        <v>3.3058823529411763</v>
      </c>
      <c r="L16" s="424">
        <f t="shared" si="0"/>
        <v>1.4412811387900357</v>
      </c>
      <c r="M16" s="425">
        <f t="shared" si="1"/>
        <v>0.71554770318021221</v>
      </c>
    </row>
    <row r="17" spans="1:14">
      <c r="A17" s="414">
        <v>6193</v>
      </c>
      <c r="B17" s="414" t="s">
        <v>1414</v>
      </c>
      <c r="C17" s="414" t="s">
        <v>1403</v>
      </c>
      <c r="D17" s="414">
        <v>56</v>
      </c>
      <c r="E17" s="426" t="s">
        <v>1407</v>
      </c>
      <c r="F17" s="427">
        <v>5.3809523809523805</v>
      </c>
      <c r="G17" s="427">
        <v>1.1666666666666667</v>
      </c>
      <c r="H17" s="427">
        <v>4.166666666666667</v>
      </c>
      <c r="I17" s="427">
        <v>3.3452380952380953</v>
      </c>
      <c r="J17" s="424">
        <f t="shared" si="0"/>
        <v>0.21681415929203543</v>
      </c>
      <c r="K17" s="424">
        <f t="shared" si="0"/>
        <v>3.5714285714285716</v>
      </c>
      <c r="L17" s="424">
        <f t="shared" si="0"/>
        <v>0.80285714285714282</v>
      </c>
      <c r="M17" s="425">
        <f t="shared" si="1"/>
        <v>0.62168141592920356</v>
      </c>
    </row>
    <row r="18" spans="1:14">
      <c r="A18" s="414">
        <v>6180</v>
      </c>
      <c r="B18" s="414" t="s">
        <v>1415</v>
      </c>
      <c r="C18" s="414" t="s">
        <v>1405</v>
      </c>
      <c r="D18" s="414">
        <v>56</v>
      </c>
      <c r="E18" s="426" t="s">
        <v>1407</v>
      </c>
      <c r="F18" s="427">
        <v>7.5000000000000009</v>
      </c>
      <c r="G18" s="427">
        <v>2.166666666666667</v>
      </c>
      <c r="H18" s="427">
        <v>1.5952380952380951</v>
      </c>
      <c r="I18" s="427">
        <v>2.6547619047619047</v>
      </c>
      <c r="J18" s="424">
        <f t="shared" si="0"/>
        <v>0.28888888888888892</v>
      </c>
      <c r="K18" s="424">
        <f t="shared" si="0"/>
        <v>0.73626373626373609</v>
      </c>
      <c r="L18" s="424">
        <f t="shared" si="0"/>
        <v>1.664179104477612</v>
      </c>
      <c r="M18" s="425">
        <f t="shared" si="1"/>
        <v>0.35396825396825393</v>
      </c>
    </row>
    <row r="19" spans="1:14">
      <c r="A19" s="414">
        <v>6179</v>
      </c>
      <c r="B19" s="414" t="s">
        <v>1416</v>
      </c>
      <c r="C19" s="414" t="s">
        <v>1405</v>
      </c>
      <c r="D19" s="414">
        <v>56</v>
      </c>
      <c r="E19" s="414" t="s">
        <v>1404</v>
      </c>
      <c r="F19" s="423">
        <v>30.428571428571427</v>
      </c>
      <c r="G19" s="423">
        <v>14.452380952380951</v>
      </c>
      <c r="H19" s="423">
        <v>15.571428571428569</v>
      </c>
      <c r="I19" s="423">
        <v>15.857142857142858</v>
      </c>
      <c r="J19" s="424">
        <f t="shared" si="0"/>
        <v>0.47496087636932705</v>
      </c>
      <c r="K19" s="424">
        <f t="shared" si="0"/>
        <v>1.0774299835255354</v>
      </c>
      <c r="L19" s="424">
        <f t="shared" si="0"/>
        <v>1.0183486238532111</v>
      </c>
      <c r="M19" s="425">
        <f t="shared" si="1"/>
        <v>0.52112676056338036</v>
      </c>
    </row>
    <row r="20" spans="1:14">
      <c r="A20" s="414">
        <v>6194</v>
      </c>
      <c r="B20" s="414" t="s">
        <v>1417</v>
      </c>
      <c r="C20" s="414" t="s">
        <v>1403</v>
      </c>
      <c r="D20" s="414">
        <v>56</v>
      </c>
      <c r="E20" s="414" t="s">
        <v>1404</v>
      </c>
      <c r="F20" s="423">
        <v>36.785714285714285</v>
      </c>
      <c r="G20" s="423">
        <v>12.738095238095239</v>
      </c>
      <c r="H20" s="423">
        <v>16.785714285714285</v>
      </c>
      <c r="I20" s="423">
        <v>18.428571428571427</v>
      </c>
      <c r="J20" s="424">
        <f t="shared" si="0"/>
        <v>0.34627831715210361</v>
      </c>
      <c r="K20" s="424">
        <f t="shared" si="0"/>
        <v>1.3177570093457942</v>
      </c>
      <c r="L20" s="424">
        <f t="shared" si="0"/>
        <v>1.0978723404255319</v>
      </c>
      <c r="M20" s="425">
        <f t="shared" si="1"/>
        <v>0.5009708737864077</v>
      </c>
    </row>
    <row r="21" spans="1:14">
      <c r="A21" s="414">
        <v>6195</v>
      </c>
      <c r="B21" s="414" t="s">
        <v>1418</v>
      </c>
      <c r="C21" s="414" t="s">
        <v>1403</v>
      </c>
      <c r="D21" s="414">
        <v>56</v>
      </c>
      <c r="E21" s="426" t="s">
        <v>1407</v>
      </c>
      <c r="F21" s="427">
        <v>12.809523809523812</v>
      </c>
      <c r="G21" s="427">
        <v>1.2619047619047616</v>
      </c>
      <c r="H21" s="427">
        <v>3.5714285714285721</v>
      </c>
      <c r="I21" s="427">
        <v>5.9047619047619051</v>
      </c>
      <c r="J21" s="424">
        <f t="shared" si="0"/>
        <v>9.8513011152416313E-2</v>
      </c>
      <c r="K21" s="424">
        <f t="shared" si="0"/>
        <v>2.8301886792452842</v>
      </c>
      <c r="L21" s="424">
        <f t="shared" si="0"/>
        <v>1.6533333333333331</v>
      </c>
      <c r="M21" s="425">
        <f t="shared" si="1"/>
        <v>0.4609665427509293</v>
      </c>
    </row>
    <row r="22" spans="1:14">
      <c r="A22" s="414">
        <v>9986</v>
      </c>
      <c r="B22" s="414" t="s">
        <v>1419</v>
      </c>
      <c r="C22" s="414" t="s">
        <v>1405</v>
      </c>
      <c r="D22" s="414">
        <v>56</v>
      </c>
      <c r="E22" s="414" t="s">
        <v>1404</v>
      </c>
      <c r="F22" s="423">
        <v>9.9523809523809526</v>
      </c>
      <c r="G22" s="423">
        <v>2.4761904761904758</v>
      </c>
      <c r="H22" s="423">
        <v>7.4761904761904754</v>
      </c>
      <c r="I22" s="423">
        <v>13.642857142857142</v>
      </c>
      <c r="J22" s="424">
        <f t="shared" si="0"/>
        <v>0.24880382775119614</v>
      </c>
      <c r="K22" s="424">
        <f t="shared" si="0"/>
        <v>3.0192307692307692</v>
      </c>
      <c r="L22" s="424">
        <f t="shared" si="0"/>
        <v>1.8248407643312103</v>
      </c>
      <c r="M22" s="425">
        <f t="shared" si="1"/>
        <v>1.3708133971291865</v>
      </c>
    </row>
    <row r="23" spans="1:14">
      <c r="A23" s="414">
        <v>6196</v>
      </c>
      <c r="B23" s="414" t="s">
        <v>1420</v>
      </c>
      <c r="C23" s="414" t="s">
        <v>1403</v>
      </c>
      <c r="D23" s="414">
        <v>56</v>
      </c>
      <c r="E23" s="414" t="s">
        <v>1404</v>
      </c>
      <c r="F23" s="423">
        <v>18.38095238095238</v>
      </c>
      <c r="G23" s="423">
        <v>9.4523809523809508</v>
      </c>
      <c r="H23" s="423">
        <v>11.833333333333332</v>
      </c>
      <c r="I23" s="423">
        <v>11.416666666666668</v>
      </c>
      <c r="J23" s="424">
        <f t="shared" si="0"/>
        <v>0.51424870466321237</v>
      </c>
      <c r="K23" s="424">
        <f t="shared" si="0"/>
        <v>1.2518891687657432</v>
      </c>
      <c r="L23" s="424">
        <f t="shared" si="0"/>
        <v>0.96478873239436636</v>
      </c>
      <c r="M23" s="425">
        <f t="shared" si="1"/>
        <v>0.6211139896373058</v>
      </c>
    </row>
    <row r="24" spans="1:14">
      <c r="A24" s="414">
        <v>6178</v>
      </c>
      <c r="B24" s="414" t="s">
        <v>1421</v>
      </c>
      <c r="C24" s="414" t="s">
        <v>1405</v>
      </c>
      <c r="D24" s="414">
        <v>56</v>
      </c>
      <c r="E24" s="426" t="s">
        <v>1407</v>
      </c>
      <c r="F24" s="427">
        <v>12.88095238095238</v>
      </c>
      <c r="G24" s="427">
        <v>5.2619047619047619</v>
      </c>
      <c r="H24" s="427">
        <v>6.8095238095238102</v>
      </c>
      <c r="I24" s="427">
        <v>8.8690476190476186</v>
      </c>
      <c r="J24" s="424">
        <f t="shared" si="0"/>
        <v>0.4085027726432533</v>
      </c>
      <c r="K24" s="424">
        <f t="shared" si="0"/>
        <v>1.2941176470588236</v>
      </c>
      <c r="L24" s="424">
        <f t="shared" si="0"/>
        <v>1.3024475524475523</v>
      </c>
      <c r="M24" s="425">
        <f t="shared" si="1"/>
        <v>0.68853974121996309</v>
      </c>
    </row>
    <row r="25" spans="1:14">
      <c r="A25" s="414">
        <v>6197</v>
      </c>
      <c r="B25" s="414" t="s">
        <v>1422</v>
      </c>
      <c r="C25" s="414" t="s">
        <v>1403</v>
      </c>
      <c r="D25" s="414">
        <v>56</v>
      </c>
      <c r="E25" s="414" t="s">
        <v>1404</v>
      </c>
      <c r="F25" s="423">
        <v>6.166666666666667</v>
      </c>
      <c r="G25" s="423">
        <v>3.3095238095238098</v>
      </c>
      <c r="H25" s="423">
        <v>6.7142857142857153</v>
      </c>
      <c r="I25" s="423">
        <v>5.7738095238095237</v>
      </c>
      <c r="J25" s="424">
        <f t="shared" si="0"/>
        <v>0.53667953667953672</v>
      </c>
      <c r="K25" s="424">
        <f t="shared" si="0"/>
        <v>2.0287769784172665</v>
      </c>
      <c r="L25" s="424">
        <f t="shared" si="0"/>
        <v>0.85992907801418428</v>
      </c>
      <c r="M25" s="425">
        <f t="shared" si="1"/>
        <v>0.9362934362934362</v>
      </c>
    </row>
    <row r="26" spans="1:14">
      <c r="A26" s="414">
        <v>6177</v>
      </c>
      <c r="B26" s="414" t="s">
        <v>1423</v>
      </c>
      <c r="C26" s="414" t="s">
        <v>1405</v>
      </c>
      <c r="D26" s="414">
        <v>56</v>
      </c>
      <c r="E26" s="414" t="s">
        <v>1404</v>
      </c>
      <c r="F26" s="423">
        <v>7.261904761904761</v>
      </c>
      <c r="G26" s="423">
        <v>3.4761904761904758</v>
      </c>
      <c r="H26" s="423">
        <v>6.5952380952380958</v>
      </c>
      <c r="I26" s="423">
        <v>6.9285714285714288</v>
      </c>
      <c r="J26" s="424">
        <f t="shared" si="0"/>
        <v>0.47868852459016392</v>
      </c>
      <c r="K26" s="424">
        <f t="shared" si="0"/>
        <v>1.897260273972603</v>
      </c>
      <c r="L26" s="424">
        <f t="shared" si="0"/>
        <v>1.0505415162454874</v>
      </c>
      <c r="M26" s="425">
        <f t="shared" si="1"/>
        <v>0.95409836065573783</v>
      </c>
    </row>
    <row r="27" spans="1:14">
      <c r="A27" s="414">
        <v>6198</v>
      </c>
      <c r="B27" s="414" t="s">
        <v>1424</v>
      </c>
      <c r="C27" s="414" t="s">
        <v>1403</v>
      </c>
      <c r="D27" s="414">
        <v>56</v>
      </c>
      <c r="E27" s="426" t="s">
        <v>1407</v>
      </c>
      <c r="F27" s="427">
        <v>3.9761904761904758</v>
      </c>
      <c r="G27" s="427">
        <v>0.69047619047619058</v>
      </c>
      <c r="H27" s="427">
        <v>3.166666666666667</v>
      </c>
      <c r="I27" s="427">
        <v>3.3452380952380949</v>
      </c>
      <c r="J27" s="424">
        <f t="shared" si="0"/>
        <v>0.17365269461077848</v>
      </c>
      <c r="K27" s="424">
        <f t="shared" si="0"/>
        <v>4.5862068965517242</v>
      </c>
      <c r="L27" s="424">
        <f t="shared" si="0"/>
        <v>1.0563909774436089</v>
      </c>
      <c r="M27" s="425">
        <f t="shared" si="1"/>
        <v>0.8413173652694611</v>
      </c>
    </row>
    <row r="28" spans="1:14">
      <c r="A28" s="414">
        <v>6176</v>
      </c>
      <c r="B28" s="414" t="s">
        <v>1424</v>
      </c>
      <c r="C28" s="414" t="s">
        <v>1405</v>
      </c>
      <c r="D28" s="414">
        <v>56</v>
      </c>
      <c r="E28" s="426" t="s">
        <v>1407</v>
      </c>
      <c r="F28" s="427">
        <v>2.8095238095238098</v>
      </c>
      <c r="G28" s="427">
        <v>2.7142857142857144</v>
      </c>
      <c r="H28" s="427">
        <v>2.5</v>
      </c>
      <c r="I28" s="427">
        <v>2.4285714285714284</v>
      </c>
      <c r="J28" s="424">
        <f t="shared" si="0"/>
        <v>0.96610169491525422</v>
      </c>
      <c r="K28" s="424">
        <f t="shared" si="0"/>
        <v>0.92105263157894735</v>
      </c>
      <c r="L28" s="424">
        <f t="shared" si="0"/>
        <v>0.97142857142857131</v>
      </c>
      <c r="M28" s="425">
        <f t="shared" si="1"/>
        <v>0.86440677966101676</v>
      </c>
    </row>
    <row r="29" spans="1:14">
      <c r="A29" s="414">
        <v>6199</v>
      </c>
      <c r="B29" s="414" t="s">
        <v>1425</v>
      </c>
      <c r="C29" s="414" t="s">
        <v>1403</v>
      </c>
      <c r="D29" s="414">
        <v>56</v>
      </c>
      <c r="E29" s="426" t="s">
        <v>1407</v>
      </c>
      <c r="F29" s="427">
        <v>35.547619047619051</v>
      </c>
      <c r="G29" s="427">
        <v>15.595238095238093</v>
      </c>
      <c r="H29" s="427">
        <v>17.30952380952381</v>
      </c>
      <c r="I29" s="427">
        <v>19.059523809523807</v>
      </c>
      <c r="J29" s="424">
        <f t="shared" si="0"/>
        <v>0.43871399866041516</v>
      </c>
      <c r="K29" s="424">
        <f t="shared" si="0"/>
        <v>1.1099236641221375</v>
      </c>
      <c r="L29" s="424">
        <f t="shared" si="0"/>
        <v>1.1011004126547452</v>
      </c>
      <c r="M29" s="425">
        <f t="shared" si="1"/>
        <v>0.53616878767582032</v>
      </c>
    </row>
    <row r="30" spans="1:14">
      <c r="A30" s="414">
        <v>6175</v>
      </c>
      <c r="B30" s="414" t="s">
        <v>1425</v>
      </c>
      <c r="C30" s="414" t="s">
        <v>1405</v>
      </c>
      <c r="D30" s="414">
        <v>56</v>
      </c>
      <c r="E30" s="426" t="s">
        <v>1407</v>
      </c>
      <c r="F30" s="427">
        <v>42.404761904761905</v>
      </c>
      <c r="G30" s="427">
        <v>21.928571428571427</v>
      </c>
      <c r="H30" s="427">
        <v>20.857142857142861</v>
      </c>
      <c r="I30" s="427">
        <v>18.916666666666664</v>
      </c>
      <c r="J30" s="424">
        <f t="shared" si="0"/>
        <v>0.51712521055586746</v>
      </c>
      <c r="K30" s="424">
        <f t="shared" si="0"/>
        <v>0.95114006514658</v>
      </c>
      <c r="L30" s="424">
        <f t="shared" si="0"/>
        <v>0.90696347031963442</v>
      </c>
      <c r="M30" s="425">
        <f t="shared" si="1"/>
        <v>0.44609769792251536</v>
      </c>
    </row>
    <row r="31" spans="1:14">
      <c r="F31" s="428">
        <f>SUM(F5:F30)</f>
        <v>427.02380952380958</v>
      </c>
      <c r="G31" s="428">
        <f t="shared" ref="G31:I31" si="2">SUM(G5:G30)</f>
        <v>160.5</v>
      </c>
      <c r="H31" s="428">
        <f t="shared" si="2"/>
        <v>215.92857142857147</v>
      </c>
      <c r="I31" s="428">
        <f t="shared" si="2"/>
        <v>247.79761904761895</v>
      </c>
      <c r="J31" s="429">
        <f>AVERAGE(J5:J7,J10,J13,J15:J16,J19:J20,J22:J23,J25:J26)</f>
        <v>0.37835397938812043</v>
      </c>
      <c r="K31" s="429">
        <f t="shared" ref="K31:M31" si="3">AVERAGE(K5:K7,K10,K13,K15:K16,K19:K20,K22:K23,K25:K26)</f>
        <v>2.2150026506493194</v>
      </c>
      <c r="L31" s="429">
        <f t="shared" si="3"/>
        <v>1.3097349805180183</v>
      </c>
      <c r="M31" s="430">
        <f t="shared" si="3"/>
        <v>0.71680223850793656</v>
      </c>
      <c r="N31" s="419" t="s">
        <v>1426</v>
      </c>
    </row>
    <row r="32" spans="1:14">
      <c r="G32" s="423">
        <f>G31/F31</f>
        <v>0.37585726233621408</v>
      </c>
      <c r="H32" s="423">
        <f>H31/G31</f>
        <v>1.3453493546951494</v>
      </c>
      <c r="I32" s="423">
        <f>I31/F31</f>
        <v>0.58028993587956479</v>
      </c>
      <c r="J32" s="431">
        <f>AVERAGE(J8:J9,J11:J12,J14,J17:J18,J21,J24,J27:J30)</f>
        <v>0.37584949643940457</v>
      </c>
      <c r="K32" s="431">
        <f t="shared" ref="K32:M32" si="4">AVERAGE(K8:K9,K11:K12,K14,K17:K18,K21,K24,K27:K30)</f>
        <v>1.700369202584318</v>
      </c>
      <c r="L32" s="431">
        <f t="shared" si="4"/>
        <v>1.2574103833887551</v>
      </c>
      <c r="M32" s="432">
        <f t="shared" si="4"/>
        <v>0.59140011974040274</v>
      </c>
      <c r="N32" s="433" t="s">
        <v>1427</v>
      </c>
    </row>
    <row r="33" spans="13:14">
      <c r="M33" s="429">
        <f>M31-M32</f>
        <v>0.12540211876753382</v>
      </c>
      <c r="N33" s="419" t="s">
        <v>1428</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21875" style="441" bestFit="1" customWidth="1"/>
    <col min="2" max="2" width="43" style="441" bestFit="1" customWidth="1"/>
    <col min="3" max="3" width="23.21875" style="441" bestFit="1" customWidth="1"/>
    <col min="4" max="6" width="43" style="441" customWidth="1"/>
    <col min="7" max="7" width="22" style="441" bestFit="1" customWidth="1"/>
    <col min="8" max="8" width="19.5546875" style="441" bestFit="1" customWidth="1"/>
    <col min="9" max="9" width="20.21875" style="441" bestFit="1" customWidth="1"/>
    <col min="10" max="10" width="12" style="441" customWidth="1"/>
    <col min="11" max="16384" width="11.5546875" style="441"/>
  </cols>
  <sheetData>
    <row r="1" spans="1:10">
      <c r="A1" s="272" t="s">
        <v>546</v>
      </c>
      <c r="B1" s="468" t="s">
        <v>1429</v>
      </c>
      <c r="C1" s="33" t="s">
        <v>187</v>
      </c>
      <c r="D1" s="45" t="str">
        <f>HYPERLINK("#'"&amp;INDEX('Master Key'!$B:$B,MATCH("Master Key",'Master Key'!$B:$B,0),1)&amp;"'!A1","Go To Sheet")</f>
        <v>Go To Sheet</v>
      </c>
      <c r="E1" s="469"/>
    </row>
    <row r="3" spans="1:10" s="440" customFormat="1">
      <c r="A3" s="440" t="s">
        <v>1342</v>
      </c>
      <c r="B3" s="440" t="s">
        <v>1430</v>
      </c>
      <c r="C3" s="440" t="s">
        <v>1431</v>
      </c>
      <c r="D3" s="440" t="s">
        <v>1432</v>
      </c>
      <c r="E3" s="440" t="s">
        <v>1433</v>
      </c>
      <c r="F3" s="440" t="s">
        <v>1394</v>
      </c>
      <c r="G3" s="440" t="s">
        <v>1397</v>
      </c>
      <c r="H3" s="440" t="s">
        <v>1434</v>
      </c>
      <c r="I3" s="440" t="s">
        <v>1435</v>
      </c>
      <c r="J3" s="440" t="s">
        <v>1397</v>
      </c>
    </row>
    <row r="4" spans="1:10">
      <c r="A4" s="441">
        <v>6675</v>
      </c>
      <c r="B4" s="441" t="s">
        <v>1436</v>
      </c>
      <c r="C4" s="545">
        <v>0.16666666666666666</v>
      </c>
      <c r="D4" s="545">
        <v>1</v>
      </c>
      <c r="E4" s="545">
        <v>0.33333333333333331</v>
      </c>
      <c r="F4" s="545">
        <v>0.30952380952380948</v>
      </c>
      <c r="G4" s="545">
        <v>0.1</v>
      </c>
      <c r="H4" s="545">
        <v>0.66666666666666663</v>
      </c>
      <c r="I4" s="545">
        <v>0</v>
      </c>
      <c r="J4" s="545">
        <v>0.16666666666666666</v>
      </c>
    </row>
    <row r="5" spans="1:10">
      <c r="A5" s="441">
        <v>6706</v>
      </c>
      <c r="B5" s="441" t="s">
        <v>1436</v>
      </c>
      <c r="C5" s="545">
        <v>1.5</v>
      </c>
      <c r="D5" s="545">
        <v>1.3333333333333333</v>
      </c>
      <c r="E5" s="545">
        <v>1</v>
      </c>
      <c r="F5" s="545">
        <v>1.4047619047619049</v>
      </c>
      <c r="G5" s="545">
        <v>0.4</v>
      </c>
      <c r="H5" s="545">
        <v>0</v>
      </c>
      <c r="I5" s="545">
        <v>0.66666666666666663</v>
      </c>
      <c r="J5" s="545">
        <v>0.38095238095238093</v>
      </c>
    </row>
    <row r="6" spans="1:10">
      <c r="A6" s="441">
        <v>6676</v>
      </c>
      <c r="B6" s="441" t="s">
        <v>1437</v>
      </c>
      <c r="C6" s="545">
        <v>0.5</v>
      </c>
      <c r="D6" s="545">
        <v>0.33333333333333331</v>
      </c>
      <c r="E6" s="545">
        <v>0</v>
      </c>
      <c r="F6" s="545">
        <v>0.40476190476190477</v>
      </c>
      <c r="G6" s="545">
        <v>0.7</v>
      </c>
      <c r="H6" s="545">
        <v>0.66666666666666663</v>
      </c>
      <c r="I6" s="545">
        <v>0</v>
      </c>
      <c r="J6" s="545">
        <v>0.59523809523809523</v>
      </c>
    </row>
    <row r="7" spans="1:10">
      <c r="A7" s="441">
        <v>6705</v>
      </c>
      <c r="B7" s="441" t="s">
        <v>1437</v>
      </c>
      <c r="C7" s="545">
        <v>0.5</v>
      </c>
      <c r="D7" s="545">
        <v>0.33333333333333331</v>
      </c>
      <c r="E7" s="545">
        <v>0.66666666666666663</v>
      </c>
      <c r="F7" s="545">
        <v>0.5</v>
      </c>
      <c r="G7" s="545">
        <v>0.45</v>
      </c>
      <c r="H7" s="545">
        <v>0.33333333333333331</v>
      </c>
      <c r="I7" s="545">
        <v>0</v>
      </c>
      <c r="J7" s="545">
        <v>0.36904761904761907</v>
      </c>
    </row>
    <row r="8" spans="1:10">
      <c r="A8" s="441">
        <v>6672</v>
      </c>
      <c r="B8" s="441" t="s">
        <v>1438</v>
      </c>
      <c r="C8" s="545">
        <v>30.833333333333336</v>
      </c>
      <c r="D8" s="545">
        <v>14.666666666666668</v>
      </c>
      <c r="E8" s="545">
        <v>13.666666666666668</v>
      </c>
      <c r="F8" s="545">
        <v>26.071428571428573</v>
      </c>
      <c r="G8" s="545">
        <v>16.8</v>
      </c>
      <c r="H8" s="545">
        <v>21.666666666666668</v>
      </c>
      <c r="I8" s="545">
        <v>15.666666666666666</v>
      </c>
      <c r="J8" s="545">
        <v>17.333333333333336</v>
      </c>
    </row>
    <row r="9" spans="1:10">
      <c r="A9" s="441">
        <v>6677</v>
      </c>
      <c r="B9" s="441" t="s">
        <v>1439</v>
      </c>
      <c r="C9" s="545">
        <v>2.8333333333333335</v>
      </c>
      <c r="D9" s="545">
        <v>0.33333333333333331</v>
      </c>
      <c r="E9" s="545">
        <v>0.33333333333333331</v>
      </c>
      <c r="F9" s="545">
        <v>2.1190476190476195</v>
      </c>
      <c r="G9" s="545">
        <v>2.0499999999999998</v>
      </c>
      <c r="H9" s="545">
        <v>0.33333333333333331</v>
      </c>
      <c r="I9" s="545">
        <v>2.3333333333333335</v>
      </c>
      <c r="J9" s="545">
        <v>1.8452380952380953</v>
      </c>
    </row>
    <row r="10" spans="1:10">
      <c r="A10" s="441">
        <v>6704</v>
      </c>
      <c r="B10" s="441" t="s">
        <v>1439</v>
      </c>
      <c r="C10" s="545">
        <v>1.5</v>
      </c>
      <c r="D10" s="545">
        <v>1</v>
      </c>
      <c r="E10" s="545">
        <v>0.33333333333333331</v>
      </c>
      <c r="F10" s="545">
        <v>1.2619047619047621</v>
      </c>
      <c r="G10" s="545">
        <v>1.6</v>
      </c>
      <c r="H10" s="545">
        <v>2</v>
      </c>
      <c r="I10" s="545">
        <v>0</v>
      </c>
      <c r="J10" s="545">
        <v>1.4285714285714286</v>
      </c>
    </row>
    <row r="11" spans="1:10">
      <c r="A11" s="441">
        <v>6707</v>
      </c>
      <c r="B11" s="441" t="s">
        <v>1440</v>
      </c>
      <c r="C11" s="545">
        <v>3.333333333333333</v>
      </c>
      <c r="D11" s="545">
        <v>1.6666666666666665</v>
      </c>
      <c r="E11" s="545">
        <v>0.33333333333333331</v>
      </c>
      <c r="F11" s="545">
        <v>2.6666666666666665</v>
      </c>
      <c r="G11" s="545">
        <v>1.95</v>
      </c>
      <c r="H11" s="545">
        <v>1.3333333333333333</v>
      </c>
      <c r="I11" s="545">
        <v>1.3333333333333333</v>
      </c>
      <c r="J11" s="545">
        <v>1.7738095238095239</v>
      </c>
    </row>
    <row r="12" spans="1:10">
      <c r="A12" s="441">
        <v>12375</v>
      </c>
      <c r="B12" s="441" t="s">
        <v>1440</v>
      </c>
      <c r="C12" s="545">
        <v>2</v>
      </c>
      <c r="D12" s="545">
        <v>0.66666666666666663</v>
      </c>
      <c r="E12" s="545">
        <v>0.33333333333333331</v>
      </c>
      <c r="F12" s="545">
        <v>1.5714285714285714</v>
      </c>
      <c r="G12" s="545">
        <v>1.1000000000000001</v>
      </c>
      <c r="H12" s="545">
        <v>1.6666666666666667</v>
      </c>
      <c r="I12" s="545">
        <v>1.3333333333333333</v>
      </c>
      <c r="J12" s="545">
        <v>1.2142857142857142</v>
      </c>
    </row>
    <row r="13" spans="1:10">
      <c r="A13" s="441">
        <v>5519</v>
      </c>
      <c r="B13" s="441" t="s">
        <v>1441</v>
      </c>
      <c r="C13" s="545">
        <v>2.1666666666666665</v>
      </c>
      <c r="D13" s="545">
        <v>2.3333333333333335</v>
      </c>
      <c r="E13" s="545">
        <v>2.3333333333333335</v>
      </c>
      <c r="F13" s="545">
        <v>2.2142857142857144</v>
      </c>
      <c r="G13" s="545">
        <v>0.55000000000000004</v>
      </c>
      <c r="H13" s="545">
        <v>0.33333333333333331</v>
      </c>
      <c r="I13" s="545">
        <v>0.66666666666666663</v>
      </c>
      <c r="J13" s="545">
        <v>0.5357142857142857</v>
      </c>
    </row>
    <row r="14" spans="1:10">
      <c r="A14" s="441">
        <v>7406</v>
      </c>
      <c r="B14" s="441" t="s">
        <v>1442</v>
      </c>
      <c r="C14" s="545">
        <v>17.5</v>
      </c>
      <c r="D14" s="545">
        <v>15.666666666666666</v>
      </c>
      <c r="E14" s="545">
        <v>13</v>
      </c>
      <c r="F14" s="545">
        <v>16.595238095238095</v>
      </c>
      <c r="G14" s="545">
        <v>23.6</v>
      </c>
      <c r="H14" s="545">
        <v>16.666666666666668</v>
      </c>
      <c r="I14" s="545">
        <v>15.666666666666666</v>
      </c>
      <c r="J14" s="545">
        <v>21.476190476190474</v>
      </c>
    </row>
    <row r="15" spans="1:10">
      <c r="A15" s="441">
        <v>12414</v>
      </c>
      <c r="B15" s="441" t="s">
        <v>1443</v>
      </c>
      <c r="C15" s="545">
        <v>32.833333333333336</v>
      </c>
      <c r="D15" s="545">
        <v>17.666666666666664</v>
      </c>
      <c r="E15" s="545">
        <v>17.666666666666668</v>
      </c>
      <c r="F15" s="545">
        <v>28.5</v>
      </c>
      <c r="G15" s="545">
        <v>20.3</v>
      </c>
      <c r="H15" s="545">
        <v>26.333333333333332</v>
      </c>
      <c r="I15" s="545">
        <v>12.666666666666666</v>
      </c>
      <c r="J15" s="545">
        <v>20.071428571428573</v>
      </c>
    </row>
    <row r="16" spans="1:10">
      <c r="A16" s="441">
        <v>12415</v>
      </c>
      <c r="B16" s="441" t="s">
        <v>1443</v>
      </c>
      <c r="C16" s="545">
        <v>31.666666666666664</v>
      </c>
      <c r="D16" s="545">
        <v>13.666666666666668</v>
      </c>
      <c r="E16" s="545">
        <v>13.333333333333332</v>
      </c>
      <c r="F16" s="545">
        <v>26.476190476190474</v>
      </c>
      <c r="G16" s="545">
        <v>19.05</v>
      </c>
      <c r="H16" s="545">
        <v>11.666666666666666</v>
      </c>
      <c r="I16" s="545">
        <v>12</v>
      </c>
      <c r="J16" s="545">
        <v>16.988095238095237</v>
      </c>
    </row>
    <row r="17" spans="1:10">
      <c r="A17" s="441">
        <v>6495</v>
      </c>
      <c r="B17" s="441" t="s">
        <v>1444</v>
      </c>
      <c r="C17" s="545">
        <v>2.5</v>
      </c>
      <c r="D17" s="545">
        <v>1.3333333333333333</v>
      </c>
      <c r="E17" s="545">
        <v>0.33333333333333331</v>
      </c>
      <c r="F17" s="545">
        <v>2.0238095238095242</v>
      </c>
      <c r="G17" s="545">
        <v>9.8000000000000007</v>
      </c>
      <c r="H17" s="545">
        <v>3.3333333333333335</v>
      </c>
      <c r="I17" s="545">
        <v>2.6666666666666665</v>
      </c>
      <c r="J17" s="545">
        <v>7.8571428571428568</v>
      </c>
    </row>
    <row r="18" spans="1:10">
      <c r="A18" s="441">
        <v>9989</v>
      </c>
      <c r="B18" s="441" t="s">
        <v>1444</v>
      </c>
      <c r="C18" s="545">
        <v>1.8333333333333335</v>
      </c>
      <c r="D18" s="545">
        <v>2.3333333333333335</v>
      </c>
      <c r="E18" s="545">
        <v>0</v>
      </c>
      <c r="F18" s="545">
        <v>1.642857142857143</v>
      </c>
      <c r="G18" s="545">
        <v>2.35</v>
      </c>
      <c r="H18" s="545">
        <v>0.66666666666666663</v>
      </c>
      <c r="I18" s="545">
        <v>1</v>
      </c>
      <c r="J18" s="545">
        <v>1.9166666666666665</v>
      </c>
    </row>
    <row r="19" spans="1:10">
      <c r="A19" s="441">
        <v>6493</v>
      </c>
      <c r="B19" s="441" t="s">
        <v>1445</v>
      </c>
      <c r="C19" s="545">
        <v>2.166666666666667</v>
      </c>
      <c r="D19" s="545">
        <v>2.3333333333333335</v>
      </c>
      <c r="E19" s="545">
        <v>0</v>
      </c>
      <c r="F19" s="545">
        <v>1.8809523809523814</v>
      </c>
      <c r="G19" s="545">
        <v>1.55</v>
      </c>
      <c r="H19" s="545">
        <v>0</v>
      </c>
      <c r="I19" s="545">
        <v>0.33333333333333331</v>
      </c>
      <c r="J19" s="545">
        <v>1.1547619047619049</v>
      </c>
    </row>
    <row r="20" spans="1:10">
      <c r="A20" s="441">
        <v>154</v>
      </c>
      <c r="B20" s="441" t="s">
        <v>1446</v>
      </c>
      <c r="C20" s="545">
        <v>4.333333333333333</v>
      </c>
      <c r="D20" s="545">
        <v>3</v>
      </c>
      <c r="E20" s="545">
        <v>0.66666666666666663</v>
      </c>
      <c r="F20" s="545">
        <v>3.6190476190476191</v>
      </c>
      <c r="G20" s="545">
        <v>0.6</v>
      </c>
      <c r="H20" s="545">
        <v>0.66666666666666663</v>
      </c>
      <c r="I20" s="545">
        <v>0</v>
      </c>
      <c r="J20" s="545">
        <v>0.52380952380952384</v>
      </c>
    </row>
    <row r="21" spans="1:10">
      <c r="A21" s="441">
        <v>6073</v>
      </c>
      <c r="B21" s="441" t="s">
        <v>1447</v>
      </c>
      <c r="C21" s="545">
        <v>330</v>
      </c>
      <c r="D21" s="545">
        <v>227.33333333333331</v>
      </c>
      <c r="E21" s="545">
        <v>142</v>
      </c>
      <c r="F21" s="545">
        <v>288.47619047619048</v>
      </c>
      <c r="G21" s="545">
        <v>208.25</v>
      </c>
      <c r="H21" s="545">
        <v>143</v>
      </c>
      <c r="I21" s="545">
        <v>104.33333333333333</v>
      </c>
      <c r="J21" s="545">
        <v>184.08333333333331</v>
      </c>
    </row>
    <row r="22" spans="1:10">
      <c r="A22" s="441">
        <v>2432</v>
      </c>
      <c r="B22" s="441" t="s">
        <v>1448</v>
      </c>
      <c r="C22" s="545">
        <v>32.5</v>
      </c>
      <c r="D22" s="545">
        <v>7.3333333333333339</v>
      </c>
      <c r="E22" s="545">
        <v>7.666666666666667</v>
      </c>
      <c r="F22" s="545">
        <v>25.357142857142858</v>
      </c>
      <c r="G22" s="545">
        <v>9.1</v>
      </c>
      <c r="H22" s="545">
        <v>0.66666666666666663</v>
      </c>
      <c r="I22" s="545">
        <v>0</v>
      </c>
      <c r="J22" s="545">
        <v>6.5952380952380949</v>
      </c>
    </row>
    <row r="23" spans="1:10">
      <c r="A23" s="441">
        <v>8591</v>
      </c>
      <c r="B23" s="441" t="s">
        <v>1449</v>
      </c>
      <c r="C23" s="545">
        <v>5.3333333333333339</v>
      </c>
      <c r="D23" s="545">
        <v>3.6666666666666665</v>
      </c>
      <c r="E23" s="545">
        <v>1</v>
      </c>
      <c r="F23" s="545">
        <v>4.4761904761904772</v>
      </c>
      <c r="G23" s="545">
        <v>4.55</v>
      </c>
      <c r="H23" s="545">
        <v>3</v>
      </c>
      <c r="I23" s="545">
        <v>5.333333333333333</v>
      </c>
      <c r="J23" s="545">
        <v>4.4404761904761907</v>
      </c>
    </row>
    <row r="24" spans="1:10">
      <c r="A24" s="441">
        <v>6458</v>
      </c>
      <c r="B24" s="441" t="s">
        <v>1450</v>
      </c>
      <c r="C24" s="545">
        <v>36.166666666666671</v>
      </c>
      <c r="D24" s="545">
        <v>7.6666666666666661</v>
      </c>
      <c r="E24" s="545">
        <v>5</v>
      </c>
      <c r="F24" s="545">
        <v>27.642857142857146</v>
      </c>
      <c r="G24" s="545">
        <v>11.75</v>
      </c>
      <c r="H24" s="545">
        <v>2</v>
      </c>
      <c r="I24" s="545">
        <v>0.66666666666666663</v>
      </c>
      <c r="J24" s="545">
        <v>8.7738095238095237</v>
      </c>
    </row>
    <row r="25" spans="1:10">
      <c r="A25" s="441">
        <v>10155</v>
      </c>
      <c r="B25" s="441" t="s">
        <v>1451</v>
      </c>
      <c r="C25" s="545">
        <v>44.5</v>
      </c>
      <c r="D25" s="545">
        <v>3</v>
      </c>
      <c r="E25" s="545">
        <v>1</v>
      </c>
      <c r="F25" s="545">
        <v>32.357142857142854</v>
      </c>
      <c r="G25" s="545">
        <v>22.35</v>
      </c>
      <c r="H25" s="545">
        <v>4.666666666666667</v>
      </c>
      <c r="I25" s="545">
        <v>3.6666666666666665</v>
      </c>
      <c r="J25" s="545">
        <v>17.154761904761905</v>
      </c>
    </row>
    <row r="26" spans="1:10">
      <c r="A26" s="441">
        <v>527</v>
      </c>
      <c r="B26" s="441" t="s">
        <v>1452</v>
      </c>
      <c r="C26" s="545">
        <v>16</v>
      </c>
      <c r="D26" s="545">
        <v>8</v>
      </c>
      <c r="E26" s="545">
        <v>6.666666666666667</v>
      </c>
      <c r="F26" s="545">
        <v>13.523809523809524</v>
      </c>
      <c r="G26" s="545">
        <v>19.399999999999999</v>
      </c>
      <c r="H26" s="545">
        <v>11</v>
      </c>
      <c r="I26" s="545">
        <v>7.666666666666667</v>
      </c>
      <c r="J26" s="545">
        <v>16.523809523809526</v>
      </c>
    </row>
    <row r="27" spans="1:10">
      <c r="A27" s="441">
        <v>2428</v>
      </c>
      <c r="B27" s="441" t="s">
        <v>1453</v>
      </c>
      <c r="C27" s="545">
        <v>44</v>
      </c>
      <c r="D27" s="545">
        <v>3.333333333333333</v>
      </c>
      <c r="E27" s="545">
        <v>0</v>
      </c>
      <c r="F27" s="545">
        <v>31.904761904761905</v>
      </c>
      <c r="G27" s="545">
        <v>20.2</v>
      </c>
      <c r="H27" s="545">
        <v>3.3333333333333335</v>
      </c>
      <c r="I27" s="545">
        <v>1.3333333333333333</v>
      </c>
      <c r="J27" s="545">
        <v>15.095238095238093</v>
      </c>
    </row>
    <row r="28" spans="1:10">
      <c r="A28" s="441">
        <v>12773</v>
      </c>
      <c r="B28" s="441" t="s">
        <v>1454</v>
      </c>
      <c r="C28" s="545">
        <v>7.166666666666667</v>
      </c>
      <c r="D28" s="545">
        <v>3.3333333333333335</v>
      </c>
      <c r="E28" s="545">
        <v>6.333333333333333</v>
      </c>
      <c r="F28" s="545">
        <v>6.5000000000000009</v>
      </c>
      <c r="G28" s="545">
        <v>2.8</v>
      </c>
      <c r="H28" s="545">
        <v>1</v>
      </c>
      <c r="I28" s="545">
        <v>1.6666666666666667</v>
      </c>
      <c r="J28" s="545">
        <v>2.3809523809523809</v>
      </c>
    </row>
    <row r="29" spans="1:10">
      <c r="A29" s="441">
        <v>820</v>
      </c>
      <c r="B29" s="441" t="s">
        <v>1455</v>
      </c>
      <c r="C29" s="545">
        <v>15.5</v>
      </c>
      <c r="D29" s="545">
        <v>22.333333333333332</v>
      </c>
      <c r="E29" s="545">
        <v>15</v>
      </c>
      <c r="F29" s="545">
        <v>16.404761904761905</v>
      </c>
      <c r="G29" s="545">
        <v>10</v>
      </c>
      <c r="H29" s="545">
        <v>4.666666666666667</v>
      </c>
      <c r="I29" s="545">
        <v>8</v>
      </c>
      <c r="J29" s="545">
        <v>8.9523809523809526</v>
      </c>
    </row>
    <row r="30" spans="1:10">
      <c r="A30" s="441">
        <v>994</v>
      </c>
      <c r="B30" s="441" t="s">
        <v>1456</v>
      </c>
      <c r="C30" s="545">
        <v>20.5</v>
      </c>
      <c r="D30" s="545">
        <v>9.6666666666666661</v>
      </c>
      <c r="E30" s="545">
        <v>10</v>
      </c>
      <c r="F30" s="545">
        <v>17.452380952380953</v>
      </c>
      <c r="G30" s="545">
        <v>9.3000000000000007</v>
      </c>
      <c r="H30" s="545">
        <v>7.333333333333333</v>
      </c>
      <c r="I30" s="545">
        <v>6</v>
      </c>
      <c r="J30" s="545">
        <v>8.5476190476190474</v>
      </c>
    </row>
    <row r="31" spans="1:10">
      <c r="A31" s="441">
        <v>10196</v>
      </c>
      <c r="B31" s="441" t="s">
        <v>1456</v>
      </c>
      <c r="C31" s="545">
        <v>27.5</v>
      </c>
      <c r="D31" s="545">
        <v>12</v>
      </c>
      <c r="E31" s="545">
        <v>15</v>
      </c>
      <c r="F31" s="545">
        <v>23.5</v>
      </c>
      <c r="G31" s="545">
        <v>14.6</v>
      </c>
      <c r="H31" s="545">
        <v>9.6666666666666661</v>
      </c>
      <c r="I31" s="545">
        <v>11</v>
      </c>
      <c r="J31" s="545">
        <v>13.380952380952381</v>
      </c>
    </row>
    <row r="32" spans="1:10">
      <c r="A32" s="441">
        <v>993</v>
      </c>
      <c r="B32" s="441" t="s">
        <v>1457</v>
      </c>
      <c r="C32" s="545">
        <v>20.5</v>
      </c>
      <c r="D32" s="545">
        <v>16.666666666666668</v>
      </c>
      <c r="E32" s="545">
        <v>15</v>
      </c>
      <c r="F32" s="545">
        <v>19.166666666666668</v>
      </c>
      <c r="G32" s="545">
        <v>11.1</v>
      </c>
      <c r="H32" s="545">
        <v>10.666666666666666</v>
      </c>
      <c r="I32" s="545">
        <v>13.333333333333334</v>
      </c>
      <c r="J32" s="545">
        <v>11.357142857142858</v>
      </c>
    </row>
    <row r="33" spans="1:10">
      <c r="A33" s="441">
        <v>10197</v>
      </c>
      <c r="B33" s="441" t="s">
        <v>1458</v>
      </c>
      <c r="C33" s="545">
        <v>19.5</v>
      </c>
      <c r="D33" s="545">
        <v>16.666666666666664</v>
      </c>
      <c r="E33" s="545">
        <v>14.666666666666668</v>
      </c>
      <c r="F33" s="545">
        <v>18.404761904761902</v>
      </c>
      <c r="G33" s="545">
        <v>7.1</v>
      </c>
      <c r="H33" s="545">
        <v>6.333333333333333</v>
      </c>
      <c r="I33" s="545">
        <v>8.6666666666666661</v>
      </c>
      <c r="J33" s="545">
        <v>7.2142857142857144</v>
      </c>
    </row>
    <row r="34" spans="1:10">
      <c r="A34" s="441">
        <v>12735</v>
      </c>
      <c r="B34" s="441" t="s">
        <v>1459</v>
      </c>
      <c r="C34" s="545">
        <v>5.3333333333333339</v>
      </c>
      <c r="D34" s="545">
        <v>3</v>
      </c>
      <c r="E34" s="545">
        <v>2.3333333333333335</v>
      </c>
      <c r="F34" s="545">
        <v>4.5714285714285721</v>
      </c>
      <c r="G34" s="545">
        <v>1.45</v>
      </c>
      <c r="H34" s="545">
        <v>3.6666666666666665</v>
      </c>
      <c r="I34" s="545">
        <v>1</v>
      </c>
      <c r="J34" s="545">
        <v>1.7023809523809523</v>
      </c>
    </row>
    <row r="35" spans="1:10">
      <c r="A35" s="441">
        <v>12736</v>
      </c>
      <c r="B35" s="441" t="s">
        <v>1459</v>
      </c>
      <c r="C35" s="545">
        <v>4.166666666666667</v>
      </c>
      <c r="D35" s="545">
        <v>3</v>
      </c>
      <c r="E35" s="545">
        <v>2.3333333333333335</v>
      </c>
      <c r="F35" s="545">
        <v>3.7380952380952381</v>
      </c>
      <c r="G35" s="545">
        <v>1.35</v>
      </c>
      <c r="H35" s="545">
        <v>1</v>
      </c>
      <c r="I35" s="545">
        <v>3.3333333333333335</v>
      </c>
      <c r="J35" s="545">
        <v>1.5833333333333335</v>
      </c>
    </row>
    <row r="36" spans="1:10">
      <c r="A36" s="441">
        <v>12739</v>
      </c>
      <c r="B36" s="441" t="s">
        <v>1460</v>
      </c>
      <c r="C36" s="545">
        <v>62.333333333333336</v>
      </c>
      <c r="D36" s="545">
        <v>36.666666666666664</v>
      </c>
      <c r="E36" s="545">
        <v>27.666666666666664</v>
      </c>
      <c r="F36" s="545">
        <v>53.714285714285722</v>
      </c>
      <c r="G36" s="545">
        <v>25</v>
      </c>
      <c r="H36" s="545">
        <v>15.333333333333334</v>
      </c>
      <c r="I36" s="545">
        <v>9.3333333333333339</v>
      </c>
      <c r="J36" s="545">
        <v>21.380952380952383</v>
      </c>
    </row>
    <row r="37" spans="1:10">
      <c r="A37" s="441">
        <v>12734</v>
      </c>
      <c r="B37" s="441" t="s">
        <v>1461</v>
      </c>
      <c r="C37" s="545">
        <v>4</v>
      </c>
      <c r="D37" s="545">
        <v>2.3333333333333335</v>
      </c>
      <c r="E37" s="545">
        <v>3</v>
      </c>
      <c r="F37" s="545">
        <v>3.6190476190476191</v>
      </c>
      <c r="G37" s="545">
        <v>2.5</v>
      </c>
      <c r="H37" s="545">
        <v>2.3333333333333335</v>
      </c>
      <c r="I37" s="545">
        <v>0.33333333333333331</v>
      </c>
      <c r="J37" s="545">
        <v>2.166666666666667</v>
      </c>
    </row>
    <row r="38" spans="1:10">
      <c r="A38" s="441">
        <v>12737</v>
      </c>
      <c r="B38" s="441" t="s">
        <v>1462</v>
      </c>
      <c r="C38" s="545">
        <v>7</v>
      </c>
      <c r="D38" s="545">
        <v>3</v>
      </c>
      <c r="E38" s="545">
        <v>2.6666666666666665</v>
      </c>
      <c r="F38" s="545">
        <v>5.8095238095238093</v>
      </c>
      <c r="G38" s="545">
        <v>5.65</v>
      </c>
      <c r="H38" s="545">
        <v>4.333333333333333</v>
      </c>
      <c r="I38" s="545">
        <v>0.66666666666666663</v>
      </c>
      <c r="J38" s="545">
        <v>4.75</v>
      </c>
    </row>
    <row r="39" spans="1:10">
      <c r="A39" s="441">
        <v>12738</v>
      </c>
      <c r="B39" s="441" t="s">
        <v>1462</v>
      </c>
      <c r="C39" s="545">
        <v>8.8333333333333321</v>
      </c>
      <c r="D39" s="545">
        <v>3</v>
      </c>
      <c r="E39" s="545">
        <v>2</v>
      </c>
      <c r="F39" s="545">
        <v>7.0238095238095228</v>
      </c>
      <c r="G39" s="545">
        <v>3.5</v>
      </c>
      <c r="H39" s="545">
        <v>3.6666666666666665</v>
      </c>
      <c r="I39" s="545">
        <v>2.6666666666666665</v>
      </c>
      <c r="J39" s="545">
        <v>3.4047619047619051</v>
      </c>
    </row>
    <row r="40" spans="1:10">
      <c r="A40" s="441">
        <v>1043</v>
      </c>
      <c r="B40" s="441" t="s">
        <v>1463</v>
      </c>
      <c r="C40" s="545">
        <v>6.333333333333333</v>
      </c>
      <c r="D40" s="545">
        <v>4.333333333333333</v>
      </c>
      <c r="E40" s="545">
        <v>3.333333333333333</v>
      </c>
      <c r="F40" s="545">
        <v>5.6190476190476195</v>
      </c>
      <c r="G40" s="545">
        <v>2.8</v>
      </c>
      <c r="H40" s="545">
        <v>4.333333333333333</v>
      </c>
      <c r="I40" s="545">
        <v>5</v>
      </c>
      <c r="J40" s="545">
        <v>3.333333333333333</v>
      </c>
    </row>
    <row r="41" spans="1:10">
      <c r="A41" s="441">
        <v>1044</v>
      </c>
      <c r="B41" s="441" t="s">
        <v>1463</v>
      </c>
      <c r="C41" s="545">
        <v>5.5</v>
      </c>
      <c r="D41" s="545">
        <v>3</v>
      </c>
      <c r="E41" s="545">
        <v>1.3333333333333333</v>
      </c>
      <c r="F41" s="545">
        <v>4.5476190476190474</v>
      </c>
      <c r="G41" s="545">
        <v>0.75</v>
      </c>
      <c r="H41" s="545">
        <v>2.6666666666666665</v>
      </c>
      <c r="I41" s="545">
        <v>2.3333333333333335</v>
      </c>
      <c r="J41" s="545">
        <v>1.25</v>
      </c>
    </row>
    <row r="42" spans="1:10">
      <c r="A42" s="441">
        <v>1045</v>
      </c>
      <c r="B42" s="441" t="s">
        <v>1464</v>
      </c>
      <c r="C42" s="545">
        <v>13.333333333333332</v>
      </c>
      <c r="D42" s="545">
        <v>9</v>
      </c>
      <c r="E42" s="545">
        <v>5</v>
      </c>
      <c r="F42" s="545">
        <v>11.523809523809522</v>
      </c>
      <c r="G42" s="545">
        <v>8.35</v>
      </c>
      <c r="H42" s="545">
        <v>5</v>
      </c>
      <c r="I42" s="545">
        <v>10</v>
      </c>
      <c r="J42" s="545">
        <v>8.1071428571428577</v>
      </c>
    </row>
    <row r="43" spans="1:10">
      <c r="A43" s="441">
        <v>11415</v>
      </c>
      <c r="B43" s="441" t="s">
        <v>1464</v>
      </c>
      <c r="C43" s="545">
        <v>10.666666666666668</v>
      </c>
      <c r="D43" s="545">
        <v>11.333333333333332</v>
      </c>
      <c r="E43" s="545">
        <v>10.333333333333332</v>
      </c>
      <c r="F43" s="545">
        <v>10.714285714285714</v>
      </c>
      <c r="G43" s="545">
        <v>9.4</v>
      </c>
      <c r="H43" s="545">
        <v>2.3333333333333335</v>
      </c>
      <c r="I43" s="545">
        <v>9.3333333333333339</v>
      </c>
      <c r="J43" s="545">
        <v>8.3809523809523814</v>
      </c>
    </row>
    <row r="44" spans="1:10">
      <c r="A44" s="441">
        <v>10198</v>
      </c>
      <c r="B44" s="441" t="s">
        <v>1465</v>
      </c>
      <c r="C44" s="545">
        <v>2.666666666666667</v>
      </c>
      <c r="D44" s="545">
        <v>2</v>
      </c>
      <c r="E44" s="545">
        <v>1</v>
      </c>
      <c r="F44" s="545">
        <v>2.3333333333333335</v>
      </c>
      <c r="G44" s="545">
        <v>2.0499999999999998</v>
      </c>
      <c r="H44" s="545">
        <v>1</v>
      </c>
      <c r="I44" s="545">
        <v>3</v>
      </c>
      <c r="J44" s="545">
        <v>2.0357142857142856</v>
      </c>
    </row>
    <row r="45" spans="1:10">
      <c r="A45" s="441">
        <v>1041</v>
      </c>
      <c r="B45" s="441" t="s">
        <v>1466</v>
      </c>
      <c r="C45" s="545">
        <v>35.666666666666664</v>
      </c>
      <c r="D45" s="545">
        <v>19</v>
      </c>
      <c r="E45" s="545">
        <v>14.333333333333334</v>
      </c>
      <c r="F45" s="545">
        <v>30.238095238095237</v>
      </c>
      <c r="G45" s="545">
        <v>30.7</v>
      </c>
      <c r="H45" s="545">
        <v>21.666666666666668</v>
      </c>
      <c r="I45" s="545">
        <v>22.666666666666668</v>
      </c>
      <c r="J45" s="545">
        <v>28.261904761904759</v>
      </c>
    </row>
    <row r="46" spans="1:10">
      <c r="A46" s="441">
        <v>1047</v>
      </c>
      <c r="B46" s="441" t="s">
        <v>1466</v>
      </c>
      <c r="C46" s="545">
        <v>32.833333333333336</v>
      </c>
      <c r="D46" s="545">
        <v>19.333333333333332</v>
      </c>
      <c r="E46" s="545">
        <v>15.666666666666666</v>
      </c>
      <c r="F46" s="545">
        <v>28.452380952380956</v>
      </c>
      <c r="G46" s="545">
        <v>28.15</v>
      </c>
      <c r="H46" s="545">
        <v>19</v>
      </c>
      <c r="I46" s="545">
        <v>18.333333333333332</v>
      </c>
      <c r="J46" s="545">
        <v>25.440476190476193</v>
      </c>
    </row>
    <row r="47" spans="1:10">
      <c r="A47" s="441">
        <v>1042</v>
      </c>
      <c r="B47" s="441" t="s">
        <v>1467</v>
      </c>
      <c r="C47" s="545">
        <v>12.833333333333332</v>
      </c>
      <c r="D47" s="545">
        <v>8</v>
      </c>
      <c r="E47" s="545">
        <v>8.6666666666666679</v>
      </c>
      <c r="F47" s="545">
        <v>11.547619047619047</v>
      </c>
      <c r="G47" s="545">
        <v>6.7</v>
      </c>
      <c r="H47" s="545">
        <v>10</v>
      </c>
      <c r="I47" s="545">
        <v>6</v>
      </c>
      <c r="J47" s="545">
        <v>7.0714285714285712</v>
      </c>
    </row>
    <row r="48" spans="1:10">
      <c r="A48" s="441">
        <v>1046</v>
      </c>
      <c r="B48" s="441" t="s">
        <v>1467</v>
      </c>
      <c r="C48" s="545">
        <v>13.666666666666668</v>
      </c>
      <c r="D48" s="545">
        <v>4</v>
      </c>
      <c r="E48" s="545">
        <v>4.666666666666667</v>
      </c>
      <c r="F48" s="545">
        <v>11.000000000000002</v>
      </c>
      <c r="G48" s="545">
        <v>7.3</v>
      </c>
      <c r="H48" s="545">
        <v>4.666666666666667</v>
      </c>
      <c r="I48" s="545">
        <v>3.3333333333333335</v>
      </c>
      <c r="J48" s="545">
        <v>6.3571428571428568</v>
      </c>
    </row>
    <row r="49" spans="1:10">
      <c r="A49" s="441">
        <v>68</v>
      </c>
      <c r="B49" s="441" t="s">
        <v>1468</v>
      </c>
      <c r="C49" s="545">
        <v>457.16666666666663</v>
      </c>
      <c r="D49" s="545">
        <v>292</v>
      </c>
      <c r="E49" s="545">
        <v>259.33333333333337</v>
      </c>
      <c r="F49" s="545">
        <v>405.3095238095238</v>
      </c>
      <c r="G49" s="545">
        <v>332.15</v>
      </c>
      <c r="H49" s="545">
        <v>305.33333333333331</v>
      </c>
      <c r="I49" s="545">
        <v>243.33333333333334</v>
      </c>
      <c r="J49" s="545">
        <v>315.63095238095235</v>
      </c>
    </row>
    <row r="50" spans="1:10">
      <c r="A50" s="441">
        <v>8039</v>
      </c>
      <c r="B50" s="441" t="s">
        <v>1469</v>
      </c>
      <c r="C50" s="545">
        <v>5.3333333333333339</v>
      </c>
      <c r="D50" s="545">
        <v>1.3333333333333333</v>
      </c>
      <c r="E50" s="545">
        <v>1.6666666666666665</v>
      </c>
      <c r="F50" s="545">
        <v>4.238095238095239</v>
      </c>
      <c r="G50" s="545">
        <v>1.4</v>
      </c>
      <c r="H50" s="545">
        <v>0.66666666666666663</v>
      </c>
      <c r="I50" s="545">
        <v>0</v>
      </c>
      <c r="J50" s="545">
        <v>1.0952380952380953</v>
      </c>
    </row>
    <row r="51" spans="1:10">
      <c r="A51" s="441">
        <v>12500</v>
      </c>
      <c r="B51" s="441" t="s">
        <v>1470</v>
      </c>
      <c r="C51" s="545">
        <v>4.5</v>
      </c>
      <c r="D51" s="545">
        <v>1.6666666666666665</v>
      </c>
      <c r="E51" s="545">
        <v>1.6666666666666665</v>
      </c>
      <c r="F51" s="545">
        <v>3.6904761904761907</v>
      </c>
      <c r="G51" s="545">
        <v>0.35</v>
      </c>
      <c r="H51" s="545">
        <v>0.33333333333333331</v>
      </c>
      <c r="I51" s="545">
        <v>0</v>
      </c>
      <c r="J51" s="545">
        <v>0.29761904761904762</v>
      </c>
    </row>
    <row r="52" spans="1:10">
      <c r="A52" s="441">
        <v>8038</v>
      </c>
      <c r="B52" s="441" t="s">
        <v>1471</v>
      </c>
      <c r="C52" s="545">
        <v>13.5</v>
      </c>
      <c r="D52" s="545">
        <v>9.6666666666666679</v>
      </c>
      <c r="E52" s="545">
        <v>6.6666666666666661</v>
      </c>
      <c r="F52" s="545">
        <v>11.976190476190478</v>
      </c>
      <c r="G52" s="545">
        <v>4.5999999999999996</v>
      </c>
      <c r="H52" s="545">
        <v>2.6666666666666665</v>
      </c>
      <c r="I52" s="545">
        <v>1.3333333333333333</v>
      </c>
      <c r="J52" s="545">
        <v>3.8571428571428572</v>
      </c>
    </row>
    <row r="53" spans="1:10">
      <c r="A53" s="441">
        <v>12499</v>
      </c>
      <c r="B53" s="441" t="s">
        <v>1471</v>
      </c>
      <c r="C53" s="545">
        <v>14.333333333333334</v>
      </c>
      <c r="D53" s="545">
        <v>11.666666666666668</v>
      </c>
      <c r="E53" s="545">
        <v>9.6666666666666661</v>
      </c>
      <c r="F53" s="545">
        <v>13.285714285714288</v>
      </c>
      <c r="G53" s="545">
        <v>3.5</v>
      </c>
      <c r="H53" s="545">
        <v>2.6666666666666665</v>
      </c>
      <c r="I53" s="545">
        <v>2</v>
      </c>
      <c r="J53" s="545">
        <v>3.166666666666667</v>
      </c>
    </row>
    <row r="54" spans="1:10">
      <c r="A54" s="441">
        <v>12501</v>
      </c>
      <c r="B54" s="441" t="s">
        <v>1472</v>
      </c>
      <c r="C54" s="545">
        <v>13</v>
      </c>
      <c r="D54" s="545">
        <v>11</v>
      </c>
      <c r="E54" s="545">
        <v>4</v>
      </c>
      <c r="F54" s="545">
        <v>11.428571428571429</v>
      </c>
      <c r="G54" s="545">
        <v>4.75</v>
      </c>
      <c r="H54" s="545">
        <v>3</v>
      </c>
      <c r="I54" s="545">
        <v>0.33333333333333331</v>
      </c>
      <c r="J54" s="545">
        <v>3.8690476190476191</v>
      </c>
    </row>
    <row r="55" spans="1:10">
      <c r="A55" s="441">
        <v>12502</v>
      </c>
      <c r="B55" s="441" t="s">
        <v>1472</v>
      </c>
      <c r="C55" s="545">
        <v>11.333333333333334</v>
      </c>
      <c r="D55" s="545">
        <v>6.6666666666666661</v>
      </c>
      <c r="E55" s="545">
        <v>3.666666666666667</v>
      </c>
      <c r="F55" s="545">
        <v>9.5714285714285712</v>
      </c>
      <c r="G55" s="545">
        <v>4.4000000000000004</v>
      </c>
      <c r="H55" s="545">
        <v>3.6666666666666665</v>
      </c>
      <c r="I55" s="545">
        <v>0.33333333333333331</v>
      </c>
      <c r="J55" s="545">
        <v>3.7142857142857144</v>
      </c>
    </row>
    <row r="56" spans="1:10">
      <c r="A56" s="441">
        <v>12503</v>
      </c>
      <c r="B56" s="441" t="s">
        <v>1473</v>
      </c>
      <c r="C56" s="545">
        <v>17.166666666666664</v>
      </c>
      <c r="D56" s="545">
        <v>13</v>
      </c>
      <c r="E56" s="545">
        <v>6.6666666666666661</v>
      </c>
      <c r="F56" s="545">
        <v>15.071428571428569</v>
      </c>
      <c r="G56" s="545">
        <v>8.3000000000000007</v>
      </c>
      <c r="H56" s="545">
        <v>8.6666666666666661</v>
      </c>
      <c r="I56" s="545">
        <v>4.333333333333333</v>
      </c>
      <c r="J56" s="545">
        <v>7.7857142857142856</v>
      </c>
    </row>
    <row r="57" spans="1:10">
      <c r="A57" s="441">
        <v>12504</v>
      </c>
      <c r="B57" s="441" t="s">
        <v>1473</v>
      </c>
      <c r="C57" s="545">
        <v>17.833333333333332</v>
      </c>
      <c r="D57" s="545">
        <v>10.666666666666666</v>
      </c>
      <c r="E57" s="545">
        <v>7</v>
      </c>
      <c r="F57" s="545">
        <v>15.261904761904761</v>
      </c>
      <c r="G57" s="545">
        <v>9.4</v>
      </c>
      <c r="H57" s="545">
        <v>10.666666666666666</v>
      </c>
      <c r="I57" s="545">
        <v>4</v>
      </c>
      <c r="J57" s="545">
        <v>8.8095238095238084</v>
      </c>
    </row>
    <row r="58" spans="1:10">
      <c r="A58" s="441">
        <v>11815</v>
      </c>
      <c r="B58" s="441" t="s">
        <v>1474</v>
      </c>
      <c r="C58" s="545">
        <v>9</v>
      </c>
      <c r="D58" s="545">
        <v>7.666666666666667</v>
      </c>
      <c r="E58" s="545">
        <v>8.6666666666666679</v>
      </c>
      <c r="F58" s="545">
        <v>8.761904761904761</v>
      </c>
      <c r="G58" s="545">
        <v>10.5</v>
      </c>
      <c r="H58" s="545">
        <v>4.666666666666667</v>
      </c>
      <c r="I58" s="545">
        <v>1.6666666666666667</v>
      </c>
      <c r="J58" s="545">
        <v>8.4047619047619033</v>
      </c>
    </row>
    <row r="59" spans="1:10">
      <c r="A59" s="441">
        <v>88</v>
      </c>
      <c r="B59" s="441" t="s">
        <v>1475</v>
      </c>
      <c r="C59" s="545">
        <v>3200.1666666666665</v>
      </c>
      <c r="D59" s="545">
        <v>210.66666666666669</v>
      </c>
      <c r="E59" s="545">
        <v>139.66666666666666</v>
      </c>
      <c r="F59" s="545">
        <v>2335.8809523809518</v>
      </c>
      <c r="G59" s="545">
        <v>1182.6500000000001</v>
      </c>
      <c r="H59" s="545">
        <v>138</v>
      </c>
      <c r="I59" s="545">
        <v>114.33333333333333</v>
      </c>
      <c r="J59" s="545">
        <v>880.79761904761904</v>
      </c>
    </row>
    <row r="60" spans="1:10">
      <c r="A60" s="441">
        <v>874</v>
      </c>
      <c r="B60" s="441" t="s">
        <v>1476</v>
      </c>
      <c r="C60" s="545">
        <v>72.666666666666657</v>
      </c>
      <c r="D60" s="545">
        <v>41.333333333333336</v>
      </c>
      <c r="E60" s="545">
        <v>35.333333333333336</v>
      </c>
      <c r="F60" s="545">
        <v>62.85714285714284</v>
      </c>
      <c r="G60" s="545">
        <v>13.4</v>
      </c>
      <c r="H60" s="545">
        <v>11.666666666666666</v>
      </c>
      <c r="I60" s="545">
        <v>3</v>
      </c>
      <c r="J60" s="545">
        <v>11.666666666666668</v>
      </c>
    </row>
    <row r="61" spans="1:10">
      <c r="A61" s="441">
        <v>6018</v>
      </c>
      <c r="B61" s="441" t="s">
        <v>1477</v>
      </c>
      <c r="C61" s="545">
        <v>4.333333333333333</v>
      </c>
      <c r="D61" s="545">
        <v>1</v>
      </c>
      <c r="E61" s="545">
        <v>3</v>
      </c>
      <c r="F61" s="545">
        <v>3.6666666666666665</v>
      </c>
      <c r="G61" s="545">
        <v>3.1</v>
      </c>
      <c r="H61" s="545">
        <v>3</v>
      </c>
      <c r="I61" s="545">
        <v>2</v>
      </c>
      <c r="J61" s="545">
        <v>2.9285714285714284</v>
      </c>
    </row>
    <row r="62" spans="1:10">
      <c r="A62" s="441">
        <v>6026</v>
      </c>
      <c r="B62" s="441" t="s">
        <v>1477</v>
      </c>
      <c r="C62" s="545">
        <v>32.5</v>
      </c>
      <c r="D62" s="545">
        <v>27.333333333333332</v>
      </c>
      <c r="E62" s="545">
        <v>30.333333333333336</v>
      </c>
      <c r="F62" s="545">
        <v>31.452380952380956</v>
      </c>
      <c r="G62" s="545">
        <v>22.85</v>
      </c>
      <c r="H62" s="545">
        <v>17.666666666666668</v>
      </c>
      <c r="I62" s="545">
        <v>13.666666666666666</v>
      </c>
      <c r="J62" s="545">
        <v>20.797619047619044</v>
      </c>
    </row>
    <row r="63" spans="1:10">
      <c r="A63" s="441">
        <v>5896</v>
      </c>
      <c r="B63" s="441" t="s">
        <v>1478</v>
      </c>
      <c r="C63" s="545">
        <v>24</v>
      </c>
      <c r="D63" s="545">
        <v>14</v>
      </c>
      <c r="E63" s="545">
        <v>10.666666666666668</v>
      </c>
      <c r="F63" s="545">
        <v>20.666666666666664</v>
      </c>
      <c r="G63" s="545">
        <v>18.7</v>
      </c>
      <c r="H63" s="545">
        <v>10.666666666666666</v>
      </c>
      <c r="I63" s="545">
        <v>9.6666666666666661</v>
      </c>
      <c r="J63" s="545">
        <v>16.261904761904763</v>
      </c>
    </row>
    <row r="64" spans="1:10">
      <c r="A64" s="441">
        <v>5856</v>
      </c>
      <c r="B64" s="441" t="s">
        <v>1479</v>
      </c>
      <c r="C64" s="545">
        <v>129.5</v>
      </c>
      <c r="D64" s="545">
        <v>102</v>
      </c>
      <c r="E64" s="545">
        <v>86</v>
      </c>
      <c r="F64" s="545">
        <v>119.35714285714286</v>
      </c>
      <c r="G64" s="545">
        <v>104.7</v>
      </c>
      <c r="H64" s="545">
        <v>88.666666666666671</v>
      </c>
      <c r="I64" s="545">
        <v>105</v>
      </c>
      <c r="J64" s="545">
        <v>102.45238095238095</v>
      </c>
    </row>
    <row r="65" spans="1:10">
      <c r="A65" s="441">
        <v>10014</v>
      </c>
      <c r="B65" s="441" t="s">
        <v>1479</v>
      </c>
      <c r="C65" s="545">
        <v>112.16666666666667</v>
      </c>
      <c r="D65" s="545">
        <v>83</v>
      </c>
      <c r="E65" s="545">
        <v>93.666666666666671</v>
      </c>
      <c r="F65" s="545">
        <v>105.35714285714286</v>
      </c>
      <c r="G65" s="545">
        <v>128.1</v>
      </c>
      <c r="H65" s="545">
        <v>68.666666666666671</v>
      </c>
      <c r="I65" s="545">
        <v>88.666666666666671</v>
      </c>
      <c r="J65" s="545">
        <v>113.97619047619047</v>
      </c>
    </row>
    <row r="66" spans="1:10">
      <c r="A66" s="441">
        <v>5868</v>
      </c>
      <c r="B66" s="441" t="s">
        <v>1480</v>
      </c>
      <c r="C66" s="545">
        <v>34</v>
      </c>
      <c r="D66" s="545">
        <v>29.333333333333336</v>
      </c>
      <c r="E66" s="545">
        <v>30.333333333333336</v>
      </c>
      <c r="F66" s="545">
        <v>32.80952380952381</v>
      </c>
      <c r="G66" s="545">
        <v>26.9</v>
      </c>
      <c r="H66" s="545">
        <v>22.333333333333332</v>
      </c>
      <c r="I66" s="545">
        <v>21.333333333333332</v>
      </c>
      <c r="J66" s="545">
        <v>25.452380952380956</v>
      </c>
    </row>
    <row r="67" spans="1:10">
      <c r="A67" s="441">
        <v>5893</v>
      </c>
      <c r="B67" s="441" t="s">
        <v>1480</v>
      </c>
      <c r="C67" s="545">
        <v>25.333333333333332</v>
      </c>
      <c r="D67" s="545">
        <v>27.666666666666664</v>
      </c>
      <c r="E67" s="545">
        <v>28.666666666666664</v>
      </c>
      <c r="F67" s="545">
        <v>26.142857142857139</v>
      </c>
      <c r="G67" s="545">
        <v>31</v>
      </c>
      <c r="H67" s="545">
        <v>21.333333333333332</v>
      </c>
      <c r="I67" s="545">
        <v>24.666666666666668</v>
      </c>
      <c r="J67" s="545">
        <v>28.714285714285715</v>
      </c>
    </row>
    <row r="68" spans="1:10">
      <c r="A68" s="441">
        <v>4994</v>
      </c>
      <c r="B68" s="441" t="s">
        <v>1481</v>
      </c>
      <c r="C68" s="545">
        <v>23.833333333333332</v>
      </c>
      <c r="D68" s="545">
        <v>18.666666666666664</v>
      </c>
      <c r="E68" s="545">
        <v>14.666666666666668</v>
      </c>
      <c r="F68" s="545">
        <v>21.785714285714281</v>
      </c>
      <c r="G68" s="545">
        <v>11.9</v>
      </c>
      <c r="H68" s="545">
        <v>13.333333333333334</v>
      </c>
      <c r="I68" s="545">
        <v>16.333333333333332</v>
      </c>
      <c r="J68" s="545">
        <v>12.738095238095237</v>
      </c>
    </row>
    <row r="69" spans="1:10">
      <c r="A69" s="441">
        <v>5008</v>
      </c>
      <c r="B69" s="441" t="s">
        <v>1481</v>
      </c>
      <c r="C69" s="545">
        <v>23.166666666666668</v>
      </c>
      <c r="D69" s="545">
        <v>20.666666666666664</v>
      </c>
      <c r="E69" s="545">
        <v>19.666666666666668</v>
      </c>
      <c r="F69" s="545">
        <v>22.309523809523807</v>
      </c>
      <c r="G69" s="545">
        <v>19.399999999999999</v>
      </c>
      <c r="H69" s="545">
        <v>14.666666666666666</v>
      </c>
      <c r="I69" s="545">
        <v>14.333333333333334</v>
      </c>
      <c r="J69" s="545">
        <v>18</v>
      </c>
    </row>
    <row r="70" spans="1:10">
      <c r="A70" s="441">
        <v>7543</v>
      </c>
      <c r="B70" s="441" t="s">
        <v>1482</v>
      </c>
      <c r="C70" s="545">
        <v>63.833333333333336</v>
      </c>
      <c r="D70" s="545">
        <v>50.666666666666664</v>
      </c>
      <c r="E70" s="545">
        <v>46.666666666666671</v>
      </c>
      <c r="F70" s="545">
        <v>59.500000000000007</v>
      </c>
      <c r="G70" s="545">
        <v>28.8</v>
      </c>
      <c r="H70" s="545">
        <v>16</v>
      </c>
      <c r="I70" s="545">
        <v>12.666666666666666</v>
      </c>
      <c r="J70" s="545">
        <v>24.666666666666664</v>
      </c>
    </row>
    <row r="71" spans="1:10">
      <c r="A71" s="441">
        <v>10233</v>
      </c>
      <c r="B71" s="441" t="s">
        <v>1482</v>
      </c>
      <c r="C71" s="545">
        <v>10.166666666666666</v>
      </c>
      <c r="D71" s="545">
        <v>6.666666666666667</v>
      </c>
      <c r="E71" s="545">
        <v>3</v>
      </c>
      <c r="F71" s="545">
        <v>8.6428571428571423</v>
      </c>
      <c r="G71" s="545">
        <v>2.7</v>
      </c>
      <c r="H71" s="545">
        <v>0.66666666666666663</v>
      </c>
      <c r="I71" s="545">
        <v>1</v>
      </c>
      <c r="J71" s="545">
        <v>2.1666666666666665</v>
      </c>
    </row>
    <row r="72" spans="1:10">
      <c r="A72" s="441">
        <v>5000</v>
      </c>
      <c r="B72" s="441" t="s">
        <v>1483</v>
      </c>
      <c r="C72" s="545">
        <v>11.166666666666666</v>
      </c>
      <c r="D72" s="545">
        <v>7</v>
      </c>
      <c r="E72" s="545">
        <v>13</v>
      </c>
      <c r="F72" s="545">
        <v>10.833333333333332</v>
      </c>
      <c r="G72" s="545">
        <v>5.5</v>
      </c>
      <c r="H72" s="545">
        <v>8</v>
      </c>
      <c r="I72" s="545">
        <v>7.666666666666667</v>
      </c>
      <c r="J72" s="545">
        <v>6.1666666666666661</v>
      </c>
    </row>
    <row r="73" spans="1:10">
      <c r="A73" s="441">
        <v>5002</v>
      </c>
      <c r="B73" s="441" t="s">
        <v>1483</v>
      </c>
      <c r="C73" s="545">
        <v>11.666666666666668</v>
      </c>
      <c r="D73" s="545">
        <v>10</v>
      </c>
      <c r="E73" s="545">
        <v>12.333333333333334</v>
      </c>
      <c r="F73" s="545">
        <v>11.523809523809524</v>
      </c>
      <c r="G73" s="545">
        <v>9.6999999999999993</v>
      </c>
      <c r="H73" s="545">
        <v>9.6666666666666661</v>
      </c>
      <c r="I73" s="545">
        <v>7.666666666666667</v>
      </c>
      <c r="J73" s="545">
        <v>9.4047619047619033</v>
      </c>
    </row>
    <row r="74" spans="1:10">
      <c r="A74" s="441">
        <v>5865</v>
      </c>
      <c r="B74" s="441" t="s">
        <v>1484</v>
      </c>
      <c r="C74" s="545">
        <v>8.1666666666666679</v>
      </c>
      <c r="D74" s="545">
        <v>9.3333333333333321</v>
      </c>
      <c r="E74" s="545">
        <v>6</v>
      </c>
      <c r="F74" s="545">
        <v>8.0238095238095237</v>
      </c>
      <c r="G74" s="545">
        <v>4.6500000000000004</v>
      </c>
      <c r="H74" s="545">
        <v>3.6666666666666665</v>
      </c>
      <c r="I74" s="545">
        <v>2.6666666666666665</v>
      </c>
      <c r="J74" s="545">
        <v>4.2261904761904763</v>
      </c>
    </row>
    <row r="75" spans="1:10">
      <c r="A75" s="441">
        <v>5897</v>
      </c>
      <c r="B75" s="441" t="s">
        <v>1484</v>
      </c>
      <c r="C75" s="545">
        <v>8.6666666666666661</v>
      </c>
      <c r="D75" s="545">
        <v>4</v>
      </c>
      <c r="E75" s="545">
        <v>3.333333333333333</v>
      </c>
      <c r="F75" s="545">
        <v>7.2380952380952381</v>
      </c>
      <c r="G75" s="545">
        <v>6.9</v>
      </c>
      <c r="H75" s="545">
        <v>4</v>
      </c>
      <c r="I75" s="545">
        <v>2.6666666666666665</v>
      </c>
      <c r="J75" s="545">
        <v>5.8809523809523805</v>
      </c>
    </row>
    <row r="76" spans="1:10">
      <c r="A76" s="441">
        <v>4998</v>
      </c>
      <c r="B76" s="441" t="s">
        <v>1485</v>
      </c>
      <c r="C76" s="545">
        <v>13</v>
      </c>
      <c r="D76" s="545">
        <v>7</v>
      </c>
      <c r="E76" s="545">
        <v>9</v>
      </c>
      <c r="F76" s="545">
        <v>11.571428571428571</v>
      </c>
      <c r="G76" s="545">
        <v>13.1</v>
      </c>
      <c r="H76" s="545">
        <v>7</v>
      </c>
      <c r="I76" s="545">
        <v>10</v>
      </c>
      <c r="J76" s="545">
        <v>11.785714285714286</v>
      </c>
    </row>
    <row r="77" spans="1:10">
      <c r="A77" s="441">
        <v>5857</v>
      </c>
      <c r="B77" s="441" t="s">
        <v>1486</v>
      </c>
      <c r="C77" s="545">
        <v>42.666666666666664</v>
      </c>
      <c r="D77" s="545">
        <v>37.333333333333336</v>
      </c>
      <c r="E77" s="545">
        <v>38</v>
      </c>
      <c r="F77" s="545">
        <v>41.238095238095234</v>
      </c>
      <c r="G77" s="545">
        <v>38.35</v>
      </c>
      <c r="H77" s="545">
        <v>36.333333333333336</v>
      </c>
      <c r="I77" s="545">
        <v>34</v>
      </c>
      <c r="J77" s="545">
        <v>37.440476190476197</v>
      </c>
    </row>
    <row r="78" spans="1:10">
      <c r="A78" s="441">
        <v>5904</v>
      </c>
      <c r="B78" s="441" t="s">
        <v>1486</v>
      </c>
      <c r="C78" s="545">
        <v>46.833333333333329</v>
      </c>
      <c r="D78" s="545">
        <v>37.666666666666664</v>
      </c>
      <c r="E78" s="545">
        <v>49.333333333333329</v>
      </c>
      <c r="F78" s="545">
        <v>45.880952380952372</v>
      </c>
      <c r="G78" s="545">
        <v>42.75</v>
      </c>
      <c r="H78" s="545">
        <v>47</v>
      </c>
      <c r="I78" s="545">
        <v>39.666666666666664</v>
      </c>
      <c r="J78" s="545">
        <v>42.916666666666671</v>
      </c>
    </row>
    <row r="79" spans="1:10">
      <c r="A79" s="441">
        <v>4987</v>
      </c>
      <c r="B79" s="441" t="s">
        <v>1487</v>
      </c>
      <c r="C79" s="545">
        <v>96.333333333333343</v>
      </c>
      <c r="D79" s="545">
        <v>83</v>
      </c>
      <c r="E79" s="545">
        <v>68.333333333333329</v>
      </c>
      <c r="F79" s="545">
        <v>90.428571428571445</v>
      </c>
      <c r="G79" s="545">
        <v>67.55</v>
      </c>
      <c r="H79" s="545">
        <v>58.666666666666664</v>
      </c>
      <c r="I79" s="545">
        <v>60.333333333333336</v>
      </c>
      <c r="J79" s="545">
        <v>65.25</v>
      </c>
    </row>
    <row r="80" spans="1:10">
      <c r="A80" s="441">
        <v>5015</v>
      </c>
      <c r="B80" s="441" t="s">
        <v>1487</v>
      </c>
      <c r="C80" s="545">
        <v>95.166666666666671</v>
      </c>
      <c r="D80" s="545">
        <v>66</v>
      </c>
      <c r="E80" s="545">
        <v>64.666666666666671</v>
      </c>
      <c r="F80" s="545">
        <v>86.642857142857139</v>
      </c>
      <c r="G80" s="545">
        <v>62.95</v>
      </c>
      <c r="H80" s="545">
        <v>69.666666666666671</v>
      </c>
      <c r="I80" s="545">
        <v>42.666666666666664</v>
      </c>
      <c r="J80" s="545">
        <v>61.011904761904766</v>
      </c>
    </row>
    <row r="81" spans="1:10">
      <c r="A81" s="441">
        <v>5867</v>
      </c>
      <c r="B81" s="441" t="s">
        <v>1488</v>
      </c>
      <c r="C81" s="545">
        <v>30.833333333333332</v>
      </c>
      <c r="D81" s="545">
        <v>19.666666666666668</v>
      </c>
      <c r="E81" s="545">
        <v>14</v>
      </c>
      <c r="F81" s="545">
        <v>26.833333333333332</v>
      </c>
      <c r="G81" s="545">
        <v>16.5</v>
      </c>
      <c r="H81" s="545">
        <v>11</v>
      </c>
      <c r="I81" s="545">
        <v>13</v>
      </c>
      <c r="J81" s="545">
        <v>15.214285714285714</v>
      </c>
    </row>
    <row r="82" spans="1:10">
      <c r="A82" s="441">
        <v>5894</v>
      </c>
      <c r="B82" s="441" t="s">
        <v>1488</v>
      </c>
      <c r="C82" s="545">
        <v>33.666666666666664</v>
      </c>
      <c r="D82" s="545">
        <v>27.666666666666668</v>
      </c>
      <c r="E82" s="545">
        <v>18</v>
      </c>
      <c r="F82" s="545">
        <v>30.571428571428566</v>
      </c>
      <c r="G82" s="545">
        <v>17.149999999999999</v>
      </c>
      <c r="H82" s="545">
        <v>12.666666666666666</v>
      </c>
      <c r="I82" s="545">
        <v>15</v>
      </c>
      <c r="J82" s="545">
        <v>16.202380952380953</v>
      </c>
    </row>
    <row r="83" spans="1:10">
      <c r="A83" s="441">
        <v>5880</v>
      </c>
      <c r="B83" s="441" t="s">
        <v>1489</v>
      </c>
      <c r="C83" s="545">
        <v>16</v>
      </c>
      <c r="D83" s="545">
        <v>8.3333333333333321</v>
      </c>
      <c r="E83" s="545">
        <v>10</v>
      </c>
      <c r="F83" s="545">
        <v>14.047619047619047</v>
      </c>
      <c r="G83" s="545">
        <v>9.65</v>
      </c>
      <c r="H83" s="545">
        <v>5.333333333333333</v>
      </c>
      <c r="I83" s="545">
        <v>6</v>
      </c>
      <c r="J83" s="545">
        <v>8.5119047619047628</v>
      </c>
    </row>
    <row r="84" spans="1:10">
      <c r="A84" s="441">
        <v>5884</v>
      </c>
      <c r="B84" s="441" t="s">
        <v>1489</v>
      </c>
      <c r="C84" s="545">
        <v>9.6666666666666679</v>
      </c>
      <c r="D84" s="545">
        <v>4.666666666666667</v>
      </c>
      <c r="E84" s="545">
        <v>5</v>
      </c>
      <c r="F84" s="545">
        <v>8.2857142857142865</v>
      </c>
      <c r="G84" s="545">
        <v>6.8</v>
      </c>
      <c r="H84" s="545">
        <v>7.333333333333333</v>
      </c>
      <c r="I84" s="545">
        <v>5.333333333333333</v>
      </c>
      <c r="J84" s="545">
        <v>6.666666666666667</v>
      </c>
    </row>
    <row r="85" spans="1:10">
      <c r="A85" s="441">
        <v>5879</v>
      </c>
      <c r="B85" s="441" t="s">
        <v>1490</v>
      </c>
      <c r="C85" s="545">
        <v>17.333333333333332</v>
      </c>
      <c r="D85" s="545">
        <v>6.666666666666667</v>
      </c>
      <c r="E85" s="545">
        <v>10.333333333333332</v>
      </c>
      <c r="F85" s="545">
        <v>14.809523809523808</v>
      </c>
      <c r="G85" s="545">
        <v>8.4499999999999993</v>
      </c>
      <c r="H85" s="545">
        <v>7</v>
      </c>
      <c r="I85" s="545">
        <v>3.6666666666666665</v>
      </c>
      <c r="J85" s="545">
        <v>7.5595238095238093</v>
      </c>
    </row>
    <row r="86" spans="1:10">
      <c r="A86" s="441">
        <v>5885</v>
      </c>
      <c r="B86" s="441" t="s">
        <v>1490</v>
      </c>
      <c r="C86" s="545">
        <v>14.666666666666668</v>
      </c>
      <c r="D86" s="545">
        <v>11</v>
      </c>
      <c r="E86" s="545">
        <v>11</v>
      </c>
      <c r="F86" s="545">
        <v>13.61904761904762</v>
      </c>
      <c r="G86" s="545">
        <v>13.05</v>
      </c>
      <c r="H86" s="545">
        <v>7</v>
      </c>
      <c r="I86" s="545">
        <v>5.333333333333333</v>
      </c>
      <c r="J86" s="545">
        <v>11.083333333333332</v>
      </c>
    </row>
    <row r="87" spans="1:10">
      <c r="A87" s="441">
        <v>4993</v>
      </c>
      <c r="B87" s="441" t="s">
        <v>1491</v>
      </c>
      <c r="C87" s="545">
        <v>20.833333333333332</v>
      </c>
      <c r="D87" s="545">
        <v>9.6666666666666661</v>
      </c>
      <c r="E87" s="545">
        <v>10.666666666666668</v>
      </c>
      <c r="F87" s="545">
        <v>17.785714285714285</v>
      </c>
      <c r="G87" s="545">
        <v>12.5</v>
      </c>
      <c r="H87" s="545">
        <v>13.666666666666666</v>
      </c>
      <c r="I87" s="545">
        <v>6</v>
      </c>
      <c r="J87" s="545">
        <v>11.738095238095239</v>
      </c>
    </row>
    <row r="88" spans="1:10">
      <c r="A88" s="441">
        <v>5009</v>
      </c>
      <c r="B88" s="441" t="s">
        <v>1491</v>
      </c>
      <c r="C88" s="545">
        <v>17.833333333333336</v>
      </c>
      <c r="D88" s="545">
        <v>12</v>
      </c>
      <c r="E88" s="545">
        <v>12</v>
      </c>
      <c r="F88" s="545">
        <v>16.166666666666668</v>
      </c>
      <c r="G88" s="545">
        <v>13.05</v>
      </c>
      <c r="H88" s="545">
        <v>7.666666666666667</v>
      </c>
      <c r="I88" s="545">
        <v>6</v>
      </c>
      <c r="J88" s="545">
        <v>11.273809523809524</v>
      </c>
    </row>
    <row r="89" spans="1:10">
      <c r="A89" s="441">
        <v>5010</v>
      </c>
      <c r="B89" s="441" t="s">
        <v>1491</v>
      </c>
      <c r="C89" s="545">
        <v>19.333333333333336</v>
      </c>
      <c r="D89" s="545">
        <v>12</v>
      </c>
      <c r="E89" s="545">
        <v>11</v>
      </c>
      <c r="F89" s="545">
        <v>17.095238095238098</v>
      </c>
      <c r="G89" s="545">
        <v>17.350000000000001</v>
      </c>
      <c r="H89" s="545">
        <v>18</v>
      </c>
      <c r="I89" s="545">
        <v>8.3333333333333339</v>
      </c>
      <c r="J89" s="545">
        <v>16.154761904761905</v>
      </c>
    </row>
    <row r="90" spans="1:10">
      <c r="A90" s="441">
        <v>5859</v>
      </c>
      <c r="B90" s="441" t="s">
        <v>1492</v>
      </c>
      <c r="C90" s="545">
        <v>58.333333333333336</v>
      </c>
      <c r="D90" s="545">
        <v>41.333333333333336</v>
      </c>
      <c r="E90" s="545">
        <v>44.666666666666671</v>
      </c>
      <c r="F90" s="545">
        <v>53.952380952380956</v>
      </c>
      <c r="G90" s="545">
        <v>44.35</v>
      </c>
      <c r="H90" s="545">
        <v>31.333333333333332</v>
      </c>
      <c r="I90" s="545">
        <v>36</v>
      </c>
      <c r="J90" s="545">
        <v>41.297619047619051</v>
      </c>
    </row>
    <row r="91" spans="1:10">
      <c r="A91" s="441">
        <v>5902</v>
      </c>
      <c r="B91" s="441" t="s">
        <v>1492</v>
      </c>
      <c r="C91" s="545">
        <v>50</v>
      </c>
      <c r="D91" s="545">
        <v>38.666666666666671</v>
      </c>
      <c r="E91" s="545">
        <v>41.333333333333336</v>
      </c>
      <c r="F91" s="545">
        <v>47.142857142857146</v>
      </c>
      <c r="G91" s="545">
        <v>39.1</v>
      </c>
      <c r="H91" s="545">
        <v>34</v>
      </c>
      <c r="I91" s="545">
        <v>42.333333333333336</v>
      </c>
      <c r="J91" s="545">
        <v>38.833333333333329</v>
      </c>
    </row>
    <row r="92" spans="1:10">
      <c r="A92" s="441">
        <v>6027</v>
      </c>
      <c r="B92" s="441" t="s">
        <v>1493</v>
      </c>
      <c r="C92" s="545">
        <v>5.833333333333333</v>
      </c>
      <c r="D92" s="545">
        <v>3.333333333333333</v>
      </c>
      <c r="E92" s="545">
        <v>4.6666666666666661</v>
      </c>
      <c r="F92" s="545">
        <v>5.3095238095238093</v>
      </c>
      <c r="G92" s="545">
        <v>5.8</v>
      </c>
      <c r="H92" s="545">
        <v>6.333333333333333</v>
      </c>
      <c r="I92" s="545">
        <v>5</v>
      </c>
      <c r="J92" s="545">
        <v>5.7619047619047619</v>
      </c>
    </row>
    <row r="93" spans="1:10">
      <c r="A93" s="441">
        <v>11506</v>
      </c>
      <c r="B93" s="441" t="s">
        <v>1493</v>
      </c>
      <c r="C93" s="545">
        <v>8.5</v>
      </c>
      <c r="D93" s="545">
        <v>6.3333333333333339</v>
      </c>
      <c r="E93" s="545">
        <v>5</v>
      </c>
      <c r="F93" s="545">
        <v>7.6904761904761907</v>
      </c>
      <c r="G93" s="545">
        <v>4</v>
      </c>
      <c r="H93" s="545">
        <v>1.3333333333333333</v>
      </c>
      <c r="I93" s="545">
        <v>6.666666666666667</v>
      </c>
      <c r="J93" s="545">
        <v>4</v>
      </c>
    </row>
    <row r="94" spans="1:10">
      <c r="A94" s="441">
        <v>6016</v>
      </c>
      <c r="B94" s="441" t="s">
        <v>1494</v>
      </c>
      <c r="C94" s="545">
        <v>12.166666666666668</v>
      </c>
      <c r="D94" s="545">
        <v>6</v>
      </c>
      <c r="E94" s="545">
        <v>11.666666666666668</v>
      </c>
      <c r="F94" s="545">
        <v>11.214285714285717</v>
      </c>
      <c r="G94" s="545">
        <v>9.9</v>
      </c>
      <c r="H94" s="545">
        <v>5.666666666666667</v>
      </c>
      <c r="I94" s="545">
        <v>5.333333333333333</v>
      </c>
      <c r="J94" s="545">
        <v>8.6428571428571423</v>
      </c>
    </row>
    <row r="95" spans="1:10">
      <c r="A95" s="441">
        <v>6015</v>
      </c>
      <c r="B95" s="441" t="s">
        <v>1495</v>
      </c>
      <c r="C95" s="545">
        <v>98.666666666666657</v>
      </c>
      <c r="D95" s="545">
        <v>100</v>
      </c>
      <c r="E95" s="545">
        <v>70</v>
      </c>
      <c r="F95" s="545">
        <v>94.761904761904745</v>
      </c>
      <c r="G95" s="545">
        <v>74.8</v>
      </c>
      <c r="H95" s="545">
        <v>67.666666666666671</v>
      </c>
      <c r="I95" s="545">
        <v>60</v>
      </c>
      <c r="J95" s="545">
        <v>71.666666666666671</v>
      </c>
    </row>
    <row r="96" spans="1:10">
      <c r="A96" s="441">
        <v>6030</v>
      </c>
      <c r="B96" s="441" t="s">
        <v>1496</v>
      </c>
      <c r="C96" s="545">
        <v>102.66666666666667</v>
      </c>
      <c r="D96" s="545">
        <v>97.333333333333343</v>
      </c>
      <c r="E96" s="545">
        <v>75</v>
      </c>
      <c r="F96" s="545">
        <v>97.952380952380963</v>
      </c>
      <c r="G96" s="545">
        <v>66.900000000000006</v>
      </c>
      <c r="H96" s="545">
        <v>60.666666666666664</v>
      </c>
      <c r="I96" s="545">
        <v>54.333333333333336</v>
      </c>
      <c r="J96" s="545">
        <v>64.214285714285708</v>
      </c>
    </row>
    <row r="97" spans="1:10">
      <c r="A97" s="441">
        <v>7549</v>
      </c>
      <c r="B97" s="441" t="s">
        <v>1497</v>
      </c>
      <c r="C97" s="545">
        <v>12.666666666666668</v>
      </c>
      <c r="D97" s="545">
        <v>7</v>
      </c>
      <c r="E97" s="545">
        <v>10.666666666666666</v>
      </c>
      <c r="F97" s="545">
        <v>11.571428571428573</v>
      </c>
      <c r="G97" s="545">
        <v>10.8</v>
      </c>
      <c r="H97" s="545">
        <v>12.666666666666666</v>
      </c>
      <c r="I97" s="545">
        <v>10.666666666666666</v>
      </c>
      <c r="J97" s="545">
        <v>11.047619047619049</v>
      </c>
    </row>
    <row r="98" spans="1:10">
      <c r="A98" s="441">
        <v>7548</v>
      </c>
      <c r="B98" s="441" t="s">
        <v>1498</v>
      </c>
      <c r="C98" s="545">
        <v>18</v>
      </c>
      <c r="D98" s="545">
        <v>12.666666666666666</v>
      </c>
      <c r="E98" s="545">
        <v>11.666666666666666</v>
      </c>
      <c r="F98" s="545">
        <v>16.333333333333336</v>
      </c>
      <c r="G98" s="545">
        <v>15.15</v>
      </c>
      <c r="H98" s="545">
        <v>11.666666666666666</v>
      </c>
      <c r="I98" s="545">
        <v>10.666666666666666</v>
      </c>
      <c r="J98" s="545">
        <v>14.011904761904763</v>
      </c>
    </row>
    <row r="99" spans="1:10">
      <c r="A99" s="441">
        <v>7550</v>
      </c>
      <c r="B99" s="441" t="s">
        <v>1499</v>
      </c>
      <c r="C99" s="545">
        <v>35.666666666666664</v>
      </c>
      <c r="D99" s="545">
        <v>27.333333333333336</v>
      </c>
      <c r="E99" s="545">
        <v>24</v>
      </c>
      <c r="F99" s="545">
        <v>32.80952380952381</v>
      </c>
      <c r="G99" s="545">
        <v>12.25</v>
      </c>
      <c r="H99" s="545">
        <v>14.666666666666666</v>
      </c>
      <c r="I99" s="545">
        <v>7.666666666666667</v>
      </c>
      <c r="J99" s="545">
        <v>11.940476190476192</v>
      </c>
    </row>
    <row r="100" spans="1:10">
      <c r="A100" s="441">
        <v>7547</v>
      </c>
      <c r="B100" s="441" t="s">
        <v>1500</v>
      </c>
      <c r="C100" s="545">
        <v>42.333333333333336</v>
      </c>
      <c r="D100" s="545">
        <v>36.333333333333329</v>
      </c>
      <c r="E100" s="545">
        <v>27.666666666666668</v>
      </c>
      <c r="F100" s="545">
        <v>39.380952380952387</v>
      </c>
      <c r="G100" s="545">
        <v>16.899999999999999</v>
      </c>
      <c r="H100" s="545">
        <v>16.333333333333332</v>
      </c>
      <c r="I100" s="545">
        <v>6.666666666666667</v>
      </c>
      <c r="J100" s="545">
        <v>15.357142857142858</v>
      </c>
    </row>
    <row r="101" spans="1:10">
      <c r="A101" s="441">
        <v>7546</v>
      </c>
      <c r="B101" s="441" t="s">
        <v>1501</v>
      </c>
      <c r="C101" s="545">
        <v>17</v>
      </c>
      <c r="D101" s="545">
        <v>7</v>
      </c>
      <c r="E101" s="545">
        <v>4.333333333333333</v>
      </c>
      <c r="F101" s="545">
        <v>13.761904761904761</v>
      </c>
      <c r="G101" s="545">
        <v>12.3</v>
      </c>
      <c r="H101" s="545">
        <v>6</v>
      </c>
      <c r="I101" s="545">
        <v>5.666666666666667</v>
      </c>
      <c r="J101" s="545">
        <v>10.452380952380953</v>
      </c>
    </row>
    <row r="102" spans="1:10">
      <c r="A102" s="441">
        <v>7551</v>
      </c>
      <c r="B102" s="441" t="s">
        <v>1501</v>
      </c>
      <c r="C102" s="545">
        <v>19</v>
      </c>
      <c r="D102" s="545">
        <v>2.666666666666667</v>
      </c>
      <c r="E102" s="545">
        <v>3</v>
      </c>
      <c r="F102" s="545">
        <v>14.380952380952381</v>
      </c>
      <c r="G102" s="545">
        <v>6.7</v>
      </c>
      <c r="H102" s="545">
        <v>2.3333333333333335</v>
      </c>
      <c r="I102" s="545">
        <v>4</v>
      </c>
      <c r="J102" s="545">
        <v>5.6904761904761907</v>
      </c>
    </row>
    <row r="103" spans="1:10">
      <c r="A103" s="441">
        <v>5001</v>
      </c>
      <c r="B103" s="441" t="s">
        <v>1502</v>
      </c>
      <c r="C103" s="545">
        <v>216.16666666666666</v>
      </c>
      <c r="D103" s="545">
        <v>174.66666666666669</v>
      </c>
      <c r="E103" s="545">
        <v>149.66666666666666</v>
      </c>
      <c r="F103" s="545">
        <v>200.73809523809524</v>
      </c>
      <c r="G103" s="545">
        <v>145.80000000000001</v>
      </c>
      <c r="H103" s="545">
        <v>102</v>
      </c>
      <c r="I103" s="545">
        <v>106.33333333333333</v>
      </c>
      <c r="J103" s="545">
        <v>133.9047619047619</v>
      </c>
    </row>
    <row r="104" spans="1:10">
      <c r="A104" s="441">
        <v>5882</v>
      </c>
      <c r="B104" s="441" t="s">
        <v>1502</v>
      </c>
      <c r="C104" s="545">
        <v>229.83333333333331</v>
      </c>
      <c r="D104" s="545">
        <v>177.33333333333334</v>
      </c>
      <c r="E104" s="545">
        <v>186.66666666666666</v>
      </c>
      <c r="F104" s="545">
        <v>216.16666666666666</v>
      </c>
      <c r="G104" s="545">
        <v>149</v>
      </c>
      <c r="H104" s="545">
        <v>106.66666666666667</v>
      </c>
      <c r="I104" s="545">
        <v>136</v>
      </c>
      <c r="J104" s="545">
        <v>141.0952380952381</v>
      </c>
    </row>
    <row r="105" spans="1:10">
      <c r="A105" s="441">
        <v>5877</v>
      </c>
      <c r="B105" s="441" t="s">
        <v>1503</v>
      </c>
      <c r="C105" s="545">
        <v>21</v>
      </c>
      <c r="D105" s="545">
        <v>23.666666666666664</v>
      </c>
      <c r="E105" s="545">
        <v>30.666666666666664</v>
      </c>
      <c r="F105" s="545">
        <v>22.761904761904759</v>
      </c>
      <c r="G105" s="545">
        <v>24.45</v>
      </c>
      <c r="H105" s="545">
        <v>18.333333333333332</v>
      </c>
      <c r="I105" s="545">
        <v>31.333333333333332</v>
      </c>
      <c r="J105" s="545">
        <v>24.559523809523814</v>
      </c>
    </row>
    <row r="106" spans="1:10">
      <c r="A106" s="441">
        <v>4996</v>
      </c>
      <c r="B106" s="441" t="s">
        <v>1504</v>
      </c>
      <c r="C106" s="545">
        <v>66.5</v>
      </c>
      <c r="D106" s="545">
        <v>50.333333333333329</v>
      </c>
      <c r="E106" s="545">
        <v>49.666666666666664</v>
      </c>
      <c r="F106" s="545">
        <v>61.785714285714285</v>
      </c>
      <c r="G106" s="545">
        <v>44.3</v>
      </c>
      <c r="H106" s="545">
        <v>34</v>
      </c>
      <c r="I106" s="545">
        <v>39</v>
      </c>
      <c r="J106" s="545">
        <v>42.071428571428569</v>
      </c>
    </row>
    <row r="107" spans="1:10">
      <c r="A107" s="441">
        <v>5006</v>
      </c>
      <c r="B107" s="441" t="s">
        <v>1504</v>
      </c>
      <c r="C107" s="545">
        <v>63.5</v>
      </c>
      <c r="D107" s="545">
        <v>50.333333333333329</v>
      </c>
      <c r="E107" s="545">
        <v>44.666666666666664</v>
      </c>
      <c r="F107" s="545">
        <v>58.928571428571431</v>
      </c>
      <c r="G107" s="545">
        <v>46.85</v>
      </c>
      <c r="H107" s="545">
        <v>40.666666666666664</v>
      </c>
      <c r="I107" s="545">
        <v>43.666666666666664</v>
      </c>
      <c r="J107" s="545">
        <v>45.511904761904766</v>
      </c>
    </row>
    <row r="108" spans="1:10">
      <c r="A108" s="441">
        <v>4995</v>
      </c>
      <c r="B108" s="441" t="s">
        <v>1505</v>
      </c>
      <c r="C108" s="545">
        <v>10.5</v>
      </c>
      <c r="D108" s="545">
        <v>9.3333333333333339</v>
      </c>
      <c r="E108" s="545">
        <v>5</v>
      </c>
      <c r="F108" s="545">
        <v>9.5476190476190492</v>
      </c>
      <c r="G108" s="545">
        <v>9.15</v>
      </c>
      <c r="H108" s="545">
        <v>8</v>
      </c>
      <c r="I108" s="545">
        <v>8.6666666666666661</v>
      </c>
      <c r="J108" s="545">
        <v>8.9166666666666661</v>
      </c>
    </row>
    <row r="109" spans="1:10">
      <c r="A109" s="441">
        <v>5007</v>
      </c>
      <c r="B109" s="441" t="s">
        <v>1505</v>
      </c>
      <c r="C109" s="545">
        <v>15.5</v>
      </c>
      <c r="D109" s="545">
        <v>15.333333333333332</v>
      </c>
      <c r="E109" s="545">
        <v>12.666666666666668</v>
      </c>
      <c r="F109" s="545">
        <v>15.071428571428571</v>
      </c>
      <c r="G109" s="545">
        <v>10.45</v>
      </c>
      <c r="H109" s="545">
        <v>11</v>
      </c>
      <c r="I109" s="545">
        <v>8</v>
      </c>
      <c r="J109" s="545">
        <v>10.178571428571429</v>
      </c>
    </row>
    <row r="110" spans="1:10">
      <c r="A110" s="441">
        <v>4991</v>
      </c>
      <c r="B110" s="441" t="s">
        <v>1506</v>
      </c>
      <c r="C110" s="545">
        <v>17.166666666666664</v>
      </c>
      <c r="D110" s="545">
        <v>11.666666666666666</v>
      </c>
      <c r="E110" s="545">
        <v>16.333333333333336</v>
      </c>
      <c r="F110" s="545">
        <v>16.261904761904759</v>
      </c>
      <c r="G110" s="545">
        <v>10.15</v>
      </c>
      <c r="H110" s="545">
        <v>8.3333333333333339</v>
      </c>
      <c r="I110" s="545">
        <v>11.333333333333334</v>
      </c>
      <c r="J110" s="545">
        <v>10.05952380952381</v>
      </c>
    </row>
    <row r="111" spans="1:10">
      <c r="A111" s="441">
        <v>5011</v>
      </c>
      <c r="B111" s="441" t="s">
        <v>1506</v>
      </c>
      <c r="C111" s="545">
        <v>14.833333333333332</v>
      </c>
      <c r="D111" s="545">
        <v>7.3333333333333339</v>
      </c>
      <c r="E111" s="545">
        <v>14.666666666666668</v>
      </c>
      <c r="F111" s="545">
        <v>13.738095238095237</v>
      </c>
      <c r="G111" s="545">
        <v>10</v>
      </c>
      <c r="H111" s="545">
        <v>11.333333333333334</v>
      </c>
      <c r="I111" s="545">
        <v>13.333333333333334</v>
      </c>
      <c r="J111" s="545">
        <v>10.666666666666668</v>
      </c>
    </row>
    <row r="112" spans="1:10">
      <c r="A112" s="441">
        <v>5016</v>
      </c>
      <c r="B112" s="441" t="s">
        <v>1507</v>
      </c>
      <c r="C112" s="545">
        <v>50.166666666666664</v>
      </c>
      <c r="D112" s="545">
        <v>33</v>
      </c>
      <c r="E112" s="545">
        <v>23.666666666666668</v>
      </c>
      <c r="F112" s="545">
        <v>43.928571428571431</v>
      </c>
      <c r="G112" s="545">
        <v>30.8</v>
      </c>
      <c r="H112" s="545">
        <v>22</v>
      </c>
      <c r="I112" s="545">
        <v>18</v>
      </c>
      <c r="J112" s="545">
        <v>27.714285714285715</v>
      </c>
    </row>
    <row r="113" spans="1:10">
      <c r="A113" s="441">
        <v>10230</v>
      </c>
      <c r="B113" s="441" t="s">
        <v>1507</v>
      </c>
      <c r="C113" s="545">
        <v>63.666666666666664</v>
      </c>
      <c r="D113" s="545">
        <v>49</v>
      </c>
      <c r="E113" s="545">
        <v>45.666666666666664</v>
      </c>
      <c r="F113" s="545">
        <v>59</v>
      </c>
      <c r="G113" s="545">
        <v>13.2</v>
      </c>
      <c r="H113" s="545">
        <v>6.333333333333333</v>
      </c>
      <c r="I113" s="545">
        <v>10.333333333333334</v>
      </c>
      <c r="J113" s="545">
        <v>11.809523809523808</v>
      </c>
    </row>
    <row r="114" spans="1:10">
      <c r="A114" s="441">
        <v>5858</v>
      </c>
      <c r="B114" s="441" t="s">
        <v>1508</v>
      </c>
      <c r="C114" s="545">
        <v>91.333333333333343</v>
      </c>
      <c r="D114" s="545">
        <v>74.666666666666671</v>
      </c>
      <c r="E114" s="545">
        <v>89.666666666666671</v>
      </c>
      <c r="F114" s="545">
        <v>88.714285714285708</v>
      </c>
      <c r="G114" s="545">
        <v>67.55</v>
      </c>
      <c r="H114" s="545">
        <v>52.666666666666664</v>
      </c>
      <c r="I114" s="545">
        <v>53.333333333333336</v>
      </c>
      <c r="J114" s="545">
        <v>63.392857142857146</v>
      </c>
    </row>
    <row r="115" spans="1:10">
      <c r="A115" s="441">
        <v>5903</v>
      </c>
      <c r="B115" s="441" t="s">
        <v>1508</v>
      </c>
      <c r="C115" s="545">
        <v>73</v>
      </c>
      <c r="D115" s="545">
        <v>59</v>
      </c>
      <c r="E115" s="545">
        <v>61.666666666666671</v>
      </c>
      <c r="F115" s="545">
        <v>69.38095238095238</v>
      </c>
      <c r="G115" s="545">
        <v>46.05</v>
      </c>
      <c r="H115" s="545">
        <v>42.666666666666664</v>
      </c>
      <c r="I115" s="545">
        <v>47.333333333333336</v>
      </c>
      <c r="J115" s="545">
        <v>45.75</v>
      </c>
    </row>
    <row r="116" spans="1:10">
      <c r="A116" s="441">
        <v>5889</v>
      </c>
      <c r="B116" s="441" t="s">
        <v>1509</v>
      </c>
      <c r="C116" s="545">
        <v>21.333333333333336</v>
      </c>
      <c r="D116" s="545">
        <v>16.666666666666668</v>
      </c>
      <c r="E116" s="545">
        <v>18.666666666666668</v>
      </c>
      <c r="F116" s="545">
        <v>20.285714285714288</v>
      </c>
      <c r="G116" s="545">
        <v>18.350000000000001</v>
      </c>
      <c r="H116" s="545">
        <v>13.666666666666666</v>
      </c>
      <c r="I116" s="545">
        <v>16</v>
      </c>
      <c r="J116" s="545">
        <v>17.345238095238095</v>
      </c>
    </row>
    <row r="117" spans="1:10">
      <c r="A117" s="441">
        <v>5875</v>
      </c>
      <c r="B117" s="441" t="s">
        <v>1510</v>
      </c>
      <c r="C117" s="545">
        <v>3.833333333333333</v>
      </c>
      <c r="D117" s="545">
        <v>42</v>
      </c>
      <c r="E117" s="545">
        <v>128</v>
      </c>
      <c r="F117" s="545">
        <v>27.023809523809522</v>
      </c>
      <c r="G117" s="545">
        <v>4.95</v>
      </c>
      <c r="H117" s="545">
        <v>31.333333333333332</v>
      </c>
      <c r="I117" s="545">
        <v>103</v>
      </c>
      <c r="J117" s="545">
        <v>22.726190476190474</v>
      </c>
    </row>
    <row r="118" spans="1:10">
      <c r="A118" s="441">
        <v>5864</v>
      </c>
      <c r="B118" s="441" t="s">
        <v>1511</v>
      </c>
      <c r="C118" s="545">
        <v>12.833333333333332</v>
      </c>
      <c r="D118" s="545">
        <v>10</v>
      </c>
      <c r="E118" s="545">
        <v>13</v>
      </c>
      <c r="F118" s="545">
        <v>12.452380952380951</v>
      </c>
      <c r="G118" s="545">
        <v>9.65</v>
      </c>
      <c r="H118" s="545">
        <v>10</v>
      </c>
      <c r="I118" s="545">
        <v>6.666666666666667</v>
      </c>
      <c r="J118" s="545">
        <v>9.2738095238095237</v>
      </c>
    </row>
    <row r="119" spans="1:10">
      <c r="A119" s="441">
        <v>5898</v>
      </c>
      <c r="B119" s="441" t="s">
        <v>1512</v>
      </c>
      <c r="C119" s="545">
        <v>10</v>
      </c>
      <c r="D119" s="545">
        <v>3</v>
      </c>
      <c r="E119" s="545">
        <v>7</v>
      </c>
      <c r="F119" s="545">
        <v>8.5714285714285712</v>
      </c>
      <c r="G119" s="545">
        <v>8.6999999999999993</v>
      </c>
      <c r="H119" s="545">
        <v>12</v>
      </c>
      <c r="I119" s="545">
        <v>4.666666666666667</v>
      </c>
      <c r="J119" s="545">
        <v>8.5952380952380949</v>
      </c>
    </row>
    <row r="120" spans="1:10">
      <c r="A120" s="441">
        <v>5860</v>
      </c>
      <c r="B120" s="441" t="s">
        <v>1513</v>
      </c>
      <c r="C120" s="545">
        <v>64.666666666666657</v>
      </c>
      <c r="D120" s="545">
        <v>45.666666666666664</v>
      </c>
      <c r="E120" s="545">
        <v>42</v>
      </c>
      <c r="F120" s="545">
        <v>58.714285714285708</v>
      </c>
      <c r="G120" s="545">
        <v>49.85</v>
      </c>
      <c r="H120" s="545">
        <v>44</v>
      </c>
      <c r="I120" s="545">
        <v>48.333333333333336</v>
      </c>
      <c r="J120" s="545">
        <v>48.797619047619044</v>
      </c>
    </row>
    <row r="121" spans="1:10">
      <c r="A121" s="441">
        <v>5861</v>
      </c>
      <c r="B121" s="441" t="s">
        <v>1513</v>
      </c>
      <c r="C121" s="545">
        <v>93.166666666666671</v>
      </c>
      <c r="D121" s="545">
        <v>52.666666666666664</v>
      </c>
      <c r="E121" s="545">
        <v>46.333333333333336</v>
      </c>
      <c r="F121" s="545">
        <v>80.69047619047619</v>
      </c>
      <c r="G121" s="545">
        <v>71.8</v>
      </c>
      <c r="H121" s="545">
        <v>44.333333333333336</v>
      </c>
      <c r="I121" s="545">
        <v>45</v>
      </c>
      <c r="J121" s="545">
        <v>64.047619047619051</v>
      </c>
    </row>
    <row r="122" spans="1:10">
      <c r="A122" s="441">
        <v>5901</v>
      </c>
      <c r="B122" s="441" t="s">
        <v>1513</v>
      </c>
      <c r="C122" s="545">
        <v>71</v>
      </c>
      <c r="D122" s="545">
        <v>57.333333333333329</v>
      </c>
      <c r="E122" s="545">
        <v>41.666666666666671</v>
      </c>
      <c r="F122" s="545">
        <v>64.857142857142861</v>
      </c>
      <c r="G122" s="545">
        <v>70.400000000000006</v>
      </c>
      <c r="H122" s="545">
        <v>38</v>
      </c>
      <c r="I122" s="545">
        <v>56.333333333333336</v>
      </c>
      <c r="J122" s="545">
        <v>63.761904761904759</v>
      </c>
    </row>
    <row r="123" spans="1:10">
      <c r="A123" s="441">
        <v>5870</v>
      </c>
      <c r="B123" s="441" t="s">
        <v>1514</v>
      </c>
      <c r="C123" s="545">
        <v>9</v>
      </c>
      <c r="D123" s="545">
        <v>9</v>
      </c>
      <c r="E123" s="545">
        <v>10.666666666666666</v>
      </c>
      <c r="F123" s="545">
        <v>9.238095238095239</v>
      </c>
      <c r="G123" s="545">
        <v>1.8</v>
      </c>
      <c r="H123" s="545">
        <v>1.3333333333333333</v>
      </c>
      <c r="I123" s="545">
        <v>1</v>
      </c>
      <c r="J123" s="545">
        <v>1.6190476190476191</v>
      </c>
    </row>
    <row r="124" spans="1:10">
      <c r="A124" s="441">
        <v>10048</v>
      </c>
      <c r="B124" s="441" t="s">
        <v>1514</v>
      </c>
      <c r="C124" s="545">
        <v>5.833333333333333</v>
      </c>
      <c r="D124" s="545">
        <v>8</v>
      </c>
      <c r="E124" s="545">
        <v>5.3333333333333339</v>
      </c>
      <c r="F124" s="545">
        <v>6.0714285714285712</v>
      </c>
      <c r="G124" s="545">
        <v>8.3000000000000007</v>
      </c>
      <c r="H124" s="545">
        <v>4.333333333333333</v>
      </c>
      <c r="I124" s="545">
        <v>6</v>
      </c>
      <c r="J124" s="545">
        <v>7.4047619047619051</v>
      </c>
    </row>
    <row r="125" spans="1:10">
      <c r="A125" s="441">
        <v>5890</v>
      </c>
      <c r="B125" s="441" t="s">
        <v>1515</v>
      </c>
      <c r="C125" s="545">
        <v>17.666666666666668</v>
      </c>
      <c r="D125" s="545">
        <v>14</v>
      </c>
      <c r="E125" s="545">
        <v>12.333333333333332</v>
      </c>
      <c r="F125" s="545">
        <v>16.380952380952383</v>
      </c>
      <c r="G125" s="545">
        <v>14.55</v>
      </c>
      <c r="H125" s="545">
        <v>10.333333333333334</v>
      </c>
      <c r="I125" s="545">
        <v>10.666666666666666</v>
      </c>
      <c r="J125" s="545">
        <v>13.392857142857142</v>
      </c>
    </row>
    <row r="126" spans="1:10">
      <c r="A126" s="441">
        <v>5895</v>
      </c>
      <c r="B126" s="441" t="s">
        <v>1516</v>
      </c>
      <c r="C126" s="545">
        <v>2.5</v>
      </c>
      <c r="D126" s="545">
        <v>3</v>
      </c>
      <c r="E126" s="545">
        <v>4.6666666666666661</v>
      </c>
      <c r="F126" s="545">
        <v>2.8809523809523805</v>
      </c>
      <c r="G126" s="545">
        <v>5.55</v>
      </c>
      <c r="H126" s="545">
        <v>2.3333333333333335</v>
      </c>
      <c r="I126" s="545">
        <v>2</v>
      </c>
      <c r="J126" s="545">
        <v>4.583333333333333</v>
      </c>
    </row>
    <row r="127" spans="1:10">
      <c r="A127" s="441">
        <v>5881</v>
      </c>
      <c r="B127" s="441" t="s">
        <v>1517</v>
      </c>
      <c r="C127" s="545">
        <v>16.166666666666668</v>
      </c>
      <c r="D127" s="545">
        <v>14.666666666666668</v>
      </c>
      <c r="E127" s="545">
        <v>23.666666666666668</v>
      </c>
      <c r="F127" s="545">
        <v>17.023809523809526</v>
      </c>
      <c r="G127" s="545">
        <v>15.4</v>
      </c>
      <c r="H127" s="545">
        <v>11.666666666666666</v>
      </c>
      <c r="I127" s="545">
        <v>18.333333333333332</v>
      </c>
      <c r="J127" s="545">
        <v>15.285714285714286</v>
      </c>
    </row>
    <row r="128" spans="1:10">
      <c r="A128" s="441">
        <v>5883</v>
      </c>
      <c r="B128" s="441" t="s">
        <v>1517</v>
      </c>
      <c r="C128" s="545">
        <v>35.166666666666664</v>
      </c>
      <c r="D128" s="545">
        <v>27.333333333333336</v>
      </c>
      <c r="E128" s="545">
        <v>56.333333333333329</v>
      </c>
      <c r="F128" s="545">
        <v>37.071428571428569</v>
      </c>
      <c r="G128" s="545">
        <v>25.3</v>
      </c>
      <c r="H128" s="545">
        <v>18.333333333333332</v>
      </c>
      <c r="I128" s="545">
        <v>40.666666666666664</v>
      </c>
      <c r="J128" s="545">
        <v>26.5</v>
      </c>
    </row>
    <row r="129" spans="1:10">
      <c r="A129" s="441">
        <v>6028</v>
      </c>
      <c r="B129" s="441" t="s">
        <v>1518</v>
      </c>
      <c r="C129" s="545">
        <v>28</v>
      </c>
      <c r="D129" s="545">
        <v>24.333333333333336</v>
      </c>
      <c r="E129" s="545">
        <v>29.333333333333336</v>
      </c>
      <c r="F129" s="545">
        <v>27.666666666666668</v>
      </c>
      <c r="G129" s="545">
        <v>41.85</v>
      </c>
      <c r="H129" s="545">
        <v>17.333333333333332</v>
      </c>
      <c r="I129" s="545">
        <v>16.666666666666668</v>
      </c>
      <c r="J129" s="545">
        <v>34.75</v>
      </c>
    </row>
    <row r="130" spans="1:10">
      <c r="A130" s="441">
        <v>5876</v>
      </c>
      <c r="B130" s="441" t="s">
        <v>1519</v>
      </c>
      <c r="C130" s="545">
        <v>11</v>
      </c>
      <c r="D130" s="545">
        <v>160.33333333333331</v>
      </c>
      <c r="E130" s="545">
        <v>349.66666666666669</v>
      </c>
      <c r="F130" s="545">
        <v>80.714285714285708</v>
      </c>
      <c r="G130" s="545">
        <v>12.05</v>
      </c>
      <c r="H130" s="545">
        <v>135</v>
      </c>
      <c r="I130" s="545">
        <v>265.66666666666669</v>
      </c>
      <c r="J130" s="545">
        <v>65.845238095238102</v>
      </c>
    </row>
    <row r="131" spans="1:10">
      <c r="A131" s="441">
        <v>5888</v>
      </c>
      <c r="B131" s="441" t="s">
        <v>1519</v>
      </c>
      <c r="C131" s="545">
        <v>10.166666666666666</v>
      </c>
      <c r="D131" s="545">
        <v>130</v>
      </c>
      <c r="E131" s="545">
        <v>290.33333333333331</v>
      </c>
      <c r="F131" s="545">
        <v>67.30952380952381</v>
      </c>
      <c r="G131" s="545">
        <v>6.3</v>
      </c>
      <c r="H131" s="545">
        <v>95.333333333333329</v>
      </c>
      <c r="I131" s="545">
        <v>210</v>
      </c>
      <c r="J131" s="545">
        <v>48.119047619047613</v>
      </c>
    </row>
    <row r="132" spans="1:10">
      <c r="A132" s="441">
        <v>10073</v>
      </c>
      <c r="B132" s="441" t="s">
        <v>1519</v>
      </c>
      <c r="C132" s="545">
        <v>4.8333333333333339</v>
      </c>
      <c r="D132" s="545">
        <v>82</v>
      </c>
      <c r="E132" s="545">
        <v>162</v>
      </c>
      <c r="F132" s="545">
        <v>38.30952380952381</v>
      </c>
      <c r="G132" s="545">
        <v>4.4000000000000004</v>
      </c>
      <c r="H132" s="545">
        <v>53</v>
      </c>
      <c r="I132" s="545">
        <v>127.66666666666667</v>
      </c>
      <c r="J132" s="545">
        <v>28.952380952380956</v>
      </c>
    </row>
    <row r="133" spans="1:10">
      <c r="A133" s="441">
        <v>4990</v>
      </c>
      <c r="B133" s="441" t="s">
        <v>1520</v>
      </c>
      <c r="C133" s="545">
        <v>33</v>
      </c>
      <c r="D133" s="545">
        <v>22.333333333333332</v>
      </c>
      <c r="E133" s="545">
        <v>22.666666666666664</v>
      </c>
      <c r="F133" s="545">
        <v>30</v>
      </c>
      <c r="G133" s="545">
        <v>20.149999999999999</v>
      </c>
      <c r="H133" s="545">
        <v>17.666666666666668</v>
      </c>
      <c r="I133" s="545">
        <v>23.333333333333332</v>
      </c>
      <c r="J133" s="545">
        <v>20.25</v>
      </c>
    </row>
    <row r="134" spans="1:10">
      <c r="A134" s="441">
        <v>5012</v>
      </c>
      <c r="B134" s="441" t="s">
        <v>1520</v>
      </c>
      <c r="C134" s="545">
        <v>19.833333333333336</v>
      </c>
      <c r="D134" s="545">
        <v>17</v>
      </c>
      <c r="E134" s="545">
        <v>14.333333333333332</v>
      </c>
      <c r="F134" s="545">
        <v>18.642857142857146</v>
      </c>
      <c r="G134" s="545">
        <v>16.7</v>
      </c>
      <c r="H134" s="545">
        <v>14</v>
      </c>
      <c r="I134" s="545">
        <v>18.333333333333332</v>
      </c>
      <c r="J134" s="545">
        <v>16.547619047619047</v>
      </c>
    </row>
    <row r="135" spans="1:10">
      <c r="A135" s="441">
        <v>5866</v>
      </c>
      <c r="B135" s="441" t="s">
        <v>1521</v>
      </c>
      <c r="C135" s="545">
        <v>4.333333333333333</v>
      </c>
      <c r="D135" s="545">
        <v>2.333333333333333</v>
      </c>
      <c r="E135" s="545">
        <v>4.333333333333333</v>
      </c>
      <c r="F135" s="545">
        <v>4.0476190476190466</v>
      </c>
      <c r="G135" s="545">
        <v>5.15</v>
      </c>
      <c r="H135" s="545">
        <v>6</v>
      </c>
      <c r="I135" s="545">
        <v>5.666666666666667</v>
      </c>
      <c r="J135" s="545">
        <v>5.3452380952380949</v>
      </c>
    </row>
    <row r="136" spans="1:10">
      <c r="A136" s="441">
        <v>5878</v>
      </c>
      <c r="B136" s="441" t="s">
        <v>1522</v>
      </c>
      <c r="C136" s="545">
        <v>1.8333333333333333</v>
      </c>
      <c r="D136" s="545">
        <v>4.6666666666666661</v>
      </c>
      <c r="E136" s="545">
        <v>1.6666666666666667</v>
      </c>
      <c r="F136" s="545">
        <v>2.214285714285714</v>
      </c>
      <c r="G136" s="545">
        <v>3</v>
      </c>
      <c r="H136" s="545">
        <v>1.3333333333333333</v>
      </c>
      <c r="I136" s="545">
        <v>4.333333333333333</v>
      </c>
      <c r="J136" s="545">
        <v>2.9523809523809521</v>
      </c>
    </row>
    <row r="137" spans="1:10">
      <c r="A137" s="441">
        <v>5886</v>
      </c>
      <c r="B137" s="441" t="s">
        <v>1522</v>
      </c>
      <c r="C137" s="545">
        <v>2.8333333333333335</v>
      </c>
      <c r="D137" s="545">
        <v>2.6666666666666665</v>
      </c>
      <c r="E137" s="545">
        <v>2</v>
      </c>
      <c r="F137" s="545">
        <v>2.6904761904761907</v>
      </c>
      <c r="G137" s="545">
        <v>3.3</v>
      </c>
      <c r="H137" s="545">
        <v>1.6666666666666667</v>
      </c>
      <c r="I137" s="545">
        <v>5</v>
      </c>
      <c r="J137" s="545">
        <v>3.3095238095238098</v>
      </c>
    </row>
    <row r="138" spans="1:10">
      <c r="A138" s="441">
        <v>4997</v>
      </c>
      <c r="B138" s="441" t="s">
        <v>1523</v>
      </c>
      <c r="C138" s="545">
        <v>14.833333333333332</v>
      </c>
      <c r="D138" s="545">
        <v>17</v>
      </c>
      <c r="E138" s="545">
        <v>8.6666666666666679</v>
      </c>
      <c r="F138" s="545">
        <v>14.261904761904761</v>
      </c>
      <c r="G138" s="545">
        <v>15.65</v>
      </c>
      <c r="H138" s="545">
        <v>13</v>
      </c>
      <c r="I138" s="545">
        <v>13.666666666666666</v>
      </c>
      <c r="J138" s="545">
        <v>14.988095238095239</v>
      </c>
    </row>
    <row r="139" spans="1:10">
      <c r="A139" s="441">
        <v>5005</v>
      </c>
      <c r="B139" s="441" t="s">
        <v>1523</v>
      </c>
      <c r="C139" s="545">
        <v>11.833333333333332</v>
      </c>
      <c r="D139" s="545">
        <v>7.6666666666666661</v>
      </c>
      <c r="E139" s="545">
        <v>8.3333333333333339</v>
      </c>
      <c r="F139" s="545">
        <v>10.738095238095237</v>
      </c>
      <c r="G139" s="545">
        <v>17.75</v>
      </c>
      <c r="H139" s="545">
        <v>15.333333333333334</v>
      </c>
      <c r="I139" s="545">
        <v>19</v>
      </c>
      <c r="J139" s="545">
        <v>17.583333333333332</v>
      </c>
    </row>
    <row r="140" spans="1:10">
      <c r="A140" s="441">
        <v>5863</v>
      </c>
      <c r="B140" s="441" t="s">
        <v>1524</v>
      </c>
      <c r="C140" s="545">
        <v>19.333333333333336</v>
      </c>
      <c r="D140" s="545">
        <v>67.666666666666671</v>
      </c>
      <c r="E140" s="545">
        <v>140.33333333333334</v>
      </c>
      <c r="F140" s="545">
        <v>43.523809523809533</v>
      </c>
      <c r="G140" s="545">
        <v>16.350000000000001</v>
      </c>
      <c r="H140" s="545">
        <v>60</v>
      </c>
      <c r="I140" s="545">
        <v>140</v>
      </c>
      <c r="J140" s="545">
        <v>40.25</v>
      </c>
    </row>
    <row r="141" spans="1:10">
      <c r="A141" s="441">
        <v>5899</v>
      </c>
      <c r="B141" s="441" t="s">
        <v>1524</v>
      </c>
      <c r="C141" s="545">
        <v>19</v>
      </c>
      <c r="D141" s="545">
        <v>65</v>
      </c>
      <c r="E141" s="545">
        <v>125</v>
      </c>
      <c r="F141" s="545">
        <v>40.714285714285715</v>
      </c>
      <c r="G141" s="545">
        <v>12.95</v>
      </c>
      <c r="H141" s="545">
        <v>59.333333333333336</v>
      </c>
      <c r="I141" s="545">
        <v>132</v>
      </c>
      <c r="J141" s="545">
        <v>36.583333333333336</v>
      </c>
    </row>
    <row r="142" spans="1:10">
      <c r="A142" s="441">
        <v>5887</v>
      </c>
      <c r="B142" s="441" t="s">
        <v>1525</v>
      </c>
      <c r="C142" s="545">
        <v>19.666666666666668</v>
      </c>
      <c r="D142" s="545">
        <v>18.333333333333332</v>
      </c>
      <c r="E142" s="545">
        <v>21.333333333333332</v>
      </c>
      <c r="F142" s="545">
        <v>19.714285714285715</v>
      </c>
      <c r="G142" s="545">
        <v>16.75</v>
      </c>
      <c r="H142" s="545">
        <v>15</v>
      </c>
      <c r="I142" s="545">
        <v>23</v>
      </c>
      <c r="J142" s="545">
        <v>17.392857142857142</v>
      </c>
    </row>
    <row r="143" spans="1:10">
      <c r="A143" s="441">
        <v>7544</v>
      </c>
      <c r="B143" s="441" t="s">
        <v>1526</v>
      </c>
      <c r="C143" s="545">
        <v>16.833333333333332</v>
      </c>
      <c r="D143" s="545">
        <v>7.3333333333333339</v>
      </c>
      <c r="E143" s="545">
        <v>7</v>
      </c>
      <c r="F143" s="545">
        <v>14.071428571428569</v>
      </c>
      <c r="G143" s="545">
        <v>6.95</v>
      </c>
      <c r="H143" s="545">
        <v>2.3333333333333335</v>
      </c>
      <c r="I143" s="545">
        <v>3</v>
      </c>
      <c r="J143" s="545">
        <v>5.7261904761904763</v>
      </c>
    </row>
    <row r="144" spans="1:10">
      <c r="A144" s="441">
        <v>7553</v>
      </c>
      <c r="B144" s="441" t="s">
        <v>1526</v>
      </c>
      <c r="C144" s="545">
        <v>15.666666666666666</v>
      </c>
      <c r="D144" s="545">
        <v>8</v>
      </c>
      <c r="E144" s="545">
        <v>7.3333333333333339</v>
      </c>
      <c r="F144" s="545">
        <v>13.38095238095238</v>
      </c>
      <c r="G144" s="545">
        <v>9.6999999999999993</v>
      </c>
      <c r="H144" s="545">
        <v>3.6666666666666665</v>
      </c>
      <c r="I144" s="545">
        <v>5</v>
      </c>
      <c r="J144" s="545">
        <v>8.1666666666666661</v>
      </c>
    </row>
    <row r="145" spans="1:10">
      <c r="A145" s="441">
        <v>5869</v>
      </c>
      <c r="B145" s="441" t="s">
        <v>1527</v>
      </c>
      <c r="C145" s="545">
        <v>10.5</v>
      </c>
      <c r="D145" s="545">
        <v>9.3333333333333321</v>
      </c>
      <c r="E145" s="545">
        <v>6.6666666666666661</v>
      </c>
      <c r="F145" s="545">
        <v>9.7857142857142865</v>
      </c>
      <c r="G145" s="545">
        <v>11.15</v>
      </c>
      <c r="H145" s="545">
        <v>14.666666666666666</v>
      </c>
      <c r="I145" s="545">
        <v>10.333333333333334</v>
      </c>
      <c r="J145" s="545">
        <v>11.535714285714286</v>
      </c>
    </row>
    <row r="146" spans="1:10">
      <c r="A146" s="441">
        <v>5892</v>
      </c>
      <c r="B146" s="441" t="s">
        <v>1527</v>
      </c>
      <c r="C146" s="545">
        <v>12.166666666666668</v>
      </c>
      <c r="D146" s="545">
        <v>8.6666666666666679</v>
      </c>
      <c r="E146" s="545">
        <v>8.3333333333333339</v>
      </c>
      <c r="F146" s="545">
        <v>11.11904761904762</v>
      </c>
      <c r="G146" s="545">
        <v>4.95</v>
      </c>
      <c r="H146" s="545">
        <v>8</v>
      </c>
      <c r="I146" s="545">
        <v>9.6666666666666661</v>
      </c>
      <c r="J146" s="545">
        <v>6.0595238095238093</v>
      </c>
    </row>
    <row r="147" spans="1:10">
      <c r="A147" s="441">
        <v>4985</v>
      </c>
      <c r="B147" s="441" t="s">
        <v>1528</v>
      </c>
      <c r="C147" s="545">
        <v>201.16666666666666</v>
      </c>
      <c r="D147" s="545">
        <v>161.33333333333334</v>
      </c>
      <c r="E147" s="545">
        <v>140</v>
      </c>
      <c r="F147" s="545">
        <v>186.73809523809521</v>
      </c>
      <c r="G147" s="545">
        <v>66.8</v>
      </c>
      <c r="H147" s="545">
        <v>66.333333333333329</v>
      </c>
      <c r="I147" s="545">
        <v>57.666666666666664</v>
      </c>
      <c r="J147" s="545">
        <v>65.428571428571431</v>
      </c>
    </row>
    <row r="148" spans="1:10">
      <c r="A148" s="441">
        <v>7545</v>
      </c>
      <c r="B148" s="441" t="s">
        <v>1529</v>
      </c>
      <c r="C148" s="545">
        <v>21.666666666666668</v>
      </c>
      <c r="D148" s="545">
        <v>12.666666666666668</v>
      </c>
      <c r="E148" s="545">
        <v>13.666666666666666</v>
      </c>
      <c r="F148" s="545">
        <v>19.238095238095241</v>
      </c>
      <c r="G148" s="545">
        <v>14.6</v>
      </c>
      <c r="H148" s="545">
        <v>14.666666666666666</v>
      </c>
      <c r="I148" s="545">
        <v>10</v>
      </c>
      <c r="J148" s="545">
        <v>13.952380952380953</v>
      </c>
    </row>
    <row r="149" spans="1:10">
      <c r="A149" s="441">
        <v>7552</v>
      </c>
      <c r="B149" s="441" t="s">
        <v>1529</v>
      </c>
      <c r="C149" s="545">
        <v>16.833333333333332</v>
      </c>
      <c r="D149" s="545">
        <v>12</v>
      </c>
      <c r="E149" s="545">
        <v>14.666666666666666</v>
      </c>
      <c r="F149" s="545">
        <v>15.833333333333332</v>
      </c>
      <c r="G149" s="545">
        <v>12.1</v>
      </c>
      <c r="H149" s="545">
        <v>10.666666666666666</v>
      </c>
      <c r="I149" s="545">
        <v>8</v>
      </c>
      <c r="J149" s="545">
        <v>11.30952380952381</v>
      </c>
    </row>
    <row r="150" spans="1:10">
      <c r="A150" s="441">
        <v>4999</v>
      </c>
      <c r="B150" s="441" t="s">
        <v>1530</v>
      </c>
      <c r="C150" s="545">
        <v>26</v>
      </c>
      <c r="D150" s="545">
        <v>17.333333333333332</v>
      </c>
      <c r="E150" s="545">
        <v>12.666666666666668</v>
      </c>
      <c r="F150" s="545">
        <v>22.857142857142858</v>
      </c>
      <c r="G150" s="545">
        <v>13.4</v>
      </c>
      <c r="H150" s="545">
        <v>12.666666666666666</v>
      </c>
      <c r="I150" s="545">
        <v>11</v>
      </c>
      <c r="J150" s="545">
        <v>12.952380952380953</v>
      </c>
    </row>
    <row r="151" spans="1:10">
      <c r="A151" s="441">
        <v>5003</v>
      </c>
      <c r="B151" s="441" t="s">
        <v>1530</v>
      </c>
      <c r="C151" s="545">
        <v>23.5</v>
      </c>
      <c r="D151" s="545">
        <v>14.666666666666668</v>
      </c>
      <c r="E151" s="545">
        <v>12.333333333333332</v>
      </c>
      <c r="F151" s="545">
        <v>20.642857142857142</v>
      </c>
      <c r="G151" s="545">
        <v>15.55</v>
      </c>
      <c r="H151" s="545">
        <v>10.333333333333334</v>
      </c>
      <c r="I151" s="545">
        <v>6.666666666666667</v>
      </c>
      <c r="J151" s="545">
        <v>13.535714285714286</v>
      </c>
    </row>
    <row r="152" spans="1:10">
      <c r="A152" s="441">
        <v>6017</v>
      </c>
      <c r="B152" s="441" t="s">
        <v>1531</v>
      </c>
      <c r="C152" s="545">
        <v>34.333333333333336</v>
      </c>
      <c r="D152" s="545">
        <v>24</v>
      </c>
      <c r="E152" s="545">
        <v>31.666666666666664</v>
      </c>
      <c r="F152" s="545">
        <v>32.476190476190474</v>
      </c>
      <c r="G152" s="545">
        <v>24.9</v>
      </c>
      <c r="H152" s="545">
        <v>28.333333333333332</v>
      </c>
      <c r="I152" s="545">
        <v>25.666666666666668</v>
      </c>
      <c r="J152" s="545">
        <v>25.5</v>
      </c>
    </row>
    <row r="153" spans="1:10">
      <c r="A153" s="441">
        <v>5872</v>
      </c>
      <c r="B153" s="441" t="s">
        <v>1532</v>
      </c>
      <c r="C153" s="545">
        <v>17</v>
      </c>
      <c r="D153" s="545">
        <v>10.666666666666666</v>
      </c>
      <c r="E153" s="545">
        <v>9.3333333333333339</v>
      </c>
      <c r="F153" s="545">
        <v>15</v>
      </c>
      <c r="G153" s="545">
        <v>9.25</v>
      </c>
      <c r="H153" s="545">
        <v>7.666666666666667</v>
      </c>
      <c r="I153" s="545">
        <v>7.333333333333333</v>
      </c>
      <c r="J153" s="545">
        <v>8.75</v>
      </c>
    </row>
    <row r="154" spans="1:10">
      <c r="A154" s="441">
        <v>5873</v>
      </c>
      <c r="B154" s="441" t="s">
        <v>1532</v>
      </c>
      <c r="C154" s="545">
        <v>27.5</v>
      </c>
      <c r="D154" s="545">
        <v>14.666666666666666</v>
      </c>
      <c r="E154" s="545">
        <v>13.666666666666666</v>
      </c>
      <c r="F154" s="545">
        <v>23.690476190476186</v>
      </c>
      <c r="G154" s="545">
        <v>16.600000000000001</v>
      </c>
      <c r="H154" s="545">
        <v>12.333333333333334</v>
      </c>
      <c r="I154" s="545">
        <v>13.666666666666666</v>
      </c>
      <c r="J154" s="545">
        <v>15.571428571428571</v>
      </c>
    </row>
    <row r="155" spans="1:10">
      <c r="A155" s="441">
        <v>5004</v>
      </c>
      <c r="B155" s="441" t="s">
        <v>1533</v>
      </c>
      <c r="C155" s="545">
        <v>16.833333333333336</v>
      </c>
      <c r="D155" s="545">
        <v>11.333333333333332</v>
      </c>
      <c r="E155" s="545">
        <v>6.333333333333333</v>
      </c>
      <c r="F155" s="545">
        <v>14.547619047619049</v>
      </c>
      <c r="G155" s="545">
        <v>13.3</v>
      </c>
      <c r="H155" s="545">
        <v>9.6666666666666661</v>
      </c>
      <c r="I155" s="545">
        <v>4.666666666666667</v>
      </c>
      <c r="J155" s="545">
        <v>11.547619047619049</v>
      </c>
    </row>
    <row r="156" spans="1:10">
      <c r="A156" s="441">
        <v>6029</v>
      </c>
      <c r="B156" s="441" t="s">
        <v>1534</v>
      </c>
      <c r="C156" s="545">
        <v>18.333333333333332</v>
      </c>
      <c r="D156" s="545">
        <v>14.333333333333334</v>
      </c>
      <c r="E156" s="545">
        <v>14.333333333333334</v>
      </c>
      <c r="F156" s="545">
        <v>17.190476190476186</v>
      </c>
      <c r="G156" s="545">
        <v>22.35</v>
      </c>
      <c r="H156" s="545">
        <v>24.333333333333332</v>
      </c>
      <c r="I156" s="545">
        <v>17.666666666666668</v>
      </c>
      <c r="J156" s="545">
        <v>21.964285714285715</v>
      </c>
    </row>
    <row r="157" spans="1:10">
      <c r="A157" s="441">
        <v>4989</v>
      </c>
      <c r="B157" s="441" t="s">
        <v>1535</v>
      </c>
      <c r="C157" s="545">
        <v>181.66666666666666</v>
      </c>
      <c r="D157" s="545">
        <v>161</v>
      </c>
      <c r="E157" s="545">
        <v>149</v>
      </c>
      <c r="F157" s="545">
        <v>174.04761904761904</v>
      </c>
      <c r="G157" s="545">
        <v>131.5</v>
      </c>
      <c r="H157" s="545">
        <v>106</v>
      </c>
      <c r="I157" s="545">
        <v>102</v>
      </c>
      <c r="J157" s="545">
        <v>123.64285714285714</v>
      </c>
    </row>
    <row r="158" spans="1:10">
      <c r="A158" s="441">
        <v>5013</v>
      </c>
      <c r="B158" s="441" t="s">
        <v>1535</v>
      </c>
      <c r="C158" s="545">
        <v>205.66666666666666</v>
      </c>
      <c r="D158" s="545">
        <v>160.33333333333334</v>
      </c>
      <c r="E158" s="545">
        <v>129</v>
      </c>
      <c r="F158" s="545">
        <v>188.23809523809521</v>
      </c>
      <c r="G158" s="545">
        <v>116.3</v>
      </c>
      <c r="H158" s="545">
        <v>91.333333333333329</v>
      </c>
      <c r="I158" s="545">
        <v>90</v>
      </c>
      <c r="J158" s="545">
        <v>108.97619047619048</v>
      </c>
    </row>
    <row r="159" spans="1:10">
      <c r="A159" s="441">
        <v>4988</v>
      </c>
      <c r="B159" s="441" t="s">
        <v>1536</v>
      </c>
      <c r="C159" s="545">
        <v>7.5</v>
      </c>
      <c r="D159" s="545">
        <v>6.3333333333333339</v>
      </c>
      <c r="E159" s="545">
        <v>7.6666666666666661</v>
      </c>
      <c r="F159" s="545">
        <v>7.3571428571428568</v>
      </c>
      <c r="G159" s="545">
        <v>13.95</v>
      </c>
      <c r="H159" s="545">
        <v>7</v>
      </c>
      <c r="I159" s="545">
        <v>11.666666666666666</v>
      </c>
      <c r="J159" s="545">
        <v>12.630952380952381</v>
      </c>
    </row>
    <row r="160" spans="1:10">
      <c r="A160" s="441">
        <v>5014</v>
      </c>
      <c r="B160" s="441" t="s">
        <v>1536</v>
      </c>
      <c r="C160" s="545">
        <v>21.166666666666668</v>
      </c>
      <c r="D160" s="545">
        <v>17.333333333333336</v>
      </c>
      <c r="E160" s="545">
        <v>9.3333333333333339</v>
      </c>
      <c r="F160" s="545">
        <v>18.928571428571434</v>
      </c>
      <c r="G160" s="545">
        <v>20.6</v>
      </c>
      <c r="H160" s="545">
        <v>16.333333333333332</v>
      </c>
      <c r="I160" s="545">
        <v>10.333333333333334</v>
      </c>
      <c r="J160" s="545">
        <v>18.523809523809522</v>
      </c>
    </row>
    <row r="161" spans="1:10">
      <c r="A161" s="441">
        <v>6019</v>
      </c>
      <c r="B161" s="441" t="s">
        <v>1537</v>
      </c>
      <c r="C161" s="545">
        <v>89.833333333333343</v>
      </c>
      <c r="D161" s="545">
        <v>88.333333333333329</v>
      </c>
      <c r="E161" s="545">
        <v>68.666666666666657</v>
      </c>
      <c r="F161" s="545">
        <v>86.595238095238102</v>
      </c>
      <c r="G161" s="545">
        <v>57.35</v>
      </c>
      <c r="H161" s="545">
        <v>39</v>
      </c>
      <c r="I161" s="545">
        <v>30.333333333333332</v>
      </c>
      <c r="J161" s="545">
        <v>50.869047619047613</v>
      </c>
    </row>
    <row r="162" spans="1:10">
      <c r="A162" s="441">
        <v>7554</v>
      </c>
      <c r="B162" s="441" t="s">
        <v>1538</v>
      </c>
      <c r="C162" s="545">
        <v>66.333333333333329</v>
      </c>
      <c r="D162" s="545">
        <v>50.333333333333329</v>
      </c>
      <c r="E162" s="545">
        <v>42.666666666666671</v>
      </c>
      <c r="F162" s="545">
        <v>60.666666666666664</v>
      </c>
      <c r="G162" s="545">
        <v>18.100000000000001</v>
      </c>
      <c r="H162" s="545">
        <v>20</v>
      </c>
      <c r="I162" s="545">
        <v>14.333333333333334</v>
      </c>
      <c r="J162" s="545">
        <v>17.833333333333332</v>
      </c>
    </row>
    <row r="163" spans="1:10">
      <c r="A163" s="441">
        <v>5874</v>
      </c>
      <c r="B163" s="441" t="s">
        <v>1539</v>
      </c>
      <c r="C163" s="545">
        <v>22.666666666666664</v>
      </c>
      <c r="D163" s="545">
        <v>26</v>
      </c>
      <c r="E163" s="545">
        <v>19.666666666666668</v>
      </c>
      <c r="F163" s="545">
        <v>22.714285714285712</v>
      </c>
      <c r="G163" s="545">
        <v>19.05</v>
      </c>
      <c r="H163" s="545">
        <v>13</v>
      </c>
      <c r="I163" s="545">
        <v>19</v>
      </c>
      <c r="J163" s="545">
        <v>18.178571428571427</v>
      </c>
    </row>
    <row r="164" spans="1:10">
      <c r="A164" s="441">
        <v>5871</v>
      </c>
      <c r="B164" s="441" t="s">
        <v>1540</v>
      </c>
      <c r="C164" s="545">
        <v>12.833333333333332</v>
      </c>
      <c r="D164" s="545">
        <v>8</v>
      </c>
      <c r="E164" s="545">
        <v>9.6666666666666661</v>
      </c>
      <c r="F164" s="545">
        <v>11.69047619047619</v>
      </c>
      <c r="G164" s="545">
        <v>12.9</v>
      </c>
      <c r="H164" s="545">
        <v>9.6666666666666661</v>
      </c>
      <c r="I164" s="545">
        <v>10.333333333333334</v>
      </c>
      <c r="J164" s="545">
        <v>12.071428571428571</v>
      </c>
    </row>
    <row r="165" spans="1:10">
      <c r="A165" s="441">
        <v>5891</v>
      </c>
      <c r="B165" s="441" t="s">
        <v>1540</v>
      </c>
      <c r="C165" s="545">
        <v>10.5</v>
      </c>
      <c r="D165" s="545">
        <v>8.3333333333333321</v>
      </c>
      <c r="E165" s="545">
        <v>4.3333333333333339</v>
      </c>
      <c r="F165" s="545">
        <v>9.3095238095238084</v>
      </c>
      <c r="G165" s="545">
        <v>4.25</v>
      </c>
      <c r="H165" s="545">
        <v>7</v>
      </c>
      <c r="I165" s="545">
        <v>6</v>
      </c>
      <c r="J165" s="545">
        <v>4.8928571428571432</v>
      </c>
    </row>
    <row r="166" spans="1:10">
      <c r="A166" s="441">
        <v>5862</v>
      </c>
      <c r="B166" s="441" t="s">
        <v>1541</v>
      </c>
      <c r="C166" s="545">
        <v>182.33333333333331</v>
      </c>
      <c r="D166" s="545">
        <v>146.66666666666669</v>
      </c>
      <c r="E166" s="545">
        <v>140.33333333333334</v>
      </c>
      <c r="F166" s="545">
        <v>171.23809523809521</v>
      </c>
      <c r="G166" s="545">
        <v>128.15</v>
      </c>
      <c r="H166" s="545">
        <v>129.33333333333334</v>
      </c>
      <c r="I166" s="545">
        <v>130.33333333333334</v>
      </c>
      <c r="J166" s="545">
        <v>128.63095238095238</v>
      </c>
    </row>
    <row r="167" spans="1:10">
      <c r="A167" s="441">
        <v>5900</v>
      </c>
      <c r="B167" s="441" t="s">
        <v>1541</v>
      </c>
      <c r="C167" s="545">
        <v>87.5</v>
      </c>
      <c r="D167" s="545">
        <v>81</v>
      </c>
      <c r="E167" s="545">
        <v>78</v>
      </c>
      <c r="F167" s="545">
        <v>85.214285714285708</v>
      </c>
      <c r="G167" s="545">
        <v>72.099999999999994</v>
      </c>
      <c r="H167" s="545">
        <v>76.666666666666671</v>
      </c>
      <c r="I167" s="545">
        <v>64.333333333333329</v>
      </c>
      <c r="J167" s="545">
        <v>71.642857142857139</v>
      </c>
    </row>
    <row r="168" spans="1:10">
      <c r="A168" s="441">
        <v>10015</v>
      </c>
      <c r="B168" s="441" t="s">
        <v>1541</v>
      </c>
      <c r="C168" s="545">
        <v>154.33333333333334</v>
      </c>
      <c r="D168" s="545">
        <v>117</v>
      </c>
      <c r="E168" s="545">
        <v>121</v>
      </c>
      <c r="F168" s="545">
        <v>144.23809523809524</v>
      </c>
      <c r="G168" s="545">
        <v>104.35</v>
      </c>
      <c r="H168" s="545">
        <v>100.66666666666667</v>
      </c>
      <c r="I168" s="545">
        <v>104</v>
      </c>
      <c r="J168" s="545">
        <v>103.77380952380952</v>
      </c>
    </row>
    <row r="169" spans="1:10">
      <c r="A169" s="441">
        <v>4992</v>
      </c>
      <c r="B169" s="441" t="s">
        <v>1542</v>
      </c>
      <c r="C169" s="545">
        <v>22</v>
      </c>
      <c r="D169" s="545">
        <v>15.333333333333334</v>
      </c>
      <c r="E169" s="545">
        <v>8.6666666666666679</v>
      </c>
      <c r="F169" s="545">
        <v>19.142857142857142</v>
      </c>
      <c r="G169" s="545">
        <v>19.25</v>
      </c>
      <c r="H169" s="545">
        <v>15</v>
      </c>
      <c r="I169" s="545">
        <v>6</v>
      </c>
      <c r="J169" s="545">
        <v>16.75</v>
      </c>
    </row>
    <row r="170" spans="1:10">
      <c r="A170" s="441">
        <v>13125</v>
      </c>
      <c r="B170" s="441" t="s">
        <v>1543</v>
      </c>
      <c r="C170" s="545">
        <v>17.666666666666668</v>
      </c>
      <c r="D170" s="545">
        <v>11</v>
      </c>
      <c r="E170" s="545">
        <v>8.6666666666666679</v>
      </c>
      <c r="F170" s="545">
        <v>15.428571428571431</v>
      </c>
      <c r="G170" s="545">
        <v>51.1</v>
      </c>
      <c r="H170" s="545">
        <v>39</v>
      </c>
      <c r="I170" s="545">
        <v>42.333333333333336</v>
      </c>
      <c r="J170" s="545">
        <v>48.119047619047613</v>
      </c>
    </row>
    <row r="171" spans="1:10">
      <c r="A171" s="441">
        <v>11904</v>
      </c>
      <c r="B171" s="441" t="s">
        <v>1544</v>
      </c>
      <c r="C171" s="545">
        <v>84</v>
      </c>
      <c r="D171" s="545">
        <v>45.666666666666664</v>
      </c>
      <c r="E171" s="545">
        <v>35</v>
      </c>
      <c r="F171" s="545">
        <v>71.523809523809533</v>
      </c>
      <c r="G171" s="545">
        <v>47.3</v>
      </c>
      <c r="H171" s="545">
        <v>36.333333333333336</v>
      </c>
      <c r="I171" s="545">
        <v>14.333333333333334</v>
      </c>
      <c r="J171" s="545">
        <v>41.023809523809518</v>
      </c>
    </row>
    <row r="172" spans="1:10">
      <c r="A172" s="441">
        <v>11944</v>
      </c>
      <c r="B172" s="441" t="s">
        <v>1545</v>
      </c>
      <c r="C172" s="545">
        <v>9.3333333333333321</v>
      </c>
      <c r="D172" s="545">
        <v>2.6666666666666665</v>
      </c>
      <c r="E172" s="545">
        <v>4.333333333333333</v>
      </c>
      <c r="F172" s="545">
        <v>7.6666666666666652</v>
      </c>
      <c r="G172" s="545">
        <v>3.6</v>
      </c>
      <c r="H172" s="545">
        <v>2.6666666666666665</v>
      </c>
      <c r="I172" s="545">
        <v>3.3333333333333335</v>
      </c>
      <c r="J172" s="545">
        <v>3.4285714285714284</v>
      </c>
    </row>
    <row r="173" spans="1:10">
      <c r="A173" s="441">
        <v>12352</v>
      </c>
      <c r="B173" s="441" t="s">
        <v>1546</v>
      </c>
      <c r="C173" s="545">
        <v>4</v>
      </c>
      <c r="D173" s="545">
        <v>2.6666666666666665</v>
      </c>
      <c r="E173" s="545">
        <v>0.33333333333333331</v>
      </c>
      <c r="F173" s="545">
        <v>3.2857142857142856</v>
      </c>
      <c r="G173" s="545">
        <v>3.05</v>
      </c>
      <c r="H173" s="545">
        <v>0.66666666666666663</v>
      </c>
      <c r="I173" s="545">
        <v>3.3333333333333335</v>
      </c>
      <c r="J173" s="545">
        <v>2.75</v>
      </c>
    </row>
    <row r="174" spans="1:10">
      <c r="A174" s="441">
        <v>12353</v>
      </c>
      <c r="B174" s="441" t="s">
        <v>1546</v>
      </c>
      <c r="C174" s="545">
        <v>3.833333333333333</v>
      </c>
      <c r="D174" s="545">
        <v>1</v>
      </c>
      <c r="E174" s="545">
        <v>0.66666666666666663</v>
      </c>
      <c r="F174" s="545">
        <v>2.9761904761904758</v>
      </c>
      <c r="G174" s="545">
        <v>2.25</v>
      </c>
      <c r="H174" s="545">
        <v>1.3333333333333333</v>
      </c>
      <c r="I174" s="545">
        <v>0.33333333333333331</v>
      </c>
      <c r="J174" s="545">
        <v>1.8452380952380953</v>
      </c>
    </row>
    <row r="175" spans="1:10">
      <c r="A175" s="441">
        <v>9097</v>
      </c>
      <c r="B175" s="441" t="s">
        <v>1547</v>
      </c>
      <c r="C175" s="545">
        <v>19.666666666666668</v>
      </c>
      <c r="D175" s="545">
        <v>14.666666666666668</v>
      </c>
      <c r="E175" s="545">
        <v>14.666666666666668</v>
      </c>
      <c r="F175" s="545">
        <v>18.238095238095241</v>
      </c>
      <c r="G175" s="545">
        <v>52.6</v>
      </c>
      <c r="H175" s="545">
        <v>25.666666666666668</v>
      </c>
      <c r="I175" s="545">
        <v>24.666666666666668</v>
      </c>
      <c r="J175" s="545">
        <v>44.761904761904766</v>
      </c>
    </row>
    <row r="176" spans="1:10">
      <c r="A176" s="441">
        <v>9328</v>
      </c>
      <c r="B176" s="441" t="s">
        <v>1547</v>
      </c>
      <c r="C176" s="545">
        <v>5.5</v>
      </c>
      <c r="D176" s="545">
        <v>2.333333333333333</v>
      </c>
      <c r="E176" s="545">
        <v>3</v>
      </c>
      <c r="F176" s="545">
        <v>4.6904761904761898</v>
      </c>
      <c r="G176" s="545">
        <v>9.1999999999999993</v>
      </c>
      <c r="H176" s="545">
        <v>12</v>
      </c>
      <c r="I176" s="545">
        <v>9</v>
      </c>
      <c r="J176" s="545">
        <v>9.5714285714285712</v>
      </c>
    </row>
    <row r="177" spans="1:10">
      <c r="A177" s="441">
        <v>9095</v>
      </c>
      <c r="B177" s="441" t="s">
        <v>1548</v>
      </c>
      <c r="C177" s="545">
        <v>6.666666666666667</v>
      </c>
      <c r="D177" s="545">
        <v>1.6666666666666665</v>
      </c>
      <c r="E177" s="545">
        <v>0.66666666666666663</v>
      </c>
      <c r="F177" s="545">
        <v>5.0952380952380949</v>
      </c>
      <c r="G177" s="545">
        <v>6.85</v>
      </c>
      <c r="H177" s="545">
        <v>3.3333333333333335</v>
      </c>
      <c r="I177" s="545">
        <v>5.666666666666667</v>
      </c>
      <c r="J177" s="545">
        <v>6.1785714285714288</v>
      </c>
    </row>
    <row r="178" spans="1:10">
      <c r="A178" s="441">
        <v>9096</v>
      </c>
      <c r="B178" s="441" t="s">
        <v>1548</v>
      </c>
      <c r="C178" s="545">
        <v>6</v>
      </c>
      <c r="D178" s="545">
        <v>3</v>
      </c>
      <c r="E178" s="545">
        <v>5.666666666666667</v>
      </c>
      <c r="F178" s="545">
        <v>5.5238095238095237</v>
      </c>
      <c r="G178" s="545">
        <v>6.95</v>
      </c>
      <c r="H178" s="545">
        <v>10.333333333333334</v>
      </c>
      <c r="I178" s="545">
        <v>5.333333333333333</v>
      </c>
      <c r="J178" s="545">
        <v>7.2023809523809534</v>
      </c>
    </row>
    <row r="179" spans="1:10">
      <c r="A179" s="441">
        <v>9123</v>
      </c>
      <c r="B179" s="441" t="s">
        <v>1548</v>
      </c>
      <c r="C179" s="545">
        <v>4.6666666666666661</v>
      </c>
      <c r="D179" s="545">
        <v>1</v>
      </c>
      <c r="E179" s="545">
        <v>3.333333333333333</v>
      </c>
      <c r="F179" s="545">
        <v>3.9523809523809517</v>
      </c>
      <c r="G179" s="545">
        <v>6.15</v>
      </c>
      <c r="H179" s="545">
        <v>7.666666666666667</v>
      </c>
      <c r="I179" s="545">
        <v>4.666666666666667</v>
      </c>
      <c r="J179" s="545">
        <v>6.1547619047619042</v>
      </c>
    </row>
    <row r="180" spans="1:10">
      <c r="A180" s="441">
        <v>12350</v>
      </c>
      <c r="B180" s="441" t="s">
        <v>1549</v>
      </c>
      <c r="C180" s="545">
        <v>4.166666666666667</v>
      </c>
      <c r="D180" s="545">
        <v>3.3333333333333335</v>
      </c>
      <c r="E180" s="545">
        <v>1.6666666666666665</v>
      </c>
      <c r="F180" s="545">
        <v>3.6904761904761907</v>
      </c>
      <c r="G180" s="545">
        <v>4.9000000000000004</v>
      </c>
      <c r="H180" s="545">
        <v>1.3333333333333333</v>
      </c>
      <c r="I180" s="545">
        <v>8.6666666666666661</v>
      </c>
      <c r="J180" s="545">
        <v>4.9285714285714288</v>
      </c>
    </row>
    <row r="181" spans="1:10">
      <c r="A181" s="441">
        <v>12351</v>
      </c>
      <c r="B181" s="441" t="s">
        <v>1549</v>
      </c>
      <c r="C181" s="545">
        <v>6.6666666666666661</v>
      </c>
      <c r="D181" s="545">
        <v>2.666666666666667</v>
      </c>
      <c r="E181" s="545">
        <v>2.333333333333333</v>
      </c>
      <c r="F181" s="545">
        <v>5.4761904761904754</v>
      </c>
      <c r="G181" s="545">
        <v>5.05</v>
      </c>
      <c r="H181" s="545">
        <v>1.3333333333333333</v>
      </c>
      <c r="I181" s="545">
        <v>3.3333333333333335</v>
      </c>
      <c r="J181" s="545">
        <v>4.2738095238095237</v>
      </c>
    </row>
    <row r="182" spans="1:10">
      <c r="A182" s="441">
        <v>9094</v>
      </c>
      <c r="B182" s="441" t="s">
        <v>1550</v>
      </c>
      <c r="C182" s="545">
        <v>3.5</v>
      </c>
      <c r="D182" s="545">
        <v>4.666666666666667</v>
      </c>
      <c r="E182" s="545">
        <v>1.6666666666666665</v>
      </c>
      <c r="F182" s="545">
        <v>3.4047619047619051</v>
      </c>
      <c r="G182" s="545">
        <v>3.3</v>
      </c>
      <c r="H182" s="545">
        <v>4.333333333333333</v>
      </c>
      <c r="I182" s="545">
        <v>2.3333333333333335</v>
      </c>
      <c r="J182" s="545">
        <v>3.3095238095238093</v>
      </c>
    </row>
    <row r="183" spans="1:10">
      <c r="A183" s="441">
        <v>9329</v>
      </c>
      <c r="B183" s="441" t="s">
        <v>1550</v>
      </c>
      <c r="C183" s="545">
        <v>5.1666666666666661</v>
      </c>
      <c r="D183" s="545">
        <v>5.6666666666666661</v>
      </c>
      <c r="E183" s="545">
        <v>6</v>
      </c>
      <c r="F183" s="545">
        <v>5.3571428571428559</v>
      </c>
      <c r="G183" s="545">
        <v>4</v>
      </c>
      <c r="H183" s="545">
        <v>3.3333333333333335</v>
      </c>
      <c r="I183" s="545">
        <v>4.333333333333333</v>
      </c>
      <c r="J183" s="545">
        <v>3.9523809523809521</v>
      </c>
    </row>
    <row r="184" spans="1:10">
      <c r="A184" s="441">
        <v>13092</v>
      </c>
      <c r="B184" s="441" t="s">
        <v>1551</v>
      </c>
      <c r="C184" s="545">
        <v>9</v>
      </c>
      <c r="D184" s="545">
        <v>4.333333333333333</v>
      </c>
      <c r="E184" s="545">
        <v>2.3333333333333335</v>
      </c>
      <c r="F184" s="545">
        <v>7.3809523809523814</v>
      </c>
      <c r="G184" s="545">
        <v>5.4</v>
      </c>
      <c r="H184" s="545">
        <v>2.3333333333333335</v>
      </c>
      <c r="I184" s="545">
        <v>2.3333333333333335</v>
      </c>
      <c r="J184" s="545">
        <v>4.5238095238095237</v>
      </c>
    </row>
    <row r="185" spans="1:10">
      <c r="A185" s="441">
        <v>13093</v>
      </c>
      <c r="B185" s="441" t="s">
        <v>1552</v>
      </c>
      <c r="C185" s="545">
        <v>28.666666666666664</v>
      </c>
      <c r="D185" s="545">
        <v>16.333333333333336</v>
      </c>
      <c r="E185" s="545">
        <v>13</v>
      </c>
      <c r="F185" s="545">
        <v>24.666666666666664</v>
      </c>
      <c r="G185" s="545">
        <v>28.3</v>
      </c>
      <c r="H185" s="545">
        <v>12.333333333333334</v>
      </c>
      <c r="I185" s="545">
        <v>12</v>
      </c>
      <c r="J185" s="545">
        <v>23.690476190476193</v>
      </c>
    </row>
    <row r="186" spans="1:10">
      <c r="A186" s="441">
        <v>3171</v>
      </c>
      <c r="B186" s="441" t="s">
        <v>1553</v>
      </c>
      <c r="C186" s="545">
        <v>10.833333333333334</v>
      </c>
      <c r="D186" s="545">
        <v>6</v>
      </c>
      <c r="E186" s="545">
        <v>4.666666666666667</v>
      </c>
      <c r="F186" s="545">
        <v>9.2619047619047628</v>
      </c>
      <c r="G186" s="545">
        <v>8.15</v>
      </c>
      <c r="H186" s="545">
        <v>7.333333333333333</v>
      </c>
      <c r="I186" s="545">
        <v>11</v>
      </c>
      <c r="J186" s="545">
        <v>8.4404761904761916</v>
      </c>
    </row>
    <row r="187" spans="1:10">
      <c r="A187" s="441">
        <v>3169</v>
      </c>
      <c r="B187" s="441" t="s">
        <v>1554</v>
      </c>
      <c r="C187" s="545">
        <v>9.8333333333333321</v>
      </c>
      <c r="D187" s="545">
        <v>4.666666666666667</v>
      </c>
      <c r="E187" s="545">
        <v>6.6666666666666661</v>
      </c>
      <c r="F187" s="545">
        <v>8.6428571428571406</v>
      </c>
      <c r="G187" s="545">
        <v>4.6500000000000004</v>
      </c>
      <c r="H187" s="545">
        <v>2.6666666666666665</v>
      </c>
      <c r="I187" s="545">
        <v>4.333333333333333</v>
      </c>
      <c r="J187" s="545">
        <v>4.3214285714285712</v>
      </c>
    </row>
    <row r="188" spans="1:10">
      <c r="A188" s="441">
        <v>3172</v>
      </c>
      <c r="B188" s="441" t="s">
        <v>1555</v>
      </c>
      <c r="C188" s="545">
        <v>10.5</v>
      </c>
      <c r="D188" s="545">
        <v>3.666666666666667</v>
      </c>
      <c r="E188" s="545">
        <v>0</v>
      </c>
      <c r="F188" s="545">
        <v>8.0238095238095237</v>
      </c>
      <c r="G188" s="545">
        <v>6.15</v>
      </c>
      <c r="H188" s="545">
        <v>1.3333333333333333</v>
      </c>
      <c r="I188" s="545">
        <v>1.3333333333333333</v>
      </c>
      <c r="J188" s="545">
        <v>4.7738095238095246</v>
      </c>
    </row>
    <row r="189" spans="1:10">
      <c r="A189" s="441">
        <v>12677</v>
      </c>
      <c r="B189" s="441" t="s">
        <v>1555</v>
      </c>
      <c r="C189" s="545">
        <v>8.5</v>
      </c>
      <c r="D189" s="545">
        <v>0.33333333333333331</v>
      </c>
      <c r="E189" s="545">
        <v>0</v>
      </c>
      <c r="F189" s="545">
        <v>6.1190476190476195</v>
      </c>
      <c r="G189" s="545">
        <v>4.7</v>
      </c>
      <c r="H189" s="545">
        <v>1</v>
      </c>
      <c r="I189" s="545">
        <v>2.6666666666666665</v>
      </c>
      <c r="J189" s="545">
        <v>3.8809523809523809</v>
      </c>
    </row>
    <row r="190" spans="1:10">
      <c r="A190" s="441">
        <v>12678</v>
      </c>
      <c r="B190" s="441" t="s">
        <v>1556</v>
      </c>
      <c r="C190" s="545">
        <v>11.166666666666668</v>
      </c>
      <c r="D190" s="545">
        <v>7.6666666666666661</v>
      </c>
      <c r="E190" s="545">
        <v>6.666666666666667</v>
      </c>
      <c r="F190" s="545">
        <v>10.023809523809524</v>
      </c>
      <c r="G190" s="545">
        <v>9.5</v>
      </c>
      <c r="H190" s="545">
        <v>10</v>
      </c>
      <c r="I190" s="545">
        <v>8.6666666666666661</v>
      </c>
      <c r="J190" s="545">
        <v>9.4523809523809526</v>
      </c>
    </row>
    <row r="191" spans="1:10">
      <c r="A191" s="441">
        <v>3167</v>
      </c>
      <c r="B191" s="441" t="s">
        <v>1557</v>
      </c>
      <c r="C191" s="545">
        <v>73.666666666666671</v>
      </c>
      <c r="D191" s="545">
        <v>62.333333333333329</v>
      </c>
      <c r="E191" s="545">
        <v>40.666666666666664</v>
      </c>
      <c r="F191" s="545">
        <v>67.333333333333343</v>
      </c>
      <c r="G191" s="545">
        <v>28.8</v>
      </c>
      <c r="H191" s="545">
        <v>26.666666666666668</v>
      </c>
      <c r="I191" s="545">
        <v>17</v>
      </c>
      <c r="J191" s="545">
        <v>26.809523809523807</v>
      </c>
    </row>
    <row r="192" spans="1:10">
      <c r="A192" s="441">
        <v>3185</v>
      </c>
      <c r="B192" s="441" t="s">
        <v>1557</v>
      </c>
      <c r="C192" s="545">
        <v>4.833333333333333</v>
      </c>
      <c r="D192" s="545">
        <v>4.333333333333333</v>
      </c>
      <c r="E192" s="545">
        <v>3.3333333333333335</v>
      </c>
      <c r="F192" s="545">
        <v>4.5476190476190466</v>
      </c>
      <c r="G192" s="545">
        <v>8.15</v>
      </c>
      <c r="H192" s="545">
        <v>10.333333333333334</v>
      </c>
      <c r="I192" s="545">
        <v>3.3333333333333335</v>
      </c>
      <c r="J192" s="545">
        <v>7.7738095238095246</v>
      </c>
    </row>
    <row r="193" spans="1:10">
      <c r="A193" s="441">
        <v>3170</v>
      </c>
      <c r="B193" s="441" t="s">
        <v>1558</v>
      </c>
      <c r="C193" s="545">
        <v>7.8333333333333339</v>
      </c>
      <c r="D193" s="545">
        <v>2</v>
      </c>
      <c r="E193" s="545">
        <v>1.3333333333333333</v>
      </c>
      <c r="F193" s="545">
        <v>6.0714285714285721</v>
      </c>
      <c r="G193" s="545">
        <v>0.9</v>
      </c>
      <c r="H193" s="545">
        <v>1</v>
      </c>
      <c r="I193" s="545">
        <v>1</v>
      </c>
      <c r="J193" s="545">
        <v>0.9285714285714286</v>
      </c>
    </row>
    <row r="194" spans="1:10">
      <c r="A194" s="441">
        <v>3184</v>
      </c>
      <c r="B194" s="441" t="s">
        <v>1559</v>
      </c>
      <c r="C194" s="545">
        <v>14.666666666666668</v>
      </c>
      <c r="D194" s="545">
        <v>1.3333333333333333</v>
      </c>
      <c r="E194" s="545">
        <v>1</v>
      </c>
      <c r="F194" s="545">
        <v>10.80952380952381</v>
      </c>
      <c r="G194" s="545">
        <v>1.05</v>
      </c>
      <c r="H194" s="545">
        <v>1.6666666666666667</v>
      </c>
      <c r="I194" s="545">
        <v>2</v>
      </c>
      <c r="J194" s="545">
        <v>1.2738095238095239</v>
      </c>
    </row>
    <row r="195" spans="1:10">
      <c r="A195" s="441">
        <v>3168</v>
      </c>
      <c r="B195" s="441" t="s">
        <v>1560</v>
      </c>
      <c r="C195" s="545">
        <v>3.3333333333333335</v>
      </c>
      <c r="D195" s="545">
        <v>1.6666666666666665</v>
      </c>
      <c r="E195" s="545">
        <v>2.3333333333333335</v>
      </c>
      <c r="F195" s="545">
        <v>2.9523809523809526</v>
      </c>
      <c r="G195" s="545">
        <v>1.35</v>
      </c>
      <c r="H195" s="545">
        <v>1.3333333333333333</v>
      </c>
      <c r="I195" s="545">
        <v>3.6666666666666665</v>
      </c>
      <c r="J195" s="545">
        <v>1.6785714285714286</v>
      </c>
    </row>
    <row r="196" spans="1:10">
      <c r="A196" s="441">
        <v>4021</v>
      </c>
      <c r="B196" s="441" t="s">
        <v>1561</v>
      </c>
      <c r="C196" s="545">
        <v>62.166666666666664</v>
      </c>
      <c r="D196" s="545">
        <v>48.333333333333336</v>
      </c>
      <c r="E196" s="545">
        <v>33.333333333333336</v>
      </c>
      <c r="F196" s="545">
        <v>56.071428571428562</v>
      </c>
      <c r="G196" s="545">
        <v>31.05</v>
      </c>
      <c r="H196" s="545">
        <v>24</v>
      </c>
      <c r="I196" s="545">
        <v>18.333333333333332</v>
      </c>
      <c r="J196" s="545">
        <v>28.226190476190478</v>
      </c>
    </row>
    <row r="197" spans="1:10">
      <c r="A197" s="441">
        <v>5855</v>
      </c>
      <c r="B197" s="441" t="s">
        <v>1561</v>
      </c>
      <c r="C197" s="545">
        <v>41.666666666666664</v>
      </c>
      <c r="D197" s="545">
        <v>18.666666666666668</v>
      </c>
      <c r="E197" s="545">
        <v>19.666666666666664</v>
      </c>
      <c r="F197" s="545">
        <v>35.238095238095234</v>
      </c>
      <c r="G197" s="545">
        <v>28.35</v>
      </c>
      <c r="H197" s="545">
        <v>17</v>
      </c>
      <c r="I197" s="545">
        <v>15.333333333333334</v>
      </c>
      <c r="J197" s="545">
        <v>24.86904761904762</v>
      </c>
    </row>
    <row r="198" spans="1:10">
      <c r="A198" s="441">
        <v>10611</v>
      </c>
      <c r="B198" s="441" t="s">
        <v>1562</v>
      </c>
      <c r="C198" s="545">
        <v>9.8333333333333339</v>
      </c>
      <c r="D198" s="545">
        <v>6</v>
      </c>
      <c r="E198" s="545">
        <v>5</v>
      </c>
      <c r="F198" s="545">
        <v>8.5952380952380967</v>
      </c>
      <c r="G198" s="545">
        <v>5.9</v>
      </c>
      <c r="H198" s="545">
        <v>5.666666666666667</v>
      </c>
      <c r="I198" s="545">
        <v>4.666666666666667</v>
      </c>
      <c r="J198" s="545">
        <v>5.6904761904761898</v>
      </c>
    </row>
    <row r="199" spans="1:10">
      <c r="A199" s="441">
        <v>11301</v>
      </c>
      <c r="B199" s="441" t="s">
        <v>1563</v>
      </c>
      <c r="C199" s="545">
        <v>6.8333333333333339</v>
      </c>
      <c r="D199" s="545">
        <v>4.333333333333333</v>
      </c>
      <c r="E199" s="545">
        <v>3</v>
      </c>
      <c r="F199" s="545">
        <v>5.9285714285714297</v>
      </c>
      <c r="G199" s="545">
        <v>3.45</v>
      </c>
      <c r="H199" s="545">
        <v>3.3333333333333335</v>
      </c>
      <c r="I199" s="545">
        <v>4.333333333333333</v>
      </c>
      <c r="J199" s="545">
        <v>3.5595238095238093</v>
      </c>
    </row>
    <row r="200" spans="1:10">
      <c r="A200" s="441">
        <v>10610</v>
      </c>
      <c r="B200" s="441" t="s">
        <v>1564</v>
      </c>
      <c r="C200" s="545">
        <v>42</v>
      </c>
      <c r="D200" s="545">
        <v>31</v>
      </c>
      <c r="E200" s="545">
        <v>14.333333333333334</v>
      </c>
      <c r="F200" s="545">
        <v>36.476190476190474</v>
      </c>
      <c r="G200" s="545">
        <v>35.75</v>
      </c>
      <c r="H200" s="545">
        <v>36.666666666666664</v>
      </c>
      <c r="I200" s="545">
        <v>27.666666666666668</v>
      </c>
      <c r="J200" s="545">
        <v>34.726190476190474</v>
      </c>
    </row>
    <row r="201" spans="1:10">
      <c r="A201" s="441">
        <v>5419</v>
      </c>
      <c r="B201" s="441" t="s">
        <v>1565</v>
      </c>
      <c r="C201" s="545">
        <v>11.166666666666666</v>
      </c>
      <c r="D201" s="545">
        <v>8.3333333333333339</v>
      </c>
      <c r="E201" s="545">
        <v>4</v>
      </c>
      <c r="F201" s="545">
        <v>9.7380952380952372</v>
      </c>
      <c r="G201" s="545">
        <v>7.95</v>
      </c>
      <c r="H201" s="545">
        <v>5.666666666666667</v>
      </c>
      <c r="I201" s="545">
        <v>3.3333333333333335</v>
      </c>
      <c r="J201" s="545">
        <v>6.9642857142857144</v>
      </c>
    </row>
    <row r="202" spans="1:10">
      <c r="A202" s="441">
        <v>11284</v>
      </c>
      <c r="B202" s="441" t="s">
        <v>1565</v>
      </c>
      <c r="C202" s="545">
        <v>13.333333333333334</v>
      </c>
      <c r="D202" s="545">
        <v>8.6666666666666679</v>
      </c>
      <c r="E202" s="545">
        <v>7.6666666666666661</v>
      </c>
      <c r="F202" s="545">
        <v>11.857142857142859</v>
      </c>
      <c r="G202" s="545">
        <v>6.55</v>
      </c>
      <c r="H202" s="545">
        <v>6</v>
      </c>
      <c r="I202" s="545">
        <v>2.6666666666666665</v>
      </c>
      <c r="J202" s="545">
        <v>5.9166666666666661</v>
      </c>
    </row>
    <row r="203" spans="1:10">
      <c r="A203" s="441">
        <v>11292</v>
      </c>
      <c r="B203" s="441" t="s">
        <v>1565</v>
      </c>
      <c r="C203" s="545">
        <v>2.333333333333333</v>
      </c>
      <c r="D203" s="545">
        <v>1.6666666666666665</v>
      </c>
      <c r="E203" s="545">
        <v>2</v>
      </c>
      <c r="F203" s="545">
        <v>2.1904761904761902</v>
      </c>
      <c r="G203" s="545">
        <v>1.6</v>
      </c>
      <c r="H203" s="545">
        <v>0.66666666666666663</v>
      </c>
      <c r="I203" s="545">
        <v>0</v>
      </c>
      <c r="J203" s="545">
        <v>1.2380952380952379</v>
      </c>
    </row>
    <row r="204" spans="1:10">
      <c r="A204" s="441">
        <v>10614</v>
      </c>
      <c r="B204" s="441" t="s">
        <v>1566</v>
      </c>
      <c r="C204" s="545">
        <v>30</v>
      </c>
      <c r="D204" s="545">
        <v>10</v>
      </c>
      <c r="E204" s="545">
        <v>8.6666666666666679</v>
      </c>
      <c r="F204" s="545">
        <v>24.095238095238095</v>
      </c>
      <c r="G204" s="545">
        <v>18.850000000000001</v>
      </c>
      <c r="H204" s="545">
        <v>14.333333333333334</v>
      </c>
      <c r="I204" s="545">
        <v>19.666666666666668</v>
      </c>
      <c r="J204" s="545">
        <v>18.321428571428573</v>
      </c>
    </row>
    <row r="205" spans="1:10">
      <c r="A205" s="441">
        <v>11285</v>
      </c>
      <c r="B205" s="441" t="s">
        <v>1567</v>
      </c>
      <c r="C205" s="545">
        <v>3.1666666666666665</v>
      </c>
      <c r="D205" s="545">
        <v>0.33333333333333331</v>
      </c>
      <c r="E205" s="545">
        <v>0.66666666666666663</v>
      </c>
      <c r="F205" s="545">
        <v>2.4047619047619047</v>
      </c>
      <c r="G205" s="545">
        <v>1.1000000000000001</v>
      </c>
      <c r="H205" s="545">
        <v>0.66666666666666663</v>
      </c>
      <c r="I205" s="545">
        <v>0.66666666666666663</v>
      </c>
      <c r="J205" s="545">
        <v>0.97619047619047628</v>
      </c>
    </row>
    <row r="206" spans="1:10">
      <c r="A206" s="441">
        <v>11290</v>
      </c>
      <c r="B206" s="441" t="s">
        <v>1567</v>
      </c>
      <c r="C206" s="545">
        <v>2.833333333333333</v>
      </c>
      <c r="D206" s="545">
        <v>2.3333333333333335</v>
      </c>
      <c r="E206" s="545">
        <v>3.3333333333333335</v>
      </c>
      <c r="F206" s="545">
        <v>2.8333333333333326</v>
      </c>
      <c r="G206" s="545">
        <v>3.3</v>
      </c>
      <c r="H206" s="545">
        <v>6.333333333333333</v>
      </c>
      <c r="I206" s="545">
        <v>3</v>
      </c>
      <c r="J206" s="545">
        <v>3.6904761904761902</v>
      </c>
    </row>
    <row r="207" spans="1:10">
      <c r="A207" s="441">
        <v>4839</v>
      </c>
      <c r="B207" s="441" t="s">
        <v>1568</v>
      </c>
      <c r="C207" s="545">
        <v>8.3333333333333321</v>
      </c>
      <c r="D207" s="545">
        <v>8.3333333333333339</v>
      </c>
      <c r="E207" s="545">
        <v>4</v>
      </c>
      <c r="F207" s="545">
        <v>7.7142857142857135</v>
      </c>
      <c r="G207" s="545">
        <v>6.4</v>
      </c>
      <c r="H207" s="545">
        <v>2.6666666666666665</v>
      </c>
      <c r="I207" s="545">
        <v>0</v>
      </c>
      <c r="J207" s="545">
        <v>4.9523809523809517</v>
      </c>
    </row>
    <row r="208" spans="1:10">
      <c r="A208" s="441">
        <v>5418</v>
      </c>
      <c r="B208" s="441" t="s">
        <v>1568</v>
      </c>
      <c r="C208" s="545">
        <v>3</v>
      </c>
      <c r="D208" s="545">
        <v>0</v>
      </c>
      <c r="E208" s="545">
        <v>1</v>
      </c>
      <c r="F208" s="545">
        <v>2.2857142857142856</v>
      </c>
      <c r="G208" s="545">
        <v>1.25</v>
      </c>
      <c r="H208" s="545">
        <v>0.33333333333333331</v>
      </c>
      <c r="I208" s="545">
        <v>1.6666666666666667</v>
      </c>
      <c r="J208" s="545">
        <v>1.1785714285714286</v>
      </c>
    </row>
    <row r="209" spans="1:10">
      <c r="A209" s="441">
        <v>10017</v>
      </c>
      <c r="B209" s="441" t="s">
        <v>1568</v>
      </c>
      <c r="C209" s="545">
        <v>13.166666666666668</v>
      </c>
      <c r="D209" s="545">
        <v>12.666666666666668</v>
      </c>
      <c r="E209" s="545">
        <v>6.6666666666666661</v>
      </c>
      <c r="F209" s="545">
        <v>12.16666666666667</v>
      </c>
      <c r="G209" s="545">
        <v>9.5500000000000007</v>
      </c>
      <c r="H209" s="545">
        <v>6.333333333333333</v>
      </c>
      <c r="I209" s="545">
        <v>1.3333333333333333</v>
      </c>
      <c r="J209" s="545">
        <v>7.916666666666667</v>
      </c>
    </row>
    <row r="210" spans="1:10">
      <c r="A210" s="441">
        <v>11281</v>
      </c>
      <c r="B210" s="441" t="s">
        <v>1569</v>
      </c>
      <c r="C210" s="545">
        <v>5</v>
      </c>
      <c r="D210" s="545">
        <v>1.3333333333333333</v>
      </c>
      <c r="E210" s="545">
        <v>0.66666666666666663</v>
      </c>
      <c r="F210" s="545">
        <v>3.8571428571428572</v>
      </c>
      <c r="G210" s="545">
        <v>4.0999999999999996</v>
      </c>
      <c r="H210" s="545">
        <v>3</v>
      </c>
      <c r="I210" s="545">
        <v>0.33333333333333331</v>
      </c>
      <c r="J210" s="545">
        <v>3.4047619047619047</v>
      </c>
    </row>
    <row r="211" spans="1:10">
      <c r="A211" s="441">
        <v>13135</v>
      </c>
      <c r="B211" s="441" t="s">
        <v>1569</v>
      </c>
      <c r="C211" s="545">
        <v>2.5</v>
      </c>
      <c r="D211" s="545">
        <v>0</v>
      </c>
      <c r="E211" s="545">
        <v>0</v>
      </c>
      <c r="F211" s="545">
        <v>1.7857142857142858</v>
      </c>
      <c r="G211" s="545">
        <v>2.7</v>
      </c>
      <c r="H211" s="545">
        <v>1.6666666666666667</v>
      </c>
      <c r="I211" s="545">
        <v>0.33333333333333331</v>
      </c>
      <c r="J211" s="545">
        <v>2.2142857142857144</v>
      </c>
    </row>
    <row r="212" spans="1:10">
      <c r="A212" s="441">
        <v>4860</v>
      </c>
      <c r="B212" s="441" t="s">
        <v>1570</v>
      </c>
      <c r="C212" s="545">
        <v>16.333333333333336</v>
      </c>
      <c r="D212" s="545">
        <v>9.3333333333333339</v>
      </c>
      <c r="E212" s="545">
        <v>4</v>
      </c>
      <c r="F212" s="545">
        <v>13.571428571428573</v>
      </c>
      <c r="G212" s="545">
        <v>5.25</v>
      </c>
      <c r="H212" s="545">
        <v>4.333333333333333</v>
      </c>
      <c r="I212" s="545">
        <v>5.666666666666667</v>
      </c>
      <c r="J212" s="545">
        <v>5.1785714285714288</v>
      </c>
    </row>
    <row r="213" spans="1:10">
      <c r="A213" s="441">
        <v>4861</v>
      </c>
      <c r="B213" s="441" t="s">
        <v>1570</v>
      </c>
      <c r="C213" s="545">
        <v>6</v>
      </c>
      <c r="D213" s="545">
        <v>4</v>
      </c>
      <c r="E213" s="545">
        <v>1.3333333333333333</v>
      </c>
      <c r="F213" s="545">
        <v>5.0476190476190483</v>
      </c>
      <c r="G213" s="545">
        <v>3.75</v>
      </c>
      <c r="H213" s="545">
        <v>1.6666666666666667</v>
      </c>
      <c r="I213" s="545">
        <v>5</v>
      </c>
      <c r="J213" s="545">
        <v>3.6309523809523809</v>
      </c>
    </row>
    <row r="214" spans="1:10">
      <c r="A214" s="441">
        <v>4862</v>
      </c>
      <c r="B214" s="441" t="s">
        <v>1570</v>
      </c>
      <c r="C214" s="545">
        <v>8.5</v>
      </c>
      <c r="D214" s="545">
        <v>4.333333333333333</v>
      </c>
      <c r="E214" s="545">
        <v>8.6666666666666679</v>
      </c>
      <c r="F214" s="545">
        <v>7.9285714285714288</v>
      </c>
      <c r="G214" s="545">
        <v>8.9</v>
      </c>
      <c r="H214" s="545">
        <v>3.6666666666666665</v>
      </c>
      <c r="I214" s="545">
        <v>3.6666666666666665</v>
      </c>
      <c r="J214" s="545">
        <v>7.4047619047619042</v>
      </c>
    </row>
    <row r="215" spans="1:10">
      <c r="A215" s="441">
        <v>10612</v>
      </c>
      <c r="B215" s="441" t="s">
        <v>1570</v>
      </c>
      <c r="C215" s="545">
        <v>10.666666666666666</v>
      </c>
      <c r="D215" s="545">
        <v>13</v>
      </c>
      <c r="E215" s="545">
        <v>5</v>
      </c>
      <c r="F215" s="545">
        <v>10.19047619047619</v>
      </c>
      <c r="G215" s="545">
        <v>5.9</v>
      </c>
      <c r="H215" s="545">
        <v>4.333333333333333</v>
      </c>
      <c r="I215" s="545">
        <v>3</v>
      </c>
      <c r="J215" s="545">
        <v>5.2619047619047619</v>
      </c>
    </row>
    <row r="216" spans="1:10">
      <c r="A216" s="441">
        <v>10617</v>
      </c>
      <c r="B216" s="441" t="s">
        <v>1571</v>
      </c>
      <c r="C216" s="545">
        <v>60.333333333333336</v>
      </c>
      <c r="D216" s="545">
        <v>41.333333333333336</v>
      </c>
      <c r="E216" s="545">
        <v>28</v>
      </c>
      <c r="F216" s="545">
        <v>53</v>
      </c>
      <c r="G216" s="545">
        <v>43.6</v>
      </c>
      <c r="H216" s="545">
        <v>36.333333333333336</v>
      </c>
      <c r="I216" s="545">
        <v>19</v>
      </c>
      <c r="J216" s="545">
        <v>39.047619047619051</v>
      </c>
    </row>
    <row r="217" spans="1:10">
      <c r="A217" s="441">
        <v>11277</v>
      </c>
      <c r="B217" s="441" t="s">
        <v>1571</v>
      </c>
      <c r="C217" s="545">
        <v>26</v>
      </c>
      <c r="D217" s="545">
        <v>16.666666666666668</v>
      </c>
      <c r="E217" s="545">
        <v>19.333333333333332</v>
      </c>
      <c r="F217" s="545">
        <v>23.714285714285715</v>
      </c>
      <c r="G217" s="545">
        <v>14.95</v>
      </c>
      <c r="H217" s="545">
        <v>9</v>
      </c>
      <c r="I217" s="545">
        <v>6.666666666666667</v>
      </c>
      <c r="J217" s="545">
        <v>12.916666666666668</v>
      </c>
    </row>
    <row r="218" spans="1:10">
      <c r="A218" s="441">
        <v>5380</v>
      </c>
      <c r="B218" s="441" t="s">
        <v>1572</v>
      </c>
      <c r="C218" s="545">
        <v>2.1666666666666665</v>
      </c>
      <c r="D218" s="545">
        <v>2.6666666666666665</v>
      </c>
      <c r="E218" s="545">
        <v>1</v>
      </c>
      <c r="F218" s="545">
        <v>2.0714285714285712</v>
      </c>
      <c r="G218" s="545">
        <v>1.7</v>
      </c>
      <c r="H218" s="545">
        <v>0.33333333333333331</v>
      </c>
      <c r="I218" s="545">
        <v>1</v>
      </c>
      <c r="J218" s="545">
        <v>1.4047619047619049</v>
      </c>
    </row>
    <row r="219" spans="1:10">
      <c r="A219" s="441">
        <v>11280</v>
      </c>
      <c r="B219" s="441" t="s">
        <v>1573</v>
      </c>
      <c r="C219" s="545">
        <v>2</v>
      </c>
      <c r="D219" s="545">
        <v>0.66666666666666663</v>
      </c>
      <c r="E219" s="545">
        <v>1.6666666666666667</v>
      </c>
      <c r="F219" s="545">
        <v>1.7619047619047616</v>
      </c>
      <c r="G219" s="545">
        <v>2.2000000000000002</v>
      </c>
      <c r="H219" s="545">
        <v>1.6666666666666667</v>
      </c>
      <c r="I219" s="545">
        <v>1</v>
      </c>
      <c r="J219" s="545">
        <v>1.9523809523809523</v>
      </c>
    </row>
    <row r="220" spans="1:10">
      <c r="A220" s="441">
        <v>11294</v>
      </c>
      <c r="B220" s="441" t="s">
        <v>1573</v>
      </c>
      <c r="C220" s="545">
        <v>1.6666666666666667</v>
      </c>
      <c r="D220" s="545">
        <v>1</v>
      </c>
      <c r="E220" s="545">
        <v>2</v>
      </c>
      <c r="F220" s="545">
        <v>1.6190476190476191</v>
      </c>
      <c r="G220" s="545">
        <v>1.55</v>
      </c>
      <c r="H220" s="545">
        <v>1</v>
      </c>
      <c r="I220" s="545">
        <v>3.6666666666666665</v>
      </c>
      <c r="J220" s="545">
        <v>1.7738095238095237</v>
      </c>
    </row>
    <row r="221" spans="1:10">
      <c r="A221" s="441">
        <v>4856</v>
      </c>
      <c r="B221" s="441" t="s">
        <v>1574</v>
      </c>
      <c r="C221" s="545">
        <v>34.5</v>
      </c>
      <c r="D221" s="545">
        <v>32</v>
      </c>
      <c r="E221" s="545">
        <v>11.333333333333332</v>
      </c>
      <c r="F221" s="545">
        <v>30.833333333333336</v>
      </c>
      <c r="G221" s="545">
        <v>21.4</v>
      </c>
      <c r="H221" s="545">
        <v>21</v>
      </c>
      <c r="I221" s="545">
        <v>10.666666666666666</v>
      </c>
      <c r="J221" s="545">
        <v>19.809523809523807</v>
      </c>
    </row>
    <row r="222" spans="1:10">
      <c r="A222" s="441">
        <v>10616</v>
      </c>
      <c r="B222" s="441" t="s">
        <v>1574</v>
      </c>
      <c r="C222" s="545">
        <v>37</v>
      </c>
      <c r="D222" s="545">
        <v>31.333333333333336</v>
      </c>
      <c r="E222" s="545">
        <v>10.333333333333334</v>
      </c>
      <c r="F222" s="545">
        <v>32.380952380952387</v>
      </c>
      <c r="G222" s="545">
        <v>32.549999999999997</v>
      </c>
      <c r="H222" s="545">
        <v>24.666666666666668</v>
      </c>
      <c r="I222" s="545">
        <v>15</v>
      </c>
      <c r="J222" s="545">
        <v>28.916666666666664</v>
      </c>
    </row>
    <row r="223" spans="1:10">
      <c r="A223" s="441">
        <v>11279</v>
      </c>
      <c r="B223" s="441" t="s">
        <v>1575</v>
      </c>
      <c r="C223" s="545">
        <v>2.8333333333333335</v>
      </c>
      <c r="D223" s="545">
        <v>4.333333333333333</v>
      </c>
      <c r="E223" s="545">
        <v>5</v>
      </c>
      <c r="F223" s="545">
        <v>3.3571428571428572</v>
      </c>
      <c r="G223" s="545">
        <v>7.6</v>
      </c>
      <c r="H223" s="545">
        <v>3.6666666666666665</v>
      </c>
      <c r="I223" s="545">
        <v>3.6666666666666665</v>
      </c>
      <c r="J223" s="545">
        <v>6.4761904761904754</v>
      </c>
    </row>
    <row r="224" spans="1:10">
      <c r="A224" s="441">
        <v>11295</v>
      </c>
      <c r="B224" s="441" t="s">
        <v>1575</v>
      </c>
      <c r="C224" s="545">
        <v>3.8333333333333335</v>
      </c>
      <c r="D224" s="545">
        <v>3</v>
      </c>
      <c r="E224" s="545">
        <v>3</v>
      </c>
      <c r="F224" s="545">
        <v>3.5952380952380953</v>
      </c>
      <c r="G224" s="545">
        <v>4.8499999999999996</v>
      </c>
      <c r="H224" s="545">
        <v>2.3333333333333335</v>
      </c>
      <c r="I224" s="545">
        <v>2.3333333333333335</v>
      </c>
      <c r="J224" s="545">
        <v>4.1309523809523805</v>
      </c>
    </row>
    <row r="225" spans="1:10">
      <c r="A225" s="441">
        <v>10100</v>
      </c>
      <c r="B225" s="441" t="s">
        <v>1576</v>
      </c>
      <c r="C225" s="545">
        <v>0.5</v>
      </c>
      <c r="D225" s="545">
        <v>0</v>
      </c>
      <c r="E225" s="545">
        <v>2</v>
      </c>
      <c r="F225" s="545">
        <v>0.6428571428571429</v>
      </c>
      <c r="G225" s="545">
        <v>1.65</v>
      </c>
      <c r="H225" s="545">
        <v>0.66666666666666663</v>
      </c>
      <c r="I225" s="545">
        <v>0.66666666666666663</v>
      </c>
      <c r="J225" s="545">
        <v>1.3690476190476188</v>
      </c>
    </row>
    <row r="226" spans="1:10">
      <c r="A226" s="441">
        <v>5378</v>
      </c>
      <c r="B226" s="441" t="s">
        <v>1577</v>
      </c>
      <c r="C226" s="545">
        <v>2</v>
      </c>
      <c r="D226" s="545">
        <v>0.33333333333333331</v>
      </c>
      <c r="E226" s="545">
        <v>0.66666666666666663</v>
      </c>
      <c r="F226" s="545">
        <v>1.5714285714285714</v>
      </c>
      <c r="G226" s="545">
        <v>3.8</v>
      </c>
      <c r="H226" s="545">
        <v>1</v>
      </c>
      <c r="I226" s="545">
        <v>1.6666666666666667</v>
      </c>
      <c r="J226" s="545">
        <v>3.0952380952380953</v>
      </c>
    </row>
    <row r="227" spans="1:10">
      <c r="A227" s="441">
        <v>5382</v>
      </c>
      <c r="B227" s="441" t="s">
        <v>1577</v>
      </c>
      <c r="C227" s="545">
        <v>3.1666666666666665</v>
      </c>
      <c r="D227" s="545">
        <v>2</v>
      </c>
      <c r="E227" s="545">
        <v>1</v>
      </c>
      <c r="F227" s="545">
        <v>2.6904761904761902</v>
      </c>
      <c r="G227" s="545">
        <v>4.45</v>
      </c>
      <c r="H227" s="545">
        <v>4</v>
      </c>
      <c r="I227" s="545">
        <v>2</v>
      </c>
      <c r="J227" s="545">
        <v>4.0357142857142856</v>
      </c>
    </row>
    <row r="228" spans="1:10">
      <c r="A228" s="441">
        <v>11278</v>
      </c>
      <c r="B228" s="441" t="s">
        <v>1578</v>
      </c>
      <c r="C228" s="545">
        <v>13.333333333333332</v>
      </c>
      <c r="D228" s="545">
        <v>7</v>
      </c>
      <c r="E228" s="545">
        <v>6.333333333333333</v>
      </c>
      <c r="F228" s="545">
        <v>11.428571428571427</v>
      </c>
      <c r="G228" s="545">
        <v>5.6</v>
      </c>
      <c r="H228" s="545">
        <v>4.666666666666667</v>
      </c>
      <c r="I228" s="545">
        <v>3.3333333333333335</v>
      </c>
      <c r="J228" s="545">
        <v>5.1428571428571432</v>
      </c>
    </row>
    <row r="229" spans="1:10">
      <c r="A229" s="441">
        <v>11296</v>
      </c>
      <c r="B229" s="441" t="s">
        <v>1578</v>
      </c>
      <c r="C229" s="545">
        <v>7.5</v>
      </c>
      <c r="D229" s="545">
        <v>7.3333333333333339</v>
      </c>
      <c r="E229" s="545">
        <v>3.6666666666666665</v>
      </c>
      <c r="F229" s="545">
        <v>6.9285714285714288</v>
      </c>
      <c r="G229" s="545">
        <v>6.1</v>
      </c>
      <c r="H229" s="545">
        <v>3.6666666666666665</v>
      </c>
      <c r="I229" s="545">
        <v>2</v>
      </c>
      <c r="J229" s="545">
        <v>5.1666666666666661</v>
      </c>
    </row>
    <row r="230" spans="1:10">
      <c r="A230" s="441">
        <v>5397</v>
      </c>
      <c r="B230" s="441" t="s">
        <v>1579</v>
      </c>
      <c r="C230" s="545">
        <v>18</v>
      </c>
      <c r="D230" s="545">
        <v>13</v>
      </c>
      <c r="E230" s="545">
        <v>15.666666666666666</v>
      </c>
      <c r="F230" s="545">
        <v>16.952380952380953</v>
      </c>
      <c r="G230" s="545">
        <v>19.649999999999999</v>
      </c>
      <c r="H230" s="545">
        <v>7.666666666666667</v>
      </c>
      <c r="I230" s="545">
        <v>12.333333333333334</v>
      </c>
      <c r="J230" s="545">
        <v>16.892857142857142</v>
      </c>
    </row>
    <row r="231" spans="1:10">
      <c r="A231" s="441">
        <v>11568</v>
      </c>
      <c r="B231" s="441" t="s">
        <v>1579</v>
      </c>
      <c r="C231" s="545">
        <v>2</v>
      </c>
      <c r="D231" s="545">
        <v>1.6666666666666665</v>
      </c>
      <c r="E231" s="545">
        <v>0</v>
      </c>
      <c r="F231" s="545">
        <v>1.6666666666666665</v>
      </c>
      <c r="G231" s="545">
        <v>1.7</v>
      </c>
      <c r="H231" s="545">
        <v>1</v>
      </c>
      <c r="I231" s="545">
        <v>1</v>
      </c>
      <c r="J231" s="545">
        <v>1.5</v>
      </c>
    </row>
    <row r="232" spans="1:10">
      <c r="A232" s="441">
        <v>4857</v>
      </c>
      <c r="B232" s="441" t="s">
        <v>1580</v>
      </c>
      <c r="C232" s="545">
        <v>23</v>
      </c>
      <c r="D232" s="545">
        <v>11.333333333333332</v>
      </c>
      <c r="E232" s="545">
        <v>12.333333333333332</v>
      </c>
      <c r="F232" s="545">
        <v>19.809523809523807</v>
      </c>
      <c r="G232" s="545">
        <v>24.2</v>
      </c>
      <c r="H232" s="545">
        <v>12</v>
      </c>
      <c r="I232" s="545">
        <v>7.666666666666667</v>
      </c>
      <c r="J232" s="545">
        <v>20.095238095238095</v>
      </c>
    </row>
    <row r="233" spans="1:10">
      <c r="A233" s="441">
        <v>4858</v>
      </c>
      <c r="B233" s="441" t="s">
        <v>1580</v>
      </c>
      <c r="C233" s="545">
        <v>32</v>
      </c>
      <c r="D233" s="545">
        <v>13.333333333333334</v>
      </c>
      <c r="E233" s="545">
        <v>15</v>
      </c>
      <c r="F233" s="545">
        <v>26.904761904761905</v>
      </c>
      <c r="G233" s="545">
        <v>20.25</v>
      </c>
      <c r="H233" s="545">
        <v>14.666666666666666</v>
      </c>
      <c r="I233" s="545">
        <v>12.666666666666666</v>
      </c>
      <c r="J233" s="545">
        <v>18.36904761904762</v>
      </c>
    </row>
    <row r="234" spans="1:10">
      <c r="A234" s="441">
        <v>10615</v>
      </c>
      <c r="B234" s="441" t="s">
        <v>1580</v>
      </c>
      <c r="C234" s="545">
        <v>21.166666666666668</v>
      </c>
      <c r="D234" s="545">
        <v>10.666666666666666</v>
      </c>
      <c r="E234" s="545">
        <v>15.666666666666668</v>
      </c>
      <c r="F234" s="545">
        <v>18.880952380952383</v>
      </c>
      <c r="G234" s="545">
        <v>20</v>
      </c>
      <c r="H234" s="545">
        <v>12.333333333333334</v>
      </c>
      <c r="I234" s="545">
        <v>11.333333333333334</v>
      </c>
      <c r="J234" s="545">
        <v>17.666666666666664</v>
      </c>
    </row>
    <row r="235" spans="1:10">
      <c r="A235" s="441">
        <v>4840</v>
      </c>
      <c r="B235" s="441" t="s">
        <v>1581</v>
      </c>
      <c r="C235" s="545">
        <v>5.166666666666667</v>
      </c>
      <c r="D235" s="545">
        <v>3</v>
      </c>
      <c r="E235" s="545">
        <v>9</v>
      </c>
      <c r="F235" s="545">
        <v>5.4047619047619051</v>
      </c>
      <c r="G235" s="545">
        <v>5.25</v>
      </c>
      <c r="H235" s="545">
        <v>2.3333333333333335</v>
      </c>
      <c r="I235" s="545">
        <v>5.333333333333333</v>
      </c>
      <c r="J235" s="545">
        <v>4.8452380952380949</v>
      </c>
    </row>
    <row r="236" spans="1:10">
      <c r="A236" s="441">
        <v>5417</v>
      </c>
      <c r="B236" s="441" t="s">
        <v>1581</v>
      </c>
      <c r="C236" s="545">
        <v>2.5</v>
      </c>
      <c r="D236" s="545">
        <v>5.333333333333333</v>
      </c>
      <c r="E236" s="545">
        <v>3.333333333333333</v>
      </c>
      <c r="F236" s="545">
        <v>3.0238095238095233</v>
      </c>
      <c r="G236" s="545">
        <v>6.4</v>
      </c>
      <c r="H236" s="545">
        <v>4</v>
      </c>
      <c r="I236" s="545">
        <v>5.666666666666667</v>
      </c>
      <c r="J236" s="545">
        <v>5.9523809523809517</v>
      </c>
    </row>
    <row r="237" spans="1:10">
      <c r="A237" s="441">
        <v>4838</v>
      </c>
      <c r="B237" s="441" t="s">
        <v>1582</v>
      </c>
      <c r="C237" s="545">
        <v>5</v>
      </c>
      <c r="D237" s="545">
        <v>3</v>
      </c>
      <c r="E237" s="545">
        <v>3.333333333333333</v>
      </c>
      <c r="F237" s="545">
        <v>4.4761904761904763</v>
      </c>
      <c r="G237" s="545">
        <v>1.55</v>
      </c>
      <c r="H237" s="545">
        <v>1</v>
      </c>
      <c r="I237" s="545">
        <v>0.33333333333333331</v>
      </c>
      <c r="J237" s="545">
        <v>1.2976190476190477</v>
      </c>
    </row>
    <row r="238" spans="1:10">
      <c r="A238" s="441">
        <v>11282</v>
      </c>
      <c r="B238" s="441" t="s">
        <v>1583</v>
      </c>
      <c r="C238" s="545">
        <v>1.1666666666666665</v>
      </c>
      <c r="D238" s="545">
        <v>1.6666666666666665</v>
      </c>
      <c r="E238" s="545">
        <v>0</v>
      </c>
      <c r="F238" s="545">
        <v>1.0714285714285712</v>
      </c>
      <c r="G238" s="545">
        <v>4.8499999999999996</v>
      </c>
      <c r="H238" s="545">
        <v>1</v>
      </c>
      <c r="I238" s="545">
        <v>0</v>
      </c>
      <c r="J238" s="545">
        <v>3.6071428571428572</v>
      </c>
    </row>
    <row r="239" spans="1:10">
      <c r="A239" s="441">
        <v>11283</v>
      </c>
      <c r="B239" s="441" t="s">
        <v>1583</v>
      </c>
      <c r="C239" s="545">
        <v>0.66666666666666663</v>
      </c>
      <c r="D239" s="545">
        <v>2</v>
      </c>
      <c r="E239" s="545">
        <v>0</v>
      </c>
      <c r="F239" s="545">
        <v>0.76190476190476186</v>
      </c>
      <c r="G239" s="545">
        <v>1.7</v>
      </c>
      <c r="H239" s="545">
        <v>0</v>
      </c>
      <c r="I239" s="545">
        <v>0</v>
      </c>
      <c r="J239" s="545">
        <v>1.2142857142857142</v>
      </c>
    </row>
    <row r="240" spans="1:10">
      <c r="A240" s="441">
        <v>11293</v>
      </c>
      <c r="B240" s="441" t="s">
        <v>1583</v>
      </c>
      <c r="C240" s="545">
        <v>2</v>
      </c>
      <c r="D240" s="545">
        <v>0.66666666666666663</v>
      </c>
      <c r="E240" s="545">
        <v>0</v>
      </c>
      <c r="F240" s="545">
        <v>1.5238095238095237</v>
      </c>
      <c r="G240" s="545">
        <v>3.3</v>
      </c>
      <c r="H240" s="545">
        <v>1</v>
      </c>
      <c r="I240" s="545">
        <v>0.33333333333333331</v>
      </c>
      <c r="J240" s="545">
        <v>2.5476190476190474</v>
      </c>
    </row>
    <row r="241" spans="1:10">
      <c r="A241" s="441">
        <v>10695</v>
      </c>
      <c r="B241" s="441" t="s">
        <v>1584</v>
      </c>
      <c r="C241" s="545">
        <v>8.6666666666666661</v>
      </c>
      <c r="D241" s="545">
        <v>4</v>
      </c>
      <c r="E241" s="545">
        <v>6.333333333333333</v>
      </c>
      <c r="F241" s="545">
        <v>7.6666666666666661</v>
      </c>
      <c r="G241" s="545">
        <v>4.75</v>
      </c>
      <c r="H241" s="545">
        <v>2.3333333333333335</v>
      </c>
      <c r="I241" s="545">
        <v>3.6666666666666665</v>
      </c>
      <c r="J241" s="545">
        <v>4.25</v>
      </c>
    </row>
    <row r="242" spans="1:10">
      <c r="A242" s="441">
        <v>11291</v>
      </c>
      <c r="B242" s="441" t="s">
        <v>1584</v>
      </c>
      <c r="C242" s="545">
        <v>7.6666666666666661</v>
      </c>
      <c r="D242" s="545">
        <v>3.333333333333333</v>
      </c>
      <c r="E242" s="545">
        <v>1</v>
      </c>
      <c r="F242" s="545">
        <v>6.0952380952380949</v>
      </c>
      <c r="G242" s="545">
        <v>5.3</v>
      </c>
      <c r="H242" s="545">
        <v>4.666666666666667</v>
      </c>
      <c r="I242" s="545">
        <v>3.6666666666666665</v>
      </c>
      <c r="J242" s="545">
        <v>4.9761904761904763</v>
      </c>
    </row>
    <row r="243" spans="1:10">
      <c r="A243" s="441">
        <v>5379</v>
      </c>
      <c r="B243" s="441" t="s">
        <v>1585</v>
      </c>
      <c r="C243" s="545">
        <v>0.16666666666666666</v>
      </c>
      <c r="D243" s="545">
        <v>0</v>
      </c>
      <c r="E243" s="545">
        <v>0.33333333333333331</v>
      </c>
      <c r="F243" s="545">
        <v>0.16666666666666666</v>
      </c>
      <c r="G243" s="545">
        <v>0.5</v>
      </c>
      <c r="H243" s="545">
        <v>0</v>
      </c>
      <c r="I243" s="545">
        <v>0</v>
      </c>
      <c r="J243" s="545">
        <v>0.35714285714285715</v>
      </c>
    </row>
    <row r="244" spans="1:10">
      <c r="A244" s="441">
        <v>5381</v>
      </c>
      <c r="B244" s="441" t="s">
        <v>1585</v>
      </c>
      <c r="C244" s="545">
        <v>0</v>
      </c>
      <c r="D244" s="545">
        <v>0</v>
      </c>
      <c r="E244" s="545">
        <v>0</v>
      </c>
      <c r="F244" s="545">
        <v>0</v>
      </c>
      <c r="G244" s="545">
        <v>0.45</v>
      </c>
      <c r="H244" s="545">
        <v>0</v>
      </c>
      <c r="I244" s="545">
        <v>0.33333333333333331</v>
      </c>
      <c r="J244" s="545">
        <v>0.36904761904761907</v>
      </c>
    </row>
    <row r="245" spans="1:10">
      <c r="A245" s="441">
        <v>4855</v>
      </c>
      <c r="B245" s="441" t="s">
        <v>1586</v>
      </c>
      <c r="C245" s="545">
        <v>91.166666666666671</v>
      </c>
      <c r="D245" s="545">
        <v>67.333333333333329</v>
      </c>
      <c r="E245" s="545">
        <v>42.666666666666671</v>
      </c>
      <c r="F245" s="545">
        <v>80.833333333333343</v>
      </c>
      <c r="G245" s="545">
        <v>93.1</v>
      </c>
      <c r="H245" s="545">
        <v>93.333333333333329</v>
      </c>
      <c r="I245" s="545">
        <v>47.333333333333336</v>
      </c>
      <c r="J245" s="545">
        <v>86.595238095238102</v>
      </c>
    </row>
    <row r="246" spans="1:10">
      <c r="A246" s="441">
        <v>4859</v>
      </c>
      <c r="B246" s="441" t="s">
        <v>1587</v>
      </c>
      <c r="C246" s="545">
        <v>17.166666666666668</v>
      </c>
      <c r="D246" s="545">
        <v>10.666666666666668</v>
      </c>
      <c r="E246" s="545">
        <v>5.333333333333333</v>
      </c>
      <c r="F246" s="545">
        <v>14.547619047619049</v>
      </c>
      <c r="G246" s="545">
        <v>12.1</v>
      </c>
      <c r="H246" s="545">
        <v>9.3333333333333339</v>
      </c>
      <c r="I246" s="545">
        <v>7.333333333333333</v>
      </c>
      <c r="J246" s="545">
        <v>11.023809523809522</v>
      </c>
    </row>
    <row r="247" spans="1:10">
      <c r="A247" s="441">
        <v>10613</v>
      </c>
      <c r="B247" s="441" t="s">
        <v>1587</v>
      </c>
      <c r="C247" s="545">
        <v>20.666666666666668</v>
      </c>
      <c r="D247" s="545">
        <v>12</v>
      </c>
      <c r="E247" s="545">
        <v>11.333333333333334</v>
      </c>
      <c r="F247" s="545">
        <v>18.095238095238095</v>
      </c>
      <c r="G247" s="545">
        <v>13.15</v>
      </c>
      <c r="H247" s="545">
        <v>9.3333333333333339</v>
      </c>
      <c r="I247" s="545">
        <v>8.6666666666666661</v>
      </c>
      <c r="J247" s="545">
        <v>11.964285714285714</v>
      </c>
    </row>
    <row r="248" spans="1:10">
      <c r="A248" s="441">
        <v>4529</v>
      </c>
      <c r="B248" s="441" t="s">
        <v>1588</v>
      </c>
      <c r="C248" s="545">
        <v>1.1666666666666667</v>
      </c>
      <c r="D248" s="545">
        <v>0.33333333333333331</v>
      </c>
      <c r="E248" s="545">
        <v>3.333333333333333</v>
      </c>
      <c r="F248" s="545">
        <v>1.3571428571428572</v>
      </c>
      <c r="G248" s="545">
        <v>2.2999999999999998</v>
      </c>
      <c r="H248" s="545">
        <v>0</v>
      </c>
      <c r="I248" s="545">
        <v>0</v>
      </c>
      <c r="J248" s="545">
        <v>1.6428571428571428</v>
      </c>
    </row>
    <row r="249" spans="1:10">
      <c r="A249" s="441">
        <v>11004</v>
      </c>
      <c r="B249" s="441" t="s">
        <v>1589</v>
      </c>
      <c r="C249" s="545">
        <v>45</v>
      </c>
      <c r="D249" s="545">
        <v>21</v>
      </c>
      <c r="E249" s="545">
        <v>13.333333333333332</v>
      </c>
      <c r="F249" s="545">
        <v>37.047619047619044</v>
      </c>
      <c r="G249" s="545">
        <v>14.35</v>
      </c>
      <c r="H249" s="545">
        <v>3.6666666666666665</v>
      </c>
      <c r="I249" s="545">
        <v>6</v>
      </c>
      <c r="J249" s="545">
        <v>11.630952380952381</v>
      </c>
    </row>
    <row r="250" spans="1:10">
      <c r="A250" s="441">
        <v>2374</v>
      </c>
      <c r="B250" s="441" t="s">
        <v>1590</v>
      </c>
      <c r="C250" s="545">
        <v>17</v>
      </c>
      <c r="D250" s="545">
        <v>9.6666666666666661</v>
      </c>
      <c r="E250" s="545">
        <v>9</v>
      </c>
      <c r="F250" s="545">
        <v>14.80952380952381</v>
      </c>
      <c r="G250" s="545">
        <v>13.95</v>
      </c>
      <c r="H250" s="545">
        <v>12.333333333333334</v>
      </c>
      <c r="I250" s="545">
        <v>9</v>
      </c>
      <c r="J250" s="545">
        <v>13.011904761904761</v>
      </c>
    </row>
    <row r="251" spans="1:10">
      <c r="A251" s="441">
        <v>3982</v>
      </c>
      <c r="B251" s="441" t="s">
        <v>1590</v>
      </c>
      <c r="C251" s="545">
        <v>8.5</v>
      </c>
      <c r="D251" s="545">
        <v>10.666666666666668</v>
      </c>
      <c r="E251" s="545">
        <v>7.6666666666666661</v>
      </c>
      <c r="F251" s="545">
        <v>8.6904761904761916</v>
      </c>
      <c r="G251" s="545">
        <v>15</v>
      </c>
      <c r="H251" s="545">
        <v>19</v>
      </c>
      <c r="I251" s="545">
        <v>11</v>
      </c>
      <c r="J251" s="545">
        <v>15</v>
      </c>
    </row>
    <row r="252" spans="1:10">
      <c r="A252" s="441">
        <v>4527</v>
      </c>
      <c r="B252" s="441" t="s">
        <v>1591</v>
      </c>
      <c r="C252" s="545">
        <v>18.333333333333336</v>
      </c>
      <c r="D252" s="545">
        <v>0</v>
      </c>
      <c r="E252" s="545">
        <v>0</v>
      </c>
      <c r="F252" s="545">
        <v>13.095238095238098</v>
      </c>
      <c r="G252" s="545">
        <v>1.55</v>
      </c>
      <c r="H252" s="545">
        <v>0.66666666666666663</v>
      </c>
      <c r="I252" s="545">
        <v>0</v>
      </c>
      <c r="J252" s="545">
        <v>1.2023809523809523</v>
      </c>
    </row>
    <row r="253" spans="1:10">
      <c r="A253" s="441">
        <v>3981</v>
      </c>
      <c r="B253" s="441" t="s">
        <v>1592</v>
      </c>
      <c r="C253" s="545">
        <v>4.6666666666666661</v>
      </c>
      <c r="D253" s="545">
        <v>4.333333333333333</v>
      </c>
      <c r="E253" s="545">
        <v>6.6666666666666661</v>
      </c>
      <c r="F253" s="545">
        <v>4.9047619047619042</v>
      </c>
      <c r="G253" s="545">
        <v>6.55</v>
      </c>
      <c r="H253" s="545">
        <v>5</v>
      </c>
      <c r="I253" s="545">
        <v>3.6666666666666665</v>
      </c>
      <c r="J253" s="545">
        <v>5.9166666666666661</v>
      </c>
    </row>
    <row r="254" spans="1:10">
      <c r="A254" s="441">
        <v>11570</v>
      </c>
      <c r="B254" s="441" t="s">
        <v>1592</v>
      </c>
      <c r="C254" s="545">
        <v>6.166666666666667</v>
      </c>
      <c r="D254" s="545">
        <v>4</v>
      </c>
      <c r="E254" s="545">
        <v>5.333333333333333</v>
      </c>
      <c r="F254" s="545">
        <v>5.738095238095239</v>
      </c>
      <c r="G254" s="545">
        <v>3.7</v>
      </c>
      <c r="H254" s="545">
        <v>2.3333333333333335</v>
      </c>
      <c r="I254" s="545">
        <v>4</v>
      </c>
      <c r="J254" s="545">
        <v>3.5476190476190474</v>
      </c>
    </row>
    <row r="255" spans="1:10">
      <c r="A255" s="441">
        <v>4531</v>
      </c>
      <c r="B255" s="441" t="s">
        <v>1593</v>
      </c>
      <c r="C255" s="545">
        <v>12.333333333333334</v>
      </c>
      <c r="D255" s="545">
        <v>2.3333333333333335</v>
      </c>
      <c r="E255" s="545">
        <v>4.333333333333333</v>
      </c>
      <c r="F255" s="545">
        <v>9.761904761904761</v>
      </c>
      <c r="G255" s="545">
        <v>6.55</v>
      </c>
      <c r="H255" s="545">
        <v>3.6666666666666665</v>
      </c>
      <c r="I255" s="545">
        <v>5</v>
      </c>
      <c r="J255" s="545">
        <v>5.9166666666666661</v>
      </c>
    </row>
    <row r="256" spans="1:10">
      <c r="A256" s="441">
        <v>13152</v>
      </c>
      <c r="B256" s="441" t="s">
        <v>1594</v>
      </c>
      <c r="C256" s="545">
        <v>50.333333333333336</v>
      </c>
      <c r="D256" s="545">
        <v>22.666666666666664</v>
      </c>
      <c r="E256" s="545">
        <v>33.333333333333329</v>
      </c>
      <c r="F256" s="545">
        <v>43.952380952380956</v>
      </c>
      <c r="G256" s="545">
        <v>26.55</v>
      </c>
      <c r="H256" s="545">
        <v>34.666666666666664</v>
      </c>
      <c r="I256" s="545">
        <v>51.333333333333336</v>
      </c>
      <c r="J256" s="545">
        <v>31.25</v>
      </c>
    </row>
    <row r="257" spans="1:10">
      <c r="A257" s="441">
        <v>3983</v>
      </c>
      <c r="B257" s="441" t="s">
        <v>1595</v>
      </c>
      <c r="C257" s="545">
        <v>17.166666666666668</v>
      </c>
      <c r="D257" s="545">
        <v>4</v>
      </c>
      <c r="E257" s="545">
        <v>5.3333333333333339</v>
      </c>
      <c r="F257" s="545">
        <v>13.595238095238097</v>
      </c>
      <c r="G257" s="545">
        <v>10.1</v>
      </c>
      <c r="H257" s="545">
        <v>6</v>
      </c>
      <c r="I257" s="545">
        <v>10.666666666666666</v>
      </c>
      <c r="J257" s="545">
        <v>9.5952380952380967</v>
      </c>
    </row>
    <row r="258" spans="1:10">
      <c r="A258" s="441">
        <v>11003</v>
      </c>
      <c r="B258" s="441" t="s">
        <v>1596</v>
      </c>
      <c r="C258" s="545">
        <v>51.333333333333336</v>
      </c>
      <c r="D258" s="545">
        <v>33.333333333333329</v>
      </c>
      <c r="E258" s="545">
        <v>21.333333333333332</v>
      </c>
      <c r="F258" s="545">
        <v>44.476190476190474</v>
      </c>
      <c r="G258" s="545">
        <v>12.65</v>
      </c>
      <c r="H258" s="545">
        <v>7</v>
      </c>
      <c r="I258" s="545">
        <v>7</v>
      </c>
      <c r="J258" s="545">
        <v>11.035714285714286</v>
      </c>
    </row>
    <row r="259" spans="1:10">
      <c r="A259" s="441">
        <v>11010</v>
      </c>
      <c r="B259" s="441" t="s">
        <v>1596</v>
      </c>
      <c r="C259" s="545">
        <v>8.6666666666666661</v>
      </c>
      <c r="D259" s="545">
        <v>8.6666666666666679</v>
      </c>
      <c r="E259" s="545">
        <v>15.666666666666668</v>
      </c>
      <c r="F259" s="545">
        <v>9.6666666666666679</v>
      </c>
      <c r="G259" s="545">
        <v>6.25</v>
      </c>
      <c r="H259" s="545">
        <v>5.333333333333333</v>
      </c>
      <c r="I259" s="545">
        <v>4.333333333333333</v>
      </c>
      <c r="J259" s="545">
        <v>5.8452380952380958</v>
      </c>
    </row>
    <row r="260" spans="1:10">
      <c r="A260" s="441">
        <v>11011</v>
      </c>
      <c r="B260" s="441" t="s">
        <v>1596</v>
      </c>
      <c r="C260" s="545">
        <v>2.833333333333333</v>
      </c>
      <c r="D260" s="545">
        <v>4.6666666666666661</v>
      </c>
      <c r="E260" s="545">
        <v>4.3333333333333339</v>
      </c>
      <c r="F260" s="545">
        <v>3.3095238095238093</v>
      </c>
      <c r="G260" s="545">
        <v>2.2999999999999998</v>
      </c>
      <c r="H260" s="545">
        <v>1.3333333333333333</v>
      </c>
      <c r="I260" s="545">
        <v>0.66666666666666663</v>
      </c>
      <c r="J260" s="545">
        <v>1.9285714285714286</v>
      </c>
    </row>
    <row r="261" spans="1:10">
      <c r="A261" s="441">
        <v>2353</v>
      </c>
      <c r="B261" s="441" t="s">
        <v>1597</v>
      </c>
      <c r="C261" s="545">
        <v>6.666666666666667</v>
      </c>
      <c r="D261" s="545">
        <v>1.6666666666666665</v>
      </c>
      <c r="E261" s="545">
        <v>1</v>
      </c>
      <c r="F261" s="545">
        <v>5.1428571428571432</v>
      </c>
      <c r="G261" s="545">
        <v>2.9</v>
      </c>
      <c r="H261" s="545">
        <v>1</v>
      </c>
      <c r="I261" s="545">
        <v>1.6666666666666667</v>
      </c>
      <c r="J261" s="545">
        <v>2.4523809523809526</v>
      </c>
    </row>
    <row r="262" spans="1:10">
      <c r="A262" s="441">
        <v>7935</v>
      </c>
      <c r="B262" s="441" t="s">
        <v>1598</v>
      </c>
      <c r="C262" s="545">
        <v>1.6666666666666667</v>
      </c>
      <c r="D262" s="545">
        <v>0</v>
      </c>
      <c r="E262" s="545">
        <v>0</v>
      </c>
      <c r="F262" s="545">
        <v>1.1904761904761905</v>
      </c>
      <c r="G262" s="545">
        <v>0.2</v>
      </c>
      <c r="H262" s="545"/>
      <c r="I262" s="545"/>
      <c r="J262" s="545">
        <v>0.14285714285714285</v>
      </c>
    </row>
    <row r="263" spans="1:10">
      <c r="A263" s="441">
        <v>10055</v>
      </c>
      <c r="B263" s="441" t="s">
        <v>1598</v>
      </c>
      <c r="C263" s="545">
        <v>1.3333333333333335</v>
      </c>
      <c r="D263" s="545">
        <v>0</v>
      </c>
      <c r="E263" s="545">
        <v>0</v>
      </c>
      <c r="F263" s="545">
        <v>0.95238095238095255</v>
      </c>
      <c r="G263" s="545">
        <v>0.15</v>
      </c>
      <c r="H263" s="545"/>
      <c r="I263" s="545"/>
      <c r="J263" s="545">
        <v>0.10714285714285714</v>
      </c>
    </row>
    <row r="264" spans="1:10">
      <c r="A264" s="441">
        <v>7949</v>
      </c>
      <c r="B264" s="441" t="s">
        <v>1599</v>
      </c>
      <c r="C264" s="545">
        <v>7.833333333333333</v>
      </c>
      <c r="D264" s="545">
        <v>0</v>
      </c>
      <c r="E264" s="545">
        <v>0</v>
      </c>
      <c r="F264" s="545">
        <v>5.5952380952380949</v>
      </c>
      <c r="G264" s="545">
        <v>2.4500000000000002</v>
      </c>
      <c r="H264" s="545"/>
      <c r="I264" s="545"/>
      <c r="J264" s="545">
        <v>1.75</v>
      </c>
    </row>
    <row r="265" spans="1:10">
      <c r="A265" s="441">
        <v>7938</v>
      </c>
      <c r="B265" s="441" t="s">
        <v>1600</v>
      </c>
      <c r="C265" s="545">
        <v>4.166666666666667</v>
      </c>
      <c r="D265" s="545">
        <v>0</v>
      </c>
      <c r="E265" s="545">
        <v>0</v>
      </c>
      <c r="F265" s="545">
        <v>2.9761904761904767</v>
      </c>
      <c r="G265" s="545">
        <v>0.45</v>
      </c>
      <c r="H265" s="545"/>
      <c r="I265" s="545"/>
      <c r="J265" s="545">
        <v>0.32142857142857145</v>
      </c>
    </row>
    <row r="266" spans="1:10">
      <c r="A266" s="441">
        <v>7936</v>
      </c>
      <c r="B266" s="441" t="s">
        <v>1601</v>
      </c>
      <c r="C266" s="545">
        <v>10</v>
      </c>
      <c r="D266" s="545">
        <v>0</v>
      </c>
      <c r="E266" s="545">
        <v>0</v>
      </c>
      <c r="F266" s="545">
        <v>7.1428571428571432</v>
      </c>
      <c r="G266" s="545">
        <v>2.4</v>
      </c>
      <c r="H266" s="545"/>
      <c r="I266" s="545"/>
      <c r="J266" s="545">
        <v>1.7142857142857142</v>
      </c>
    </row>
    <row r="267" spans="1:10">
      <c r="A267" s="441">
        <v>7932</v>
      </c>
      <c r="B267" s="441" t="s">
        <v>1602</v>
      </c>
      <c r="C267" s="545">
        <v>8.3333333333333321</v>
      </c>
      <c r="D267" s="545">
        <v>0</v>
      </c>
      <c r="E267" s="545">
        <v>0</v>
      </c>
      <c r="F267" s="545">
        <v>5.9523809523809508</v>
      </c>
      <c r="G267" s="545">
        <v>1.7</v>
      </c>
      <c r="H267" s="545"/>
      <c r="I267" s="545"/>
      <c r="J267" s="545">
        <v>1.2142857142857142</v>
      </c>
    </row>
    <row r="268" spans="1:10">
      <c r="A268" s="441">
        <v>7952</v>
      </c>
      <c r="B268" s="441" t="s">
        <v>1602</v>
      </c>
      <c r="C268" s="545">
        <v>5.333333333333333</v>
      </c>
      <c r="D268" s="545">
        <v>0</v>
      </c>
      <c r="E268" s="545">
        <v>0</v>
      </c>
      <c r="F268" s="545">
        <v>3.8095238095238093</v>
      </c>
      <c r="G268" s="545">
        <v>0.2</v>
      </c>
      <c r="H268" s="545"/>
      <c r="I268" s="545"/>
      <c r="J268" s="545">
        <v>0.14285714285714285</v>
      </c>
    </row>
    <row r="269" spans="1:10">
      <c r="A269" s="441">
        <v>7953</v>
      </c>
      <c r="B269" s="441" t="s">
        <v>1602</v>
      </c>
      <c r="C269" s="545">
        <v>4.166666666666667</v>
      </c>
      <c r="D269" s="545">
        <v>0</v>
      </c>
      <c r="E269" s="545">
        <v>0</v>
      </c>
      <c r="F269" s="545">
        <v>2.9761904761904767</v>
      </c>
      <c r="G269" s="545">
        <v>0.7</v>
      </c>
      <c r="H269" s="545"/>
      <c r="I269" s="545"/>
      <c r="J269" s="545">
        <v>0.5</v>
      </c>
    </row>
    <row r="270" spans="1:10">
      <c r="A270" s="441">
        <v>7926</v>
      </c>
      <c r="B270" s="441" t="s">
        <v>1603</v>
      </c>
      <c r="C270" s="545">
        <v>32.666666666666671</v>
      </c>
      <c r="D270" s="545">
        <v>0</v>
      </c>
      <c r="E270" s="545">
        <v>0</v>
      </c>
      <c r="F270" s="545">
        <v>23.333333333333339</v>
      </c>
      <c r="G270" s="545">
        <v>3</v>
      </c>
      <c r="H270" s="545"/>
      <c r="I270" s="545"/>
      <c r="J270" s="545">
        <v>2.1428571428571428</v>
      </c>
    </row>
    <row r="271" spans="1:10">
      <c r="A271" s="441">
        <v>7931</v>
      </c>
      <c r="B271" s="441" t="s">
        <v>1603</v>
      </c>
      <c r="C271" s="545">
        <v>2.1666666666666665</v>
      </c>
      <c r="D271" s="545">
        <v>0</v>
      </c>
      <c r="E271" s="545">
        <v>0</v>
      </c>
      <c r="F271" s="545">
        <v>1.5476190476190474</v>
      </c>
      <c r="G271" s="545">
        <v>0.4</v>
      </c>
      <c r="H271" s="545"/>
      <c r="I271" s="545"/>
      <c r="J271" s="545">
        <v>0.2857142857142857</v>
      </c>
    </row>
    <row r="272" spans="1:10">
      <c r="A272" s="441">
        <v>7954</v>
      </c>
      <c r="B272" s="441" t="s">
        <v>1603</v>
      </c>
      <c r="C272" s="545">
        <v>28.833333333333336</v>
      </c>
      <c r="D272" s="545">
        <v>0</v>
      </c>
      <c r="E272" s="545">
        <v>0</v>
      </c>
      <c r="F272" s="545">
        <v>20.595238095238098</v>
      </c>
      <c r="G272" s="545">
        <v>4.5999999999999996</v>
      </c>
      <c r="H272" s="545"/>
      <c r="I272" s="545"/>
      <c r="J272" s="545">
        <v>3.2857142857142856</v>
      </c>
    </row>
    <row r="273" spans="1:10">
      <c r="A273" s="441">
        <v>7914</v>
      </c>
      <c r="B273" s="441" t="s">
        <v>1604</v>
      </c>
      <c r="C273" s="545">
        <v>15.833333333333334</v>
      </c>
      <c r="D273" s="545">
        <v>2</v>
      </c>
      <c r="E273" s="545">
        <v>5.333333333333333</v>
      </c>
      <c r="F273" s="545">
        <v>12.357142857142858</v>
      </c>
      <c r="G273" s="545">
        <v>8.4499999999999993</v>
      </c>
      <c r="H273" s="545">
        <v>2.6666666666666665</v>
      </c>
      <c r="I273" s="545">
        <v>2.3333333333333335</v>
      </c>
      <c r="J273" s="545">
        <v>6.75</v>
      </c>
    </row>
    <row r="274" spans="1:10">
      <c r="A274" s="441">
        <v>7921</v>
      </c>
      <c r="B274" s="441" t="s">
        <v>1604</v>
      </c>
      <c r="C274" s="545">
        <v>15.833333333333334</v>
      </c>
      <c r="D274" s="545">
        <v>7</v>
      </c>
      <c r="E274" s="545">
        <v>4.666666666666667</v>
      </c>
      <c r="F274" s="545">
        <v>12.976190476190478</v>
      </c>
      <c r="G274" s="545">
        <v>7.05</v>
      </c>
      <c r="H274" s="545">
        <v>2.3333333333333335</v>
      </c>
      <c r="I274" s="545">
        <v>3.3333333333333335</v>
      </c>
      <c r="J274" s="545">
        <v>5.8452380952380958</v>
      </c>
    </row>
    <row r="275" spans="1:10">
      <c r="A275" s="441">
        <v>7933</v>
      </c>
      <c r="B275" s="441" t="s">
        <v>1605</v>
      </c>
      <c r="C275" s="545">
        <v>5</v>
      </c>
      <c r="D275" s="545">
        <v>0</v>
      </c>
      <c r="E275" s="545">
        <v>0</v>
      </c>
      <c r="F275" s="545">
        <v>3.5714285714285716</v>
      </c>
      <c r="G275" s="545">
        <v>0.35</v>
      </c>
      <c r="H275" s="545"/>
      <c r="I275" s="545"/>
      <c r="J275" s="545">
        <v>0.25</v>
      </c>
    </row>
    <row r="276" spans="1:10">
      <c r="A276" s="441">
        <v>7915</v>
      </c>
      <c r="B276" s="441" t="s">
        <v>1606</v>
      </c>
      <c r="C276" s="545">
        <v>0.83333333333333326</v>
      </c>
      <c r="D276" s="545">
        <v>0.33333333333333331</v>
      </c>
      <c r="E276" s="545">
        <v>0.66666666666666663</v>
      </c>
      <c r="F276" s="545">
        <v>0.73809523809523803</v>
      </c>
      <c r="G276" s="545">
        <v>0.8</v>
      </c>
      <c r="H276" s="545">
        <v>0</v>
      </c>
      <c r="I276" s="545">
        <v>0.66666666666666663</v>
      </c>
      <c r="J276" s="545">
        <v>0.66666666666666674</v>
      </c>
    </row>
    <row r="277" spans="1:10">
      <c r="A277" s="441">
        <v>7920</v>
      </c>
      <c r="B277" s="441" t="s">
        <v>1606</v>
      </c>
      <c r="C277" s="545">
        <v>1.5</v>
      </c>
      <c r="D277" s="545">
        <v>0.66666666666666663</v>
      </c>
      <c r="E277" s="545">
        <v>0.33333333333333331</v>
      </c>
      <c r="F277" s="545">
        <v>1.2142857142857142</v>
      </c>
      <c r="G277" s="545">
        <v>0.45</v>
      </c>
      <c r="H277" s="545">
        <v>0</v>
      </c>
      <c r="I277" s="545">
        <v>0</v>
      </c>
      <c r="J277" s="545">
        <v>0.32142857142857145</v>
      </c>
    </row>
    <row r="278" spans="1:10">
      <c r="A278" s="441">
        <v>7925</v>
      </c>
      <c r="B278" s="441" t="s">
        <v>1607</v>
      </c>
      <c r="C278" s="545">
        <v>2.3333333333333335</v>
      </c>
      <c r="D278" s="545">
        <v>0</v>
      </c>
      <c r="E278" s="545">
        <v>0</v>
      </c>
      <c r="F278" s="545">
        <v>1.6666666666666667</v>
      </c>
      <c r="G278" s="545">
        <v>0.6</v>
      </c>
      <c r="H278" s="545"/>
      <c r="I278" s="545"/>
      <c r="J278" s="545">
        <v>0.42857142857142855</v>
      </c>
    </row>
    <row r="279" spans="1:10">
      <c r="A279" s="441">
        <v>8040</v>
      </c>
      <c r="B279" s="441" t="s">
        <v>1607</v>
      </c>
      <c r="C279" s="545">
        <v>0.5</v>
      </c>
      <c r="D279" s="545">
        <v>0</v>
      </c>
      <c r="E279" s="545">
        <v>0</v>
      </c>
      <c r="F279" s="545">
        <v>0.35714285714285715</v>
      </c>
      <c r="G279" s="545">
        <v>0</v>
      </c>
      <c r="H279" s="545"/>
      <c r="I279" s="545"/>
      <c r="J279" s="545">
        <v>0</v>
      </c>
    </row>
    <row r="280" spans="1:10">
      <c r="A280" s="441">
        <v>7924</v>
      </c>
      <c r="B280" s="441" t="s">
        <v>1608</v>
      </c>
      <c r="C280" s="545">
        <v>5.333333333333333</v>
      </c>
      <c r="D280" s="545">
        <v>0</v>
      </c>
      <c r="E280" s="545">
        <v>0</v>
      </c>
      <c r="F280" s="545">
        <v>3.8095238095238093</v>
      </c>
      <c r="G280" s="545">
        <v>1.55</v>
      </c>
      <c r="H280" s="545"/>
      <c r="I280" s="545"/>
      <c r="J280" s="545">
        <v>1.1071428571428572</v>
      </c>
    </row>
    <row r="281" spans="1:10">
      <c r="A281" s="441">
        <v>8041</v>
      </c>
      <c r="B281" s="441" t="s">
        <v>1608</v>
      </c>
      <c r="C281" s="545">
        <v>2.3333333333333335</v>
      </c>
      <c r="D281" s="545">
        <v>0</v>
      </c>
      <c r="E281" s="545">
        <v>0</v>
      </c>
      <c r="F281" s="545">
        <v>1.6666666666666667</v>
      </c>
      <c r="G281" s="545">
        <v>0.3</v>
      </c>
      <c r="H281" s="545"/>
      <c r="I281" s="545"/>
      <c r="J281" s="545">
        <v>0.21428571428571427</v>
      </c>
    </row>
    <row r="282" spans="1:10">
      <c r="A282" s="441">
        <v>7934</v>
      </c>
      <c r="B282" s="441" t="s">
        <v>1609</v>
      </c>
      <c r="C282" s="545">
        <v>2.5</v>
      </c>
      <c r="D282" s="545">
        <v>0</v>
      </c>
      <c r="E282" s="545">
        <v>0</v>
      </c>
      <c r="F282" s="545">
        <v>1.7857142857142858</v>
      </c>
      <c r="G282" s="545">
        <v>0.75</v>
      </c>
      <c r="H282" s="545"/>
      <c r="I282" s="545"/>
      <c r="J282" s="545">
        <v>0.5357142857142857</v>
      </c>
    </row>
    <row r="283" spans="1:10">
      <c r="A283" s="441">
        <v>7950</v>
      </c>
      <c r="B283" s="441" t="s">
        <v>1609</v>
      </c>
      <c r="C283" s="545">
        <v>3.5</v>
      </c>
      <c r="D283" s="545">
        <v>0</v>
      </c>
      <c r="E283" s="545">
        <v>0</v>
      </c>
      <c r="F283" s="545">
        <v>2.5</v>
      </c>
      <c r="G283" s="545">
        <v>1.5</v>
      </c>
      <c r="H283" s="545"/>
      <c r="I283" s="545"/>
      <c r="J283" s="545">
        <v>1.0714285714285714</v>
      </c>
    </row>
    <row r="284" spans="1:10">
      <c r="A284" s="441">
        <v>7912</v>
      </c>
      <c r="B284" s="441" t="s">
        <v>1610</v>
      </c>
      <c r="C284" s="545">
        <v>11.333333333333334</v>
      </c>
      <c r="D284" s="545">
        <v>0</v>
      </c>
      <c r="E284" s="545">
        <v>0</v>
      </c>
      <c r="F284" s="545">
        <v>8.0952380952380967</v>
      </c>
      <c r="G284" s="545">
        <v>1.9</v>
      </c>
      <c r="H284" s="545"/>
      <c r="I284" s="545"/>
      <c r="J284" s="545">
        <v>1.3571428571428572</v>
      </c>
    </row>
    <row r="285" spans="1:10">
      <c r="A285" s="441">
        <v>7923</v>
      </c>
      <c r="B285" s="441" t="s">
        <v>1610</v>
      </c>
      <c r="C285" s="545">
        <v>19.666666666666668</v>
      </c>
      <c r="D285" s="545">
        <v>0</v>
      </c>
      <c r="E285" s="545">
        <v>0</v>
      </c>
      <c r="F285" s="545">
        <v>14.047619047619049</v>
      </c>
      <c r="G285" s="545">
        <v>2.4</v>
      </c>
      <c r="H285" s="545"/>
      <c r="I285" s="545"/>
      <c r="J285" s="545">
        <v>1.7142857142857142</v>
      </c>
    </row>
    <row r="286" spans="1:10">
      <c r="A286" s="441">
        <v>7916</v>
      </c>
      <c r="B286" s="441" t="s">
        <v>1611</v>
      </c>
      <c r="C286" s="545">
        <v>7.833333333333333</v>
      </c>
      <c r="D286" s="545">
        <v>3</v>
      </c>
      <c r="E286" s="545">
        <v>1.3333333333333333</v>
      </c>
      <c r="F286" s="545">
        <v>6.2142857142857144</v>
      </c>
      <c r="G286" s="545">
        <v>1.7</v>
      </c>
      <c r="H286" s="545">
        <v>0.33333333333333331</v>
      </c>
      <c r="I286" s="545">
        <v>0</v>
      </c>
      <c r="J286" s="545">
        <v>1.2619047619047621</v>
      </c>
    </row>
    <row r="287" spans="1:10">
      <c r="A287" s="441">
        <v>7919</v>
      </c>
      <c r="B287" s="441" t="s">
        <v>1611</v>
      </c>
      <c r="C287" s="545">
        <v>16.5</v>
      </c>
      <c r="D287" s="545">
        <v>8.3333333333333339</v>
      </c>
      <c r="E287" s="545">
        <v>6.666666666666667</v>
      </c>
      <c r="F287" s="545">
        <v>13.928571428571429</v>
      </c>
      <c r="G287" s="545">
        <v>3.65</v>
      </c>
      <c r="H287" s="545">
        <v>3.3333333333333335</v>
      </c>
      <c r="I287" s="545">
        <v>1.6666666666666667</v>
      </c>
      <c r="J287" s="545">
        <v>3.3214285714285716</v>
      </c>
    </row>
    <row r="288" spans="1:10">
      <c r="A288" s="441">
        <v>7951</v>
      </c>
      <c r="B288" s="441" t="s">
        <v>1612</v>
      </c>
      <c r="C288" s="545">
        <v>3.3333333333333335</v>
      </c>
      <c r="D288" s="545">
        <v>0</v>
      </c>
      <c r="E288" s="545">
        <v>0</v>
      </c>
      <c r="F288" s="545">
        <v>2.3809523809523809</v>
      </c>
      <c r="G288" s="545">
        <v>0.65</v>
      </c>
      <c r="H288" s="545"/>
      <c r="I288" s="545"/>
      <c r="J288" s="545">
        <v>0.4642857142857143</v>
      </c>
    </row>
    <row r="289" spans="1:10">
      <c r="A289" s="441">
        <v>7937</v>
      </c>
      <c r="B289" s="441" t="s">
        <v>1613</v>
      </c>
      <c r="C289" s="545">
        <v>6.666666666666667</v>
      </c>
      <c r="D289" s="545">
        <v>0</v>
      </c>
      <c r="E289" s="545">
        <v>0</v>
      </c>
      <c r="F289" s="545">
        <v>4.7619047619047619</v>
      </c>
      <c r="G289" s="545">
        <v>0.65</v>
      </c>
      <c r="H289" s="545"/>
      <c r="I289" s="545"/>
      <c r="J289" s="545">
        <v>0.4642857142857143</v>
      </c>
    </row>
    <row r="290" spans="1:10">
      <c r="A290" s="441">
        <v>7948</v>
      </c>
      <c r="B290" s="441" t="s">
        <v>1613</v>
      </c>
      <c r="C290" s="545">
        <v>6.6666666666666661</v>
      </c>
      <c r="D290" s="545">
        <v>0</v>
      </c>
      <c r="E290" s="545">
        <v>0</v>
      </c>
      <c r="F290" s="545">
        <v>4.761904761904761</v>
      </c>
      <c r="G290" s="545">
        <v>0.35</v>
      </c>
      <c r="H290" s="545"/>
      <c r="I290" s="545"/>
      <c r="J290" s="545">
        <v>0.25</v>
      </c>
    </row>
    <row r="291" spans="1:10">
      <c r="A291" s="441">
        <v>914</v>
      </c>
      <c r="B291" s="441" t="s">
        <v>1614</v>
      </c>
      <c r="C291" s="545">
        <v>11.166666666666666</v>
      </c>
      <c r="D291" s="545">
        <v>10.333333333333334</v>
      </c>
      <c r="E291" s="545">
        <v>5.333333333333333</v>
      </c>
      <c r="F291" s="545">
        <v>10.214285714285712</v>
      </c>
      <c r="G291" s="545">
        <v>12.1</v>
      </c>
      <c r="H291" s="545">
        <v>10.666666666666666</v>
      </c>
      <c r="I291" s="545">
        <v>5.666666666666667</v>
      </c>
      <c r="J291" s="545">
        <v>10.976190476190478</v>
      </c>
    </row>
    <row r="292" spans="1:10">
      <c r="A292" s="441">
        <v>878</v>
      </c>
      <c r="B292" s="441" t="s">
        <v>1615</v>
      </c>
      <c r="C292" s="545">
        <v>2.1666666666666665</v>
      </c>
      <c r="D292" s="545">
        <v>3</v>
      </c>
      <c r="E292" s="545">
        <v>2</v>
      </c>
      <c r="F292" s="545">
        <v>2.2619047619047619</v>
      </c>
      <c r="G292" s="545">
        <v>2.35</v>
      </c>
      <c r="H292" s="545">
        <v>3</v>
      </c>
      <c r="I292" s="545">
        <v>1</v>
      </c>
      <c r="J292" s="545">
        <v>2.25</v>
      </c>
    </row>
    <row r="293" spans="1:10">
      <c r="A293" s="441">
        <v>907</v>
      </c>
      <c r="B293" s="441" t="s">
        <v>1616</v>
      </c>
      <c r="C293" s="545">
        <v>1.1666666666666667</v>
      </c>
      <c r="D293" s="545">
        <v>0.66666666666666663</v>
      </c>
      <c r="E293" s="545">
        <v>0</v>
      </c>
      <c r="F293" s="545">
        <v>0.92857142857142871</v>
      </c>
      <c r="G293" s="545">
        <v>2</v>
      </c>
      <c r="H293" s="545">
        <v>1.3333333333333333</v>
      </c>
      <c r="I293" s="545">
        <v>0.66666666666666663</v>
      </c>
      <c r="J293" s="545">
        <v>1.7142857142857142</v>
      </c>
    </row>
    <row r="294" spans="1:10">
      <c r="A294" s="441">
        <v>913</v>
      </c>
      <c r="B294" s="441" t="s">
        <v>1617</v>
      </c>
      <c r="C294" s="545">
        <v>0.83333333333333337</v>
      </c>
      <c r="D294" s="545">
        <v>0</v>
      </c>
      <c r="E294" s="545">
        <v>0.33333333333333331</v>
      </c>
      <c r="F294" s="545">
        <v>0.6428571428571429</v>
      </c>
      <c r="G294" s="545">
        <v>1.35</v>
      </c>
      <c r="H294" s="545">
        <v>0.33333333333333331</v>
      </c>
      <c r="I294" s="545">
        <v>0</v>
      </c>
      <c r="J294" s="545">
        <v>1.0119047619047619</v>
      </c>
    </row>
    <row r="295" spans="1:10">
      <c r="A295" s="441">
        <v>911</v>
      </c>
      <c r="B295" s="441" t="s">
        <v>1618</v>
      </c>
      <c r="C295" s="545">
        <v>10.666666666666666</v>
      </c>
      <c r="D295" s="545">
        <v>7.6666666666666661</v>
      </c>
      <c r="E295" s="545">
        <v>6.333333333333333</v>
      </c>
      <c r="F295" s="545">
        <v>9.6190476190476186</v>
      </c>
      <c r="G295" s="545">
        <v>6.5</v>
      </c>
      <c r="H295" s="545">
        <v>4.666666666666667</v>
      </c>
      <c r="I295" s="545">
        <v>4.666666666666667</v>
      </c>
      <c r="J295" s="545">
        <v>5.9761904761904754</v>
      </c>
    </row>
    <row r="296" spans="1:10">
      <c r="A296" s="441">
        <v>908</v>
      </c>
      <c r="B296" s="441" t="s">
        <v>1619</v>
      </c>
      <c r="C296" s="545">
        <v>2.1666666666666665</v>
      </c>
      <c r="D296" s="545">
        <v>1</v>
      </c>
      <c r="E296" s="545">
        <v>2.3333333333333335</v>
      </c>
      <c r="F296" s="545">
        <v>2.0238095238095237</v>
      </c>
      <c r="G296" s="545">
        <v>3.55</v>
      </c>
      <c r="H296" s="545">
        <v>1</v>
      </c>
      <c r="I296" s="545">
        <v>0.33333333333333331</v>
      </c>
      <c r="J296" s="545">
        <v>2.7261904761904758</v>
      </c>
    </row>
    <row r="297" spans="1:10">
      <c r="A297" s="441">
        <v>905</v>
      </c>
      <c r="B297" s="441" t="s">
        <v>1620</v>
      </c>
      <c r="C297" s="545">
        <v>4</v>
      </c>
      <c r="D297" s="545">
        <v>3.3333333333333335</v>
      </c>
      <c r="E297" s="545">
        <v>2</v>
      </c>
      <c r="F297" s="545">
        <v>3.6190476190476191</v>
      </c>
      <c r="G297" s="545">
        <v>5.3</v>
      </c>
      <c r="H297" s="545">
        <v>4</v>
      </c>
      <c r="I297" s="545">
        <v>3</v>
      </c>
      <c r="J297" s="545">
        <v>4.7857142857142856</v>
      </c>
    </row>
    <row r="298" spans="1:10">
      <c r="A298" s="441">
        <v>909</v>
      </c>
      <c r="B298" s="441" t="s">
        <v>1621</v>
      </c>
      <c r="C298" s="545">
        <v>8.5</v>
      </c>
      <c r="D298" s="545">
        <v>7</v>
      </c>
      <c r="E298" s="545">
        <v>7.6666666666666661</v>
      </c>
      <c r="F298" s="545">
        <v>8.1666666666666661</v>
      </c>
      <c r="G298" s="545">
        <v>6.95</v>
      </c>
      <c r="H298" s="545">
        <v>3.6666666666666665</v>
      </c>
      <c r="I298" s="545">
        <v>3</v>
      </c>
      <c r="J298" s="545">
        <v>5.9166666666666661</v>
      </c>
    </row>
    <row r="299" spans="1:10">
      <c r="A299" s="441">
        <v>13075</v>
      </c>
      <c r="B299" s="441" t="s">
        <v>1621</v>
      </c>
      <c r="C299" s="545">
        <v>9.5</v>
      </c>
      <c r="D299" s="545">
        <v>3.3333333333333335</v>
      </c>
      <c r="E299" s="545">
        <v>5.333333333333333</v>
      </c>
      <c r="F299" s="545">
        <v>8.0238095238095237</v>
      </c>
      <c r="G299" s="545">
        <v>6.25</v>
      </c>
      <c r="H299" s="545">
        <v>1</v>
      </c>
      <c r="I299" s="545">
        <v>1.3333333333333333</v>
      </c>
      <c r="J299" s="545">
        <v>4.7976190476190483</v>
      </c>
    </row>
    <row r="300" spans="1:10">
      <c r="A300" s="441">
        <v>879</v>
      </c>
      <c r="B300" s="441" t="s">
        <v>1622</v>
      </c>
      <c r="C300" s="545">
        <v>8.6666666666666679</v>
      </c>
      <c r="D300" s="545">
        <v>7</v>
      </c>
      <c r="E300" s="545">
        <v>7</v>
      </c>
      <c r="F300" s="545">
        <v>8.1904761904761916</v>
      </c>
      <c r="G300" s="545">
        <v>14.75</v>
      </c>
      <c r="H300" s="545">
        <v>18.666666666666668</v>
      </c>
      <c r="I300" s="545">
        <v>9.6666666666666661</v>
      </c>
      <c r="J300" s="545">
        <v>14.583333333333334</v>
      </c>
    </row>
    <row r="301" spans="1:10">
      <c r="A301" s="441">
        <v>880</v>
      </c>
      <c r="B301" s="441" t="s">
        <v>1622</v>
      </c>
      <c r="C301" s="545">
        <v>3.666666666666667</v>
      </c>
      <c r="D301" s="545">
        <v>5</v>
      </c>
      <c r="E301" s="545">
        <v>2.3333333333333335</v>
      </c>
      <c r="F301" s="545">
        <v>3.666666666666667</v>
      </c>
      <c r="G301" s="545">
        <v>4.45</v>
      </c>
      <c r="H301" s="545">
        <v>2.6666666666666665</v>
      </c>
      <c r="I301" s="545">
        <v>9</v>
      </c>
      <c r="J301" s="545">
        <v>4.8452380952380958</v>
      </c>
    </row>
    <row r="302" spans="1:10">
      <c r="A302" s="441">
        <v>906</v>
      </c>
      <c r="B302" s="441" t="s">
        <v>1622</v>
      </c>
      <c r="C302" s="545">
        <v>10.166666666666666</v>
      </c>
      <c r="D302" s="545">
        <v>8.3333333333333339</v>
      </c>
      <c r="E302" s="545">
        <v>8</v>
      </c>
      <c r="F302" s="545">
        <v>9.5952380952380931</v>
      </c>
      <c r="G302" s="545">
        <v>12.55</v>
      </c>
      <c r="H302" s="545">
        <v>11.666666666666666</v>
      </c>
      <c r="I302" s="545">
        <v>6</v>
      </c>
      <c r="J302" s="545">
        <v>11.488095238095239</v>
      </c>
    </row>
    <row r="303" spans="1:10">
      <c r="A303" s="441">
        <v>912</v>
      </c>
      <c r="B303" s="441" t="s">
        <v>1623</v>
      </c>
      <c r="C303" s="545">
        <v>1.3333333333333333</v>
      </c>
      <c r="D303" s="545">
        <v>0</v>
      </c>
      <c r="E303" s="545">
        <v>1.6666666666666665</v>
      </c>
      <c r="F303" s="545">
        <v>1.1904761904761902</v>
      </c>
      <c r="G303" s="545">
        <v>0.55000000000000004</v>
      </c>
      <c r="H303" s="545">
        <v>0.66666666666666663</v>
      </c>
      <c r="I303" s="545">
        <v>0</v>
      </c>
      <c r="J303" s="545">
        <v>0.48809523809523808</v>
      </c>
    </row>
    <row r="304" spans="1:10">
      <c r="A304" s="441">
        <v>11526</v>
      </c>
      <c r="B304" s="441" t="s">
        <v>1624</v>
      </c>
      <c r="C304" s="545">
        <v>3.666666666666667</v>
      </c>
      <c r="D304" s="545">
        <v>0</v>
      </c>
      <c r="E304" s="545">
        <v>1</v>
      </c>
      <c r="F304" s="545">
        <v>2.7619047619047623</v>
      </c>
      <c r="G304" s="545">
        <v>4.2</v>
      </c>
      <c r="H304" s="545">
        <v>0</v>
      </c>
      <c r="I304" s="545">
        <v>0.66666666666666663</v>
      </c>
      <c r="J304" s="545">
        <v>3.0952380952380953</v>
      </c>
    </row>
    <row r="305" spans="1:10">
      <c r="A305" s="441">
        <v>4756</v>
      </c>
      <c r="B305" s="441" t="s">
        <v>1625</v>
      </c>
      <c r="C305" s="545">
        <v>3.6666666666666665</v>
      </c>
      <c r="D305" s="545">
        <v>3</v>
      </c>
      <c r="E305" s="545">
        <v>5</v>
      </c>
      <c r="F305" s="545">
        <v>3.7619047619047619</v>
      </c>
      <c r="G305" s="545">
        <v>4.75</v>
      </c>
      <c r="H305" s="545">
        <v>2.6666666666666665</v>
      </c>
      <c r="I305" s="545">
        <v>0.33333333333333331</v>
      </c>
      <c r="J305" s="545">
        <v>3.8214285714285716</v>
      </c>
    </row>
    <row r="306" spans="1:10">
      <c r="A306" s="441">
        <v>5352</v>
      </c>
      <c r="B306" s="441" t="s">
        <v>1625</v>
      </c>
      <c r="C306" s="545">
        <v>1.8333333333333335</v>
      </c>
      <c r="D306" s="545">
        <v>1.3333333333333333</v>
      </c>
      <c r="E306" s="545">
        <v>1.6666666666666667</v>
      </c>
      <c r="F306" s="545">
        <v>1.7380952380952384</v>
      </c>
      <c r="G306" s="545">
        <v>2.65</v>
      </c>
      <c r="H306" s="545">
        <v>0.66666666666666663</v>
      </c>
      <c r="I306" s="545">
        <v>1</v>
      </c>
      <c r="J306" s="545">
        <v>2.1309523809523809</v>
      </c>
    </row>
    <row r="307" spans="1:10">
      <c r="A307" s="441">
        <v>12671</v>
      </c>
      <c r="B307" s="441" t="s">
        <v>1626</v>
      </c>
      <c r="C307" s="545">
        <v>27.666666666666668</v>
      </c>
      <c r="D307" s="545">
        <v>26.333333333333336</v>
      </c>
      <c r="E307" s="545">
        <v>20</v>
      </c>
      <c r="F307" s="545">
        <v>26.380952380952383</v>
      </c>
      <c r="G307" s="545">
        <v>23</v>
      </c>
      <c r="H307" s="545">
        <v>8</v>
      </c>
      <c r="I307" s="545">
        <v>5</v>
      </c>
      <c r="J307" s="545">
        <v>18.285714285714285</v>
      </c>
    </row>
    <row r="308" spans="1:10">
      <c r="A308" s="441">
        <v>12955</v>
      </c>
      <c r="B308" s="441" t="s">
        <v>1626</v>
      </c>
      <c r="C308" s="545">
        <v>29.5</v>
      </c>
      <c r="D308" s="545">
        <v>18</v>
      </c>
      <c r="E308" s="545">
        <v>12</v>
      </c>
      <c r="F308" s="545">
        <v>25.357142857142858</v>
      </c>
      <c r="G308" s="545">
        <v>17.899999999999999</v>
      </c>
      <c r="H308" s="545">
        <v>10</v>
      </c>
      <c r="I308" s="545">
        <v>6</v>
      </c>
      <c r="J308" s="545">
        <v>15.071428571428571</v>
      </c>
    </row>
    <row r="309" spans="1:10">
      <c r="A309" s="441">
        <v>934</v>
      </c>
      <c r="B309" s="441" t="s">
        <v>1627</v>
      </c>
      <c r="C309" s="545">
        <v>7.5</v>
      </c>
      <c r="D309" s="545">
        <v>5</v>
      </c>
      <c r="E309" s="545">
        <v>2</v>
      </c>
      <c r="F309" s="545">
        <v>6.3571428571428568</v>
      </c>
      <c r="G309" s="545">
        <v>11.85</v>
      </c>
      <c r="H309" s="545">
        <v>8.6666666666666661</v>
      </c>
      <c r="I309" s="545">
        <v>9.3333333333333339</v>
      </c>
      <c r="J309" s="545">
        <v>11.035714285714286</v>
      </c>
    </row>
    <row r="310" spans="1:10">
      <c r="A310" s="441">
        <v>4755</v>
      </c>
      <c r="B310" s="441" t="s">
        <v>1628</v>
      </c>
      <c r="C310" s="545">
        <v>22.166666666666668</v>
      </c>
      <c r="D310" s="545">
        <v>9</v>
      </c>
      <c r="E310" s="545">
        <v>4.6666666666666661</v>
      </c>
      <c r="F310" s="545">
        <v>17.785714285714288</v>
      </c>
      <c r="G310" s="545">
        <v>18.350000000000001</v>
      </c>
      <c r="H310" s="545">
        <v>7.333333333333333</v>
      </c>
      <c r="I310" s="545">
        <v>7.666666666666667</v>
      </c>
      <c r="J310" s="545">
        <v>15.25</v>
      </c>
    </row>
    <row r="311" spans="1:10">
      <c r="A311" s="441">
        <v>5353</v>
      </c>
      <c r="B311" s="441" t="s">
        <v>1628</v>
      </c>
      <c r="C311" s="545">
        <v>17</v>
      </c>
      <c r="D311" s="545">
        <v>8</v>
      </c>
      <c r="E311" s="545">
        <v>4</v>
      </c>
      <c r="F311" s="545">
        <v>13.857142857142858</v>
      </c>
      <c r="G311" s="545">
        <v>18.350000000000001</v>
      </c>
      <c r="H311" s="545">
        <v>9</v>
      </c>
      <c r="I311" s="545">
        <v>6</v>
      </c>
      <c r="J311" s="545">
        <v>15.25</v>
      </c>
    </row>
    <row r="312" spans="1:10">
      <c r="A312" s="441">
        <v>11525</v>
      </c>
      <c r="B312" s="441" t="s">
        <v>1629</v>
      </c>
      <c r="C312" s="545">
        <v>5.166666666666667</v>
      </c>
      <c r="D312" s="545">
        <v>1.6666666666666667</v>
      </c>
      <c r="E312" s="545">
        <v>0.66666666666666663</v>
      </c>
      <c r="F312" s="545">
        <v>4.0238095238095246</v>
      </c>
      <c r="G312" s="545">
        <v>5.3</v>
      </c>
      <c r="H312" s="545">
        <v>1</v>
      </c>
      <c r="I312" s="545">
        <v>2.6666666666666665</v>
      </c>
      <c r="J312" s="545">
        <v>4.3095238095238093</v>
      </c>
    </row>
    <row r="313" spans="1:10">
      <c r="A313" s="441">
        <v>12669</v>
      </c>
      <c r="B313" s="441" t="s">
        <v>1630</v>
      </c>
      <c r="C313" s="545">
        <v>0</v>
      </c>
      <c r="D313" s="545">
        <v>0.33333333333333331</v>
      </c>
      <c r="E313" s="545">
        <v>8.6666666666666679</v>
      </c>
      <c r="F313" s="545">
        <v>1.285714285714286</v>
      </c>
      <c r="G313" s="545">
        <v>1.1000000000000001</v>
      </c>
      <c r="H313" s="545">
        <v>0</v>
      </c>
      <c r="I313" s="545">
        <v>0.66666666666666663</v>
      </c>
      <c r="J313" s="545">
        <v>0.88095238095238104</v>
      </c>
    </row>
    <row r="314" spans="1:10">
      <c r="A314" s="441">
        <v>12670</v>
      </c>
      <c r="B314" s="441" t="s">
        <v>1630</v>
      </c>
      <c r="C314" s="545">
        <v>3.6666666666666665</v>
      </c>
      <c r="D314" s="545">
        <v>0.66666666666666663</v>
      </c>
      <c r="E314" s="545">
        <v>3</v>
      </c>
      <c r="F314" s="545">
        <v>3.1428571428571428</v>
      </c>
      <c r="G314" s="545">
        <v>2.1</v>
      </c>
      <c r="H314" s="545">
        <v>0.66666666666666663</v>
      </c>
      <c r="I314" s="545">
        <v>0.66666666666666663</v>
      </c>
      <c r="J314" s="545">
        <v>1.6904761904761902</v>
      </c>
    </row>
    <row r="315" spans="1:10">
      <c r="A315" s="441">
        <v>12663</v>
      </c>
      <c r="B315" s="441" t="s">
        <v>1631</v>
      </c>
      <c r="C315" s="545">
        <v>12.666666666666666</v>
      </c>
      <c r="D315" s="545">
        <v>8.6666666666666661</v>
      </c>
      <c r="E315" s="545">
        <v>8</v>
      </c>
      <c r="F315" s="545">
        <v>11.428571428571429</v>
      </c>
      <c r="G315" s="545">
        <v>20.350000000000001</v>
      </c>
      <c r="H315" s="545">
        <v>23</v>
      </c>
      <c r="I315" s="545">
        <v>16</v>
      </c>
      <c r="J315" s="545">
        <v>20.107142857142858</v>
      </c>
    </row>
    <row r="316" spans="1:10">
      <c r="A316" s="441">
        <v>12664</v>
      </c>
      <c r="B316" s="441" t="s">
        <v>1631</v>
      </c>
      <c r="C316" s="545">
        <v>16.333333333333332</v>
      </c>
      <c r="D316" s="545">
        <v>10.666666666666666</v>
      </c>
      <c r="E316" s="545">
        <v>8.3333333333333339</v>
      </c>
      <c r="F316" s="545">
        <v>14.38095238095238</v>
      </c>
      <c r="G316" s="545">
        <v>19.2</v>
      </c>
      <c r="H316" s="545">
        <v>18.666666666666668</v>
      </c>
      <c r="I316" s="545">
        <v>14</v>
      </c>
      <c r="J316" s="545">
        <v>18.380952380952383</v>
      </c>
    </row>
    <row r="317" spans="1:10">
      <c r="A317" s="441">
        <v>12987</v>
      </c>
      <c r="B317" s="441" t="s">
        <v>1632</v>
      </c>
      <c r="C317" s="545">
        <v>20.333333333333332</v>
      </c>
      <c r="D317" s="545">
        <v>13.666666666666668</v>
      </c>
      <c r="E317" s="545">
        <v>12.666666666666666</v>
      </c>
      <c r="F317" s="545">
        <v>18.285714285714285</v>
      </c>
      <c r="G317" s="545">
        <v>10.45</v>
      </c>
      <c r="H317" s="545">
        <v>13</v>
      </c>
      <c r="I317" s="545">
        <v>10.666666666666666</v>
      </c>
      <c r="J317" s="545">
        <v>10.845238095238097</v>
      </c>
    </row>
    <row r="318" spans="1:10">
      <c r="A318" s="441">
        <v>12991</v>
      </c>
      <c r="B318" s="441" t="s">
        <v>1632</v>
      </c>
      <c r="C318" s="545">
        <v>22.666666666666664</v>
      </c>
      <c r="D318" s="545">
        <v>14.666666666666666</v>
      </c>
      <c r="E318" s="545">
        <v>17.333333333333336</v>
      </c>
      <c r="F318" s="545">
        <v>20.761904761904759</v>
      </c>
      <c r="G318" s="545">
        <v>12.15</v>
      </c>
      <c r="H318" s="545">
        <v>11.333333333333334</v>
      </c>
      <c r="I318" s="545">
        <v>8.6666666666666661</v>
      </c>
      <c r="J318" s="545">
        <v>11.535714285714286</v>
      </c>
    </row>
    <row r="319" spans="1:10">
      <c r="A319" s="441">
        <v>928</v>
      </c>
      <c r="B319" s="441" t="s">
        <v>1633</v>
      </c>
      <c r="C319" s="545">
        <v>6.166666666666667</v>
      </c>
      <c r="D319" s="545">
        <v>5.666666666666667</v>
      </c>
      <c r="E319" s="545">
        <v>6.6666666666666661</v>
      </c>
      <c r="F319" s="545">
        <v>6.1666666666666661</v>
      </c>
      <c r="G319" s="545">
        <v>6.45</v>
      </c>
      <c r="H319" s="545">
        <v>5.333333333333333</v>
      </c>
      <c r="I319" s="545">
        <v>3.3333333333333335</v>
      </c>
      <c r="J319" s="545">
        <v>5.8452380952380958</v>
      </c>
    </row>
    <row r="320" spans="1:10">
      <c r="A320" s="441">
        <v>12661</v>
      </c>
      <c r="B320" s="441" t="s">
        <v>1634</v>
      </c>
      <c r="C320" s="545">
        <v>0</v>
      </c>
      <c r="D320" s="545">
        <v>1.6666666666666665</v>
      </c>
      <c r="E320" s="545">
        <v>0</v>
      </c>
      <c r="F320" s="545">
        <v>0.23809523809523808</v>
      </c>
      <c r="G320" s="545">
        <v>0.5</v>
      </c>
      <c r="H320" s="545">
        <v>0</v>
      </c>
      <c r="I320" s="545">
        <v>0.33333333333333331</v>
      </c>
      <c r="J320" s="545">
        <v>0.40476190476190477</v>
      </c>
    </row>
    <row r="321" spans="1:10">
      <c r="A321" s="441">
        <v>12662</v>
      </c>
      <c r="B321" s="441" t="s">
        <v>1634</v>
      </c>
      <c r="C321" s="545">
        <v>1.3333333333333333</v>
      </c>
      <c r="D321" s="545">
        <v>1.6666666666666665</v>
      </c>
      <c r="E321" s="545">
        <v>0.33333333333333331</v>
      </c>
      <c r="F321" s="545">
        <v>1.2380952380952379</v>
      </c>
      <c r="G321" s="545">
        <v>0.6</v>
      </c>
      <c r="H321" s="545">
        <v>0.33333333333333331</v>
      </c>
      <c r="I321" s="545">
        <v>0.33333333333333331</v>
      </c>
      <c r="J321" s="545">
        <v>0.52380952380952384</v>
      </c>
    </row>
    <row r="322" spans="1:10">
      <c r="A322" s="441">
        <v>12667</v>
      </c>
      <c r="B322" s="441" t="s">
        <v>1635</v>
      </c>
      <c r="C322" s="545">
        <v>18.333333333333332</v>
      </c>
      <c r="D322" s="545">
        <v>7.6666666666666661</v>
      </c>
      <c r="E322" s="545">
        <v>6</v>
      </c>
      <c r="F322" s="545">
        <v>15.047619047619047</v>
      </c>
      <c r="G322" s="545">
        <v>9.25</v>
      </c>
      <c r="H322" s="545">
        <v>2</v>
      </c>
      <c r="I322" s="545">
        <v>5</v>
      </c>
      <c r="J322" s="545">
        <v>7.6071428571428568</v>
      </c>
    </row>
    <row r="323" spans="1:10">
      <c r="A323" s="441">
        <v>12668</v>
      </c>
      <c r="B323" s="441" t="s">
        <v>1635</v>
      </c>
      <c r="C323" s="545">
        <v>19.166666666666668</v>
      </c>
      <c r="D323" s="545">
        <v>7.6666666666666661</v>
      </c>
      <c r="E323" s="545">
        <v>5.3333333333333339</v>
      </c>
      <c r="F323" s="545">
        <v>15.547619047619049</v>
      </c>
      <c r="G323" s="545">
        <v>12.65</v>
      </c>
      <c r="H323" s="545">
        <v>3.6666666666666665</v>
      </c>
      <c r="I323" s="545">
        <v>1.3333333333333333</v>
      </c>
      <c r="J323" s="545">
        <v>9.75</v>
      </c>
    </row>
    <row r="324" spans="1:10">
      <c r="A324" s="441">
        <v>12665</v>
      </c>
      <c r="B324" s="441" t="s">
        <v>1636</v>
      </c>
      <c r="C324" s="545">
        <v>4.3333333333333339</v>
      </c>
      <c r="D324" s="545">
        <v>1</v>
      </c>
      <c r="E324" s="545">
        <v>2.3333333333333335</v>
      </c>
      <c r="F324" s="545">
        <v>3.5714285714285721</v>
      </c>
      <c r="G324" s="545">
        <v>3</v>
      </c>
      <c r="H324" s="545">
        <v>1.3333333333333333</v>
      </c>
      <c r="I324" s="545">
        <v>2.3333333333333335</v>
      </c>
      <c r="J324" s="545">
        <v>2.6666666666666665</v>
      </c>
    </row>
    <row r="325" spans="1:10">
      <c r="A325" s="441">
        <v>12666</v>
      </c>
      <c r="B325" s="441" t="s">
        <v>1636</v>
      </c>
      <c r="C325" s="545">
        <v>6.833333333333333</v>
      </c>
      <c r="D325" s="545">
        <v>4.666666666666667</v>
      </c>
      <c r="E325" s="545">
        <v>2</v>
      </c>
      <c r="F325" s="545">
        <v>5.833333333333333</v>
      </c>
      <c r="G325" s="545">
        <v>3.15</v>
      </c>
      <c r="H325" s="545">
        <v>1</v>
      </c>
      <c r="I325" s="545">
        <v>0.33333333333333331</v>
      </c>
      <c r="J325" s="545">
        <v>2.4404761904761902</v>
      </c>
    </row>
    <row r="326" spans="1:10">
      <c r="A326" s="441">
        <v>11361</v>
      </c>
      <c r="B326" s="441" t="s">
        <v>1637</v>
      </c>
      <c r="C326" s="545">
        <v>37.666666666666671</v>
      </c>
      <c r="D326" s="545">
        <v>33</v>
      </c>
      <c r="E326" s="545">
        <v>21.666666666666668</v>
      </c>
      <c r="F326" s="545">
        <v>34.714285714285715</v>
      </c>
      <c r="G326" s="545">
        <v>32.75</v>
      </c>
      <c r="H326" s="545">
        <v>30.666666666666668</v>
      </c>
      <c r="I326" s="545">
        <v>22.333333333333332</v>
      </c>
      <c r="J326" s="545">
        <v>30.964285714285715</v>
      </c>
    </row>
    <row r="327" spans="1:10">
      <c r="A327" s="441">
        <v>11362</v>
      </c>
      <c r="B327" s="441" t="s">
        <v>1637</v>
      </c>
      <c r="C327" s="545">
        <v>50.333333333333329</v>
      </c>
      <c r="D327" s="545">
        <v>50.666666666666671</v>
      </c>
      <c r="E327" s="545">
        <v>27</v>
      </c>
      <c r="F327" s="545">
        <v>47.047619047619044</v>
      </c>
      <c r="G327" s="545">
        <v>39.25</v>
      </c>
      <c r="H327" s="545">
        <v>35</v>
      </c>
      <c r="I327" s="545">
        <v>27.666666666666668</v>
      </c>
      <c r="J327" s="545">
        <v>36.988095238095241</v>
      </c>
    </row>
    <row r="328" spans="1:10">
      <c r="A328" s="441">
        <v>4754</v>
      </c>
      <c r="B328" s="441" t="s">
        <v>1638</v>
      </c>
      <c r="C328" s="545">
        <v>2.333333333333333</v>
      </c>
      <c r="D328" s="545">
        <v>2</v>
      </c>
      <c r="E328" s="545">
        <v>0.66666666666666663</v>
      </c>
      <c r="F328" s="545">
        <v>2.047619047619047</v>
      </c>
      <c r="G328" s="545">
        <v>1</v>
      </c>
      <c r="H328" s="545">
        <v>2.3333333333333335</v>
      </c>
      <c r="I328" s="545">
        <v>1</v>
      </c>
      <c r="J328" s="545">
        <v>1.1904761904761905</v>
      </c>
    </row>
    <row r="329" spans="1:10">
      <c r="A329" s="441">
        <v>5354</v>
      </c>
      <c r="B329" s="441" t="s">
        <v>1638</v>
      </c>
      <c r="C329" s="545">
        <v>5.3333333333333339</v>
      </c>
      <c r="D329" s="545">
        <v>5.666666666666667</v>
      </c>
      <c r="E329" s="545">
        <v>1.3333333333333333</v>
      </c>
      <c r="F329" s="545">
        <v>4.8095238095238102</v>
      </c>
      <c r="G329" s="545">
        <v>1</v>
      </c>
      <c r="H329" s="545">
        <v>1</v>
      </c>
      <c r="I329" s="545">
        <v>0</v>
      </c>
      <c r="J329" s="545">
        <v>0.8571428571428571</v>
      </c>
    </row>
    <row r="330" spans="1:10">
      <c r="A330" s="441">
        <v>966</v>
      </c>
      <c r="B330" s="441" t="s">
        <v>1639</v>
      </c>
      <c r="C330" s="545">
        <v>25.5</v>
      </c>
      <c r="D330" s="545">
        <v>17.333333333333332</v>
      </c>
      <c r="E330" s="545">
        <v>17.666666666666664</v>
      </c>
      <c r="F330" s="545">
        <v>23.214285714285715</v>
      </c>
      <c r="G330" s="545">
        <v>25.25</v>
      </c>
      <c r="H330" s="545">
        <v>16.333333333333332</v>
      </c>
      <c r="I330" s="545">
        <v>10.666666666666666</v>
      </c>
      <c r="J330" s="545">
        <v>21.892857142857142</v>
      </c>
    </row>
    <row r="331" spans="1:10">
      <c r="A331" s="441">
        <v>11379</v>
      </c>
      <c r="B331" s="441" t="s">
        <v>1639</v>
      </c>
      <c r="C331" s="545">
        <v>30.333333333333336</v>
      </c>
      <c r="D331" s="545">
        <v>18.333333333333332</v>
      </c>
      <c r="E331" s="545">
        <v>14.333333333333334</v>
      </c>
      <c r="F331" s="545">
        <v>26.333333333333339</v>
      </c>
      <c r="G331" s="545">
        <v>25.9</v>
      </c>
      <c r="H331" s="545">
        <v>23</v>
      </c>
      <c r="I331" s="545">
        <v>15.333333333333334</v>
      </c>
      <c r="J331" s="545">
        <v>23.976190476190478</v>
      </c>
    </row>
    <row r="332" spans="1:10">
      <c r="A332" s="441">
        <v>13004</v>
      </c>
      <c r="B332" s="441" t="s">
        <v>1640</v>
      </c>
      <c r="C332" s="545">
        <v>3.6666666666666665</v>
      </c>
      <c r="D332" s="545">
        <v>0.33333333333333331</v>
      </c>
      <c r="E332" s="545">
        <v>0</v>
      </c>
      <c r="F332" s="545">
        <v>2.6666666666666665</v>
      </c>
      <c r="G332" s="545">
        <v>1.95</v>
      </c>
      <c r="H332" s="545">
        <v>1</v>
      </c>
      <c r="I332" s="545">
        <v>0.33333333333333331</v>
      </c>
      <c r="J332" s="545">
        <v>1.5833333333333335</v>
      </c>
    </row>
    <row r="333" spans="1:10">
      <c r="A333" s="441">
        <v>965</v>
      </c>
      <c r="B333" s="441" t="s">
        <v>1641</v>
      </c>
      <c r="C333" s="545">
        <v>24.833333333333336</v>
      </c>
      <c r="D333" s="545">
        <v>6.666666666666667</v>
      </c>
      <c r="E333" s="545">
        <v>7.6666666666666661</v>
      </c>
      <c r="F333" s="545">
        <v>19.785714285714285</v>
      </c>
      <c r="G333" s="545">
        <v>16.75</v>
      </c>
      <c r="H333" s="545">
        <v>6.666666666666667</v>
      </c>
      <c r="I333" s="545">
        <v>5.333333333333333</v>
      </c>
      <c r="J333" s="545">
        <v>13.678571428571429</v>
      </c>
    </row>
    <row r="334" spans="1:10">
      <c r="A334" s="441">
        <v>9110</v>
      </c>
      <c r="B334" s="441" t="s">
        <v>1641</v>
      </c>
      <c r="C334" s="545">
        <v>18.666666666666668</v>
      </c>
      <c r="D334" s="545">
        <v>6</v>
      </c>
      <c r="E334" s="545">
        <v>6</v>
      </c>
      <c r="F334" s="545">
        <v>15.047619047619049</v>
      </c>
      <c r="G334" s="545">
        <v>14.2</v>
      </c>
      <c r="H334" s="545">
        <v>5.666666666666667</v>
      </c>
      <c r="I334" s="545">
        <v>4.333333333333333</v>
      </c>
      <c r="J334" s="545">
        <v>11.571428571428571</v>
      </c>
    </row>
    <row r="335" spans="1:10">
      <c r="A335" s="441">
        <v>929</v>
      </c>
      <c r="B335" s="441" t="s">
        <v>1642</v>
      </c>
      <c r="C335" s="545">
        <v>9.8333333333333321</v>
      </c>
      <c r="D335" s="545">
        <v>16.666666666666668</v>
      </c>
      <c r="E335" s="545">
        <v>7.3333333333333339</v>
      </c>
      <c r="F335" s="545">
        <v>10.452380952380951</v>
      </c>
      <c r="G335" s="545">
        <v>6.7</v>
      </c>
      <c r="H335" s="545">
        <v>5.666666666666667</v>
      </c>
      <c r="I335" s="545">
        <v>6</v>
      </c>
      <c r="J335" s="545">
        <v>6.4523809523809517</v>
      </c>
    </row>
    <row r="336" spans="1:10">
      <c r="A336" s="441">
        <v>11380</v>
      </c>
      <c r="B336" s="441" t="s">
        <v>1642</v>
      </c>
      <c r="C336" s="545">
        <v>10.333333333333332</v>
      </c>
      <c r="D336" s="545">
        <v>10.666666666666666</v>
      </c>
      <c r="E336" s="545">
        <v>7</v>
      </c>
      <c r="F336" s="545">
        <v>9.9047619047619015</v>
      </c>
      <c r="G336" s="545">
        <v>6.55</v>
      </c>
      <c r="H336" s="545">
        <v>5.666666666666667</v>
      </c>
      <c r="I336" s="545">
        <v>7.333333333333333</v>
      </c>
      <c r="J336" s="545">
        <v>6.5357142857142856</v>
      </c>
    </row>
    <row r="337" spans="1:10">
      <c r="A337" s="441">
        <v>11517</v>
      </c>
      <c r="B337" s="441" t="s">
        <v>1643</v>
      </c>
      <c r="C337" s="545">
        <v>0.83333333333333337</v>
      </c>
      <c r="D337" s="545">
        <v>0.66666666666666663</v>
      </c>
      <c r="E337" s="545">
        <v>0.33333333333333331</v>
      </c>
      <c r="F337" s="545">
        <v>0.73809523809523814</v>
      </c>
      <c r="G337" s="545">
        <v>1.05</v>
      </c>
      <c r="H337" s="545">
        <v>1.3333333333333333</v>
      </c>
      <c r="I337" s="545">
        <v>0.33333333333333331</v>
      </c>
      <c r="J337" s="545">
        <v>0.98809523809523803</v>
      </c>
    </row>
    <row r="338" spans="1:10">
      <c r="A338" s="441">
        <v>11035</v>
      </c>
      <c r="B338" s="441" t="s">
        <v>1644</v>
      </c>
      <c r="C338" s="545">
        <v>7.666666666666667</v>
      </c>
      <c r="D338" s="545">
        <v>4.333333333333333</v>
      </c>
      <c r="E338" s="545">
        <v>4</v>
      </c>
      <c r="F338" s="545">
        <v>6.666666666666667</v>
      </c>
      <c r="G338" s="545">
        <v>12.05</v>
      </c>
      <c r="H338" s="545">
        <v>9</v>
      </c>
      <c r="I338" s="545">
        <v>5.666666666666667</v>
      </c>
      <c r="J338" s="545">
        <v>10.702380952380953</v>
      </c>
    </row>
    <row r="339" spans="1:10">
      <c r="A339" s="441">
        <v>11036</v>
      </c>
      <c r="B339" s="441" t="s">
        <v>1644</v>
      </c>
      <c r="C339" s="545">
        <v>5.5</v>
      </c>
      <c r="D339" s="545">
        <v>4.666666666666667</v>
      </c>
      <c r="E339" s="545">
        <v>6</v>
      </c>
      <c r="F339" s="545">
        <v>5.4523809523809517</v>
      </c>
      <c r="G339" s="545">
        <v>11.8</v>
      </c>
      <c r="H339" s="545">
        <v>7</v>
      </c>
      <c r="I339" s="545">
        <v>5.333333333333333</v>
      </c>
      <c r="J339" s="545">
        <v>10.19047619047619</v>
      </c>
    </row>
    <row r="340" spans="1:10">
      <c r="A340" s="441">
        <v>5307</v>
      </c>
      <c r="B340" s="441" t="s">
        <v>1645</v>
      </c>
      <c r="C340" s="545">
        <v>0</v>
      </c>
      <c r="D340" s="545">
        <v>0</v>
      </c>
      <c r="E340" s="545">
        <v>0.33333333333333331</v>
      </c>
      <c r="F340" s="545">
        <v>4.7619047619047616E-2</v>
      </c>
      <c r="G340" s="545">
        <v>0.15</v>
      </c>
      <c r="H340" s="545">
        <v>1</v>
      </c>
      <c r="I340" s="545">
        <v>0.66666666666666663</v>
      </c>
      <c r="J340" s="545">
        <v>0.34523809523809523</v>
      </c>
    </row>
    <row r="341" spans="1:10">
      <c r="A341" s="441">
        <v>9565</v>
      </c>
      <c r="B341" s="441" t="s">
        <v>1646</v>
      </c>
      <c r="C341" s="545">
        <v>9.8333333333333321</v>
      </c>
      <c r="D341" s="545">
        <v>4.6666666666666661</v>
      </c>
      <c r="E341" s="545">
        <v>5</v>
      </c>
      <c r="F341" s="545">
        <v>8.4047619047619033</v>
      </c>
      <c r="G341" s="545">
        <v>4.5999999999999996</v>
      </c>
      <c r="H341" s="545">
        <v>2</v>
      </c>
      <c r="I341" s="545">
        <v>2.3333333333333335</v>
      </c>
      <c r="J341" s="545">
        <v>3.9047619047619047</v>
      </c>
    </row>
    <row r="342" spans="1:10">
      <c r="A342" s="441">
        <v>5309</v>
      </c>
      <c r="B342" s="441" t="s">
        <v>1647</v>
      </c>
      <c r="C342" s="545">
        <v>8</v>
      </c>
      <c r="D342" s="545">
        <v>0.66666666666666663</v>
      </c>
      <c r="E342" s="545">
        <v>0.66666666666666663</v>
      </c>
      <c r="F342" s="545">
        <v>5.9047619047619042</v>
      </c>
      <c r="G342" s="545">
        <v>2</v>
      </c>
      <c r="H342" s="545">
        <v>0.33333333333333331</v>
      </c>
      <c r="I342" s="545">
        <v>0</v>
      </c>
      <c r="J342" s="545">
        <v>1.4761904761904763</v>
      </c>
    </row>
    <row r="343" spans="1:10">
      <c r="A343" s="441">
        <v>11630</v>
      </c>
      <c r="B343" s="441" t="s">
        <v>1647</v>
      </c>
      <c r="C343" s="545">
        <v>0.83333333333333326</v>
      </c>
      <c r="D343" s="545">
        <v>0.33333333333333331</v>
      </c>
      <c r="E343" s="545">
        <v>0.66666666666666663</v>
      </c>
      <c r="F343" s="545">
        <v>0.73809523809523803</v>
      </c>
      <c r="G343" s="545">
        <v>1.1000000000000001</v>
      </c>
      <c r="H343" s="545">
        <v>0</v>
      </c>
      <c r="I343" s="545">
        <v>0.33333333333333331</v>
      </c>
      <c r="J343" s="545">
        <v>0.83333333333333326</v>
      </c>
    </row>
    <row r="344" spans="1:10">
      <c r="A344" s="441">
        <v>5305</v>
      </c>
      <c r="B344" s="441" t="s">
        <v>1648</v>
      </c>
      <c r="C344" s="545">
        <v>11</v>
      </c>
      <c r="D344" s="545">
        <v>7</v>
      </c>
      <c r="E344" s="545">
        <v>5.6666666666666661</v>
      </c>
      <c r="F344" s="545">
        <v>9.6666666666666679</v>
      </c>
      <c r="G344" s="545">
        <v>15.3</v>
      </c>
      <c r="H344" s="545">
        <v>13</v>
      </c>
      <c r="I344" s="545">
        <v>8</v>
      </c>
      <c r="J344" s="545">
        <v>13.928571428571429</v>
      </c>
    </row>
    <row r="345" spans="1:10">
      <c r="A345" s="441">
        <v>5314</v>
      </c>
      <c r="B345" s="441" t="s">
        <v>1648</v>
      </c>
      <c r="C345" s="545">
        <v>19.166666666666664</v>
      </c>
      <c r="D345" s="545">
        <v>12</v>
      </c>
      <c r="E345" s="545">
        <v>14.666666666666666</v>
      </c>
      <c r="F345" s="545">
        <v>17.499999999999996</v>
      </c>
      <c r="G345" s="545">
        <v>15.15</v>
      </c>
      <c r="H345" s="545">
        <v>9.3333333333333339</v>
      </c>
      <c r="I345" s="545">
        <v>9.6666666666666661</v>
      </c>
      <c r="J345" s="545">
        <v>13.535714285714286</v>
      </c>
    </row>
    <row r="346" spans="1:10">
      <c r="A346" s="441">
        <v>10036</v>
      </c>
      <c r="B346" s="441" t="s">
        <v>1649</v>
      </c>
      <c r="C346" s="545">
        <v>15.166666666666668</v>
      </c>
      <c r="D346" s="545">
        <v>7</v>
      </c>
      <c r="E346" s="545">
        <v>7</v>
      </c>
      <c r="F346" s="545">
        <v>12.833333333333334</v>
      </c>
      <c r="G346" s="545">
        <v>7.65</v>
      </c>
      <c r="H346" s="545">
        <v>7.666666666666667</v>
      </c>
      <c r="I346" s="545">
        <v>3.3333333333333335</v>
      </c>
      <c r="J346" s="545">
        <v>7.0357142857142856</v>
      </c>
    </row>
    <row r="347" spans="1:10">
      <c r="A347" s="441">
        <v>10220</v>
      </c>
      <c r="B347" s="441" t="s">
        <v>1649</v>
      </c>
      <c r="C347" s="545">
        <v>19.833333333333332</v>
      </c>
      <c r="D347" s="545">
        <v>11.666666666666668</v>
      </c>
      <c r="E347" s="545">
        <v>7.6666666666666661</v>
      </c>
      <c r="F347" s="545">
        <v>16.928571428571427</v>
      </c>
      <c r="G347" s="545">
        <v>9.75</v>
      </c>
      <c r="H347" s="545">
        <v>10</v>
      </c>
      <c r="I347" s="545">
        <v>6</v>
      </c>
      <c r="J347" s="545">
        <v>9.25</v>
      </c>
    </row>
    <row r="348" spans="1:10">
      <c r="A348" s="441">
        <v>9879</v>
      </c>
      <c r="B348" s="441" t="s">
        <v>1650</v>
      </c>
      <c r="C348" s="545">
        <v>12.5</v>
      </c>
      <c r="D348" s="545">
        <v>8.6666666666666661</v>
      </c>
      <c r="E348" s="545">
        <v>5.3333333333333339</v>
      </c>
      <c r="F348" s="545">
        <v>10.928571428571429</v>
      </c>
      <c r="G348" s="545">
        <v>11.4</v>
      </c>
      <c r="H348" s="545">
        <v>12.333333333333334</v>
      </c>
      <c r="I348" s="545">
        <v>17</v>
      </c>
      <c r="J348" s="545">
        <v>12.333333333333332</v>
      </c>
    </row>
    <row r="349" spans="1:10">
      <c r="A349" s="441">
        <v>9884</v>
      </c>
      <c r="B349" s="441" t="s">
        <v>1650</v>
      </c>
      <c r="C349" s="545">
        <v>9.1666666666666679</v>
      </c>
      <c r="D349" s="545">
        <v>7</v>
      </c>
      <c r="E349" s="545">
        <v>4.6666666666666661</v>
      </c>
      <c r="F349" s="545">
        <v>8.2142857142857153</v>
      </c>
      <c r="G349" s="545">
        <v>9.1</v>
      </c>
      <c r="H349" s="545">
        <v>6</v>
      </c>
      <c r="I349" s="545">
        <v>2.6666666666666665</v>
      </c>
      <c r="J349" s="545">
        <v>7.7380952380952381</v>
      </c>
    </row>
    <row r="350" spans="1:10">
      <c r="A350" s="441">
        <v>10037</v>
      </c>
      <c r="B350" s="441" t="s">
        <v>1651</v>
      </c>
      <c r="C350" s="545">
        <v>14</v>
      </c>
      <c r="D350" s="545">
        <v>11</v>
      </c>
      <c r="E350" s="545">
        <v>2.666666666666667</v>
      </c>
      <c r="F350" s="545">
        <v>11.952380952380953</v>
      </c>
      <c r="G350" s="545">
        <v>6.3</v>
      </c>
      <c r="H350" s="545">
        <v>3.3333333333333335</v>
      </c>
      <c r="I350" s="545">
        <v>0.66666666666666663</v>
      </c>
      <c r="J350" s="545">
        <v>5.0714285714285712</v>
      </c>
    </row>
    <row r="351" spans="1:10">
      <c r="A351" s="441">
        <v>9594</v>
      </c>
      <c r="B351" s="441" t="s">
        <v>1652</v>
      </c>
      <c r="C351" s="545">
        <v>10.5</v>
      </c>
      <c r="D351" s="545">
        <v>12</v>
      </c>
      <c r="E351" s="545">
        <v>6.666666666666667</v>
      </c>
      <c r="F351" s="545">
        <v>10.166666666666668</v>
      </c>
      <c r="G351" s="545">
        <v>3.75</v>
      </c>
      <c r="H351" s="545">
        <v>3.3333333333333335</v>
      </c>
      <c r="I351" s="545">
        <v>1.6666666666666667</v>
      </c>
      <c r="J351" s="545">
        <v>3.3928571428571428</v>
      </c>
    </row>
    <row r="352" spans="1:10">
      <c r="A352" s="441">
        <v>9619</v>
      </c>
      <c r="B352" s="441" t="s">
        <v>1652</v>
      </c>
      <c r="C352" s="545">
        <v>21.833333333333336</v>
      </c>
      <c r="D352" s="545">
        <v>13.666666666666666</v>
      </c>
      <c r="E352" s="545">
        <v>7.3333333333333339</v>
      </c>
      <c r="F352" s="545">
        <v>18.595238095238098</v>
      </c>
      <c r="G352" s="545">
        <v>9.1</v>
      </c>
      <c r="H352" s="545">
        <v>7.333333333333333</v>
      </c>
      <c r="I352" s="545">
        <v>3</v>
      </c>
      <c r="J352" s="545">
        <v>7.9761904761904763</v>
      </c>
    </row>
    <row r="353" spans="1:10">
      <c r="A353" s="441">
        <v>9595</v>
      </c>
      <c r="B353" s="441" t="s">
        <v>1653</v>
      </c>
      <c r="C353" s="545">
        <v>6.166666666666667</v>
      </c>
      <c r="D353" s="545">
        <v>0.33333333333333331</v>
      </c>
      <c r="E353" s="545">
        <v>0.33333333333333331</v>
      </c>
      <c r="F353" s="545">
        <v>4.5</v>
      </c>
      <c r="G353" s="545">
        <v>1.8</v>
      </c>
      <c r="H353" s="545">
        <v>1.3333333333333333</v>
      </c>
      <c r="I353" s="545">
        <v>4.333333333333333</v>
      </c>
      <c r="J353" s="545">
        <v>2.0952380952380953</v>
      </c>
    </row>
    <row r="354" spans="1:10">
      <c r="A354" s="441">
        <v>9881</v>
      </c>
      <c r="B354" s="441" t="s">
        <v>1654</v>
      </c>
      <c r="C354" s="545">
        <v>24.5</v>
      </c>
      <c r="D354" s="545">
        <v>16</v>
      </c>
      <c r="E354" s="545">
        <v>9</v>
      </c>
      <c r="F354" s="545">
        <v>21.071428571428573</v>
      </c>
      <c r="G354" s="545">
        <v>18.3</v>
      </c>
      <c r="H354" s="545">
        <v>20.666666666666668</v>
      </c>
      <c r="I354" s="545">
        <v>9.6666666666666661</v>
      </c>
      <c r="J354" s="545">
        <v>17.404761904761905</v>
      </c>
    </row>
    <row r="355" spans="1:10">
      <c r="A355" s="441">
        <v>9882</v>
      </c>
      <c r="B355" s="441" t="s">
        <v>1654</v>
      </c>
      <c r="C355" s="545">
        <v>26.833333333333336</v>
      </c>
      <c r="D355" s="545">
        <v>20.666666666666668</v>
      </c>
      <c r="E355" s="545">
        <v>11</v>
      </c>
      <c r="F355" s="545">
        <v>23.690476190476193</v>
      </c>
      <c r="G355" s="545">
        <v>14.15</v>
      </c>
      <c r="H355" s="545">
        <v>16.333333333333332</v>
      </c>
      <c r="I355" s="545">
        <v>6.666666666666667</v>
      </c>
      <c r="J355" s="545">
        <v>13.392857142857142</v>
      </c>
    </row>
    <row r="356" spans="1:10">
      <c r="A356" s="441">
        <v>9602</v>
      </c>
      <c r="B356" s="441" t="s">
        <v>1655</v>
      </c>
      <c r="C356" s="545">
        <v>6.8333333333333339</v>
      </c>
      <c r="D356" s="545">
        <v>1.6666666666666665</v>
      </c>
      <c r="E356" s="545">
        <v>2</v>
      </c>
      <c r="F356" s="545">
        <v>5.4047619047619051</v>
      </c>
      <c r="G356" s="545">
        <v>1.6</v>
      </c>
      <c r="H356" s="545">
        <v>2.3333333333333335</v>
      </c>
      <c r="I356" s="545">
        <v>0.66666666666666663</v>
      </c>
      <c r="J356" s="545">
        <v>1.5714285714285714</v>
      </c>
    </row>
    <row r="357" spans="1:10">
      <c r="A357" s="441">
        <v>9611</v>
      </c>
      <c r="B357" s="441" t="s">
        <v>1655</v>
      </c>
      <c r="C357" s="545">
        <v>8.6666666666666661</v>
      </c>
      <c r="D357" s="545">
        <v>3.6666666666666665</v>
      </c>
      <c r="E357" s="545">
        <v>0.66666666666666663</v>
      </c>
      <c r="F357" s="545">
        <v>6.8095238095238084</v>
      </c>
      <c r="G357" s="545">
        <v>1.85</v>
      </c>
      <c r="H357" s="545">
        <v>3.3333333333333335</v>
      </c>
      <c r="I357" s="545">
        <v>0.33333333333333331</v>
      </c>
      <c r="J357" s="545">
        <v>1.8452380952380953</v>
      </c>
    </row>
    <row r="358" spans="1:10">
      <c r="A358" s="441">
        <v>9612</v>
      </c>
      <c r="B358" s="441" t="s">
        <v>1656</v>
      </c>
      <c r="C358" s="545">
        <v>25.833333333333332</v>
      </c>
      <c r="D358" s="545">
        <v>13</v>
      </c>
      <c r="E358" s="545">
        <v>7.6666666666666661</v>
      </c>
      <c r="F358" s="545">
        <v>21.404761904761902</v>
      </c>
      <c r="G358" s="545">
        <v>8.8000000000000007</v>
      </c>
      <c r="H358" s="545">
        <v>5</v>
      </c>
      <c r="I358" s="545">
        <v>2.6666666666666665</v>
      </c>
      <c r="J358" s="545">
        <v>7.3809523809523805</v>
      </c>
    </row>
    <row r="359" spans="1:10">
      <c r="A359" s="441">
        <v>9597</v>
      </c>
      <c r="B359" s="441" t="s">
        <v>1657</v>
      </c>
      <c r="C359" s="545">
        <v>14.833333333333334</v>
      </c>
      <c r="D359" s="545">
        <v>3.666666666666667</v>
      </c>
      <c r="E359" s="545">
        <v>3.6666666666666665</v>
      </c>
      <c r="F359" s="545">
        <v>11.642857142857144</v>
      </c>
      <c r="G359" s="545">
        <v>4.55</v>
      </c>
      <c r="H359" s="545">
        <v>4.333333333333333</v>
      </c>
      <c r="I359" s="545">
        <v>3.6666666666666665</v>
      </c>
      <c r="J359" s="545">
        <v>4.3928571428571432</v>
      </c>
    </row>
    <row r="360" spans="1:10">
      <c r="A360" s="441">
        <v>9617</v>
      </c>
      <c r="B360" s="441" t="s">
        <v>1657</v>
      </c>
      <c r="C360" s="545">
        <v>3.333333333333333</v>
      </c>
      <c r="D360" s="545">
        <v>1</v>
      </c>
      <c r="E360" s="545">
        <v>1</v>
      </c>
      <c r="F360" s="545">
        <v>2.6666666666666665</v>
      </c>
      <c r="G360" s="545">
        <v>0.8</v>
      </c>
      <c r="H360" s="545">
        <v>0</v>
      </c>
      <c r="I360" s="545">
        <v>0</v>
      </c>
      <c r="J360" s="545">
        <v>0.5714285714285714</v>
      </c>
    </row>
    <row r="361" spans="1:10">
      <c r="A361" s="441">
        <v>9604</v>
      </c>
      <c r="B361" s="441" t="s">
        <v>1658</v>
      </c>
      <c r="C361" s="545">
        <v>15.166666666666666</v>
      </c>
      <c r="D361" s="545">
        <v>5.333333333333333</v>
      </c>
      <c r="E361" s="545">
        <v>8</v>
      </c>
      <c r="F361" s="545">
        <v>12.738095238095237</v>
      </c>
      <c r="G361" s="545">
        <v>6.25</v>
      </c>
      <c r="H361" s="545">
        <v>2.3333333333333335</v>
      </c>
      <c r="I361" s="545">
        <v>3</v>
      </c>
      <c r="J361" s="545">
        <v>5.2261904761904763</v>
      </c>
    </row>
    <row r="362" spans="1:10">
      <c r="A362" s="441">
        <v>9609</v>
      </c>
      <c r="B362" s="441" t="s">
        <v>1658</v>
      </c>
      <c r="C362" s="545">
        <v>13.166666666666666</v>
      </c>
      <c r="D362" s="545">
        <v>8.3333333333333339</v>
      </c>
      <c r="E362" s="545">
        <v>7.333333333333333</v>
      </c>
      <c r="F362" s="545">
        <v>11.642857142857141</v>
      </c>
      <c r="G362" s="545">
        <v>4.5999999999999996</v>
      </c>
      <c r="H362" s="545">
        <v>1</v>
      </c>
      <c r="I362" s="545">
        <v>1.3333333333333333</v>
      </c>
      <c r="J362" s="545">
        <v>3.6190476190476191</v>
      </c>
    </row>
    <row r="363" spans="1:10">
      <c r="A363" s="441">
        <v>9606</v>
      </c>
      <c r="B363" s="441" t="s">
        <v>1659</v>
      </c>
      <c r="C363" s="545">
        <v>13.166666666666668</v>
      </c>
      <c r="D363" s="545">
        <v>4.666666666666667</v>
      </c>
      <c r="E363" s="545">
        <v>4.666666666666667</v>
      </c>
      <c r="F363" s="545">
        <v>10.738095238095241</v>
      </c>
      <c r="G363" s="545">
        <v>5.25</v>
      </c>
      <c r="H363" s="545">
        <v>3</v>
      </c>
      <c r="I363" s="545">
        <v>0</v>
      </c>
      <c r="J363" s="545">
        <v>4.1785714285714288</v>
      </c>
    </row>
    <row r="364" spans="1:10">
      <c r="A364" s="441">
        <v>5313</v>
      </c>
      <c r="B364" s="441" t="s">
        <v>1660</v>
      </c>
      <c r="C364" s="545">
        <v>0.5</v>
      </c>
      <c r="D364" s="545">
        <v>0</v>
      </c>
      <c r="E364" s="545">
        <v>0</v>
      </c>
      <c r="F364" s="545">
        <v>0.35714285714285715</v>
      </c>
      <c r="G364" s="545">
        <v>0.2</v>
      </c>
      <c r="H364" s="545">
        <v>0.33333333333333331</v>
      </c>
      <c r="I364" s="545">
        <v>0.33333333333333331</v>
      </c>
      <c r="J364" s="545">
        <v>0.23809523809523808</v>
      </c>
    </row>
    <row r="365" spans="1:10">
      <c r="A365" s="441">
        <v>9603</v>
      </c>
      <c r="B365" s="441" t="s">
        <v>1661</v>
      </c>
      <c r="C365" s="545">
        <v>7</v>
      </c>
      <c r="D365" s="545">
        <v>1.6666666666666667</v>
      </c>
      <c r="E365" s="545">
        <v>1.3333333333333333</v>
      </c>
      <c r="F365" s="545">
        <v>5.4285714285714288</v>
      </c>
      <c r="G365" s="545">
        <v>5.7</v>
      </c>
      <c r="H365" s="545">
        <v>3.6666666666666665</v>
      </c>
      <c r="I365" s="545">
        <v>2.3333333333333335</v>
      </c>
      <c r="J365" s="545">
        <v>4.9285714285714288</v>
      </c>
    </row>
    <row r="366" spans="1:10">
      <c r="A366" s="441">
        <v>9610</v>
      </c>
      <c r="B366" s="441" t="s">
        <v>1661</v>
      </c>
      <c r="C366" s="545">
        <v>8.1666666666666679</v>
      </c>
      <c r="D366" s="545">
        <v>4</v>
      </c>
      <c r="E366" s="545">
        <v>3</v>
      </c>
      <c r="F366" s="545">
        <v>6.8333333333333348</v>
      </c>
      <c r="G366" s="545">
        <v>5.4</v>
      </c>
      <c r="H366" s="545">
        <v>2</v>
      </c>
      <c r="I366" s="545">
        <v>1.3333333333333333</v>
      </c>
      <c r="J366" s="545">
        <v>4.333333333333333</v>
      </c>
    </row>
    <row r="367" spans="1:10">
      <c r="A367" s="441">
        <v>9618</v>
      </c>
      <c r="B367" s="441" t="s">
        <v>1662</v>
      </c>
      <c r="C367" s="545">
        <v>3</v>
      </c>
      <c r="D367" s="545">
        <v>2.3333333333333335</v>
      </c>
      <c r="E367" s="545">
        <v>0.66666666666666663</v>
      </c>
      <c r="F367" s="545">
        <v>2.5714285714285716</v>
      </c>
      <c r="G367" s="545">
        <v>2.95</v>
      </c>
      <c r="H367" s="545">
        <v>3.3333333333333335</v>
      </c>
      <c r="I367" s="545">
        <v>4.333333333333333</v>
      </c>
      <c r="J367" s="545">
        <v>3.2023809523809521</v>
      </c>
    </row>
    <row r="368" spans="1:10">
      <c r="A368" s="441">
        <v>9875</v>
      </c>
      <c r="B368" s="441" t="s">
        <v>1663</v>
      </c>
      <c r="C368" s="545">
        <v>4</v>
      </c>
      <c r="D368" s="545">
        <v>0.66666666666666663</v>
      </c>
      <c r="E368" s="545">
        <v>1.6666666666666667</v>
      </c>
      <c r="F368" s="545">
        <v>3.1904761904761907</v>
      </c>
      <c r="G368" s="545">
        <v>0.45</v>
      </c>
      <c r="H368" s="545">
        <v>1.3333333333333333</v>
      </c>
      <c r="I368" s="545">
        <v>0.66666666666666663</v>
      </c>
      <c r="J368" s="545">
        <v>0.6071428571428571</v>
      </c>
    </row>
    <row r="369" spans="1:10">
      <c r="A369" s="441">
        <v>9889</v>
      </c>
      <c r="B369" s="441" t="s">
        <v>1663</v>
      </c>
      <c r="C369" s="545">
        <v>6.166666666666667</v>
      </c>
      <c r="D369" s="545">
        <v>2.6666666666666665</v>
      </c>
      <c r="E369" s="545">
        <v>2.6666666666666665</v>
      </c>
      <c r="F369" s="545">
        <v>5.1666666666666661</v>
      </c>
      <c r="G369" s="545">
        <v>1.8</v>
      </c>
      <c r="H369" s="545">
        <v>1</v>
      </c>
      <c r="I369" s="545">
        <v>0</v>
      </c>
      <c r="J369" s="545">
        <v>1.4285714285714286</v>
      </c>
    </row>
    <row r="370" spans="1:10">
      <c r="A370" s="441">
        <v>9890</v>
      </c>
      <c r="B370" s="441" t="s">
        <v>1663</v>
      </c>
      <c r="C370" s="545">
        <v>6</v>
      </c>
      <c r="D370" s="545">
        <v>7.333333333333333</v>
      </c>
      <c r="E370" s="545">
        <v>2.3333333333333335</v>
      </c>
      <c r="F370" s="545">
        <v>5.666666666666667</v>
      </c>
      <c r="G370" s="545">
        <v>4</v>
      </c>
      <c r="H370" s="545">
        <v>4</v>
      </c>
      <c r="I370" s="545">
        <v>0.66666666666666663</v>
      </c>
      <c r="J370" s="545">
        <v>3.5238095238095242</v>
      </c>
    </row>
    <row r="371" spans="1:10">
      <c r="A371" s="441">
        <v>9598</v>
      </c>
      <c r="B371" s="441" t="s">
        <v>1664</v>
      </c>
      <c r="C371" s="545">
        <v>21.333333333333336</v>
      </c>
      <c r="D371" s="545">
        <v>7</v>
      </c>
      <c r="E371" s="545">
        <v>5.666666666666667</v>
      </c>
      <c r="F371" s="545">
        <v>17.047619047619051</v>
      </c>
      <c r="G371" s="545">
        <v>9.4</v>
      </c>
      <c r="H371" s="545">
        <v>14</v>
      </c>
      <c r="I371" s="545">
        <v>4</v>
      </c>
      <c r="J371" s="545">
        <v>9.2857142857142865</v>
      </c>
    </row>
    <row r="372" spans="1:10">
      <c r="A372" s="441">
        <v>9615</v>
      </c>
      <c r="B372" s="441" t="s">
        <v>1664</v>
      </c>
      <c r="C372" s="545">
        <v>26.666666666666668</v>
      </c>
      <c r="D372" s="545">
        <v>8.3333333333333339</v>
      </c>
      <c r="E372" s="545">
        <v>10.333333333333332</v>
      </c>
      <c r="F372" s="545">
        <v>21.714285714285719</v>
      </c>
      <c r="G372" s="545">
        <v>8.9499999999999993</v>
      </c>
      <c r="H372" s="545">
        <v>9</v>
      </c>
      <c r="I372" s="545">
        <v>5.333333333333333</v>
      </c>
      <c r="J372" s="545">
        <v>8.4404761904761916</v>
      </c>
    </row>
    <row r="373" spans="1:10">
      <c r="A373" s="441">
        <v>9616</v>
      </c>
      <c r="B373" s="441" t="s">
        <v>1664</v>
      </c>
      <c r="C373" s="545">
        <v>4</v>
      </c>
      <c r="D373" s="545">
        <v>3.6666666666666665</v>
      </c>
      <c r="E373" s="545">
        <v>2.6666666666666665</v>
      </c>
      <c r="F373" s="545">
        <v>3.7619047619047623</v>
      </c>
      <c r="G373" s="545">
        <v>3.85</v>
      </c>
      <c r="H373" s="545">
        <v>3.6666666666666665</v>
      </c>
      <c r="I373" s="545">
        <v>4.666666666666667</v>
      </c>
      <c r="J373" s="545">
        <v>3.9404761904761907</v>
      </c>
    </row>
    <row r="374" spans="1:10">
      <c r="A374" s="441">
        <v>9605</v>
      </c>
      <c r="B374" s="441" t="s">
        <v>1665</v>
      </c>
      <c r="C374" s="545">
        <v>26.333333333333336</v>
      </c>
      <c r="D374" s="545">
        <v>12.666666666666666</v>
      </c>
      <c r="E374" s="545">
        <v>8</v>
      </c>
      <c r="F374" s="545">
        <v>21.761904761904763</v>
      </c>
      <c r="G374" s="545">
        <v>23.45</v>
      </c>
      <c r="H374" s="545">
        <v>7.666666666666667</v>
      </c>
      <c r="I374" s="545">
        <v>8.3333333333333339</v>
      </c>
      <c r="J374" s="545">
        <v>19.035714285714285</v>
      </c>
    </row>
    <row r="375" spans="1:10">
      <c r="A375" s="441">
        <v>9608</v>
      </c>
      <c r="B375" s="441" t="s">
        <v>1665</v>
      </c>
      <c r="C375" s="545">
        <v>23.666666666666664</v>
      </c>
      <c r="D375" s="545">
        <v>8.6666666666666661</v>
      </c>
      <c r="E375" s="545">
        <v>9.6666666666666661</v>
      </c>
      <c r="F375" s="545">
        <v>19.523809523809522</v>
      </c>
      <c r="G375" s="545">
        <v>24.05</v>
      </c>
      <c r="H375" s="545">
        <v>14.666666666666666</v>
      </c>
      <c r="I375" s="545">
        <v>8</v>
      </c>
      <c r="J375" s="545">
        <v>20.416666666666664</v>
      </c>
    </row>
    <row r="376" spans="1:10">
      <c r="A376" s="441">
        <v>5311</v>
      </c>
      <c r="B376" s="441" t="s">
        <v>1666</v>
      </c>
      <c r="C376" s="545">
        <v>2.5</v>
      </c>
      <c r="D376" s="545">
        <v>1.3333333333333333</v>
      </c>
      <c r="E376" s="545">
        <v>1</v>
      </c>
      <c r="F376" s="545">
        <v>2.1190476190476191</v>
      </c>
      <c r="G376" s="545">
        <v>1.35</v>
      </c>
      <c r="H376" s="545">
        <v>1.6666666666666667</v>
      </c>
      <c r="I376" s="545">
        <v>1.6666666666666667</v>
      </c>
      <c r="J376" s="545">
        <v>1.4404761904761902</v>
      </c>
    </row>
    <row r="377" spans="1:10">
      <c r="A377" s="441">
        <v>9614</v>
      </c>
      <c r="B377" s="441" t="s">
        <v>1667</v>
      </c>
      <c r="C377" s="545">
        <v>9.1666666666666661</v>
      </c>
      <c r="D377" s="545">
        <v>2</v>
      </c>
      <c r="E377" s="545">
        <v>0.66666666666666663</v>
      </c>
      <c r="F377" s="545">
        <v>6.9285714285714279</v>
      </c>
      <c r="G377" s="545">
        <v>3.25</v>
      </c>
      <c r="H377" s="545">
        <v>1.3333333333333333</v>
      </c>
      <c r="I377" s="545">
        <v>0</v>
      </c>
      <c r="J377" s="545">
        <v>2.5119047619047619</v>
      </c>
    </row>
    <row r="378" spans="1:10">
      <c r="A378" s="441">
        <v>9874</v>
      </c>
      <c r="B378" s="441" t="s">
        <v>1668</v>
      </c>
      <c r="C378" s="545">
        <v>12.833333333333332</v>
      </c>
      <c r="D378" s="545">
        <v>8</v>
      </c>
      <c r="E378" s="545">
        <v>4.333333333333333</v>
      </c>
      <c r="F378" s="545">
        <v>10.928571428571427</v>
      </c>
      <c r="G378" s="545">
        <v>6</v>
      </c>
      <c r="H378" s="545">
        <v>4</v>
      </c>
      <c r="I378" s="545">
        <v>1.6666666666666667</v>
      </c>
      <c r="J378" s="545">
        <v>5.0952380952380949</v>
      </c>
    </row>
    <row r="379" spans="1:10">
      <c r="A379" s="441">
        <v>5306</v>
      </c>
      <c r="B379" s="441" t="s">
        <v>1669</v>
      </c>
      <c r="C379" s="545">
        <v>0.5</v>
      </c>
      <c r="D379" s="545">
        <v>0.66666666666666663</v>
      </c>
      <c r="E379" s="545">
        <v>1.6666666666666667</v>
      </c>
      <c r="F379" s="545">
        <v>0.69047619047619047</v>
      </c>
      <c r="G379" s="545">
        <v>0.4</v>
      </c>
      <c r="H379" s="545">
        <v>1.6666666666666667</v>
      </c>
      <c r="I379" s="545">
        <v>0.66666666666666663</v>
      </c>
      <c r="J379" s="545">
        <v>0.61904761904761918</v>
      </c>
    </row>
    <row r="380" spans="1:10">
      <c r="A380" s="441">
        <v>9599</v>
      </c>
      <c r="B380" s="441" t="s">
        <v>1670</v>
      </c>
      <c r="C380" s="545">
        <v>9.8333333333333339</v>
      </c>
      <c r="D380" s="545">
        <v>1.6666666666666667</v>
      </c>
      <c r="E380" s="545">
        <v>1.3333333333333333</v>
      </c>
      <c r="F380" s="545">
        <v>7.4523809523809534</v>
      </c>
      <c r="G380" s="545">
        <v>5.5</v>
      </c>
      <c r="H380" s="545">
        <v>0.33333333333333331</v>
      </c>
      <c r="I380" s="545">
        <v>0.66666666666666663</v>
      </c>
      <c r="J380" s="545">
        <v>4.0714285714285712</v>
      </c>
    </row>
    <row r="381" spans="1:10">
      <c r="A381" s="441">
        <v>9620</v>
      </c>
      <c r="B381" s="441" t="s">
        <v>1671</v>
      </c>
      <c r="C381" s="545">
        <v>6.3333333333333339</v>
      </c>
      <c r="D381" s="545">
        <v>2.666666666666667</v>
      </c>
      <c r="E381" s="545">
        <v>3.333333333333333</v>
      </c>
      <c r="F381" s="545">
        <v>5.3809523809523814</v>
      </c>
      <c r="G381" s="545">
        <v>5.05</v>
      </c>
      <c r="H381" s="545">
        <v>4.333333333333333</v>
      </c>
      <c r="I381" s="545">
        <v>3.3333333333333335</v>
      </c>
      <c r="J381" s="545">
        <v>4.7023809523809517</v>
      </c>
    </row>
    <row r="382" spans="1:10">
      <c r="A382" s="441">
        <v>11898</v>
      </c>
      <c r="B382" s="441" t="s">
        <v>1671</v>
      </c>
      <c r="C382" s="545">
        <v>23.5</v>
      </c>
      <c r="D382" s="545">
        <v>7.666666666666667</v>
      </c>
      <c r="E382" s="545">
        <v>7</v>
      </c>
      <c r="F382" s="545">
        <v>18.880952380952383</v>
      </c>
      <c r="G382" s="545">
        <v>16.899999999999999</v>
      </c>
      <c r="H382" s="545">
        <v>10.333333333333334</v>
      </c>
      <c r="I382" s="545">
        <v>6</v>
      </c>
      <c r="J382" s="545">
        <v>14.404761904761903</v>
      </c>
    </row>
    <row r="383" spans="1:10">
      <c r="A383" s="441">
        <v>9607</v>
      </c>
      <c r="B383" s="441" t="s">
        <v>1672</v>
      </c>
      <c r="C383" s="545">
        <v>14.333333333333334</v>
      </c>
      <c r="D383" s="545">
        <v>9.3333333333333321</v>
      </c>
      <c r="E383" s="545">
        <v>5.3333333333333339</v>
      </c>
      <c r="F383" s="545">
        <v>12.333333333333332</v>
      </c>
      <c r="G383" s="545">
        <v>5.2</v>
      </c>
      <c r="H383" s="545">
        <v>3.3333333333333335</v>
      </c>
      <c r="I383" s="545">
        <v>1.6666666666666667</v>
      </c>
      <c r="J383" s="545">
        <v>4.4285714285714288</v>
      </c>
    </row>
    <row r="384" spans="1:10">
      <c r="A384" s="441">
        <v>9600</v>
      </c>
      <c r="B384" s="441" t="s">
        <v>1673</v>
      </c>
      <c r="C384" s="545">
        <v>54</v>
      </c>
      <c r="D384" s="545">
        <v>21.333333333333336</v>
      </c>
      <c r="E384" s="545">
        <v>10</v>
      </c>
      <c r="F384" s="545">
        <v>43.047619047619044</v>
      </c>
      <c r="G384" s="545">
        <v>33.450000000000003</v>
      </c>
      <c r="H384" s="545">
        <v>15.333333333333334</v>
      </c>
      <c r="I384" s="545">
        <v>11.333333333333334</v>
      </c>
      <c r="J384" s="545">
        <v>27.702380952380956</v>
      </c>
    </row>
    <row r="385" spans="1:10">
      <c r="A385" s="441">
        <v>9601</v>
      </c>
      <c r="B385" s="441" t="s">
        <v>1673</v>
      </c>
      <c r="C385" s="545">
        <v>19.666666666666664</v>
      </c>
      <c r="D385" s="545">
        <v>8.6666666666666661</v>
      </c>
      <c r="E385" s="545">
        <v>9</v>
      </c>
      <c r="F385" s="545">
        <v>16.571428571428569</v>
      </c>
      <c r="G385" s="545">
        <v>9.1</v>
      </c>
      <c r="H385" s="545">
        <v>6.333333333333333</v>
      </c>
      <c r="I385" s="545">
        <v>1.3333333333333333</v>
      </c>
      <c r="J385" s="545">
        <v>7.5952380952380958</v>
      </c>
    </row>
    <row r="386" spans="1:10">
      <c r="A386" s="441">
        <v>11345</v>
      </c>
      <c r="B386" s="441" t="s">
        <v>1673</v>
      </c>
      <c r="C386" s="545">
        <v>27.166666666666664</v>
      </c>
      <c r="D386" s="545">
        <v>16</v>
      </c>
      <c r="E386" s="545">
        <v>15.666666666666666</v>
      </c>
      <c r="F386" s="545">
        <v>23.928571428571423</v>
      </c>
      <c r="G386" s="545">
        <v>16</v>
      </c>
      <c r="H386" s="545">
        <v>11</v>
      </c>
      <c r="I386" s="545">
        <v>3.6666666666666665</v>
      </c>
      <c r="J386" s="545">
        <v>13.523809523809524</v>
      </c>
    </row>
    <row r="387" spans="1:10">
      <c r="A387" s="441">
        <v>11306</v>
      </c>
      <c r="B387" s="441" t="s">
        <v>1674</v>
      </c>
      <c r="C387" s="545">
        <v>8</v>
      </c>
      <c r="D387" s="545">
        <v>3.666666666666667</v>
      </c>
      <c r="E387" s="545">
        <v>1.6666666666666665</v>
      </c>
      <c r="F387" s="545">
        <v>6.4761904761904754</v>
      </c>
      <c r="G387" s="545">
        <v>3.75</v>
      </c>
      <c r="H387" s="545">
        <v>1.3333333333333333</v>
      </c>
      <c r="I387" s="545">
        <v>2</v>
      </c>
      <c r="J387" s="545">
        <v>3.1547619047619047</v>
      </c>
    </row>
    <row r="388" spans="1:10">
      <c r="A388" s="441">
        <v>5308</v>
      </c>
      <c r="B388" s="441" t="s">
        <v>1675</v>
      </c>
      <c r="C388" s="545">
        <v>5.666666666666667</v>
      </c>
      <c r="D388" s="545">
        <v>3.3333333333333335</v>
      </c>
      <c r="E388" s="545">
        <v>4.6666666666666661</v>
      </c>
      <c r="F388" s="545">
        <v>5.1904761904761907</v>
      </c>
      <c r="G388" s="545">
        <v>7.15</v>
      </c>
      <c r="H388" s="545">
        <v>16.333333333333332</v>
      </c>
      <c r="I388" s="545">
        <v>5.666666666666667</v>
      </c>
      <c r="J388" s="545">
        <v>8.2499999999999982</v>
      </c>
    </row>
    <row r="389" spans="1:10">
      <c r="A389" s="441">
        <v>5312</v>
      </c>
      <c r="B389" s="441" t="s">
        <v>1675</v>
      </c>
      <c r="C389" s="545">
        <v>6.1666666666666661</v>
      </c>
      <c r="D389" s="545">
        <v>6</v>
      </c>
      <c r="E389" s="545">
        <v>4.3333333333333339</v>
      </c>
      <c r="F389" s="545">
        <v>5.8809523809523805</v>
      </c>
      <c r="G389" s="545">
        <v>6.75</v>
      </c>
      <c r="H389" s="545">
        <v>7</v>
      </c>
      <c r="I389" s="545">
        <v>2</v>
      </c>
      <c r="J389" s="545">
        <v>6.1071428571428568</v>
      </c>
    </row>
    <row r="390" spans="1:10">
      <c r="A390" s="441">
        <v>11515</v>
      </c>
      <c r="B390" s="441" t="s">
        <v>1675</v>
      </c>
      <c r="C390" s="545">
        <v>0.16666666666666666</v>
      </c>
      <c r="D390" s="545">
        <v>0</v>
      </c>
      <c r="E390" s="545">
        <v>0</v>
      </c>
      <c r="F390" s="545">
        <v>0.11904761904761904</v>
      </c>
      <c r="G390" s="545">
        <v>0.35</v>
      </c>
      <c r="H390" s="545">
        <v>0.33333333333333331</v>
      </c>
      <c r="I390" s="545">
        <v>0</v>
      </c>
      <c r="J390" s="545">
        <v>0.29761904761904762</v>
      </c>
    </row>
    <row r="391" spans="1:10">
      <c r="A391" s="441">
        <v>9878</v>
      </c>
      <c r="B391" s="441" t="s">
        <v>1676</v>
      </c>
      <c r="C391" s="545">
        <v>9.1666666666666679</v>
      </c>
      <c r="D391" s="545">
        <v>4</v>
      </c>
      <c r="E391" s="545">
        <v>4.333333333333333</v>
      </c>
      <c r="F391" s="545">
        <v>7.7380952380952399</v>
      </c>
      <c r="G391" s="545">
        <v>3.25</v>
      </c>
      <c r="H391" s="545">
        <v>2</v>
      </c>
      <c r="I391" s="545">
        <v>2.3333333333333335</v>
      </c>
      <c r="J391" s="545">
        <v>2.9404761904761902</v>
      </c>
    </row>
    <row r="392" spans="1:10">
      <c r="A392" s="441">
        <v>9885</v>
      </c>
      <c r="B392" s="441" t="s">
        <v>1676</v>
      </c>
      <c r="C392" s="545">
        <v>8.3333333333333321</v>
      </c>
      <c r="D392" s="545">
        <v>3</v>
      </c>
      <c r="E392" s="545">
        <v>2</v>
      </c>
      <c r="F392" s="545">
        <v>6.6666666666666652</v>
      </c>
      <c r="G392" s="545">
        <v>5.45</v>
      </c>
      <c r="H392" s="545">
        <v>3.3333333333333335</v>
      </c>
      <c r="I392" s="545">
        <v>1</v>
      </c>
      <c r="J392" s="545">
        <v>4.5119047619047619</v>
      </c>
    </row>
    <row r="393" spans="1:10">
      <c r="A393" s="441">
        <v>9877</v>
      </c>
      <c r="B393" s="441" t="s">
        <v>1677</v>
      </c>
      <c r="C393" s="545">
        <v>26</v>
      </c>
      <c r="D393" s="545">
        <v>11</v>
      </c>
      <c r="E393" s="545">
        <v>7.333333333333333</v>
      </c>
      <c r="F393" s="545">
        <v>21.190476190476193</v>
      </c>
      <c r="G393" s="545">
        <v>16.45</v>
      </c>
      <c r="H393" s="545">
        <v>12.666666666666666</v>
      </c>
      <c r="I393" s="545">
        <v>10.666666666666666</v>
      </c>
      <c r="J393" s="545">
        <v>15.083333333333334</v>
      </c>
    </row>
    <row r="394" spans="1:10">
      <c r="A394" s="441">
        <v>9886</v>
      </c>
      <c r="B394" s="441" t="s">
        <v>1677</v>
      </c>
      <c r="C394" s="545">
        <v>25</v>
      </c>
      <c r="D394" s="545">
        <v>21</v>
      </c>
      <c r="E394" s="545">
        <v>12.666666666666668</v>
      </c>
      <c r="F394" s="545">
        <v>22.666666666666664</v>
      </c>
      <c r="G394" s="545">
        <v>17.8</v>
      </c>
      <c r="H394" s="545">
        <v>16.666666666666668</v>
      </c>
      <c r="I394" s="545">
        <v>7</v>
      </c>
      <c r="J394" s="545">
        <v>16.095238095238095</v>
      </c>
    </row>
    <row r="395" spans="1:10">
      <c r="A395" s="441">
        <v>5304</v>
      </c>
      <c r="B395" s="441" t="s">
        <v>1678</v>
      </c>
      <c r="C395" s="545">
        <v>5.1666666666666661</v>
      </c>
      <c r="D395" s="545">
        <v>4</v>
      </c>
      <c r="E395" s="545">
        <v>3</v>
      </c>
      <c r="F395" s="545">
        <v>4.6904761904761898</v>
      </c>
      <c r="G395" s="545">
        <v>3.95</v>
      </c>
      <c r="H395" s="545">
        <v>2</v>
      </c>
      <c r="I395" s="545">
        <v>1</v>
      </c>
      <c r="J395" s="545">
        <v>3.25</v>
      </c>
    </row>
    <row r="396" spans="1:10">
      <c r="A396" s="441">
        <v>5315</v>
      </c>
      <c r="B396" s="441" t="s">
        <v>1678</v>
      </c>
      <c r="C396" s="545">
        <v>7.3333333333333339</v>
      </c>
      <c r="D396" s="545">
        <v>3.333333333333333</v>
      </c>
      <c r="E396" s="545">
        <v>3.3333333333333335</v>
      </c>
      <c r="F396" s="545">
        <v>6.1904761904761916</v>
      </c>
      <c r="G396" s="545">
        <v>3.95</v>
      </c>
      <c r="H396" s="545">
        <v>2.3333333333333335</v>
      </c>
      <c r="I396" s="545">
        <v>2.3333333333333335</v>
      </c>
      <c r="J396" s="545">
        <v>3.4880952380952377</v>
      </c>
    </row>
    <row r="397" spans="1:10">
      <c r="A397" s="441">
        <v>5303</v>
      </c>
      <c r="B397" s="441" t="s">
        <v>1679</v>
      </c>
      <c r="C397" s="545">
        <v>2.8333333333333335</v>
      </c>
      <c r="D397" s="545">
        <v>2.6666666666666665</v>
      </c>
      <c r="E397" s="545">
        <v>1</v>
      </c>
      <c r="F397" s="545">
        <v>2.5476190476190479</v>
      </c>
      <c r="G397" s="545">
        <v>2.15</v>
      </c>
      <c r="H397" s="545">
        <v>0.33333333333333331</v>
      </c>
      <c r="I397" s="545">
        <v>0</v>
      </c>
      <c r="J397" s="545">
        <v>1.5833333333333335</v>
      </c>
    </row>
    <row r="398" spans="1:10">
      <c r="A398" s="441">
        <v>5316</v>
      </c>
      <c r="B398" s="441" t="s">
        <v>1679</v>
      </c>
      <c r="C398" s="545">
        <v>10.666666666666668</v>
      </c>
      <c r="D398" s="545">
        <v>6</v>
      </c>
      <c r="E398" s="545">
        <v>6.333333333333333</v>
      </c>
      <c r="F398" s="545">
        <v>9.3809523809523814</v>
      </c>
      <c r="G398" s="545">
        <v>8.9499999999999993</v>
      </c>
      <c r="H398" s="545">
        <v>4.333333333333333</v>
      </c>
      <c r="I398" s="545">
        <v>2.6666666666666665</v>
      </c>
      <c r="J398" s="545">
        <v>7.3928571428571432</v>
      </c>
    </row>
    <row r="399" spans="1:10">
      <c r="A399" s="441">
        <v>9880</v>
      </c>
      <c r="B399" s="441" t="s">
        <v>1680</v>
      </c>
      <c r="C399" s="545">
        <v>44.833333333333336</v>
      </c>
      <c r="D399" s="545">
        <v>27</v>
      </c>
      <c r="E399" s="545">
        <v>16.333333333333332</v>
      </c>
      <c r="F399" s="545">
        <v>38.214285714285715</v>
      </c>
      <c r="G399" s="545">
        <v>24.4</v>
      </c>
      <c r="H399" s="545">
        <v>20.666666666666668</v>
      </c>
      <c r="I399" s="545">
        <v>10</v>
      </c>
      <c r="J399" s="545">
        <v>21.809523809523807</v>
      </c>
    </row>
    <row r="400" spans="1:10">
      <c r="A400" s="441">
        <v>9883</v>
      </c>
      <c r="B400" s="441" t="s">
        <v>1680</v>
      </c>
      <c r="C400" s="545">
        <v>44.333333333333336</v>
      </c>
      <c r="D400" s="545">
        <v>19.666666666666668</v>
      </c>
      <c r="E400" s="545">
        <v>14.666666666666666</v>
      </c>
      <c r="F400" s="545">
        <v>36.571428571428569</v>
      </c>
      <c r="G400" s="545">
        <v>23.15</v>
      </c>
      <c r="H400" s="545">
        <v>12.666666666666666</v>
      </c>
      <c r="I400" s="545">
        <v>16.333333333333332</v>
      </c>
      <c r="J400" s="545">
        <v>20.678571428571427</v>
      </c>
    </row>
    <row r="401" spans="1:10">
      <c r="A401" s="441">
        <v>6333</v>
      </c>
      <c r="B401" s="441" t="s">
        <v>1681</v>
      </c>
      <c r="C401" s="545">
        <v>38.666666666666671</v>
      </c>
      <c r="D401" s="545">
        <v>28.333333333333332</v>
      </c>
      <c r="E401" s="545">
        <v>27.666666666666668</v>
      </c>
      <c r="F401" s="545">
        <v>35.619047619047628</v>
      </c>
      <c r="G401" s="545">
        <v>43.95</v>
      </c>
      <c r="H401" s="545">
        <v>15.666666666666666</v>
      </c>
      <c r="I401" s="545">
        <v>17</v>
      </c>
      <c r="J401" s="545">
        <v>36.05952380952381</v>
      </c>
    </row>
    <row r="402" spans="1:10">
      <c r="A402" s="441">
        <v>4748</v>
      </c>
      <c r="B402" s="441" t="s">
        <v>1682</v>
      </c>
      <c r="C402" s="545">
        <v>9.3333333333333339</v>
      </c>
      <c r="D402" s="545">
        <v>6.3333333333333339</v>
      </c>
      <c r="E402" s="545">
        <v>7</v>
      </c>
      <c r="F402" s="545">
        <v>8.571428571428573</v>
      </c>
      <c r="G402" s="545">
        <v>9.5</v>
      </c>
      <c r="H402" s="545">
        <v>2</v>
      </c>
      <c r="I402" s="545">
        <v>4.333333333333333</v>
      </c>
      <c r="J402" s="545">
        <v>7.6904761904761907</v>
      </c>
    </row>
    <row r="403" spans="1:10">
      <c r="A403" s="441">
        <v>4749</v>
      </c>
      <c r="B403" s="441" t="s">
        <v>1682</v>
      </c>
      <c r="C403" s="545">
        <v>10</v>
      </c>
      <c r="D403" s="545">
        <v>5.333333333333333</v>
      </c>
      <c r="E403" s="545">
        <v>5.3333333333333339</v>
      </c>
      <c r="F403" s="545">
        <v>8.6666666666666679</v>
      </c>
      <c r="G403" s="545">
        <v>4.3</v>
      </c>
      <c r="H403" s="545">
        <v>4</v>
      </c>
      <c r="I403" s="545">
        <v>4.333333333333333</v>
      </c>
      <c r="J403" s="545">
        <v>4.2619047619047619</v>
      </c>
    </row>
    <row r="404" spans="1:10">
      <c r="A404" s="441">
        <v>4747</v>
      </c>
      <c r="B404" s="441" t="s">
        <v>1683</v>
      </c>
      <c r="C404" s="545">
        <v>5.333333333333333</v>
      </c>
      <c r="D404" s="545">
        <v>4.333333333333333</v>
      </c>
      <c r="E404" s="545">
        <v>2.3333333333333335</v>
      </c>
      <c r="F404" s="545">
        <v>4.761904761904761</v>
      </c>
      <c r="G404" s="545">
        <v>27.95</v>
      </c>
      <c r="H404" s="545">
        <v>1.6666666666666667</v>
      </c>
      <c r="I404" s="545">
        <v>1</v>
      </c>
      <c r="J404" s="545">
        <v>20.345238095238095</v>
      </c>
    </row>
    <row r="405" spans="1:10">
      <c r="A405" s="441">
        <v>4750</v>
      </c>
      <c r="B405" s="441" t="s">
        <v>1683</v>
      </c>
      <c r="C405" s="545">
        <v>5.333333333333333</v>
      </c>
      <c r="D405" s="545">
        <v>2.666666666666667</v>
      </c>
      <c r="E405" s="545">
        <v>1.6666666666666667</v>
      </c>
      <c r="F405" s="545">
        <v>4.4285714285714288</v>
      </c>
      <c r="G405" s="545">
        <v>2.2999999999999998</v>
      </c>
      <c r="H405" s="545">
        <v>0.66666666666666663</v>
      </c>
      <c r="I405" s="545">
        <v>1</v>
      </c>
      <c r="J405" s="545">
        <v>1.8809523809523809</v>
      </c>
    </row>
    <row r="406" spans="1:10">
      <c r="A406" s="441">
        <v>4752</v>
      </c>
      <c r="B406" s="441" t="s">
        <v>1684</v>
      </c>
      <c r="C406" s="545">
        <v>1</v>
      </c>
      <c r="D406" s="545">
        <v>0</v>
      </c>
      <c r="E406" s="545">
        <v>0</v>
      </c>
      <c r="F406" s="545">
        <v>0.7142857142857143</v>
      </c>
      <c r="G406" s="545">
        <v>0.15</v>
      </c>
      <c r="H406" s="545">
        <v>0.66666666666666663</v>
      </c>
      <c r="I406" s="545">
        <v>0.33333333333333331</v>
      </c>
      <c r="J406" s="545">
        <v>0.24999999999999997</v>
      </c>
    </row>
    <row r="407" spans="1:10">
      <c r="A407" s="441">
        <v>10006</v>
      </c>
      <c r="B407" s="441" t="s">
        <v>1684</v>
      </c>
      <c r="C407" s="545">
        <v>0.33333333333333331</v>
      </c>
      <c r="D407" s="545">
        <v>0.66666666666666663</v>
      </c>
      <c r="E407" s="545">
        <v>0</v>
      </c>
      <c r="F407" s="545">
        <v>0.33333333333333331</v>
      </c>
      <c r="G407" s="545">
        <v>0.15</v>
      </c>
      <c r="H407" s="545">
        <v>0</v>
      </c>
      <c r="I407" s="545">
        <v>0.33333333333333331</v>
      </c>
      <c r="J407" s="545">
        <v>0.15476190476190474</v>
      </c>
    </row>
    <row r="408" spans="1:10">
      <c r="A408" s="441">
        <v>4744</v>
      </c>
      <c r="B408" s="441" t="s">
        <v>1685</v>
      </c>
      <c r="C408" s="545">
        <v>2.8333333333333335</v>
      </c>
      <c r="D408" s="545">
        <v>1</v>
      </c>
      <c r="E408" s="545">
        <v>0.66666666666666663</v>
      </c>
      <c r="F408" s="545">
        <v>2.2619047619047619</v>
      </c>
      <c r="G408" s="545">
        <v>0.55000000000000004</v>
      </c>
      <c r="H408" s="545">
        <v>0.33333333333333331</v>
      </c>
      <c r="I408" s="545">
        <v>0</v>
      </c>
      <c r="J408" s="545">
        <v>0.44047619047619052</v>
      </c>
    </row>
    <row r="409" spans="1:10">
      <c r="A409" s="441">
        <v>4753</v>
      </c>
      <c r="B409" s="441" t="s">
        <v>1685</v>
      </c>
      <c r="C409" s="545">
        <v>0.33333333333333331</v>
      </c>
      <c r="D409" s="545">
        <v>0.66666666666666663</v>
      </c>
      <c r="E409" s="545">
        <v>0</v>
      </c>
      <c r="F409" s="545">
        <v>0.33333333333333331</v>
      </c>
      <c r="G409" s="545">
        <v>0.2</v>
      </c>
      <c r="H409" s="545">
        <v>0.33333333333333331</v>
      </c>
      <c r="I409" s="545">
        <v>0.33333333333333331</v>
      </c>
      <c r="J409" s="545">
        <v>0.23809523809523808</v>
      </c>
    </row>
    <row r="410" spans="1:10">
      <c r="A410" s="441">
        <v>4746</v>
      </c>
      <c r="B410" s="441" t="s">
        <v>1686</v>
      </c>
      <c r="C410" s="545">
        <v>3.3333333333333335</v>
      </c>
      <c r="D410" s="545">
        <v>1.6666666666666665</v>
      </c>
      <c r="E410" s="545">
        <v>1.6666666666666665</v>
      </c>
      <c r="F410" s="545">
        <v>2.8571428571428577</v>
      </c>
      <c r="G410" s="545">
        <v>2.25</v>
      </c>
      <c r="H410" s="545">
        <v>2</v>
      </c>
      <c r="I410" s="545">
        <v>1</v>
      </c>
      <c r="J410" s="545">
        <v>2.0357142857142856</v>
      </c>
    </row>
    <row r="411" spans="1:10">
      <c r="A411" s="441">
        <v>4751</v>
      </c>
      <c r="B411" s="441" t="s">
        <v>1686</v>
      </c>
      <c r="C411" s="545">
        <v>6</v>
      </c>
      <c r="D411" s="545">
        <v>3.3333333333333335</v>
      </c>
      <c r="E411" s="545">
        <v>2.6666666666666665</v>
      </c>
      <c r="F411" s="545">
        <v>5.1428571428571432</v>
      </c>
      <c r="G411" s="545">
        <v>2.75</v>
      </c>
      <c r="H411" s="545">
        <v>2.3333333333333335</v>
      </c>
      <c r="I411" s="545">
        <v>2</v>
      </c>
      <c r="J411" s="545">
        <v>2.583333333333333</v>
      </c>
    </row>
    <row r="412" spans="1:10">
      <c r="A412" s="441">
        <v>2401</v>
      </c>
      <c r="B412" s="441" t="s">
        <v>1687</v>
      </c>
      <c r="C412" s="545">
        <v>13.166666666666666</v>
      </c>
      <c r="D412" s="545">
        <v>3.333333333333333</v>
      </c>
      <c r="E412" s="545">
        <v>6.333333333333333</v>
      </c>
      <c r="F412" s="545">
        <v>10.785714285714283</v>
      </c>
      <c r="G412" s="545">
        <v>11.35</v>
      </c>
      <c r="H412" s="545">
        <v>7.333333333333333</v>
      </c>
      <c r="I412" s="545">
        <v>4.666666666666667</v>
      </c>
      <c r="J412" s="545">
        <v>9.8214285714285712</v>
      </c>
    </row>
    <row r="413" spans="1:10">
      <c r="A413" s="441">
        <v>8843</v>
      </c>
      <c r="B413" s="441" t="s">
        <v>1687</v>
      </c>
      <c r="C413" s="545">
        <v>12.5</v>
      </c>
      <c r="D413" s="545">
        <v>5</v>
      </c>
      <c r="E413" s="545">
        <v>5.333333333333333</v>
      </c>
      <c r="F413" s="545">
        <v>10.404761904761903</v>
      </c>
      <c r="G413" s="545">
        <v>7.4</v>
      </c>
      <c r="H413" s="545">
        <v>3.3333333333333335</v>
      </c>
      <c r="I413" s="545">
        <v>4.666666666666667</v>
      </c>
      <c r="J413" s="545">
        <v>6.4285714285714288</v>
      </c>
    </row>
    <row r="414" spans="1:10">
      <c r="A414" s="441">
        <v>8286</v>
      </c>
      <c r="B414" s="441" t="s">
        <v>1688</v>
      </c>
      <c r="C414" s="545">
        <v>49.5</v>
      </c>
      <c r="D414" s="545">
        <v>18.333333333333336</v>
      </c>
      <c r="E414" s="545">
        <v>13.666666666666666</v>
      </c>
      <c r="F414" s="545">
        <v>39.928571428571431</v>
      </c>
      <c r="G414" s="545">
        <v>29.15</v>
      </c>
      <c r="H414" s="545">
        <v>9.3333333333333339</v>
      </c>
      <c r="I414" s="545">
        <v>8</v>
      </c>
      <c r="J414" s="545">
        <v>23.297619047619047</v>
      </c>
    </row>
    <row r="415" spans="1:10">
      <c r="A415" s="441">
        <v>11273</v>
      </c>
      <c r="B415" s="441" t="s">
        <v>1688</v>
      </c>
      <c r="C415" s="545">
        <v>53.833333333333336</v>
      </c>
      <c r="D415" s="545">
        <v>18.333333333333336</v>
      </c>
      <c r="E415" s="545">
        <v>15.666666666666668</v>
      </c>
      <c r="F415" s="545">
        <v>43.30952380952381</v>
      </c>
      <c r="G415" s="545">
        <v>36.950000000000003</v>
      </c>
      <c r="H415" s="545">
        <v>6.333333333333333</v>
      </c>
      <c r="I415" s="545">
        <v>6</v>
      </c>
      <c r="J415" s="545">
        <v>28.154761904761905</v>
      </c>
    </row>
    <row r="416" spans="1:10">
      <c r="A416" s="441">
        <v>8287</v>
      </c>
      <c r="B416" s="441" t="s">
        <v>1689</v>
      </c>
      <c r="C416" s="545">
        <v>1.8333333333333333</v>
      </c>
      <c r="D416" s="545">
        <v>1.3333333333333333</v>
      </c>
      <c r="E416" s="545">
        <v>2.3333333333333335</v>
      </c>
      <c r="F416" s="545">
        <v>1.8333333333333335</v>
      </c>
      <c r="G416" s="545">
        <v>1.95</v>
      </c>
      <c r="H416" s="545">
        <v>0.66666666666666663</v>
      </c>
      <c r="I416" s="545">
        <v>0.66666666666666663</v>
      </c>
      <c r="J416" s="545">
        <v>1.5833333333333333</v>
      </c>
    </row>
    <row r="417" spans="1:10">
      <c r="A417" s="441">
        <v>7758</v>
      </c>
      <c r="B417" s="441" t="s">
        <v>1690</v>
      </c>
      <c r="C417" s="545">
        <v>31</v>
      </c>
      <c r="D417" s="545">
        <v>12</v>
      </c>
      <c r="E417" s="545">
        <v>8</v>
      </c>
      <c r="F417" s="545">
        <v>25</v>
      </c>
      <c r="G417" s="545">
        <v>16.45</v>
      </c>
      <c r="H417" s="545">
        <v>11.666666666666666</v>
      </c>
      <c r="I417" s="545">
        <v>7</v>
      </c>
      <c r="J417" s="545">
        <v>14.416666666666668</v>
      </c>
    </row>
    <row r="418" spans="1:10">
      <c r="A418" s="441">
        <v>7775</v>
      </c>
      <c r="B418" s="441" t="s">
        <v>1690</v>
      </c>
      <c r="C418" s="545">
        <v>16.666666666666668</v>
      </c>
      <c r="D418" s="545">
        <v>11</v>
      </c>
      <c r="E418" s="545">
        <v>5</v>
      </c>
      <c r="F418" s="545">
        <v>14.190476190476192</v>
      </c>
      <c r="G418" s="545">
        <v>14.95</v>
      </c>
      <c r="H418" s="545">
        <v>10.666666666666666</v>
      </c>
      <c r="I418" s="545">
        <v>7.666666666666667</v>
      </c>
      <c r="J418" s="545">
        <v>13.297619047619049</v>
      </c>
    </row>
    <row r="419" spans="1:10">
      <c r="A419" s="441">
        <v>10748</v>
      </c>
      <c r="B419" s="441" t="s">
        <v>1691</v>
      </c>
      <c r="C419" s="545">
        <v>4.333333333333333</v>
      </c>
      <c r="D419" s="545">
        <v>2.3333333333333335</v>
      </c>
      <c r="E419" s="545">
        <v>1.6666666666666665</v>
      </c>
      <c r="F419" s="545">
        <v>3.6666666666666665</v>
      </c>
      <c r="G419" s="545">
        <v>2.2000000000000002</v>
      </c>
      <c r="H419" s="545">
        <v>0.33333333333333331</v>
      </c>
      <c r="I419" s="545">
        <v>2</v>
      </c>
      <c r="J419" s="545">
        <v>1.9047619047619049</v>
      </c>
    </row>
    <row r="420" spans="1:10">
      <c r="A420" s="441">
        <v>10765</v>
      </c>
      <c r="B420" s="441" t="s">
        <v>1691</v>
      </c>
      <c r="C420" s="545">
        <v>3.5</v>
      </c>
      <c r="D420" s="545">
        <v>2</v>
      </c>
      <c r="E420" s="545">
        <v>0.66666666666666663</v>
      </c>
      <c r="F420" s="545">
        <v>2.8809523809523809</v>
      </c>
      <c r="G420" s="545">
        <v>2</v>
      </c>
      <c r="H420" s="545">
        <v>0</v>
      </c>
      <c r="I420" s="545">
        <v>2.3333333333333335</v>
      </c>
      <c r="J420" s="545">
        <v>1.7619047619047621</v>
      </c>
    </row>
    <row r="421" spans="1:10">
      <c r="A421" s="441">
        <v>8847</v>
      </c>
      <c r="B421" s="441" t="s">
        <v>1692</v>
      </c>
      <c r="C421" s="545">
        <v>69.333333333333329</v>
      </c>
      <c r="D421" s="545">
        <v>32</v>
      </c>
      <c r="E421" s="545">
        <v>42.333333333333336</v>
      </c>
      <c r="F421" s="545">
        <v>60.142857142857132</v>
      </c>
      <c r="G421" s="545">
        <v>37.049999999999997</v>
      </c>
      <c r="H421" s="545">
        <v>24.666666666666668</v>
      </c>
      <c r="I421" s="545">
        <v>25.333333333333332</v>
      </c>
      <c r="J421" s="545">
        <v>33.607142857142854</v>
      </c>
    </row>
    <row r="422" spans="1:10">
      <c r="A422" s="441">
        <v>10744</v>
      </c>
      <c r="B422" s="441" t="s">
        <v>1693</v>
      </c>
      <c r="C422" s="545">
        <v>12.166666666666668</v>
      </c>
      <c r="D422" s="545">
        <v>8.3333333333333321</v>
      </c>
      <c r="E422" s="545">
        <v>5.3333333333333339</v>
      </c>
      <c r="F422" s="545">
        <v>10.642857142857142</v>
      </c>
      <c r="G422" s="545">
        <v>10.5</v>
      </c>
      <c r="H422" s="545">
        <v>5.333333333333333</v>
      </c>
      <c r="I422" s="545">
        <v>8</v>
      </c>
      <c r="J422" s="545">
        <v>9.4047619047619069</v>
      </c>
    </row>
    <row r="423" spans="1:10">
      <c r="A423" s="441">
        <v>10769</v>
      </c>
      <c r="B423" s="441" t="s">
        <v>1693</v>
      </c>
      <c r="C423" s="545">
        <v>7.833333333333333</v>
      </c>
      <c r="D423" s="545">
        <v>11.666666666666666</v>
      </c>
      <c r="E423" s="545">
        <v>10.333333333333334</v>
      </c>
      <c r="F423" s="545">
        <v>8.7380952380952372</v>
      </c>
      <c r="G423" s="545">
        <v>10.3</v>
      </c>
      <c r="H423" s="545">
        <v>3.6666666666666665</v>
      </c>
      <c r="I423" s="545">
        <v>4.666666666666667</v>
      </c>
      <c r="J423" s="545">
        <v>8.5476190476190474</v>
      </c>
    </row>
    <row r="424" spans="1:10">
      <c r="A424" s="441">
        <v>8273</v>
      </c>
      <c r="B424" s="441" t="s">
        <v>1694</v>
      </c>
      <c r="C424" s="545">
        <v>10.333333333333334</v>
      </c>
      <c r="D424" s="545">
        <v>4</v>
      </c>
      <c r="E424" s="545">
        <v>7</v>
      </c>
      <c r="F424" s="545">
        <v>8.9523809523809526</v>
      </c>
      <c r="G424" s="545">
        <v>7.85</v>
      </c>
      <c r="H424" s="545">
        <v>6</v>
      </c>
      <c r="I424" s="545">
        <v>7.333333333333333</v>
      </c>
      <c r="J424" s="545">
        <v>7.5119047619047619</v>
      </c>
    </row>
    <row r="425" spans="1:10">
      <c r="A425" s="441">
        <v>8279</v>
      </c>
      <c r="B425" s="441" t="s">
        <v>1694</v>
      </c>
      <c r="C425" s="545">
        <v>8.6666666666666661</v>
      </c>
      <c r="D425" s="545">
        <v>3.666666666666667</v>
      </c>
      <c r="E425" s="545">
        <v>9</v>
      </c>
      <c r="F425" s="545">
        <v>7.9999999999999991</v>
      </c>
      <c r="G425" s="545">
        <v>9.85</v>
      </c>
      <c r="H425" s="545">
        <v>7.666666666666667</v>
      </c>
      <c r="I425" s="545">
        <v>6</v>
      </c>
      <c r="J425" s="545">
        <v>8.9880952380952372</v>
      </c>
    </row>
    <row r="426" spans="1:10">
      <c r="A426" s="441">
        <v>8268</v>
      </c>
      <c r="B426" s="441" t="s">
        <v>1695</v>
      </c>
      <c r="C426" s="545">
        <v>37.166666666666671</v>
      </c>
      <c r="D426" s="545">
        <v>24.333333333333336</v>
      </c>
      <c r="E426" s="545">
        <v>22.666666666666668</v>
      </c>
      <c r="F426" s="545">
        <v>33.261904761904766</v>
      </c>
      <c r="G426" s="545">
        <v>27.6</v>
      </c>
      <c r="H426" s="545">
        <v>23.333333333333332</v>
      </c>
      <c r="I426" s="545">
        <v>19.333333333333332</v>
      </c>
      <c r="J426" s="545">
        <v>25.809523809523814</v>
      </c>
    </row>
    <row r="427" spans="1:10">
      <c r="A427" s="441">
        <v>8284</v>
      </c>
      <c r="B427" s="441" t="s">
        <v>1695</v>
      </c>
      <c r="C427" s="545">
        <v>33.166666666666671</v>
      </c>
      <c r="D427" s="545">
        <v>25.333333333333332</v>
      </c>
      <c r="E427" s="545">
        <v>23.333333333333336</v>
      </c>
      <c r="F427" s="545">
        <v>30.642857142857149</v>
      </c>
      <c r="G427" s="545">
        <v>26.4</v>
      </c>
      <c r="H427" s="545">
        <v>22</v>
      </c>
      <c r="I427" s="545">
        <v>14.333333333333334</v>
      </c>
      <c r="J427" s="545">
        <v>24.047619047619047</v>
      </c>
    </row>
    <row r="428" spans="1:10">
      <c r="A428" s="441">
        <v>10749</v>
      </c>
      <c r="B428" s="441" t="s">
        <v>1696</v>
      </c>
      <c r="C428" s="545">
        <v>7.1666666666666661</v>
      </c>
      <c r="D428" s="545">
        <v>8</v>
      </c>
      <c r="E428" s="545">
        <v>3.666666666666667</v>
      </c>
      <c r="F428" s="545">
        <v>6.7857142857142847</v>
      </c>
      <c r="G428" s="545">
        <v>4.3</v>
      </c>
      <c r="H428" s="545">
        <v>2</v>
      </c>
      <c r="I428" s="545">
        <v>3.6666666666666665</v>
      </c>
      <c r="J428" s="545">
        <v>3.8809523809523809</v>
      </c>
    </row>
    <row r="429" spans="1:10">
      <c r="A429" s="441">
        <v>10764</v>
      </c>
      <c r="B429" s="441" t="s">
        <v>1696</v>
      </c>
      <c r="C429" s="545">
        <v>7</v>
      </c>
      <c r="D429" s="545">
        <v>4.666666666666667</v>
      </c>
      <c r="E429" s="545">
        <v>5</v>
      </c>
      <c r="F429" s="545">
        <v>6.3809523809523805</v>
      </c>
      <c r="G429" s="545">
        <v>3.95</v>
      </c>
      <c r="H429" s="545">
        <v>1.6666666666666667</v>
      </c>
      <c r="I429" s="545">
        <v>2.3333333333333335</v>
      </c>
      <c r="J429" s="545">
        <v>3.3928571428571428</v>
      </c>
    </row>
    <row r="430" spans="1:10">
      <c r="A430" s="441">
        <v>8580</v>
      </c>
      <c r="B430" s="441" t="s">
        <v>1697</v>
      </c>
      <c r="C430" s="545">
        <v>17.166666666666668</v>
      </c>
      <c r="D430" s="545">
        <v>15.666666666666666</v>
      </c>
      <c r="E430" s="545">
        <v>16</v>
      </c>
      <c r="F430" s="545">
        <v>16.785714285714288</v>
      </c>
      <c r="G430" s="545">
        <v>17.600000000000001</v>
      </c>
      <c r="H430" s="545">
        <v>12</v>
      </c>
      <c r="I430" s="545">
        <v>14.666666666666666</v>
      </c>
      <c r="J430" s="545">
        <v>16.380952380952383</v>
      </c>
    </row>
    <row r="431" spans="1:10">
      <c r="A431" s="441">
        <v>8582</v>
      </c>
      <c r="B431" s="441" t="s">
        <v>1697</v>
      </c>
      <c r="C431" s="545">
        <v>30.5</v>
      </c>
      <c r="D431" s="545">
        <v>39.333333333333329</v>
      </c>
      <c r="E431" s="545">
        <v>41.666666666666664</v>
      </c>
      <c r="F431" s="545">
        <v>33.357142857142854</v>
      </c>
      <c r="G431" s="545">
        <v>26.65</v>
      </c>
      <c r="H431" s="545">
        <v>17</v>
      </c>
      <c r="I431" s="545">
        <v>15.333333333333334</v>
      </c>
      <c r="J431" s="545">
        <v>23.654761904761905</v>
      </c>
    </row>
    <row r="432" spans="1:10">
      <c r="A432" s="441">
        <v>7759</v>
      </c>
      <c r="B432" s="441" t="s">
        <v>1698</v>
      </c>
      <c r="C432" s="545">
        <v>19.166666666666668</v>
      </c>
      <c r="D432" s="545">
        <v>2.3333333333333335</v>
      </c>
      <c r="E432" s="545">
        <v>2</v>
      </c>
      <c r="F432" s="545">
        <v>14.30952380952381</v>
      </c>
      <c r="G432" s="545">
        <v>5.7</v>
      </c>
      <c r="H432" s="545">
        <v>0.66666666666666663</v>
      </c>
      <c r="I432" s="545">
        <v>1</v>
      </c>
      <c r="J432" s="545">
        <v>4.3095238095238093</v>
      </c>
    </row>
    <row r="433" spans="1:10">
      <c r="A433" s="441">
        <v>7773</v>
      </c>
      <c r="B433" s="441" t="s">
        <v>1698</v>
      </c>
      <c r="C433" s="545">
        <v>4.833333333333333</v>
      </c>
      <c r="D433" s="545">
        <v>1</v>
      </c>
      <c r="E433" s="545">
        <v>0</v>
      </c>
      <c r="F433" s="545">
        <v>3.5952380952380949</v>
      </c>
      <c r="G433" s="545">
        <v>4.05</v>
      </c>
      <c r="H433" s="545">
        <v>0.66666666666666663</v>
      </c>
      <c r="I433" s="545">
        <v>1.3333333333333333</v>
      </c>
      <c r="J433" s="545">
        <v>3.1785714285714284</v>
      </c>
    </row>
    <row r="434" spans="1:10">
      <c r="A434" s="441">
        <v>8274</v>
      </c>
      <c r="B434" s="441" t="s">
        <v>1699</v>
      </c>
      <c r="C434" s="545">
        <v>7.6666666666666661</v>
      </c>
      <c r="D434" s="545">
        <v>5.333333333333333</v>
      </c>
      <c r="E434" s="545">
        <v>4.6666666666666661</v>
      </c>
      <c r="F434" s="545">
        <v>6.9047619047619042</v>
      </c>
      <c r="G434" s="545">
        <v>6.75</v>
      </c>
      <c r="H434" s="545">
        <v>4</v>
      </c>
      <c r="I434" s="545">
        <v>5</v>
      </c>
      <c r="J434" s="545">
        <v>6.1071428571428568</v>
      </c>
    </row>
    <row r="435" spans="1:10">
      <c r="A435" s="441">
        <v>8278</v>
      </c>
      <c r="B435" s="441" t="s">
        <v>1699</v>
      </c>
      <c r="C435" s="545">
        <v>8.5</v>
      </c>
      <c r="D435" s="545">
        <v>4.666666666666667</v>
      </c>
      <c r="E435" s="545">
        <v>7.3333333333333339</v>
      </c>
      <c r="F435" s="545">
        <v>7.7857142857142856</v>
      </c>
      <c r="G435" s="545">
        <v>7.6</v>
      </c>
      <c r="H435" s="545">
        <v>3.3333333333333335</v>
      </c>
      <c r="I435" s="545">
        <v>6.666666666666667</v>
      </c>
      <c r="J435" s="545">
        <v>6.8571428571428568</v>
      </c>
    </row>
    <row r="436" spans="1:10">
      <c r="A436" s="441">
        <v>10743</v>
      </c>
      <c r="B436" s="441" t="s">
        <v>1700</v>
      </c>
      <c r="C436" s="545">
        <v>3.5</v>
      </c>
      <c r="D436" s="545">
        <v>3</v>
      </c>
      <c r="E436" s="545">
        <v>2</v>
      </c>
      <c r="F436" s="545">
        <v>3.2142857142857144</v>
      </c>
      <c r="G436" s="545">
        <v>4.4000000000000004</v>
      </c>
      <c r="H436" s="545">
        <v>3.6666666666666665</v>
      </c>
      <c r="I436" s="545">
        <v>3.3333333333333335</v>
      </c>
      <c r="J436" s="545">
        <v>4.1428571428571432</v>
      </c>
    </row>
    <row r="437" spans="1:10">
      <c r="A437" s="441">
        <v>10770</v>
      </c>
      <c r="B437" s="441" t="s">
        <v>1700</v>
      </c>
      <c r="C437" s="545">
        <v>2.8333333333333335</v>
      </c>
      <c r="D437" s="545">
        <v>2</v>
      </c>
      <c r="E437" s="545">
        <v>1.3333333333333333</v>
      </c>
      <c r="F437" s="545">
        <v>2.5</v>
      </c>
      <c r="G437" s="545">
        <v>5.45</v>
      </c>
      <c r="H437" s="545">
        <v>5.666666666666667</v>
      </c>
      <c r="I437" s="545">
        <v>5</v>
      </c>
      <c r="J437" s="545">
        <v>5.4166666666666661</v>
      </c>
    </row>
    <row r="438" spans="1:10">
      <c r="A438" s="441">
        <v>10751</v>
      </c>
      <c r="B438" s="441" t="s">
        <v>1701</v>
      </c>
      <c r="C438" s="545">
        <v>6.166666666666667</v>
      </c>
      <c r="D438" s="545">
        <v>6</v>
      </c>
      <c r="E438" s="545">
        <v>5</v>
      </c>
      <c r="F438" s="545">
        <v>5.9761904761904763</v>
      </c>
      <c r="G438" s="545">
        <v>4.1500000000000004</v>
      </c>
      <c r="H438" s="545">
        <v>2</v>
      </c>
      <c r="I438" s="545">
        <v>3.3333333333333335</v>
      </c>
      <c r="J438" s="545">
        <v>3.7261904761904758</v>
      </c>
    </row>
    <row r="439" spans="1:10">
      <c r="A439" s="441">
        <v>10762</v>
      </c>
      <c r="B439" s="441" t="s">
        <v>1701</v>
      </c>
      <c r="C439" s="545">
        <v>7.1666666666666661</v>
      </c>
      <c r="D439" s="545">
        <v>5.333333333333333</v>
      </c>
      <c r="E439" s="545">
        <v>3</v>
      </c>
      <c r="F439" s="545">
        <v>6.3095238095238093</v>
      </c>
      <c r="G439" s="545">
        <v>4.6500000000000004</v>
      </c>
      <c r="H439" s="545">
        <v>2</v>
      </c>
      <c r="I439" s="545">
        <v>1.3333333333333333</v>
      </c>
      <c r="J439" s="545">
        <v>3.7976190476190474</v>
      </c>
    </row>
    <row r="440" spans="1:10">
      <c r="A440" s="441">
        <v>7763</v>
      </c>
      <c r="B440" s="441" t="s">
        <v>1702</v>
      </c>
      <c r="C440" s="545">
        <v>151.66666666666666</v>
      </c>
      <c r="D440" s="545">
        <v>108.66666666666666</v>
      </c>
      <c r="E440" s="545">
        <v>96.333333333333343</v>
      </c>
      <c r="F440" s="545">
        <v>137.61904761904762</v>
      </c>
      <c r="G440" s="545">
        <v>74.650000000000006</v>
      </c>
      <c r="H440" s="545">
        <v>58</v>
      </c>
      <c r="I440" s="545">
        <v>53.666666666666664</v>
      </c>
      <c r="J440" s="545">
        <v>69.273809523809533</v>
      </c>
    </row>
    <row r="441" spans="1:10">
      <c r="A441" s="441">
        <v>7769</v>
      </c>
      <c r="B441" s="441" t="s">
        <v>1702</v>
      </c>
      <c r="C441" s="545">
        <v>165.5</v>
      </c>
      <c r="D441" s="545">
        <v>112</v>
      </c>
      <c r="E441" s="545">
        <v>115.33333333333334</v>
      </c>
      <c r="F441" s="545">
        <v>150.69047619047618</v>
      </c>
      <c r="G441" s="545">
        <v>78.150000000000006</v>
      </c>
      <c r="H441" s="545">
        <v>52.666666666666664</v>
      </c>
      <c r="I441" s="545">
        <v>52</v>
      </c>
      <c r="J441" s="545">
        <v>70.773809523809533</v>
      </c>
    </row>
    <row r="442" spans="1:10">
      <c r="A442" s="441">
        <v>8289</v>
      </c>
      <c r="B442" s="441" t="s">
        <v>1703</v>
      </c>
      <c r="C442" s="545">
        <v>28.166666666666664</v>
      </c>
      <c r="D442" s="545">
        <v>12.666666666666666</v>
      </c>
      <c r="E442" s="545">
        <v>12.666666666666668</v>
      </c>
      <c r="F442" s="545">
        <v>23.738095238095234</v>
      </c>
      <c r="G442" s="545">
        <v>15.65</v>
      </c>
      <c r="H442" s="545">
        <v>8</v>
      </c>
      <c r="I442" s="545">
        <v>12.333333333333334</v>
      </c>
      <c r="J442" s="545">
        <v>14.083333333333332</v>
      </c>
    </row>
    <row r="443" spans="1:10">
      <c r="A443" s="441">
        <v>10754</v>
      </c>
      <c r="B443" s="441" t="s">
        <v>1704</v>
      </c>
      <c r="C443" s="545">
        <v>6.166666666666667</v>
      </c>
      <c r="D443" s="545">
        <v>3.3333333333333335</v>
      </c>
      <c r="E443" s="545">
        <v>2</v>
      </c>
      <c r="F443" s="545">
        <v>5.166666666666667</v>
      </c>
      <c r="G443" s="545">
        <v>2.9</v>
      </c>
      <c r="H443" s="545">
        <v>1.6666666666666667</v>
      </c>
      <c r="I443" s="545">
        <v>2.6666666666666665</v>
      </c>
      <c r="J443" s="545">
        <v>2.6904761904761907</v>
      </c>
    </row>
    <row r="444" spans="1:10">
      <c r="A444" s="441">
        <v>10759</v>
      </c>
      <c r="B444" s="441" t="s">
        <v>1704</v>
      </c>
      <c r="C444" s="545">
        <v>9.1666666666666661</v>
      </c>
      <c r="D444" s="545">
        <v>6.3333333333333339</v>
      </c>
      <c r="E444" s="545">
        <v>4.666666666666667</v>
      </c>
      <c r="F444" s="545">
        <v>8.1190476190476186</v>
      </c>
      <c r="G444" s="545">
        <v>3.2</v>
      </c>
      <c r="H444" s="545">
        <v>1.3333333333333333</v>
      </c>
      <c r="I444" s="545">
        <v>3</v>
      </c>
      <c r="J444" s="545">
        <v>2.9047619047619047</v>
      </c>
    </row>
    <row r="445" spans="1:10">
      <c r="A445" s="441">
        <v>8272</v>
      </c>
      <c r="B445" s="441" t="s">
        <v>1705</v>
      </c>
      <c r="C445" s="545">
        <v>12.5</v>
      </c>
      <c r="D445" s="545">
        <v>8.3333333333333321</v>
      </c>
      <c r="E445" s="545">
        <v>11.333333333333334</v>
      </c>
      <c r="F445" s="545">
        <v>11.738095238095237</v>
      </c>
      <c r="G445" s="545">
        <v>11.85</v>
      </c>
      <c r="H445" s="545">
        <v>5</v>
      </c>
      <c r="I445" s="545">
        <v>5.666666666666667</v>
      </c>
      <c r="J445" s="545">
        <v>9.988095238095239</v>
      </c>
    </row>
    <row r="446" spans="1:10">
      <c r="A446" s="441">
        <v>8280</v>
      </c>
      <c r="B446" s="441" t="s">
        <v>1705</v>
      </c>
      <c r="C446" s="545">
        <v>12</v>
      </c>
      <c r="D446" s="545">
        <v>12.333333333333332</v>
      </c>
      <c r="E446" s="545">
        <v>6.333333333333333</v>
      </c>
      <c r="F446" s="545">
        <v>11.238095238095237</v>
      </c>
      <c r="G446" s="545">
        <v>8.1</v>
      </c>
      <c r="H446" s="545">
        <v>4.333333333333333</v>
      </c>
      <c r="I446" s="545">
        <v>6.666666666666667</v>
      </c>
      <c r="J446" s="545">
        <v>7.3571428571428568</v>
      </c>
    </row>
    <row r="447" spans="1:10">
      <c r="A447" s="441">
        <v>10753</v>
      </c>
      <c r="B447" s="441" t="s">
        <v>1706</v>
      </c>
      <c r="C447" s="545">
        <v>12.166666666666668</v>
      </c>
      <c r="D447" s="545">
        <v>6.6666666666666661</v>
      </c>
      <c r="E447" s="545">
        <v>9.3333333333333321</v>
      </c>
      <c r="F447" s="545">
        <v>10.976190476190478</v>
      </c>
      <c r="G447" s="545">
        <v>8.5500000000000007</v>
      </c>
      <c r="H447" s="545">
        <v>7.666666666666667</v>
      </c>
      <c r="I447" s="545">
        <v>4.333333333333333</v>
      </c>
      <c r="J447" s="545">
        <v>7.8214285714285712</v>
      </c>
    </row>
    <row r="448" spans="1:10">
      <c r="A448" s="441">
        <v>10760</v>
      </c>
      <c r="B448" s="441" t="s">
        <v>1706</v>
      </c>
      <c r="C448" s="545">
        <v>7.333333333333333</v>
      </c>
      <c r="D448" s="545">
        <v>6.6666666666666661</v>
      </c>
      <c r="E448" s="545">
        <v>10</v>
      </c>
      <c r="F448" s="545">
        <v>7.6190476190476186</v>
      </c>
      <c r="G448" s="545">
        <v>6.3</v>
      </c>
      <c r="H448" s="545">
        <v>5</v>
      </c>
      <c r="I448" s="545">
        <v>4</v>
      </c>
      <c r="J448" s="545">
        <v>5.7857142857142856</v>
      </c>
    </row>
    <row r="449" spans="1:10">
      <c r="A449" s="441">
        <v>10752</v>
      </c>
      <c r="B449" s="441" t="s">
        <v>1707</v>
      </c>
      <c r="C449" s="545">
        <v>8.5</v>
      </c>
      <c r="D449" s="545">
        <v>4.666666666666667</v>
      </c>
      <c r="E449" s="545">
        <v>7.3333333333333339</v>
      </c>
      <c r="F449" s="545">
        <v>7.7857142857142856</v>
      </c>
      <c r="G449" s="545">
        <v>6.55</v>
      </c>
      <c r="H449" s="545">
        <v>2.6666666666666665</v>
      </c>
      <c r="I449" s="545">
        <v>2.3333333333333335</v>
      </c>
      <c r="J449" s="545">
        <v>5.3928571428571432</v>
      </c>
    </row>
    <row r="450" spans="1:10">
      <c r="A450" s="441">
        <v>10761</v>
      </c>
      <c r="B450" s="441" t="s">
        <v>1707</v>
      </c>
      <c r="C450" s="545">
        <v>8</v>
      </c>
      <c r="D450" s="545">
        <v>3.666666666666667</v>
      </c>
      <c r="E450" s="545">
        <v>4.666666666666667</v>
      </c>
      <c r="F450" s="545">
        <v>6.9047619047619042</v>
      </c>
      <c r="G450" s="545">
        <v>6.65</v>
      </c>
      <c r="H450" s="545">
        <v>2</v>
      </c>
      <c r="I450" s="545">
        <v>2</v>
      </c>
      <c r="J450" s="545">
        <v>5.3214285714285712</v>
      </c>
    </row>
    <row r="451" spans="1:10">
      <c r="A451" s="441">
        <v>8579</v>
      </c>
      <c r="B451" s="441" t="s">
        <v>1708</v>
      </c>
      <c r="C451" s="545">
        <v>9.6666666666666661</v>
      </c>
      <c r="D451" s="545">
        <v>3.6666666666666665</v>
      </c>
      <c r="E451" s="545">
        <v>5.3333333333333339</v>
      </c>
      <c r="F451" s="545">
        <v>8.1904761904761898</v>
      </c>
      <c r="G451" s="545">
        <v>9.1</v>
      </c>
      <c r="H451" s="545">
        <v>5.333333333333333</v>
      </c>
      <c r="I451" s="545">
        <v>4</v>
      </c>
      <c r="J451" s="545">
        <v>7.8333333333333339</v>
      </c>
    </row>
    <row r="452" spans="1:10">
      <c r="A452" s="441">
        <v>2398</v>
      </c>
      <c r="B452" s="441" t="s">
        <v>1709</v>
      </c>
      <c r="C452" s="545">
        <v>97.5</v>
      </c>
      <c r="D452" s="545">
        <v>62.666666666666664</v>
      </c>
      <c r="E452" s="545">
        <v>46.333333333333336</v>
      </c>
      <c r="F452" s="545">
        <v>85.214285714285708</v>
      </c>
      <c r="G452" s="545">
        <v>44.25</v>
      </c>
      <c r="H452" s="545">
        <v>46.666666666666664</v>
      </c>
      <c r="I452" s="545">
        <v>26</v>
      </c>
      <c r="J452" s="545">
        <v>41.988095238095241</v>
      </c>
    </row>
    <row r="453" spans="1:10">
      <c r="A453" s="441">
        <v>8846</v>
      </c>
      <c r="B453" s="441" t="s">
        <v>1709</v>
      </c>
      <c r="C453" s="545">
        <v>134.16666666666666</v>
      </c>
      <c r="D453" s="545">
        <v>91.666666666666671</v>
      </c>
      <c r="E453" s="545">
        <v>80.666666666666671</v>
      </c>
      <c r="F453" s="545">
        <v>120.45238095238093</v>
      </c>
      <c r="G453" s="545">
        <v>73.650000000000006</v>
      </c>
      <c r="H453" s="545">
        <v>70.333333333333329</v>
      </c>
      <c r="I453" s="545">
        <v>56.666666666666664</v>
      </c>
      <c r="J453" s="545">
        <v>70.75</v>
      </c>
    </row>
    <row r="454" spans="1:10">
      <c r="A454" s="441">
        <v>10747</v>
      </c>
      <c r="B454" s="441" t="s">
        <v>1710</v>
      </c>
      <c r="C454" s="545">
        <v>21.666666666666668</v>
      </c>
      <c r="D454" s="545">
        <v>14.333333333333334</v>
      </c>
      <c r="E454" s="545">
        <v>11.666666666666668</v>
      </c>
      <c r="F454" s="545">
        <v>19.190476190476193</v>
      </c>
      <c r="G454" s="545">
        <v>13.25</v>
      </c>
      <c r="H454" s="545">
        <v>7.333333333333333</v>
      </c>
      <c r="I454" s="545">
        <v>7.333333333333333</v>
      </c>
      <c r="J454" s="545">
        <v>11.559523809523808</v>
      </c>
    </row>
    <row r="455" spans="1:10">
      <c r="A455" s="441">
        <v>10766</v>
      </c>
      <c r="B455" s="441" t="s">
        <v>1710</v>
      </c>
      <c r="C455" s="545">
        <v>19.166666666666668</v>
      </c>
      <c r="D455" s="545">
        <v>10.666666666666668</v>
      </c>
      <c r="E455" s="545">
        <v>10.333333333333334</v>
      </c>
      <c r="F455" s="545">
        <v>16.690476190476193</v>
      </c>
      <c r="G455" s="545">
        <v>9.4</v>
      </c>
      <c r="H455" s="545">
        <v>3.6666666666666665</v>
      </c>
      <c r="I455" s="545">
        <v>6.333333333333333</v>
      </c>
      <c r="J455" s="545">
        <v>8.1428571428571423</v>
      </c>
    </row>
    <row r="456" spans="1:10">
      <c r="A456" s="441">
        <v>8845</v>
      </c>
      <c r="B456" s="441" t="s">
        <v>1711</v>
      </c>
      <c r="C456" s="545">
        <v>102.83333333333333</v>
      </c>
      <c r="D456" s="545">
        <v>49.666666666666671</v>
      </c>
      <c r="E456" s="545">
        <v>54.333333333333329</v>
      </c>
      <c r="F456" s="545">
        <v>88.30952380952381</v>
      </c>
      <c r="G456" s="545">
        <v>47.7</v>
      </c>
      <c r="H456" s="545">
        <v>31</v>
      </c>
      <c r="I456" s="545">
        <v>20.333333333333332</v>
      </c>
      <c r="J456" s="545">
        <v>41.404761904761905</v>
      </c>
    </row>
    <row r="457" spans="1:10">
      <c r="A457" s="441">
        <v>7760</v>
      </c>
      <c r="B457" s="441" t="s">
        <v>1712</v>
      </c>
      <c r="C457" s="545">
        <v>29.833333333333332</v>
      </c>
      <c r="D457" s="545">
        <v>5</v>
      </c>
      <c r="E457" s="545">
        <v>3.666666666666667</v>
      </c>
      <c r="F457" s="545">
        <v>22.547619047619044</v>
      </c>
      <c r="G457" s="545">
        <v>34.9</v>
      </c>
      <c r="H457" s="545">
        <v>7.666666666666667</v>
      </c>
      <c r="I457" s="545">
        <v>1.6666666666666667</v>
      </c>
      <c r="J457" s="545">
        <v>26.261904761904759</v>
      </c>
    </row>
    <row r="458" spans="1:10">
      <c r="A458" s="441">
        <v>7774</v>
      </c>
      <c r="B458" s="441" t="s">
        <v>1713</v>
      </c>
      <c r="C458" s="545">
        <v>5.5</v>
      </c>
      <c r="D458" s="545">
        <v>3.6666666666666665</v>
      </c>
      <c r="E458" s="545">
        <v>2</v>
      </c>
      <c r="F458" s="545">
        <v>4.738095238095239</v>
      </c>
      <c r="G458" s="545">
        <v>3.2</v>
      </c>
      <c r="H458" s="545">
        <v>2.3333333333333335</v>
      </c>
      <c r="I458" s="545">
        <v>1.6666666666666667</v>
      </c>
      <c r="J458" s="545">
        <v>2.8571428571428572</v>
      </c>
    </row>
    <row r="459" spans="1:10">
      <c r="A459" s="441">
        <v>7764</v>
      </c>
      <c r="B459" s="441" t="s">
        <v>1714</v>
      </c>
      <c r="C459" s="545">
        <v>93.333333333333343</v>
      </c>
      <c r="D459" s="545">
        <v>49.666666666666664</v>
      </c>
      <c r="E459" s="545">
        <v>50</v>
      </c>
      <c r="F459" s="545">
        <v>80.904761904761912</v>
      </c>
      <c r="G459" s="545">
        <v>43.7</v>
      </c>
      <c r="H459" s="545">
        <v>31</v>
      </c>
      <c r="I459" s="545">
        <v>26.666666666666668</v>
      </c>
      <c r="J459" s="545">
        <v>39.452380952380956</v>
      </c>
    </row>
    <row r="460" spans="1:10">
      <c r="A460" s="441">
        <v>7768</v>
      </c>
      <c r="B460" s="441" t="s">
        <v>1714</v>
      </c>
      <c r="C460" s="545">
        <v>100.5</v>
      </c>
      <c r="D460" s="545">
        <v>60.333333333333336</v>
      </c>
      <c r="E460" s="545">
        <v>54.333333333333329</v>
      </c>
      <c r="F460" s="545">
        <v>88.166666666666671</v>
      </c>
      <c r="G460" s="545">
        <v>47.6</v>
      </c>
      <c r="H460" s="545">
        <v>33.333333333333336</v>
      </c>
      <c r="I460" s="545">
        <v>35</v>
      </c>
      <c r="J460" s="545">
        <v>43.761904761904759</v>
      </c>
    </row>
    <row r="461" spans="1:10">
      <c r="A461" s="441">
        <v>2400</v>
      </c>
      <c r="B461" s="441" t="s">
        <v>1715</v>
      </c>
      <c r="C461" s="545">
        <v>41.166666666666671</v>
      </c>
      <c r="D461" s="545">
        <v>24.666666666666664</v>
      </c>
      <c r="E461" s="545">
        <v>17.333333333333332</v>
      </c>
      <c r="F461" s="545">
        <v>35.404761904761912</v>
      </c>
      <c r="G461" s="545">
        <v>27.55</v>
      </c>
      <c r="H461" s="545">
        <v>17</v>
      </c>
      <c r="I461" s="545">
        <v>16.333333333333332</v>
      </c>
      <c r="J461" s="545">
        <v>24.440476190476193</v>
      </c>
    </row>
    <row r="462" spans="1:10">
      <c r="A462" s="441">
        <v>8844</v>
      </c>
      <c r="B462" s="441" t="s">
        <v>1715</v>
      </c>
      <c r="C462" s="545">
        <v>27.666666666666664</v>
      </c>
      <c r="D462" s="545">
        <v>17</v>
      </c>
      <c r="E462" s="545">
        <v>15</v>
      </c>
      <c r="F462" s="545">
        <v>24.333333333333332</v>
      </c>
      <c r="G462" s="545">
        <v>16.45</v>
      </c>
      <c r="H462" s="545">
        <v>4.666666666666667</v>
      </c>
      <c r="I462" s="545">
        <v>5</v>
      </c>
      <c r="J462" s="545">
        <v>13.130952380952381</v>
      </c>
    </row>
    <row r="463" spans="1:10">
      <c r="A463" s="441">
        <v>12083</v>
      </c>
      <c r="B463" s="441" t="s">
        <v>1716</v>
      </c>
      <c r="C463" s="545">
        <v>45.5</v>
      </c>
      <c r="D463" s="545">
        <v>26</v>
      </c>
      <c r="E463" s="545">
        <v>29</v>
      </c>
      <c r="F463" s="545">
        <v>40.357142857142854</v>
      </c>
      <c r="G463" s="545">
        <v>31.25</v>
      </c>
      <c r="H463" s="545">
        <v>26</v>
      </c>
      <c r="I463" s="545">
        <v>26</v>
      </c>
      <c r="J463" s="545">
        <v>29.75</v>
      </c>
    </row>
    <row r="464" spans="1:10">
      <c r="A464" s="441">
        <v>7772</v>
      </c>
      <c r="B464" s="441" t="s">
        <v>1717</v>
      </c>
      <c r="C464" s="545">
        <v>67.5</v>
      </c>
      <c r="D464" s="545">
        <v>8.3333333333333321</v>
      </c>
      <c r="E464" s="545">
        <v>5.6666666666666661</v>
      </c>
      <c r="F464" s="545">
        <v>50.214285714285715</v>
      </c>
      <c r="G464" s="545">
        <v>42.3</v>
      </c>
      <c r="H464" s="545">
        <v>9.3333333333333339</v>
      </c>
      <c r="I464" s="545">
        <v>3.6666666666666665</v>
      </c>
      <c r="J464" s="545">
        <v>32.071428571428569</v>
      </c>
    </row>
    <row r="465" spans="1:10">
      <c r="A465" s="441">
        <v>8291</v>
      </c>
      <c r="B465" s="441" t="s">
        <v>1718</v>
      </c>
      <c r="C465" s="545">
        <v>276.33333333333331</v>
      </c>
      <c r="D465" s="545">
        <v>190</v>
      </c>
      <c r="E465" s="545">
        <v>153.66666666666669</v>
      </c>
      <c r="F465" s="545">
        <v>246.47619047619045</v>
      </c>
      <c r="G465" s="545">
        <v>197.5</v>
      </c>
      <c r="H465" s="545">
        <v>149.33333333333334</v>
      </c>
      <c r="I465" s="545">
        <v>112</v>
      </c>
      <c r="J465" s="545">
        <v>178.4047619047619</v>
      </c>
    </row>
    <row r="466" spans="1:10">
      <c r="A466" s="441">
        <v>8264</v>
      </c>
      <c r="B466" s="441" t="s">
        <v>1719</v>
      </c>
      <c r="C466" s="545">
        <v>17.666666666666664</v>
      </c>
      <c r="D466" s="545">
        <v>11</v>
      </c>
      <c r="E466" s="545">
        <v>11.666666666666666</v>
      </c>
      <c r="F466" s="545">
        <v>15.857142857142856</v>
      </c>
      <c r="G466" s="545">
        <v>11.25</v>
      </c>
      <c r="H466" s="545">
        <v>8.3333333333333339</v>
      </c>
      <c r="I466" s="545">
        <v>8</v>
      </c>
      <c r="J466" s="545">
        <v>10.369047619047619</v>
      </c>
    </row>
    <row r="467" spans="1:10">
      <c r="A467" s="441">
        <v>8288</v>
      </c>
      <c r="B467" s="441" t="s">
        <v>1719</v>
      </c>
      <c r="C467" s="545">
        <v>23.333333333333332</v>
      </c>
      <c r="D467" s="545">
        <v>17.333333333333332</v>
      </c>
      <c r="E467" s="545">
        <v>15.333333333333334</v>
      </c>
      <c r="F467" s="545">
        <v>21.333333333333336</v>
      </c>
      <c r="G467" s="545">
        <v>12.25</v>
      </c>
      <c r="H467" s="545">
        <v>10</v>
      </c>
      <c r="I467" s="545">
        <v>12.333333333333334</v>
      </c>
      <c r="J467" s="545">
        <v>11.94047619047619</v>
      </c>
    </row>
    <row r="468" spans="1:10">
      <c r="A468" s="441">
        <v>8265</v>
      </c>
      <c r="B468" s="441" t="s">
        <v>1720</v>
      </c>
      <c r="C468" s="545">
        <v>0.5</v>
      </c>
      <c r="D468" s="545">
        <v>1.3333333333333333</v>
      </c>
      <c r="E468" s="545">
        <v>2</v>
      </c>
      <c r="F468" s="545">
        <v>0.83333333333333326</v>
      </c>
      <c r="G468" s="545">
        <v>1.3</v>
      </c>
      <c r="H468" s="545">
        <v>0.33333333333333331</v>
      </c>
      <c r="I468" s="545">
        <v>0.33333333333333331</v>
      </c>
      <c r="J468" s="545">
        <v>1.0238095238095237</v>
      </c>
    </row>
    <row r="469" spans="1:10">
      <c r="A469" s="441">
        <v>8263</v>
      </c>
      <c r="B469" s="441" t="s">
        <v>1721</v>
      </c>
      <c r="C469" s="545">
        <v>68.333333333333329</v>
      </c>
      <c r="D469" s="545">
        <v>47</v>
      </c>
      <c r="E469" s="545">
        <v>37</v>
      </c>
      <c r="F469" s="545">
        <v>60.809523809523803</v>
      </c>
      <c r="G469" s="545">
        <v>39.85</v>
      </c>
      <c r="H469" s="545">
        <v>28</v>
      </c>
      <c r="I469" s="545">
        <v>25.666666666666668</v>
      </c>
      <c r="J469" s="545">
        <v>36.13095238095238</v>
      </c>
    </row>
    <row r="470" spans="1:10">
      <c r="A470" s="441">
        <v>8270</v>
      </c>
      <c r="B470" s="441" t="s">
        <v>1722</v>
      </c>
      <c r="C470" s="545">
        <v>21.5</v>
      </c>
      <c r="D470" s="545">
        <v>16</v>
      </c>
      <c r="E470" s="545">
        <v>11</v>
      </c>
      <c r="F470" s="545">
        <v>19.214285714285715</v>
      </c>
      <c r="G470" s="545">
        <v>13.3</v>
      </c>
      <c r="H470" s="545">
        <v>11.333333333333334</v>
      </c>
      <c r="I470" s="545">
        <v>10</v>
      </c>
      <c r="J470" s="545">
        <v>12.547619047619047</v>
      </c>
    </row>
    <row r="471" spans="1:10">
      <c r="A471" s="441">
        <v>8282</v>
      </c>
      <c r="B471" s="441" t="s">
        <v>1722</v>
      </c>
      <c r="C471" s="545">
        <v>28.333333333333332</v>
      </c>
      <c r="D471" s="545">
        <v>25</v>
      </c>
      <c r="E471" s="545">
        <v>18.666666666666668</v>
      </c>
      <c r="F471" s="545">
        <v>26.476190476190474</v>
      </c>
      <c r="G471" s="545">
        <v>16.7</v>
      </c>
      <c r="H471" s="545">
        <v>14</v>
      </c>
      <c r="I471" s="545">
        <v>11.333333333333334</v>
      </c>
      <c r="J471" s="545">
        <v>15.547619047619047</v>
      </c>
    </row>
    <row r="472" spans="1:10">
      <c r="A472" s="441">
        <v>8589</v>
      </c>
      <c r="B472" s="441" t="s">
        <v>1723</v>
      </c>
      <c r="C472" s="545">
        <v>36.333333333333329</v>
      </c>
      <c r="D472" s="545">
        <v>18.666666666666668</v>
      </c>
      <c r="E472" s="545">
        <v>12</v>
      </c>
      <c r="F472" s="545">
        <v>30.333333333333325</v>
      </c>
      <c r="G472" s="545">
        <v>28.2</v>
      </c>
      <c r="H472" s="545">
        <v>22.333333333333332</v>
      </c>
      <c r="I472" s="545">
        <v>23.333333333333332</v>
      </c>
      <c r="J472" s="545">
        <v>26.666666666666668</v>
      </c>
    </row>
    <row r="473" spans="1:10">
      <c r="A473" s="441">
        <v>8581</v>
      </c>
      <c r="B473" s="441" t="s">
        <v>1724</v>
      </c>
      <c r="C473" s="545">
        <v>25.666666666666668</v>
      </c>
      <c r="D473" s="545">
        <v>13.333333333333332</v>
      </c>
      <c r="E473" s="545">
        <v>20</v>
      </c>
      <c r="F473" s="545">
        <v>23.095238095238098</v>
      </c>
      <c r="G473" s="545">
        <v>13.4</v>
      </c>
      <c r="H473" s="545">
        <v>2</v>
      </c>
      <c r="I473" s="545">
        <v>4.666666666666667</v>
      </c>
      <c r="J473" s="545">
        <v>10.523809523809524</v>
      </c>
    </row>
    <row r="474" spans="1:10">
      <c r="A474" s="441">
        <v>11682</v>
      </c>
      <c r="B474" s="441" t="s">
        <v>1724</v>
      </c>
      <c r="C474" s="545">
        <v>18.833333333333332</v>
      </c>
      <c r="D474" s="545">
        <v>4.3333333333333339</v>
      </c>
      <c r="E474" s="545">
        <v>2</v>
      </c>
      <c r="F474" s="545">
        <v>14.357142857142856</v>
      </c>
      <c r="G474" s="545">
        <v>9</v>
      </c>
      <c r="H474" s="545">
        <v>2</v>
      </c>
      <c r="I474" s="545">
        <v>3</v>
      </c>
      <c r="J474" s="545">
        <v>7.1428571428571432</v>
      </c>
    </row>
    <row r="475" spans="1:10">
      <c r="A475" s="441">
        <v>7770</v>
      </c>
      <c r="B475" s="441" t="s">
        <v>1725</v>
      </c>
      <c r="C475" s="545">
        <v>29.666666666666668</v>
      </c>
      <c r="D475" s="545">
        <v>22</v>
      </c>
      <c r="E475" s="545">
        <v>19</v>
      </c>
      <c r="F475" s="545">
        <v>27.047619047619047</v>
      </c>
      <c r="G475" s="545">
        <v>20.05</v>
      </c>
      <c r="H475" s="545">
        <v>11.333333333333334</v>
      </c>
      <c r="I475" s="545">
        <v>20</v>
      </c>
      <c r="J475" s="545">
        <v>18.797619047619044</v>
      </c>
    </row>
    <row r="476" spans="1:10">
      <c r="A476" s="441">
        <v>8588</v>
      </c>
      <c r="B476" s="441" t="s">
        <v>1726</v>
      </c>
      <c r="C476" s="545">
        <v>11.166666666666668</v>
      </c>
      <c r="D476" s="545">
        <v>4.333333333333333</v>
      </c>
      <c r="E476" s="545">
        <v>8</v>
      </c>
      <c r="F476" s="545">
        <v>9.7380952380952408</v>
      </c>
      <c r="G476" s="545">
        <v>33.299999999999997</v>
      </c>
      <c r="H476" s="545">
        <v>22</v>
      </c>
      <c r="I476" s="545">
        <v>26</v>
      </c>
      <c r="J476" s="545">
        <v>30.642857142857142</v>
      </c>
    </row>
    <row r="477" spans="1:10">
      <c r="A477" s="441">
        <v>2399</v>
      </c>
      <c r="B477" s="441" t="s">
        <v>1727</v>
      </c>
      <c r="C477" s="545">
        <v>115.16666666666667</v>
      </c>
      <c r="D477" s="545">
        <v>76.666666666666671</v>
      </c>
      <c r="E477" s="545">
        <v>60.666666666666671</v>
      </c>
      <c r="F477" s="545">
        <v>101.88095238095238</v>
      </c>
      <c r="G477" s="545">
        <v>62.95</v>
      </c>
      <c r="H477" s="545">
        <v>48.333333333333336</v>
      </c>
      <c r="I477" s="545">
        <v>52</v>
      </c>
      <c r="J477" s="545">
        <v>59.297619047619044</v>
      </c>
    </row>
    <row r="478" spans="1:10">
      <c r="A478" s="441">
        <v>8275</v>
      </c>
      <c r="B478" s="441" t="s">
        <v>1728</v>
      </c>
      <c r="C478" s="545">
        <v>15.166666666666666</v>
      </c>
      <c r="D478" s="545">
        <v>4</v>
      </c>
      <c r="E478" s="545">
        <v>1.6666666666666667</v>
      </c>
      <c r="F478" s="545">
        <v>11.642857142857142</v>
      </c>
      <c r="G478" s="545">
        <v>8.75</v>
      </c>
      <c r="H478" s="545">
        <v>4.333333333333333</v>
      </c>
      <c r="I478" s="545">
        <v>6</v>
      </c>
      <c r="J478" s="545">
        <v>7.7261904761904763</v>
      </c>
    </row>
    <row r="479" spans="1:10">
      <c r="A479" s="441">
        <v>10757</v>
      </c>
      <c r="B479" s="441" t="s">
        <v>1728</v>
      </c>
      <c r="C479" s="545">
        <v>12.833333333333334</v>
      </c>
      <c r="D479" s="545">
        <v>4.666666666666667</v>
      </c>
      <c r="E479" s="545">
        <v>5</v>
      </c>
      <c r="F479" s="545">
        <v>10.547619047619049</v>
      </c>
      <c r="G479" s="545">
        <v>14.45</v>
      </c>
      <c r="H479" s="545">
        <v>11.666666666666666</v>
      </c>
      <c r="I479" s="545">
        <v>18.333333333333332</v>
      </c>
      <c r="J479" s="545">
        <v>14.607142857142858</v>
      </c>
    </row>
    <row r="480" spans="1:10">
      <c r="A480" s="441">
        <v>10746</v>
      </c>
      <c r="B480" s="441" t="s">
        <v>1729</v>
      </c>
      <c r="C480" s="545">
        <v>26.166666666666664</v>
      </c>
      <c r="D480" s="545">
        <v>4.333333333333333</v>
      </c>
      <c r="E480" s="545">
        <v>4.3333333333333339</v>
      </c>
      <c r="F480" s="545">
        <v>19.928571428571427</v>
      </c>
      <c r="G480" s="545">
        <v>7.6</v>
      </c>
      <c r="H480" s="545">
        <v>4</v>
      </c>
      <c r="I480" s="545">
        <v>2.3333333333333335</v>
      </c>
      <c r="J480" s="545">
        <v>6.3333333333333339</v>
      </c>
    </row>
    <row r="481" spans="1:10">
      <c r="A481" s="441">
        <v>10767</v>
      </c>
      <c r="B481" s="441" t="s">
        <v>1729</v>
      </c>
      <c r="C481" s="545">
        <v>29.833333333333332</v>
      </c>
      <c r="D481" s="545">
        <v>5.3333333333333339</v>
      </c>
      <c r="E481" s="545">
        <v>3.6666666666666665</v>
      </c>
      <c r="F481" s="545">
        <v>22.595238095238095</v>
      </c>
      <c r="G481" s="545">
        <v>11.85</v>
      </c>
      <c r="H481" s="545">
        <v>4</v>
      </c>
      <c r="I481" s="545">
        <v>7</v>
      </c>
      <c r="J481" s="545">
        <v>10.035714285714286</v>
      </c>
    </row>
    <row r="482" spans="1:10">
      <c r="A482" s="441">
        <v>8276</v>
      </c>
      <c r="B482" s="441" t="s">
        <v>1730</v>
      </c>
      <c r="C482" s="545">
        <v>72</v>
      </c>
      <c r="D482" s="545">
        <v>48.666666666666664</v>
      </c>
      <c r="E482" s="545">
        <v>44</v>
      </c>
      <c r="F482" s="545">
        <v>64.666666666666671</v>
      </c>
      <c r="G482" s="545">
        <v>38.75</v>
      </c>
      <c r="H482" s="545">
        <v>27.333333333333332</v>
      </c>
      <c r="I482" s="545">
        <v>25</v>
      </c>
      <c r="J482" s="545">
        <v>35.154761904761905</v>
      </c>
    </row>
    <row r="483" spans="1:10">
      <c r="A483" s="441">
        <v>10756</v>
      </c>
      <c r="B483" s="441" t="s">
        <v>1730</v>
      </c>
      <c r="C483" s="545">
        <v>239.5</v>
      </c>
      <c r="D483" s="545">
        <v>151</v>
      </c>
      <c r="E483" s="545">
        <v>123</v>
      </c>
      <c r="F483" s="545">
        <v>210.21428571428572</v>
      </c>
      <c r="G483" s="545">
        <v>143.35</v>
      </c>
      <c r="H483" s="545">
        <v>105</v>
      </c>
      <c r="I483" s="545">
        <v>94.333333333333329</v>
      </c>
      <c r="J483" s="545">
        <v>130.86904761904762</v>
      </c>
    </row>
    <row r="484" spans="1:10">
      <c r="A484" s="441">
        <v>7765</v>
      </c>
      <c r="B484" s="441" t="s">
        <v>1731</v>
      </c>
      <c r="C484" s="545">
        <v>49.333333333333336</v>
      </c>
      <c r="D484" s="545">
        <v>32.666666666666664</v>
      </c>
      <c r="E484" s="545">
        <v>31.666666666666668</v>
      </c>
      <c r="F484" s="545">
        <v>44.428571428571438</v>
      </c>
      <c r="G484" s="545">
        <v>33.5</v>
      </c>
      <c r="H484" s="545">
        <v>23</v>
      </c>
      <c r="I484" s="545">
        <v>16</v>
      </c>
      <c r="J484" s="545">
        <v>29.5</v>
      </c>
    </row>
    <row r="485" spans="1:10">
      <c r="A485" s="441">
        <v>7767</v>
      </c>
      <c r="B485" s="441" t="s">
        <v>1731</v>
      </c>
      <c r="C485" s="545">
        <v>60.5</v>
      </c>
      <c r="D485" s="545">
        <v>50.333333333333329</v>
      </c>
      <c r="E485" s="545">
        <v>33.333333333333336</v>
      </c>
      <c r="F485" s="545">
        <v>55.166666666666664</v>
      </c>
      <c r="G485" s="545">
        <v>41.45</v>
      </c>
      <c r="H485" s="545">
        <v>30.333333333333332</v>
      </c>
      <c r="I485" s="545">
        <v>26.666666666666668</v>
      </c>
      <c r="J485" s="545">
        <v>37.75</v>
      </c>
    </row>
    <row r="486" spans="1:10">
      <c r="A486" s="441">
        <v>10742</v>
      </c>
      <c r="B486" s="441" t="s">
        <v>1732</v>
      </c>
      <c r="C486" s="545">
        <v>11.166666666666668</v>
      </c>
      <c r="D486" s="545">
        <v>8</v>
      </c>
      <c r="E486" s="545">
        <v>6</v>
      </c>
      <c r="F486" s="545">
        <v>9.9761904761904781</v>
      </c>
      <c r="G486" s="545">
        <v>5.75</v>
      </c>
      <c r="H486" s="545">
        <v>3.6666666666666665</v>
      </c>
      <c r="I486" s="545">
        <v>12</v>
      </c>
      <c r="J486" s="545">
        <v>6.3452380952380949</v>
      </c>
    </row>
    <row r="487" spans="1:10">
      <c r="A487" s="441">
        <v>10771</v>
      </c>
      <c r="B487" s="441" t="s">
        <v>1732</v>
      </c>
      <c r="C487" s="545">
        <v>7.6666666666666661</v>
      </c>
      <c r="D487" s="545">
        <v>3.333333333333333</v>
      </c>
      <c r="E487" s="545">
        <v>5</v>
      </c>
      <c r="F487" s="545">
        <v>6.6666666666666661</v>
      </c>
      <c r="G487" s="545">
        <v>6.4</v>
      </c>
      <c r="H487" s="545">
        <v>3.6666666666666665</v>
      </c>
      <c r="I487" s="545">
        <v>4.333333333333333</v>
      </c>
      <c r="J487" s="545">
        <v>5.7142857142857144</v>
      </c>
    </row>
    <row r="488" spans="1:10">
      <c r="A488" s="441">
        <v>2496</v>
      </c>
      <c r="B488" s="441" t="s">
        <v>1733</v>
      </c>
      <c r="C488" s="545">
        <v>4.833333333333333</v>
      </c>
      <c r="D488" s="545">
        <v>1</v>
      </c>
      <c r="E488" s="545">
        <v>2.6666666666666665</v>
      </c>
      <c r="F488" s="545">
        <v>3.9761904761904758</v>
      </c>
      <c r="G488" s="545">
        <v>3.736842105263158</v>
      </c>
      <c r="H488" s="545">
        <v>0.66666666666666663</v>
      </c>
      <c r="I488" s="545">
        <v>0.33333333333333331</v>
      </c>
      <c r="J488" s="545">
        <v>2.8120300751879701</v>
      </c>
    </row>
    <row r="489" spans="1:10">
      <c r="A489" s="441">
        <v>10750</v>
      </c>
      <c r="B489" s="441" t="s">
        <v>1734</v>
      </c>
      <c r="C489" s="545">
        <v>16.333333333333332</v>
      </c>
      <c r="D489" s="545">
        <v>9</v>
      </c>
      <c r="E489" s="545">
        <v>5.666666666666667</v>
      </c>
      <c r="F489" s="545">
        <v>13.761904761904761</v>
      </c>
      <c r="G489" s="545">
        <v>8.5</v>
      </c>
      <c r="H489" s="545">
        <v>5.666666666666667</v>
      </c>
      <c r="I489" s="545">
        <v>2.6666666666666665</v>
      </c>
      <c r="J489" s="545">
        <v>7.261904761904761</v>
      </c>
    </row>
    <row r="490" spans="1:10">
      <c r="A490" s="441">
        <v>10773</v>
      </c>
      <c r="B490" s="441" t="s">
        <v>1735</v>
      </c>
      <c r="C490" s="545">
        <v>90.5</v>
      </c>
      <c r="D490" s="545">
        <v>59.666666666666671</v>
      </c>
      <c r="E490" s="545">
        <v>54.333333333333329</v>
      </c>
      <c r="F490" s="545">
        <v>80.928571428571431</v>
      </c>
      <c r="G490" s="545">
        <v>65.05</v>
      </c>
      <c r="H490" s="545">
        <v>53.333333333333336</v>
      </c>
      <c r="I490" s="545">
        <v>61.333333333333336</v>
      </c>
      <c r="J490" s="545">
        <v>62.845238095238088</v>
      </c>
    </row>
    <row r="491" spans="1:10">
      <c r="A491" s="441">
        <v>11977</v>
      </c>
      <c r="B491" s="441" t="s">
        <v>1735</v>
      </c>
      <c r="C491" s="545">
        <v>40.333333333333329</v>
      </c>
      <c r="D491" s="545">
        <v>36.666666666666664</v>
      </c>
      <c r="E491" s="545">
        <v>40.333333333333329</v>
      </c>
      <c r="F491" s="545">
        <v>39.809523809523803</v>
      </c>
      <c r="G491" s="545">
        <v>19.899999999999999</v>
      </c>
      <c r="H491" s="545">
        <v>19.666666666666668</v>
      </c>
      <c r="I491" s="545">
        <v>18</v>
      </c>
      <c r="J491" s="545">
        <v>19.595238095238098</v>
      </c>
    </row>
    <row r="492" spans="1:10">
      <c r="A492" s="441">
        <v>90936</v>
      </c>
      <c r="B492" s="441" t="s">
        <v>1735</v>
      </c>
      <c r="C492" s="545">
        <v>66</v>
      </c>
      <c r="D492" s="545">
        <v>41.333333333333336</v>
      </c>
      <c r="E492" s="545">
        <v>41.333333333333336</v>
      </c>
      <c r="F492" s="545">
        <v>58.952380952380949</v>
      </c>
      <c r="G492" s="545">
        <v>57.25</v>
      </c>
      <c r="H492" s="545">
        <v>41</v>
      </c>
      <c r="I492" s="545">
        <v>35.666666666666664</v>
      </c>
      <c r="J492" s="545">
        <v>51.845238095238095</v>
      </c>
    </row>
    <row r="493" spans="1:10">
      <c r="A493" s="441">
        <v>8262</v>
      </c>
      <c r="B493" s="441" t="s">
        <v>1736</v>
      </c>
      <c r="C493" s="545">
        <v>58</v>
      </c>
      <c r="D493" s="545">
        <v>39.666666666666664</v>
      </c>
      <c r="E493" s="545">
        <v>41</v>
      </c>
      <c r="F493" s="545">
        <v>52.952380952380956</v>
      </c>
      <c r="G493" s="545">
        <v>39.5</v>
      </c>
      <c r="H493" s="545">
        <v>20</v>
      </c>
      <c r="I493" s="545">
        <v>20.666666666666668</v>
      </c>
      <c r="J493" s="545">
        <v>34.023809523809526</v>
      </c>
    </row>
    <row r="494" spans="1:10">
      <c r="A494" s="441">
        <v>8290</v>
      </c>
      <c r="B494" s="441" t="s">
        <v>1736</v>
      </c>
      <c r="C494" s="545">
        <v>60.166666666666671</v>
      </c>
      <c r="D494" s="545">
        <v>40.333333333333329</v>
      </c>
      <c r="E494" s="545">
        <v>30.666666666666668</v>
      </c>
      <c r="F494" s="545">
        <v>53.119047619047628</v>
      </c>
      <c r="G494" s="545">
        <v>34.299999999999997</v>
      </c>
      <c r="H494" s="545">
        <v>26</v>
      </c>
      <c r="I494" s="545">
        <v>25.333333333333332</v>
      </c>
      <c r="J494" s="545">
        <v>31.833333333333336</v>
      </c>
    </row>
    <row r="495" spans="1:10">
      <c r="A495" s="441">
        <v>2402</v>
      </c>
      <c r="B495" s="441" t="s">
        <v>1737</v>
      </c>
      <c r="C495" s="545">
        <v>3</v>
      </c>
      <c r="D495" s="545">
        <v>1.3333333333333333</v>
      </c>
      <c r="E495" s="545">
        <v>1</v>
      </c>
      <c r="F495" s="545">
        <v>2.4761904761904758</v>
      </c>
      <c r="G495" s="545">
        <v>1.2</v>
      </c>
      <c r="H495" s="545">
        <v>0.33333333333333331</v>
      </c>
      <c r="I495" s="545">
        <v>1</v>
      </c>
      <c r="J495" s="545">
        <v>1.0476190476190477</v>
      </c>
    </row>
    <row r="496" spans="1:10">
      <c r="A496" s="441">
        <v>8260</v>
      </c>
      <c r="B496" s="441" t="s">
        <v>1737</v>
      </c>
      <c r="C496" s="545">
        <v>2.166666666666667</v>
      </c>
      <c r="D496" s="545">
        <v>1.3333333333333333</v>
      </c>
      <c r="E496" s="545">
        <v>1.6666666666666665</v>
      </c>
      <c r="F496" s="545">
        <v>1.9761904761904765</v>
      </c>
      <c r="G496" s="545">
        <v>3.85</v>
      </c>
      <c r="H496" s="545">
        <v>0.66666666666666663</v>
      </c>
      <c r="I496" s="545">
        <v>0.33333333333333331</v>
      </c>
      <c r="J496" s="545">
        <v>2.8928571428571428</v>
      </c>
    </row>
    <row r="497" spans="1:10">
      <c r="A497" s="441">
        <v>8583</v>
      </c>
      <c r="B497" s="441" t="s">
        <v>1738</v>
      </c>
      <c r="C497" s="545">
        <v>254.16666666666666</v>
      </c>
      <c r="D497" s="545">
        <v>160.66666666666669</v>
      </c>
      <c r="E497" s="545">
        <v>127</v>
      </c>
      <c r="F497" s="545">
        <v>222.64285714285714</v>
      </c>
      <c r="G497" s="545">
        <v>164.8</v>
      </c>
      <c r="H497" s="545">
        <v>105.33333333333333</v>
      </c>
      <c r="I497" s="545">
        <v>98</v>
      </c>
      <c r="J497" s="545">
        <v>146.76190476190479</v>
      </c>
    </row>
    <row r="498" spans="1:10">
      <c r="A498" s="441">
        <v>8590</v>
      </c>
      <c r="B498" s="441" t="s">
        <v>1738</v>
      </c>
      <c r="C498" s="545">
        <v>246</v>
      </c>
      <c r="D498" s="545">
        <v>147</v>
      </c>
      <c r="E498" s="545">
        <v>97.333333333333343</v>
      </c>
      <c r="F498" s="545">
        <v>210.61904761904762</v>
      </c>
      <c r="G498" s="545">
        <v>148.05000000000001</v>
      </c>
      <c r="H498" s="545">
        <v>106.33333333333333</v>
      </c>
      <c r="I498" s="545">
        <v>83</v>
      </c>
      <c r="J498" s="545">
        <v>132.79761904761907</v>
      </c>
    </row>
    <row r="499" spans="1:10">
      <c r="A499" s="441">
        <v>7761</v>
      </c>
      <c r="B499" s="441" t="s">
        <v>1739</v>
      </c>
      <c r="C499" s="545">
        <v>95.333333333333343</v>
      </c>
      <c r="D499" s="545">
        <v>54.333333333333336</v>
      </c>
      <c r="E499" s="545">
        <v>38.666666666666664</v>
      </c>
      <c r="F499" s="545">
        <v>81.380952380952394</v>
      </c>
      <c r="G499" s="545">
        <v>53.9</v>
      </c>
      <c r="H499" s="545">
        <v>29</v>
      </c>
      <c r="I499" s="545">
        <v>27.333333333333332</v>
      </c>
      <c r="J499" s="545">
        <v>46.547619047619044</v>
      </c>
    </row>
    <row r="500" spans="1:10">
      <c r="A500" s="441">
        <v>10217</v>
      </c>
      <c r="B500" s="441" t="s">
        <v>1739</v>
      </c>
      <c r="C500" s="545">
        <v>90.333333333333343</v>
      </c>
      <c r="D500" s="545">
        <v>44.666666666666671</v>
      </c>
      <c r="E500" s="545">
        <v>35.666666666666671</v>
      </c>
      <c r="F500" s="545">
        <v>76.000000000000014</v>
      </c>
      <c r="G500" s="545">
        <v>49.05</v>
      </c>
      <c r="H500" s="545">
        <v>34</v>
      </c>
      <c r="I500" s="545">
        <v>38.333333333333336</v>
      </c>
      <c r="J500" s="545">
        <v>45.369047619047613</v>
      </c>
    </row>
    <row r="501" spans="1:10">
      <c r="A501" s="441">
        <v>10745</v>
      </c>
      <c r="B501" s="441" t="s">
        <v>1740</v>
      </c>
      <c r="C501" s="545">
        <v>6</v>
      </c>
      <c r="D501" s="545">
        <v>3.666666666666667</v>
      </c>
      <c r="E501" s="545">
        <v>3</v>
      </c>
      <c r="F501" s="545">
        <v>5.2380952380952381</v>
      </c>
      <c r="G501" s="545">
        <v>2.6</v>
      </c>
      <c r="H501" s="545">
        <v>2</v>
      </c>
      <c r="I501" s="545">
        <v>1.6666666666666667</v>
      </c>
      <c r="J501" s="545">
        <v>2.3809523809523809</v>
      </c>
    </row>
    <row r="502" spans="1:10">
      <c r="A502" s="441">
        <v>10768</v>
      </c>
      <c r="B502" s="441" t="s">
        <v>1740</v>
      </c>
      <c r="C502" s="545">
        <v>10.5</v>
      </c>
      <c r="D502" s="545">
        <v>4.333333333333333</v>
      </c>
      <c r="E502" s="545">
        <v>1.6666666666666667</v>
      </c>
      <c r="F502" s="545">
        <v>8.3571428571428577</v>
      </c>
      <c r="G502" s="545">
        <v>2.4</v>
      </c>
      <c r="H502" s="545">
        <v>1.6666666666666667</v>
      </c>
      <c r="I502" s="545">
        <v>1.3333333333333333</v>
      </c>
      <c r="J502" s="545">
        <v>2.1428571428571428</v>
      </c>
    </row>
    <row r="503" spans="1:10">
      <c r="A503" s="441">
        <v>8267</v>
      </c>
      <c r="B503" s="441" t="s">
        <v>1741</v>
      </c>
      <c r="C503" s="545">
        <v>244.33333333333331</v>
      </c>
      <c r="D503" s="545">
        <v>178</v>
      </c>
      <c r="E503" s="545">
        <v>166</v>
      </c>
      <c r="F503" s="545">
        <v>223.66666666666666</v>
      </c>
      <c r="G503" s="545">
        <v>111.35</v>
      </c>
      <c r="H503" s="545">
        <v>80.333333333333329</v>
      </c>
      <c r="I503" s="545">
        <v>80.666666666666671</v>
      </c>
      <c r="J503" s="545">
        <v>102.53571428571429</v>
      </c>
    </row>
    <row r="504" spans="1:10">
      <c r="A504" s="441">
        <v>8285</v>
      </c>
      <c r="B504" s="441" t="s">
        <v>1741</v>
      </c>
      <c r="C504" s="545">
        <v>246.16666666666666</v>
      </c>
      <c r="D504" s="545">
        <v>178</v>
      </c>
      <c r="E504" s="545">
        <v>158</v>
      </c>
      <c r="F504" s="545">
        <v>223.83333333333331</v>
      </c>
      <c r="G504" s="545">
        <v>124.2</v>
      </c>
      <c r="H504" s="545">
        <v>87.666666666666671</v>
      </c>
      <c r="I504" s="545">
        <v>81.666666666666671</v>
      </c>
      <c r="J504" s="545">
        <v>112.9047619047619</v>
      </c>
    </row>
    <row r="505" spans="1:10">
      <c r="A505" s="441">
        <v>7766</v>
      </c>
      <c r="B505" s="441" t="s">
        <v>1742</v>
      </c>
      <c r="C505" s="545">
        <v>194.83333333333331</v>
      </c>
      <c r="D505" s="545">
        <v>135.33333333333334</v>
      </c>
      <c r="E505" s="545">
        <v>129.33333333333331</v>
      </c>
      <c r="F505" s="545">
        <v>176.97619047619042</v>
      </c>
      <c r="G505" s="545">
        <v>125.55</v>
      </c>
      <c r="H505" s="545">
        <v>101</v>
      </c>
      <c r="I505" s="545">
        <v>87.666666666666671</v>
      </c>
      <c r="J505" s="545">
        <v>116.63095238095238</v>
      </c>
    </row>
    <row r="506" spans="1:10">
      <c r="A506" s="441">
        <v>8271</v>
      </c>
      <c r="B506" s="441" t="s">
        <v>1743</v>
      </c>
      <c r="C506" s="545">
        <v>56.833333333333336</v>
      </c>
      <c r="D506" s="545">
        <v>35</v>
      </c>
      <c r="E506" s="545">
        <v>27.333333333333332</v>
      </c>
      <c r="F506" s="545">
        <v>49.5</v>
      </c>
      <c r="G506" s="545">
        <v>42.2</v>
      </c>
      <c r="H506" s="545">
        <v>31</v>
      </c>
      <c r="I506" s="545">
        <v>35</v>
      </c>
      <c r="J506" s="545">
        <v>39.571428571428569</v>
      </c>
    </row>
    <row r="507" spans="1:10">
      <c r="A507" s="441">
        <v>8281</v>
      </c>
      <c r="B507" s="441" t="s">
        <v>1743</v>
      </c>
      <c r="C507" s="545">
        <v>63.333333333333329</v>
      </c>
      <c r="D507" s="545">
        <v>35.333333333333336</v>
      </c>
      <c r="E507" s="545">
        <v>28</v>
      </c>
      <c r="F507" s="545">
        <v>54.285714285714278</v>
      </c>
      <c r="G507" s="545">
        <v>45.6</v>
      </c>
      <c r="H507" s="545">
        <v>30.333333333333332</v>
      </c>
      <c r="I507" s="545">
        <v>35.666666666666664</v>
      </c>
      <c r="J507" s="545">
        <v>42</v>
      </c>
    </row>
    <row r="508" spans="1:10">
      <c r="A508" s="441">
        <v>2396</v>
      </c>
      <c r="B508" s="441" t="s">
        <v>1744</v>
      </c>
      <c r="C508" s="545">
        <v>22.5</v>
      </c>
      <c r="D508" s="545">
        <v>20.333333333333336</v>
      </c>
      <c r="E508" s="545">
        <v>13.666666666666666</v>
      </c>
      <c r="F508" s="545">
        <v>20.928571428571427</v>
      </c>
      <c r="G508" s="545">
        <v>13.85</v>
      </c>
      <c r="H508" s="545">
        <v>6.333333333333333</v>
      </c>
      <c r="I508" s="545">
        <v>9</v>
      </c>
      <c r="J508" s="545">
        <v>12.083333333333332</v>
      </c>
    </row>
    <row r="509" spans="1:10">
      <c r="A509" s="441">
        <v>7771</v>
      </c>
      <c r="B509" s="441" t="s">
        <v>1744</v>
      </c>
      <c r="C509" s="545">
        <v>431</v>
      </c>
      <c r="D509" s="545">
        <v>263.33333333333337</v>
      </c>
      <c r="E509" s="545">
        <v>187</v>
      </c>
      <c r="F509" s="545">
        <v>372.1904761904762</v>
      </c>
      <c r="G509" s="545">
        <v>284.45</v>
      </c>
      <c r="H509" s="545">
        <v>175</v>
      </c>
      <c r="I509" s="545">
        <v>155.66666666666666</v>
      </c>
      <c r="J509" s="545">
        <v>250.41666666666669</v>
      </c>
    </row>
    <row r="510" spans="1:10">
      <c r="A510" s="441">
        <v>8848</v>
      </c>
      <c r="B510" s="441" t="s">
        <v>1744</v>
      </c>
      <c r="C510" s="545">
        <v>423.83333333333337</v>
      </c>
      <c r="D510" s="545">
        <v>284.66666666666663</v>
      </c>
      <c r="E510" s="545">
        <v>199.66666666666669</v>
      </c>
      <c r="F510" s="545">
        <v>371.92857142857144</v>
      </c>
      <c r="G510" s="545">
        <v>276.7</v>
      </c>
      <c r="H510" s="545">
        <v>183.33333333333334</v>
      </c>
      <c r="I510" s="545">
        <v>138</v>
      </c>
      <c r="J510" s="545">
        <v>243.54761904761904</v>
      </c>
    </row>
    <row r="511" spans="1:10">
      <c r="A511" s="441">
        <v>2397</v>
      </c>
      <c r="B511" s="441" t="s">
        <v>1745</v>
      </c>
      <c r="C511" s="545">
        <v>73.333333333333329</v>
      </c>
      <c r="D511" s="545">
        <v>51.333333333333329</v>
      </c>
      <c r="E511" s="545">
        <v>43.333333333333329</v>
      </c>
      <c r="F511" s="545">
        <v>65.904761904761898</v>
      </c>
      <c r="G511" s="545">
        <v>42.1</v>
      </c>
      <c r="H511" s="545">
        <v>22.333333333333332</v>
      </c>
      <c r="I511" s="545">
        <v>23.333333333333332</v>
      </c>
      <c r="J511" s="545">
        <v>36.595238095238095</v>
      </c>
    </row>
    <row r="512" spans="1:10">
      <c r="A512" s="441">
        <v>10755</v>
      </c>
      <c r="B512" s="441" t="s">
        <v>1746</v>
      </c>
      <c r="C512" s="545">
        <v>18.333333333333336</v>
      </c>
      <c r="D512" s="545">
        <v>14.333333333333334</v>
      </c>
      <c r="E512" s="545">
        <v>17</v>
      </c>
      <c r="F512" s="545">
        <v>17.571428571428573</v>
      </c>
      <c r="G512" s="545">
        <v>11</v>
      </c>
      <c r="H512" s="545">
        <v>9.3333333333333339</v>
      </c>
      <c r="I512" s="545">
        <v>8</v>
      </c>
      <c r="J512" s="545">
        <v>10.333333333333332</v>
      </c>
    </row>
    <row r="513" spans="1:10">
      <c r="A513" s="441">
        <v>10758</v>
      </c>
      <c r="B513" s="441" t="s">
        <v>1746</v>
      </c>
      <c r="C513" s="545">
        <v>120.5</v>
      </c>
      <c r="D513" s="545">
        <v>86.666666666666671</v>
      </c>
      <c r="E513" s="545">
        <v>88.333333333333329</v>
      </c>
      <c r="F513" s="545">
        <v>111.07142857142857</v>
      </c>
      <c r="G513" s="545">
        <v>90.55</v>
      </c>
      <c r="H513" s="545">
        <v>68</v>
      </c>
      <c r="I513" s="545">
        <v>55.333333333333336</v>
      </c>
      <c r="J513" s="545">
        <v>82.297619047619051</v>
      </c>
    </row>
    <row r="514" spans="1:10">
      <c r="A514" s="441">
        <v>10763</v>
      </c>
      <c r="B514" s="441" t="s">
        <v>1747</v>
      </c>
      <c r="C514" s="545">
        <v>16.166666666666668</v>
      </c>
      <c r="D514" s="545">
        <v>5</v>
      </c>
      <c r="E514" s="545">
        <v>5.6666666666666661</v>
      </c>
      <c r="F514" s="545">
        <v>13.071428571428573</v>
      </c>
      <c r="G514" s="545">
        <v>10.7</v>
      </c>
      <c r="H514" s="545">
        <v>6.333333333333333</v>
      </c>
      <c r="I514" s="545">
        <v>5.333333333333333</v>
      </c>
      <c r="J514" s="545">
        <v>9.3095238095238102</v>
      </c>
    </row>
    <row r="515" spans="1:10">
      <c r="A515" s="441">
        <v>8269</v>
      </c>
      <c r="B515" s="441" t="s">
        <v>1748</v>
      </c>
      <c r="C515" s="545">
        <v>26.666666666666668</v>
      </c>
      <c r="D515" s="545">
        <v>13</v>
      </c>
      <c r="E515" s="545">
        <v>12.333333333333334</v>
      </c>
      <c r="F515" s="545">
        <v>22.666666666666668</v>
      </c>
      <c r="G515" s="545">
        <v>14.15</v>
      </c>
      <c r="H515" s="545">
        <v>7.666666666666667</v>
      </c>
      <c r="I515" s="545">
        <v>4.666666666666667</v>
      </c>
      <c r="J515" s="545">
        <v>11.86904761904762</v>
      </c>
    </row>
    <row r="516" spans="1:10">
      <c r="A516" s="441">
        <v>8283</v>
      </c>
      <c r="B516" s="441" t="s">
        <v>1748</v>
      </c>
      <c r="C516" s="545">
        <v>27.333333333333336</v>
      </c>
      <c r="D516" s="545">
        <v>13.333333333333332</v>
      </c>
      <c r="E516" s="545">
        <v>10.666666666666668</v>
      </c>
      <c r="F516" s="545">
        <v>22.952380952380956</v>
      </c>
      <c r="G516" s="545">
        <v>14.35</v>
      </c>
      <c r="H516" s="545">
        <v>5.333333333333333</v>
      </c>
      <c r="I516" s="545">
        <v>4.666666666666667</v>
      </c>
      <c r="J516" s="545">
        <v>11.678571428571429</v>
      </c>
    </row>
    <row r="517" spans="1:10">
      <c r="A517" s="441">
        <v>10741</v>
      </c>
      <c r="B517" s="441" t="s">
        <v>1749</v>
      </c>
      <c r="C517" s="545">
        <v>3.333333333333333</v>
      </c>
      <c r="D517" s="545">
        <v>5.333333333333333</v>
      </c>
      <c r="E517" s="545">
        <v>4</v>
      </c>
      <c r="F517" s="545">
        <v>3.714285714285714</v>
      </c>
      <c r="G517" s="545">
        <v>3.6</v>
      </c>
      <c r="H517" s="545">
        <v>1.6666666666666667</v>
      </c>
      <c r="I517" s="545">
        <v>1.6666666666666667</v>
      </c>
      <c r="J517" s="545">
        <v>3.0476190476190479</v>
      </c>
    </row>
    <row r="518" spans="1:10">
      <c r="A518" s="441">
        <v>10772</v>
      </c>
      <c r="B518" s="441" t="s">
        <v>1749</v>
      </c>
      <c r="C518" s="545">
        <v>5.166666666666667</v>
      </c>
      <c r="D518" s="545">
        <v>2.3333333333333335</v>
      </c>
      <c r="E518" s="545">
        <v>2.3333333333333335</v>
      </c>
      <c r="F518" s="545">
        <v>4.3571428571428568</v>
      </c>
      <c r="G518" s="545">
        <v>2.35</v>
      </c>
      <c r="H518" s="545">
        <v>1</v>
      </c>
      <c r="I518" s="545">
        <v>2</v>
      </c>
      <c r="J518" s="545">
        <v>2.1071428571428572</v>
      </c>
    </row>
    <row r="519" spans="1:10">
      <c r="A519" s="441">
        <v>11978</v>
      </c>
      <c r="B519" s="441" t="s">
        <v>1749</v>
      </c>
      <c r="C519" s="545">
        <v>19.166666666666668</v>
      </c>
      <c r="D519" s="545">
        <v>13.666666666666666</v>
      </c>
      <c r="E519" s="545">
        <v>15.666666666666668</v>
      </c>
      <c r="F519" s="545">
        <v>17.880952380952383</v>
      </c>
      <c r="G519" s="545">
        <v>13.5</v>
      </c>
      <c r="H519" s="545">
        <v>11</v>
      </c>
      <c r="I519" s="545">
        <v>11</v>
      </c>
      <c r="J519" s="545">
        <v>12.785714285714286</v>
      </c>
    </row>
    <row r="520" spans="1:10">
      <c r="A520" s="441">
        <v>8019</v>
      </c>
      <c r="B520" s="441" t="s">
        <v>1750</v>
      </c>
      <c r="C520" s="545">
        <v>15.666666666666666</v>
      </c>
      <c r="D520" s="545">
        <v>9.6666666666666661</v>
      </c>
      <c r="E520" s="545">
        <v>7</v>
      </c>
      <c r="F520" s="545">
        <v>13.571428571428571</v>
      </c>
      <c r="G520" s="545">
        <v>16.600000000000001</v>
      </c>
      <c r="H520" s="545">
        <v>12</v>
      </c>
      <c r="I520" s="545">
        <v>13</v>
      </c>
      <c r="J520" s="545">
        <v>15.428571428571429</v>
      </c>
    </row>
    <row r="521" spans="1:10">
      <c r="A521" s="441">
        <v>8020</v>
      </c>
      <c r="B521" s="441" t="s">
        <v>1750</v>
      </c>
      <c r="C521" s="545">
        <v>16.833333333333332</v>
      </c>
      <c r="D521" s="545">
        <v>13.333333333333334</v>
      </c>
      <c r="E521" s="545">
        <v>12.666666666666666</v>
      </c>
      <c r="F521" s="545">
        <v>15.738095238095237</v>
      </c>
      <c r="G521" s="545">
        <v>17.8</v>
      </c>
      <c r="H521" s="545">
        <v>14</v>
      </c>
      <c r="I521" s="545">
        <v>9</v>
      </c>
      <c r="J521" s="545">
        <v>16</v>
      </c>
    </row>
    <row r="522" spans="1:10">
      <c r="A522" s="441">
        <v>8023</v>
      </c>
      <c r="B522" s="441" t="s">
        <v>1750</v>
      </c>
      <c r="C522" s="545">
        <v>8.1666666666666661</v>
      </c>
      <c r="D522" s="545">
        <v>5</v>
      </c>
      <c r="E522" s="545">
        <v>6.3333333333333339</v>
      </c>
      <c r="F522" s="545">
        <v>7.4523809523809517</v>
      </c>
      <c r="G522" s="545">
        <v>11.3</v>
      </c>
      <c r="H522" s="545">
        <v>8</v>
      </c>
      <c r="I522" s="545">
        <v>8.3333333333333339</v>
      </c>
      <c r="J522" s="545">
        <v>10.404761904761903</v>
      </c>
    </row>
    <row r="523" spans="1:10">
      <c r="A523" s="441">
        <v>8017</v>
      </c>
      <c r="B523" s="441" t="s">
        <v>1751</v>
      </c>
      <c r="C523" s="545">
        <v>16.833333333333336</v>
      </c>
      <c r="D523" s="545">
        <v>9.3333333333333339</v>
      </c>
      <c r="E523" s="545">
        <v>17.333333333333336</v>
      </c>
      <c r="F523" s="545">
        <v>15.833333333333334</v>
      </c>
      <c r="G523" s="545">
        <v>11.5</v>
      </c>
      <c r="H523" s="545">
        <v>5.333333333333333</v>
      </c>
      <c r="I523" s="545">
        <v>5.333333333333333</v>
      </c>
      <c r="J523" s="545">
        <v>9.738095238095239</v>
      </c>
    </row>
    <row r="524" spans="1:10">
      <c r="A524" s="441">
        <v>8025</v>
      </c>
      <c r="B524" s="441" t="s">
        <v>1751</v>
      </c>
      <c r="C524" s="545">
        <v>14.333333333333334</v>
      </c>
      <c r="D524" s="545">
        <v>15.666666666666666</v>
      </c>
      <c r="E524" s="545">
        <v>6</v>
      </c>
      <c r="F524" s="545">
        <v>13.333333333333334</v>
      </c>
      <c r="G524" s="545">
        <v>10.85</v>
      </c>
      <c r="H524" s="545">
        <v>4</v>
      </c>
      <c r="I524" s="545">
        <v>4.333333333333333</v>
      </c>
      <c r="J524" s="545">
        <v>8.9404761904761916</v>
      </c>
    </row>
    <row r="525" spans="1:10">
      <c r="A525" s="441">
        <v>8021</v>
      </c>
      <c r="B525" s="441" t="s">
        <v>1752</v>
      </c>
      <c r="C525" s="545">
        <v>34.666666666666664</v>
      </c>
      <c r="D525" s="545">
        <v>20</v>
      </c>
      <c r="E525" s="545">
        <v>15.666666666666668</v>
      </c>
      <c r="F525" s="545">
        <v>29.857142857142854</v>
      </c>
      <c r="G525" s="545">
        <v>23.6</v>
      </c>
      <c r="H525" s="545">
        <v>16.333333333333332</v>
      </c>
      <c r="I525" s="545">
        <v>16.666666666666668</v>
      </c>
      <c r="J525" s="545">
        <v>21.571428571428573</v>
      </c>
    </row>
    <row r="526" spans="1:10">
      <c r="A526" s="441">
        <v>8022</v>
      </c>
      <c r="B526" s="441" t="s">
        <v>1752</v>
      </c>
      <c r="C526" s="545">
        <v>19.5</v>
      </c>
      <c r="D526" s="545">
        <v>11.666666666666668</v>
      </c>
      <c r="E526" s="545">
        <v>12.666666666666668</v>
      </c>
      <c r="F526" s="545">
        <v>17.404761904761905</v>
      </c>
      <c r="G526" s="545">
        <v>15.1</v>
      </c>
      <c r="H526" s="545">
        <v>9.3333333333333339</v>
      </c>
      <c r="I526" s="545">
        <v>8.3333333333333339</v>
      </c>
      <c r="J526" s="545">
        <v>13.309523809523808</v>
      </c>
    </row>
    <row r="527" spans="1:10">
      <c r="A527" s="441">
        <v>8018</v>
      </c>
      <c r="B527" s="441" t="s">
        <v>1753</v>
      </c>
      <c r="C527" s="545">
        <v>1.6666666666666665</v>
      </c>
      <c r="D527" s="545">
        <v>0.33333333333333331</v>
      </c>
      <c r="E527" s="545">
        <v>0.66666666666666663</v>
      </c>
      <c r="F527" s="545">
        <v>1.3333333333333333</v>
      </c>
      <c r="G527" s="545">
        <v>2</v>
      </c>
      <c r="H527" s="545">
        <v>2</v>
      </c>
      <c r="I527" s="545">
        <v>0</v>
      </c>
      <c r="J527" s="545">
        <v>1.7142857142857142</v>
      </c>
    </row>
    <row r="528" spans="1:10">
      <c r="A528" s="441">
        <v>8024</v>
      </c>
      <c r="B528" s="441" t="s">
        <v>1753</v>
      </c>
      <c r="C528" s="545">
        <v>1.5</v>
      </c>
      <c r="D528" s="545">
        <v>0</v>
      </c>
      <c r="E528" s="545">
        <v>1.6666666666666667</v>
      </c>
      <c r="F528" s="545">
        <v>1.3095238095238095</v>
      </c>
      <c r="G528" s="545">
        <v>3.35</v>
      </c>
      <c r="H528" s="545">
        <v>1</v>
      </c>
      <c r="I528" s="545">
        <v>1.3333333333333333</v>
      </c>
      <c r="J528" s="545">
        <v>2.7261904761904758</v>
      </c>
    </row>
    <row r="529" spans="1:10">
      <c r="A529" s="441">
        <v>8026</v>
      </c>
      <c r="B529" s="441" t="s">
        <v>1754</v>
      </c>
      <c r="C529" s="545">
        <v>32.833333333333336</v>
      </c>
      <c r="D529" s="545">
        <v>21.666666666666668</v>
      </c>
      <c r="E529" s="545">
        <v>26</v>
      </c>
      <c r="F529" s="545">
        <v>30.261904761904763</v>
      </c>
      <c r="G529" s="545">
        <v>18.149999999999999</v>
      </c>
      <c r="H529" s="545">
        <v>12.333333333333334</v>
      </c>
      <c r="I529" s="545">
        <v>8.6666666666666661</v>
      </c>
      <c r="J529" s="545">
        <v>15.964285714285714</v>
      </c>
    </row>
    <row r="530" spans="1:10">
      <c r="A530" s="441">
        <v>1366</v>
      </c>
      <c r="B530" s="441" t="s">
        <v>1755</v>
      </c>
      <c r="C530" s="545">
        <v>2.1666666666666665</v>
      </c>
      <c r="D530" s="545">
        <v>1</v>
      </c>
      <c r="E530" s="545">
        <v>1.3333333333333333</v>
      </c>
      <c r="F530" s="545">
        <v>1.8809523809523809</v>
      </c>
      <c r="G530" s="545">
        <v>6.8</v>
      </c>
      <c r="H530" s="545">
        <v>1.6666666666666667</v>
      </c>
      <c r="I530" s="545">
        <v>2.6666666666666665</v>
      </c>
      <c r="J530" s="545">
        <v>5.4761904761904754</v>
      </c>
    </row>
    <row r="531" spans="1:10">
      <c r="A531" s="441">
        <v>1373</v>
      </c>
      <c r="B531" s="441" t="s">
        <v>1755</v>
      </c>
      <c r="C531" s="545">
        <v>1.5</v>
      </c>
      <c r="D531" s="545">
        <v>1.6666666666666667</v>
      </c>
      <c r="E531" s="545">
        <v>0.33333333333333331</v>
      </c>
      <c r="F531" s="545">
        <v>1.3571428571428572</v>
      </c>
      <c r="G531" s="545">
        <v>5.4</v>
      </c>
      <c r="H531" s="545">
        <v>3.3333333333333335</v>
      </c>
      <c r="I531" s="545">
        <v>2.6666666666666665</v>
      </c>
      <c r="J531" s="545">
        <v>4.7142857142857144</v>
      </c>
    </row>
    <row r="532" spans="1:10">
      <c r="A532" s="441">
        <v>1365</v>
      </c>
      <c r="B532" s="441" t="s">
        <v>1756</v>
      </c>
      <c r="C532" s="545">
        <v>0.83333333333333337</v>
      </c>
      <c r="D532" s="545">
        <v>0</v>
      </c>
      <c r="E532" s="545">
        <v>0.33333333333333331</v>
      </c>
      <c r="F532" s="545">
        <v>0.6428571428571429</v>
      </c>
      <c r="G532" s="545">
        <v>0.25</v>
      </c>
      <c r="H532" s="545">
        <v>0</v>
      </c>
      <c r="I532" s="545">
        <v>0</v>
      </c>
      <c r="J532" s="545">
        <v>0.17857142857142858</v>
      </c>
    </row>
    <row r="533" spans="1:10">
      <c r="A533" s="441">
        <v>1374</v>
      </c>
      <c r="B533" s="441" t="s">
        <v>1756</v>
      </c>
      <c r="C533" s="545">
        <v>0.16666666666666666</v>
      </c>
      <c r="D533" s="545">
        <v>0</v>
      </c>
      <c r="E533" s="545">
        <v>0</v>
      </c>
      <c r="F533" s="545">
        <v>0.11904761904761904</v>
      </c>
      <c r="G533" s="545">
        <v>0.5</v>
      </c>
      <c r="H533" s="545">
        <v>1.3333333333333333</v>
      </c>
      <c r="I533" s="545">
        <v>0</v>
      </c>
      <c r="J533" s="545">
        <v>0.54761904761904756</v>
      </c>
    </row>
    <row r="534" spans="1:10">
      <c r="A534" s="441">
        <v>3093</v>
      </c>
      <c r="B534" s="441" t="s">
        <v>1757</v>
      </c>
      <c r="C534" s="545">
        <v>23.333333333333332</v>
      </c>
      <c r="D534" s="545">
        <v>1.6666666666666665</v>
      </c>
      <c r="E534" s="545">
        <v>2</v>
      </c>
      <c r="F534" s="545">
        <v>17.19047619047619</v>
      </c>
      <c r="G534" s="545">
        <v>19.600000000000001</v>
      </c>
      <c r="H534" s="545">
        <v>2</v>
      </c>
      <c r="I534" s="545">
        <v>3.3333333333333335</v>
      </c>
      <c r="J534" s="545">
        <v>14.761904761904761</v>
      </c>
    </row>
    <row r="535" spans="1:10">
      <c r="A535" s="441">
        <v>10393</v>
      </c>
      <c r="B535" s="441" t="s">
        <v>1757</v>
      </c>
      <c r="C535" s="545">
        <v>24.5</v>
      </c>
      <c r="D535" s="545">
        <v>4.666666666666667</v>
      </c>
      <c r="E535" s="545">
        <v>13.333333333333334</v>
      </c>
      <c r="F535" s="545">
        <v>20.071428571428573</v>
      </c>
      <c r="G535" s="545">
        <v>20.399999999999999</v>
      </c>
      <c r="H535" s="545">
        <v>5.333333333333333</v>
      </c>
      <c r="I535" s="545">
        <v>5.666666666666667</v>
      </c>
      <c r="J535" s="545">
        <v>16.142857142857142</v>
      </c>
    </row>
    <row r="536" spans="1:10">
      <c r="A536" s="441">
        <v>3094</v>
      </c>
      <c r="B536" s="441" t="s">
        <v>1758</v>
      </c>
      <c r="C536" s="545">
        <v>12.166666666666666</v>
      </c>
      <c r="D536" s="545">
        <v>9.3333333333333321</v>
      </c>
      <c r="E536" s="545">
        <v>9</v>
      </c>
      <c r="F536" s="545">
        <v>11.309523809523808</v>
      </c>
      <c r="G536" s="545">
        <v>11.85</v>
      </c>
      <c r="H536" s="545">
        <v>4</v>
      </c>
      <c r="I536" s="545">
        <v>5.333333333333333</v>
      </c>
      <c r="J536" s="545">
        <v>9.7976190476190474</v>
      </c>
    </row>
    <row r="537" spans="1:10">
      <c r="A537" s="441">
        <v>645</v>
      </c>
      <c r="B537" s="441" t="s">
        <v>1759</v>
      </c>
      <c r="C537" s="545">
        <v>42.166666666666671</v>
      </c>
      <c r="D537" s="545">
        <v>5</v>
      </c>
      <c r="E537" s="545">
        <v>8.3333333333333339</v>
      </c>
      <c r="F537" s="545">
        <v>32.023809523809533</v>
      </c>
      <c r="G537" s="545">
        <v>31</v>
      </c>
      <c r="H537" s="545">
        <v>5.333333333333333</v>
      </c>
      <c r="I537" s="545">
        <v>4</v>
      </c>
      <c r="J537" s="545">
        <v>23.476190476190478</v>
      </c>
    </row>
    <row r="538" spans="1:10">
      <c r="A538" s="441">
        <v>683</v>
      </c>
      <c r="B538" s="441" t="s">
        <v>1760</v>
      </c>
      <c r="C538" s="545">
        <v>46.833333333333329</v>
      </c>
      <c r="D538" s="545">
        <v>9.3333333333333321</v>
      </c>
      <c r="E538" s="545">
        <v>8</v>
      </c>
      <c r="F538" s="545">
        <v>35.928571428571423</v>
      </c>
      <c r="G538" s="545">
        <v>18.05</v>
      </c>
      <c r="H538" s="545">
        <v>9</v>
      </c>
      <c r="I538" s="545">
        <v>5</v>
      </c>
      <c r="J538" s="545">
        <v>14.892857142857142</v>
      </c>
    </row>
    <row r="539" spans="1:10">
      <c r="A539" s="441">
        <v>2884</v>
      </c>
      <c r="B539" s="441" t="s">
        <v>1761</v>
      </c>
      <c r="C539" s="545">
        <v>0</v>
      </c>
      <c r="D539" s="545">
        <v>2</v>
      </c>
      <c r="E539" s="545">
        <v>0.33333333333333331</v>
      </c>
      <c r="F539" s="545">
        <v>0.33333333333333337</v>
      </c>
      <c r="G539" s="545">
        <v>0.15</v>
      </c>
      <c r="H539" s="545">
        <v>0.33333333333333331</v>
      </c>
      <c r="I539" s="545">
        <v>0</v>
      </c>
      <c r="J539" s="545">
        <v>0.15476190476190474</v>
      </c>
    </row>
    <row r="540" spans="1:10">
      <c r="A540" s="441">
        <v>2883</v>
      </c>
      <c r="B540" s="441" t="s">
        <v>1762</v>
      </c>
      <c r="C540" s="545">
        <v>0.16666666666666666</v>
      </c>
      <c r="D540" s="545">
        <v>0.66666666666666663</v>
      </c>
      <c r="E540" s="545">
        <v>0.33333333333333331</v>
      </c>
      <c r="F540" s="545">
        <v>0.26190476190476192</v>
      </c>
      <c r="G540" s="545">
        <v>2.4500000000000002</v>
      </c>
      <c r="H540" s="545">
        <v>0.33333333333333331</v>
      </c>
      <c r="I540" s="545">
        <v>2</v>
      </c>
      <c r="J540" s="545">
        <v>2.0833333333333335</v>
      </c>
    </row>
    <row r="541" spans="1:10">
      <c r="A541" s="441">
        <v>2900</v>
      </c>
      <c r="B541" s="441" t="s">
        <v>1762</v>
      </c>
      <c r="C541" s="545">
        <v>1.8333333333333333</v>
      </c>
      <c r="D541" s="545">
        <v>0.33333333333333331</v>
      </c>
      <c r="E541" s="545">
        <v>0</v>
      </c>
      <c r="F541" s="545">
        <v>1.3571428571428572</v>
      </c>
      <c r="G541" s="545">
        <v>1.35</v>
      </c>
      <c r="H541" s="545">
        <v>1</v>
      </c>
      <c r="I541" s="545">
        <v>0.66666666666666663</v>
      </c>
      <c r="J541" s="545">
        <v>1.2023809523809523</v>
      </c>
    </row>
    <row r="542" spans="1:10">
      <c r="A542" s="441">
        <v>2899</v>
      </c>
      <c r="B542" s="441" t="s">
        <v>1763</v>
      </c>
      <c r="C542" s="545">
        <v>0</v>
      </c>
      <c r="D542" s="545">
        <v>0</v>
      </c>
      <c r="E542" s="545">
        <v>0</v>
      </c>
      <c r="F542" s="545">
        <v>0</v>
      </c>
      <c r="G542" s="545">
        <v>0.1</v>
      </c>
      <c r="H542" s="545">
        <v>0</v>
      </c>
      <c r="I542" s="545">
        <v>0</v>
      </c>
      <c r="J542" s="545">
        <v>7.1428571428571425E-2</v>
      </c>
    </row>
    <row r="543" spans="1:10">
      <c r="A543" s="441">
        <v>8364</v>
      </c>
      <c r="B543" s="441" t="s">
        <v>1764</v>
      </c>
      <c r="C543" s="545">
        <v>5.8333333333333339</v>
      </c>
      <c r="D543" s="545">
        <v>5</v>
      </c>
      <c r="E543" s="545">
        <v>5.333333333333333</v>
      </c>
      <c r="F543" s="545">
        <v>5.6428571428571441</v>
      </c>
      <c r="G543" s="545">
        <v>12.55</v>
      </c>
      <c r="H543" s="545">
        <v>10</v>
      </c>
      <c r="I543" s="545">
        <v>14.333333333333334</v>
      </c>
      <c r="J543" s="545">
        <v>12.44047619047619</v>
      </c>
    </row>
    <row r="544" spans="1:10">
      <c r="A544" s="441">
        <v>11493</v>
      </c>
      <c r="B544" s="441" t="s">
        <v>1765</v>
      </c>
      <c r="C544" s="545">
        <v>8</v>
      </c>
      <c r="D544" s="545">
        <v>3</v>
      </c>
      <c r="E544" s="545">
        <v>7.333333333333333</v>
      </c>
      <c r="F544" s="545">
        <v>7.1904761904761907</v>
      </c>
      <c r="G544" s="545">
        <v>4.1500000000000004</v>
      </c>
      <c r="H544" s="545">
        <v>1.6666666666666667</v>
      </c>
      <c r="I544" s="545">
        <v>1.3333333333333333</v>
      </c>
      <c r="J544" s="545">
        <v>3.3928571428571428</v>
      </c>
    </row>
    <row r="545" spans="1:10">
      <c r="A545" s="441">
        <v>12412</v>
      </c>
      <c r="B545" s="441" t="s">
        <v>1766</v>
      </c>
      <c r="C545" s="545">
        <v>6.8333333333333339</v>
      </c>
      <c r="D545" s="545">
        <v>3.3333333333333335</v>
      </c>
      <c r="E545" s="545">
        <v>2.6666666666666665</v>
      </c>
      <c r="F545" s="545">
        <v>5.738095238095239</v>
      </c>
      <c r="G545" s="545">
        <v>5.05</v>
      </c>
      <c r="H545" s="545">
        <v>1.6666666666666667</v>
      </c>
      <c r="I545" s="545">
        <v>4</v>
      </c>
      <c r="J545" s="545">
        <v>4.416666666666667</v>
      </c>
    </row>
    <row r="546" spans="1:10">
      <c r="A546" s="441">
        <v>11466</v>
      </c>
      <c r="B546" s="441" t="s">
        <v>1767</v>
      </c>
      <c r="C546" s="545">
        <v>0.83333333333333337</v>
      </c>
      <c r="D546" s="545">
        <v>4.6666666666666661</v>
      </c>
      <c r="E546" s="545">
        <v>0</v>
      </c>
      <c r="F546" s="545">
        <v>1.2619047619047616</v>
      </c>
      <c r="G546" s="545">
        <v>2.1</v>
      </c>
      <c r="H546" s="545">
        <v>1</v>
      </c>
      <c r="I546" s="545">
        <v>1.6666666666666667</v>
      </c>
      <c r="J546" s="545">
        <v>1.8809523809523809</v>
      </c>
    </row>
    <row r="547" spans="1:10">
      <c r="A547" s="441">
        <v>4640</v>
      </c>
      <c r="B547" s="441" t="s">
        <v>1768</v>
      </c>
      <c r="C547" s="545">
        <v>5.166666666666667</v>
      </c>
      <c r="D547" s="545">
        <v>2.666666666666667</v>
      </c>
      <c r="E547" s="545">
        <v>1</v>
      </c>
      <c r="F547" s="545">
        <v>4.2142857142857144</v>
      </c>
      <c r="G547" s="545">
        <v>0.75</v>
      </c>
      <c r="H547" s="545">
        <v>0.33333333333333331</v>
      </c>
      <c r="I547" s="545">
        <v>0.33333333333333331</v>
      </c>
      <c r="J547" s="545">
        <v>0.63095238095238082</v>
      </c>
    </row>
    <row r="548" spans="1:10">
      <c r="A548" s="441">
        <v>4638</v>
      </c>
      <c r="B548" s="441" t="s">
        <v>1769</v>
      </c>
      <c r="C548" s="545">
        <v>11.333333333333332</v>
      </c>
      <c r="D548" s="545">
        <v>5.333333333333333</v>
      </c>
      <c r="E548" s="545">
        <v>0.33333333333333331</v>
      </c>
      <c r="F548" s="545">
        <v>8.9047619047619033</v>
      </c>
      <c r="G548" s="545">
        <v>1</v>
      </c>
      <c r="H548" s="545">
        <v>0.66666666666666663</v>
      </c>
      <c r="I548" s="545">
        <v>0.33333333333333331</v>
      </c>
      <c r="J548" s="545">
        <v>0.8571428571428571</v>
      </c>
    </row>
    <row r="549" spans="1:10">
      <c r="A549" s="441">
        <v>4637</v>
      </c>
      <c r="B549" s="441" t="s">
        <v>1770</v>
      </c>
      <c r="C549" s="545">
        <v>13.5</v>
      </c>
      <c r="D549" s="545">
        <v>5.333333333333333</v>
      </c>
      <c r="E549" s="545">
        <v>8</v>
      </c>
      <c r="F549" s="545">
        <v>11.547619047619047</v>
      </c>
      <c r="G549" s="545">
        <v>1.6</v>
      </c>
      <c r="H549" s="545">
        <v>5.666666666666667</v>
      </c>
      <c r="I549" s="545">
        <v>0.33333333333333331</v>
      </c>
      <c r="J549" s="545">
        <v>2.0000000000000004</v>
      </c>
    </row>
    <row r="550" spans="1:10">
      <c r="A550" s="441">
        <v>4623</v>
      </c>
      <c r="B550" s="441" t="s">
        <v>1771</v>
      </c>
      <c r="C550" s="545">
        <v>0.66666666666666663</v>
      </c>
      <c r="D550" s="545">
        <v>0.66666666666666663</v>
      </c>
      <c r="E550" s="545">
        <v>2.3333333333333335</v>
      </c>
      <c r="F550" s="545">
        <v>0.90476190476190477</v>
      </c>
      <c r="G550" s="545">
        <v>0.75</v>
      </c>
      <c r="H550" s="545">
        <v>1</v>
      </c>
      <c r="I550" s="545">
        <v>2.3333333333333335</v>
      </c>
      <c r="J550" s="545">
        <v>1.0119047619047621</v>
      </c>
    </row>
    <row r="551" spans="1:10">
      <c r="A551" s="441">
        <v>4633</v>
      </c>
      <c r="B551" s="441" t="s">
        <v>1771</v>
      </c>
      <c r="C551" s="545">
        <v>1.8333333333333335</v>
      </c>
      <c r="D551" s="545">
        <v>0.33333333333333331</v>
      </c>
      <c r="E551" s="545">
        <v>1.3333333333333333</v>
      </c>
      <c r="F551" s="545">
        <v>1.5476190476190479</v>
      </c>
      <c r="G551" s="545">
        <v>3.75</v>
      </c>
      <c r="H551" s="545">
        <v>0.33333333333333331</v>
      </c>
      <c r="I551" s="545">
        <v>1.3333333333333333</v>
      </c>
      <c r="J551" s="545">
        <v>2.9166666666666665</v>
      </c>
    </row>
    <row r="552" spans="1:10">
      <c r="A552" s="441">
        <v>4641</v>
      </c>
      <c r="B552" s="441" t="s">
        <v>1772</v>
      </c>
      <c r="C552" s="545">
        <v>22</v>
      </c>
      <c r="D552" s="545">
        <v>8.6666666666666679</v>
      </c>
      <c r="E552" s="545">
        <v>4</v>
      </c>
      <c r="F552" s="545">
        <v>17.523809523809526</v>
      </c>
      <c r="G552" s="545">
        <v>2.85</v>
      </c>
      <c r="H552" s="545">
        <v>0.33333333333333331</v>
      </c>
      <c r="I552" s="545">
        <v>1</v>
      </c>
      <c r="J552" s="545">
        <v>2.2261904761904763</v>
      </c>
    </row>
    <row r="553" spans="1:10">
      <c r="A553" s="441">
        <v>4622</v>
      </c>
      <c r="B553" s="441" t="s">
        <v>1773</v>
      </c>
      <c r="C553" s="545">
        <v>4.666666666666667</v>
      </c>
      <c r="D553" s="545">
        <v>2.6666666666666665</v>
      </c>
      <c r="E553" s="545">
        <v>1.6666666666666667</v>
      </c>
      <c r="F553" s="545">
        <v>3.952380952380953</v>
      </c>
      <c r="G553" s="545">
        <v>3.7</v>
      </c>
      <c r="H553" s="545">
        <v>2.6666666666666665</v>
      </c>
      <c r="I553" s="545">
        <v>4</v>
      </c>
      <c r="J553" s="545">
        <v>3.5952380952380953</v>
      </c>
    </row>
    <row r="554" spans="1:10">
      <c r="A554" s="441">
        <v>4634</v>
      </c>
      <c r="B554" s="441" t="s">
        <v>1773</v>
      </c>
      <c r="C554" s="545">
        <v>2.1666666666666665</v>
      </c>
      <c r="D554" s="545">
        <v>1.6666666666666665</v>
      </c>
      <c r="E554" s="545">
        <v>0.33333333333333331</v>
      </c>
      <c r="F554" s="545">
        <v>1.8333333333333333</v>
      </c>
      <c r="G554" s="545">
        <v>2.8</v>
      </c>
      <c r="H554" s="545">
        <v>0.33333333333333331</v>
      </c>
      <c r="I554" s="545">
        <v>0.66666666666666663</v>
      </c>
      <c r="J554" s="545">
        <v>2.1428571428571428</v>
      </c>
    </row>
    <row r="555" spans="1:10">
      <c r="A555" s="441">
        <v>4621</v>
      </c>
      <c r="B555" s="441" t="s">
        <v>1774</v>
      </c>
      <c r="C555" s="545">
        <v>15.666666666666666</v>
      </c>
      <c r="D555" s="545">
        <v>3</v>
      </c>
      <c r="E555" s="545">
        <v>4.333333333333333</v>
      </c>
      <c r="F555" s="545">
        <v>12.238095238095237</v>
      </c>
      <c r="G555" s="545">
        <v>2.2999999999999998</v>
      </c>
      <c r="H555" s="545">
        <v>5</v>
      </c>
      <c r="I555" s="545">
        <v>1.6666666666666667</v>
      </c>
      <c r="J555" s="545">
        <v>2.5952380952380953</v>
      </c>
    </row>
    <row r="556" spans="1:10">
      <c r="A556" s="441">
        <v>4635</v>
      </c>
      <c r="B556" s="441" t="s">
        <v>1775</v>
      </c>
      <c r="C556" s="545">
        <v>7.833333333333333</v>
      </c>
      <c r="D556" s="545">
        <v>1</v>
      </c>
      <c r="E556" s="545">
        <v>1</v>
      </c>
      <c r="F556" s="545">
        <v>5.8809523809523805</v>
      </c>
      <c r="G556" s="545">
        <v>2.4</v>
      </c>
      <c r="H556" s="545">
        <v>0.66666666666666663</v>
      </c>
      <c r="I556" s="545">
        <v>0.66666666666666663</v>
      </c>
      <c r="J556" s="545">
        <v>1.9047619047619047</v>
      </c>
    </row>
    <row r="557" spans="1:10">
      <c r="A557" s="441">
        <v>4636</v>
      </c>
      <c r="B557" s="441" t="s">
        <v>1776</v>
      </c>
      <c r="C557" s="545">
        <v>5.333333333333333</v>
      </c>
      <c r="D557" s="545">
        <v>2</v>
      </c>
      <c r="E557" s="545">
        <v>1</v>
      </c>
      <c r="F557" s="545">
        <v>4.2380952380952381</v>
      </c>
      <c r="G557" s="545">
        <v>1.75</v>
      </c>
      <c r="H557" s="545">
        <v>1</v>
      </c>
      <c r="I557" s="545">
        <v>0</v>
      </c>
      <c r="J557" s="545">
        <v>1.3928571428571428</v>
      </c>
    </row>
    <row r="558" spans="1:10">
      <c r="A558" s="441">
        <v>12996</v>
      </c>
      <c r="B558" s="441" t="s">
        <v>1777</v>
      </c>
      <c r="C558" s="545" t="e">
        <v>#N/A</v>
      </c>
      <c r="D558" s="545" t="e">
        <v>#N/A</v>
      </c>
      <c r="E558" s="545" t="e">
        <v>#N/A</v>
      </c>
      <c r="F558" s="545" t="e">
        <v>#N/A</v>
      </c>
      <c r="G558" s="545">
        <v>21</v>
      </c>
      <c r="H558" s="545"/>
      <c r="I558" s="545"/>
      <c r="J558" s="545">
        <v>15</v>
      </c>
    </row>
    <row r="559" spans="1:10">
      <c r="A559" s="441">
        <v>11605</v>
      </c>
      <c r="B559" s="441" t="s">
        <v>1778</v>
      </c>
      <c r="C559" s="545">
        <v>93.666666666666657</v>
      </c>
      <c r="D559" s="545">
        <v>0</v>
      </c>
      <c r="E559" s="545">
        <v>0</v>
      </c>
      <c r="F559" s="545">
        <v>66.904761904761898</v>
      </c>
      <c r="G559" s="545">
        <v>20.25</v>
      </c>
      <c r="H559" s="545"/>
      <c r="I559" s="545"/>
      <c r="J559" s="545">
        <v>14.464285714285714</v>
      </c>
    </row>
    <row r="560" spans="1:10">
      <c r="A560" s="441">
        <v>989</v>
      </c>
      <c r="B560" s="441" t="s">
        <v>1779</v>
      </c>
      <c r="C560" s="545">
        <v>0</v>
      </c>
      <c r="D560" s="545">
        <v>0</v>
      </c>
      <c r="E560" s="545">
        <v>0</v>
      </c>
      <c r="F560" s="545">
        <v>0</v>
      </c>
      <c r="G560" s="545">
        <v>0.45</v>
      </c>
      <c r="H560" s="545">
        <v>1</v>
      </c>
      <c r="I560" s="545">
        <v>0</v>
      </c>
      <c r="J560" s="545">
        <v>0.4642857142857143</v>
      </c>
    </row>
    <row r="561" spans="1:10">
      <c r="A561" s="441">
        <v>10959</v>
      </c>
      <c r="B561" s="441" t="s">
        <v>1779</v>
      </c>
      <c r="C561" s="545">
        <v>0</v>
      </c>
      <c r="D561" s="545">
        <v>0</v>
      </c>
      <c r="E561" s="545">
        <v>0</v>
      </c>
      <c r="F561" s="545">
        <v>0</v>
      </c>
      <c r="G561" s="545">
        <v>0.9</v>
      </c>
      <c r="H561" s="545">
        <v>0.33333333333333331</v>
      </c>
      <c r="I561" s="545">
        <v>0</v>
      </c>
      <c r="J561" s="545">
        <v>0.69047619047619047</v>
      </c>
    </row>
    <row r="562" spans="1:10">
      <c r="A562" s="441">
        <v>784</v>
      </c>
      <c r="B562" s="441" t="s">
        <v>1780</v>
      </c>
      <c r="C562" s="545">
        <v>14.833333333333332</v>
      </c>
      <c r="D562" s="545">
        <v>8.6666666666666679</v>
      </c>
      <c r="E562" s="545">
        <v>6.3333333333333339</v>
      </c>
      <c r="F562" s="545">
        <v>12.738095238095237</v>
      </c>
      <c r="G562" s="545">
        <v>15.2</v>
      </c>
      <c r="H562" s="545">
        <v>6.666666666666667</v>
      </c>
      <c r="I562" s="545">
        <v>7.666666666666667</v>
      </c>
      <c r="J562" s="545">
        <v>12.904761904761907</v>
      </c>
    </row>
    <row r="563" spans="1:10">
      <c r="A563" s="441">
        <v>974</v>
      </c>
      <c r="B563" s="441" t="s">
        <v>1780</v>
      </c>
      <c r="C563" s="545">
        <v>9</v>
      </c>
      <c r="D563" s="545">
        <v>5</v>
      </c>
      <c r="E563" s="545">
        <v>6.666666666666667</v>
      </c>
      <c r="F563" s="545">
        <v>8.0952380952380949</v>
      </c>
      <c r="G563" s="545">
        <v>10.85</v>
      </c>
      <c r="H563" s="545">
        <v>9.3333333333333339</v>
      </c>
      <c r="I563" s="545">
        <v>5.666666666666667</v>
      </c>
      <c r="J563" s="545">
        <v>9.8928571428571423</v>
      </c>
    </row>
    <row r="564" spans="1:10">
      <c r="A564" s="441">
        <v>778</v>
      </c>
      <c r="B564" s="441" t="s">
        <v>1781</v>
      </c>
      <c r="C564" s="545">
        <v>6.333333333333333</v>
      </c>
      <c r="D564" s="545">
        <v>5.666666666666667</v>
      </c>
      <c r="E564" s="545">
        <v>2.3333333333333335</v>
      </c>
      <c r="F564" s="545">
        <v>5.6666666666666661</v>
      </c>
      <c r="G564" s="545">
        <v>4.6500000000000004</v>
      </c>
      <c r="H564" s="545">
        <v>4.666666666666667</v>
      </c>
      <c r="I564" s="545">
        <v>3</v>
      </c>
      <c r="J564" s="545">
        <v>4.416666666666667</v>
      </c>
    </row>
    <row r="565" spans="1:10">
      <c r="A565" s="441">
        <v>980</v>
      </c>
      <c r="B565" s="441" t="s">
        <v>1781</v>
      </c>
      <c r="C565" s="545">
        <v>10.666666666666666</v>
      </c>
      <c r="D565" s="545">
        <v>2.3333333333333335</v>
      </c>
      <c r="E565" s="545">
        <v>2.666666666666667</v>
      </c>
      <c r="F565" s="545">
        <v>8.3333333333333321</v>
      </c>
      <c r="G565" s="545">
        <v>2.85</v>
      </c>
      <c r="H565" s="545">
        <v>3</v>
      </c>
      <c r="I565" s="545">
        <v>2.3333333333333335</v>
      </c>
      <c r="J565" s="545">
        <v>2.7976190476190474</v>
      </c>
    </row>
    <row r="566" spans="1:10">
      <c r="A566" s="441">
        <v>982</v>
      </c>
      <c r="B566" s="441" t="s">
        <v>1782</v>
      </c>
      <c r="C566" s="545">
        <v>4.166666666666667</v>
      </c>
      <c r="D566" s="545">
        <v>3.6666666666666665</v>
      </c>
      <c r="E566" s="545">
        <v>7.3333333333333339</v>
      </c>
      <c r="F566" s="545">
        <v>4.5476190476190483</v>
      </c>
      <c r="G566" s="545">
        <v>7.55</v>
      </c>
      <c r="H566" s="545">
        <v>16.666666666666668</v>
      </c>
      <c r="I566" s="545">
        <v>14</v>
      </c>
      <c r="J566" s="545">
        <v>9.7738095238095237</v>
      </c>
    </row>
    <row r="567" spans="1:10">
      <c r="A567" s="441">
        <v>992</v>
      </c>
      <c r="B567" s="441" t="s">
        <v>1782</v>
      </c>
      <c r="C567" s="545">
        <v>5.8333333333333339</v>
      </c>
      <c r="D567" s="545">
        <v>5.333333333333333</v>
      </c>
      <c r="E567" s="545">
        <v>2</v>
      </c>
      <c r="F567" s="545">
        <v>5.2142857142857153</v>
      </c>
      <c r="G567" s="545">
        <v>5.55</v>
      </c>
      <c r="H567" s="545">
        <v>5</v>
      </c>
      <c r="I567" s="545">
        <v>4.333333333333333</v>
      </c>
      <c r="J567" s="545">
        <v>5.2976190476190483</v>
      </c>
    </row>
    <row r="568" spans="1:10">
      <c r="A568" s="441">
        <v>779</v>
      </c>
      <c r="B568" s="441" t="s">
        <v>1783</v>
      </c>
      <c r="C568" s="545">
        <v>2.5</v>
      </c>
      <c r="D568" s="545">
        <v>1.6666666666666667</v>
      </c>
      <c r="E568" s="545">
        <v>1.3333333333333333</v>
      </c>
      <c r="F568" s="545">
        <v>2.2142857142857144</v>
      </c>
      <c r="G568" s="545">
        <v>3.1</v>
      </c>
      <c r="H568" s="545">
        <v>7.666666666666667</v>
      </c>
      <c r="I568" s="545">
        <v>1.3333333333333333</v>
      </c>
      <c r="J568" s="545">
        <v>3.5</v>
      </c>
    </row>
    <row r="569" spans="1:10">
      <c r="A569" s="441">
        <v>979</v>
      </c>
      <c r="B569" s="441" t="s">
        <v>1783</v>
      </c>
      <c r="C569" s="545">
        <v>3.3333333333333335</v>
      </c>
      <c r="D569" s="545">
        <v>1.3333333333333333</v>
      </c>
      <c r="E569" s="545">
        <v>3</v>
      </c>
      <c r="F569" s="545">
        <v>3</v>
      </c>
      <c r="G569" s="545">
        <v>2.7</v>
      </c>
      <c r="H569" s="545">
        <v>5.333333333333333</v>
      </c>
      <c r="I569" s="545">
        <v>5</v>
      </c>
      <c r="J569" s="545">
        <v>3.4047619047619047</v>
      </c>
    </row>
    <row r="570" spans="1:10">
      <c r="A570" s="441">
        <v>783</v>
      </c>
      <c r="B570" s="441" t="s">
        <v>1784</v>
      </c>
      <c r="C570" s="545">
        <v>3.5</v>
      </c>
      <c r="D570" s="545">
        <v>2</v>
      </c>
      <c r="E570" s="545">
        <v>1.3333333333333333</v>
      </c>
      <c r="F570" s="545">
        <v>2.9761904761904758</v>
      </c>
      <c r="G570" s="545">
        <v>2.4</v>
      </c>
      <c r="H570" s="545">
        <v>1.3333333333333333</v>
      </c>
      <c r="I570" s="545">
        <v>0</v>
      </c>
      <c r="J570" s="545">
        <v>1.9047619047619049</v>
      </c>
    </row>
    <row r="571" spans="1:10">
      <c r="A571" s="441">
        <v>975</v>
      </c>
      <c r="B571" s="441" t="s">
        <v>1784</v>
      </c>
      <c r="C571" s="545">
        <v>2.6666666666666665</v>
      </c>
      <c r="D571" s="545">
        <v>1.3333333333333333</v>
      </c>
      <c r="E571" s="545">
        <v>1.6666666666666665</v>
      </c>
      <c r="F571" s="545">
        <v>2.333333333333333</v>
      </c>
      <c r="G571" s="545">
        <v>1.1499999999999999</v>
      </c>
      <c r="H571" s="545">
        <v>0.66666666666666663</v>
      </c>
      <c r="I571" s="545">
        <v>0.33333333333333331</v>
      </c>
      <c r="J571" s="545">
        <v>0.9642857142857143</v>
      </c>
    </row>
    <row r="572" spans="1:10">
      <c r="A572" s="441">
        <v>781</v>
      </c>
      <c r="B572" s="441" t="s">
        <v>1785</v>
      </c>
      <c r="C572" s="545">
        <v>1.6666666666666667</v>
      </c>
      <c r="D572" s="545">
        <v>0.66666666666666663</v>
      </c>
      <c r="E572" s="545">
        <v>0.33333333333333331</v>
      </c>
      <c r="F572" s="545">
        <v>1.3333333333333335</v>
      </c>
      <c r="G572" s="545">
        <v>1.2</v>
      </c>
      <c r="H572" s="545">
        <v>0</v>
      </c>
      <c r="I572" s="545">
        <v>0.33333333333333331</v>
      </c>
      <c r="J572" s="545">
        <v>0.90476190476190477</v>
      </c>
    </row>
    <row r="573" spans="1:10">
      <c r="A573" s="441">
        <v>977</v>
      </c>
      <c r="B573" s="441" t="s">
        <v>1785</v>
      </c>
      <c r="C573" s="545">
        <v>1</v>
      </c>
      <c r="D573" s="545">
        <v>0</v>
      </c>
      <c r="E573" s="545">
        <v>0</v>
      </c>
      <c r="F573" s="545">
        <v>0.7142857142857143</v>
      </c>
      <c r="G573" s="545">
        <v>0.75</v>
      </c>
      <c r="H573" s="545">
        <v>0</v>
      </c>
      <c r="I573" s="545">
        <v>0.33333333333333331</v>
      </c>
      <c r="J573" s="545">
        <v>0.58333333333333326</v>
      </c>
    </row>
    <row r="574" spans="1:10">
      <c r="A574" s="441">
        <v>782</v>
      </c>
      <c r="B574" s="441" t="s">
        <v>1786</v>
      </c>
      <c r="C574" s="545">
        <v>3.833333333333333</v>
      </c>
      <c r="D574" s="545">
        <v>2</v>
      </c>
      <c r="E574" s="545">
        <v>0.66666666666666663</v>
      </c>
      <c r="F574" s="545">
        <v>3.1190476190476191</v>
      </c>
      <c r="G574" s="545">
        <v>4.3</v>
      </c>
      <c r="H574" s="545">
        <v>3.3333333333333335</v>
      </c>
      <c r="I574" s="545">
        <v>1</v>
      </c>
      <c r="J574" s="545">
        <v>3.6904761904761902</v>
      </c>
    </row>
    <row r="575" spans="1:10">
      <c r="A575" s="441">
        <v>976</v>
      </c>
      <c r="B575" s="441" t="s">
        <v>1786</v>
      </c>
      <c r="C575" s="545">
        <v>5.6666666666666661</v>
      </c>
      <c r="D575" s="545">
        <v>1</v>
      </c>
      <c r="E575" s="545">
        <v>1.3333333333333333</v>
      </c>
      <c r="F575" s="545">
        <v>4.3809523809523805</v>
      </c>
      <c r="G575" s="545">
        <v>5.0999999999999996</v>
      </c>
      <c r="H575" s="545">
        <v>5</v>
      </c>
      <c r="I575" s="545">
        <v>3</v>
      </c>
      <c r="J575" s="545">
        <v>4.7857142857142856</v>
      </c>
    </row>
    <row r="576" spans="1:10">
      <c r="A576" s="441">
        <v>780</v>
      </c>
      <c r="B576" s="441" t="s">
        <v>1787</v>
      </c>
      <c r="C576" s="545">
        <v>1.1666666666666667</v>
      </c>
      <c r="D576" s="545">
        <v>1.3333333333333333</v>
      </c>
      <c r="E576" s="545">
        <v>12</v>
      </c>
      <c r="F576" s="545">
        <v>2.7380952380952381</v>
      </c>
      <c r="G576" s="545">
        <v>6.65</v>
      </c>
      <c r="H576" s="545">
        <v>7.666666666666667</v>
      </c>
      <c r="I576" s="545">
        <v>16</v>
      </c>
      <c r="J576" s="545">
        <v>8.1309523809523814</v>
      </c>
    </row>
    <row r="577" spans="1:10">
      <c r="A577" s="441">
        <v>978</v>
      </c>
      <c r="B577" s="441" t="s">
        <v>1787</v>
      </c>
      <c r="C577" s="545">
        <v>2</v>
      </c>
      <c r="D577" s="545">
        <v>1.6666666666666667</v>
      </c>
      <c r="E577" s="545">
        <v>3</v>
      </c>
      <c r="F577" s="545">
        <v>2.0952380952380953</v>
      </c>
      <c r="G577" s="545">
        <v>4.6500000000000004</v>
      </c>
      <c r="H577" s="545">
        <v>1.3333333333333333</v>
      </c>
      <c r="I577" s="545">
        <v>3</v>
      </c>
      <c r="J577" s="545">
        <v>3.9404761904761902</v>
      </c>
    </row>
    <row r="578" spans="1:10">
      <c r="A578" s="441">
        <v>991</v>
      </c>
      <c r="B578" s="441" t="s">
        <v>1788</v>
      </c>
      <c r="C578" s="545">
        <v>7</v>
      </c>
      <c r="D578" s="545">
        <v>8</v>
      </c>
      <c r="E578" s="545">
        <v>3</v>
      </c>
      <c r="F578" s="545">
        <v>6.5714285714285712</v>
      </c>
      <c r="G578" s="545">
        <v>10.4</v>
      </c>
      <c r="H578" s="545">
        <v>8.3333333333333339</v>
      </c>
      <c r="I578" s="545">
        <v>5.333333333333333</v>
      </c>
      <c r="J578" s="545">
        <v>9.3809523809523814</v>
      </c>
    </row>
    <row r="579" spans="1:10">
      <c r="A579" s="441">
        <v>11783</v>
      </c>
      <c r="B579" s="441" t="s">
        <v>1789</v>
      </c>
      <c r="C579" s="545">
        <v>3</v>
      </c>
      <c r="D579" s="545">
        <v>6</v>
      </c>
      <c r="E579" s="545">
        <v>1.6666666666666665</v>
      </c>
      <c r="F579" s="545">
        <v>3.2380952380952381</v>
      </c>
      <c r="G579" s="545">
        <v>4.6500000000000004</v>
      </c>
      <c r="H579" s="545">
        <v>4.333333333333333</v>
      </c>
      <c r="I579" s="545">
        <v>5.333333333333333</v>
      </c>
      <c r="J579" s="545">
        <v>4.7023809523809517</v>
      </c>
    </row>
    <row r="580" spans="1:10">
      <c r="A580" s="441">
        <v>983</v>
      </c>
      <c r="B580" s="441" t="s">
        <v>1790</v>
      </c>
      <c r="C580" s="545">
        <v>6.333333333333333</v>
      </c>
      <c r="D580" s="545">
        <v>6.333333333333333</v>
      </c>
      <c r="E580" s="545">
        <v>4</v>
      </c>
      <c r="F580" s="545">
        <v>6</v>
      </c>
      <c r="G580" s="545">
        <v>8.9499999999999993</v>
      </c>
      <c r="H580" s="545">
        <v>3</v>
      </c>
      <c r="I580" s="545">
        <v>2.6666666666666665</v>
      </c>
      <c r="J580" s="545">
        <v>7.2023809523809517</v>
      </c>
    </row>
    <row r="581" spans="1:10">
      <c r="A581" s="441">
        <v>11365</v>
      </c>
      <c r="B581" s="441" t="s">
        <v>1790</v>
      </c>
      <c r="C581" s="545">
        <v>1.6666666666666667</v>
      </c>
      <c r="D581" s="545">
        <v>0.66666666666666663</v>
      </c>
      <c r="E581" s="545">
        <v>0.66666666666666663</v>
      </c>
      <c r="F581" s="545">
        <v>1.3809523809523809</v>
      </c>
      <c r="G581" s="545">
        <v>1.95</v>
      </c>
      <c r="H581" s="545">
        <v>1</v>
      </c>
      <c r="I581" s="545">
        <v>0.66666666666666663</v>
      </c>
      <c r="J581" s="545">
        <v>1.6309523809523809</v>
      </c>
    </row>
    <row r="582" spans="1:10">
      <c r="A582" s="441">
        <v>984</v>
      </c>
      <c r="B582" s="441" t="s">
        <v>1791</v>
      </c>
      <c r="C582" s="545">
        <v>0.5</v>
      </c>
      <c r="D582" s="545">
        <v>1</v>
      </c>
      <c r="E582" s="545">
        <v>0.33333333333333331</v>
      </c>
      <c r="F582" s="545">
        <v>0.54761904761904767</v>
      </c>
      <c r="G582" s="545">
        <v>0.95</v>
      </c>
      <c r="H582" s="545">
        <v>0.66666666666666663</v>
      </c>
      <c r="I582" s="545">
        <v>0.33333333333333331</v>
      </c>
      <c r="J582" s="545">
        <v>0.8214285714285714</v>
      </c>
    </row>
    <row r="583" spans="1:10">
      <c r="A583" s="441">
        <v>777</v>
      </c>
      <c r="B583" s="441" t="s">
        <v>1792</v>
      </c>
      <c r="C583" s="545">
        <v>3</v>
      </c>
      <c r="D583" s="545">
        <v>1.3333333333333333</v>
      </c>
      <c r="E583" s="545">
        <v>0.33333333333333331</v>
      </c>
      <c r="F583" s="545">
        <v>2.3809523809523805</v>
      </c>
      <c r="G583" s="545">
        <v>2.85</v>
      </c>
      <c r="H583" s="545">
        <v>2.3333333333333335</v>
      </c>
      <c r="I583" s="545">
        <v>0.66666666666666663</v>
      </c>
      <c r="J583" s="545">
        <v>2.4642857142857144</v>
      </c>
    </row>
    <row r="584" spans="1:10">
      <c r="A584" s="441">
        <v>981</v>
      </c>
      <c r="B584" s="441" t="s">
        <v>1792</v>
      </c>
      <c r="C584" s="545">
        <v>4.833333333333333</v>
      </c>
      <c r="D584" s="545">
        <v>2</v>
      </c>
      <c r="E584" s="545">
        <v>0.33333333333333331</v>
      </c>
      <c r="F584" s="545">
        <v>3.7857142857142851</v>
      </c>
      <c r="G584" s="545">
        <v>2.4500000000000002</v>
      </c>
      <c r="H584" s="545">
        <v>2.6666666666666665</v>
      </c>
      <c r="I584" s="545">
        <v>1.6666666666666667</v>
      </c>
      <c r="J584" s="545">
        <v>2.3690476190476191</v>
      </c>
    </row>
    <row r="585" spans="1:10">
      <c r="A585" s="441">
        <v>985</v>
      </c>
      <c r="B585" s="441" t="s">
        <v>1793</v>
      </c>
      <c r="C585" s="545">
        <v>12.333333333333334</v>
      </c>
      <c r="D585" s="545">
        <v>17.333333333333332</v>
      </c>
      <c r="E585" s="545">
        <v>4.666666666666667</v>
      </c>
      <c r="F585" s="545">
        <v>11.952380952380953</v>
      </c>
      <c r="G585" s="545">
        <v>14.1</v>
      </c>
      <c r="H585" s="545">
        <v>14</v>
      </c>
      <c r="I585" s="545">
        <v>4.666666666666667</v>
      </c>
      <c r="J585" s="545">
        <v>12.738095238095239</v>
      </c>
    </row>
    <row r="586" spans="1:10">
      <c r="A586" s="441">
        <v>990</v>
      </c>
      <c r="B586" s="441" t="s">
        <v>1793</v>
      </c>
      <c r="C586" s="545">
        <v>19.5</v>
      </c>
      <c r="D586" s="545">
        <v>11.666666666666668</v>
      </c>
      <c r="E586" s="545">
        <v>9.6666666666666679</v>
      </c>
      <c r="F586" s="545">
        <v>16.976190476190478</v>
      </c>
      <c r="G586" s="545">
        <v>22</v>
      </c>
      <c r="H586" s="545">
        <v>17.666666666666668</v>
      </c>
      <c r="I586" s="545">
        <v>10.333333333333334</v>
      </c>
      <c r="J586" s="545">
        <v>19.714285714285715</v>
      </c>
    </row>
    <row r="587" spans="1:10">
      <c r="A587" s="441">
        <v>11696</v>
      </c>
      <c r="B587" s="441" t="s">
        <v>1793</v>
      </c>
      <c r="C587" s="545">
        <v>9.3333333333333321</v>
      </c>
      <c r="D587" s="545">
        <v>5.6666666666666661</v>
      </c>
      <c r="E587" s="545">
        <v>7</v>
      </c>
      <c r="F587" s="545">
        <v>8.4761904761904745</v>
      </c>
      <c r="G587" s="545">
        <v>12.1</v>
      </c>
      <c r="H587" s="545">
        <v>13.333333333333334</v>
      </c>
      <c r="I587" s="545">
        <v>13.333333333333334</v>
      </c>
      <c r="J587" s="545">
        <v>12.452380952380951</v>
      </c>
    </row>
    <row r="588" spans="1:10">
      <c r="A588" s="441">
        <v>987</v>
      </c>
      <c r="B588" s="441" t="s">
        <v>1794</v>
      </c>
      <c r="C588" s="545">
        <v>0.66666666666666663</v>
      </c>
      <c r="D588" s="545">
        <v>0</v>
      </c>
      <c r="E588" s="545">
        <v>0</v>
      </c>
      <c r="F588" s="545">
        <v>0.47619047619047616</v>
      </c>
      <c r="G588" s="545">
        <v>0.7</v>
      </c>
      <c r="H588" s="545">
        <v>2.3333333333333335</v>
      </c>
      <c r="I588" s="545">
        <v>1</v>
      </c>
      <c r="J588" s="545">
        <v>0.97619047619047628</v>
      </c>
    </row>
    <row r="589" spans="1:10">
      <c r="A589" s="441">
        <v>1370</v>
      </c>
      <c r="B589" s="441" t="s">
        <v>1795</v>
      </c>
      <c r="C589" s="545">
        <v>0</v>
      </c>
      <c r="D589" s="545">
        <v>0</v>
      </c>
      <c r="E589" s="545">
        <v>0</v>
      </c>
      <c r="F589" s="545">
        <v>0</v>
      </c>
      <c r="G589" s="545">
        <v>0</v>
      </c>
      <c r="H589" s="545">
        <v>0</v>
      </c>
      <c r="I589" s="545">
        <v>0</v>
      </c>
      <c r="J589" s="545">
        <v>0</v>
      </c>
    </row>
    <row r="590" spans="1:10">
      <c r="A590" s="441">
        <v>10235</v>
      </c>
      <c r="B590" s="441" t="s">
        <v>1795</v>
      </c>
      <c r="C590" s="545">
        <v>0</v>
      </c>
      <c r="D590" s="545">
        <v>0</v>
      </c>
      <c r="E590" s="545">
        <v>0</v>
      </c>
      <c r="F590" s="545">
        <v>0</v>
      </c>
      <c r="G590" s="545">
        <v>0.05</v>
      </c>
      <c r="H590" s="545">
        <v>0</v>
      </c>
      <c r="I590" s="545">
        <v>0</v>
      </c>
      <c r="J590" s="545">
        <v>3.5714285714285712E-2</v>
      </c>
    </row>
    <row r="591" spans="1:10">
      <c r="A591" s="441">
        <v>10236</v>
      </c>
      <c r="B591" s="441" t="s">
        <v>1796</v>
      </c>
      <c r="C591" s="545">
        <v>24.166666666666668</v>
      </c>
      <c r="D591" s="545">
        <v>12.333333333333332</v>
      </c>
      <c r="E591" s="545">
        <v>6.3333333333333339</v>
      </c>
      <c r="F591" s="545">
        <v>19.928571428571434</v>
      </c>
      <c r="G591" s="545">
        <v>2.4500000000000002</v>
      </c>
      <c r="H591" s="545">
        <v>2.3333333333333335</v>
      </c>
      <c r="I591" s="545">
        <v>1.6666666666666667</v>
      </c>
      <c r="J591" s="545">
        <v>2.3214285714285716</v>
      </c>
    </row>
    <row r="592" spans="1:10">
      <c r="A592" s="441">
        <v>13101</v>
      </c>
      <c r="B592" s="441" t="s">
        <v>1797</v>
      </c>
      <c r="C592" s="545">
        <v>86</v>
      </c>
      <c r="D592" s="545">
        <v>77</v>
      </c>
      <c r="E592" s="545">
        <v>77</v>
      </c>
      <c r="F592" s="545">
        <v>83.428571428571431</v>
      </c>
      <c r="G592" s="545">
        <v>69.900000000000006</v>
      </c>
      <c r="H592" s="545">
        <v>11.333333333333334</v>
      </c>
      <c r="I592" s="545">
        <v>20.666666666666668</v>
      </c>
      <c r="J592" s="545">
        <v>54.5</v>
      </c>
    </row>
    <row r="593" spans="1:10">
      <c r="A593" s="441">
        <v>12316</v>
      </c>
      <c r="B593" s="441" t="s">
        <v>1798</v>
      </c>
      <c r="C593" s="545">
        <v>203.33333333333334</v>
      </c>
      <c r="D593" s="545">
        <v>87.333333333333329</v>
      </c>
      <c r="E593" s="545">
        <v>111.33333333333333</v>
      </c>
      <c r="F593" s="545">
        <v>173.61904761904762</v>
      </c>
      <c r="G593" s="545">
        <v>130.69999999999999</v>
      </c>
      <c r="H593" s="545">
        <v>58.333333333333336</v>
      </c>
      <c r="I593" s="545">
        <v>96.666666666666671</v>
      </c>
      <c r="J593" s="545">
        <v>115.5</v>
      </c>
    </row>
    <row r="594" spans="1:10">
      <c r="A594" s="441">
        <v>12315</v>
      </c>
      <c r="B594" s="441" t="s">
        <v>1799</v>
      </c>
      <c r="C594" s="545">
        <v>9.5</v>
      </c>
      <c r="D594" s="545">
        <v>8.3333333333333321</v>
      </c>
      <c r="E594" s="545">
        <v>3</v>
      </c>
      <c r="F594" s="545">
        <v>8.4047619047619033</v>
      </c>
      <c r="G594" s="545">
        <v>10.75</v>
      </c>
      <c r="H594" s="545">
        <v>5.333333333333333</v>
      </c>
      <c r="I594" s="545">
        <v>2.6666666666666665</v>
      </c>
      <c r="J594" s="545">
        <v>8.8214285714285712</v>
      </c>
    </row>
    <row r="595" spans="1:10">
      <c r="A595" s="441">
        <v>4101</v>
      </c>
      <c r="B595" s="441" t="s">
        <v>1800</v>
      </c>
      <c r="C595" s="545">
        <v>3.1666666666666665</v>
      </c>
      <c r="D595" s="545">
        <v>1</v>
      </c>
      <c r="E595" s="545">
        <v>0.66666666666666663</v>
      </c>
      <c r="F595" s="545">
        <v>2.5</v>
      </c>
      <c r="G595" s="545">
        <v>3.45</v>
      </c>
      <c r="H595" s="545">
        <v>0.33333333333333331</v>
      </c>
      <c r="I595" s="545">
        <v>1</v>
      </c>
      <c r="J595" s="545">
        <v>2.6547619047619047</v>
      </c>
    </row>
    <row r="596" spans="1:10">
      <c r="A596" s="441">
        <v>6757</v>
      </c>
      <c r="B596" s="441" t="s">
        <v>1801</v>
      </c>
      <c r="C596" s="545">
        <v>7.5</v>
      </c>
      <c r="D596" s="545">
        <v>2.3333333333333335</v>
      </c>
      <c r="E596" s="545">
        <v>3.6666666666666665</v>
      </c>
      <c r="F596" s="545">
        <v>6.2142857142857144</v>
      </c>
      <c r="G596" s="545">
        <v>6.95</v>
      </c>
      <c r="H596" s="545">
        <v>4.666666666666667</v>
      </c>
      <c r="I596" s="545">
        <v>0.66666666666666663</v>
      </c>
      <c r="J596" s="545">
        <v>5.7261904761904754</v>
      </c>
    </row>
    <row r="597" spans="1:10">
      <c r="A597" s="441">
        <v>7808</v>
      </c>
      <c r="B597" s="441" t="s">
        <v>1802</v>
      </c>
      <c r="C597" s="545">
        <v>16</v>
      </c>
      <c r="D597" s="545">
        <v>18</v>
      </c>
      <c r="E597" s="545">
        <v>7.333333333333333</v>
      </c>
      <c r="F597" s="545">
        <v>15.047619047619047</v>
      </c>
      <c r="G597" s="545">
        <v>14.65</v>
      </c>
      <c r="H597" s="545">
        <v>11.666666666666666</v>
      </c>
      <c r="I597" s="545">
        <v>9</v>
      </c>
      <c r="J597" s="545">
        <v>13.416666666666668</v>
      </c>
    </row>
    <row r="598" spans="1:10">
      <c r="A598" s="441">
        <v>8226</v>
      </c>
      <c r="B598" s="441" t="s">
        <v>1802</v>
      </c>
      <c r="C598" s="545">
        <v>14.666666666666666</v>
      </c>
      <c r="D598" s="545">
        <v>7.666666666666667</v>
      </c>
      <c r="E598" s="545">
        <v>5.333333333333333</v>
      </c>
      <c r="F598" s="545">
        <v>12.333333333333332</v>
      </c>
      <c r="G598" s="545">
        <v>15.2</v>
      </c>
      <c r="H598" s="545">
        <v>10.333333333333334</v>
      </c>
      <c r="I598" s="545">
        <v>7.333333333333333</v>
      </c>
      <c r="J598" s="545">
        <v>13.38095238095238</v>
      </c>
    </row>
    <row r="599" spans="1:10">
      <c r="A599" s="441">
        <v>6725</v>
      </c>
      <c r="B599" s="441" t="s">
        <v>1803</v>
      </c>
      <c r="C599" s="545">
        <v>14.833333333333332</v>
      </c>
      <c r="D599" s="545">
        <v>15</v>
      </c>
      <c r="E599" s="545">
        <v>7.6666666666666661</v>
      </c>
      <c r="F599" s="545">
        <v>13.833333333333332</v>
      </c>
      <c r="G599" s="545">
        <v>12.15</v>
      </c>
      <c r="H599" s="545">
        <v>12.666666666666666</v>
      </c>
      <c r="I599" s="545">
        <v>7.333333333333333</v>
      </c>
      <c r="J599" s="545">
        <v>11.535714285714286</v>
      </c>
    </row>
    <row r="600" spans="1:10">
      <c r="A600" s="441">
        <v>6759</v>
      </c>
      <c r="B600" s="441" t="s">
        <v>1803</v>
      </c>
      <c r="C600" s="545">
        <v>21.333333333333336</v>
      </c>
      <c r="D600" s="545">
        <v>16</v>
      </c>
      <c r="E600" s="545">
        <v>12.333333333333334</v>
      </c>
      <c r="F600" s="545">
        <v>19.285714285714288</v>
      </c>
      <c r="G600" s="545">
        <v>17.8</v>
      </c>
      <c r="H600" s="545">
        <v>12.666666666666666</v>
      </c>
      <c r="I600" s="545">
        <v>7.666666666666667</v>
      </c>
      <c r="J600" s="545">
        <v>15.61904761904762</v>
      </c>
    </row>
    <row r="601" spans="1:10">
      <c r="A601" s="441">
        <v>6726</v>
      </c>
      <c r="B601" s="441" t="s">
        <v>1804</v>
      </c>
      <c r="C601" s="545">
        <v>169.5</v>
      </c>
      <c r="D601" s="545">
        <v>140.33333333333331</v>
      </c>
      <c r="E601" s="545">
        <v>105.33333333333333</v>
      </c>
      <c r="F601" s="545">
        <v>156.16666666666666</v>
      </c>
      <c r="G601" s="545">
        <v>107.8</v>
      </c>
      <c r="H601" s="545">
        <v>74</v>
      </c>
      <c r="I601" s="545">
        <v>63.666666666666664</v>
      </c>
      <c r="J601" s="545">
        <v>96.666666666666657</v>
      </c>
    </row>
    <row r="602" spans="1:10">
      <c r="A602" s="441">
        <v>6758</v>
      </c>
      <c r="B602" s="441" t="s">
        <v>1804</v>
      </c>
      <c r="C602" s="545">
        <v>171.5</v>
      </c>
      <c r="D602" s="545">
        <v>148.66666666666669</v>
      </c>
      <c r="E602" s="545">
        <v>106.66666666666667</v>
      </c>
      <c r="F602" s="545">
        <v>158.97619047619051</v>
      </c>
      <c r="G602" s="545">
        <v>114.75</v>
      </c>
      <c r="H602" s="545">
        <v>77.333333333333329</v>
      </c>
      <c r="I602" s="545">
        <v>56</v>
      </c>
      <c r="J602" s="545">
        <v>101.01190476190477</v>
      </c>
    </row>
    <row r="603" spans="1:10">
      <c r="A603" s="441">
        <v>6723</v>
      </c>
      <c r="B603" s="441" t="s">
        <v>1805</v>
      </c>
      <c r="C603" s="545">
        <v>39.666666666666664</v>
      </c>
      <c r="D603" s="545">
        <v>13</v>
      </c>
      <c r="E603" s="545">
        <v>6</v>
      </c>
      <c r="F603" s="545">
        <v>31.047619047619044</v>
      </c>
      <c r="G603" s="545">
        <v>28.85</v>
      </c>
      <c r="H603" s="545">
        <v>9.3333333333333339</v>
      </c>
      <c r="I603" s="545">
        <v>9.3333333333333339</v>
      </c>
      <c r="J603" s="545">
        <v>23.273809523809526</v>
      </c>
    </row>
    <row r="604" spans="1:10">
      <c r="A604" s="441">
        <v>6761</v>
      </c>
      <c r="B604" s="441" t="s">
        <v>1805</v>
      </c>
      <c r="C604" s="545">
        <v>39.666666666666671</v>
      </c>
      <c r="D604" s="545">
        <v>11.333333333333332</v>
      </c>
      <c r="E604" s="545">
        <v>9.6666666666666679</v>
      </c>
      <c r="F604" s="545">
        <v>31.333333333333339</v>
      </c>
      <c r="G604" s="545">
        <v>33.65</v>
      </c>
      <c r="H604" s="545">
        <v>7.333333333333333</v>
      </c>
      <c r="I604" s="545">
        <v>9.3333333333333339</v>
      </c>
      <c r="J604" s="545">
        <v>26.416666666666668</v>
      </c>
    </row>
    <row r="605" spans="1:10">
      <c r="A605" s="441">
        <v>7806</v>
      </c>
      <c r="B605" s="441" t="s">
        <v>1806</v>
      </c>
      <c r="C605" s="545">
        <v>66.5</v>
      </c>
      <c r="D605" s="545">
        <v>64.666666666666657</v>
      </c>
      <c r="E605" s="545">
        <v>47.333333333333336</v>
      </c>
      <c r="F605" s="545">
        <v>63.499999999999993</v>
      </c>
      <c r="G605" s="545">
        <v>53.8</v>
      </c>
      <c r="H605" s="545">
        <v>35.333333333333336</v>
      </c>
      <c r="I605" s="545">
        <v>34.666666666666664</v>
      </c>
      <c r="J605" s="545">
        <v>48.428571428571431</v>
      </c>
    </row>
    <row r="606" spans="1:10">
      <c r="A606" s="441">
        <v>8228</v>
      </c>
      <c r="B606" s="441" t="s">
        <v>1806</v>
      </c>
      <c r="C606" s="545">
        <v>88</v>
      </c>
      <c r="D606" s="545">
        <v>72.666666666666671</v>
      </c>
      <c r="E606" s="545">
        <v>66.333333333333329</v>
      </c>
      <c r="F606" s="545">
        <v>82.714285714285708</v>
      </c>
      <c r="G606" s="545">
        <v>73.900000000000006</v>
      </c>
      <c r="H606" s="545">
        <v>51.333333333333336</v>
      </c>
      <c r="I606" s="545">
        <v>45.333333333333336</v>
      </c>
      <c r="J606" s="545">
        <v>66.595238095238088</v>
      </c>
    </row>
    <row r="607" spans="1:10">
      <c r="A607" s="441">
        <v>6721</v>
      </c>
      <c r="B607" s="441" t="s">
        <v>1807</v>
      </c>
      <c r="C607" s="545">
        <v>129.5</v>
      </c>
      <c r="D607" s="545">
        <v>65.333333333333329</v>
      </c>
      <c r="E607" s="545">
        <v>59</v>
      </c>
      <c r="F607" s="545">
        <v>110.26190476190477</v>
      </c>
      <c r="G607" s="545">
        <v>84.7</v>
      </c>
      <c r="H607" s="545">
        <v>49.666666666666664</v>
      </c>
      <c r="I607" s="545">
        <v>41</v>
      </c>
      <c r="J607" s="545">
        <v>73.452380952380963</v>
      </c>
    </row>
    <row r="608" spans="1:10">
      <c r="A608" s="441">
        <v>6763</v>
      </c>
      <c r="B608" s="441" t="s">
        <v>1807</v>
      </c>
      <c r="C608" s="545">
        <v>140.66666666666666</v>
      </c>
      <c r="D608" s="545">
        <v>69.666666666666657</v>
      </c>
      <c r="E608" s="545">
        <v>55.666666666666664</v>
      </c>
      <c r="F608" s="545">
        <v>118.38095238095237</v>
      </c>
      <c r="G608" s="545">
        <v>94.25</v>
      </c>
      <c r="H608" s="545">
        <v>51</v>
      </c>
      <c r="I608" s="545">
        <v>38.333333333333336</v>
      </c>
      <c r="J608" s="545">
        <v>80.083333333333343</v>
      </c>
    </row>
    <row r="609" spans="1:10">
      <c r="A609" s="441">
        <v>6722</v>
      </c>
      <c r="B609" s="441" t="s">
        <v>1808</v>
      </c>
      <c r="C609" s="545">
        <v>49.666666666666671</v>
      </c>
      <c r="D609" s="545">
        <v>21.666666666666668</v>
      </c>
      <c r="E609" s="545">
        <v>15.333333333333332</v>
      </c>
      <c r="F609" s="545">
        <v>40.761904761904766</v>
      </c>
      <c r="G609" s="545">
        <v>36.4</v>
      </c>
      <c r="H609" s="545">
        <v>29.333333333333332</v>
      </c>
      <c r="I609" s="545">
        <v>14.666666666666666</v>
      </c>
      <c r="J609" s="545">
        <v>32.285714285714285</v>
      </c>
    </row>
    <row r="610" spans="1:10">
      <c r="A610" s="441">
        <v>6762</v>
      </c>
      <c r="B610" s="441" t="s">
        <v>1808</v>
      </c>
      <c r="C610" s="545">
        <v>48.5</v>
      </c>
      <c r="D610" s="545">
        <v>20</v>
      </c>
      <c r="E610" s="545">
        <v>9.6666666666666679</v>
      </c>
      <c r="F610" s="545">
        <v>38.880952380952387</v>
      </c>
      <c r="G610" s="545">
        <v>31.5</v>
      </c>
      <c r="H610" s="545">
        <v>16.333333333333332</v>
      </c>
      <c r="I610" s="545">
        <v>12</v>
      </c>
      <c r="J610" s="545">
        <v>26.547619047619047</v>
      </c>
    </row>
    <row r="611" spans="1:10">
      <c r="A611" s="441">
        <v>6736</v>
      </c>
      <c r="B611" s="441" t="s">
        <v>1809</v>
      </c>
      <c r="C611" s="545">
        <v>13.833333333333332</v>
      </c>
      <c r="D611" s="545">
        <v>8</v>
      </c>
      <c r="E611" s="545">
        <v>5.6666666666666661</v>
      </c>
      <c r="F611" s="545">
        <v>11.833333333333332</v>
      </c>
      <c r="G611" s="545">
        <v>8.25</v>
      </c>
      <c r="H611" s="545">
        <v>5</v>
      </c>
      <c r="I611" s="545">
        <v>1.6666666666666667</v>
      </c>
      <c r="J611" s="545">
        <v>6.8452380952380949</v>
      </c>
    </row>
    <row r="612" spans="1:10">
      <c r="A612" s="441">
        <v>6748</v>
      </c>
      <c r="B612" s="441" t="s">
        <v>1809</v>
      </c>
      <c r="C612" s="545">
        <v>18</v>
      </c>
      <c r="D612" s="545">
        <v>10</v>
      </c>
      <c r="E612" s="545">
        <v>5</v>
      </c>
      <c r="F612" s="545">
        <v>15</v>
      </c>
      <c r="G612" s="545">
        <v>11.6</v>
      </c>
      <c r="H612" s="545">
        <v>6</v>
      </c>
      <c r="I612" s="545">
        <v>4</v>
      </c>
      <c r="J612" s="545">
        <v>9.7142857142857135</v>
      </c>
    </row>
    <row r="613" spans="1:10">
      <c r="A613" s="441">
        <v>6749</v>
      </c>
      <c r="B613" s="441" t="s">
        <v>1809</v>
      </c>
      <c r="C613" s="545">
        <v>0.33333333333333331</v>
      </c>
      <c r="D613" s="545">
        <v>1</v>
      </c>
      <c r="E613" s="545">
        <v>0.33333333333333331</v>
      </c>
      <c r="F613" s="545">
        <v>0.42857142857142855</v>
      </c>
      <c r="G613" s="545">
        <v>0.6</v>
      </c>
      <c r="H613" s="545">
        <v>0.33333333333333331</v>
      </c>
      <c r="I613" s="545">
        <v>0.33333333333333331</v>
      </c>
      <c r="J613" s="545">
        <v>0.52380952380952384</v>
      </c>
    </row>
    <row r="614" spans="1:10">
      <c r="A614" s="441">
        <v>6729</v>
      </c>
      <c r="B614" s="441" t="s">
        <v>1810</v>
      </c>
      <c r="C614" s="545">
        <v>7.5</v>
      </c>
      <c r="D614" s="545">
        <v>2.6666666666666665</v>
      </c>
      <c r="E614" s="545">
        <v>2.6666666666666665</v>
      </c>
      <c r="F614" s="545">
        <v>6.1190476190476186</v>
      </c>
      <c r="G614" s="545">
        <v>6.2</v>
      </c>
      <c r="H614" s="545">
        <v>6.333333333333333</v>
      </c>
      <c r="I614" s="545">
        <v>4</v>
      </c>
      <c r="J614" s="545">
        <v>5.9047619047619051</v>
      </c>
    </row>
    <row r="615" spans="1:10">
      <c r="A615" s="441">
        <v>6755</v>
      </c>
      <c r="B615" s="441" t="s">
        <v>1810</v>
      </c>
      <c r="C615" s="545">
        <v>7.5</v>
      </c>
      <c r="D615" s="545">
        <v>3</v>
      </c>
      <c r="E615" s="545">
        <v>4</v>
      </c>
      <c r="F615" s="545">
        <v>6.3571428571428568</v>
      </c>
      <c r="G615" s="545">
        <v>6.75</v>
      </c>
      <c r="H615" s="545">
        <v>4</v>
      </c>
      <c r="I615" s="545">
        <v>3.3333333333333335</v>
      </c>
      <c r="J615" s="545">
        <v>5.8690476190476195</v>
      </c>
    </row>
    <row r="616" spans="1:10">
      <c r="A616" s="441">
        <v>11981</v>
      </c>
      <c r="B616" s="441" t="s">
        <v>1811</v>
      </c>
      <c r="C616" s="545">
        <v>19</v>
      </c>
      <c r="D616" s="545">
        <v>19</v>
      </c>
      <c r="E616" s="545">
        <v>16.666666666666668</v>
      </c>
      <c r="F616" s="545">
        <v>18.666666666666664</v>
      </c>
      <c r="G616" s="545">
        <v>13.3</v>
      </c>
      <c r="H616" s="545">
        <v>9.6666666666666661</v>
      </c>
      <c r="I616" s="545">
        <v>12.666666666666666</v>
      </c>
      <c r="J616" s="545">
        <v>12.690476190476192</v>
      </c>
    </row>
    <row r="617" spans="1:10">
      <c r="A617" s="441">
        <v>11982</v>
      </c>
      <c r="B617" s="441" t="s">
        <v>1811</v>
      </c>
      <c r="C617" s="545">
        <v>13.166666666666668</v>
      </c>
      <c r="D617" s="545">
        <v>11.333333333333334</v>
      </c>
      <c r="E617" s="545">
        <v>12</v>
      </c>
      <c r="F617" s="545">
        <v>12.738095238095239</v>
      </c>
      <c r="G617" s="545">
        <v>8.85</v>
      </c>
      <c r="H617" s="545">
        <v>6</v>
      </c>
      <c r="I617" s="545">
        <v>8.3333333333333339</v>
      </c>
      <c r="J617" s="545">
        <v>8.3690476190476186</v>
      </c>
    </row>
    <row r="618" spans="1:10">
      <c r="A618" s="441">
        <v>6754</v>
      </c>
      <c r="B618" s="441" t="s">
        <v>1812</v>
      </c>
      <c r="C618" s="545">
        <v>4.166666666666667</v>
      </c>
      <c r="D618" s="545">
        <v>2</v>
      </c>
      <c r="E618" s="545">
        <v>2</v>
      </c>
      <c r="F618" s="545">
        <v>3.5476190476190479</v>
      </c>
      <c r="G618" s="545">
        <v>2.65</v>
      </c>
      <c r="H618" s="545">
        <v>2.6666666666666665</v>
      </c>
      <c r="I618" s="545">
        <v>3.3333333333333335</v>
      </c>
      <c r="J618" s="545">
        <v>2.75</v>
      </c>
    </row>
    <row r="619" spans="1:10">
      <c r="A619" s="441">
        <v>6737</v>
      </c>
      <c r="B619" s="441" t="s">
        <v>1813</v>
      </c>
      <c r="C619" s="545">
        <v>21.333333333333336</v>
      </c>
      <c r="D619" s="545">
        <v>11.333333333333334</v>
      </c>
      <c r="E619" s="545">
        <v>5.666666666666667</v>
      </c>
      <c r="F619" s="545">
        <v>17.666666666666668</v>
      </c>
      <c r="G619" s="545">
        <v>11.25</v>
      </c>
      <c r="H619" s="545">
        <v>5.333333333333333</v>
      </c>
      <c r="I619" s="545">
        <v>3.6666666666666665</v>
      </c>
      <c r="J619" s="545">
        <v>9.3214285714285712</v>
      </c>
    </row>
    <row r="620" spans="1:10">
      <c r="A620" s="441">
        <v>6747</v>
      </c>
      <c r="B620" s="441" t="s">
        <v>1813</v>
      </c>
      <c r="C620" s="545">
        <v>25.333333333333336</v>
      </c>
      <c r="D620" s="545">
        <v>9.6666666666666679</v>
      </c>
      <c r="E620" s="545">
        <v>6.6666666666666661</v>
      </c>
      <c r="F620" s="545">
        <v>20.428571428571427</v>
      </c>
      <c r="G620" s="545">
        <v>14.1</v>
      </c>
      <c r="H620" s="545">
        <v>6</v>
      </c>
      <c r="I620" s="545">
        <v>4.333333333333333</v>
      </c>
      <c r="J620" s="545">
        <v>11.547619047619047</v>
      </c>
    </row>
    <row r="621" spans="1:10">
      <c r="A621" s="441">
        <v>2675</v>
      </c>
      <c r="B621" s="441" t="s">
        <v>1814</v>
      </c>
      <c r="C621" s="545">
        <v>64.5</v>
      </c>
      <c r="D621" s="545">
        <v>50</v>
      </c>
      <c r="E621" s="545">
        <v>38</v>
      </c>
      <c r="F621" s="545">
        <v>58.642857142857146</v>
      </c>
      <c r="G621" s="545">
        <v>56.55</v>
      </c>
      <c r="H621" s="545">
        <v>38.666666666666664</v>
      </c>
      <c r="I621" s="545">
        <v>40</v>
      </c>
      <c r="J621" s="545">
        <v>51.630952380952387</v>
      </c>
    </row>
    <row r="622" spans="1:10">
      <c r="A622" s="441">
        <v>8231</v>
      </c>
      <c r="B622" s="441" t="s">
        <v>1814</v>
      </c>
      <c r="C622" s="545">
        <v>84.333333333333329</v>
      </c>
      <c r="D622" s="545">
        <v>66.333333333333329</v>
      </c>
      <c r="E622" s="545">
        <v>82.666666666666671</v>
      </c>
      <c r="F622" s="545">
        <v>81.523809523809518</v>
      </c>
      <c r="G622" s="545">
        <v>55.75</v>
      </c>
      <c r="H622" s="545">
        <v>49</v>
      </c>
      <c r="I622" s="545">
        <v>38</v>
      </c>
      <c r="J622" s="545">
        <v>52.25</v>
      </c>
    </row>
    <row r="623" spans="1:10">
      <c r="A623" s="441">
        <v>8651</v>
      </c>
      <c r="B623" s="441" t="s">
        <v>1815</v>
      </c>
      <c r="C623" s="545">
        <v>141.5</v>
      </c>
      <c r="D623" s="545">
        <v>154.33333333333334</v>
      </c>
      <c r="E623" s="545">
        <v>99</v>
      </c>
      <c r="F623" s="545">
        <v>137.26190476190476</v>
      </c>
      <c r="G623" s="545">
        <v>121.15</v>
      </c>
      <c r="H623" s="545">
        <v>98</v>
      </c>
      <c r="I623" s="545">
        <v>74.666666666666671</v>
      </c>
      <c r="J623" s="545">
        <v>111.20238095238095</v>
      </c>
    </row>
    <row r="624" spans="1:10">
      <c r="A624" s="441">
        <v>8653</v>
      </c>
      <c r="B624" s="441" t="s">
        <v>1815</v>
      </c>
      <c r="C624" s="545">
        <v>202.83333333333334</v>
      </c>
      <c r="D624" s="545">
        <v>181.33333333333331</v>
      </c>
      <c r="E624" s="545">
        <v>152.33333333333334</v>
      </c>
      <c r="F624" s="545">
        <v>192.54761904761904</v>
      </c>
      <c r="G624" s="545">
        <v>159.80000000000001</v>
      </c>
      <c r="H624" s="545">
        <v>131</v>
      </c>
      <c r="I624" s="545">
        <v>116.66666666666667</v>
      </c>
      <c r="J624" s="545">
        <v>149.52380952380955</v>
      </c>
    </row>
    <row r="625" spans="1:10">
      <c r="A625" s="441">
        <v>8475</v>
      </c>
      <c r="B625" s="441" t="s">
        <v>1816</v>
      </c>
      <c r="C625" s="545">
        <v>67.5</v>
      </c>
      <c r="D625" s="545">
        <v>51.333333333333336</v>
      </c>
      <c r="E625" s="545">
        <v>48.333333333333329</v>
      </c>
      <c r="F625" s="545">
        <v>62.452380952380949</v>
      </c>
      <c r="G625" s="545">
        <v>63.5</v>
      </c>
      <c r="H625" s="545">
        <v>58.333333333333336</v>
      </c>
      <c r="I625" s="545">
        <v>44.333333333333336</v>
      </c>
      <c r="J625" s="545">
        <v>60.023809523809518</v>
      </c>
    </row>
    <row r="626" spans="1:10">
      <c r="A626" s="441">
        <v>8649</v>
      </c>
      <c r="B626" s="441" t="s">
        <v>1816</v>
      </c>
      <c r="C626" s="545">
        <v>64.333333333333329</v>
      </c>
      <c r="D626" s="545">
        <v>40.666666666666671</v>
      </c>
      <c r="E626" s="545">
        <v>30</v>
      </c>
      <c r="F626" s="545">
        <v>56.047619047619044</v>
      </c>
      <c r="G626" s="545">
        <v>46.45</v>
      </c>
      <c r="H626" s="545">
        <v>42.333333333333336</v>
      </c>
      <c r="I626" s="545">
        <v>30.333333333333332</v>
      </c>
      <c r="J626" s="545">
        <v>43.559523809523803</v>
      </c>
    </row>
    <row r="627" spans="1:10">
      <c r="A627" s="441">
        <v>11603</v>
      </c>
      <c r="B627" s="441" t="s">
        <v>1817</v>
      </c>
      <c r="C627" s="545">
        <v>114.5</v>
      </c>
      <c r="D627" s="545">
        <v>97.333333333333329</v>
      </c>
      <c r="E627" s="545">
        <v>71.333333333333343</v>
      </c>
      <c r="F627" s="545">
        <v>105.88095238095239</v>
      </c>
      <c r="G627" s="545">
        <v>77.75</v>
      </c>
      <c r="H627" s="545">
        <v>71</v>
      </c>
      <c r="I627" s="545">
        <v>58.666666666666664</v>
      </c>
      <c r="J627" s="545">
        <v>74.05952380952381</v>
      </c>
    </row>
    <row r="628" spans="1:10">
      <c r="A628" s="441">
        <v>11604</v>
      </c>
      <c r="B628" s="441" t="s">
        <v>1817</v>
      </c>
      <c r="C628" s="545">
        <v>126.16666666666667</v>
      </c>
      <c r="D628" s="545">
        <v>100.33333333333333</v>
      </c>
      <c r="E628" s="545">
        <v>77.333333333333329</v>
      </c>
      <c r="F628" s="545">
        <v>115.50000000000001</v>
      </c>
      <c r="G628" s="545">
        <v>78.05</v>
      </c>
      <c r="H628" s="545">
        <v>68.666666666666671</v>
      </c>
      <c r="I628" s="545">
        <v>64</v>
      </c>
      <c r="J628" s="545">
        <v>74.702380952380963</v>
      </c>
    </row>
    <row r="629" spans="1:10">
      <c r="A629" s="441">
        <v>8474</v>
      </c>
      <c r="B629" s="441" t="s">
        <v>1818</v>
      </c>
      <c r="C629" s="545">
        <v>145.5</v>
      </c>
      <c r="D629" s="545">
        <v>108.33333333333334</v>
      </c>
      <c r="E629" s="545">
        <v>93.666666666666657</v>
      </c>
      <c r="F629" s="545">
        <v>132.78571428571428</v>
      </c>
      <c r="G629" s="545">
        <v>93.55</v>
      </c>
      <c r="H629" s="545">
        <v>82.333333333333329</v>
      </c>
      <c r="I629" s="545">
        <v>75.666666666666671</v>
      </c>
      <c r="J629" s="545">
        <v>89.392857142857139</v>
      </c>
    </row>
    <row r="630" spans="1:10">
      <c r="A630" s="441">
        <v>8650</v>
      </c>
      <c r="B630" s="441" t="s">
        <v>1818</v>
      </c>
      <c r="C630" s="545">
        <v>166.83333333333331</v>
      </c>
      <c r="D630" s="545">
        <v>157.66666666666669</v>
      </c>
      <c r="E630" s="545">
        <v>119.66666666666666</v>
      </c>
      <c r="F630" s="545">
        <v>158.78571428571428</v>
      </c>
      <c r="G630" s="545">
        <v>123.5</v>
      </c>
      <c r="H630" s="545">
        <v>104.33333333333333</v>
      </c>
      <c r="I630" s="545">
        <v>117</v>
      </c>
      <c r="J630" s="545">
        <v>119.83333333333334</v>
      </c>
    </row>
    <row r="631" spans="1:10">
      <c r="A631" s="441">
        <v>11983</v>
      </c>
      <c r="B631" s="441" t="s">
        <v>1819</v>
      </c>
      <c r="C631" s="545">
        <v>27.166666666666664</v>
      </c>
      <c r="D631" s="545">
        <v>11</v>
      </c>
      <c r="E631" s="545">
        <v>8.3333333333333339</v>
      </c>
      <c r="F631" s="545">
        <v>22.166666666666664</v>
      </c>
      <c r="G631" s="545">
        <v>10.95</v>
      </c>
      <c r="H631" s="545">
        <v>7.666666666666667</v>
      </c>
      <c r="I631" s="545">
        <v>4.333333333333333</v>
      </c>
      <c r="J631" s="545">
        <v>9.5357142857142865</v>
      </c>
    </row>
    <row r="632" spans="1:10">
      <c r="A632" s="441">
        <v>11984</v>
      </c>
      <c r="B632" s="441" t="s">
        <v>1819</v>
      </c>
      <c r="C632" s="545">
        <v>28.5</v>
      </c>
      <c r="D632" s="545">
        <v>15</v>
      </c>
      <c r="E632" s="545">
        <v>11.666666666666668</v>
      </c>
      <c r="F632" s="545">
        <v>24.166666666666664</v>
      </c>
      <c r="G632" s="545">
        <v>14.5</v>
      </c>
      <c r="H632" s="545">
        <v>7</v>
      </c>
      <c r="I632" s="545">
        <v>3.6666666666666665</v>
      </c>
      <c r="J632" s="545">
        <v>11.880952380952381</v>
      </c>
    </row>
    <row r="633" spans="1:10">
      <c r="A633" s="441">
        <v>11979</v>
      </c>
      <c r="B633" s="441" t="s">
        <v>1820</v>
      </c>
      <c r="C633" s="545">
        <v>87.666666666666671</v>
      </c>
      <c r="D633" s="545">
        <v>47</v>
      </c>
      <c r="E633" s="545">
        <v>41.333333333333329</v>
      </c>
      <c r="F633" s="545">
        <v>75.238095238095255</v>
      </c>
      <c r="G633" s="545">
        <v>52.7</v>
      </c>
      <c r="H633" s="545">
        <v>33.666666666666664</v>
      </c>
      <c r="I633" s="545">
        <v>25</v>
      </c>
      <c r="J633" s="545">
        <v>46.023809523809526</v>
      </c>
    </row>
    <row r="634" spans="1:10">
      <c r="A634" s="441">
        <v>11980</v>
      </c>
      <c r="B634" s="441" t="s">
        <v>1820</v>
      </c>
      <c r="C634" s="545">
        <v>97.666666666666671</v>
      </c>
      <c r="D634" s="545">
        <v>56.333333333333336</v>
      </c>
      <c r="E634" s="545">
        <v>40</v>
      </c>
      <c r="F634" s="545">
        <v>83.523809523809533</v>
      </c>
      <c r="G634" s="545">
        <v>59.8</v>
      </c>
      <c r="H634" s="545">
        <v>44.666666666666664</v>
      </c>
      <c r="I634" s="545">
        <v>33.666666666666664</v>
      </c>
      <c r="J634" s="545">
        <v>53.904761904761912</v>
      </c>
    </row>
    <row r="635" spans="1:10">
      <c r="A635" s="441">
        <v>11889</v>
      </c>
      <c r="B635" s="441" t="s">
        <v>1821</v>
      </c>
      <c r="C635" s="545">
        <v>22.333333333333336</v>
      </c>
      <c r="D635" s="545">
        <v>20</v>
      </c>
      <c r="E635" s="545">
        <v>13.333333333333334</v>
      </c>
      <c r="F635" s="545">
        <v>20.714285714285719</v>
      </c>
      <c r="G635" s="545">
        <v>20.5</v>
      </c>
      <c r="H635" s="545">
        <v>14.666666666666666</v>
      </c>
      <c r="I635" s="545">
        <v>11</v>
      </c>
      <c r="J635" s="545">
        <v>18.309523809523814</v>
      </c>
    </row>
    <row r="636" spans="1:10">
      <c r="A636" s="441">
        <v>11890</v>
      </c>
      <c r="B636" s="441" t="s">
        <v>1821</v>
      </c>
      <c r="C636" s="545">
        <v>20.333333333333332</v>
      </c>
      <c r="D636" s="545">
        <v>18.666666666666668</v>
      </c>
      <c r="E636" s="545">
        <v>14.333333333333334</v>
      </c>
      <c r="F636" s="545">
        <v>19.238095238095237</v>
      </c>
      <c r="G636" s="545">
        <v>19</v>
      </c>
      <c r="H636" s="545">
        <v>18</v>
      </c>
      <c r="I636" s="545">
        <v>13</v>
      </c>
      <c r="J636" s="545">
        <v>18</v>
      </c>
    </row>
    <row r="637" spans="1:10">
      <c r="A637" s="441">
        <v>6730</v>
      </c>
      <c r="B637" s="441" t="s">
        <v>1822</v>
      </c>
      <c r="C637" s="545">
        <v>15.5</v>
      </c>
      <c r="D637" s="545">
        <v>10</v>
      </c>
      <c r="E637" s="545">
        <v>7</v>
      </c>
      <c r="F637" s="545">
        <v>13.5</v>
      </c>
      <c r="G637" s="545">
        <v>15.45</v>
      </c>
      <c r="H637" s="545">
        <v>6.666666666666667</v>
      </c>
      <c r="I637" s="545">
        <v>13.333333333333334</v>
      </c>
      <c r="J637" s="545">
        <v>13.892857142857142</v>
      </c>
    </row>
    <row r="638" spans="1:10">
      <c r="A638" s="441">
        <v>11989</v>
      </c>
      <c r="B638" s="441" t="s">
        <v>1823</v>
      </c>
      <c r="C638" s="545">
        <v>58.666666666666671</v>
      </c>
      <c r="D638" s="545">
        <v>46.666666666666664</v>
      </c>
      <c r="E638" s="545">
        <v>29.666666666666668</v>
      </c>
      <c r="F638" s="545">
        <v>52.809523809523817</v>
      </c>
      <c r="G638" s="545">
        <v>42.4</v>
      </c>
      <c r="H638" s="545">
        <v>35.666666666666664</v>
      </c>
      <c r="I638" s="545">
        <v>20</v>
      </c>
      <c r="J638" s="545">
        <v>38.238095238095234</v>
      </c>
    </row>
    <row r="639" spans="1:10">
      <c r="A639" s="441">
        <v>11990</v>
      </c>
      <c r="B639" s="441" t="s">
        <v>1823</v>
      </c>
      <c r="C639" s="545">
        <v>57.5</v>
      </c>
      <c r="D639" s="545">
        <v>34.333333333333329</v>
      </c>
      <c r="E639" s="545">
        <v>27</v>
      </c>
      <c r="F639" s="545">
        <v>49.833333333333329</v>
      </c>
      <c r="G639" s="545">
        <v>33.65</v>
      </c>
      <c r="H639" s="545">
        <v>24</v>
      </c>
      <c r="I639" s="545">
        <v>16</v>
      </c>
      <c r="J639" s="545">
        <v>29.75</v>
      </c>
    </row>
    <row r="640" spans="1:10">
      <c r="A640" s="441">
        <v>6740</v>
      </c>
      <c r="B640" s="441" t="s">
        <v>1824</v>
      </c>
      <c r="C640" s="545">
        <v>156.5</v>
      </c>
      <c r="D640" s="545">
        <v>108.66666666666667</v>
      </c>
      <c r="E640" s="545">
        <v>66</v>
      </c>
      <c r="F640" s="545">
        <v>136.73809523809524</v>
      </c>
      <c r="G640" s="545">
        <v>155.9</v>
      </c>
      <c r="H640" s="545">
        <v>105</v>
      </c>
      <c r="I640" s="545">
        <v>67.333333333333329</v>
      </c>
      <c r="J640" s="545">
        <v>135.97619047619048</v>
      </c>
    </row>
    <row r="641" spans="1:10">
      <c r="A641" s="441">
        <v>6741</v>
      </c>
      <c r="B641" s="441" t="s">
        <v>1824</v>
      </c>
      <c r="C641" s="545">
        <v>153</v>
      </c>
      <c r="D641" s="545">
        <v>173.33333333333331</v>
      </c>
      <c r="E641" s="545">
        <v>99</v>
      </c>
      <c r="F641" s="545">
        <v>148.19047619047618</v>
      </c>
      <c r="G641" s="545">
        <v>96.75</v>
      </c>
      <c r="H641" s="545">
        <v>92.333333333333329</v>
      </c>
      <c r="I641" s="545">
        <v>89.333333333333329</v>
      </c>
      <c r="J641" s="545">
        <v>95.059523809523824</v>
      </c>
    </row>
    <row r="642" spans="1:10">
      <c r="A642" s="441">
        <v>6744</v>
      </c>
      <c r="B642" s="441" t="s">
        <v>1824</v>
      </c>
      <c r="C642" s="545">
        <v>133</v>
      </c>
      <c r="D642" s="545">
        <v>125</v>
      </c>
      <c r="E642" s="545">
        <v>67</v>
      </c>
      <c r="F642" s="545">
        <v>122.42857142857143</v>
      </c>
      <c r="G642" s="545">
        <v>133.9</v>
      </c>
      <c r="H642" s="545">
        <v>117</v>
      </c>
      <c r="I642" s="545">
        <v>83.666666666666671</v>
      </c>
      <c r="J642" s="545">
        <v>124.30952380952381</v>
      </c>
    </row>
    <row r="643" spans="1:10">
      <c r="A643" s="441">
        <v>6738</v>
      </c>
      <c r="B643" s="441" t="s">
        <v>1825</v>
      </c>
      <c r="C643" s="545">
        <v>10.166666666666668</v>
      </c>
      <c r="D643" s="545">
        <v>2.6666666666666665</v>
      </c>
      <c r="E643" s="545">
        <v>1.3333333333333333</v>
      </c>
      <c r="F643" s="545">
        <v>7.8333333333333348</v>
      </c>
      <c r="G643" s="545">
        <v>28.05</v>
      </c>
      <c r="H643" s="545">
        <v>2</v>
      </c>
      <c r="I643" s="545">
        <v>1.6666666666666667</v>
      </c>
      <c r="J643" s="545">
        <v>20.559523809523807</v>
      </c>
    </row>
    <row r="644" spans="1:10">
      <c r="A644" s="441">
        <v>6746</v>
      </c>
      <c r="B644" s="441" t="s">
        <v>1825</v>
      </c>
      <c r="C644" s="545">
        <v>9.8333333333333339</v>
      </c>
      <c r="D644" s="545">
        <v>2.3333333333333335</v>
      </c>
      <c r="E644" s="545">
        <v>1.6666666666666665</v>
      </c>
      <c r="F644" s="545">
        <v>7.5952380952380958</v>
      </c>
      <c r="G644" s="545">
        <v>28.6</v>
      </c>
      <c r="H644" s="545">
        <v>2.3333333333333335</v>
      </c>
      <c r="I644" s="545">
        <v>1.3333333333333333</v>
      </c>
      <c r="J644" s="545">
        <v>20.952380952380956</v>
      </c>
    </row>
    <row r="645" spans="1:10">
      <c r="A645" s="441">
        <v>6724</v>
      </c>
      <c r="B645" s="441" t="s">
        <v>1826</v>
      </c>
      <c r="C645" s="545">
        <v>280.66666666666663</v>
      </c>
      <c r="D645" s="545">
        <v>228.66666666666669</v>
      </c>
      <c r="E645" s="545">
        <v>167.66666666666666</v>
      </c>
      <c r="F645" s="545">
        <v>257.09523809523807</v>
      </c>
      <c r="G645" s="545">
        <v>178.05</v>
      </c>
      <c r="H645" s="545">
        <v>152.66666666666666</v>
      </c>
      <c r="I645" s="545">
        <v>116.66666666666667</v>
      </c>
      <c r="J645" s="545">
        <v>165.65476190476193</v>
      </c>
    </row>
    <row r="646" spans="1:10">
      <c r="A646" s="441">
        <v>6760</v>
      </c>
      <c r="B646" s="441" t="s">
        <v>1826</v>
      </c>
      <c r="C646" s="545">
        <v>262.16666666666669</v>
      </c>
      <c r="D646" s="545">
        <v>194</v>
      </c>
      <c r="E646" s="545">
        <v>148</v>
      </c>
      <c r="F646" s="545">
        <v>236.11904761904765</v>
      </c>
      <c r="G646" s="545">
        <v>174.75</v>
      </c>
      <c r="H646" s="545">
        <v>127.66666666666667</v>
      </c>
      <c r="I646" s="545">
        <v>99.666666666666671</v>
      </c>
      <c r="J646" s="545">
        <v>157.29761904761904</v>
      </c>
    </row>
    <row r="647" spans="1:10">
      <c r="A647" s="441">
        <v>4103</v>
      </c>
      <c r="B647" s="441" t="s">
        <v>1827</v>
      </c>
      <c r="C647" s="545">
        <v>13</v>
      </c>
      <c r="D647" s="545">
        <v>8.3333333333333321</v>
      </c>
      <c r="E647" s="545">
        <v>4</v>
      </c>
      <c r="F647" s="545">
        <v>11.047619047619047</v>
      </c>
      <c r="G647" s="545">
        <v>10.5</v>
      </c>
      <c r="H647" s="545">
        <v>8</v>
      </c>
      <c r="I647" s="545">
        <v>6.333333333333333</v>
      </c>
      <c r="J647" s="545">
        <v>9.5476190476190474</v>
      </c>
    </row>
    <row r="648" spans="1:10">
      <c r="A648" s="441">
        <v>4106</v>
      </c>
      <c r="B648" s="441" t="s">
        <v>1827</v>
      </c>
      <c r="C648" s="545">
        <v>13.666666666666666</v>
      </c>
      <c r="D648" s="545">
        <v>7.3333333333333339</v>
      </c>
      <c r="E648" s="545">
        <v>5.666666666666667</v>
      </c>
      <c r="F648" s="545">
        <v>11.619047619047619</v>
      </c>
      <c r="G648" s="545">
        <v>14.8</v>
      </c>
      <c r="H648" s="545">
        <v>8.6666666666666661</v>
      </c>
      <c r="I648" s="545">
        <v>10</v>
      </c>
      <c r="J648" s="545">
        <v>13.238095238095239</v>
      </c>
    </row>
    <row r="649" spans="1:10">
      <c r="A649" s="441">
        <v>11991</v>
      </c>
      <c r="B649" s="441" t="s">
        <v>1828</v>
      </c>
      <c r="C649" s="545">
        <v>15.833333333333334</v>
      </c>
      <c r="D649" s="545">
        <v>17.666666666666668</v>
      </c>
      <c r="E649" s="545">
        <v>10</v>
      </c>
      <c r="F649" s="545">
        <v>15.261904761904763</v>
      </c>
      <c r="G649" s="545">
        <v>12.75</v>
      </c>
      <c r="H649" s="545">
        <v>10.666666666666666</v>
      </c>
      <c r="I649" s="545">
        <v>10.333333333333334</v>
      </c>
      <c r="J649" s="545">
        <v>12.107142857142858</v>
      </c>
    </row>
    <row r="650" spans="1:10">
      <c r="A650" s="441">
        <v>11992</v>
      </c>
      <c r="B650" s="441" t="s">
        <v>1828</v>
      </c>
      <c r="C650" s="545">
        <v>16.333333333333332</v>
      </c>
      <c r="D650" s="545">
        <v>14.333333333333334</v>
      </c>
      <c r="E650" s="545">
        <v>8.3333333333333339</v>
      </c>
      <c r="F650" s="545">
        <v>14.904761904761902</v>
      </c>
      <c r="G650" s="545">
        <v>11.35</v>
      </c>
      <c r="H650" s="545">
        <v>9.6666666666666661</v>
      </c>
      <c r="I650" s="545">
        <v>13.333333333333334</v>
      </c>
      <c r="J650" s="545">
        <v>11.392857142857142</v>
      </c>
    </row>
    <row r="651" spans="1:10">
      <c r="A651" s="441">
        <v>6731</v>
      </c>
      <c r="B651" s="441" t="s">
        <v>1829</v>
      </c>
      <c r="C651" s="545">
        <v>131.5</v>
      </c>
      <c r="D651" s="545">
        <v>109</v>
      </c>
      <c r="E651" s="545">
        <v>103</v>
      </c>
      <c r="F651" s="545">
        <v>124.21428571428571</v>
      </c>
      <c r="G651" s="545">
        <v>115.7</v>
      </c>
      <c r="H651" s="545">
        <v>68.333333333333329</v>
      </c>
      <c r="I651" s="545">
        <v>52.333333333333336</v>
      </c>
      <c r="J651" s="545">
        <v>99.880952380952394</v>
      </c>
    </row>
    <row r="652" spans="1:10">
      <c r="A652" s="441">
        <v>10136</v>
      </c>
      <c r="B652" s="441" t="s">
        <v>1829</v>
      </c>
      <c r="C652" s="545">
        <v>100.83333333333334</v>
      </c>
      <c r="D652" s="545">
        <v>77.333333333333329</v>
      </c>
      <c r="E652" s="545">
        <v>65.333333333333329</v>
      </c>
      <c r="F652" s="545">
        <v>92.404761904761926</v>
      </c>
      <c r="G652" s="545">
        <v>69.75</v>
      </c>
      <c r="H652" s="545">
        <v>46.666666666666664</v>
      </c>
      <c r="I652" s="545">
        <v>43.666666666666664</v>
      </c>
      <c r="J652" s="545">
        <v>62.726190476190482</v>
      </c>
    </row>
    <row r="653" spans="1:10">
      <c r="A653" s="441">
        <v>11995</v>
      </c>
      <c r="B653" s="441" t="s">
        <v>1830</v>
      </c>
      <c r="C653" s="545">
        <v>56.666666666666671</v>
      </c>
      <c r="D653" s="545">
        <v>39.666666666666671</v>
      </c>
      <c r="E653" s="545">
        <v>22.666666666666668</v>
      </c>
      <c r="F653" s="545">
        <v>49.380952380952394</v>
      </c>
      <c r="G653" s="545">
        <v>71.650000000000006</v>
      </c>
      <c r="H653" s="545">
        <v>32.666666666666664</v>
      </c>
      <c r="I653" s="545">
        <v>30</v>
      </c>
      <c r="J653" s="545">
        <v>60.130952380952387</v>
      </c>
    </row>
    <row r="654" spans="1:10">
      <c r="A654" s="441">
        <v>11996</v>
      </c>
      <c r="B654" s="441" t="s">
        <v>1830</v>
      </c>
      <c r="C654" s="545">
        <v>44.833333333333336</v>
      </c>
      <c r="D654" s="545">
        <v>31.333333333333336</v>
      </c>
      <c r="E654" s="545">
        <v>31.666666666666668</v>
      </c>
      <c r="F654" s="545">
        <v>41.023809523809526</v>
      </c>
      <c r="G654" s="545">
        <v>68.7</v>
      </c>
      <c r="H654" s="545">
        <v>35</v>
      </c>
      <c r="I654" s="545">
        <v>26.666666666666668</v>
      </c>
      <c r="J654" s="545">
        <v>57.880952380952387</v>
      </c>
    </row>
    <row r="655" spans="1:10">
      <c r="A655" s="441">
        <v>8477</v>
      </c>
      <c r="B655" s="441" t="s">
        <v>1831</v>
      </c>
      <c r="C655" s="545">
        <v>59.333333333333336</v>
      </c>
      <c r="D655" s="545">
        <v>49</v>
      </c>
      <c r="E655" s="545">
        <v>29.666666666666668</v>
      </c>
      <c r="F655" s="545">
        <v>53.619047619047628</v>
      </c>
      <c r="G655" s="545">
        <v>44.55</v>
      </c>
      <c r="H655" s="545">
        <v>28</v>
      </c>
      <c r="I655" s="545">
        <v>27</v>
      </c>
      <c r="J655" s="545">
        <v>39.678571428571431</v>
      </c>
    </row>
    <row r="656" spans="1:10">
      <c r="A656" s="441">
        <v>8478</v>
      </c>
      <c r="B656" s="441" t="s">
        <v>1831</v>
      </c>
      <c r="C656" s="545">
        <v>24.833333333333336</v>
      </c>
      <c r="D656" s="545">
        <v>24.666666666666668</v>
      </c>
      <c r="E656" s="545">
        <v>12.666666666666668</v>
      </c>
      <c r="F656" s="545">
        <v>23.071428571428573</v>
      </c>
      <c r="G656" s="545">
        <v>16.600000000000001</v>
      </c>
      <c r="H656" s="545">
        <v>10.333333333333334</v>
      </c>
      <c r="I656" s="545">
        <v>9.6666666666666661</v>
      </c>
      <c r="J656" s="545">
        <v>14.714285714285714</v>
      </c>
    </row>
    <row r="657" spans="1:10">
      <c r="A657" s="441">
        <v>8647</v>
      </c>
      <c r="B657" s="441" t="s">
        <v>1831</v>
      </c>
      <c r="C657" s="545">
        <v>64.833333333333329</v>
      </c>
      <c r="D657" s="545">
        <v>36.333333333333329</v>
      </c>
      <c r="E657" s="545">
        <v>36.333333333333329</v>
      </c>
      <c r="F657" s="545">
        <v>56.690476190476183</v>
      </c>
      <c r="G657" s="545">
        <v>41.15</v>
      </c>
      <c r="H657" s="545">
        <v>26.333333333333332</v>
      </c>
      <c r="I657" s="545">
        <v>24.333333333333332</v>
      </c>
      <c r="J657" s="545">
        <v>36.630952380952387</v>
      </c>
    </row>
    <row r="658" spans="1:10">
      <c r="A658" s="441">
        <v>8479</v>
      </c>
      <c r="B658" s="441" t="s">
        <v>1832</v>
      </c>
      <c r="C658" s="545">
        <v>46.666666666666664</v>
      </c>
      <c r="D658" s="545">
        <v>38.666666666666664</v>
      </c>
      <c r="E658" s="545">
        <v>26.666666666666664</v>
      </c>
      <c r="F658" s="545">
        <v>42.666666666666671</v>
      </c>
      <c r="G658" s="545">
        <v>37.1</v>
      </c>
      <c r="H658" s="545">
        <v>26.666666666666668</v>
      </c>
      <c r="I658" s="545">
        <v>22.666666666666668</v>
      </c>
      <c r="J658" s="545">
        <v>33.547619047619044</v>
      </c>
    </row>
    <row r="659" spans="1:10">
      <c r="A659" s="441">
        <v>8645</v>
      </c>
      <c r="B659" s="441" t="s">
        <v>1832</v>
      </c>
      <c r="C659" s="545">
        <v>39.666666666666671</v>
      </c>
      <c r="D659" s="545">
        <v>25</v>
      </c>
      <c r="E659" s="545">
        <v>22</v>
      </c>
      <c r="F659" s="545">
        <v>35.047619047619051</v>
      </c>
      <c r="G659" s="545">
        <v>24.25</v>
      </c>
      <c r="H659" s="545">
        <v>16.333333333333332</v>
      </c>
      <c r="I659" s="545">
        <v>18.333333333333332</v>
      </c>
      <c r="J659" s="545">
        <v>22.273809523809526</v>
      </c>
    </row>
    <row r="660" spans="1:10">
      <c r="A660" s="441">
        <v>8646</v>
      </c>
      <c r="B660" s="441" t="s">
        <v>1833</v>
      </c>
      <c r="C660" s="545">
        <v>23.666666666666664</v>
      </c>
      <c r="D660" s="545">
        <v>19.333333333333336</v>
      </c>
      <c r="E660" s="545">
        <v>12.666666666666668</v>
      </c>
      <c r="F660" s="545">
        <v>21.476190476190474</v>
      </c>
      <c r="G660" s="545">
        <v>18.75</v>
      </c>
      <c r="H660" s="545">
        <v>10</v>
      </c>
      <c r="I660" s="545">
        <v>17</v>
      </c>
      <c r="J660" s="545">
        <v>17.25</v>
      </c>
    </row>
    <row r="661" spans="1:10">
      <c r="A661" s="441">
        <v>12059</v>
      </c>
      <c r="B661" s="441" t="s">
        <v>1834</v>
      </c>
      <c r="C661" s="545">
        <v>27</v>
      </c>
      <c r="D661" s="545">
        <v>18</v>
      </c>
      <c r="E661" s="545">
        <v>8.3333333333333339</v>
      </c>
      <c r="F661" s="545">
        <v>23.047619047619047</v>
      </c>
      <c r="G661" s="545">
        <v>21.4</v>
      </c>
      <c r="H661" s="545">
        <v>19</v>
      </c>
      <c r="I661" s="545">
        <v>16</v>
      </c>
      <c r="J661" s="545">
        <v>20.285714285714285</v>
      </c>
    </row>
    <row r="662" spans="1:10">
      <c r="A662" s="441">
        <v>7807</v>
      </c>
      <c r="B662" s="441" t="s">
        <v>1835</v>
      </c>
      <c r="C662" s="545">
        <v>31.333333333333332</v>
      </c>
      <c r="D662" s="545">
        <v>24.333333333333332</v>
      </c>
      <c r="E662" s="545">
        <v>18.666666666666668</v>
      </c>
      <c r="F662" s="545">
        <v>28.523809523809522</v>
      </c>
      <c r="G662" s="545">
        <v>14.35</v>
      </c>
      <c r="H662" s="545">
        <v>11.333333333333334</v>
      </c>
      <c r="I662" s="545">
        <v>8.6666666666666661</v>
      </c>
      <c r="J662" s="545">
        <v>13.107142857142858</v>
      </c>
    </row>
    <row r="663" spans="1:10">
      <c r="A663" s="441">
        <v>8227</v>
      </c>
      <c r="B663" s="441" t="s">
        <v>1835</v>
      </c>
      <c r="C663" s="545">
        <v>26.5</v>
      </c>
      <c r="D663" s="545">
        <v>23.666666666666664</v>
      </c>
      <c r="E663" s="545">
        <v>16</v>
      </c>
      <c r="F663" s="545">
        <v>24.595238095238095</v>
      </c>
      <c r="G663" s="545">
        <v>14.6</v>
      </c>
      <c r="H663" s="545">
        <v>9.3333333333333339</v>
      </c>
      <c r="I663" s="545">
        <v>6.666666666666667</v>
      </c>
      <c r="J663" s="545">
        <v>12.714285714285714</v>
      </c>
    </row>
    <row r="664" spans="1:10">
      <c r="A664" s="441">
        <v>7804</v>
      </c>
      <c r="B664" s="441" t="s">
        <v>1836</v>
      </c>
      <c r="C664" s="545">
        <v>108.33333333333334</v>
      </c>
      <c r="D664" s="545">
        <v>86.333333333333329</v>
      </c>
      <c r="E664" s="545">
        <v>79</v>
      </c>
      <c r="F664" s="545">
        <v>101.00000000000001</v>
      </c>
      <c r="G664" s="545">
        <v>81.5</v>
      </c>
      <c r="H664" s="545">
        <v>69.666666666666671</v>
      </c>
      <c r="I664" s="545">
        <v>49.666666666666664</v>
      </c>
      <c r="J664" s="545">
        <v>75.261904761904773</v>
      </c>
    </row>
    <row r="665" spans="1:10">
      <c r="A665" s="441">
        <v>8230</v>
      </c>
      <c r="B665" s="441" t="s">
        <v>1836</v>
      </c>
      <c r="C665" s="545">
        <v>125.5</v>
      </c>
      <c r="D665" s="545">
        <v>123</v>
      </c>
      <c r="E665" s="545">
        <v>93.333333333333329</v>
      </c>
      <c r="F665" s="545">
        <v>120.54761904761905</v>
      </c>
      <c r="G665" s="545">
        <v>122.4</v>
      </c>
      <c r="H665" s="545">
        <v>108.33333333333333</v>
      </c>
      <c r="I665" s="545">
        <v>99.333333333333329</v>
      </c>
      <c r="J665" s="545">
        <v>117.0952380952381</v>
      </c>
    </row>
    <row r="666" spans="1:10">
      <c r="A666" s="441">
        <v>8482</v>
      </c>
      <c r="B666" s="441" t="s">
        <v>1837</v>
      </c>
      <c r="C666" s="545">
        <v>58.333333333333329</v>
      </c>
      <c r="D666" s="545">
        <v>26.666666666666668</v>
      </c>
      <c r="E666" s="545">
        <v>35</v>
      </c>
      <c r="F666" s="545">
        <v>50.476190476190474</v>
      </c>
      <c r="G666" s="545">
        <v>36.6</v>
      </c>
      <c r="H666" s="545">
        <v>17</v>
      </c>
      <c r="I666" s="545">
        <v>16.666666666666668</v>
      </c>
      <c r="J666" s="545">
        <v>30.952380952380953</v>
      </c>
    </row>
    <row r="667" spans="1:10">
      <c r="A667" s="441">
        <v>8642</v>
      </c>
      <c r="B667" s="441" t="s">
        <v>1837</v>
      </c>
      <c r="C667" s="545">
        <v>74.333333333333329</v>
      </c>
      <c r="D667" s="545">
        <v>29.333333333333336</v>
      </c>
      <c r="E667" s="545">
        <v>30.666666666666664</v>
      </c>
      <c r="F667" s="545">
        <v>61.666666666666664</v>
      </c>
      <c r="G667" s="545">
        <v>49.4</v>
      </c>
      <c r="H667" s="545">
        <v>27</v>
      </c>
      <c r="I667" s="545">
        <v>22.333333333333332</v>
      </c>
      <c r="J667" s="545">
        <v>42.333333333333329</v>
      </c>
    </row>
    <row r="668" spans="1:10">
      <c r="A668" s="441">
        <v>4104</v>
      </c>
      <c r="B668" s="441" t="s">
        <v>1838</v>
      </c>
      <c r="C668" s="545">
        <v>63.166666666666671</v>
      </c>
      <c r="D668" s="545">
        <v>46.666666666666664</v>
      </c>
      <c r="E668" s="545">
        <v>34</v>
      </c>
      <c r="F668" s="545">
        <v>56.642857142857153</v>
      </c>
      <c r="G668" s="545">
        <v>40.15</v>
      </c>
      <c r="H668" s="545">
        <v>35</v>
      </c>
      <c r="I668" s="545">
        <v>29</v>
      </c>
      <c r="J668" s="545">
        <v>37.821428571428569</v>
      </c>
    </row>
    <row r="669" spans="1:10">
      <c r="A669" s="441">
        <v>6733</v>
      </c>
      <c r="B669" s="441" t="s">
        <v>1839</v>
      </c>
      <c r="C669" s="545">
        <v>11</v>
      </c>
      <c r="D669" s="545">
        <v>3</v>
      </c>
      <c r="E669" s="545">
        <v>7.6666666666666661</v>
      </c>
      <c r="F669" s="545">
        <v>9.3809523809523814</v>
      </c>
      <c r="G669" s="545">
        <v>7.95</v>
      </c>
      <c r="H669" s="545">
        <v>2.3333333333333335</v>
      </c>
      <c r="I669" s="545">
        <v>3</v>
      </c>
      <c r="J669" s="545">
        <v>6.4404761904761907</v>
      </c>
    </row>
    <row r="670" spans="1:10">
      <c r="A670" s="441">
        <v>6751</v>
      </c>
      <c r="B670" s="441" t="s">
        <v>1839</v>
      </c>
      <c r="C670" s="545">
        <v>14</v>
      </c>
      <c r="D670" s="545">
        <v>3.3333333333333335</v>
      </c>
      <c r="E670" s="545">
        <v>7.6666666666666661</v>
      </c>
      <c r="F670" s="545">
        <v>11.571428571428571</v>
      </c>
      <c r="G670" s="545">
        <v>9.6</v>
      </c>
      <c r="H670" s="545">
        <v>6</v>
      </c>
      <c r="I670" s="545">
        <v>3.3333333333333335</v>
      </c>
      <c r="J670" s="545">
        <v>8.1904761904761916</v>
      </c>
    </row>
    <row r="671" spans="1:10">
      <c r="A671" s="441">
        <v>11987</v>
      </c>
      <c r="B671" s="441" t="s">
        <v>1840</v>
      </c>
      <c r="C671" s="545">
        <v>7.833333333333333</v>
      </c>
      <c r="D671" s="545">
        <v>9.6666666666666679</v>
      </c>
      <c r="E671" s="545">
        <v>8.3333333333333321</v>
      </c>
      <c r="F671" s="545">
        <v>8.1666666666666661</v>
      </c>
      <c r="G671" s="545">
        <v>6.85</v>
      </c>
      <c r="H671" s="545">
        <v>4</v>
      </c>
      <c r="I671" s="545">
        <v>2</v>
      </c>
      <c r="J671" s="545">
        <v>5.75</v>
      </c>
    </row>
    <row r="672" spans="1:10">
      <c r="A672" s="441">
        <v>11988</v>
      </c>
      <c r="B672" s="441" t="s">
        <v>1840</v>
      </c>
      <c r="C672" s="545">
        <v>7.5</v>
      </c>
      <c r="D672" s="545">
        <v>6.6666666666666661</v>
      </c>
      <c r="E672" s="545">
        <v>13.333333333333334</v>
      </c>
      <c r="F672" s="545">
        <v>8.2142857142857135</v>
      </c>
      <c r="G672" s="545">
        <v>3.3</v>
      </c>
      <c r="H672" s="545">
        <v>1.3333333333333333</v>
      </c>
      <c r="I672" s="545">
        <v>5.666666666666667</v>
      </c>
      <c r="J672" s="545">
        <v>3.3571428571428572</v>
      </c>
    </row>
    <row r="673" spans="1:10">
      <c r="A673" s="441">
        <v>4102</v>
      </c>
      <c r="B673" s="441" t="s">
        <v>1841</v>
      </c>
      <c r="C673" s="545">
        <v>10.833333333333334</v>
      </c>
      <c r="D673" s="545">
        <v>2.666666666666667</v>
      </c>
      <c r="E673" s="545">
        <v>0.66666666666666663</v>
      </c>
      <c r="F673" s="545">
        <v>8.2142857142857135</v>
      </c>
      <c r="G673" s="545">
        <v>7.95</v>
      </c>
      <c r="H673" s="545">
        <v>3.6666666666666665</v>
      </c>
      <c r="I673" s="545">
        <v>2</v>
      </c>
      <c r="J673" s="545">
        <v>6.4880952380952381</v>
      </c>
    </row>
    <row r="674" spans="1:10">
      <c r="A674" s="441">
        <v>4107</v>
      </c>
      <c r="B674" s="441" t="s">
        <v>1841</v>
      </c>
      <c r="C674" s="545">
        <v>7.6666666666666661</v>
      </c>
      <c r="D674" s="545">
        <v>1.3333333333333333</v>
      </c>
      <c r="E674" s="545">
        <v>0.66666666666666663</v>
      </c>
      <c r="F674" s="545">
        <v>5.761904761904761</v>
      </c>
      <c r="G674" s="545">
        <v>7.3</v>
      </c>
      <c r="H674" s="545">
        <v>2.6666666666666665</v>
      </c>
      <c r="I674" s="545">
        <v>2.3333333333333335</v>
      </c>
      <c r="J674" s="545">
        <v>5.9285714285714288</v>
      </c>
    </row>
    <row r="675" spans="1:10">
      <c r="A675" s="441">
        <v>4108</v>
      </c>
      <c r="B675" s="441" t="s">
        <v>1841</v>
      </c>
      <c r="C675" s="545">
        <v>4.8333333333333339</v>
      </c>
      <c r="D675" s="545">
        <v>0.33333333333333331</v>
      </c>
      <c r="E675" s="545">
        <v>10</v>
      </c>
      <c r="F675" s="545">
        <v>4.9285714285714288</v>
      </c>
      <c r="G675" s="545">
        <v>2.8</v>
      </c>
      <c r="H675" s="545">
        <v>1</v>
      </c>
      <c r="I675" s="545">
        <v>0.33333333333333331</v>
      </c>
      <c r="J675" s="545">
        <v>2.1904761904761907</v>
      </c>
    </row>
    <row r="676" spans="1:10">
      <c r="A676" s="441">
        <v>8476</v>
      </c>
      <c r="B676" s="441" t="s">
        <v>1842</v>
      </c>
      <c r="C676" s="545">
        <v>27.666666666666668</v>
      </c>
      <c r="D676" s="545">
        <v>14.333333333333334</v>
      </c>
      <c r="E676" s="545">
        <v>11.666666666666668</v>
      </c>
      <c r="F676" s="545">
        <v>23.476190476190478</v>
      </c>
      <c r="G676" s="545">
        <v>20.350000000000001</v>
      </c>
      <c r="H676" s="545">
        <v>14.333333333333334</v>
      </c>
      <c r="I676" s="545">
        <v>13</v>
      </c>
      <c r="J676" s="545">
        <v>18.440476190476186</v>
      </c>
    </row>
    <row r="677" spans="1:10">
      <c r="A677" s="441">
        <v>8648</v>
      </c>
      <c r="B677" s="441" t="s">
        <v>1842</v>
      </c>
      <c r="C677" s="545">
        <v>27.5</v>
      </c>
      <c r="D677" s="545">
        <v>19</v>
      </c>
      <c r="E677" s="545">
        <v>13.666666666666668</v>
      </c>
      <c r="F677" s="545">
        <v>24.309523809523807</v>
      </c>
      <c r="G677" s="545">
        <v>24.25</v>
      </c>
      <c r="H677" s="545">
        <v>16.333333333333332</v>
      </c>
      <c r="I677" s="545">
        <v>18.333333333333332</v>
      </c>
      <c r="J677" s="545">
        <v>22.273809523809526</v>
      </c>
    </row>
    <row r="678" spans="1:10">
      <c r="A678" s="441">
        <v>6732</v>
      </c>
      <c r="B678" s="441" t="s">
        <v>1843</v>
      </c>
      <c r="C678" s="545">
        <v>10.666666666666666</v>
      </c>
      <c r="D678" s="545">
        <v>13.666666666666666</v>
      </c>
      <c r="E678" s="545">
        <v>5.333333333333333</v>
      </c>
      <c r="F678" s="545">
        <v>10.333333333333332</v>
      </c>
      <c r="G678" s="545">
        <v>7.7</v>
      </c>
      <c r="H678" s="545">
        <v>5.666666666666667</v>
      </c>
      <c r="I678" s="545">
        <v>5.666666666666667</v>
      </c>
      <c r="J678" s="545">
        <v>7.1190476190476186</v>
      </c>
    </row>
    <row r="679" spans="1:10">
      <c r="A679" s="441">
        <v>6752</v>
      </c>
      <c r="B679" s="441" t="s">
        <v>1843</v>
      </c>
      <c r="C679" s="545">
        <v>16.333333333333332</v>
      </c>
      <c r="D679" s="545">
        <v>12.666666666666666</v>
      </c>
      <c r="E679" s="545">
        <v>7.6666666666666661</v>
      </c>
      <c r="F679" s="545">
        <v>14.571428571428571</v>
      </c>
      <c r="G679" s="545">
        <v>10.7</v>
      </c>
      <c r="H679" s="545">
        <v>5.666666666666667</v>
      </c>
      <c r="I679" s="545">
        <v>5.333333333333333</v>
      </c>
      <c r="J679" s="545">
        <v>9.2142857142857135</v>
      </c>
    </row>
    <row r="680" spans="1:10">
      <c r="A680" s="441">
        <v>6753</v>
      </c>
      <c r="B680" s="441" t="s">
        <v>1844</v>
      </c>
      <c r="C680" s="545">
        <v>44.333333333333329</v>
      </c>
      <c r="D680" s="545">
        <v>33</v>
      </c>
      <c r="E680" s="545">
        <v>23.333333333333332</v>
      </c>
      <c r="F680" s="545">
        <v>39.714285714285708</v>
      </c>
      <c r="G680" s="545">
        <v>40.700000000000003</v>
      </c>
      <c r="H680" s="545">
        <v>36</v>
      </c>
      <c r="I680" s="545">
        <v>18</v>
      </c>
      <c r="J680" s="545">
        <v>36.785714285714285</v>
      </c>
    </row>
    <row r="681" spans="1:10">
      <c r="A681" s="441">
        <v>7809</v>
      </c>
      <c r="B681" s="441" t="s">
        <v>1845</v>
      </c>
      <c r="C681" s="545">
        <v>37.166666666666671</v>
      </c>
      <c r="D681" s="545">
        <v>22</v>
      </c>
      <c r="E681" s="545">
        <v>27.333333333333336</v>
      </c>
      <c r="F681" s="545">
        <v>33.595238095238102</v>
      </c>
      <c r="G681" s="545">
        <v>22.95</v>
      </c>
      <c r="H681" s="545">
        <v>25.333333333333332</v>
      </c>
      <c r="I681" s="545">
        <v>10.666666666666666</v>
      </c>
      <c r="J681" s="545">
        <v>21.535714285714285</v>
      </c>
    </row>
    <row r="682" spans="1:10">
      <c r="A682" s="441">
        <v>8225</v>
      </c>
      <c r="B682" s="441" t="s">
        <v>1845</v>
      </c>
      <c r="C682" s="545">
        <v>51.666666666666671</v>
      </c>
      <c r="D682" s="545">
        <v>46.666666666666671</v>
      </c>
      <c r="E682" s="545">
        <v>36.333333333333336</v>
      </c>
      <c r="F682" s="545">
        <v>48.761904761904766</v>
      </c>
      <c r="G682" s="545">
        <v>31.65</v>
      </c>
      <c r="H682" s="545">
        <v>31</v>
      </c>
      <c r="I682" s="545">
        <v>19.666666666666668</v>
      </c>
      <c r="J682" s="545">
        <v>29.845238095238095</v>
      </c>
    </row>
    <row r="683" spans="1:10">
      <c r="A683" s="441">
        <v>6734</v>
      </c>
      <c r="B683" s="441" t="s">
        <v>1846</v>
      </c>
      <c r="C683" s="545">
        <v>64.833333333333329</v>
      </c>
      <c r="D683" s="545">
        <v>48.333333333333329</v>
      </c>
      <c r="E683" s="545">
        <v>27.333333333333336</v>
      </c>
      <c r="F683" s="545">
        <v>57.119047619047606</v>
      </c>
      <c r="G683" s="545">
        <v>46.9</v>
      </c>
      <c r="H683" s="545">
        <v>28.333333333333332</v>
      </c>
      <c r="I683" s="545">
        <v>17.333333333333332</v>
      </c>
      <c r="J683" s="545">
        <v>40.023809523809518</v>
      </c>
    </row>
    <row r="684" spans="1:10">
      <c r="A684" s="441">
        <v>6735</v>
      </c>
      <c r="B684" s="441" t="s">
        <v>1846</v>
      </c>
      <c r="C684" s="545">
        <v>2.8333333333333335</v>
      </c>
      <c r="D684" s="545">
        <v>0.66666666666666663</v>
      </c>
      <c r="E684" s="545">
        <v>0</v>
      </c>
      <c r="F684" s="545">
        <v>2.1190476190476191</v>
      </c>
      <c r="G684" s="545">
        <v>0.8</v>
      </c>
      <c r="H684" s="545">
        <v>1</v>
      </c>
      <c r="I684" s="545">
        <v>0.66666666666666663</v>
      </c>
      <c r="J684" s="545">
        <v>0.80952380952380953</v>
      </c>
    </row>
    <row r="685" spans="1:10">
      <c r="A685" s="441">
        <v>6750</v>
      </c>
      <c r="B685" s="441" t="s">
        <v>1846</v>
      </c>
      <c r="C685" s="545">
        <v>58.666666666666664</v>
      </c>
      <c r="D685" s="545">
        <v>34.666666666666671</v>
      </c>
      <c r="E685" s="545">
        <v>23.666666666666668</v>
      </c>
      <c r="F685" s="545">
        <v>50.238095238095241</v>
      </c>
      <c r="G685" s="545">
        <v>44.75</v>
      </c>
      <c r="H685" s="545">
        <v>24</v>
      </c>
      <c r="I685" s="545">
        <v>17.333333333333332</v>
      </c>
      <c r="J685" s="545">
        <v>37.869047619047613</v>
      </c>
    </row>
    <row r="686" spans="1:10">
      <c r="A686" s="441">
        <v>7812</v>
      </c>
      <c r="B686" s="441" t="s">
        <v>1847</v>
      </c>
      <c r="C686" s="545">
        <v>16.333333333333336</v>
      </c>
      <c r="D686" s="545">
        <v>11.333333333333334</v>
      </c>
      <c r="E686" s="545">
        <v>15</v>
      </c>
      <c r="F686" s="545">
        <v>15.428571428571431</v>
      </c>
      <c r="G686" s="545">
        <v>9.1</v>
      </c>
      <c r="H686" s="545">
        <v>11</v>
      </c>
      <c r="I686" s="545">
        <v>13.666666666666666</v>
      </c>
      <c r="J686" s="545">
        <v>10.023809523809524</v>
      </c>
    </row>
    <row r="687" spans="1:10">
      <c r="A687" s="441">
        <v>6728</v>
      </c>
      <c r="B687" s="441" t="s">
        <v>1848</v>
      </c>
      <c r="C687" s="545">
        <v>2.6666666666666665</v>
      </c>
      <c r="D687" s="545">
        <v>2.666666666666667</v>
      </c>
      <c r="E687" s="545">
        <v>3</v>
      </c>
      <c r="F687" s="545">
        <v>2.7142857142857144</v>
      </c>
      <c r="G687" s="545">
        <v>2.8</v>
      </c>
      <c r="H687" s="545">
        <v>1.3333333333333333</v>
      </c>
      <c r="I687" s="545">
        <v>0.66666666666666663</v>
      </c>
      <c r="J687" s="545">
        <v>2.2857142857142856</v>
      </c>
    </row>
    <row r="688" spans="1:10">
      <c r="A688" s="441">
        <v>6756</v>
      </c>
      <c r="B688" s="441" t="s">
        <v>1848</v>
      </c>
      <c r="C688" s="545">
        <v>2</v>
      </c>
      <c r="D688" s="545">
        <v>3</v>
      </c>
      <c r="E688" s="545">
        <v>3.3333333333333335</v>
      </c>
      <c r="F688" s="545">
        <v>2.333333333333333</v>
      </c>
      <c r="G688" s="545">
        <v>2.35</v>
      </c>
      <c r="H688" s="545">
        <v>0.66666666666666663</v>
      </c>
      <c r="I688" s="545">
        <v>1</v>
      </c>
      <c r="J688" s="545">
        <v>1.9166666666666665</v>
      </c>
    </row>
    <row r="689" spans="1:10">
      <c r="A689" s="441">
        <v>11993</v>
      </c>
      <c r="B689" s="441" t="s">
        <v>1849</v>
      </c>
      <c r="C689" s="545">
        <v>16.333333333333332</v>
      </c>
      <c r="D689" s="545">
        <v>18.333333333333336</v>
      </c>
      <c r="E689" s="545">
        <v>12.333333333333334</v>
      </c>
      <c r="F689" s="545">
        <v>16.047619047619047</v>
      </c>
      <c r="G689" s="545">
        <v>15.5</v>
      </c>
      <c r="H689" s="545">
        <v>10</v>
      </c>
      <c r="I689" s="545">
        <v>6.666666666666667</v>
      </c>
      <c r="J689" s="545">
        <v>13.452380952380953</v>
      </c>
    </row>
    <row r="690" spans="1:10">
      <c r="A690" s="441">
        <v>11994</v>
      </c>
      <c r="B690" s="441" t="s">
        <v>1849</v>
      </c>
      <c r="C690" s="545">
        <v>25.333333333333332</v>
      </c>
      <c r="D690" s="545">
        <v>17.666666666666668</v>
      </c>
      <c r="E690" s="545">
        <v>13.333333333333332</v>
      </c>
      <c r="F690" s="545">
        <v>22.523809523809522</v>
      </c>
      <c r="G690" s="545">
        <v>16.95</v>
      </c>
      <c r="H690" s="545">
        <v>10</v>
      </c>
      <c r="I690" s="545">
        <v>8</v>
      </c>
      <c r="J690" s="545">
        <v>14.678571428571429</v>
      </c>
    </row>
    <row r="691" spans="1:10">
      <c r="A691" s="441">
        <v>8480</v>
      </c>
      <c r="B691" s="441" t="s">
        <v>1850</v>
      </c>
      <c r="C691" s="545">
        <v>346.83333333333331</v>
      </c>
      <c r="D691" s="545">
        <v>298</v>
      </c>
      <c r="E691" s="545">
        <v>227.66666666666669</v>
      </c>
      <c r="F691" s="545">
        <v>322.83333333333331</v>
      </c>
      <c r="G691" s="545">
        <v>305.05</v>
      </c>
      <c r="H691" s="545">
        <v>242</v>
      </c>
      <c r="I691" s="545">
        <v>248</v>
      </c>
      <c r="J691" s="545">
        <v>287.89285714285717</v>
      </c>
    </row>
    <row r="692" spans="1:10">
      <c r="A692" s="441">
        <v>8644</v>
      </c>
      <c r="B692" s="441" t="s">
        <v>1850</v>
      </c>
      <c r="C692" s="545">
        <v>354.16666666666663</v>
      </c>
      <c r="D692" s="545">
        <v>324</v>
      </c>
      <c r="E692" s="545">
        <v>249.66666666666669</v>
      </c>
      <c r="F692" s="545">
        <v>334.92857142857139</v>
      </c>
      <c r="G692" s="545">
        <v>312.60000000000002</v>
      </c>
      <c r="H692" s="545">
        <v>231.66666666666666</v>
      </c>
      <c r="I692" s="545">
        <v>207.33333333333334</v>
      </c>
      <c r="J692" s="545">
        <v>286</v>
      </c>
    </row>
    <row r="693" spans="1:10">
      <c r="A693" s="441">
        <v>7810</v>
      </c>
      <c r="B693" s="441" t="s">
        <v>1851</v>
      </c>
      <c r="C693" s="545">
        <v>49.5</v>
      </c>
      <c r="D693" s="545">
        <v>41.666666666666671</v>
      </c>
      <c r="E693" s="545">
        <v>29.333333333333336</v>
      </c>
      <c r="F693" s="545">
        <v>45.5</v>
      </c>
      <c r="G693" s="545">
        <v>33.6</v>
      </c>
      <c r="H693" s="545">
        <v>29.666666666666668</v>
      </c>
      <c r="I693" s="545">
        <v>23.666666666666668</v>
      </c>
      <c r="J693" s="545">
        <v>31.619047619047617</v>
      </c>
    </row>
    <row r="694" spans="1:10">
      <c r="A694" s="441">
        <v>8224</v>
      </c>
      <c r="B694" s="441" t="s">
        <v>1851</v>
      </c>
      <c r="C694" s="545">
        <v>55.666666666666671</v>
      </c>
      <c r="D694" s="545">
        <v>42.666666666666671</v>
      </c>
      <c r="E694" s="545">
        <v>29.666666666666664</v>
      </c>
      <c r="F694" s="545">
        <v>50.095238095238109</v>
      </c>
      <c r="G694" s="545">
        <v>30.15</v>
      </c>
      <c r="H694" s="545">
        <v>26.333333333333332</v>
      </c>
      <c r="I694" s="545">
        <v>30.666666666666668</v>
      </c>
      <c r="J694" s="545">
        <v>29.678571428571427</v>
      </c>
    </row>
    <row r="695" spans="1:10">
      <c r="A695" s="441">
        <v>6739</v>
      </c>
      <c r="B695" s="441" t="s">
        <v>1852</v>
      </c>
      <c r="C695" s="545">
        <v>66</v>
      </c>
      <c r="D695" s="545">
        <v>6.6666666666666661</v>
      </c>
      <c r="E695" s="545">
        <v>2.6666666666666665</v>
      </c>
      <c r="F695" s="545">
        <v>48.476190476190482</v>
      </c>
      <c r="G695" s="545">
        <v>20.6</v>
      </c>
      <c r="H695" s="545">
        <v>3.6666666666666665</v>
      </c>
      <c r="I695" s="545">
        <v>2</v>
      </c>
      <c r="J695" s="545">
        <v>15.523809523809524</v>
      </c>
    </row>
    <row r="696" spans="1:10">
      <c r="A696" s="441">
        <v>6745</v>
      </c>
      <c r="B696" s="441" t="s">
        <v>1852</v>
      </c>
      <c r="C696" s="545">
        <v>114.16666666666666</v>
      </c>
      <c r="D696" s="545">
        <v>11</v>
      </c>
      <c r="E696" s="545">
        <v>8.6666666666666661</v>
      </c>
      <c r="F696" s="545">
        <v>84.357142857142847</v>
      </c>
      <c r="G696" s="545">
        <v>47.15</v>
      </c>
      <c r="H696" s="545">
        <v>9</v>
      </c>
      <c r="I696" s="545">
        <v>10.666666666666666</v>
      </c>
      <c r="J696" s="545">
        <v>36.488095238095234</v>
      </c>
    </row>
    <row r="697" spans="1:10">
      <c r="A697" s="441">
        <v>7802</v>
      </c>
      <c r="B697" s="441" t="s">
        <v>1853</v>
      </c>
      <c r="C697" s="545">
        <v>178.5</v>
      </c>
      <c r="D697" s="545">
        <v>180.33333333333334</v>
      </c>
      <c r="E697" s="545">
        <v>126.66666666666667</v>
      </c>
      <c r="F697" s="545">
        <v>171.35714285714286</v>
      </c>
      <c r="G697" s="545">
        <v>130.1</v>
      </c>
      <c r="H697" s="545">
        <v>111</v>
      </c>
      <c r="I697" s="545">
        <v>109.66666666666667</v>
      </c>
      <c r="J697" s="545">
        <v>124.45238095238095</v>
      </c>
    </row>
    <row r="698" spans="1:10">
      <c r="A698" s="441">
        <v>8233</v>
      </c>
      <c r="B698" s="441" t="s">
        <v>1853</v>
      </c>
      <c r="C698" s="545">
        <v>28.333333333333336</v>
      </c>
      <c r="D698" s="545">
        <v>29.333333333333336</v>
      </c>
      <c r="E698" s="545">
        <v>27.666666666666664</v>
      </c>
      <c r="F698" s="545">
        <v>28.380952380952383</v>
      </c>
      <c r="G698" s="545">
        <v>12.95</v>
      </c>
      <c r="H698" s="545">
        <v>13.333333333333334</v>
      </c>
      <c r="I698" s="545">
        <v>10</v>
      </c>
      <c r="J698" s="545">
        <v>12.583333333333332</v>
      </c>
    </row>
    <row r="699" spans="1:10">
      <c r="A699" s="441">
        <v>8652</v>
      </c>
      <c r="B699" s="441" t="s">
        <v>1853</v>
      </c>
      <c r="C699" s="545">
        <v>44.333333333333329</v>
      </c>
      <c r="D699" s="545">
        <v>39</v>
      </c>
      <c r="E699" s="545">
        <v>35.666666666666671</v>
      </c>
      <c r="F699" s="545">
        <v>42.333333333333329</v>
      </c>
      <c r="G699" s="545">
        <v>37.5</v>
      </c>
      <c r="H699" s="545">
        <v>29</v>
      </c>
      <c r="I699" s="545">
        <v>29.333333333333332</v>
      </c>
      <c r="J699" s="545">
        <v>35.11904761904762</v>
      </c>
    </row>
    <row r="700" spans="1:10">
      <c r="A700" s="441">
        <v>7803</v>
      </c>
      <c r="B700" s="441" t="s">
        <v>1854</v>
      </c>
      <c r="C700" s="545">
        <v>85.5</v>
      </c>
      <c r="D700" s="545">
        <v>60.333333333333329</v>
      </c>
      <c r="E700" s="545">
        <v>45</v>
      </c>
      <c r="F700" s="545">
        <v>76.119047619047606</v>
      </c>
      <c r="G700" s="545">
        <v>58.15</v>
      </c>
      <c r="H700" s="545">
        <v>45</v>
      </c>
      <c r="I700" s="545">
        <v>35</v>
      </c>
      <c r="J700" s="545">
        <v>52.964285714285715</v>
      </c>
    </row>
    <row r="701" spans="1:10">
      <c r="A701" s="441">
        <v>8980</v>
      </c>
      <c r="B701" s="441" t="s">
        <v>1854</v>
      </c>
      <c r="C701" s="545">
        <v>145.33333333333331</v>
      </c>
      <c r="D701" s="545">
        <v>98.333333333333343</v>
      </c>
      <c r="E701" s="545">
        <v>88</v>
      </c>
      <c r="F701" s="545">
        <v>130.42857142857142</v>
      </c>
      <c r="G701" s="545">
        <v>104.4</v>
      </c>
      <c r="H701" s="545">
        <v>81</v>
      </c>
      <c r="I701" s="545">
        <v>83.666666666666671</v>
      </c>
      <c r="J701" s="545">
        <v>98.095238095238088</v>
      </c>
    </row>
    <row r="702" spans="1:10">
      <c r="A702" s="441">
        <v>8232</v>
      </c>
      <c r="B702" s="441" t="s">
        <v>1855</v>
      </c>
      <c r="C702" s="545">
        <v>124.16666666666666</v>
      </c>
      <c r="D702" s="545">
        <v>126.33333333333333</v>
      </c>
      <c r="E702" s="545">
        <v>107.33333333333334</v>
      </c>
      <c r="F702" s="545">
        <v>122.07142857142857</v>
      </c>
      <c r="G702" s="545">
        <v>95.2</v>
      </c>
      <c r="H702" s="545">
        <v>104</v>
      </c>
      <c r="I702" s="545">
        <v>76</v>
      </c>
      <c r="J702" s="545">
        <v>93.714285714285708</v>
      </c>
    </row>
    <row r="703" spans="1:10">
      <c r="A703" s="441">
        <v>8483</v>
      </c>
      <c r="B703" s="441" t="s">
        <v>1856</v>
      </c>
      <c r="C703" s="545">
        <v>17.833333333333332</v>
      </c>
      <c r="D703" s="545">
        <v>11.666666666666668</v>
      </c>
      <c r="E703" s="545">
        <v>6.3333333333333339</v>
      </c>
      <c r="F703" s="545">
        <v>15.309523809523808</v>
      </c>
      <c r="G703" s="545">
        <v>8.8000000000000007</v>
      </c>
      <c r="H703" s="545">
        <v>5</v>
      </c>
      <c r="I703" s="545">
        <v>3.6666666666666665</v>
      </c>
      <c r="J703" s="545">
        <v>7.5238095238095237</v>
      </c>
    </row>
    <row r="704" spans="1:10">
      <c r="A704" s="441">
        <v>11985</v>
      </c>
      <c r="B704" s="441" t="s">
        <v>1857</v>
      </c>
      <c r="C704" s="545">
        <v>55.666666666666664</v>
      </c>
      <c r="D704" s="545">
        <v>34</v>
      </c>
      <c r="E704" s="545">
        <v>36.666666666666671</v>
      </c>
      <c r="F704" s="545">
        <v>49.857142857142854</v>
      </c>
      <c r="G704" s="545">
        <v>42.2</v>
      </c>
      <c r="H704" s="545">
        <v>26.666666666666668</v>
      </c>
      <c r="I704" s="545">
        <v>25.333333333333332</v>
      </c>
      <c r="J704" s="545">
        <v>37.571428571428569</v>
      </c>
    </row>
    <row r="705" spans="1:10">
      <c r="A705" s="441">
        <v>11986</v>
      </c>
      <c r="B705" s="441" t="s">
        <v>1857</v>
      </c>
      <c r="C705" s="545">
        <v>47</v>
      </c>
      <c r="D705" s="545">
        <v>29</v>
      </c>
      <c r="E705" s="545">
        <v>28.666666666666664</v>
      </c>
      <c r="F705" s="545">
        <v>41.80952380952381</v>
      </c>
      <c r="G705" s="545">
        <v>36.15</v>
      </c>
      <c r="H705" s="545">
        <v>24.666666666666668</v>
      </c>
      <c r="I705" s="545">
        <v>21</v>
      </c>
      <c r="J705" s="545">
        <v>32.345238095238095</v>
      </c>
    </row>
    <row r="706" spans="1:10">
      <c r="A706" s="441">
        <v>6727</v>
      </c>
      <c r="B706" s="441" t="s">
        <v>1858</v>
      </c>
      <c r="C706" s="545">
        <v>18.166666666666668</v>
      </c>
      <c r="D706" s="545">
        <v>16.333333333333332</v>
      </c>
      <c r="E706" s="545">
        <v>6.6666666666666661</v>
      </c>
      <c r="F706" s="545">
        <v>16.261904761904763</v>
      </c>
      <c r="G706" s="545">
        <v>17.5</v>
      </c>
      <c r="H706" s="545">
        <v>10</v>
      </c>
      <c r="I706" s="545">
        <v>15</v>
      </c>
      <c r="J706" s="545">
        <v>16.071428571428573</v>
      </c>
    </row>
    <row r="707" spans="1:10">
      <c r="A707" s="441">
        <v>8481</v>
      </c>
      <c r="B707" s="441" t="s">
        <v>1859</v>
      </c>
      <c r="C707" s="545">
        <v>23.166666666666668</v>
      </c>
      <c r="D707" s="545">
        <v>20.333333333333332</v>
      </c>
      <c r="E707" s="545">
        <v>15</v>
      </c>
      <c r="F707" s="545">
        <v>21.595238095238098</v>
      </c>
      <c r="G707" s="545">
        <v>20.95</v>
      </c>
      <c r="H707" s="545">
        <v>14</v>
      </c>
      <c r="I707" s="545">
        <v>16.333333333333332</v>
      </c>
      <c r="J707" s="545">
        <v>19.297619047619047</v>
      </c>
    </row>
    <row r="708" spans="1:10">
      <c r="A708" s="441">
        <v>8643</v>
      </c>
      <c r="B708" s="441" t="s">
        <v>1859</v>
      </c>
      <c r="C708" s="545">
        <v>20.833333333333336</v>
      </c>
      <c r="D708" s="545">
        <v>17.333333333333336</v>
      </c>
      <c r="E708" s="545">
        <v>13.666666666666666</v>
      </c>
      <c r="F708" s="545">
        <v>19.309523809523814</v>
      </c>
      <c r="G708" s="545">
        <v>15.6</v>
      </c>
      <c r="H708" s="545">
        <v>15</v>
      </c>
      <c r="I708" s="545">
        <v>11.666666666666666</v>
      </c>
      <c r="J708" s="545">
        <v>14.952380952380953</v>
      </c>
    </row>
    <row r="709" spans="1:10">
      <c r="A709" s="441">
        <v>8223</v>
      </c>
      <c r="B709" s="441" t="s">
        <v>1860</v>
      </c>
      <c r="C709" s="545">
        <v>22</v>
      </c>
      <c r="D709" s="545">
        <v>12</v>
      </c>
      <c r="E709" s="545">
        <v>11.666666666666666</v>
      </c>
      <c r="F709" s="545">
        <v>19.095238095238095</v>
      </c>
      <c r="G709" s="545">
        <v>9.5500000000000007</v>
      </c>
      <c r="H709" s="545">
        <v>9.3333333333333339</v>
      </c>
      <c r="I709" s="545">
        <v>9</v>
      </c>
      <c r="J709" s="545">
        <v>9.4404761904761916</v>
      </c>
    </row>
    <row r="710" spans="1:10">
      <c r="A710" s="441">
        <v>6742</v>
      </c>
      <c r="B710" s="441" t="s">
        <v>1861</v>
      </c>
      <c r="C710" s="545">
        <v>81.166666666666671</v>
      </c>
      <c r="D710" s="545">
        <v>75</v>
      </c>
      <c r="E710" s="545">
        <v>66.666666666666671</v>
      </c>
      <c r="F710" s="545">
        <v>78.214285714285708</v>
      </c>
      <c r="G710" s="545">
        <v>73.349999999999994</v>
      </c>
      <c r="H710" s="545">
        <v>47.333333333333336</v>
      </c>
      <c r="I710" s="545">
        <v>43.666666666666664</v>
      </c>
      <c r="J710" s="545">
        <v>65.392857142857139</v>
      </c>
    </row>
    <row r="711" spans="1:10">
      <c r="A711" s="441">
        <v>6743</v>
      </c>
      <c r="B711" s="441" t="s">
        <v>1861</v>
      </c>
      <c r="C711" s="545">
        <v>228.5</v>
      </c>
      <c r="D711" s="545">
        <v>218</v>
      </c>
      <c r="E711" s="545">
        <v>177</v>
      </c>
      <c r="F711" s="545">
        <v>219.64285714285714</v>
      </c>
      <c r="G711" s="545">
        <v>158.75</v>
      </c>
      <c r="H711" s="545">
        <v>133.66666666666666</v>
      </c>
      <c r="I711" s="545">
        <v>98.333333333333329</v>
      </c>
      <c r="J711" s="545">
        <v>146.53571428571428</v>
      </c>
    </row>
    <row r="712" spans="1:10">
      <c r="A712" s="441">
        <v>4105</v>
      </c>
      <c r="B712" s="441" t="s">
        <v>1862</v>
      </c>
      <c r="C712" s="545">
        <v>65.833333333333329</v>
      </c>
      <c r="D712" s="545">
        <v>50.666666666666664</v>
      </c>
      <c r="E712" s="545">
        <v>39.333333333333329</v>
      </c>
      <c r="F712" s="545">
        <v>59.880952380952372</v>
      </c>
      <c r="G712" s="545">
        <v>42.05</v>
      </c>
      <c r="H712" s="545">
        <v>39</v>
      </c>
      <c r="I712" s="545">
        <v>29</v>
      </c>
      <c r="J712" s="545">
        <v>39.75</v>
      </c>
    </row>
    <row r="713" spans="1:10">
      <c r="A713" s="441">
        <v>6764</v>
      </c>
      <c r="B713" s="441" t="s">
        <v>1863</v>
      </c>
      <c r="C713" s="545">
        <v>47</v>
      </c>
      <c r="D713" s="545">
        <v>23</v>
      </c>
      <c r="E713" s="545">
        <v>19.666666666666668</v>
      </c>
      <c r="F713" s="545">
        <v>39.666666666666671</v>
      </c>
      <c r="G713" s="545">
        <v>23.85</v>
      </c>
      <c r="H713" s="545">
        <v>17.666666666666668</v>
      </c>
      <c r="I713" s="545">
        <v>12</v>
      </c>
      <c r="J713" s="545">
        <v>21.273809523809522</v>
      </c>
    </row>
    <row r="714" spans="1:10">
      <c r="A714" s="441">
        <v>9971</v>
      </c>
      <c r="B714" s="441" t="s">
        <v>1863</v>
      </c>
      <c r="C714" s="545">
        <v>39.666666666666664</v>
      </c>
      <c r="D714" s="545">
        <v>21.333333333333332</v>
      </c>
      <c r="E714" s="545">
        <v>24.333333333333332</v>
      </c>
      <c r="F714" s="545">
        <v>34.857142857142854</v>
      </c>
      <c r="G714" s="545">
        <v>31</v>
      </c>
      <c r="H714" s="545">
        <v>14</v>
      </c>
      <c r="I714" s="545">
        <v>23.666666666666668</v>
      </c>
      <c r="J714" s="545">
        <v>27.523809523809522</v>
      </c>
    </row>
    <row r="715" spans="1:10">
      <c r="A715" s="441">
        <v>7811</v>
      </c>
      <c r="B715" s="441" t="s">
        <v>1864</v>
      </c>
      <c r="C715" s="545">
        <v>17.833333333333336</v>
      </c>
      <c r="D715" s="545">
        <v>18.333333333333336</v>
      </c>
      <c r="E715" s="545">
        <v>8.3333333333333339</v>
      </c>
      <c r="F715" s="545">
        <v>16.547619047619051</v>
      </c>
      <c r="G715" s="545">
        <v>10.6</v>
      </c>
      <c r="H715" s="545">
        <v>8.3333333333333339</v>
      </c>
      <c r="I715" s="545">
        <v>4.333333333333333</v>
      </c>
      <c r="J715" s="545">
        <v>9.3809523809523814</v>
      </c>
    </row>
    <row r="716" spans="1:10">
      <c r="A716" s="441">
        <v>7805</v>
      </c>
      <c r="B716" s="441" t="s">
        <v>1865</v>
      </c>
      <c r="C716" s="545">
        <v>265.5</v>
      </c>
      <c r="D716" s="545">
        <v>168.66666666666666</v>
      </c>
      <c r="E716" s="545">
        <v>133</v>
      </c>
      <c r="F716" s="545">
        <v>232.73809523809524</v>
      </c>
      <c r="G716" s="545">
        <v>187.85</v>
      </c>
      <c r="H716" s="545">
        <v>137.66666666666666</v>
      </c>
      <c r="I716" s="545">
        <v>130.33333333333334</v>
      </c>
      <c r="J716" s="545">
        <v>172.46428571428572</v>
      </c>
    </row>
    <row r="717" spans="1:10">
      <c r="A717" s="441">
        <v>8229</v>
      </c>
      <c r="B717" s="441" t="s">
        <v>1865</v>
      </c>
      <c r="C717" s="545">
        <v>264.66666666666669</v>
      </c>
      <c r="D717" s="545">
        <v>175.33333333333334</v>
      </c>
      <c r="E717" s="545">
        <v>130.66666666666666</v>
      </c>
      <c r="F717" s="545">
        <v>232.76190476190479</v>
      </c>
      <c r="G717" s="545">
        <v>168.3</v>
      </c>
      <c r="H717" s="545">
        <v>131.33333333333334</v>
      </c>
      <c r="I717" s="545">
        <v>112.66666666666667</v>
      </c>
      <c r="J717" s="545">
        <v>155.07142857142858</v>
      </c>
    </row>
    <row r="718" spans="1:10">
      <c r="A718" s="441">
        <v>5988</v>
      </c>
      <c r="B718" s="441" t="s">
        <v>1866</v>
      </c>
      <c r="C718" s="545">
        <v>48.833333333333329</v>
      </c>
      <c r="D718" s="545">
        <v>10.666666666666668</v>
      </c>
      <c r="E718" s="545">
        <v>2.666666666666667</v>
      </c>
      <c r="F718" s="545">
        <v>36.785714285714278</v>
      </c>
      <c r="G718" s="545">
        <v>32.049999999999997</v>
      </c>
      <c r="H718" s="545">
        <v>3.3333333333333335</v>
      </c>
      <c r="I718" s="545">
        <v>1</v>
      </c>
      <c r="J718" s="545">
        <v>23.511904761904763</v>
      </c>
    </row>
    <row r="719" spans="1:10">
      <c r="A719" s="441">
        <v>5987</v>
      </c>
      <c r="B719" s="441" t="s">
        <v>1867</v>
      </c>
      <c r="C719" s="545">
        <v>4.166666666666667</v>
      </c>
      <c r="D719" s="545">
        <v>1.6666666666666665</v>
      </c>
      <c r="E719" s="545">
        <v>2</v>
      </c>
      <c r="F719" s="545">
        <v>3.5000000000000004</v>
      </c>
      <c r="G719" s="545">
        <v>2.0499999999999998</v>
      </c>
      <c r="H719" s="545">
        <v>0.66666666666666663</v>
      </c>
      <c r="I719" s="545">
        <v>0.66666666666666663</v>
      </c>
      <c r="J719" s="545">
        <v>1.6547619047619047</v>
      </c>
    </row>
    <row r="720" spans="1:10">
      <c r="A720" s="441">
        <v>9833</v>
      </c>
      <c r="B720" s="441" t="s">
        <v>1868</v>
      </c>
      <c r="C720" s="545">
        <v>59.166666666666671</v>
      </c>
      <c r="D720" s="545">
        <v>54</v>
      </c>
      <c r="E720" s="545">
        <v>53.666666666666664</v>
      </c>
      <c r="F720" s="545">
        <v>57.642857142857153</v>
      </c>
      <c r="G720" s="545">
        <v>40.700000000000003</v>
      </c>
      <c r="H720" s="545">
        <v>29.666666666666668</v>
      </c>
      <c r="I720" s="545">
        <v>20</v>
      </c>
      <c r="J720" s="545">
        <v>36.166666666666664</v>
      </c>
    </row>
    <row r="721" spans="1:10">
      <c r="A721" s="441">
        <v>9855</v>
      </c>
      <c r="B721" s="441" t="s">
        <v>1868</v>
      </c>
      <c r="C721" s="545">
        <v>61.166666666666664</v>
      </c>
      <c r="D721" s="545">
        <v>44.666666666666671</v>
      </c>
      <c r="E721" s="545">
        <v>34</v>
      </c>
      <c r="F721" s="545">
        <v>54.928571428571431</v>
      </c>
      <c r="G721" s="545">
        <v>43.6</v>
      </c>
      <c r="H721" s="545">
        <v>28.666666666666668</v>
      </c>
      <c r="I721" s="545">
        <v>16.666666666666668</v>
      </c>
      <c r="J721" s="545">
        <v>37.619047619047613</v>
      </c>
    </row>
    <row r="722" spans="1:10">
      <c r="A722" s="441">
        <v>8037</v>
      </c>
      <c r="B722" s="441" t="s">
        <v>1869</v>
      </c>
      <c r="C722" s="545">
        <v>33</v>
      </c>
      <c r="D722" s="545">
        <v>23.333333333333332</v>
      </c>
      <c r="E722" s="545">
        <v>14.666666666666666</v>
      </c>
      <c r="F722" s="545">
        <v>29</v>
      </c>
      <c r="G722" s="545">
        <v>15.45</v>
      </c>
      <c r="H722" s="545">
        <v>14</v>
      </c>
      <c r="I722" s="545">
        <v>8.3333333333333339</v>
      </c>
      <c r="J722" s="545">
        <v>14.226190476190476</v>
      </c>
    </row>
    <row r="723" spans="1:10">
      <c r="A723" s="441">
        <v>5982</v>
      </c>
      <c r="B723" s="441" t="s">
        <v>1870</v>
      </c>
      <c r="C723" s="545">
        <v>73.5</v>
      </c>
      <c r="D723" s="545">
        <v>42.666666666666664</v>
      </c>
      <c r="E723" s="545">
        <v>35.666666666666664</v>
      </c>
      <c r="F723" s="545">
        <v>63.690476190476197</v>
      </c>
      <c r="G723" s="545">
        <v>58.25</v>
      </c>
      <c r="H723" s="545">
        <v>35</v>
      </c>
      <c r="I723" s="545">
        <v>29</v>
      </c>
      <c r="J723" s="545">
        <v>50.75</v>
      </c>
    </row>
    <row r="724" spans="1:10">
      <c r="A724" s="441">
        <v>5996</v>
      </c>
      <c r="B724" s="441" t="s">
        <v>1870</v>
      </c>
      <c r="C724" s="545">
        <v>47.333333333333336</v>
      </c>
      <c r="D724" s="545">
        <v>23.333333333333336</v>
      </c>
      <c r="E724" s="545">
        <v>20</v>
      </c>
      <c r="F724" s="545">
        <v>40</v>
      </c>
      <c r="G724" s="545">
        <v>38.200000000000003</v>
      </c>
      <c r="H724" s="545">
        <v>28.333333333333332</v>
      </c>
      <c r="I724" s="545">
        <v>21.666666666666668</v>
      </c>
      <c r="J724" s="545">
        <v>34.428571428571431</v>
      </c>
    </row>
    <row r="725" spans="1:10">
      <c r="A725" s="441">
        <v>9830</v>
      </c>
      <c r="B725" s="441" t="s">
        <v>1871</v>
      </c>
      <c r="C725" s="545">
        <v>9.3333333333333339</v>
      </c>
      <c r="D725" s="545">
        <v>2.3333333333333335</v>
      </c>
      <c r="E725" s="545">
        <v>3</v>
      </c>
      <c r="F725" s="545">
        <v>7.4285714285714297</v>
      </c>
      <c r="G725" s="545">
        <v>3.55</v>
      </c>
      <c r="H725" s="545">
        <v>1</v>
      </c>
      <c r="I725" s="545">
        <v>1</v>
      </c>
      <c r="J725" s="545">
        <v>2.8214285714285716</v>
      </c>
    </row>
    <row r="726" spans="1:10">
      <c r="A726" s="441">
        <v>12122</v>
      </c>
      <c r="B726" s="441" t="s">
        <v>1872</v>
      </c>
      <c r="C726" s="545">
        <v>5.5</v>
      </c>
      <c r="D726" s="545">
        <v>0.66666666666666663</v>
      </c>
      <c r="E726" s="545">
        <v>1.3333333333333333</v>
      </c>
      <c r="F726" s="545">
        <v>4.2142857142857144</v>
      </c>
      <c r="G726" s="545">
        <v>3.55</v>
      </c>
      <c r="H726" s="545">
        <v>2.6666666666666665</v>
      </c>
      <c r="I726" s="545">
        <v>1.6666666666666667</v>
      </c>
      <c r="J726" s="545">
        <v>3.1547619047619051</v>
      </c>
    </row>
    <row r="727" spans="1:10">
      <c r="A727" s="441">
        <v>5981</v>
      </c>
      <c r="B727" s="441" t="s">
        <v>1873</v>
      </c>
      <c r="C727" s="545">
        <v>126.66666666666666</v>
      </c>
      <c r="D727" s="545">
        <v>98.333333333333343</v>
      </c>
      <c r="E727" s="545">
        <v>74</v>
      </c>
      <c r="F727" s="545">
        <v>115.09523809523809</v>
      </c>
      <c r="G727" s="545">
        <v>72.599999999999994</v>
      </c>
      <c r="H727" s="545">
        <v>46.666666666666664</v>
      </c>
      <c r="I727" s="545">
        <v>32.333333333333336</v>
      </c>
      <c r="J727" s="545">
        <v>63.142857142857146</v>
      </c>
    </row>
    <row r="728" spans="1:10">
      <c r="A728" s="441">
        <v>5997</v>
      </c>
      <c r="B728" s="441" t="s">
        <v>1873</v>
      </c>
      <c r="C728" s="545">
        <v>157.83333333333331</v>
      </c>
      <c r="D728" s="545">
        <v>94.333333333333343</v>
      </c>
      <c r="E728" s="545">
        <v>81.666666666666657</v>
      </c>
      <c r="F728" s="545">
        <v>137.88095238095235</v>
      </c>
      <c r="G728" s="545">
        <v>85.85</v>
      </c>
      <c r="H728" s="545">
        <v>61.333333333333336</v>
      </c>
      <c r="I728" s="545">
        <v>44.666666666666664</v>
      </c>
      <c r="J728" s="545">
        <v>76.464285714285708</v>
      </c>
    </row>
    <row r="729" spans="1:10">
      <c r="A729" s="441">
        <v>9853</v>
      </c>
      <c r="B729" s="441" t="s">
        <v>1874</v>
      </c>
      <c r="C729" s="545">
        <v>22.833333333333336</v>
      </c>
      <c r="D729" s="545">
        <v>7.6666666666666661</v>
      </c>
      <c r="E729" s="545">
        <v>12.333333333333332</v>
      </c>
      <c r="F729" s="545">
        <v>19.166666666666668</v>
      </c>
      <c r="G729" s="545">
        <v>12.8</v>
      </c>
      <c r="H729" s="545">
        <v>6.666666666666667</v>
      </c>
      <c r="I729" s="545">
        <v>3</v>
      </c>
      <c r="J729" s="545">
        <v>10.523809523809524</v>
      </c>
    </row>
    <row r="730" spans="1:10">
      <c r="A730" s="441">
        <v>9829</v>
      </c>
      <c r="B730" s="441" t="s">
        <v>1875</v>
      </c>
      <c r="C730" s="545">
        <v>21.5</v>
      </c>
      <c r="D730" s="545">
        <v>12</v>
      </c>
      <c r="E730" s="545">
        <v>14.333333333333332</v>
      </c>
      <c r="F730" s="545">
        <v>19.11904761904762</v>
      </c>
      <c r="G730" s="545">
        <v>16.399999999999999</v>
      </c>
      <c r="H730" s="545">
        <v>7</v>
      </c>
      <c r="I730" s="545">
        <v>7.333333333333333</v>
      </c>
      <c r="J730" s="545">
        <v>13.761904761904761</v>
      </c>
    </row>
    <row r="731" spans="1:10">
      <c r="A731" s="441">
        <v>9859</v>
      </c>
      <c r="B731" s="441" t="s">
        <v>1875</v>
      </c>
      <c r="C731" s="545">
        <v>9.6666666666666679</v>
      </c>
      <c r="D731" s="545">
        <v>4.333333333333333</v>
      </c>
      <c r="E731" s="545">
        <v>15.666666666666668</v>
      </c>
      <c r="F731" s="545">
        <v>9.7619047619047628</v>
      </c>
      <c r="G731" s="545">
        <v>6</v>
      </c>
      <c r="H731" s="545">
        <v>4.666666666666667</v>
      </c>
      <c r="I731" s="545">
        <v>17</v>
      </c>
      <c r="J731" s="545">
        <v>7.3809523809523805</v>
      </c>
    </row>
    <row r="732" spans="1:10">
      <c r="A732" s="441">
        <v>8032</v>
      </c>
      <c r="B732" s="441" t="s">
        <v>1876</v>
      </c>
      <c r="C732" s="545">
        <v>33.5</v>
      </c>
      <c r="D732" s="545">
        <v>32.666666666666664</v>
      </c>
      <c r="E732" s="545">
        <v>32</v>
      </c>
      <c r="F732" s="545">
        <v>33.166666666666664</v>
      </c>
      <c r="G732" s="545">
        <v>34.450000000000003</v>
      </c>
      <c r="H732" s="545">
        <v>29.333333333333332</v>
      </c>
      <c r="I732" s="545">
        <v>27</v>
      </c>
      <c r="J732" s="545">
        <v>32.654761904761905</v>
      </c>
    </row>
    <row r="733" spans="1:10">
      <c r="A733" s="441">
        <v>8031</v>
      </c>
      <c r="B733" s="441" t="s">
        <v>1877</v>
      </c>
      <c r="C733" s="545">
        <v>34.5</v>
      </c>
      <c r="D733" s="545">
        <v>19.333333333333332</v>
      </c>
      <c r="E733" s="545">
        <v>16</v>
      </c>
      <c r="F733" s="545">
        <v>29.690476190476193</v>
      </c>
      <c r="G733" s="545">
        <v>33.950000000000003</v>
      </c>
      <c r="H733" s="545">
        <v>23.666666666666668</v>
      </c>
      <c r="I733" s="545">
        <v>17.666666666666668</v>
      </c>
      <c r="J733" s="545">
        <v>30.154761904761902</v>
      </c>
    </row>
    <row r="734" spans="1:10">
      <c r="A734" s="441">
        <v>8189</v>
      </c>
      <c r="B734" s="441" t="s">
        <v>1877</v>
      </c>
      <c r="C734" s="545">
        <v>44.666666666666671</v>
      </c>
      <c r="D734" s="545">
        <v>24.666666666666668</v>
      </c>
      <c r="E734" s="545">
        <v>17.666666666666668</v>
      </c>
      <c r="F734" s="545">
        <v>37.952380952380956</v>
      </c>
      <c r="G734" s="545">
        <v>32.9</v>
      </c>
      <c r="H734" s="545">
        <v>29</v>
      </c>
      <c r="I734" s="545">
        <v>31.333333333333332</v>
      </c>
      <c r="J734" s="545">
        <v>32.11904761904762</v>
      </c>
    </row>
    <row r="735" spans="1:10">
      <c r="A735" s="441">
        <v>5973</v>
      </c>
      <c r="B735" s="441" t="s">
        <v>1878</v>
      </c>
      <c r="C735" s="545">
        <v>51.833333333333336</v>
      </c>
      <c r="D735" s="545">
        <v>32.666666666666664</v>
      </c>
      <c r="E735" s="545">
        <v>31.666666666666664</v>
      </c>
      <c r="F735" s="545">
        <v>46.214285714285722</v>
      </c>
      <c r="G735" s="545">
        <v>50.4</v>
      </c>
      <c r="H735" s="545">
        <v>26</v>
      </c>
      <c r="I735" s="545">
        <v>25.333333333333332</v>
      </c>
      <c r="J735" s="545">
        <v>43.333333333333329</v>
      </c>
    </row>
    <row r="736" spans="1:10">
      <c r="A736" s="441">
        <v>6007</v>
      </c>
      <c r="B736" s="441" t="s">
        <v>1878</v>
      </c>
      <c r="C736" s="545">
        <v>73.5</v>
      </c>
      <c r="D736" s="545">
        <v>43.333333333333336</v>
      </c>
      <c r="E736" s="545">
        <v>28.666666666666664</v>
      </c>
      <c r="F736" s="545">
        <v>62.785714285714285</v>
      </c>
      <c r="G736" s="545">
        <v>41.7</v>
      </c>
      <c r="H736" s="545">
        <v>20.666666666666668</v>
      </c>
      <c r="I736" s="545">
        <v>20.666666666666668</v>
      </c>
      <c r="J736" s="545">
        <v>35.69047619047619</v>
      </c>
    </row>
    <row r="737" spans="1:10">
      <c r="A737" s="441">
        <v>6008</v>
      </c>
      <c r="B737" s="441" t="s">
        <v>1879</v>
      </c>
      <c r="C737" s="545">
        <v>27.5</v>
      </c>
      <c r="D737" s="545">
        <v>26.333333333333332</v>
      </c>
      <c r="E737" s="545">
        <v>28.666666666666664</v>
      </c>
      <c r="F737" s="545">
        <v>27.5</v>
      </c>
      <c r="G737" s="545">
        <v>17.7</v>
      </c>
      <c r="H737" s="545">
        <v>16.666666666666668</v>
      </c>
      <c r="I737" s="545">
        <v>17.666666666666668</v>
      </c>
      <c r="J737" s="545">
        <v>17.547619047619047</v>
      </c>
    </row>
    <row r="738" spans="1:10">
      <c r="A738" s="441">
        <v>5986</v>
      </c>
      <c r="B738" s="441" t="s">
        <v>1880</v>
      </c>
      <c r="C738" s="545">
        <v>59.166666666666671</v>
      </c>
      <c r="D738" s="545">
        <v>62</v>
      </c>
      <c r="E738" s="545">
        <v>29.333333333333332</v>
      </c>
      <c r="F738" s="545">
        <v>55.30952380952381</v>
      </c>
      <c r="G738" s="545">
        <v>45.4</v>
      </c>
      <c r="H738" s="545">
        <v>36.333333333333336</v>
      </c>
      <c r="I738" s="545">
        <v>29</v>
      </c>
      <c r="J738" s="545">
        <v>41.761904761904759</v>
      </c>
    </row>
    <row r="739" spans="1:10">
      <c r="A739" s="441">
        <v>8187</v>
      </c>
      <c r="B739" s="441" t="s">
        <v>1881</v>
      </c>
      <c r="C739" s="545">
        <v>113</v>
      </c>
      <c r="D739" s="545">
        <v>102</v>
      </c>
      <c r="E739" s="545">
        <v>98</v>
      </c>
      <c r="F739" s="545">
        <v>109.28571428571429</v>
      </c>
      <c r="G739" s="545">
        <v>92.25</v>
      </c>
      <c r="H739" s="545">
        <v>89.666666666666671</v>
      </c>
      <c r="I739" s="545">
        <v>77.333333333333329</v>
      </c>
      <c r="J739" s="545">
        <v>89.75</v>
      </c>
    </row>
    <row r="740" spans="1:10">
      <c r="A740" s="441">
        <v>8984</v>
      </c>
      <c r="B740" s="441" t="s">
        <v>1881</v>
      </c>
      <c r="C740" s="545">
        <v>110.33333333333333</v>
      </c>
      <c r="D740" s="545">
        <v>86.666666666666671</v>
      </c>
      <c r="E740" s="545">
        <v>88</v>
      </c>
      <c r="F740" s="545">
        <v>103.76190476190474</v>
      </c>
      <c r="G740" s="545">
        <v>90.25</v>
      </c>
      <c r="H740" s="545">
        <v>82.333333333333329</v>
      </c>
      <c r="I740" s="545">
        <v>77</v>
      </c>
      <c r="J740" s="545">
        <v>87.226190476190482</v>
      </c>
    </row>
    <row r="741" spans="1:10">
      <c r="A741" s="441">
        <v>8188</v>
      </c>
      <c r="B741" s="441" t="s">
        <v>1882</v>
      </c>
      <c r="C741" s="545">
        <v>30.666666666666664</v>
      </c>
      <c r="D741" s="545">
        <v>32.333333333333329</v>
      </c>
      <c r="E741" s="545">
        <v>31.666666666666664</v>
      </c>
      <c r="F741" s="545">
        <v>31.04761904761904</v>
      </c>
      <c r="G741" s="545">
        <v>37.049999999999997</v>
      </c>
      <c r="H741" s="545">
        <v>29</v>
      </c>
      <c r="I741" s="545">
        <v>29.666666666666668</v>
      </c>
      <c r="J741" s="545">
        <v>34.845238095238095</v>
      </c>
    </row>
    <row r="742" spans="1:10">
      <c r="A742" s="441">
        <v>9832</v>
      </c>
      <c r="B742" s="441" t="s">
        <v>1883</v>
      </c>
      <c r="C742" s="545">
        <v>15.166666666666668</v>
      </c>
      <c r="D742" s="545">
        <v>6.666666666666667</v>
      </c>
      <c r="E742" s="545">
        <v>4.3333333333333339</v>
      </c>
      <c r="F742" s="545">
        <v>12.404761904761907</v>
      </c>
      <c r="G742" s="545">
        <v>12.45</v>
      </c>
      <c r="H742" s="545">
        <v>7.333333333333333</v>
      </c>
      <c r="I742" s="545">
        <v>6.333333333333333</v>
      </c>
      <c r="J742" s="545">
        <v>10.845238095238093</v>
      </c>
    </row>
    <row r="743" spans="1:10">
      <c r="A743" s="441">
        <v>9835</v>
      </c>
      <c r="B743" s="441" t="s">
        <v>1884</v>
      </c>
      <c r="C743" s="545">
        <v>30.5</v>
      </c>
      <c r="D743" s="545">
        <v>13</v>
      </c>
      <c r="E743" s="545">
        <v>10</v>
      </c>
      <c r="F743" s="545">
        <v>25.071428571428573</v>
      </c>
      <c r="G743" s="545">
        <v>26.2</v>
      </c>
      <c r="H743" s="545">
        <v>8.6666666666666661</v>
      </c>
      <c r="I743" s="545">
        <v>6.666666666666667</v>
      </c>
      <c r="J743" s="545">
        <v>20.904761904761902</v>
      </c>
    </row>
    <row r="744" spans="1:10">
      <c r="A744" s="441">
        <v>7445</v>
      </c>
      <c r="B744" s="441" t="s">
        <v>1885</v>
      </c>
      <c r="C744" s="545">
        <v>22.333333333333332</v>
      </c>
      <c r="D744" s="545">
        <v>12.666666666666668</v>
      </c>
      <c r="E744" s="545">
        <v>14</v>
      </c>
      <c r="F744" s="545">
        <v>19.761904761904759</v>
      </c>
      <c r="G744" s="545">
        <v>14.6</v>
      </c>
      <c r="H744" s="545">
        <v>11.666666666666666</v>
      </c>
      <c r="I744" s="545">
        <v>10.666666666666666</v>
      </c>
      <c r="J744" s="545">
        <v>13.61904761904762</v>
      </c>
    </row>
    <row r="745" spans="1:10">
      <c r="A745" s="441">
        <v>7460</v>
      </c>
      <c r="B745" s="441" t="s">
        <v>1885</v>
      </c>
      <c r="C745" s="545">
        <v>12.5</v>
      </c>
      <c r="D745" s="545">
        <v>7</v>
      </c>
      <c r="E745" s="545">
        <v>5.6666666666666661</v>
      </c>
      <c r="F745" s="545">
        <v>10.738095238095239</v>
      </c>
      <c r="G745" s="545">
        <v>7.6</v>
      </c>
      <c r="H745" s="545">
        <v>12.666666666666666</v>
      </c>
      <c r="I745" s="545">
        <v>9</v>
      </c>
      <c r="J745" s="545">
        <v>8.5238095238095237</v>
      </c>
    </row>
    <row r="746" spans="1:10">
      <c r="A746" s="441">
        <v>5970</v>
      </c>
      <c r="B746" s="441" t="s">
        <v>1886</v>
      </c>
      <c r="C746" s="545">
        <v>18.666666666666664</v>
      </c>
      <c r="D746" s="545">
        <v>16.666666666666664</v>
      </c>
      <c r="E746" s="545">
        <v>16.333333333333336</v>
      </c>
      <c r="F746" s="545">
        <v>18.047619047619044</v>
      </c>
      <c r="G746" s="545">
        <v>27.95</v>
      </c>
      <c r="H746" s="545">
        <v>30</v>
      </c>
      <c r="I746" s="545">
        <v>23</v>
      </c>
      <c r="J746" s="545">
        <v>27.535714285714285</v>
      </c>
    </row>
    <row r="747" spans="1:10">
      <c r="A747" s="441">
        <v>6010</v>
      </c>
      <c r="B747" s="441" t="s">
        <v>1886</v>
      </c>
      <c r="C747" s="545">
        <v>20.833333333333332</v>
      </c>
      <c r="D747" s="545">
        <v>20.333333333333336</v>
      </c>
      <c r="E747" s="545">
        <v>15</v>
      </c>
      <c r="F747" s="545">
        <v>19.928571428571427</v>
      </c>
      <c r="G747" s="545">
        <v>25.1</v>
      </c>
      <c r="H747" s="545">
        <v>23.333333333333332</v>
      </c>
      <c r="I747" s="545">
        <v>15.333333333333334</v>
      </c>
      <c r="J747" s="545">
        <v>23.452380952380956</v>
      </c>
    </row>
    <row r="748" spans="1:10">
      <c r="A748" s="441">
        <v>5983</v>
      </c>
      <c r="B748" s="441" t="s">
        <v>1887</v>
      </c>
      <c r="C748" s="545">
        <v>81.5</v>
      </c>
      <c r="D748" s="545">
        <v>84.666666666666671</v>
      </c>
      <c r="E748" s="545">
        <v>97.333333333333343</v>
      </c>
      <c r="F748" s="545">
        <v>84.214285714285708</v>
      </c>
      <c r="G748" s="545">
        <v>58.45</v>
      </c>
      <c r="H748" s="545">
        <v>52.333333333333336</v>
      </c>
      <c r="I748" s="545">
        <v>62.333333333333336</v>
      </c>
      <c r="J748" s="545">
        <v>58.130952380952372</v>
      </c>
    </row>
    <row r="749" spans="1:10">
      <c r="A749" s="441">
        <v>5995</v>
      </c>
      <c r="B749" s="441" t="s">
        <v>1887</v>
      </c>
      <c r="C749" s="545">
        <v>109.5</v>
      </c>
      <c r="D749" s="545">
        <v>85.666666666666671</v>
      </c>
      <c r="E749" s="545">
        <v>107.33333333333333</v>
      </c>
      <c r="F749" s="545">
        <v>105.78571428571429</v>
      </c>
      <c r="G749" s="545">
        <v>64.45</v>
      </c>
      <c r="H749" s="545">
        <v>72</v>
      </c>
      <c r="I749" s="545">
        <v>73.333333333333329</v>
      </c>
      <c r="J749" s="545">
        <v>66.797619047619051</v>
      </c>
    </row>
    <row r="750" spans="1:10">
      <c r="A750" s="441">
        <v>5984</v>
      </c>
      <c r="B750" s="441" t="s">
        <v>1888</v>
      </c>
      <c r="C750" s="545">
        <v>114.33333333333334</v>
      </c>
      <c r="D750" s="545">
        <v>63.333333333333336</v>
      </c>
      <c r="E750" s="545">
        <v>51.333333333333329</v>
      </c>
      <c r="F750" s="545">
        <v>98.047619047619065</v>
      </c>
      <c r="G750" s="545">
        <v>76.7</v>
      </c>
      <c r="H750" s="545">
        <v>46.333333333333336</v>
      </c>
      <c r="I750" s="545">
        <v>45.666666666666664</v>
      </c>
      <c r="J750" s="545">
        <v>67.928571428571431</v>
      </c>
    </row>
    <row r="751" spans="1:10">
      <c r="A751" s="441">
        <v>5985</v>
      </c>
      <c r="B751" s="441" t="s">
        <v>1888</v>
      </c>
      <c r="C751" s="545">
        <v>41.5</v>
      </c>
      <c r="D751" s="545">
        <v>40.333333333333336</v>
      </c>
      <c r="E751" s="545">
        <v>36.333333333333336</v>
      </c>
      <c r="F751" s="545">
        <v>40.595238095238095</v>
      </c>
      <c r="G751" s="545">
        <v>40.15</v>
      </c>
      <c r="H751" s="545">
        <v>29</v>
      </c>
      <c r="I751" s="545">
        <v>33.666666666666664</v>
      </c>
      <c r="J751" s="545">
        <v>37.630952380952387</v>
      </c>
    </row>
    <row r="752" spans="1:10">
      <c r="A752" s="441">
        <v>5993</v>
      </c>
      <c r="B752" s="441" t="s">
        <v>1888</v>
      </c>
      <c r="C752" s="545">
        <v>22.333333333333332</v>
      </c>
      <c r="D752" s="545">
        <v>25.333333333333332</v>
      </c>
      <c r="E752" s="545">
        <v>18</v>
      </c>
      <c r="F752" s="545">
        <v>22.142857142857142</v>
      </c>
      <c r="G752" s="545">
        <v>17</v>
      </c>
      <c r="H752" s="545">
        <v>10.333333333333334</v>
      </c>
      <c r="I752" s="545">
        <v>15.333333333333334</v>
      </c>
      <c r="J752" s="545">
        <v>15.809523809523808</v>
      </c>
    </row>
    <row r="753" spans="1:10">
      <c r="A753" s="441">
        <v>5994</v>
      </c>
      <c r="B753" s="441" t="s">
        <v>1888</v>
      </c>
      <c r="C753" s="545">
        <v>106</v>
      </c>
      <c r="D753" s="545">
        <v>56</v>
      </c>
      <c r="E753" s="545">
        <v>31</v>
      </c>
      <c r="F753" s="545">
        <v>88.142857142857139</v>
      </c>
      <c r="G753" s="545">
        <v>67.400000000000006</v>
      </c>
      <c r="H753" s="545">
        <v>43.333333333333336</v>
      </c>
      <c r="I753" s="545">
        <v>25.333333333333332</v>
      </c>
      <c r="J753" s="545">
        <v>57.952380952380949</v>
      </c>
    </row>
    <row r="754" spans="1:10">
      <c r="A754" s="441">
        <v>8028</v>
      </c>
      <c r="B754" s="441" t="s">
        <v>1889</v>
      </c>
      <c r="C754" s="545">
        <v>164.16666666666666</v>
      </c>
      <c r="D754" s="545">
        <v>88</v>
      </c>
      <c r="E754" s="545">
        <v>72</v>
      </c>
      <c r="F754" s="545">
        <v>140.11904761904762</v>
      </c>
      <c r="G754" s="545">
        <v>114.45</v>
      </c>
      <c r="H754" s="545">
        <v>83.333333333333329</v>
      </c>
      <c r="I754" s="545">
        <v>79.333333333333329</v>
      </c>
      <c r="J754" s="545">
        <v>104.98809523809526</v>
      </c>
    </row>
    <row r="755" spans="1:10">
      <c r="A755" s="441">
        <v>8192</v>
      </c>
      <c r="B755" s="441" t="s">
        <v>1889</v>
      </c>
      <c r="C755" s="545">
        <v>163.33333333333334</v>
      </c>
      <c r="D755" s="545">
        <v>83.666666666666671</v>
      </c>
      <c r="E755" s="545">
        <v>74.666666666666671</v>
      </c>
      <c r="F755" s="545">
        <v>139.28571428571428</v>
      </c>
      <c r="G755" s="545">
        <v>100</v>
      </c>
      <c r="H755" s="545">
        <v>61</v>
      </c>
      <c r="I755" s="545">
        <v>61</v>
      </c>
      <c r="J755" s="545">
        <v>88.857142857142861</v>
      </c>
    </row>
    <row r="756" spans="1:10">
      <c r="A756" s="441">
        <v>8193</v>
      </c>
      <c r="B756" s="441" t="s">
        <v>1889</v>
      </c>
      <c r="C756" s="545">
        <v>5</v>
      </c>
      <c r="D756" s="545">
        <v>4.3333333333333339</v>
      </c>
      <c r="E756" s="545">
        <v>2.666666666666667</v>
      </c>
      <c r="F756" s="545">
        <v>4.5714285714285712</v>
      </c>
      <c r="G756" s="545">
        <v>7</v>
      </c>
      <c r="H756" s="545">
        <v>7.333333333333333</v>
      </c>
      <c r="I756" s="545">
        <v>6.333333333333333</v>
      </c>
      <c r="J756" s="545">
        <v>6.9523809523809534</v>
      </c>
    </row>
    <row r="757" spans="1:10">
      <c r="A757" s="441">
        <v>7451</v>
      </c>
      <c r="B757" s="441" t="s">
        <v>1890</v>
      </c>
      <c r="C757" s="545">
        <v>170.66666666666669</v>
      </c>
      <c r="D757" s="545">
        <v>111.33333333333333</v>
      </c>
      <c r="E757" s="545">
        <v>73</v>
      </c>
      <c r="F757" s="545">
        <v>148.23809523809527</v>
      </c>
      <c r="G757" s="545">
        <v>98.35</v>
      </c>
      <c r="H757" s="545">
        <v>77.666666666666671</v>
      </c>
      <c r="I757" s="545">
        <v>56.333333333333336</v>
      </c>
      <c r="J757" s="545">
        <v>89.392857142857139</v>
      </c>
    </row>
    <row r="758" spans="1:10">
      <c r="A758" s="441">
        <v>7454</v>
      </c>
      <c r="B758" s="441" t="s">
        <v>1890</v>
      </c>
      <c r="C758" s="545">
        <v>223.5</v>
      </c>
      <c r="D758" s="545">
        <v>142.66666666666669</v>
      </c>
      <c r="E758" s="545">
        <v>96.333333333333329</v>
      </c>
      <c r="F758" s="545">
        <v>193.78571428571428</v>
      </c>
      <c r="G758" s="545">
        <v>120.3</v>
      </c>
      <c r="H758" s="545">
        <v>88.333333333333329</v>
      </c>
      <c r="I758" s="545">
        <v>63</v>
      </c>
      <c r="J758" s="545">
        <v>107.54761904761905</v>
      </c>
    </row>
    <row r="759" spans="1:10">
      <c r="A759" s="441">
        <v>7455</v>
      </c>
      <c r="B759" s="441" t="s">
        <v>1890</v>
      </c>
      <c r="C759" s="545">
        <v>64.5</v>
      </c>
      <c r="D759" s="545">
        <v>38.333333333333329</v>
      </c>
      <c r="E759" s="545">
        <v>27.333333333333336</v>
      </c>
      <c r="F759" s="545">
        <v>55.452380952380949</v>
      </c>
      <c r="G759" s="545">
        <v>57.95</v>
      </c>
      <c r="H759" s="545">
        <v>47</v>
      </c>
      <c r="I759" s="545">
        <v>37.666666666666664</v>
      </c>
      <c r="J759" s="545">
        <v>53.488095238095241</v>
      </c>
    </row>
    <row r="760" spans="1:10">
      <c r="A760" s="441">
        <v>8036</v>
      </c>
      <c r="B760" s="441" t="s">
        <v>1891</v>
      </c>
      <c r="C760" s="545">
        <v>12.333333333333332</v>
      </c>
      <c r="D760" s="545">
        <v>5.666666666666667</v>
      </c>
      <c r="E760" s="545">
        <v>2.6666666666666665</v>
      </c>
      <c r="F760" s="545">
        <v>10</v>
      </c>
      <c r="G760" s="545">
        <v>12.35</v>
      </c>
      <c r="H760" s="545">
        <v>11.333333333333334</v>
      </c>
      <c r="I760" s="545">
        <v>4.333333333333333</v>
      </c>
      <c r="J760" s="545">
        <v>11.059523809523808</v>
      </c>
    </row>
    <row r="761" spans="1:10">
      <c r="A761" s="441">
        <v>12498</v>
      </c>
      <c r="B761" s="441" t="s">
        <v>1891</v>
      </c>
      <c r="C761" s="545">
        <v>46.5</v>
      </c>
      <c r="D761" s="545">
        <v>29.666666666666668</v>
      </c>
      <c r="E761" s="545">
        <v>23.333333333333332</v>
      </c>
      <c r="F761" s="545">
        <v>40.785714285714285</v>
      </c>
      <c r="G761" s="545">
        <v>31.6</v>
      </c>
      <c r="H761" s="545">
        <v>17.333333333333332</v>
      </c>
      <c r="I761" s="545">
        <v>10</v>
      </c>
      <c r="J761" s="545">
        <v>26.476190476190478</v>
      </c>
    </row>
    <row r="762" spans="1:10">
      <c r="A762" s="441">
        <v>8009</v>
      </c>
      <c r="B762" s="441" t="s">
        <v>1892</v>
      </c>
      <c r="C762" s="545">
        <v>149.66666666666666</v>
      </c>
      <c r="D762" s="545">
        <v>71.666666666666671</v>
      </c>
      <c r="E762" s="545">
        <v>57</v>
      </c>
      <c r="F762" s="545">
        <v>125.28571428571426</v>
      </c>
      <c r="G762" s="545">
        <v>111.45</v>
      </c>
      <c r="H762" s="545">
        <v>63.666666666666664</v>
      </c>
      <c r="I762" s="545">
        <v>41.666666666666664</v>
      </c>
      <c r="J762" s="545">
        <v>94.654761904761898</v>
      </c>
    </row>
    <row r="763" spans="1:10">
      <c r="A763" s="441">
        <v>8027</v>
      </c>
      <c r="B763" s="441" t="s">
        <v>1892</v>
      </c>
      <c r="C763" s="545">
        <v>3.666666666666667</v>
      </c>
      <c r="D763" s="545">
        <v>3.6666666666666665</v>
      </c>
      <c r="E763" s="545">
        <v>1.6666666666666665</v>
      </c>
      <c r="F763" s="545">
        <v>3.3809523809523818</v>
      </c>
      <c r="G763" s="545">
        <v>4.0999999999999996</v>
      </c>
      <c r="H763" s="545">
        <v>3.6666666666666665</v>
      </c>
      <c r="I763" s="545">
        <v>3.6666666666666665</v>
      </c>
      <c r="J763" s="545">
        <v>3.9761904761904767</v>
      </c>
    </row>
    <row r="764" spans="1:10">
      <c r="A764" s="441">
        <v>8194</v>
      </c>
      <c r="B764" s="441" t="s">
        <v>1892</v>
      </c>
      <c r="C764" s="545">
        <v>153</v>
      </c>
      <c r="D764" s="545">
        <v>75.666666666666671</v>
      </c>
      <c r="E764" s="545">
        <v>64.333333333333329</v>
      </c>
      <c r="F764" s="545">
        <v>129.28571428571428</v>
      </c>
      <c r="G764" s="545">
        <v>105.85</v>
      </c>
      <c r="H764" s="545">
        <v>74.333333333333329</v>
      </c>
      <c r="I764" s="545">
        <v>65</v>
      </c>
      <c r="J764" s="545">
        <v>95.511904761904773</v>
      </c>
    </row>
    <row r="765" spans="1:10">
      <c r="A765" s="441">
        <v>9836</v>
      </c>
      <c r="B765" s="441" t="s">
        <v>1893</v>
      </c>
      <c r="C765" s="545">
        <v>8.3333333333333321</v>
      </c>
      <c r="D765" s="545">
        <v>2</v>
      </c>
      <c r="E765" s="545">
        <v>2</v>
      </c>
      <c r="F765" s="545">
        <v>6.5238095238095228</v>
      </c>
      <c r="G765" s="545">
        <v>4.3</v>
      </c>
      <c r="H765" s="545">
        <v>2</v>
      </c>
      <c r="I765" s="545">
        <v>2</v>
      </c>
      <c r="J765" s="545">
        <v>3.6428571428571428</v>
      </c>
    </row>
    <row r="766" spans="1:10">
      <c r="A766" s="441">
        <v>9852</v>
      </c>
      <c r="B766" s="441" t="s">
        <v>1893</v>
      </c>
      <c r="C766" s="545">
        <v>12.333333333333332</v>
      </c>
      <c r="D766" s="545">
        <v>4</v>
      </c>
      <c r="E766" s="545">
        <v>1</v>
      </c>
      <c r="F766" s="545">
        <v>9.5238095238095219</v>
      </c>
      <c r="G766" s="545">
        <v>6.35</v>
      </c>
      <c r="H766" s="545">
        <v>4.666666666666667</v>
      </c>
      <c r="I766" s="545">
        <v>2.6666666666666665</v>
      </c>
      <c r="J766" s="545">
        <v>5.583333333333333</v>
      </c>
    </row>
    <row r="767" spans="1:10">
      <c r="A767" s="441">
        <v>7997</v>
      </c>
      <c r="B767" s="441" t="s">
        <v>1894</v>
      </c>
      <c r="C767" s="545">
        <v>43.166666666666664</v>
      </c>
      <c r="D767" s="545">
        <v>30.666666666666668</v>
      </c>
      <c r="E767" s="545">
        <v>44.333333333333336</v>
      </c>
      <c r="F767" s="545">
        <v>41.547619047619044</v>
      </c>
      <c r="G767" s="545">
        <v>29.05</v>
      </c>
      <c r="H767" s="545">
        <v>24</v>
      </c>
      <c r="I767" s="545">
        <v>17.333333333333332</v>
      </c>
      <c r="J767" s="545">
        <v>26.654761904761905</v>
      </c>
    </row>
    <row r="768" spans="1:10">
      <c r="A768" s="441">
        <v>8005</v>
      </c>
      <c r="B768" s="441" t="s">
        <v>1894</v>
      </c>
      <c r="C768" s="545">
        <v>38.666666666666671</v>
      </c>
      <c r="D768" s="545">
        <v>25.666666666666664</v>
      </c>
      <c r="E768" s="545">
        <v>17.666666666666664</v>
      </c>
      <c r="F768" s="545">
        <v>33.80952380952381</v>
      </c>
      <c r="G768" s="545">
        <v>29.1</v>
      </c>
      <c r="H768" s="545">
        <v>16.333333333333332</v>
      </c>
      <c r="I768" s="545">
        <v>13</v>
      </c>
      <c r="J768" s="545">
        <v>24.976190476190478</v>
      </c>
    </row>
    <row r="769" spans="1:10">
      <c r="A769" s="441">
        <v>5991</v>
      </c>
      <c r="B769" s="441" t="s">
        <v>1895</v>
      </c>
      <c r="C769" s="545">
        <v>30.5</v>
      </c>
      <c r="D769" s="545">
        <v>23.666666666666664</v>
      </c>
      <c r="E769" s="545">
        <v>11</v>
      </c>
      <c r="F769" s="545">
        <v>26.738095238095237</v>
      </c>
      <c r="G769" s="545">
        <v>18.95</v>
      </c>
      <c r="H769" s="545">
        <v>14</v>
      </c>
      <c r="I769" s="545">
        <v>9</v>
      </c>
      <c r="J769" s="545">
        <v>16.821428571428573</v>
      </c>
    </row>
    <row r="770" spans="1:10">
      <c r="A770" s="441">
        <v>7464</v>
      </c>
      <c r="B770" s="441" t="s">
        <v>1896</v>
      </c>
      <c r="C770" s="545">
        <v>194.66666666666666</v>
      </c>
      <c r="D770" s="545">
        <v>131.66666666666666</v>
      </c>
      <c r="E770" s="545">
        <v>111.33333333333333</v>
      </c>
      <c r="F770" s="545">
        <v>173.76190476190476</v>
      </c>
      <c r="G770" s="545">
        <v>117.35</v>
      </c>
      <c r="H770" s="545">
        <v>87.333333333333329</v>
      </c>
      <c r="I770" s="545">
        <v>69</v>
      </c>
      <c r="J770" s="545">
        <v>106.15476190476191</v>
      </c>
    </row>
    <row r="771" spans="1:10">
      <c r="A771" s="441">
        <v>10477</v>
      </c>
      <c r="B771" s="441" t="s">
        <v>1896</v>
      </c>
      <c r="C771" s="545">
        <v>139</v>
      </c>
      <c r="D771" s="545">
        <v>107</v>
      </c>
      <c r="E771" s="545">
        <v>106.66666666666666</v>
      </c>
      <c r="F771" s="545">
        <v>129.8095238095238</v>
      </c>
      <c r="G771" s="545">
        <v>85.25</v>
      </c>
      <c r="H771" s="545">
        <v>75</v>
      </c>
      <c r="I771" s="545">
        <v>53.333333333333336</v>
      </c>
      <c r="J771" s="545">
        <v>79.226190476190482</v>
      </c>
    </row>
    <row r="772" spans="1:10">
      <c r="A772" s="441">
        <v>11663</v>
      </c>
      <c r="B772" s="441" t="s">
        <v>1896</v>
      </c>
      <c r="C772" s="545">
        <v>290</v>
      </c>
      <c r="D772" s="545">
        <v>158</v>
      </c>
      <c r="E772" s="545">
        <v>117.33333333333334</v>
      </c>
      <c r="F772" s="545">
        <v>246.47619047619045</v>
      </c>
      <c r="G772" s="545">
        <v>155.35</v>
      </c>
      <c r="H772" s="545">
        <v>109</v>
      </c>
      <c r="I772" s="545">
        <v>94</v>
      </c>
      <c r="J772" s="545">
        <v>139.96428571428572</v>
      </c>
    </row>
    <row r="773" spans="1:10">
      <c r="A773" s="441">
        <v>11664</v>
      </c>
      <c r="B773" s="441" t="s">
        <v>1896</v>
      </c>
      <c r="C773" s="545">
        <v>330.5</v>
      </c>
      <c r="D773" s="545">
        <v>149.66666666666669</v>
      </c>
      <c r="E773" s="545">
        <v>106.66666666666667</v>
      </c>
      <c r="F773" s="545">
        <v>272.6904761904762</v>
      </c>
      <c r="G773" s="545">
        <v>139</v>
      </c>
      <c r="H773" s="545">
        <v>116.66666666666667</v>
      </c>
      <c r="I773" s="545">
        <v>81</v>
      </c>
      <c r="J773" s="545">
        <v>127.52380952380952</v>
      </c>
    </row>
    <row r="774" spans="1:10">
      <c r="A774" s="441">
        <v>5976</v>
      </c>
      <c r="B774" s="441" t="s">
        <v>1897</v>
      </c>
      <c r="C774" s="545" t="e">
        <v>#N/A</v>
      </c>
      <c r="D774" s="545" t="e">
        <v>#N/A</v>
      </c>
      <c r="E774" s="545" t="e">
        <v>#N/A</v>
      </c>
      <c r="F774" s="545" t="e">
        <v>#N/A</v>
      </c>
      <c r="G774" s="545">
        <v>27.6</v>
      </c>
      <c r="H774" s="545">
        <v>15.666666666666666</v>
      </c>
      <c r="I774" s="545">
        <v>26</v>
      </c>
      <c r="J774" s="545">
        <v>25.666666666666664</v>
      </c>
    </row>
    <row r="775" spans="1:10">
      <c r="A775" s="441">
        <v>11660</v>
      </c>
      <c r="B775" s="441" t="s">
        <v>1897</v>
      </c>
      <c r="C775" s="545">
        <v>663.33333333333326</v>
      </c>
      <c r="D775" s="545">
        <v>443.66666666666663</v>
      </c>
      <c r="E775" s="545">
        <v>387.33333333333337</v>
      </c>
      <c r="F775" s="545">
        <v>592.5238095238094</v>
      </c>
      <c r="G775" s="545">
        <v>445.6</v>
      </c>
      <c r="H775" s="545">
        <v>395.33333333333331</v>
      </c>
      <c r="I775" s="545">
        <v>319</v>
      </c>
      <c r="J775" s="545">
        <v>420.33333333333337</v>
      </c>
    </row>
    <row r="776" spans="1:10">
      <c r="A776" s="441">
        <v>11661</v>
      </c>
      <c r="B776" s="441" t="s">
        <v>1897</v>
      </c>
      <c r="C776" s="545">
        <v>621.33333333333337</v>
      </c>
      <c r="D776" s="545">
        <v>397.66666666666669</v>
      </c>
      <c r="E776" s="545">
        <v>339.66666666666663</v>
      </c>
      <c r="F776" s="545">
        <v>549.14285714285711</v>
      </c>
      <c r="G776" s="545">
        <v>288.8</v>
      </c>
      <c r="H776" s="545">
        <v>246.66666666666666</v>
      </c>
      <c r="I776" s="545">
        <v>215.66666666666666</v>
      </c>
      <c r="J776" s="545">
        <v>272.33333333333337</v>
      </c>
    </row>
    <row r="777" spans="1:10">
      <c r="A777" s="441">
        <v>8029</v>
      </c>
      <c r="B777" s="441" t="s">
        <v>1898</v>
      </c>
      <c r="C777" s="545">
        <v>33.833333333333329</v>
      </c>
      <c r="D777" s="545">
        <v>21.666666666666664</v>
      </c>
      <c r="E777" s="545">
        <v>22</v>
      </c>
      <c r="F777" s="545">
        <v>30.404761904761898</v>
      </c>
      <c r="G777" s="545">
        <v>16.2</v>
      </c>
      <c r="H777" s="545">
        <v>15.333333333333334</v>
      </c>
      <c r="I777" s="545">
        <v>10.333333333333334</v>
      </c>
      <c r="J777" s="545">
        <v>15.238095238095237</v>
      </c>
    </row>
    <row r="778" spans="1:10">
      <c r="A778" s="441">
        <v>8191</v>
      </c>
      <c r="B778" s="441" t="s">
        <v>1898</v>
      </c>
      <c r="C778" s="545">
        <v>27.666666666666668</v>
      </c>
      <c r="D778" s="545">
        <v>23</v>
      </c>
      <c r="E778" s="545">
        <v>30.666666666666668</v>
      </c>
      <c r="F778" s="545">
        <v>27.428571428571427</v>
      </c>
      <c r="G778" s="545">
        <v>18.95</v>
      </c>
      <c r="H778" s="545">
        <v>21.333333333333332</v>
      </c>
      <c r="I778" s="545">
        <v>12.333333333333334</v>
      </c>
      <c r="J778" s="545">
        <v>18.345238095238095</v>
      </c>
    </row>
    <row r="779" spans="1:10">
      <c r="A779" s="441">
        <v>7450</v>
      </c>
      <c r="B779" s="441" t="s">
        <v>1899</v>
      </c>
      <c r="C779" s="545">
        <v>140.33333333333331</v>
      </c>
      <c r="D779" s="545">
        <v>84.666666666666671</v>
      </c>
      <c r="E779" s="545">
        <v>80.666666666666671</v>
      </c>
      <c r="F779" s="545">
        <v>123.85714285714282</v>
      </c>
      <c r="G779" s="545">
        <v>93.85</v>
      </c>
      <c r="H779" s="545">
        <v>74</v>
      </c>
      <c r="I779" s="545">
        <v>53.333333333333336</v>
      </c>
      <c r="J779" s="545">
        <v>85.226190476190482</v>
      </c>
    </row>
    <row r="780" spans="1:10">
      <c r="A780" s="441">
        <v>5971</v>
      </c>
      <c r="B780" s="441" t="s">
        <v>1900</v>
      </c>
      <c r="C780" s="545">
        <v>30.666666666666668</v>
      </c>
      <c r="D780" s="545">
        <v>14.666666666666668</v>
      </c>
      <c r="E780" s="545">
        <v>16.333333333333336</v>
      </c>
      <c r="F780" s="545">
        <v>26.333333333333336</v>
      </c>
      <c r="G780" s="545">
        <v>16.600000000000001</v>
      </c>
      <c r="H780" s="545">
        <v>15</v>
      </c>
      <c r="I780" s="545">
        <v>13.333333333333334</v>
      </c>
      <c r="J780" s="545">
        <v>15.904761904761903</v>
      </c>
    </row>
    <row r="781" spans="1:10">
      <c r="A781" s="441">
        <v>6009</v>
      </c>
      <c r="B781" s="441" t="s">
        <v>1900</v>
      </c>
      <c r="C781" s="545">
        <v>33.5</v>
      </c>
      <c r="D781" s="545">
        <v>19.333333333333336</v>
      </c>
      <c r="E781" s="545">
        <v>22</v>
      </c>
      <c r="F781" s="545">
        <v>29.833333333333336</v>
      </c>
      <c r="G781" s="545">
        <v>23.7</v>
      </c>
      <c r="H781" s="545">
        <v>23.333333333333332</v>
      </c>
      <c r="I781" s="545">
        <v>26</v>
      </c>
      <c r="J781" s="545">
        <v>23.976190476190478</v>
      </c>
    </row>
    <row r="782" spans="1:10">
      <c r="A782" s="441">
        <v>5972</v>
      </c>
      <c r="B782" s="441" t="s">
        <v>1901</v>
      </c>
      <c r="C782" s="545">
        <v>22.333333333333332</v>
      </c>
      <c r="D782" s="545">
        <v>22.333333333333332</v>
      </c>
      <c r="E782" s="545">
        <v>23.333333333333336</v>
      </c>
      <c r="F782" s="545">
        <v>22.476190476190478</v>
      </c>
      <c r="G782" s="545">
        <v>11.1</v>
      </c>
      <c r="H782" s="545">
        <v>9.3333333333333339</v>
      </c>
      <c r="I782" s="545">
        <v>7.666666666666667</v>
      </c>
      <c r="J782" s="545">
        <v>10.357142857142858</v>
      </c>
    </row>
    <row r="783" spans="1:10">
      <c r="A783" s="441">
        <v>5992</v>
      </c>
      <c r="B783" s="441" t="s">
        <v>1902</v>
      </c>
      <c r="C783" s="545">
        <v>59.833333333333329</v>
      </c>
      <c r="D783" s="545">
        <v>39</v>
      </c>
      <c r="E783" s="545">
        <v>25.666666666666664</v>
      </c>
      <c r="F783" s="545">
        <v>51.976190476190474</v>
      </c>
      <c r="G783" s="545">
        <v>41.15</v>
      </c>
      <c r="H783" s="545">
        <v>34.666666666666664</v>
      </c>
      <c r="I783" s="545">
        <v>19.666666666666668</v>
      </c>
      <c r="J783" s="545">
        <v>37.154761904761905</v>
      </c>
    </row>
    <row r="784" spans="1:10">
      <c r="A784" s="441">
        <v>7444</v>
      </c>
      <c r="B784" s="441" t="s">
        <v>1903</v>
      </c>
      <c r="C784" s="545">
        <v>53.166666666666664</v>
      </c>
      <c r="D784" s="545">
        <v>21.666666666666664</v>
      </c>
      <c r="E784" s="545">
        <v>23.666666666666668</v>
      </c>
      <c r="F784" s="545">
        <v>44.452380952380956</v>
      </c>
      <c r="G784" s="545">
        <v>28.3</v>
      </c>
      <c r="H784" s="545">
        <v>19.333333333333332</v>
      </c>
      <c r="I784" s="545">
        <v>14.666666666666666</v>
      </c>
      <c r="J784" s="545">
        <v>25.071428571428573</v>
      </c>
    </row>
    <row r="785" spans="1:10">
      <c r="A785" s="441">
        <v>7461</v>
      </c>
      <c r="B785" s="441" t="s">
        <v>1903</v>
      </c>
      <c r="C785" s="545">
        <v>49.333333333333329</v>
      </c>
      <c r="D785" s="545">
        <v>24</v>
      </c>
      <c r="E785" s="545">
        <v>24</v>
      </c>
      <c r="F785" s="545">
        <v>42.095238095238088</v>
      </c>
      <c r="G785" s="545">
        <v>23.3</v>
      </c>
      <c r="H785" s="545">
        <v>10</v>
      </c>
      <c r="I785" s="545">
        <v>12.666666666666666</v>
      </c>
      <c r="J785" s="545">
        <v>19.88095238095238</v>
      </c>
    </row>
    <row r="786" spans="1:10">
      <c r="A786" s="441">
        <v>8035</v>
      </c>
      <c r="B786" s="441" t="s">
        <v>1904</v>
      </c>
      <c r="C786" s="545">
        <v>21.166666666666668</v>
      </c>
      <c r="D786" s="545">
        <v>5.6666666666666661</v>
      </c>
      <c r="E786" s="545">
        <v>1.6666666666666667</v>
      </c>
      <c r="F786" s="545">
        <v>16.166666666666668</v>
      </c>
      <c r="G786" s="545">
        <v>5.2</v>
      </c>
      <c r="H786" s="545">
        <v>0</v>
      </c>
      <c r="I786" s="545">
        <v>2</v>
      </c>
      <c r="J786" s="545">
        <v>4</v>
      </c>
    </row>
    <row r="787" spans="1:10">
      <c r="A787" s="441">
        <v>12497</v>
      </c>
      <c r="B787" s="441" t="s">
        <v>1904</v>
      </c>
      <c r="C787" s="545">
        <v>17</v>
      </c>
      <c r="D787" s="545">
        <v>4.6666666666666661</v>
      </c>
      <c r="E787" s="545">
        <v>3.666666666666667</v>
      </c>
      <c r="F787" s="545">
        <v>13.333333333333334</v>
      </c>
      <c r="G787" s="545">
        <v>4.25</v>
      </c>
      <c r="H787" s="545">
        <v>1.3333333333333333</v>
      </c>
      <c r="I787" s="545">
        <v>0.33333333333333331</v>
      </c>
      <c r="J787" s="545">
        <v>3.2738095238095233</v>
      </c>
    </row>
    <row r="788" spans="1:10">
      <c r="A788" s="441">
        <v>8033</v>
      </c>
      <c r="B788" s="441" t="s">
        <v>1905</v>
      </c>
      <c r="C788" s="545">
        <v>7.166666666666667</v>
      </c>
      <c r="D788" s="545">
        <v>6.3333333333333339</v>
      </c>
      <c r="E788" s="545">
        <v>3.333333333333333</v>
      </c>
      <c r="F788" s="545">
        <v>6.5000000000000009</v>
      </c>
      <c r="G788" s="545">
        <v>5.7</v>
      </c>
      <c r="H788" s="545">
        <v>1.6666666666666667</v>
      </c>
      <c r="I788" s="545">
        <v>1</v>
      </c>
      <c r="J788" s="545">
        <v>4.4523809523809526</v>
      </c>
    </row>
    <row r="789" spans="1:10">
      <c r="A789" s="441">
        <v>12495</v>
      </c>
      <c r="B789" s="441" t="s">
        <v>1905</v>
      </c>
      <c r="C789" s="545">
        <v>9</v>
      </c>
      <c r="D789" s="545">
        <v>7</v>
      </c>
      <c r="E789" s="545">
        <v>4.666666666666667</v>
      </c>
      <c r="F789" s="545">
        <v>8.0952380952380949</v>
      </c>
      <c r="G789" s="545">
        <v>5.2</v>
      </c>
      <c r="H789" s="545">
        <v>1.6666666666666667</v>
      </c>
      <c r="I789" s="545">
        <v>1.6666666666666667</v>
      </c>
      <c r="J789" s="545">
        <v>4.1904761904761907</v>
      </c>
    </row>
    <row r="790" spans="1:10">
      <c r="A790" s="441">
        <v>9858</v>
      </c>
      <c r="B790" s="441" t="s">
        <v>1906</v>
      </c>
      <c r="C790" s="545">
        <v>24.5</v>
      </c>
      <c r="D790" s="545">
        <v>10.333333333333334</v>
      </c>
      <c r="E790" s="545">
        <v>7.333333333333333</v>
      </c>
      <c r="F790" s="545">
        <v>20.023809523809526</v>
      </c>
      <c r="G790" s="545">
        <v>12.4</v>
      </c>
      <c r="H790" s="545">
        <v>5</v>
      </c>
      <c r="I790" s="545">
        <v>5.666666666666667</v>
      </c>
      <c r="J790" s="545">
        <v>10.380952380952381</v>
      </c>
    </row>
    <row r="791" spans="1:10">
      <c r="A791" s="441">
        <v>5979</v>
      </c>
      <c r="B791" s="441" t="s">
        <v>1907</v>
      </c>
      <c r="C791" s="545">
        <v>59.166666666666664</v>
      </c>
      <c r="D791" s="545">
        <v>35.333333333333336</v>
      </c>
      <c r="E791" s="545">
        <v>26.666666666666664</v>
      </c>
      <c r="F791" s="545">
        <v>51.119047619047613</v>
      </c>
      <c r="G791" s="545">
        <v>39.85</v>
      </c>
      <c r="H791" s="545">
        <v>16</v>
      </c>
      <c r="I791" s="545">
        <v>12</v>
      </c>
      <c r="J791" s="545">
        <v>32.464285714285715</v>
      </c>
    </row>
    <row r="792" spans="1:10">
      <c r="A792" s="441">
        <v>5999</v>
      </c>
      <c r="B792" s="441" t="s">
        <v>1907</v>
      </c>
      <c r="C792" s="545">
        <v>60.833333333333329</v>
      </c>
      <c r="D792" s="545">
        <v>39.333333333333336</v>
      </c>
      <c r="E792" s="545">
        <v>36</v>
      </c>
      <c r="F792" s="545">
        <v>54.214285714285708</v>
      </c>
      <c r="G792" s="545">
        <v>41.35</v>
      </c>
      <c r="H792" s="545">
        <v>25.666666666666668</v>
      </c>
      <c r="I792" s="545">
        <v>27.333333333333332</v>
      </c>
      <c r="J792" s="545">
        <v>37.107142857142854</v>
      </c>
    </row>
    <row r="793" spans="1:10">
      <c r="A793" s="441">
        <v>9831</v>
      </c>
      <c r="B793" s="441" t="s">
        <v>1908</v>
      </c>
      <c r="C793" s="545">
        <v>24</v>
      </c>
      <c r="D793" s="545">
        <v>12.666666666666666</v>
      </c>
      <c r="E793" s="545">
        <v>8.6666666666666661</v>
      </c>
      <c r="F793" s="545">
        <v>20.190476190476186</v>
      </c>
      <c r="G793" s="545">
        <v>12.85</v>
      </c>
      <c r="H793" s="545">
        <v>6.666666666666667</v>
      </c>
      <c r="I793" s="545">
        <v>8.3333333333333339</v>
      </c>
      <c r="J793" s="545">
        <v>11.321428571428571</v>
      </c>
    </row>
    <row r="794" spans="1:10">
      <c r="A794" s="441">
        <v>7442</v>
      </c>
      <c r="B794" s="441" t="s">
        <v>1909</v>
      </c>
      <c r="C794" s="545">
        <v>45</v>
      </c>
      <c r="D794" s="545">
        <v>25.666666666666668</v>
      </c>
      <c r="E794" s="545">
        <v>22.333333333333336</v>
      </c>
      <c r="F794" s="545">
        <v>39</v>
      </c>
      <c r="G794" s="545">
        <v>37.1</v>
      </c>
      <c r="H794" s="545">
        <v>31.333333333333332</v>
      </c>
      <c r="I794" s="545">
        <v>22.666666666666668</v>
      </c>
      <c r="J794" s="545">
        <v>34.214285714285715</v>
      </c>
    </row>
    <row r="795" spans="1:10">
      <c r="A795" s="441">
        <v>7463</v>
      </c>
      <c r="B795" s="441" t="s">
        <v>1909</v>
      </c>
      <c r="C795" s="545">
        <v>41.666666666666664</v>
      </c>
      <c r="D795" s="545">
        <v>19.666666666666668</v>
      </c>
      <c r="E795" s="545">
        <v>22.666666666666668</v>
      </c>
      <c r="F795" s="545">
        <v>35.809523809523803</v>
      </c>
      <c r="G795" s="545">
        <v>34.950000000000003</v>
      </c>
      <c r="H795" s="545">
        <v>21</v>
      </c>
      <c r="I795" s="545">
        <v>14.333333333333334</v>
      </c>
      <c r="J795" s="545">
        <v>30.011904761904763</v>
      </c>
    </row>
    <row r="796" spans="1:10">
      <c r="A796" s="441">
        <v>7448</v>
      </c>
      <c r="B796" s="441" t="s">
        <v>1910</v>
      </c>
      <c r="C796" s="545">
        <v>9.8333333333333339</v>
      </c>
      <c r="D796" s="545">
        <v>8.6666666666666661</v>
      </c>
      <c r="E796" s="545">
        <v>8.6666666666666661</v>
      </c>
      <c r="F796" s="545">
        <v>9.5</v>
      </c>
      <c r="G796" s="545">
        <v>16.649999999999999</v>
      </c>
      <c r="H796" s="545">
        <v>10</v>
      </c>
      <c r="I796" s="545">
        <v>7.666666666666667</v>
      </c>
      <c r="J796" s="545">
        <v>14.416666666666668</v>
      </c>
    </row>
    <row r="797" spans="1:10">
      <c r="A797" s="441">
        <v>7457</v>
      </c>
      <c r="B797" s="441" t="s">
        <v>1910</v>
      </c>
      <c r="C797" s="545">
        <v>12.166666666666668</v>
      </c>
      <c r="D797" s="545">
        <v>8</v>
      </c>
      <c r="E797" s="545">
        <v>8.3333333333333321</v>
      </c>
      <c r="F797" s="545">
        <v>11.023809523809524</v>
      </c>
      <c r="G797" s="545">
        <v>12.75</v>
      </c>
      <c r="H797" s="545">
        <v>4.666666666666667</v>
      </c>
      <c r="I797" s="545">
        <v>12.333333333333334</v>
      </c>
      <c r="J797" s="545">
        <v>11.535714285714286</v>
      </c>
    </row>
    <row r="798" spans="1:10">
      <c r="A798" s="441">
        <v>7458</v>
      </c>
      <c r="B798" s="441" t="s">
        <v>1910</v>
      </c>
      <c r="C798" s="545">
        <v>48.5</v>
      </c>
      <c r="D798" s="545">
        <v>51.333333333333329</v>
      </c>
      <c r="E798" s="545">
        <v>30.666666666666664</v>
      </c>
      <c r="F798" s="545">
        <v>46.357142857142854</v>
      </c>
      <c r="G798" s="545">
        <v>34.200000000000003</v>
      </c>
      <c r="H798" s="545">
        <v>31.333333333333332</v>
      </c>
      <c r="I798" s="545">
        <v>22.333333333333332</v>
      </c>
      <c r="J798" s="545">
        <v>32.095238095238095</v>
      </c>
    </row>
    <row r="799" spans="1:10">
      <c r="A799" s="441">
        <v>7996</v>
      </c>
      <c r="B799" s="441" t="s">
        <v>1911</v>
      </c>
      <c r="C799" s="545">
        <v>17.666666666666664</v>
      </c>
      <c r="D799" s="545">
        <v>12.666666666666666</v>
      </c>
      <c r="E799" s="545">
        <v>14.333333333333334</v>
      </c>
      <c r="F799" s="545">
        <v>16.476190476190474</v>
      </c>
      <c r="G799" s="545">
        <v>12.45</v>
      </c>
      <c r="H799" s="545">
        <v>14.333333333333334</v>
      </c>
      <c r="I799" s="545">
        <v>11</v>
      </c>
      <c r="J799" s="545">
        <v>12.511904761904761</v>
      </c>
    </row>
    <row r="800" spans="1:10">
      <c r="A800" s="441">
        <v>8006</v>
      </c>
      <c r="B800" s="441" t="s">
        <v>1911</v>
      </c>
      <c r="C800" s="545">
        <v>17.166666666666668</v>
      </c>
      <c r="D800" s="545">
        <v>13.333333333333334</v>
      </c>
      <c r="E800" s="545">
        <v>9.6666666666666661</v>
      </c>
      <c r="F800" s="545">
        <v>15.547619047619049</v>
      </c>
      <c r="G800" s="545">
        <v>17.399999999999999</v>
      </c>
      <c r="H800" s="545">
        <v>15.333333333333334</v>
      </c>
      <c r="I800" s="545">
        <v>12.666666666666666</v>
      </c>
      <c r="J800" s="545">
        <v>16.428571428571427</v>
      </c>
    </row>
    <row r="801" spans="1:10">
      <c r="A801" s="441">
        <v>8007</v>
      </c>
      <c r="B801" s="441" t="s">
        <v>1911</v>
      </c>
      <c r="C801" s="545">
        <v>1</v>
      </c>
      <c r="D801" s="545">
        <v>0.33333333333333331</v>
      </c>
      <c r="E801" s="545">
        <v>1</v>
      </c>
      <c r="F801" s="545">
        <v>0.90476190476190477</v>
      </c>
      <c r="G801" s="545">
        <v>1.35</v>
      </c>
      <c r="H801" s="545">
        <v>0.66666666666666663</v>
      </c>
      <c r="I801" s="545">
        <v>1.3333333333333333</v>
      </c>
      <c r="J801" s="545">
        <v>1.25</v>
      </c>
    </row>
    <row r="802" spans="1:10">
      <c r="A802" s="441">
        <v>5978</v>
      </c>
      <c r="B802" s="441" t="s">
        <v>1912</v>
      </c>
      <c r="C802" s="545">
        <v>130.66666666666666</v>
      </c>
      <c r="D802" s="545">
        <v>104.33333333333334</v>
      </c>
      <c r="E802" s="545">
        <v>90.666666666666657</v>
      </c>
      <c r="F802" s="545">
        <v>121.19047619047618</v>
      </c>
      <c r="G802" s="545">
        <v>74</v>
      </c>
      <c r="H802" s="545">
        <v>60.666666666666664</v>
      </c>
      <c r="I802" s="545">
        <v>53.666666666666664</v>
      </c>
      <c r="J802" s="545">
        <v>69.19047619047619</v>
      </c>
    </row>
    <row r="803" spans="1:10">
      <c r="A803" s="441">
        <v>6000</v>
      </c>
      <c r="B803" s="441" t="s">
        <v>1912</v>
      </c>
      <c r="C803" s="545">
        <v>90.333333333333329</v>
      </c>
      <c r="D803" s="545">
        <v>74</v>
      </c>
      <c r="E803" s="545">
        <v>56</v>
      </c>
      <c r="F803" s="545">
        <v>83.095238095238088</v>
      </c>
      <c r="G803" s="545">
        <v>62.05</v>
      </c>
      <c r="H803" s="545">
        <v>52</v>
      </c>
      <c r="I803" s="545">
        <v>45.333333333333336</v>
      </c>
      <c r="J803" s="545">
        <v>58.226190476190474</v>
      </c>
    </row>
    <row r="804" spans="1:10">
      <c r="A804" s="441">
        <v>11667</v>
      </c>
      <c r="B804" s="441" t="s">
        <v>1913</v>
      </c>
      <c r="C804" s="545">
        <v>233.66666666666669</v>
      </c>
      <c r="D804" s="545">
        <v>176</v>
      </c>
      <c r="E804" s="545">
        <v>174</v>
      </c>
      <c r="F804" s="545">
        <v>216.90476190476193</v>
      </c>
      <c r="G804" s="545">
        <v>211</v>
      </c>
      <c r="H804" s="545">
        <v>192.33333333333334</v>
      </c>
      <c r="I804" s="545">
        <v>160.66666666666666</v>
      </c>
      <c r="J804" s="545">
        <v>201.14285714285714</v>
      </c>
    </row>
    <row r="805" spans="1:10">
      <c r="A805" s="441">
        <v>11668</v>
      </c>
      <c r="B805" s="441" t="s">
        <v>1913</v>
      </c>
      <c r="C805" s="545">
        <v>196.33333333333331</v>
      </c>
      <c r="D805" s="545">
        <v>156.33333333333334</v>
      </c>
      <c r="E805" s="545">
        <v>164.66666666666666</v>
      </c>
      <c r="F805" s="545">
        <v>186.09523809523807</v>
      </c>
      <c r="G805" s="545">
        <v>179.15</v>
      </c>
      <c r="H805" s="545">
        <v>153</v>
      </c>
      <c r="I805" s="545">
        <v>160.66666666666666</v>
      </c>
      <c r="J805" s="545">
        <v>172.77380952380955</v>
      </c>
    </row>
    <row r="806" spans="1:10">
      <c r="A806" s="441">
        <v>7446</v>
      </c>
      <c r="B806" s="441" t="s">
        <v>1914</v>
      </c>
      <c r="C806" s="545">
        <v>54.833333333333336</v>
      </c>
      <c r="D806" s="545">
        <v>41</v>
      </c>
      <c r="E806" s="545">
        <v>40.333333333333336</v>
      </c>
      <c r="F806" s="545">
        <v>50.785714285714285</v>
      </c>
      <c r="G806" s="545">
        <v>47.45</v>
      </c>
      <c r="H806" s="545">
        <v>42.666666666666664</v>
      </c>
      <c r="I806" s="545">
        <v>24</v>
      </c>
      <c r="J806" s="545">
        <v>43.416666666666671</v>
      </c>
    </row>
    <row r="807" spans="1:10">
      <c r="A807" s="441">
        <v>5980</v>
      </c>
      <c r="B807" s="441" t="s">
        <v>1915</v>
      </c>
      <c r="C807" s="545">
        <v>202.33333333333334</v>
      </c>
      <c r="D807" s="545">
        <v>152.66666666666669</v>
      </c>
      <c r="E807" s="545">
        <v>115</v>
      </c>
      <c r="F807" s="545">
        <v>182.76190476190479</v>
      </c>
      <c r="G807" s="545">
        <v>151.4</v>
      </c>
      <c r="H807" s="545">
        <v>124.66666666666667</v>
      </c>
      <c r="I807" s="545">
        <v>81</v>
      </c>
      <c r="J807" s="545">
        <v>137.52380952380952</v>
      </c>
    </row>
    <row r="808" spans="1:10">
      <c r="A808" s="441">
        <v>5998</v>
      </c>
      <c r="B808" s="441" t="s">
        <v>1915</v>
      </c>
      <c r="C808" s="545">
        <v>210</v>
      </c>
      <c r="D808" s="545">
        <v>167.33333333333331</v>
      </c>
      <c r="E808" s="545">
        <v>143.66666666666669</v>
      </c>
      <c r="F808" s="545">
        <v>194.42857142857142</v>
      </c>
      <c r="G808" s="545">
        <v>152.69999999999999</v>
      </c>
      <c r="H808" s="545">
        <v>125.66666666666667</v>
      </c>
      <c r="I808" s="545">
        <v>102</v>
      </c>
      <c r="J808" s="545">
        <v>141.5952380952381</v>
      </c>
    </row>
    <row r="809" spans="1:10">
      <c r="A809" s="441">
        <v>8182</v>
      </c>
      <c r="B809" s="441" t="s">
        <v>1916</v>
      </c>
      <c r="C809" s="545">
        <v>50</v>
      </c>
      <c r="D809" s="545">
        <v>41</v>
      </c>
      <c r="E809" s="545">
        <v>35</v>
      </c>
      <c r="F809" s="545">
        <v>46.571428571428569</v>
      </c>
      <c r="G809" s="545">
        <v>55.55</v>
      </c>
      <c r="H809" s="545">
        <v>58.666666666666664</v>
      </c>
      <c r="I809" s="545">
        <v>34.666666666666664</v>
      </c>
      <c r="J809" s="545">
        <v>53.011904761904766</v>
      </c>
    </row>
    <row r="810" spans="1:10">
      <c r="A810" s="441">
        <v>8183</v>
      </c>
      <c r="B810" s="441" t="s">
        <v>1917</v>
      </c>
      <c r="C810" s="545">
        <v>63.166666666666671</v>
      </c>
      <c r="D810" s="545">
        <v>53.333333333333336</v>
      </c>
      <c r="E810" s="545">
        <v>32</v>
      </c>
      <c r="F810" s="545">
        <v>57.30952380952381</v>
      </c>
      <c r="G810" s="545">
        <v>93.9</v>
      </c>
      <c r="H810" s="545">
        <v>83</v>
      </c>
      <c r="I810" s="545">
        <v>45</v>
      </c>
      <c r="J810" s="545">
        <v>85.357142857142861</v>
      </c>
    </row>
    <row r="811" spans="1:10">
      <c r="A811" s="441">
        <v>8184</v>
      </c>
      <c r="B811" s="441" t="s">
        <v>1917</v>
      </c>
      <c r="C811" s="545">
        <v>2.8333333333333335</v>
      </c>
      <c r="D811" s="545">
        <v>3.666666666666667</v>
      </c>
      <c r="E811" s="545">
        <v>2</v>
      </c>
      <c r="F811" s="545">
        <v>2.8333333333333335</v>
      </c>
      <c r="G811" s="545">
        <v>1.6</v>
      </c>
      <c r="H811" s="545">
        <v>2.6666666666666665</v>
      </c>
      <c r="I811" s="545">
        <v>1.6666666666666667</v>
      </c>
      <c r="J811" s="545">
        <v>1.7619047619047616</v>
      </c>
    </row>
    <row r="812" spans="1:10">
      <c r="A812" s="441">
        <v>5975</v>
      </c>
      <c r="B812" s="441" t="s">
        <v>1918</v>
      </c>
      <c r="C812" s="545">
        <v>143.83333333333334</v>
      </c>
      <c r="D812" s="545">
        <v>56.666666666666671</v>
      </c>
      <c r="E812" s="545">
        <v>39.666666666666664</v>
      </c>
      <c r="F812" s="545">
        <v>116.5</v>
      </c>
      <c r="G812" s="545">
        <v>232.55</v>
      </c>
      <c r="H812" s="545">
        <v>97</v>
      </c>
      <c r="I812" s="545">
        <v>82.666666666666671</v>
      </c>
      <c r="J812" s="545">
        <v>191.77380952380955</v>
      </c>
    </row>
    <row r="813" spans="1:10">
      <c r="A813" s="441">
        <v>6002</v>
      </c>
      <c r="B813" s="441" t="s">
        <v>1918</v>
      </c>
      <c r="C813" s="545">
        <v>218</v>
      </c>
      <c r="D813" s="545">
        <v>100</v>
      </c>
      <c r="E813" s="545">
        <v>85.333333333333343</v>
      </c>
      <c r="F813" s="545">
        <v>182.19047619047618</v>
      </c>
      <c r="G813" s="545">
        <v>219.75</v>
      </c>
      <c r="H813" s="545">
        <v>104</v>
      </c>
      <c r="I813" s="545">
        <v>81.333333333333329</v>
      </c>
      <c r="J813" s="545">
        <v>183.44047619047618</v>
      </c>
    </row>
    <row r="814" spans="1:10">
      <c r="A814" s="441">
        <v>11665</v>
      </c>
      <c r="B814" s="441" t="s">
        <v>1919</v>
      </c>
      <c r="C814" s="545">
        <v>595.16666666666663</v>
      </c>
      <c r="D814" s="545">
        <v>369.66666666666669</v>
      </c>
      <c r="E814" s="545">
        <v>318</v>
      </c>
      <c r="F814" s="545">
        <v>523.35714285714278</v>
      </c>
      <c r="G814" s="545">
        <v>353.9</v>
      </c>
      <c r="H814" s="545">
        <v>305.33333333333331</v>
      </c>
      <c r="I814" s="545">
        <v>244.66666666666666</v>
      </c>
      <c r="J814" s="545">
        <v>331.35714285714283</v>
      </c>
    </row>
    <row r="815" spans="1:10">
      <c r="A815" s="441">
        <v>11666</v>
      </c>
      <c r="B815" s="441" t="s">
        <v>1919</v>
      </c>
      <c r="C815" s="545">
        <v>622</v>
      </c>
      <c r="D815" s="545">
        <v>403</v>
      </c>
      <c r="E815" s="545">
        <v>347</v>
      </c>
      <c r="F815" s="545">
        <v>551.42857142857144</v>
      </c>
      <c r="G815" s="545">
        <v>369.55</v>
      </c>
      <c r="H815" s="545">
        <v>328</v>
      </c>
      <c r="I815" s="545">
        <v>260.33333333333331</v>
      </c>
      <c r="J815" s="545">
        <v>348.01190476190476</v>
      </c>
    </row>
    <row r="816" spans="1:10">
      <c r="A816" s="441">
        <v>8030</v>
      </c>
      <c r="B816" s="441" t="s">
        <v>1920</v>
      </c>
      <c r="C816" s="545">
        <v>128.83333333333331</v>
      </c>
      <c r="D816" s="545">
        <v>109.66666666666667</v>
      </c>
      <c r="E816" s="545">
        <v>70.333333333333329</v>
      </c>
      <c r="F816" s="545">
        <v>117.73809523809521</v>
      </c>
      <c r="G816" s="545">
        <v>91.75</v>
      </c>
      <c r="H816" s="545">
        <v>66</v>
      </c>
      <c r="I816" s="545">
        <v>42</v>
      </c>
      <c r="J816" s="545">
        <v>80.964285714285708</v>
      </c>
    </row>
    <row r="817" spans="1:10">
      <c r="A817" s="441">
        <v>8190</v>
      </c>
      <c r="B817" s="441" t="s">
        <v>1920</v>
      </c>
      <c r="C817" s="545">
        <v>124.83333333333333</v>
      </c>
      <c r="D817" s="545">
        <v>100.66666666666667</v>
      </c>
      <c r="E817" s="545">
        <v>86.666666666666671</v>
      </c>
      <c r="F817" s="545">
        <v>115.92857142857142</v>
      </c>
      <c r="G817" s="545">
        <v>99.35</v>
      </c>
      <c r="H817" s="545">
        <v>79.333333333333329</v>
      </c>
      <c r="I817" s="545">
        <v>65</v>
      </c>
      <c r="J817" s="545">
        <v>91.583333333333343</v>
      </c>
    </row>
    <row r="818" spans="1:10">
      <c r="A818" s="441">
        <v>7452</v>
      </c>
      <c r="B818" s="441" t="s">
        <v>1921</v>
      </c>
      <c r="C818" s="545">
        <v>93</v>
      </c>
      <c r="D818" s="545">
        <v>86</v>
      </c>
      <c r="E818" s="545">
        <v>82</v>
      </c>
      <c r="F818" s="545">
        <v>90.428571428571431</v>
      </c>
      <c r="G818" s="545">
        <v>78.349999999999994</v>
      </c>
      <c r="H818" s="545">
        <v>66.333333333333329</v>
      </c>
      <c r="I818" s="545">
        <v>54.666666666666664</v>
      </c>
      <c r="J818" s="545">
        <v>73.25</v>
      </c>
    </row>
    <row r="819" spans="1:10">
      <c r="A819" s="441">
        <v>7453</v>
      </c>
      <c r="B819" s="441" t="s">
        <v>1921</v>
      </c>
      <c r="C819" s="545">
        <v>92.166666666666671</v>
      </c>
      <c r="D819" s="545">
        <v>73.333333333333343</v>
      </c>
      <c r="E819" s="545">
        <v>54.333333333333329</v>
      </c>
      <c r="F819" s="545">
        <v>84.071428571428584</v>
      </c>
      <c r="G819" s="545">
        <v>91.65</v>
      </c>
      <c r="H819" s="545">
        <v>81</v>
      </c>
      <c r="I819" s="545">
        <v>53.333333333333336</v>
      </c>
      <c r="J819" s="545">
        <v>84.654761904761912</v>
      </c>
    </row>
    <row r="820" spans="1:10">
      <c r="A820" s="441">
        <v>8002</v>
      </c>
      <c r="B820" s="441" t="s">
        <v>1922</v>
      </c>
      <c r="C820" s="545">
        <v>15.5</v>
      </c>
      <c r="D820" s="545">
        <v>15.666666666666668</v>
      </c>
      <c r="E820" s="545">
        <v>7.333333333333333</v>
      </c>
      <c r="F820" s="545">
        <v>14.357142857142858</v>
      </c>
      <c r="G820" s="545">
        <v>10.6</v>
      </c>
      <c r="H820" s="545">
        <v>12</v>
      </c>
      <c r="I820" s="545">
        <v>5.333333333333333</v>
      </c>
      <c r="J820" s="545">
        <v>10.047619047619047</v>
      </c>
    </row>
    <row r="821" spans="1:10">
      <c r="A821" s="441">
        <v>12494</v>
      </c>
      <c r="B821" s="441" t="s">
        <v>1923</v>
      </c>
      <c r="C821" s="545">
        <v>20.333333333333336</v>
      </c>
      <c r="D821" s="545">
        <v>14.666666666666666</v>
      </c>
      <c r="E821" s="545">
        <v>12.666666666666668</v>
      </c>
      <c r="F821" s="545">
        <v>18.428571428571434</v>
      </c>
      <c r="G821" s="545">
        <v>15.8</v>
      </c>
      <c r="H821" s="545">
        <v>11.333333333333334</v>
      </c>
      <c r="I821" s="545">
        <v>5.666666666666667</v>
      </c>
      <c r="J821" s="545">
        <v>13.714285714285714</v>
      </c>
    </row>
    <row r="822" spans="1:10">
      <c r="A822" s="441">
        <v>11673</v>
      </c>
      <c r="B822" s="441" t="s">
        <v>1924</v>
      </c>
      <c r="C822" s="545">
        <v>271.16666666666669</v>
      </c>
      <c r="D822" s="545">
        <v>232</v>
      </c>
      <c r="E822" s="545">
        <v>257.66666666666669</v>
      </c>
      <c r="F822" s="545">
        <v>263.64285714285717</v>
      </c>
      <c r="G822" s="545">
        <v>182.25</v>
      </c>
      <c r="H822" s="545">
        <v>195.66666666666666</v>
      </c>
      <c r="I822" s="545">
        <v>166</v>
      </c>
      <c r="J822" s="545">
        <v>181.8452380952381</v>
      </c>
    </row>
    <row r="823" spans="1:10">
      <c r="A823" s="441">
        <v>11850</v>
      </c>
      <c r="B823" s="441" t="s">
        <v>1925</v>
      </c>
      <c r="C823" s="545">
        <v>187.5</v>
      </c>
      <c r="D823" s="545">
        <v>63</v>
      </c>
      <c r="E823" s="545">
        <v>50.333333333333336</v>
      </c>
      <c r="F823" s="545">
        <v>150.11904761904762</v>
      </c>
      <c r="G823" s="545">
        <v>96.65</v>
      </c>
      <c r="H823" s="545">
        <v>53.666666666666664</v>
      </c>
      <c r="I823" s="545">
        <v>33.666666666666664</v>
      </c>
      <c r="J823" s="545">
        <v>81.511904761904745</v>
      </c>
    </row>
    <row r="824" spans="1:10">
      <c r="A824" s="441">
        <v>11851</v>
      </c>
      <c r="B824" s="441" t="s">
        <v>1925</v>
      </c>
      <c r="C824" s="545">
        <v>214.33333333333334</v>
      </c>
      <c r="D824" s="545">
        <v>66.666666666666671</v>
      </c>
      <c r="E824" s="545">
        <v>41.333333333333336</v>
      </c>
      <c r="F824" s="545">
        <v>168.52380952380955</v>
      </c>
      <c r="G824" s="545">
        <v>109.1</v>
      </c>
      <c r="H824" s="545">
        <v>49.333333333333336</v>
      </c>
      <c r="I824" s="545">
        <v>39.333333333333336</v>
      </c>
      <c r="J824" s="545">
        <v>90.595238095238102</v>
      </c>
    </row>
    <row r="825" spans="1:10">
      <c r="A825" s="441">
        <v>8983</v>
      </c>
      <c r="B825" s="441" t="s">
        <v>1926</v>
      </c>
      <c r="C825" s="545">
        <v>80.5</v>
      </c>
      <c r="D825" s="545">
        <v>67.666666666666671</v>
      </c>
      <c r="E825" s="545">
        <v>59</v>
      </c>
      <c r="F825" s="545">
        <v>75.595238095238102</v>
      </c>
      <c r="G825" s="545">
        <v>62.3</v>
      </c>
      <c r="H825" s="545">
        <v>50.666666666666664</v>
      </c>
      <c r="I825" s="545">
        <v>48.666666666666664</v>
      </c>
      <c r="J825" s="545">
        <v>58.690476190476197</v>
      </c>
    </row>
    <row r="826" spans="1:10">
      <c r="A826" s="441">
        <v>9968</v>
      </c>
      <c r="B826" s="441" t="s">
        <v>1926</v>
      </c>
      <c r="C826" s="545">
        <v>74.833333333333329</v>
      </c>
      <c r="D826" s="545">
        <v>60</v>
      </c>
      <c r="E826" s="545">
        <v>47</v>
      </c>
      <c r="F826" s="545">
        <v>68.738095238095227</v>
      </c>
      <c r="G826" s="545">
        <v>60.35</v>
      </c>
      <c r="H826" s="545">
        <v>45.666666666666664</v>
      </c>
      <c r="I826" s="545">
        <v>40.666666666666664</v>
      </c>
      <c r="J826" s="545">
        <v>55.440476190476197</v>
      </c>
    </row>
    <row r="827" spans="1:10">
      <c r="A827" s="441">
        <v>9969</v>
      </c>
      <c r="B827" s="441" t="s">
        <v>1926</v>
      </c>
      <c r="C827" s="545">
        <v>5.5</v>
      </c>
      <c r="D827" s="545">
        <v>1.3333333333333333</v>
      </c>
      <c r="E827" s="545">
        <v>3</v>
      </c>
      <c r="F827" s="545">
        <v>4.5476190476190474</v>
      </c>
      <c r="G827" s="545">
        <v>3.8</v>
      </c>
      <c r="H827" s="545">
        <v>3</v>
      </c>
      <c r="I827" s="545">
        <v>4.333333333333333</v>
      </c>
      <c r="J827" s="545">
        <v>3.7619047619047619</v>
      </c>
    </row>
    <row r="828" spans="1:10">
      <c r="A828" s="441">
        <v>12031</v>
      </c>
      <c r="B828" s="441" t="s">
        <v>1926</v>
      </c>
      <c r="C828" s="545">
        <v>10.833333333333332</v>
      </c>
      <c r="D828" s="545">
        <v>8.3333333333333339</v>
      </c>
      <c r="E828" s="545">
        <v>8</v>
      </c>
      <c r="F828" s="545">
        <v>10.071428571428571</v>
      </c>
      <c r="G828" s="545">
        <v>8.9</v>
      </c>
      <c r="H828" s="545">
        <v>9.3333333333333339</v>
      </c>
      <c r="I828" s="545">
        <v>5.333333333333333</v>
      </c>
      <c r="J828" s="545">
        <v>8.4523809523809526</v>
      </c>
    </row>
    <row r="829" spans="1:10">
      <c r="A829" s="441">
        <v>5974</v>
      </c>
      <c r="B829" s="441" t="s">
        <v>1927</v>
      </c>
      <c r="C829" s="545">
        <v>222.5</v>
      </c>
      <c r="D829" s="545">
        <v>92</v>
      </c>
      <c r="E829" s="545">
        <v>65</v>
      </c>
      <c r="F829" s="545">
        <v>181.35714285714286</v>
      </c>
      <c r="G829" s="545">
        <v>154.19999999999999</v>
      </c>
      <c r="H829" s="545">
        <v>74.333333333333329</v>
      </c>
      <c r="I829" s="545">
        <v>48.666666666666664</v>
      </c>
      <c r="J829" s="545">
        <v>127.71428571428571</v>
      </c>
    </row>
    <row r="830" spans="1:10">
      <c r="A830" s="441">
        <v>6006</v>
      </c>
      <c r="B830" s="441" t="s">
        <v>1927</v>
      </c>
      <c r="C830" s="545">
        <v>216.66666666666666</v>
      </c>
      <c r="D830" s="545">
        <v>94.666666666666671</v>
      </c>
      <c r="E830" s="545">
        <v>72</v>
      </c>
      <c r="F830" s="545">
        <v>178.57142857142858</v>
      </c>
      <c r="G830" s="545">
        <v>159.69999999999999</v>
      </c>
      <c r="H830" s="545">
        <v>86.666666666666671</v>
      </c>
      <c r="I830" s="545">
        <v>52</v>
      </c>
      <c r="J830" s="545">
        <v>133.88095238095238</v>
      </c>
    </row>
    <row r="831" spans="1:10">
      <c r="A831" s="441">
        <v>8180</v>
      </c>
      <c r="B831" s="441" t="s">
        <v>1928</v>
      </c>
      <c r="C831" s="545">
        <v>55.333333333333336</v>
      </c>
      <c r="D831" s="545">
        <v>51.333333333333336</v>
      </c>
      <c r="E831" s="545">
        <v>39.666666666666671</v>
      </c>
      <c r="F831" s="545">
        <v>52.523809523809526</v>
      </c>
      <c r="G831" s="545">
        <v>39.25</v>
      </c>
      <c r="H831" s="545">
        <v>30</v>
      </c>
      <c r="I831" s="545">
        <v>29</v>
      </c>
      <c r="J831" s="545">
        <v>36.464285714285715</v>
      </c>
    </row>
    <row r="832" spans="1:10">
      <c r="A832" s="441">
        <v>8181</v>
      </c>
      <c r="B832" s="441" t="s">
        <v>1928</v>
      </c>
      <c r="C832" s="545">
        <v>3.833333333333333</v>
      </c>
      <c r="D832" s="545">
        <v>3</v>
      </c>
      <c r="E832" s="545">
        <v>4</v>
      </c>
      <c r="F832" s="545">
        <v>3.7380952380952377</v>
      </c>
      <c r="G832" s="545">
        <v>2.4500000000000002</v>
      </c>
      <c r="H832" s="545">
        <v>2.3333333333333335</v>
      </c>
      <c r="I832" s="545">
        <v>5</v>
      </c>
      <c r="J832" s="545">
        <v>2.7976190476190479</v>
      </c>
    </row>
    <row r="833" spans="1:10">
      <c r="A833" s="441">
        <v>8185</v>
      </c>
      <c r="B833" s="441" t="s">
        <v>1928</v>
      </c>
      <c r="C833" s="545">
        <v>48.666666666666664</v>
      </c>
      <c r="D833" s="545">
        <v>44.333333333333336</v>
      </c>
      <c r="E833" s="545">
        <v>37.666666666666664</v>
      </c>
      <c r="F833" s="545">
        <v>46.476190476190474</v>
      </c>
      <c r="G833" s="545">
        <v>38.15</v>
      </c>
      <c r="H833" s="545">
        <v>29.333333333333332</v>
      </c>
      <c r="I833" s="545">
        <v>28</v>
      </c>
      <c r="J833" s="545">
        <v>35.44047619047619</v>
      </c>
    </row>
    <row r="834" spans="1:10">
      <c r="A834" s="441">
        <v>5989</v>
      </c>
      <c r="B834" s="441" t="s">
        <v>1929</v>
      </c>
      <c r="C834" s="545">
        <v>48.166666666666671</v>
      </c>
      <c r="D834" s="545">
        <v>7</v>
      </c>
      <c r="E834" s="545">
        <v>4</v>
      </c>
      <c r="F834" s="545">
        <v>35.976190476190482</v>
      </c>
      <c r="G834" s="545">
        <v>28.9</v>
      </c>
      <c r="H834" s="545">
        <v>3</v>
      </c>
      <c r="I834" s="545">
        <v>0.33333333333333331</v>
      </c>
      <c r="J834" s="545">
        <v>21.11904761904762</v>
      </c>
    </row>
    <row r="835" spans="1:10">
      <c r="A835" s="441">
        <v>9860</v>
      </c>
      <c r="B835" s="441" t="s">
        <v>1929</v>
      </c>
      <c r="C835" s="545">
        <v>17.666666666666668</v>
      </c>
      <c r="D835" s="545">
        <v>7.666666666666667</v>
      </c>
      <c r="E835" s="545">
        <v>6.333333333333333</v>
      </c>
      <c r="F835" s="545">
        <v>14.61904761904762</v>
      </c>
      <c r="G835" s="545">
        <v>8.4499999999999993</v>
      </c>
      <c r="H835" s="545">
        <v>3</v>
      </c>
      <c r="I835" s="545">
        <v>2</v>
      </c>
      <c r="J835" s="545">
        <v>6.75</v>
      </c>
    </row>
    <row r="836" spans="1:10">
      <c r="A836" s="441">
        <v>7443</v>
      </c>
      <c r="B836" s="441" t="s">
        <v>1930</v>
      </c>
      <c r="C836" s="545">
        <v>82.666666666666671</v>
      </c>
      <c r="D836" s="545">
        <v>36</v>
      </c>
      <c r="E836" s="545">
        <v>44</v>
      </c>
      <c r="F836" s="545">
        <v>70.476190476190482</v>
      </c>
      <c r="G836" s="545">
        <v>59.9</v>
      </c>
      <c r="H836" s="545">
        <v>51.333333333333336</v>
      </c>
      <c r="I836" s="545">
        <v>33.333333333333336</v>
      </c>
      <c r="J836" s="545">
        <v>54.880952380952372</v>
      </c>
    </row>
    <row r="837" spans="1:10">
      <c r="A837" s="441">
        <v>7462</v>
      </c>
      <c r="B837" s="441" t="s">
        <v>1930</v>
      </c>
      <c r="C837" s="545">
        <v>87.833333333333329</v>
      </c>
      <c r="D837" s="545">
        <v>44</v>
      </c>
      <c r="E837" s="545">
        <v>46</v>
      </c>
      <c r="F837" s="545">
        <v>75.595238095238088</v>
      </c>
      <c r="G837" s="545">
        <v>62.35</v>
      </c>
      <c r="H837" s="545">
        <v>39</v>
      </c>
      <c r="I837" s="545">
        <v>34.333333333333336</v>
      </c>
      <c r="J837" s="545">
        <v>55.011904761904759</v>
      </c>
    </row>
    <row r="838" spans="1:10">
      <c r="A838" s="441">
        <v>9856</v>
      </c>
      <c r="B838" s="441" t="s">
        <v>1931</v>
      </c>
      <c r="C838" s="545">
        <v>13.333333333333332</v>
      </c>
      <c r="D838" s="545">
        <v>2.666666666666667</v>
      </c>
      <c r="E838" s="545">
        <v>2</v>
      </c>
      <c r="F838" s="545">
        <v>10.19047619047619</v>
      </c>
      <c r="G838" s="545">
        <v>16.649999999999999</v>
      </c>
      <c r="H838" s="545">
        <v>9.3333333333333339</v>
      </c>
      <c r="I838" s="545">
        <v>3.6666666666666665</v>
      </c>
      <c r="J838" s="545">
        <v>13.75</v>
      </c>
    </row>
    <row r="839" spans="1:10">
      <c r="A839" s="441">
        <v>9857</v>
      </c>
      <c r="B839" s="441" t="s">
        <v>1931</v>
      </c>
      <c r="C839" s="545">
        <v>1</v>
      </c>
      <c r="D839" s="545">
        <v>2.333333333333333</v>
      </c>
      <c r="E839" s="545">
        <v>0.66666666666666663</v>
      </c>
      <c r="F839" s="545">
        <v>1.1428571428571428</v>
      </c>
      <c r="G839" s="545">
        <v>2</v>
      </c>
      <c r="H839" s="545">
        <v>0</v>
      </c>
      <c r="I839" s="545">
        <v>1</v>
      </c>
      <c r="J839" s="545">
        <v>1.5714285714285714</v>
      </c>
    </row>
    <row r="840" spans="1:10">
      <c r="A840" s="441">
        <v>8008</v>
      </c>
      <c r="B840" s="441" t="s">
        <v>1932</v>
      </c>
      <c r="C840" s="545">
        <v>40.166666666666664</v>
      </c>
      <c r="D840" s="545">
        <v>29.333333333333336</v>
      </c>
      <c r="E840" s="545">
        <v>21</v>
      </c>
      <c r="F840" s="545">
        <v>35.88095238095238</v>
      </c>
      <c r="G840" s="545">
        <v>35.65</v>
      </c>
      <c r="H840" s="545">
        <v>29</v>
      </c>
      <c r="I840" s="545">
        <v>11.666666666666666</v>
      </c>
      <c r="J840" s="545">
        <v>31.273809523809522</v>
      </c>
    </row>
    <row r="841" spans="1:10">
      <c r="A841" s="441">
        <v>9970</v>
      </c>
      <c r="B841" s="441" t="s">
        <v>1932</v>
      </c>
      <c r="C841" s="545">
        <v>36.833333333333329</v>
      </c>
      <c r="D841" s="545">
        <v>23.666666666666668</v>
      </c>
      <c r="E841" s="545">
        <v>21.333333333333336</v>
      </c>
      <c r="F841" s="545">
        <v>32.738095238095234</v>
      </c>
      <c r="G841" s="545">
        <v>24.2</v>
      </c>
      <c r="H841" s="545">
        <v>14</v>
      </c>
      <c r="I841" s="545">
        <v>6.333333333333333</v>
      </c>
      <c r="J841" s="545">
        <v>20.190476190476193</v>
      </c>
    </row>
    <row r="842" spans="1:10">
      <c r="A842" s="441">
        <v>12030</v>
      </c>
      <c r="B842" s="441" t="s">
        <v>1933</v>
      </c>
      <c r="C842" s="545">
        <v>16.333333333333332</v>
      </c>
      <c r="D842" s="545">
        <v>10</v>
      </c>
      <c r="E842" s="545">
        <v>10.333333333333332</v>
      </c>
      <c r="F842" s="545">
        <v>14.571428571428569</v>
      </c>
      <c r="G842" s="545">
        <v>10.45</v>
      </c>
      <c r="H842" s="545">
        <v>9.3333333333333339</v>
      </c>
      <c r="I842" s="545">
        <v>9</v>
      </c>
      <c r="J842" s="545">
        <v>10.083333333333334</v>
      </c>
    </row>
    <row r="843" spans="1:10">
      <c r="A843" s="441">
        <v>8179</v>
      </c>
      <c r="B843" s="441" t="s">
        <v>1934</v>
      </c>
      <c r="C843" s="545">
        <v>189.66666666666669</v>
      </c>
      <c r="D843" s="545">
        <v>125</v>
      </c>
      <c r="E843" s="545">
        <v>109.33333333333334</v>
      </c>
      <c r="F843" s="545">
        <v>168.95238095238096</v>
      </c>
      <c r="G843" s="545">
        <v>148.19999999999999</v>
      </c>
      <c r="H843" s="545">
        <v>124.66666666666667</v>
      </c>
      <c r="I843" s="545">
        <v>91</v>
      </c>
      <c r="J843" s="545">
        <v>136.66666666666666</v>
      </c>
    </row>
    <row r="844" spans="1:10">
      <c r="A844" s="441">
        <v>8186</v>
      </c>
      <c r="B844" s="441" t="s">
        <v>1934</v>
      </c>
      <c r="C844" s="545">
        <v>202.83333333333331</v>
      </c>
      <c r="D844" s="545">
        <v>126</v>
      </c>
      <c r="E844" s="545">
        <v>98.333333333333329</v>
      </c>
      <c r="F844" s="545">
        <v>176.92857142857139</v>
      </c>
      <c r="G844" s="545">
        <v>150.9</v>
      </c>
      <c r="H844" s="545">
        <v>136.33333333333334</v>
      </c>
      <c r="I844" s="545">
        <v>102.33333333333333</v>
      </c>
      <c r="J844" s="545">
        <v>141.88095238095238</v>
      </c>
    </row>
    <row r="845" spans="1:10">
      <c r="A845" s="441">
        <v>8034</v>
      </c>
      <c r="B845" s="441" t="s">
        <v>1935</v>
      </c>
      <c r="C845" s="545">
        <v>4.333333333333333</v>
      </c>
      <c r="D845" s="545">
        <v>0.33333333333333331</v>
      </c>
      <c r="E845" s="545">
        <v>1</v>
      </c>
      <c r="F845" s="545">
        <v>3.2857142857142851</v>
      </c>
      <c r="G845" s="545">
        <v>1.05</v>
      </c>
      <c r="H845" s="545">
        <v>0</v>
      </c>
      <c r="I845" s="545">
        <v>0.33333333333333331</v>
      </c>
      <c r="J845" s="545">
        <v>0.79761904761904756</v>
      </c>
    </row>
    <row r="846" spans="1:10">
      <c r="A846" s="441">
        <v>8982</v>
      </c>
      <c r="B846" s="441" t="s">
        <v>1935</v>
      </c>
      <c r="C846" s="545">
        <v>17.5</v>
      </c>
      <c r="D846" s="545">
        <v>9.6666666666666661</v>
      </c>
      <c r="E846" s="545">
        <v>6.3333333333333339</v>
      </c>
      <c r="F846" s="545">
        <v>14.785714285714286</v>
      </c>
      <c r="G846" s="545">
        <v>5.7</v>
      </c>
      <c r="H846" s="545">
        <v>8.3333333333333339</v>
      </c>
      <c r="I846" s="545">
        <v>4.333333333333333</v>
      </c>
      <c r="J846" s="545">
        <v>5.8809523809523814</v>
      </c>
    </row>
    <row r="847" spans="1:10">
      <c r="A847" s="441">
        <v>12496</v>
      </c>
      <c r="B847" s="441" t="s">
        <v>1935</v>
      </c>
      <c r="C847" s="545">
        <v>16.166666666666668</v>
      </c>
      <c r="D847" s="545">
        <v>11</v>
      </c>
      <c r="E847" s="545">
        <v>8.3333333333333339</v>
      </c>
      <c r="F847" s="545">
        <v>14.30952380952381</v>
      </c>
      <c r="G847" s="545">
        <v>6.95</v>
      </c>
      <c r="H847" s="545">
        <v>5.666666666666667</v>
      </c>
      <c r="I847" s="545">
        <v>1.3333333333333333</v>
      </c>
      <c r="J847" s="545">
        <v>5.9642857142857144</v>
      </c>
    </row>
    <row r="848" spans="1:10">
      <c r="A848" s="441">
        <v>74</v>
      </c>
      <c r="B848" s="441" t="s">
        <v>1936</v>
      </c>
      <c r="C848" s="545">
        <v>4447.166666666667</v>
      </c>
      <c r="D848" s="545">
        <v>2629.666666666667</v>
      </c>
      <c r="E848" s="545">
        <v>1943.3333333333335</v>
      </c>
      <c r="F848" s="545">
        <v>3829.8333333333335</v>
      </c>
      <c r="G848" s="545">
        <v>2319.9499999999998</v>
      </c>
      <c r="H848" s="545">
        <v>1500.3333333333333</v>
      </c>
      <c r="I848" s="545">
        <v>1100</v>
      </c>
      <c r="J848" s="545">
        <v>2028.5833333333335</v>
      </c>
    </row>
    <row r="849" spans="1:10">
      <c r="A849" s="441">
        <v>8528</v>
      </c>
      <c r="B849" s="441" t="s">
        <v>1937</v>
      </c>
      <c r="C849" s="545">
        <v>26.333333333333332</v>
      </c>
      <c r="D849" s="545">
        <v>8</v>
      </c>
      <c r="E849" s="545">
        <v>11.666666666666666</v>
      </c>
      <c r="F849" s="545">
        <v>21.619047619047617</v>
      </c>
      <c r="G849" s="545">
        <v>26.2</v>
      </c>
      <c r="H849" s="545">
        <v>16</v>
      </c>
      <c r="I849" s="545">
        <v>13.333333333333334</v>
      </c>
      <c r="J849" s="545">
        <v>22.904761904761905</v>
      </c>
    </row>
    <row r="850" spans="1:10">
      <c r="A850" s="441">
        <v>4789</v>
      </c>
      <c r="B850" s="441" t="s">
        <v>1938</v>
      </c>
      <c r="C850" s="545">
        <v>501.16666666666663</v>
      </c>
      <c r="D850" s="545">
        <v>279</v>
      </c>
      <c r="E850" s="545">
        <v>200</v>
      </c>
      <c r="F850" s="545">
        <v>426.40476190476187</v>
      </c>
      <c r="G850" s="545">
        <v>350.45</v>
      </c>
      <c r="H850" s="545">
        <v>247.66666666666666</v>
      </c>
      <c r="I850" s="545">
        <v>172.33333333333334</v>
      </c>
      <c r="J850" s="545">
        <v>310.32142857142856</v>
      </c>
    </row>
    <row r="851" spans="1:10">
      <c r="A851" s="441">
        <v>4802</v>
      </c>
      <c r="B851" s="441" t="s">
        <v>1938</v>
      </c>
      <c r="C851" s="545">
        <v>355.83333333333337</v>
      </c>
      <c r="D851" s="545">
        <v>199.33333333333334</v>
      </c>
      <c r="E851" s="545">
        <v>158.33333333333331</v>
      </c>
      <c r="F851" s="545">
        <v>305.26190476190476</v>
      </c>
      <c r="G851" s="545">
        <v>226.5</v>
      </c>
      <c r="H851" s="545">
        <v>154.66666666666666</v>
      </c>
      <c r="I851" s="545">
        <v>122.33333333333333</v>
      </c>
      <c r="J851" s="545">
        <v>201.35714285714286</v>
      </c>
    </row>
    <row r="852" spans="1:10">
      <c r="A852" s="441">
        <v>4793</v>
      </c>
      <c r="B852" s="441" t="s">
        <v>1939</v>
      </c>
      <c r="C852" s="545">
        <v>28.833333333333336</v>
      </c>
      <c r="D852" s="545">
        <v>13.333333333333334</v>
      </c>
      <c r="E852" s="545">
        <v>13.666666666666668</v>
      </c>
      <c r="F852" s="545">
        <v>24.452380952380956</v>
      </c>
      <c r="G852" s="545">
        <v>22.3</v>
      </c>
      <c r="H852" s="545">
        <v>19</v>
      </c>
      <c r="I852" s="545">
        <v>12</v>
      </c>
      <c r="J852" s="545">
        <v>20.357142857142858</v>
      </c>
    </row>
    <row r="853" spans="1:10">
      <c r="A853" s="441">
        <v>4798</v>
      </c>
      <c r="B853" s="441" t="s">
        <v>1939</v>
      </c>
      <c r="C853" s="545">
        <v>20.5</v>
      </c>
      <c r="D853" s="545">
        <v>10.666666666666666</v>
      </c>
      <c r="E853" s="545">
        <v>8.6666666666666661</v>
      </c>
      <c r="F853" s="545">
        <v>17.404761904761905</v>
      </c>
      <c r="G853" s="545">
        <v>18.7</v>
      </c>
      <c r="H853" s="545">
        <v>9</v>
      </c>
      <c r="I853" s="545">
        <v>17.333333333333332</v>
      </c>
      <c r="J853" s="545">
        <v>17.119047619047617</v>
      </c>
    </row>
    <row r="854" spans="1:10">
      <c r="A854" s="441">
        <v>4792</v>
      </c>
      <c r="B854" s="441" t="s">
        <v>1940</v>
      </c>
      <c r="C854" s="545">
        <v>17.666666666666664</v>
      </c>
      <c r="D854" s="545">
        <v>11</v>
      </c>
      <c r="E854" s="545">
        <v>11</v>
      </c>
      <c r="F854" s="545">
        <v>15.761904761904759</v>
      </c>
      <c r="G854" s="545">
        <v>14.15</v>
      </c>
      <c r="H854" s="545">
        <v>10.333333333333334</v>
      </c>
      <c r="I854" s="545">
        <v>11</v>
      </c>
      <c r="J854" s="545">
        <v>13.154761904761903</v>
      </c>
    </row>
    <row r="855" spans="1:10">
      <c r="A855" s="441">
        <v>4799</v>
      </c>
      <c r="B855" s="441" t="s">
        <v>1940</v>
      </c>
      <c r="C855" s="545">
        <v>13.5</v>
      </c>
      <c r="D855" s="545">
        <v>6.333333333333333</v>
      </c>
      <c r="E855" s="545">
        <v>5</v>
      </c>
      <c r="F855" s="545">
        <v>11.261904761904761</v>
      </c>
      <c r="G855" s="545">
        <v>17.45</v>
      </c>
      <c r="H855" s="545">
        <v>10</v>
      </c>
      <c r="I855" s="545">
        <v>7.333333333333333</v>
      </c>
      <c r="J855" s="545">
        <v>14.94047619047619</v>
      </c>
    </row>
    <row r="856" spans="1:10">
      <c r="A856" s="441">
        <v>4822</v>
      </c>
      <c r="B856" s="441" t="s">
        <v>1941</v>
      </c>
      <c r="C856" s="545">
        <v>48.333333333333336</v>
      </c>
      <c r="D856" s="545">
        <v>30.666666666666664</v>
      </c>
      <c r="E856" s="545">
        <v>28.666666666666668</v>
      </c>
      <c r="F856" s="545">
        <v>43.000000000000007</v>
      </c>
      <c r="G856" s="545">
        <v>59.9</v>
      </c>
      <c r="H856" s="545">
        <v>45.333333333333336</v>
      </c>
      <c r="I856" s="545">
        <v>61.333333333333336</v>
      </c>
      <c r="J856" s="545">
        <v>58.023809523809518</v>
      </c>
    </row>
    <row r="857" spans="1:10">
      <c r="A857" s="441">
        <v>762</v>
      </c>
      <c r="B857" s="441" t="s">
        <v>1942</v>
      </c>
      <c r="C857" s="545">
        <v>311.5</v>
      </c>
      <c r="D857" s="545">
        <v>173</v>
      </c>
      <c r="E857" s="545">
        <v>141.66666666666666</v>
      </c>
      <c r="F857" s="545">
        <v>267.45238095238096</v>
      </c>
      <c r="G857" s="545">
        <v>221.55</v>
      </c>
      <c r="H857" s="545">
        <v>181.33333333333334</v>
      </c>
      <c r="I857" s="545">
        <v>114.66666666666667</v>
      </c>
      <c r="J857" s="545">
        <v>200.53571428571428</v>
      </c>
    </row>
    <row r="858" spans="1:10">
      <c r="A858" s="441">
        <v>9669</v>
      </c>
      <c r="B858" s="441" t="s">
        <v>1942</v>
      </c>
      <c r="C858" s="545">
        <v>338.66666666666663</v>
      </c>
      <c r="D858" s="545">
        <v>187.33333333333334</v>
      </c>
      <c r="E858" s="545">
        <v>148</v>
      </c>
      <c r="F858" s="545">
        <v>289.80952380952374</v>
      </c>
      <c r="G858" s="545">
        <v>233</v>
      </c>
      <c r="H858" s="545">
        <v>184.66666666666666</v>
      </c>
      <c r="I858" s="545">
        <v>118.66666666666667</v>
      </c>
      <c r="J858" s="545">
        <v>209.76190476190479</v>
      </c>
    </row>
    <row r="859" spans="1:10">
      <c r="A859" s="441">
        <v>10182</v>
      </c>
      <c r="B859" s="441" t="s">
        <v>1942</v>
      </c>
      <c r="C859" s="545">
        <v>37.166666666666664</v>
      </c>
      <c r="D859" s="545">
        <v>17</v>
      </c>
      <c r="E859" s="545">
        <v>10</v>
      </c>
      <c r="F859" s="545">
        <v>30.404761904761902</v>
      </c>
      <c r="G859" s="545">
        <v>16.149999999999999</v>
      </c>
      <c r="H859" s="545">
        <v>13</v>
      </c>
      <c r="I859" s="545">
        <v>4.666666666666667</v>
      </c>
      <c r="J859" s="545">
        <v>14.05952380952381</v>
      </c>
    </row>
    <row r="860" spans="1:10">
      <c r="A860" s="441">
        <v>9652</v>
      </c>
      <c r="B860" s="441" t="s">
        <v>1943</v>
      </c>
      <c r="C860" s="545">
        <v>35.666666666666671</v>
      </c>
      <c r="D860" s="545">
        <v>17.333333333333336</v>
      </c>
      <c r="E860" s="545">
        <v>17.666666666666668</v>
      </c>
      <c r="F860" s="545">
        <v>30.476190476190482</v>
      </c>
      <c r="G860" s="545">
        <v>30.85</v>
      </c>
      <c r="H860" s="545">
        <v>17.666666666666668</v>
      </c>
      <c r="I860" s="545">
        <v>17.666666666666668</v>
      </c>
      <c r="J860" s="545">
        <v>27.083333333333332</v>
      </c>
    </row>
    <row r="861" spans="1:10">
      <c r="A861" s="441">
        <v>4773</v>
      </c>
      <c r="B861" s="441" t="s">
        <v>1944</v>
      </c>
      <c r="C861" s="545">
        <v>75.166666666666671</v>
      </c>
      <c r="D861" s="545">
        <v>39</v>
      </c>
      <c r="E861" s="545">
        <v>33.666666666666664</v>
      </c>
      <c r="F861" s="545">
        <v>64.071428571428584</v>
      </c>
      <c r="G861" s="545">
        <v>56.5</v>
      </c>
      <c r="H861" s="545">
        <v>33.333333333333336</v>
      </c>
      <c r="I861" s="545">
        <v>27.666666666666668</v>
      </c>
      <c r="J861" s="545">
        <v>49.071428571428569</v>
      </c>
    </row>
    <row r="862" spans="1:10">
      <c r="A862" s="441">
        <v>4826</v>
      </c>
      <c r="B862" s="441" t="s">
        <v>1944</v>
      </c>
      <c r="C862" s="545">
        <v>5.1666666666666661</v>
      </c>
      <c r="D862" s="545">
        <v>2.3333333333333335</v>
      </c>
      <c r="E862" s="545">
        <v>2</v>
      </c>
      <c r="F862" s="545">
        <v>4.3095238095238084</v>
      </c>
      <c r="G862" s="545">
        <v>5.35</v>
      </c>
      <c r="H862" s="545">
        <v>3.6666666666666665</v>
      </c>
      <c r="I862" s="545">
        <v>5</v>
      </c>
      <c r="J862" s="545">
        <v>5.0595238095238102</v>
      </c>
    </row>
    <row r="863" spans="1:10">
      <c r="A863" s="441">
        <v>11019</v>
      </c>
      <c r="B863" s="441" t="s">
        <v>1945</v>
      </c>
      <c r="C863" s="545">
        <v>73.5</v>
      </c>
      <c r="D863" s="545">
        <v>35.333333333333336</v>
      </c>
      <c r="E863" s="545">
        <v>25.666666666666664</v>
      </c>
      <c r="F863" s="545">
        <v>61.214285714285715</v>
      </c>
      <c r="G863" s="545">
        <v>57.45</v>
      </c>
      <c r="H863" s="545">
        <v>31.333333333333332</v>
      </c>
      <c r="I863" s="545">
        <v>39.333333333333336</v>
      </c>
      <c r="J863" s="545">
        <v>51.130952380952372</v>
      </c>
    </row>
    <row r="864" spans="1:10">
      <c r="A864" s="441">
        <v>4810</v>
      </c>
      <c r="B864" s="441" t="s">
        <v>1946</v>
      </c>
      <c r="C864" s="545">
        <v>69.5</v>
      </c>
      <c r="D864" s="545">
        <v>30.333333333333332</v>
      </c>
      <c r="E864" s="545">
        <v>24</v>
      </c>
      <c r="F864" s="545">
        <v>57.404761904761905</v>
      </c>
      <c r="G864" s="545">
        <v>62.15</v>
      </c>
      <c r="H864" s="545">
        <v>27</v>
      </c>
      <c r="I864" s="545">
        <v>38</v>
      </c>
      <c r="J864" s="545">
        <v>53.678571428571431</v>
      </c>
    </row>
    <row r="865" spans="1:10">
      <c r="A865" s="441">
        <v>4818</v>
      </c>
      <c r="B865" s="441" t="s">
        <v>1947</v>
      </c>
      <c r="C865" s="545">
        <v>10.5</v>
      </c>
      <c r="D865" s="545">
        <v>5.6666666666666661</v>
      </c>
      <c r="E865" s="545">
        <v>3.333333333333333</v>
      </c>
      <c r="F865" s="545">
        <v>8.7857142857142865</v>
      </c>
      <c r="G865" s="545">
        <v>7.95</v>
      </c>
      <c r="H865" s="545">
        <v>10</v>
      </c>
      <c r="I865" s="545">
        <v>4</v>
      </c>
      <c r="J865" s="545">
        <v>7.6785714285714288</v>
      </c>
    </row>
    <row r="866" spans="1:10">
      <c r="A866" s="441">
        <v>4791</v>
      </c>
      <c r="B866" s="441" t="s">
        <v>1948</v>
      </c>
      <c r="C866" s="545">
        <v>73.666666666666657</v>
      </c>
      <c r="D866" s="545">
        <v>31</v>
      </c>
      <c r="E866" s="545">
        <v>31.333333333333336</v>
      </c>
      <c r="F866" s="545">
        <v>61.523809523809511</v>
      </c>
      <c r="G866" s="545">
        <v>48.45</v>
      </c>
      <c r="H866" s="545">
        <v>30.666666666666668</v>
      </c>
      <c r="I866" s="545">
        <v>30</v>
      </c>
      <c r="J866" s="545">
        <v>43.273809523809526</v>
      </c>
    </row>
    <row r="867" spans="1:10">
      <c r="A867" s="441">
        <v>4800</v>
      </c>
      <c r="B867" s="441" t="s">
        <v>1948</v>
      </c>
      <c r="C867" s="545">
        <v>59.333333333333329</v>
      </c>
      <c r="D867" s="545">
        <v>28.666666666666664</v>
      </c>
      <c r="E867" s="545">
        <v>20</v>
      </c>
      <c r="F867" s="545">
        <v>49.333333333333329</v>
      </c>
      <c r="G867" s="545">
        <v>45</v>
      </c>
      <c r="H867" s="545">
        <v>31</v>
      </c>
      <c r="I867" s="545">
        <v>24.333333333333332</v>
      </c>
      <c r="J867" s="545">
        <v>40.047619047619044</v>
      </c>
    </row>
    <row r="868" spans="1:10">
      <c r="A868" s="441">
        <v>776</v>
      </c>
      <c r="B868" s="441" t="s">
        <v>1949</v>
      </c>
      <c r="C868" s="545">
        <v>32.5</v>
      </c>
      <c r="D868" s="545">
        <v>16</v>
      </c>
      <c r="E868" s="545">
        <v>20</v>
      </c>
      <c r="F868" s="545">
        <v>28.357142857142858</v>
      </c>
      <c r="G868" s="545">
        <v>20.3</v>
      </c>
      <c r="H868" s="545">
        <v>12.333333333333334</v>
      </c>
      <c r="I868" s="545">
        <v>7.333333333333333</v>
      </c>
      <c r="J868" s="545">
        <v>17.309523809523807</v>
      </c>
    </row>
    <row r="869" spans="1:10">
      <c r="A869" s="441">
        <v>9648</v>
      </c>
      <c r="B869" s="441" t="s">
        <v>1949</v>
      </c>
      <c r="C869" s="545">
        <v>27.833333333333332</v>
      </c>
      <c r="D869" s="545">
        <v>17.666666666666668</v>
      </c>
      <c r="E869" s="545">
        <v>10</v>
      </c>
      <c r="F869" s="545">
        <v>23.833333333333332</v>
      </c>
      <c r="G869" s="545">
        <v>13.35</v>
      </c>
      <c r="H869" s="545">
        <v>12.666666666666666</v>
      </c>
      <c r="I869" s="545">
        <v>7.333333333333333</v>
      </c>
      <c r="J869" s="545">
        <v>12.392857142857142</v>
      </c>
    </row>
    <row r="870" spans="1:10">
      <c r="A870" s="441">
        <v>4782</v>
      </c>
      <c r="B870" s="441" t="s">
        <v>1950</v>
      </c>
      <c r="C870" s="545">
        <v>276</v>
      </c>
      <c r="D870" s="545">
        <v>151.33333333333334</v>
      </c>
      <c r="E870" s="545">
        <v>119.33333333333333</v>
      </c>
      <c r="F870" s="545">
        <v>235.8095238095238</v>
      </c>
      <c r="G870" s="545">
        <v>227.3</v>
      </c>
      <c r="H870" s="545">
        <v>172.66666666666666</v>
      </c>
      <c r="I870" s="545">
        <v>139.66666666666666</v>
      </c>
      <c r="J870" s="545">
        <v>206.97619047619051</v>
      </c>
    </row>
    <row r="871" spans="1:10">
      <c r="A871" s="441">
        <v>4816</v>
      </c>
      <c r="B871" s="441" t="s">
        <v>1950</v>
      </c>
      <c r="C871" s="545">
        <v>307.16666666666669</v>
      </c>
      <c r="D871" s="545">
        <v>186.66666666666669</v>
      </c>
      <c r="E871" s="545">
        <v>158.66666666666666</v>
      </c>
      <c r="F871" s="545">
        <v>268.7380952380953</v>
      </c>
      <c r="G871" s="545">
        <v>243.85</v>
      </c>
      <c r="H871" s="545">
        <v>193</v>
      </c>
      <c r="I871" s="545">
        <v>137.33333333333334</v>
      </c>
      <c r="J871" s="545">
        <v>221.36904761904762</v>
      </c>
    </row>
    <row r="872" spans="1:10">
      <c r="A872" s="441">
        <v>4781</v>
      </c>
      <c r="B872" s="441" t="s">
        <v>1951</v>
      </c>
      <c r="C872" s="545">
        <v>124.5</v>
      </c>
      <c r="D872" s="545">
        <v>70.333333333333329</v>
      </c>
      <c r="E872" s="545">
        <v>47.333333333333329</v>
      </c>
      <c r="F872" s="545">
        <v>105.73809523809526</v>
      </c>
      <c r="G872" s="545">
        <v>85.6</v>
      </c>
      <c r="H872" s="545">
        <v>67</v>
      </c>
      <c r="I872" s="545">
        <v>41.666666666666664</v>
      </c>
      <c r="J872" s="545">
        <v>76.666666666666657</v>
      </c>
    </row>
    <row r="873" spans="1:10">
      <c r="A873" s="441">
        <v>757</v>
      </c>
      <c r="B873" s="441" t="s">
        <v>1952</v>
      </c>
      <c r="C873" s="545">
        <v>11.5</v>
      </c>
      <c r="D873" s="545">
        <v>7.6666666666666661</v>
      </c>
      <c r="E873" s="545">
        <v>4</v>
      </c>
      <c r="F873" s="545">
        <v>9.8809523809523814</v>
      </c>
      <c r="G873" s="545">
        <v>13.3</v>
      </c>
      <c r="H873" s="545">
        <v>6.333333333333333</v>
      </c>
      <c r="I873" s="545">
        <v>2</v>
      </c>
      <c r="J873" s="545">
        <v>10.69047619047619</v>
      </c>
    </row>
    <row r="874" spans="1:10">
      <c r="A874" s="441">
        <v>758</v>
      </c>
      <c r="B874" s="441" t="s">
        <v>1953</v>
      </c>
      <c r="C874" s="545">
        <v>19.166666666666664</v>
      </c>
      <c r="D874" s="545">
        <v>7.6666666666666661</v>
      </c>
      <c r="E874" s="545">
        <v>6</v>
      </c>
      <c r="F874" s="545">
        <v>15.642857142857141</v>
      </c>
      <c r="G874" s="545">
        <v>13.25</v>
      </c>
      <c r="H874" s="545">
        <v>6.666666666666667</v>
      </c>
      <c r="I874" s="545">
        <v>7.666666666666667</v>
      </c>
      <c r="J874" s="545">
        <v>11.511904761904763</v>
      </c>
    </row>
    <row r="875" spans="1:10">
      <c r="A875" s="441">
        <v>764</v>
      </c>
      <c r="B875" s="441" t="s">
        <v>1954</v>
      </c>
      <c r="C875" s="545">
        <v>18.333333333333332</v>
      </c>
      <c r="D875" s="545">
        <v>15</v>
      </c>
      <c r="E875" s="545">
        <v>11.666666666666666</v>
      </c>
      <c r="F875" s="545">
        <v>16.904761904761905</v>
      </c>
      <c r="G875" s="545">
        <v>19.899999999999999</v>
      </c>
      <c r="H875" s="545">
        <v>15.666666666666666</v>
      </c>
      <c r="I875" s="545">
        <v>11.333333333333334</v>
      </c>
      <c r="J875" s="545">
        <v>18.071428571428573</v>
      </c>
    </row>
    <row r="876" spans="1:10">
      <c r="A876" s="441">
        <v>765</v>
      </c>
      <c r="B876" s="441" t="s">
        <v>1954</v>
      </c>
      <c r="C876" s="545">
        <v>53.666666666666664</v>
      </c>
      <c r="D876" s="545">
        <v>12.333333333333334</v>
      </c>
      <c r="E876" s="545">
        <v>10.333333333333332</v>
      </c>
      <c r="F876" s="545">
        <v>41.571428571428562</v>
      </c>
      <c r="G876" s="545">
        <v>32.299999999999997</v>
      </c>
      <c r="H876" s="545">
        <v>12.666666666666666</v>
      </c>
      <c r="I876" s="545">
        <v>13</v>
      </c>
      <c r="J876" s="545">
        <v>26.738095238095237</v>
      </c>
    </row>
    <row r="877" spans="1:10">
      <c r="A877" s="441">
        <v>9667</v>
      </c>
      <c r="B877" s="441" t="s">
        <v>1954</v>
      </c>
      <c r="C877" s="545">
        <v>20</v>
      </c>
      <c r="D877" s="545">
        <v>14.666666666666666</v>
      </c>
      <c r="E877" s="545">
        <v>14.666666666666666</v>
      </c>
      <c r="F877" s="545">
        <v>18.476190476190478</v>
      </c>
      <c r="G877" s="545">
        <v>17.149999999999999</v>
      </c>
      <c r="H877" s="545">
        <v>14.666666666666666</v>
      </c>
      <c r="I877" s="545">
        <v>8.6666666666666661</v>
      </c>
      <c r="J877" s="545">
        <v>15.583333333333334</v>
      </c>
    </row>
    <row r="878" spans="1:10">
      <c r="A878" s="441">
        <v>4785</v>
      </c>
      <c r="B878" s="441" t="s">
        <v>1955</v>
      </c>
      <c r="C878" s="545">
        <v>34</v>
      </c>
      <c r="D878" s="545">
        <v>22.666666666666664</v>
      </c>
      <c r="E878" s="545">
        <v>18.333333333333336</v>
      </c>
      <c r="F878" s="545">
        <v>30.142857142857142</v>
      </c>
      <c r="G878" s="545">
        <v>26.15</v>
      </c>
      <c r="H878" s="545">
        <v>23.666666666666668</v>
      </c>
      <c r="I878" s="545">
        <v>14.666666666666666</v>
      </c>
      <c r="J878" s="545">
        <v>24.154761904761902</v>
      </c>
    </row>
    <row r="879" spans="1:10">
      <c r="A879" s="441">
        <v>4807</v>
      </c>
      <c r="B879" s="441" t="s">
        <v>1955</v>
      </c>
      <c r="C879" s="545">
        <v>31</v>
      </c>
      <c r="D879" s="545">
        <v>17.333333333333332</v>
      </c>
      <c r="E879" s="545">
        <v>11.333333333333334</v>
      </c>
      <c r="F879" s="545">
        <v>26.238095238095241</v>
      </c>
      <c r="G879" s="545">
        <v>21.3</v>
      </c>
      <c r="H879" s="545">
        <v>18.333333333333332</v>
      </c>
      <c r="I879" s="545">
        <v>15.333333333333334</v>
      </c>
      <c r="J879" s="545">
        <v>20.023809523809522</v>
      </c>
    </row>
    <row r="880" spans="1:10">
      <c r="A880" s="441">
        <v>9650</v>
      </c>
      <c r="B880" s="441" t="s">
        <v>1956</v>
      </c>
      <c r="C880" s="545">
        <v>49</v>
      </c>
      <c r="D880" s="545">
        <v>29.666666666666664</v>
      </c>
      <c r="E880" s="545">
        <v>19.666666666666664</v>
      </c>
      <c r="F880" s="545">
        <v>42.047619047619051</v>
      </c>
      <c r="G880" s="545">
        <v>27.95</v>
      </c>
      <c r="H880" s="545">
        <v>23.333333333333332</v>
      </c>
      <c r="I880" s="545">
        <v>20</v>
      </c>
      <c r="J880" s="545">
        <v>26.154761904761905</v>
      </c>
    </row>
    <row r="881" spans="1:10">
      <c r="A881" s="441">
        <v>4783</v>
      </c>
      <c r="B881" s="441" t="s">
        <v>1957</v>
      </c>
      <c r="C881" s="545">
        <v>96.833333333333343</v>
      </c>
      <c r="D881" s="545">
        <v>38.666666666666671</v>
      </c>
      <c r="E881" s="545">
        <v>34.333333333333336</v>
      </c>
      <c r="F881" s="545">
        <v>79.595238095238102</v>
      </c>
      <c r="G881" s="545">
        <v>82</v>
      </c>
      <c r="H881" s="545">
        <v>51.666666666666664</v>
      </c>
      <c r="I881" s="545">
        <v>45</v>
      </c>
      <c r="J881" s="545">
        <v>72.38095238095238</v>
      </c>
    </row>
    <row r="882" spans="1:10">
      <c r="A882" s="441">
        <v>4809</v>
      </c>
      <c r="B882" s="441" t="s">
        <v>1957</v>
      </c>
      <c r="C882" s="545">
        <v>91.166666666666671</v>
      </c>
      <c r="D882" s="545">
        <v>50.333333333333329</v>
      </c>
      <c r="E882" s="545">
        <v>44.333333333333329</v>
      </c>
      <c r="F882" s="545">
        <v>78.642857142857139</v>
      </c>
      <c r="G882" s="545">
        <v>81.75</v>
      </c>
      <c r="H882" s="545">
        <v>62.666666666666664</v>
      </c>
      <c r="I882" s="545">
        <v>49</v>
      </c>
      <c r="J882" s="545">
        <v>74.345238095238102</v>
      </c>
    </row>
    <row r="883" spans="1:10">
      <c r="A883" s="441">
        <v>768</v>
      </c>
      <c r="B883" s="441" t="s">
        <v>1958</v>
      </c>
      <c r="C883" s="545">
        <v>8.6666666666666679</v>
      </c>
      <c r="D883" s="545">
        <v>1.3333333333333333</v>
      </c>
      <c r="E883" s="545">
        <v>2</v>
      </c>
      <c r="F883" s="545">
        <v>6.6666666666666687</v>
      </c>
      <c r="G883" s="545">
        <v>9.6</v>
      </c>
      <c r="H883" s="545">
        <v>7.333333333333333</v>
      </c>
      <c r="I883" s="545">
        <v>6.333333333333333</v>
      </c>
      <c r="J883" s="545">
        <v>8.8095238095238102</v>
      </c>
    </row>
    <row r="884" spans="1:10">
      <c r="A884" s="441">
        <v>9663</v>
      </c>
      <c r="B884" s="441" t="s">
        <v>1958</v>
      </c>
      <c r="C884" s="545">
        <v>8.1666666666666679</v>
      </c>
      <c r="D884" s="545">
        <v>1</v>
      </c>
      <c r="E884" s="545">
        <v>4</v>
      </c>
      <c r="F884" s="545">
        <v>6.5476190476190492</v>
      </c>
      <c r="G884" s="545">
        <v>11.15</v>
      </c>
      <c r="H884" s="545">
        <v>8</v>
      </c>
      <c r="I884" s="545">
        <v>4.666666666666667</v>
      </c>
      <c r="J884" s="545">
        <v>9.7738095238095237</v>
      </c>
    </row>
    <row r="885" spans="1:10">
      <c r="A885" s="441">
        <v>774</v>
      </c>
      <c r="B885" s="441" t="s">
        <v>1959</v>
      </c>
      <c r="C885" s="545">
        <v>59.833333333333336</v>
      </c>
      <c r="D885" s="545">
        <v>22.333333333333336</v>
      </c>
      <c r="E885" s="545">
        <v>18.666666666666664</v>
      </c>
      <c r="F885" s="545">
        <v>48.595238095238095</v>
      </c>
      <c r="G885" s="545">
        <v>29.05</v>
      </c>
      <c r="H885" s="545">
        <v>16</v>
      </c>
      <c r="I885" s="545">
        <v>19</v>
      </c>
      <c r="J885" s="545">
        <v>25.75</v>
      </c>
    </row>
    <row r="886" spans="1:10">
      <c r="A886" s="441">
        <v>9666</v>
      </c>
      <c r="B886" s="441" t="s">
        <v>1960</v>
      </c>
      <c r="C886" s="545">
        <v>40.5</v>
      </c>
      <c r="D886" s="545">
        <v>5.3333333333333339</v>
      </c>
      <c r="E886" s="545">
        <v>10.666666666666668</v>
      </c>
      <c r="F886" s="545">
        <v>31.214285714285715</v>
      </c>
      <c r="G886" s="545">
        <v>25.05</v>
      </c>
      <c r="H886" s="545">
        <v>13</v>
      </c>
      <c r="I886" s="545">
        <v>7</v>
      </c>
      <c r="J886" s="545">
        <v>20.75</v>
      </c>
    </row>
    <row r="887" spans="1:10">
      <c r="A887" s="441">
        <v>4776</v>
      </c>
      <c r="B887" s="441" t="s">
        <v>1961</v>
      </c>
      <c r="C887" s="545">
        <v>29.333333333333336</v>
      </c>
      <c r="D887" s="545">
        <v>5.6666666666666661</v>
      </c>
      <c r="E887" s="545">
        <v>5.666666666666667</v>
      </c>
      <c r="F887" s="545">
        <v>22.571428571428573</v>
      </c>
      <c r="G887" s="545">
        <v>29.55</v>
      </c>
      <c r="H887" s="545">
        <v>11.333333333333334</v>
      </c>
      <c r="I887" s="545">
        <v>7.333333333333333</v>
      </c>
      <c r="J887" s="545">
        <v>23.773809523809526</v>
      </c>
    </row>
    <row r="888" spans="1:10">
      <c r="A888" s="441">
        <v>4823</v>
      </c>
      <c r="B888" s="441" t="s">
        <v>1961</v>
      </c>
      <c r="C888" s="545">
        <v>29.333333333333336</v>
      </c>
      <c r="D888" s="545">
        <v>11</v>
      </c>
      <c r="E888" s="545">
        <v>2.6666666666666665</v>
      </c>
      <c r="F888" s="545">
        <v>22.904761904761905</v>
      </c>
      <c r="G888" s="545">
        <v>25.95</v>
      </c>
      <c r="H888" s="545">
        <v>14.666666666666666</v>
      </c>
      <c r="I888" s="545">
        <v>7.333333333333333</v>
      </c>
      <c r="J888" s="545">
        <v>21.678571428571427</v>
      </c>
    </row>
    <row r="889" spans="1:10">
      <c r="A889" s="441">
        <v>11520</v>
      </c>
      <c r="B889" s="441" t="s">
        <v>1962</v>
      </c>
      <c r="C889" s="545">
        <v>18</v>
      </c>
      <c r="D889" s="545">
        <v>8.3333333333333339</v>
      </c>
      <c r="E889" s="545">
        <v>9.3333333333333321</v>
      </c>
      <c r="F889" s="545">
        <v>15.38095238095238</v>
      </c>
      <c r="G889" s="545">
        <v>13.15</v>
      </c>
      <c r="H889" s="545">
        <v>7.666666666666667</v>
      </c>
      <c r="I889" s="545">
        <v>11.333333333333334</v>
      </c>
      <c r="J889" s="545">
        <v>12.107142857142858</v>
      </c>
    </row>
    <row r="890" spans="1:10">
      <c r="A890" s="441">
        <v>11521</v>
      </c>
      <c r="B890" s="441" t="s">
        <v>1962</v>
      </c>
      <c r="C890" s="545">
        <v>28.5</v>
      </c>
      <c r="D890" s="545">
        <v>10.333333333333334</v>
      </c>
      <c r="E890" s="545">
        <v>5.666666666666667</v>
      </c>
      <c r="F890" s="545">
        <v>22.642857142857142</v>
      </c>
      <c r="G890" s="545">
        <v>17.899999999999999</v>
      </c>
      <c r="H890" s="545">
        <v>15.666666666666666</v>
      </c>
      <c r="I890" s="545">
        <v>13.333333333333334</v>
      </c>
      <c r="J890" s="545">
        <v>16.928571428571427</v>
      </c>
    </row>
    <row r="891" spans="1:10">
      <c r="A891" s="441">
        <v>4795</v>
      </c>
      <c r="B891" s="441" t="s">
        <v>1963</v>
      </c>
      <c r="C891" s="545">
        <v>47</v>
      </c>
      <c r="D891" s="545">
        <v>18.666666666666668</v>
      </c>
      <c r="E891" s="545">
        <v>13.333333333333332</v>
      </c>
      <c r="F891" s="545">
        <v>38.142857142857146</v>
      </c>
      <c r="G891" s="545">
        <v>38.6</v>
      </c>
      <c r="H891" s="545">
        <v>13</v>
      </c>
      <c r="I891" s="545">
        <v>9.3333333333333339</v>
      </c>
      <c r="J891" s="545">
        <v>30.761904761904763</v>
      </c>
    </row>
    <row r="892" spans="1:10">
      <c r="A892" s="441">
        <v>4796</v>
      </c>
      <c r="B892" s="441" t="s">
        <v>1963</v>
      </c>
      <c r="C892" s="545">
        <v>53.5</v>
      </c>
      <c r="D892" s="545">
        <v>11.333333333333334</v>
      </c>
      <c r="E892" s="545">
        <v>11</v>
      </c>
      <c r="F892" s="545">
        <v>41.404761904761905</v>
      </c>
      <c r="G892" s="545">
        <v>30</v>
      </c>
      <c r="H892" s="545">
        <v>7.333333333333333</v>
      </c>
      <c r="I892" s="545">
        <v>7.333333333333333</v>
      </c>
      <c r="J892" s="545">
        <v>23.523809523809526</v>
      </c>
    </row>
    <row r="893" spans="1:10">
      <c r="A893" s="441">
        <v>775</v>
      </c>
      <c r="B893" s="441" t="s">
        <v>1964</v>
      </c>
      <c r="C893" s="545">
        <v>55.5</v>
      </c>
      <c r="D893" s="545">
        <v>34.666666666666664</v>
      </c>
      <c r="E893" s="545">
        <v>30.333333333333336</v>
      </c>
      <c r="F893" s="545">
        <v>48.928571428571431</v>
      </c>
      <c r="G893" s="545">
        <v>53.05</v>
      </c>
      <c r="H893" s="545">
        <v>36.333333333333336</v>
      </c>
      <c r="I893" s="545">
        <v>34</v>
      </c>
      <c r="J893" s="545">
        <v>47.94047619047619</v>
      </c>
    </row>
    <row r="894" spans="1:10">
      <c r="A894" s="441">
        <v>9649</v>
      </c>
      <c r="B894" s="441" t="s">
        <v>1964</v>
      </c>
      <c r="C894" s="545">
        <v>40</v>
      </c>
      <c r="D894" s="545">
        <v>18.666666666666664</v>
      </c>
      <c r="E894" s="545">
        <v>18</v>
      </c>
      <c r="F894" s="545">
        <v>33.80952380952381</v>
      </c>
      <c r="G894" s="545">
        <v>36.799999999999997</v>
      </c>
      <c r="H894" s="545">
        <v>25.333333333333332</v>
      </c>
      <c r="I894" s="545">
        <v>19.666666666666668</v>
      </c>
      <c r="J894" s="545">
        <v>32.714285714285715</v>
      </c>
    </row>
    <row r="895" spans="1:10">
      <c r="A895" s="441">
        <v>773</v>
      </c>
      <c r="B895" s="441" t="s">
        <v>1965</v>
      </c>
      <c r="C895" s="545">
        <v>36.666666666666671</v>
      </c>
      <c r="D895" s="545">
        <v>18.666666666666664</v>
      </c>
      <c r="E895" s="545">
        <v>10.333333333333334</v>
      </c>
      <c r="F895" s="545">
        <v>30.333333333333339</v>
      </c>
      <c r="G895" s="545">
        <v>23.4</v>
      </c>
      <c r="H895" s="545">
        <v>14.666666666666666</v>
      </c>
      <c r="I895" s="545">
        <v>12.333333333333334</v>
      </c>
      <c r="J895" s="545">
        <v>20.571428571428573</v>
      </c>
    </row>
    <row r="896" spans="1:10">
      <c r="A896" s="441">
        <v>9651</v>
      </c>
      <c r="B896" s="441" t="s">
        <v>1965</v>
      </c>
      <c r="C896" s="545">
        <v>50.5</v>
      </c>
      <c r="D896" s="545">
        <v>20.666666666666664</v>
      </c>
      <c r="E896" s="545">
        <v>18</v>
      </c>
      <c r="F896" s="545">
        <v>41.595238095238095</v>
      </c>
      <c r="G896" s="545">
        <v>36</v>
      </c>
      <c r="H896" s="545">
        <v>23.666666666666668</v>
      </c>
      <c r="I896" s="545">
        <v>16</v>
      </c>
      <c r="J896" s="545">
        <v>31.38095238095238</v>
      </c>
    </row>
    <row r="897" spans="1:10">
      <c r="A897" s="441">
        <v>4774</v>
      </c>
      <c r="B897" s="441" t="s">
        <v>1966</v>
      </c>
      <c r="C897" s="545">
        <v>7.6666666666666661</v>
      </c>
      <c r="D897" s="545">
        <v>4.3333333333333339</v>
      </c>
      <c r="E897" s="545">
        <v>5</v>
      </c>
      <c r="F897" s="545">
        <v>6.8095238095238093</v>
      </c>
      <c r="G897" s="545">
        <v>7.4</v>
      </c>
      <c r="H897" s="545">
        <v>3.6666666666666665</v>
      </c>
      <c r="I897" s="545">
        <v>6</v>
      </c>
      <c r="J897" s="545">
        <v>6.6666666666666661</v>
      </c>
    </row>
    <row r="898" spans="1:10">
      <c r="A898" s="441">
        <v>4825</v>
      </c>
      <c r="B898" s="441" t="s">
        <v>1966</v>
      </c>
      <c r="C898" s="545">
        <v>8.6666666666666661</v>
      </c>
      <c r="D898" s="545">
        <v>6</v>
      </c>
      <c r="E898" s="545">
        <v>3.6666666666666665</v>
      </c>
      <c r="F898" s="545">
        <v>7.5714285714285703</v>
      </c>
      <c r="G898" s="545">
        <v>12.7</v>
      </c>
      <c r="H898" s="545">
        <v>11</v>
      </c>
      <c r="I898" s="545">
        <v>5.666666666666667</v>
      </c>
      <c r="J898" s="545">
        <v>11.452380952380953</v>
      </c>
    </row>
    <row r="899" spans="1:10">
      <c r="A899" s="441">
        <v>771</v>
      </c>
      <c r="B899" s="441" t="s">
        <v>1967</v>
      </c>
      <c r="C899" s="545">
        <v>27.333333333333336</v>
      </c>
      <c r="D899" s="545">
        <v>12.333333333333334</v>
      </c>
      <c r="E899" s="545">
        <v>6</v>
      </c>
      <c r="F899" s="545">
        <v>22.142857142857146</v>
      </c>
      <c r="G899" s="545">
        <v>17.55</v>
      </c>
      <c r="H899" s="545">
        <v>13.333333333333334</v>
      </c>
      <c r="I899" s="545">
        <v>5.666666666666667</v>
      </c>
      <c r="J899" s="545">
        <v>15.25</v>
      </c>
    </row>
    <row r="900" spans="1:10">
      <c r="A900" s="441">
        <v>4784</v>
      </c>
      <c r="B900" s="441" t="s">
        <v>1968</v>
      </c>
      <c r="C900" s="545">
        <v>6</v>
      </c>
      <c r="D900" s="545">
        <v>2.666666666666667</v>
      </c>
      <c r="E900" s="545">
        <v>4.333333333333333</v>
      </c>
      <c r="F900" s="545">
        <v>5.2857142857142856</v>
      </c>
      <c r="G900" s="545">
        <v>3.95</v>
      </c>
      <c r="H900" s="545">
        <v>7.333333333333333</v>
      </c>
      <c r="I900" s="545">
        <v>6</v>
      </c>
      <c r="J900" s="545">
        <v>4.7261904761904754</v>
      </c>
    </row>
    <row r="901" spans="1:10">
      <c r="A901" s="441">
        <v>4808</v>
      </c>
      <c r="B901" s="441" t="s">
        <v>1968</v>
      </c>
      <c r="C901" s="545">
        <v>5.333333333333333</v>
      </c>
      <c r="D901" s="545">
        <v>5.666666666666667</v>
      </c>
      <c r="E901" s="545">
        <v>1</v>
      </c>
      <c r="F901" s="545">
        <v>4.761904761904761</v>
      </c>
      <c r="G901" s="545">
        <v>1.3</v>
      </c>
      <c r="H901" s="545">
        <v>0.33333333333333331</v>
      </c>
      <c r="I901" s="545">
        <v>0.66666666666666663</v>
      </c>
      <c r="J901" s="545">
        <v>1.0714285714285714</v>
      </c>
    </row>
    <row r="902" spans="1:10">
      <c r="A902" s="441">
        <v>4794</v>
      </c>
      <c r="B902" s="441" t="s">
        <v>1969</v>
      </c>
      <c r="C902" s="545">
        <v>42.833333333333329</v>
      </c>
      <c r="D902" s="545">
        <v>16.666666666666664</v>
      </c>
      <c r="E902" s="545">
        <v>8.6666666666666661</v>
      </c>
      <c r="F902" s="545">
        <v>34.214285714285708</v>
      </c>
      <c r="G902" s="545">
        <v>30.05</v>
      </c>
      <c r="H902" s="545">
        <v>20</v>
      </c>
      <c r="I902" s="545">
        <v>14.666666666666666</v>
      </c>
      <c r="J902" s="545">
        <v>26.416666666666664</v>
      </c>
    </row>
    <row r="903" spans="1:10">
      <c r="A903" s="441">
        <v>4780</v>
      </c>
      <c r="B903" s="441" t="s">
        <v>1970</v>
      </c>
      <c r="C903" s="545">
        <v>23.166666666666668</v>
      </c>
      <c r="D903" s="545">
        <v>7</v>
      </c>
      <c r="E903" s="545">
        <v>4.333333333333333</v>
      </c>
      <c r="F903" s="545">
        <v>18.166666666666668</v>
      </c>
      <c r="G903" s="545">
        <v>12</v>
      </c>
      <c r="H903" s="545">
        <v>9.3333333333333339</v>
      </c>
      <c r="I903" s="545">
        <v>6.333333333333333</v>
      </c>
      <c r="J903" s="545">
        <v>10.809523809523808</v>
      </c>
    </row>
    <row r="904" spans="1:10">
      <c r="A904" s="441">
        <v>4786</v>
      </c>
      <c r="B904" s="441" t="s">
        <v>1971</v>
      </c>
      <c r="C904" s="545">
        <v>8.3333333333333339</v>
      </c>
      <c r="D904" s="545">
        <v>7</v>
      </c>
      <c r="E904" s="545">
        <v>4.333333333333333</v>
      </c>
      <c r="F904" s="545">
        <v>7.5714285714285721</v>
      </c>
      <c r="G904" s="545">
        <v>4.0999999999999996</v>
      </c>
      <c r="H904" s="545">
        <v>1.3333333333333333</v>
      </c>
      <c r="I904" s="545">
        <v>3.3333333333333335</v>
      </c>
      <c r="J904" s="545">
        <v>3.5952380952380949</v>
      </c>
    </row>
    <row r="905" spans="1:10">
      <c r="A905" s="441">
        <v>4806</v>
      </c>
      <c r="B905" s="441" t="s">
        <v>1971</v>
      </c>
      <c r="C905" s="545">
        <v>8.5</v>
      </c>
      <c r="D905" s="545">
        <v>2.6666666666666665</v>
      </c>
      <c r="E905" s="545">
        <v>2</v>
      </c>
      <c r="F905" s="545">
        <v>6.7380952380952381</v>
      </c>
      <c r="G905" s="545">
        <v>5.75</v>
      </c>
      <c r="H905" s="545">
        <v>5</v>
      </c>
      <c r="I905" s="545">
        <v>2.6666666666666665</v>
      </c>
      <c r="J905" s="545">
        <v>5.2023809523809517</v>
      </c>
    </row>
    <row r="906" spans="1:10">
      <c r="A906" s="441">
        <v>4777</v>
      </c>
      <c r="B906" s="441" t="s">
        <v>1972</v>
      </c>
      <c r="C906" s="545">
        <v>465.16666666666669</v>
      </c>
      <c r="D906" s="545">
        <v>269</v>
      </c>
      <c r="E906" s="545">
        <v>201.66666666666666</v>
      </c>
      <c r="F906" s="545">
        <v>399.5</v>
      </c>
      <c r="G906" s="545">
        <v>357.6</v>
      </c>
      <c r="H906" s="545">
        <v>241.66666666666666</v>
      </c>
      <c r="I906" s="545">
        <v>172</v>
      </c>
      <c r="J906" s="545">
        <v>314.52380952380958</v>
      </c>
    </row>
    <row r="907" spans="1:10">
      <c r="A907" s="441">
        <v>4821</v>
      </c>
      <c r="B907" s="441" t="s">
        <v>1972</v>
      </c>
      <c r="C907" s="545">
        <v>381.33333333333337</v>
      </c>
      <c r="D907" s="545">
        <v>230.33333333333334</v>
      </c>
      <c r="E907" s="545">
        <v>158.66666666666669</v>
      </c>
      <c r="F907" s="545">
        <v>327.95238095238102</v>
      </c>
      <c r="G907" s="545">
        <v>279.39999999999998</v>
      </c>
      <c r="H907" s="545">
        <v>191.66666666666666</v>
      </c>
      <c r="I907" s="545">
        <v>124.33333333333333</v>
      </c>
      <c r="J907" s="545">
        <v>244.71428571428572</v>
      </c>
    </row>
    <row r="908" spans="1:10">
      <c r="A908" s="441">
        <v>4788</v>
      </c>
      <c r="B908" s="441" t="s">
        <v>1973</v>
      </c>
      <c r="C908" s="545">
        <v>15.166666666666668</v>
      </c>
      <c r="D908" s="545">
        <v>13</v>
      </c>
      <c r="E908" s="545">
        <v>9</v>
      </c>
      <c r="F908" s="545">
        <v>13.976190476190478</v>
      </c>
      <c r="G908" s="545">
        <v>15.45</v>
      </c>
      <c r="H908" s="545">
        <v>8</v>
      </c>
      <c r="I908" s="545">
        <v>10.666666666666666</v>
      </c>
      <c r="J908" s="545">
        <v>13.702380952380953</v>
      </c>
    </row>
    <row r="909" spans="1:10">
      <c r="A909" s="441">
        <v>4804</v>
      </c>
      <c r="B909" s="441" t="s">
        <v>1973</v>
      </c>
      <c r="C909" s="545">
        <v>20</v>
      </c>
      <c r="D909" s="545">
        <v>12.666666666666666</v>
      </c>
      <c r="E909" s="545">
        <v>9</v>
      </c>
      <c r="F909" s="545">
        <v>17.380952380952383</v>
      </c>
      <c r="G909" s="545">
        <v>15.25</v>
      </c>
      <c r="H909" s="545">
        <v>12.333333333333334</v>
      </c>
      <c r="I909" s="545">
        <v>13.333333333333334</v>
      </c>
      <c r="J909" s="545">
        <v>14.559523809523808</v>
      </c>
    </row>
    <row r="910" spans="1:10">
      <c r="A910" s="441">
        <v>4772</v>
      </c>
      <c r="B910" s="441" t="s">
        <v>1974</v>
      </c>
      <c r="C910" s="545">
        <v>2.3333333333333335</v>
      </c>
      <c r="D910" s="545">
        <v>1.3333333333333333</v>
      </c>
      <c r="E910" s="545">
        <v>0.33333333333333331</v>
      </c>
      <c r="F910" s="545">
        <v>1.9047619047619051</v>
      </c>
      <c r="G910" s="545">
        <v>3.25</v>
      </c>
      <c r="H910" s="545">
        <v>0.66666666666666663</v>
      </c>
      <c r="I910" s="545">
        <v>0</v>
      </c>
      <c r="J910" s="545">
        <v>2.416666666666667</v>
      </c>
    </row>
    <row r="911" spans="1:10">
      <c r="A911" s="441">
        <v>4827</v>
      </c>
      <c r="B911" s="441" t="s">
        <v>1974</v>
      </c>
      <c r="C911" s="545">
        <v>2</v>
      </c>
      <c r="D911" s="545">
        <v>9</v>
      </c>
      <c r="E911" s="545">
        <v>0.33333333333333331</v>
      </c>
      <c r="F911" s="545">
        <v>2.7619047619047619</v>
      </c>
      <c r="G911" s="545">
        <v>3.45</v>
      </c>
      <c r="H911" s="545">
        <v>0.33333333333333331</v>
      </c>
      <c r="I911" s="545">
        <v>0.66666666666666663</v>
      </c>
      <c r="J911" s="545">
        <v>2.6071428571428572</v>
      </c>
    </row>
    <row r="912" spans="1:10">
      <c r="A912" s="441">
        <v>4790</v>
      </c>
      <c r="B912" s="441" t="s">
        <v>1975</v>
      </c>
      <c r="C912" s="545">
        <v>74</v>
      </c>
      <c r="D912" s="545">
        <v>48</v>
      </c>
      <c r="E912" s="545">
        <v>25</v>
      </c>
      <c r="F912" s="545">
        <v>63.285714285714285</v>
      </c>
      <c r="G912" s="545">
        <v>150.1</v>
      </c>
      <c r="H912" s="545">
        <v>98.333333333333329</v>
      </c>
      <c r="I912" s="545">
        <v>108</v>
      </c>
      <c r="J912" s="545">
        <v>136.6904761904762</v>
      </c>
    </row>
    <row r="913" spans="1:10">
      <c r="A913" s="441">
        <v>4801</v>
      </c>
      <c r="B913" s="441" t="s">
        <v>1975</v>
      </c>
      <c r="C913" s="545">
        <v>74.5</v>
      </c>
      <c r="D913" s="545">
        <v>44.333333333333336</v>
      </c>
      <c r="E913" s="545">
        <v>22.666666666666664</v>
      </c>
      <c r="F913" s="545">
        <v>62.785714285714285</v>
      </c>
      <c r="G913" s="545">
        <v>123.1</v>
      </c>
      <c r="H913" s="545">
        <v>100.33333333333333</v>
      </c>
      <c r="I913" s="545">
        <v>110.33333333333333</v>
      </c>
      <c r="J913" s="545">
        <v>118.02380952380953</v>
      </c>
    </row>
    <row r="914" spans="1:10">
      <c r="A914" s="441">
        <v>4820</v>
      </c>
      <c r="B914" s="441" t="s">
        <v>1976</v>
      </c>
      <c r="C914" s="545">
        <v>9.1666666666666661</v>
      </c>
      <c r="D914" s="545">
        <v>4</v>
      </c>
      <c r="E914" s="545">
        <v>9.3333333333333339</v>
      </c>
      <c r="F914" s="545">
        <v>8.4523809523809526</v>
      </c>
      <c r="G914" s="545">
        <v>6.6</v>
      </c>
      <c r="H914" s="545">
        <v>4.333333333333333</v>
      </c>
      <c r="I914" s="545">
        <v>5</v>
      </c>
      <c r="J914" s="545">
        <v>6.0476190476190483</v>
      </c>
    </row>
    <row r="915" spans="1:10">
      <c r="A915" s="441">
        <v>4787</v>
      </c>
      <c r="B915" s="441" t="s">
        <v>1977</v>
      </c>
      <c r="C915" s="545">
        <v>31.166666666666664</v>
      </c>
      <c r="D915" s="545">
        <v>13.333333333333334</v>
      </c>
      <c r="E915" s="545">
        <v>16</v>
      </c>
      <c r="F915" s="545">
        <v>26.452380952380953</v>
      </c>
      <c r="G915" s="545">
        <v>14.45</v>
      </c>
      <c r="H915" s="545">
        <v>7.666666666666667</v>
      </c>
      <c r="I915" s="545">
        <v>9</v>
      </c>
      <c r="J915" s="545">
        <v>12.702380952380953</v>
      </c>
    </row>
    <row r="916" spans="1:10">
      <c r="A916" s="441">
        <v>4805</v>
      </c>
      <c r="B916" s="441" t="s">
        <v>1977</v>
      </c>
      <c r="C916" s="545">
        <v>23.666666666666668</v>
      </c>
      <c r="D916" s="545">
        <v>14</v>
      </c>
      <c r="E916" s="545">
        <v>9</v>
      </c>
      <c r="F916" s="545">
        <v>20.190476190476193</v>
      </c>
      <c r="G916" s="545">
        <v>17.8</v>
      </c>
      <c r="H916" s="545">
        <v>9.6666666666666661</v>
      </c>
      <c r="I916" s="545">
        <v>8.3333333333333339</v>
      </c>
      <c r="J916" s="545">
        <v>15.285714285714286</v>
      </c>
    </row>
    <row r="917" spans="1:10">
      <c r="A917" s="441">
        <v>4817</v>
      </c>
      <c r="B917" s="441" t="s">
        <v>1978</v>
      </c>
      <c r="C917" s="545">
        <v>9.8333333333333321</v>
      </c>
      <c r="D917" s="545">
        <v>3.666666666666667</v>
      </c>
      <c r="E917" s="545">
        <v>6</v>
      </c>
      <c r="F917" s="545">
        <v>8.4047619047619033</v>
      </c>
      <c r="G917" s="545">
        <v>11.05</v>
      </c>
      <c r="H917" s="545">
        <v>9.6666666666666661</v>
      </c>
      <c r="I917" s="545">
        <v>11.666666666666666</v>
      </c>
      <c r="J917" s="545">
        <v>10.940476190476192</v>
      </c>
    </row>
    <row r="918" spans="1:10">
      <c r="A918" s="441">
        <v>759</v>
      </c>
      <c r="B918" s="441" t="s">
        <v>1979</v>
      </c>
      <c r="C918" s="545">
        <v>20.166666666666668</v>
      </c>
      <c r="D918" s="545">
        <v>10.666666666666666</v>
      </c>
      <c r="E918" s="545">
        <v>9.6666666666666661</v>
      </c>
      <c r="F918" s="545">
        <v>17.309523809523814</v>
      </c>
      <c r="G918" s="545">
        <v>14</v>
      </c>
      <c r="H918" s="545">
        <v>10.333333333333334</v>
      </c>
      <c r="I918" s="545">
        <v>4.666666666666667</v>
      </c>
      <c r="J918" s="545">
        <v>12.142857142857142</v>
      </c>
    </row>
    <row r="919" spans="1:10">
      <c r="A919" s="441">
        <v>760</v>
      </c>
      <c r="B919" s="441" t="s">
        <v>1979</v>
      </c>
      <c r="C919" s="545">
        <v>30</v>
      </c>
      <c r="D919" s="545">
        <v>11.666666666666668</v>
      </c>
      <c r="E919" s="545">
        <v>17</v>
      </c>
      <c r="F919" s="545">
        <v>25.523809523809522</v>
      </c>
      <c r="G919" s="545">
        <v>16.7</v>
      </c>
      <c r="H919" s="545">
        <v>13.333333333333334</v>
      </c>
      <c r="I919" s="545">
        <v>7.666666666666667</v>
      </c>
      <c r="J919" s="545">
        <v>14.928571428571429</v>
      </c>
    </row>
    <row r="920" spans="1:10">
      <c r="A920" s="441">
        <v>761</v>
      </c>
      <c r="B920" s="441" t="s">
        <v>1979</v>
      </c>
      <c r="C920" s="545">
        <v>15.833333333333334</v>
      </c>
      <c r="D920" s="545">
        <v>2.6666666666666665</v>
      </c>
      <c r="E920" s="545">
        <v>1.6666666666666665</v>
      </c>
      <c r="F920" s="545">
        <v>11.928571428571431</v>
      </c>
      <c r="G920" s="545">
        <v>7.75</v>
      </c>
      <c r="H920" s="545">
        <v>5.666666666666667</v>
      </c>
      <c r="I920" s="545">
        <v>3.3333333333333335</v>
      </c>
      <c r="J920" s="545">
        <v>6.8214285714285712</v>
      </c>
    </row>
    <row r="921" spans="1:10">
      <c r="A921" s="441">
        <v>766</v>
      </c>
      <c r="B921" s="441" t="s">
        <v>1980</v>
      </c>
      <c r="C921" s="545">
        <v>315</v>
      </c>
      <c r="D921" s="545">
        <v>187.33333333333331</v>
      </c>
      <c r="E921" s="545">
        <v>148.33333333333331</v>
      </c>
      <c r="F921" s="545">
        <v>272.95238095238091</v>
      </c>
      <c r="G921" s="545">
        <v>191.25</v>
      </c>
      <c r="H921" s="545">
        <v>159</v>
      </c>
      <c r="I921" s="545">
        <v>123</v>
      </c>
      <c r="J921" s="545">
        <v>176.89285714285714</v>
      </c>
    </row>
    <row r="922" spans="1:10">
      <c r="A922" s="441">
        <v>767</v>
      </c>
      <c r="B922" s="441" t="s">
        <v>1980</v>
      </c>
      <c r="C922" s="545">
        <v>157.66666666666669</v>
      </c>
      <c r="D922" s="545">
        <v>109.33333333333333</v>
      </c>
      <c r="E922" s="545">
        <v>79.666666666666671</v>
      </c>
      <c r="F922" s="545">
        <v>139.61904761904765</v>
      </c>
      <c r="G922" s="545">
        <v>146.94999999999999</v>
      </c>
      <c r="H922" s="545">
        <v>129.66666666666666</v>
      </c>
      <c r="I922" s="545">
        <v>106.33333333333333</v>
      </c>
      <c r="J922" s="545">
        <v>138.67857142857142</v>
      </c>
    </row>
    <row r="923" spans="1:10">
      <c r="A923" s="441">
        <v>9664</v>
      </c>
      <c r="B923" s="441" t="s">
        <v>1980</v>
      </c>
      <c r="C923" s="545">
        <v>133.33333333333334</v>
      </c>
      <c r="D923" s="545">
        <v>95</v>
      </c>
      <c r="E923" s="545">
        <v>63.666666666666671</v>
      </c>
      <c r="F923" s="545">
        <v>117.90476190476191</v>
      </c>
      <c r="G923" s="545">
        <v>111.6</v>
      </c>
      <c r="H923" s="545">
        <v>98.333333333333329</v>
      </c>
      <c r="I923" s="545">
        <v>69.666666666666671</v>
      </c>
      <c r="J923" s="545">
        <v>103.71428571428571</v>
      </c>
    </row>
    <row r="924" spans="1:10">
      <c r="A924" s="441">
        <v>9665</v>
      </c>
      <c r="B924" s="441" t="s">
        <v>1980</v>
      </c>
      <c r="C924" s="545">
        <v>371.83333333333337</v>
      </c>
      <c r="D924" s="545">
        <v>191.66666666666669</v>
      </c>
      <c r="E924" s="545">
        <v>171.33333333333334</v>
      </c>
      <c r="F924" s="545">
        <v>317.45238095238102</v>
      </c>
      <c r="G924" s="545">
        <v>240.4</v>
      </c>
      <c r="H924" s="545">
        <v>191.33333333333334</v>
      </c>
      <c r="I924" s="545">
        <v>154.33333333333334</v>
      </c>
      <c r="J924" s="545">
        <v>221.09523809523807</v>
      </c>
    </row>
    <row r="925" spans="1:10">
      <c r="A925" s="441">
        <v>4779</v>
      </c>
      <c r="B925" s="441" t="s">
        <v>1981</v>
      </c>
      <c r="C925" s="545">
        <v>45</v>
      </c>
      <c r="D925" s="545">
        <v>18.666666666666668</v>
      </c>
      <c r="E925" s="545">
        <v>9</v>
      </c>
      <c r="F925" s="545">
        <v>36.095238095238095</v>
      </c>
      <c r="G925" s="545">
        <v>46.75</v>
      </c>
      <c r="H925" s="545">
        <v>11</v>
      </c>
      <c r="I925" s="545">
        <v>8.6666666666666661</v>
      </c>
      <c r="J925" s="545">
        <v>36.202380952380949</v>
      </c>
    </row>
    <row r="926" spans="1:10">
      <c r="A926" s="441">
        <v>4819</v>
      </c>
      <c r="B926" s="441" t="s">
        <v>1981</v>
      </c>
      <c r="C926" s="545">
        <v>30.666666666666668</v>
      </c>
      <c r="D926" s="545">
        <v>14</v>
      </c>
      <c r="E926" s="545">
        <v>4</v>
      </c>
      <c r="F926" s="545">
        <v>24.476190476190478</v>
      </c>
      <c r="G926" s="545">
        <v>28.1</v>
      </c>
      <c r="H926" s="545">
        <v>8.3333333333333339</v>
      </c>
      <c r="I926" s="545">
        <v>7</v>
      </c>
      <c r="J926" s="545">
        <v>22.261904761904763</v>
      </c>
    </row>
    <row r="927" spans="1:10">
      <c r="A927" s="441">
        <v>770</v>
      </c>
      <c r="B927" s="441" t="s">
        <v>1982</v>
      </c>
      <c r="C927" s="545">
        <v>69.5</v>
      </c>
      <c r="D927" s="545">
        <v>21</v>
      </c>
      <c r="E927" s="545">
        <v>17.666666666666668</v>
      </c>
      <c r="F927" s="545">
        <v>55.166666666666671</v>
      </c>
      <c r="G927" s="545">
        <v>39.65</v>
      </c>
      <c r="H927" s="545">
        <v>14.666666666666666</v>
      </c>
      <c r="I927" s="545">
        <v>9.6666666666666661</v>
      </c>
      <c r="J927" s="545">
        <v>31.797619047619044</v>
      </c>
    </row>
    <row r="928" spans="1:10">
      <c r="A928" s="441">
        <v>9653</v>
      </c>
      <c r="B928" s="441" t="s">
        <v>1982</v>
      </c>
      <c r="C928" s="545">
        <v>21.5</v>
      </c>
      <c r="D928" s="545">
        <v>11.666666666666666</v>
      </c>
      <c r="E928" s="545">
        <v>7.3333333333333339</v>
      </c>
      <c r="F928" s="545">
        <v>18.071428571428573</v>
      </c>
      <c r="G928" s="545">
        <v>16.149999999999999</v>
      </c>
      <c r="H928" s="545">
        <v>13.333333333333334</v>
      </c>
      <c r="I928" s="545">
        <v>7.666666666666667</v>
      </c>
      <c r="J928" s="545">
        <v>14.535714285714286</v>
      </c>
    </row>
    <row r="929" spans="1:10">
      <c r="A929" s="441">
        <v>9654</v>
      </c>
      <c r="B929" s="441" t="s">
        <v>1982</v>
      </c>
      <c r="C929" s="545">
        <v>61.833333333333329</v>
      </c>
      <c r="D929" s="545">
        <v>20</v>
      </c>
      <c r="E929" s="545">
        <v>19.333333333333332</v>
      </c>
      <c r="F929" s="545">
        <v>49.785714285714278</v>
      </c>
      <c r="G929" s="545">
        <v>31.55</v>
      </c>
      <c r="H929" s="545">
        <v>13.666666666666666</v>
      </c>
      <c r="I929" s="545">
        <v>5.333333333333333</v>
      </c>
      <c r="J929" s="545">
        <v>25.25</v>
      </c>
    </row>
    <row r="930" spans="1:10">
      <c r="A930" s="441">
        <v>4797</v>
      </c>
      <c r="B930" s="441" t="s">
        <v>1983</v>
      </c>
      <c r="C930" s="545">
        <v>52.5</v>
      </c>
      <c r="D930" s="545">
        <v>26</v>
      </c>
      <c r="E930" s="545">
        <v>16.666666666666668</v>
      </c>
      <c r="F930" s="545">
        <v>43.595238095238095</v>
      </c>
      <c r="G930" s="545">
        <v>35.049999999999997</v>
      </c>
      <c r="H930" s="545">
        <v>26.333333333333332</v>
      </c>
      <c r="I930" s="545">
        <v>18.333333333333332</v>
      </c>
      <c r="J930" s="545">
        <v>31.416666666666668</v>
      </c>
    </row>
    <row r="931" spans="1:10">
      <c r="A931" s="441">
        <v>769</v>
      </c>
      <c r="B931" s="441" t="s">
        <v>1984</v>
      </c>
      <c r="C931" s="545">
        <v>3</v>
      </c>
      <c r="D931" s="545">
        <v>2.3333333333333335</v>
      </c>
      <c r="E931" s="545">
        <v>2.3333333333333335</v>
      </c>
      <c r="F931" s="545">
        <v>2.8095238095238093</v>
      </c>
      <c r="G931" s="545">
        <v>6</v>
      </c>
      <c r="H931" s="545">
        <v>4</v>
      </c>
      <c r="I931" s="545">
        <v>2.3333333333333335</v>
      </c>
      <c r="J931" s="545">
        <v>5.1904761904761907</v>
      </c>
    </row>
    <row r="932" spans="1:10">
      <c r="A932" s="441">
        <v>772</v>
      </c>
      <c r="B932" s="441" t="s">
        <v>1984</v>
      </c>
      <c r="C932" s="545">
        <v>44.5</v>
      </c>
      <c r="D932" s="545">
        <v>29</v>
      </c>
      <c r="E932" s="545">
        <v>24.666666666666668</v>
      </c>
      <c r="F932" s="545">
        <v>39.452380952380956</v>
      </c>
      <c r="G932" s="545">
        <v>33.9</v>
      </c>
      <c r="H932" s="545">
        <v>22.333333333333332</v>
      </c>
      <c r="I932" s="545">
        <v>20.333333333333332</v>
      </c>
      <c r="J932" s="545">
        <v>30.309523809523814</v>
      </c>
    </row>
    <row r="933" spans="1:10">
      <c r="A933" s="441">
        <v>9662</v>
      </c>
      <c r="B933" s="441" t="s">
        <v>1984</v>
      </c>
      <c r="C933" s="545">
        <v>5.6666666666666661</v>
      </c>
      <c r="D933" s="545">
        <v>3.666666666666667</v>
      </c>
      <c r="E933" s="545">
        <v>0.33333333333333331</v>
      </c>
      <c r="F933" s="545">
        <v>4.6190476190476186</v>
      </c>
      <c r="G933" s="545">
        <v>2.4</v>
      </c>
      <c r="H933" s="545">
        <v>4</v>
      </c>
      <c r="I933" s="545">
        <v>1.6666666666666667</v>
      </c>
      <c r="J933" s="545">
        <v>2.5238095238095242</v>
      </c>
    </row>
    <row r="934" spans="1:10">
      <c r="A934" s="441">
        <v>4803</v>
      </c>
      <c r="B934" s="441" t="s">
        <v>1985</v>
      </c>
      <c r="C934" s="545">
        <v>157.66666666666666</v>
      </c>
      <c r="D934" s="545">
        <v>102.66666666666666</v>
      </c>
      <c r="E934" s="545">
        <v>57.333333333333329</v>
      </c>
      <c r="F934" s="545">
        <v>135.47619047619045</v>
      </c>
      <c r="G934" s="545">
        <v>150.65</v>
      </c>
      <c r="H934" s="545">
        <v>85.333333333333329</v>
      </c>
      <c r="I934" s="545">
        <v>62</v>
      </c>
      <c r="J934" s="545">
        <v>128.6547619047619</v>
      </c>
    </row>
    <row r="935" spans="1:10">
      <c r="A935" s="441">
        <v>4775</v>
      </c>
      <c r="B935" s="441" t="s">
        <v>1986</v>
      </c>
      <c r="C935" s="545">
        <v>6.333333333333333</v>
      </c>
      <c r="D935" s="545">
        <v>5.6666666666666661</v>
      </c>
      <c r="E935" s="545">
        <v>2.666666666666667</v>
      </c>
      <c r="F935" s="545">
        <v>5.7142857142857135</v>
      </c>
      <c r="G935" s="545">
        <v>6.95</v>
      </c>
      <c r="H935" s="545">
        <v>4</v>
      </c>
      <c r="I935" s="545">
        <v>3</v>
      </c>
      <c r="J935" s="545">
        <v>5.9642857142857144</v>
      </c>
    </row>
    <row r="936" spans="1:10">
      <c r="A936" s="441">
        <v>4824</v>
      </c>
      <c r="B936" s="441" t="s">
        <v>1986</v>
      </c>
      <c r="C936" s="545">
        <v>8.8333333333333339</v>
      </c>
      <c r="D936" s="545">
        <v>2.6666666666666665</v>
      </c>
      <c r="E936" s="545">
        <v>3.333333333333333</v>
      </c>
      <c r="F936" s="545">
        <v>7.166666666666667</v>
      </c>
      <c r="G936" s="545">
        <v>8.5500000000000007</v>
      </c>
      <c r="H936" s="545">
        <v>7</v>
      </c>
      <c r="I936" s="545">
        <v>2.6666666666666665</v>
      </c>
      <c r="J936" s="545">
        <v>7.4880952380952381</v>
      </c>
    </row>
    <row r="937" spans="1:10">
      <c r="A937" s="441">
        <v>5722</v>
      </c>
      <c r="B937" s="441" t="s">
        <v>1987</v>
      </c>
      <c r="C937" s="545">
        <v>13</v>
      </c>
      <c r="D937" s="545">
        <v>12.666666666666666</v>
      </c>
      <c r="E937" s="545">
        <v>9.6666666666666661</v>
      </c>
      <c r="F937" s="545">
        <v>12.476190476190478</v>
      </c>
      <c r="G937" s="545">
        <v>7.35</v>
      </c>
      <c r="H937" s="545">
        <v>7.333333333333333</v>
      </c>
      <c r="I937" s="545">
        <v>5</v>
      </c>
      <c r="J937" s="545">
        <v>7.0119047619047619</v>
      </c>
    </row>
    <row r="938" spans="1:10">
      <c r="A938" s="441">
        <v>9950</v>
      </c>
      <c r="B938" s="441" t="s">
        <v>1988</v>
      </c>
      <c r="C938" s="545">
        <v>151.83333333333334</v>
      </c>
      <c r="D938" s="545">
        <v>50</v>
      </c>
      <c r="E938" s="545">
        <v>51.666666666666671</v>
      </c>
      <c r="F938" s="545">
        <v>122.97619047619048</v>
      </c>
      <c r="G938" s="545">
        <v>92.6</v>
      </c>
      <c r="H938" s="545">
        <v>39</v>
      </c>
      <c r="I938" s="545">
        <v>25.666666666666668</v>
      </c>
      <c r="J938" s="545">
        <v>75.38095238095238</v>
      </c>
    </row>
    <row r="939" spans="1:10">
      <c r="A939" s="441">
        <v>11109</v>
      </c>
      <c r="B939" s="441" t="s">
        <v>1989</v>
      </c>
      <c r="C939" s="545">
        <v>4.166666666666667</v>
      </c>
      <c r="D939" s="545">
        <v>3.666666666666667</v>
      </c>
      <c r="E939" s="545">
        <v>2</v>
      </c>
      <c r="F939" s="545">
        <v>3.785714285714286</v>
      </c>
      <c r="G939" s="545">
        <v>11.65</v>
      </c>
      <c r="H939" s="545">
        <v>6</v>
      </c>
      <c r="I939" s="545">
        <v>4.666666666666667</v>
      </c>
      <c r="J939" s="545">
        <v>9.8452380952380967</v>
      </c>
    </row>
    <row r="940" spans="1:10">
      <c r="A940" s="441">
        <v>3996</v>
      </c>
      <c r="B940" s="441" t="s">
        <v>1990</v>
      </c>
      <c r="C940" s="545">
        <v>7.5</v>
      </c>
      <c r="D940" s="545">
        <v>5.666666666666667</v>
      </c>
      <c r="E940" s="545">
        <v>6.333333333333333</v>
      </c>
      <c r="F940" s="545">
        <v>7.0714285714285712</v>
      </c>
      <c r="G940" s="545">
        <v>8.3000000000000007</v>
      </c>
      <c r="H940" s="545">
        <v>4</v>
      </c>
      <c r="I940" s="545">
        <v>4</v>
      </c>
      <c r="J940" s="545">
        <v>7.0714285714285712</v>
      </c>
    </row>
    <row r="941" spans="1:10">
      <c r="A941" s="441">
        <v>2383</v>
      </c>
      <c r="B941" s="441" t="s">
        <v>1991</v>
      </c>
      <c r="C941" s="545">
        <v>88.166666666666671</v>
      </c>
      <c r="D941" s="545">
        <v>44.666666666666664</v>
      </c>
      <c r="E941" s="545">
        <v>35.666666666666671</v>
      </c>
      <c r="F941" s="545">
        <v>74.452380952380963</v>
      </c>
      <c r="G941" s="545">
        <v>59.95</v>
      </c>
      <c r="H941" s="545">
        <v>43</v>
      </c>
      <c r="I941" s="545">
        <v>36.333333333333336</v>
      </c>
      <c r="J941" s="545">
        <v>54.154761904761905</v>
      </c>
    </row>
    <row r="942" spans="1:10">
      <c r="A942" s="441">
        <v>3995</v>
      </c>
      <c r="B942" s="441" t="s">
        <v>1992</v>
      </c>
      <c r="C942" s="545">
        <v>0.83333333333333326</v>
      </c>
      <c r="D942" s="545">
        <v>0</v>
      </c>
      <c r="E942" s="545">
        <v>0</v>
      </c>
      <c r="F942" s="545">
        <v>0.59523809523809512</v>
      </c>
      <c r="G942" s="545">
        <v>0.3</v>
      </c>
      <c r="H942" s="545">
        <v>1</v>
      </c>
      <c r="I942" s="545">
        <v>0.66666666666666663</v>
      </c>
      <c r="J942" s="545">
        <v>0.45238095238095238</v>
      </c>
    </row>
    <row r="943" spans="1:10">
      <c r="A943" s="441">
        <v>3994</v>
      </c>
      <c r="B943" s="441" t="s">
        <v>1993</v>
      </c>
      <c r="C943" s="545">
        <v>4.166666666666667</v>
      </c>
      <c r="D943" s="545">
        <v>1.6666666666666665</v>
      </c>
      <c r="E943" s="545">
        <v>4</v>
      </c>
      <c r="F943" s="545">
        <v>3.785714285714286</v>
      </c>
      <c r="G943" s="545">
        <v>4.5</v>
      </c>
      <c r="H943" s="545">
        <v>2.3333333333333335</v>
      </c>
      <c r="I943" s="545">
        <v>2.3333333333333335</v>
      </c>
      <c r="J943" s="545">
        <v>3.8809523809523805</v>
      </c>
    </row>
    <row r="944" spans="1:10">
      <c r="A944" s="441">
        <v>11111</v>
      </c>
      <c r="B944" s="441" t="s">
        <v>1993</v>
      </c>
      <c r="C944" s="545">
        <v>3.5</v>
      </c>
      <c r="D944" s="545">
        <v>1</v>
      </c>
      <c r="E944" s="545">
        <v>2.6666666666666665</v>
      </c>
      <c r="F944" s="545">
        <v>3.0238095238095242</v>
      </c>
      <c r="G944" s="545">
        <v>2.35</v>
      </c>
      <c r="H944" s="545">
        <v>1</v>
      </c>
      <c r="I944" s="545">
        <v>1</v>
      </c>
      <c r="J944" s="545">
        <v>1.9642857142857142</v>
      </c>
    </row>
    <row r="945" spans="1:10">
      <c r="A945" s="441">
        <v>3997</v>
      </c>
      <c r="B945" s="441" t="s">
        <v>1994</v>
      </c>
      <c r="C945" s="545">
        <v>0.83333333333333326</v>
      </c>
      <c r="D945" s="545">
        <v>2.3333333333333335</v>
      </c>
      <c r="E945" s="545">
        <v>1.3333333333333333</v>
      </c>
      <c r="F945" s="545">
        <v>1.1190476190476191</v>
      </c>
      <c r="G945" s="545">
        <v>9.65</v>
      </c>
      <c r="H945" s="545">
        <v>10.666666666666666</v>
      </c>
      <c r="I945" s="545">
        <v>7.333333333333333</v>
      </c>
      <c r="J945" s="545">
        <v>9.4642857142857135</v>
      </c>
    </row>
    <row r="946" spans="1:10">
      <c r="A946" s="441">
        <v>1995</v>
      </c>
      <c r="B946" s="441" t="s">
        <v>1995</v>
      </c>
      <c r="C946" s="545">
        <v>5</v>
      </c>
      <c r="D946" s="545">
        <v>0</v>
      </c>
      <c r="E946" s="545">
        <v>0.33333333333333331</v>
      </c>
      <c r="F946" s="545">
        <v>3.6190476190476191</v>
      </c>
      <c r="G946" s="545">
        <v>0.65</v>
      </c>
      <c r="H946" s="545">
        <v>0</v>
      </c>
      <c r="I946" s="545">
        <v>0.33333333333333331</v>
      </c>
      <c r="J946" s="545">
        <v>0.51190476190476197</v>
      </c>
    </row>
    <row r="947" spans="1:10">
      <c r="A947" s="441">
        <v>1997</v>
      </c>
      <c r="B947" s="441" t="s">
        <v>1995</v>
      </c>
      <c r="C947" s="545">
        <v>4.166666666666667</v>
      </c>
      <c r="D947" s="545">
        <v>0</v>
      </c>
      <c r="E947" s="545">
        <v>0</v>
      </c>
      <c r="F947" s="545">
        <v>2.9761904761904767</v>
      </c>
      <c r="G947" s="545">
        <v>0.55000000000000004</v>
      </c>
      <c r="H947" s="545">
        <v>0</v>
      </c>
      <c r="I947" s="545">
        <v>0</v>
      </c>
      <c r="J947" s="545">
        <v>0.39285714285714285</v>
      </c>
    </row>
    <row r="948" spans="1:10">
      <c r="A948" s="441">
        <v>1996</v>
      </c>
      <c r="B948" s="441" t="s">
        <v>1996</v>
      </c>
      <c r="C948" s="545">
        <v>9.5</v>
      </c>
      <c r="D948" s="545">
        <v>2</v>
      </c>
      <c r="E948" s="545">
        <v>2.333333333333333</v>
      </c>
      <c r="F948" s="545">
        <v>7.4047619047619051</v>
      </c>
      <c r="G948" s="545">
        <v>2.65</v>
      </c>
      <c r="H948" s="545">
        <v>0.66666666666666663</v>
      </c>
      <c r="I948" s="545">
        <v>0.66666666666666663</v>
      </c>
      <c r="J948" s="545">
        <v>2.083333333333333</v>
      </c>
    </row>
    <row r="949" spans="1:10">
      <c r="A949" s="441">
        <v>11561</v>
      </c>
      <c r="B949" s="441" t="s">
        <v>1996</v>
      </c>
      <c r="C949" s="545">
        <v>8.8333333333333339</v>
      </c>
      <c r="D949" s="545">
        <v>7.333333333333333</v>
      </c>
      <c r="E949" s="545">
        <v>5.3333333333333339</v>
      </c>
      <c r="F949" s="545">
        <v>8.1190476190476204</v>
      </c>
      <c r="G949" s="545">
        <v>2</v>
      </c>
      <c r="H949" s="545">
        <v>0.33333333333333331</v>
      </c>
      <c r="I949" s="545">
        <v>1.3333333333333333</v>
      </c>
      <c r="J949" s="545">
        <v>1.6666666666666667</v>
      </c>
    </row>
    <row r="950" spans="1:10">
      <c r="A950" s="441">
        <v>4507</v>
      </c>
      <c r="B950" s="441" t="s">
        <v>1997</v>
      </c>
      <c r="C950" s="545">
        <v>2.833333333333333</v>
      </c>
      <c r="D950" s="545">
        <v>1.6666666666666665</v>
      </c>
      <c r="E950" s="545">
        <v>1.3333333333333333</v>
      </c>
      <c r="F950" s="545">
        <v>2.4523809523809521</v>
      </c>
      <c r="G950" s="545">
        <v>1.95</v>
      </c>
      <c r="H950" s="545">
        <v>2</v>
      </c>
      <c r="I950" s="545">
        <v>0.33333333333333331</v>
      </c>
      <c r="J950" s="545">
        <v>1.7261904761904763</v>
      </c>
    </row>
    <row r="951" spans="1:10">
      <c r="A951" s="441">
        <v>4517</v>
      </c>
      <c r="B951" s="441" t="s">
        <v>1997</v>
      </c>
      <c r="C951" s="545">
        <v>2.5</v>
      </c>
      <c r="D951" s="545">
        <v>3</v>
      </c>
      <c r="E951" s="545">
        <v>0.66666666666666663</v>
      </c>
      <c r="F951" s="545">
        <v>2.3095238095238098</v>
      </c>
      <c r="G951" s="545">
        <v>2.25</v>
      </c>
      <c r="H951" s="545">
        <v>3.3333333333333335</v>
      </c>
      <c r="I951" s="545">
        <v>1</v>
      </c>
      <c r="J951" s="545">
        <v>2.2261904761904763</v>
      </c>
    </row>
    <row r="952" spans="1:10">
      <c r="A952" s="441">
        <v>4505</v>
      </c>
      <c r="B952" s="441" t="s">
        <v>1998</v>
      </c>
      <c r="C952" s="545">
        <v>1.8333333333333333</v>
      </c>
      <c r="D952" s="545">
        <v>0</v>
      </c>
      <c r="E952" s="545">
        <v>0.33333333333333331</v>
      </c>
      <c r="F952" s="545">
        <v>1.3571428571428572</v>
      </c>
      <c r="G952" s="545">
        <v>1.05</v>
      </c>
      <c r="H952" s="545">
        <v>1</v>
      </c>
      <c r="I952" s="545">
        <v>0.33333333333333331</v>
      </c>
      <c r="J952" s="545">
        <v>0.94047619047619047</v>
      </c>
    </row>
    <row r="953" spans="1:10">
      <c r="A953" s="441">
        <v>4508</v>
      </c>
      <c r="B953" s="441" t="s">
        <v>1999</v>
      </c>
      <c r="C953" s="545">
        <v>5.166666666666667</v>
      </c>
      <c r="D953" s="545">
        <v>3.333333333333333</v>
      </c>
      <c r="E953" s="545">
        <v>0.66666666666666663</v>
      </c>
      <c r="F953" s="545">
        <v>4.2619047619047619</v>
      </c>
      <c r="G953" s="545">
        <v>3.4</v>
      </c>
      <c r="H953" s="545">
        <v>3</v>
      </c>
      <c r="I953" s="545">
        <v>3</v>
      </c>
      <c r="J953" s="545">
        <v>3.2857142857142856</v>
      </c>
    </row>
    <row r="954" spans="1:10">
      <c r="A954" s="441">
        <v>4506</v>
      </c>
      <c r="B954" s="441" t="s">
        <v>2000</v>
      </c>
      <c r="C954" s="545">
        <v>2.666666666666667</v>
      </c>
      <c r="D954" s="545">
        <v>0.66666666666666663</v>
      </c>
      <c r="E954" s="545">
        <v>1</v>
      </c>
      <c r="F954" s="545">
        <v>2.1428571428571432</v>
      </c>
      <c r="G954" s="545">
        <v>1.6</v>
      </c>
      <c r="H954" s="545">
        <v>2</v>
      </c>
      <c r="I954" s="545">
        <v>2</v>
      </c>
      <c r="J954" s="545">
        <v>1.7142857142857142</v>
      </c>
    </row>
    <row r="955" spans="1:10">
      <c r="A955" s="441">
        <v>4504</v>
      </c>
      <c r="B955" s="441" t="s">
        <v>2001</v>
      </c>
      <c r="C955" s="545">
        <v>1.3333333333333333</v>
      </c>
      <c r="D955" s="545">
        <v>0.33333333333333331</v>
      </c>
      <c r="E955" s="545">
        <v>0</v>
      </c>
      <c r="F955" s="545">
        <v>0.99999999999999989</v>
      </c>
      <c r="G955" s="545">
        <v>0.35</v>
      </c>
      <c r="H955" s="545">
        <v>1.6666666666666667</v>
      </c>
      <c r="I955" s="545">
        <v>0</v>
      </c>
      <c r="J955" s="545">
        <v>0.48809523809523814</v>
      </c>
    </row>
    <row r="956" spans="1:10">
      <c r="A956" s="441">
        <v>5058</v>
      </c>
      <c r="B956" s="441" t="s">
        <v>2002</v>
      </c>
      <c r="C956" s="545">
        <v>0.83333333333333337</v>
      </c>
      <c r="D956" s="545">
        <v>2.6666666666666665</v>
      </c>
      <c r="E956" s="545">
        <v>0.33333333333333331</v>
      </c>
      <c r="F956" s="545">
        <v>1.0238095238095239</v>
      </c>
      <c r="G956" s="545">
        <v>0.95</v>
      </c>
      <c r="H956" s="545">
        <v>0.33333333333333331</v>
      </c>
      <c r="I956" s="545">
        <v>0</v>
      </c>
      <c r="J956" s="545">
        <v>0.72619047619047616</v>
      </c>
    </row>
    <row r="957" spans="1:10">
      <c r="A957" s="441">
        <v>12617</v>
      </c>
      <c r="B957" s="441" t="s">
        <v>2002</v>
      </c>
      <c r="C957" s="545">
        <v>5.166666666666667</v>
      </c>
      <c r="D957" s="545">
        <v>4</v>
      </c>
      <c r="E957" s="545">
        <v>2.666666666666667</v>
      </c>
      <c r="F957" s="545">
        <v>4.6428571428571432</v>
      </c>
      <c r="G957" s="545">
        <v>3.85</v>
      </c>
      <c r="H957" s="545">
        <v>2</v>
      </c>
      <c r="I957" s="545">
        <v>1</v>
      </c>
      <c r="J957" s="545">
        <v>3.1785714285714284</v>
      </c>
    </row>
    <row r="958" spans="1:10">
      <c r="A958" s="441">
        <v>12620</v>
      </c>
      <c r="B958" s="441" t="s">
        <v>2003</v>
      </c>
      <c r="C958" s="545">
        <v>6.833333333333333</v>
      </c>
      <c r="D958" s="545">
        <v>3.666666666666667</v>
      </c>
      <c r="E958" s="545">
        <v>1.6666666666666665</v>
      </c>
      <c r="F958" s="545">
        <v>5.6428571428571415</v>
      </c>
      <c r="G958" s="545">
        <v>7.85</v>
      </c>
      <c r="H958" s="545">
        <v>0</v>
      </c>
      <c r="I958" s="545">
        <v>0.33333333333333331</v>
      </c>
      <c r="J958" s="545">
        <v>5.6547619047619051</v>
      </c>
    </row>
    <row r="959" spans="1:10">
      <c r="A959" s="441">
        <v>5059</v>
      </c>
      <c r="B959" s="441" t="s">
        <v>2004</v>
      </c>
      <c r="C959" s="545">
        <v>28.333333333333336</v>
      </c>
      <c r="D959" s="545">
        <v>11.333333333333334</v>
      </c>
      <c r="E959" s="545">
        <v>12.666666666666668</v>
      </c>
      <c r="F959" s="545">
        <v>23.666666666666668</v>
      </c>
      <c r="G959" s="545">
        <v>21.6</v>
      </c>
      <c r="H959" s="545">
        <v>15.333333333333334</v>
      </c>
      <c r="I959" s="545">
        <v>13.333333333333334</v>
      </c>
      <c r="J959" s="545">
        <v>19.523809523809522</v>
      </c>
    </row>
    <row r="960" spans="1:10">
      <c r="A960" s="441">
        <v>12618</v>
      </c>
      <c r="B960" s="441" t="s">
        <v>2004</v>
      </c>
      <c r="C960" s="545">
        <v>28.333333333333332</v>
      </c>
      <c r="D960" s="545">
        <v>14</v>
      </c>
      <c r="E960" s="545">
        <v>9.6666666666666679</v>
      </c>
      <c r="F960" s="545">
        <v>23.619047619047617</v>
      </c>
      <c r="G960" s="545">
        <v>21.75</v>
      </c>
      <c r="H960" s="545">
        <v>11</v>
      </c>
      <c r="I960" s="545">
        <v>11.666666666666666</v>
      </c>
      <c r="J960" s="545">
        <v>18.773809523809522</v>
      </c>
    </row>
    <row r="961" spans="1:10">
      <c r="A961" s="441">
        <v>5056</v>
      </c>
      <c r="B961" s="441" t="s">
        <v>2005</v>
      </c>
      <c r="C961" s="545">
        <v>6.8333333333333339</v>
      </c>
      <c r="D961" s="545">
        <v>1</v>
      </c>
      <c r="E961" s="545">
        <v>0</v>
      </c>
      <c r="F961" s="545">
        <v>5.0238095238095246</v>
      </c>
      <c r="G961" s="545">
        <v>4.7</v>
      </c>
      <c r="H961" s="545">
        <v>1.6666666666666667</v>
      </c>
      <c r="I961" s="545">
        <v>2</v>
      </c>
      <c r="J961" s="545">
        <v>3.8809523809523809</v>
      </c>
    </row>
    <row r="962" spans="1:10">
      <c r="A962" s="441">
        <v>12616</v>
      </c>
      <c r="B962" s="441" t="s">
        <v>2005</v>
      </c>
      <c r="C962" s="545">
        <v>10.333333333333334</v>
      </c>
      <c r="D962" s="545">
        <v>1.6666666666666667</v>
      </c>
      <c r="E962" s="545">
        <v>1</v>
      </c>
      <c r="F962" s="545">
        <v>7.7619047619047619</v>
      </c>
      <c r="G962" s="545">
        <v>3</v>
      </c>
      <c r="H962" s="545">
        <v>0.66666666666666663</v>
      </c>
      <c r="I962" s="545">
        <v>1.6666666666666667</v>
      </c>
      <c r="J962" s="545">
        <v>2.4761904761904758</v>
      </c>
    </row>
    <row r="963" spans="1:10">
      <c r="A963" s="441">
        <v>5057</v>
      </c>
      <c r="B963" s="441" t="s">
        <v>2006</v>
      </c>
      <c r="C963" s="545">
        <v>4.5</v>
      </c>
      <c r="D963" s="545">
        <v>2</v>
      </c>
      <c r="E963" s="545">
        <v>4</v>
      </c>
      <c r="F963" s="545">
        <v>4.0714285714285712</v>
      </c>
      <c r="G963" s="545">
        <v>1.8</v>
      </c>
      <c r="H963" s="545">
        <v>0</v>
      </c>
      <c r="I963" s="545">
        <v>0.66666666666666663</v>
      </c>
      <c r="J963" s="545">
        <v>1.3809523809523809</v>
      </c>
    </row>
    <row r="964" spans="1:10">
      <c r="A964" s="441">
        <v>12615</v>
      </c>
      <c r="B964" s="441" t="s">
        <v>2007</v>
      </c>
      <c r="C964" s="545">
        <v>4</v>
      </c>
      <c r="D964" s="545">
        <v>0</v>
      </c>
      <c r="E964" s="545">
        <v>0</v>
      </c>
      <c r="F964" s="545">
        <v>2.8571428571428572</v>
      </c>
      <c r="G964" s="545">
        <v>2.0499999999999998</v>
      </c>
      <c r="H964" s="545">
        <v>0</v>
      </c>
      <c r="I964" s="545">
        <v>0</v>
      </c>
      <c r="J964" s="545">
        <v>1.4642857142857142</v>
      </c>
    </row>
    <row r="965" spans="1:10">
      <c r="A965" s="441">
        <v>12619</v>
      </c>
      <c r="B965" s="441" t="s">
        <v>2008</v>
      </c>
      <c r="C965" s="545">
        <v>4.666666666666667</v>
      </c>
      <c r="D965" s="545">
        <v>2</v>
      </c>
      <c r="E965" s="545">
        <v>1.3333333333333333</v>
      </c>
      <c r="F965" s="545">
        <v>3.8095238095238098</v>
      </c>
      <c r="G965" s="545">
        <v>2.9</v>
      </c>
      <c r="H965" s="545">
        <v>2</v>
      </c>
      <c r="I965" s="545">
        <v>0.66666666666666663</v>
      </c>
      <c r="J965" s="545">
        <v>2.4523809523809526</v>
      </c>
    </row>
    <row r="966" spans="1:10">
      <c r="A966" s="441">
        <v>12621</v>
      </c>
      <c r="B966" s="441" t="s">
        <v>2008</v>
      </c>
      <c r="C966" s="545">
        <v>20.666666666666668</v>
      </c>
      <c r="D966" s="545">
        <v>8.3333333333333339</v>
      </c>
      <c r="E966" s="545">
        <v>9.3333333333333339</v>
      </c>
      <c r="F966" s="545">
        <v>17.285714285714285</v>
      </c>
      <c r="G966" s="545">
        <v>19.95</v>
      </c>
      <c r="H966" s="545">
        <v>13.333333333333334</v>
      </c>
      <c r="I966" s="545">
        <v>15.333333333333334</v>
      </c>
      <c r="J966" s="545">
        <v>18.345238095238095</v>
      </c>
    </row>
    <row r="967" spans="1:10">
      <c r="A967" s="441">
        <v>13136</v>
      </c>
      <c r="B967" s="441" t="s">
        <v>2008</v>
      </c>
      <c r="C967" s="545">
        <v>24.666666666666664</v>
      </c>
      <c r="D967" s="545">
        <v>15</v>
      </c>
      <c r="E967" s="545">
        <v>13.333333333333334</v>
      </c>
      <c r="F967" s="545">
        <v>21.666666666666664</v>
      </c>
      <c r="G967" s="545">
        <v>22</v>
      </c>
      <c r="H967" s="545">
        <v>13</v>
      </c>
      <c r="I967" s="545">
        <v>13.333333333333334</v>
      </c>
      <c r="J967" s="545">
        <v>19.476190476190478</v>
      </c>
    </row>
    <row r="968" spans="1:10">
      <c r="A968" s="441">
        <v>5053</v>
      </c>
      <c r="B968" s="441" t="s">
        <v>2009</v>
      </c>
      <c r="C968" s="545">
        <v>14.166666666666666</v>
      </c>
      <c r="D968" s="545">
        <v>8</v>
      </c>
      <c r="E968" s="545">
        <v>4.3333333333333339</v>
      </c>
      <c r="F968" s="545">
        <v>11.88095238095238</v>
      </c>
      <c r="G968" s="545">
        <v>8.9499999999999993</v>
      </c>
      <c r="H968" s="545">
        <v>3.6666666666666665</v>
      </c>
      <c r="I968" s="545">
        <v>4.333333333333333</v>
      </c>
      <c r="J968" s="545">
        <v>7.5357142857142856</v>
      </c>
    </row>
    <row r="969" spans="1:10">
      <c r="A969" s="441">
        <v>5054</v>
      </c>
      <c r="B969" s="441" t="s">
        <v>2009</v>
      </c>
      <c r="C969" s="545">
        <v>3.166666666666667</v>
      </c>
      <c r="D969" s="545">
        <v>0.66666666666666663</v>
      </c>
      <c r="E969" s="545">
        <v>0.33333333333333331</v>
      </c>
      <c r="F969" s="545">
        <v>2.4047619047619051</v>
      </c>
      <c r="G969" s="545">
        <v>0.35</v>
      </c>
      <c r="H969" s="545">
        <v>0</v>
      </c>
      <c r="I969" s="545">
        <v>0</v>
      </c>
      <c r="J969" s="545">
        <v>0.25</v>
      </c>
    </row>
    <row r="970" spans="1:10">
      <c r="A970" s="441">
        <v>12614</v>
      </c>
      <c r="B970" s="441" t="s">
        <v>2009</v>
      </c>
      <c r="C970" s="545">
        <v>14.666666666666666</v>
      </c>
      <c r="D970" s="545">
        <v>9</v>
      </c>
      <c r="E970" s="545">
        <v>6</v>
      </c>
      <c r="F970" s="545">
        <v>12.619047619047619</v>
      </c>
      <c r="G970" s="545">
        <v>11.6</v>
      </c>
      <c r="H970" s="545">
        <v>4.333333333333333</v>
      </c>
      <c r="I970" s="545">
        <v>2</v>
      </c>
      <c r="J970" s="545">
        <v>9.1904761904761916</v>
      </c>
    </row>
    <row r="971" spans="1:10">
      <c r="A971" s="441">
        <v>12079</v>
      </c>
      <c r="B971" s="441" t="s">
        <v>2010</v>
      </c>
      <c r="C971" s="545">
        <v>3.833333333333333</v>
      </c>
      <c r="D971" s="545">
        <v>0.66666666666666663</v>
      </c>
      <c r="E971" s="545">
        <v>0</v>
      </c>
      <c r="F971" s="545">
        <v>2.833333333333333</v>
      </c>
      <c r="G971" s="545">
        <v>1.6</v>
      </c>
      <c r="H971" s="545">
        <v>0.33333333333333331</v>
      </c>
      <c r="I971" s="545">
        <v>0</v>
      </c>
      <c r="J971" s="545">
        <v>1.1904761904761905</v>
      </c>
    </row>
    <row r="972" spans="1:10">
      <c r="A972" s="441">
        <v>12869</v>
      </c>
      <c r="B972" s="441" t="s">
        <v>2011</v>
      </c>
      <c r="C972" s="545">
        <v>121.5</v>
      </c>
      <c r="D972" s="545">
        <v>99.666666666666657</v>
      </c>
      <c r="E972" s="545">
        <v>92</v>
      </c>
      <c r="F972" s="545">
        <v>114.16666666666666</v>
      </c>
      <c r="G972" s="545">
        <v>93.75</v>
      </c>
      <c r="H972" s="545">
        <v>84.666666666666671</v>
      </c>
      <c r="I972" s="545">
        <v>84.666666666666671</v>
      </c>
      <c r="J972" s="545">
        <v>91.154761904761898</v>
      </c>
    </row>
    <row r="973" spans="1:10">
      <c r="A973" s="441">
        <v>4617</v>
      </c>
      <c r="B973" s="441" t="s">
        <v>2012</v>
      </c>
      <c r="C973" s="545">
        <v>3</v>
      </c>
      <c r="D973" s="545">
        <v>0.66666666666666663</v>
      </c>
      <c r="E973" s="545">
        <v>1</v>
      </c>
      <c r="F973" s="545">
        <v>2.3809523809523805</v>
      </c>
      <c r="G973" s="545">
        <v>3.15</v>
      </c>
      <c r="H973" s="545">
        <v>1.6666666666666667</v>
      </c>
      <c r="I973" s="545">
        <v>0.33333333333333331</v>
      </c>
      <c r="J973" s="545">
        <v>2.5357142857142856</v>
      </c>
    </row>
    <row r="974" spans="1:10">
      <c r="A974" s="441">
        <v>12179</v>
      </c>
      <c r="B974" s="441" t="s">
        <v>2012</v>
      </c>
      <c r="C974" s="545">
        <v>14.5</v>
      </c>
      <c r="D974" s="545">
        <v>6.333333333333333</v>
      </c>
      <c r="E974" s="545">
        <v>5.6666666666666661</v>
      </c>
      <c r="F974" s="545">
        <v>12.071428571428571</v>
      </c>
      <c r="G974" s="545">
        <v>9.25</v>
      </c>
      <c r="H974" s="545">
        <v>2</v>
      </c>
      <c r="I974" s="545">
        <v>5.333333333333333</v>
      </c>
      <c r="J974" s="545">
        <v>7.6547619047619051</v>
      </c>
    </row>
    <row r="975" spans="1:10">
      <c r="A975" s="441">
        <v>4611</v>
      </c>
      <c r="B975" s="441" t="s">
        <v>2013</v>
      </c>
      <c r="C975" s="545">
        <v>12.833333333333334</v>
      </c>
      <c r="D975" s="545">
        <v>5</v>
      </c>
      <c r="E975" s="545">
        <v>0.66666666666666663</v>
      </c>
      <c r="F975" s="545">
        <v>9.9761904761904781</v>
      </c>
      <c r="G975" s="545">
        <v>5.6</v>
      </c>
      <c r="H975" s="545">
        <v>4</v>
      </c>
      <c r="I975" s="545">
        <v>4</v>
      </c>
      <c r="J975" s="545">
        <v>5.1428571428571432</v>
      </c>
    </row>
    <row r="976" spans="1:10">
      <c r="A976" s="441">
        <v>4614</v>
      </c>
      <c r="B976" s="441" t="s">
        <v>2013</v>
      </c>
      <c r="C976" s="545">
        <v>2.1666666666666665</v>
      </c>
      <c r="D976" s="545">
        <v>2</v>
      </c>
      <c r="E976" s="545">
        <v>2</v>
      </c>
      <c r="F976" s="545">
        <v>2.1190476190476191</v>
      </c>
      <c r="G976" s="545">
        <v>2.4</v>
      </c>
      <c r="H976" s="545">
        <v>1.3333333333333333</v>
      </c>
      <c r="I976" s="545">
        <v>2.3333333333333335</v>
      </c>
      <c r="J976" s="545">
        <v>2.2380952380952381</v>
      </c>
    </row>
    <row r="977" spans="1:10">
      <c r="A977" s="441">
        <v>12871</v>
      </c>
      <c r="B977" s="441" t="s">
        <v>2014</v>
      </c>
      <c r="C977" s="545">
        <v>4</v>
      </c>
      <c r="D977" s="545">
        <v>4.6666666666666661</v>
      </c>
      <c r="E977" s="545">
        <v>4</v>
      </c>
      <c r="F977" s="545">
        <v>4.0952380952380949</v>
      </c>
      <c r="G977" s="545">
        <v>4.45</v>
      </c>
      <c r="H977" s="545">
        <v>1.6666666666666667</v>
      </c>
      <c r="I977" s="545">
        <v>3</v>
      </c>
      <c r="J977" s="545">
        <v>3.8452380952380953</v>
      </c>
    </row>
    <row r="978" spans="1:10">
      <c r="A978" s="441">
        <v>4615</v>
      </c>
      <c r="B978" s="441" t="s">
        <v>2015</v>
      </c>
      <c r="C978" s="545">
        <v>22.833333333333336</v>
      </c>
      <c r="D978" s="545">
        <v>10</v>
      </c>
      <c r="E978" s="545">
        <v>7.666666666666667</v>
      </c>
      <c r="F978" s="545">
        <v>18.833333333333336</v>
      </c>
      <c r="G978" s="545">
        <v>9.6</v>
      </c>
      <c r="H978" s="545">
        <v>9.3333333333333339</v>
      </c>
      <c r="I978" s="545">
        <v>5</v>
      </c>
      <c r="J978" s="545">
        <v>8.9047619047619051</v>
      </c>
    </row>
    <row r="979" spans="1:10">
      <c r="A979" s="441">
        <v>11618</v>
      </c>
      <c r="B979" s="441" t="s">
        <v>2016</v>
      </c>
      <c r="C979" s="545">
        <v>2</v>
      </c>
      <c r="D979" s="545">
        <v>0.33333333333333331</v>
      </c>
      <c r="E979" s="545">
        <v>0</v>
      </c>
      <c r="F979" s="545">
        <v>1.4761904761904763</v>
      </c>
      <c r="G979" s="545">
        <v>0.6</v>
      </c>
      <c r="H979" s="545">
        <v>1</v>
      </c>
      <c r="I979" s="545">
        <v>0</v>
      </c>
      <c r="J979" s="545">
        <v>0.5714285714285714</v>
      </c>
    </row>
    <row r="980" spans="1:10">
      <c r="A980" s="441">
        <v>12870</v>
      </c>
      <c r="B980" s="441" t="s">
        <v>2017</v>
      </c>
      <c r="C980" s="545">
        <v>6.6666666666666661</v>
      </c>
      <c r="D980" s="545">
        <v>5</v>
      </c>
      <c r="E980" s="545">
        <v>3</v>
      </c>
      <c r="F980" s="545">
        <v>5.9047619047619042</v>
      </c>
      <c r="G980" s="545">
        <v>10</v>
      </c>
      <c r="H980" s="545">
        <v>5.666666666666667</v>
      </c>
      <c r="I980" s="545">
        <v>5</v>
      </c>
      <c r="J980" s="545">
        <v>8.6666666666666661</v>
      </c>
    </row>
    <row r="981" spans="1:10">
      <c r="A981" s="441">
        <v>9962</v>
      </c>
      <c r="B981" s="441" t="s">
        <v>2018</v>
      </c>
      <c r="C981" s="545">
        <v>552</v>
      </c>
      <c r="D981" s="545">
        <v>58</v>
      </c>
      <c r="E981" s="545">
        <v>49.666666666666664</v>
      </c>
      <c r="F981" s="545">
        <v>409.66666666666663</v>
      </c>
      <c r="G981" s="545">
        <v>433.05</v>
      </c>
      <c r="H981" s="545">
        <v>54.666666666666664</v>
      </c>
      <c r="I981" s="545">
        <v>38.333333333333336</v>
      </c>
      <c r="J981" s="545">
        <v>322.60714285714283</v>
      </c>
    </row>
    <row r="982" spans="1:10">
      <c r="A982" s="441">
        <v>11552</v>
      </c>
      <c r="B982" s="441" t="s">
        <v>2018</v>
      </c>
      <c r="C982" s="545">
        <v>672.5</v>
      </c>
      <c r="D982" s="545">
        <v>74.666666666666671</v>
      </c>
      <c r="E982" s="545">
        <v>70.333333333333329</v>
      </c>
      <c r="F982" s="545">
        <v>501.07142857142856</v>
      </c>
      <c r="G982" s="545">
        <v>439.3</v>
      </c>
      <c r="H982" s="545">
        <v>58.333333333333336</v>
      </c>
      <c r="I982" s="545">
        <v>51</v>
      </c>
      <c r="J982" s="545">
        <v>329.40476190476193</v>
      </c>
    </row>
    <row r="983" spans="1:10">
      <c r="A983" s="441">
        <v>12064</v>
      </c>
      <c r="B983" s="441" t="s">
        <v>2019</v>
      </c>
      <c r="C983" s="545">
        <v>54</v>
      </c>
      <c r="D983" s="545">
        <v>0.66666666666666663</v>
      </c>
      <c r="E983" s="545">
        <v>1</v>
      </c>
      <c r="F983" s="545">
        <v>38.80952380952381</v>
      </c>
      <c r="G983" s="545">
        <v>32.35</v>
      </c>
      <c r="H983" s="545">
        <v>1.3333333333333333</v>
      </c>
      <c r="I983" s="545">
        <v>0</v>
      </c>
      <c r="J983" s="545">
        <v>23.297619047619047</v>
      </c>
    </row>
    <row r="984" spans="1:10">
      <c r="A984" s="441">
        <v>12065</v>
      </c>
      <c r="B984" s="441" t="s">
        <v>2019</v>
      </c>
      <c r="C984" s="545">
        <v>30.666666666666668</v>
      </c>
      <c r="D984" s="545">
        <v>2.3333333333333335</v>
      </c>
      <c r="E984" s="545">
        <v>0.33333333333333331</v>
      </c>
      <c r="F984" s="545">
        <v>22.285714285714288</v>
      </c>
      <c r="G984" s="545">
        <v>7.05</v>
      </c>
      <c r="H984" s="545">
        <v>1.3333333333333333</v>
      </c>
      <c r="I984" s="545">
        <v>0.66666666666666663</v>
      </c>
      <c r="J984" s="545">
        <v>5.3214285714285712</v>
      </c>
    </row>
    <row r="985" spans="1:10">
      <c r="A985" s="441">
        <v>11307</v>
      </c>
      <c r="B985" s="441" t="s">
        <v>2020</v>
      </c>
      <c r="C985" s="545">
        <v>210.16666666666669</v>
      </c>
      <c r="D985" s="545">
        <v>16.333333333333332</v>
      </c>
      <c r="E985" s="545">
        <v>24.666666666666664</v>
      </c>
      <c r="F985" s="545">
        <v>155.97619047619051</v>
      </c>
      <c r="G985" s="545">
        <v>93.9</v>
      </c>
      <c r="H985" s="545">
        <v>9.3333333333333339</v>
      </c>
      <c r="I985" s="545">
        <v>14.666666666666666</v>
      </c>
      <c r="J985" s="545">
        <v>70.5</v>
      </c>
    </row>
    <row r="986" spans="1:10">
      <c r="A986" s="441">
        <v>9965</v>
      </c>
      <c r="B986" s="441" t="s">
        <v>2021</v>
      </c>
      <c r="C986" s="545">
        <v>709.66666666666663</v>
      </c>
      <c r="D986" s="545">
        <v>86.666666666666657</v>
      </c>
      <c r="E986" s="545">
        <v>74.333333333333343</v>
      </c>
      <c r="F986" s="545">
        <v>529.90476190476181</v>
      </c>
      <c r="G986" s="545">
        <v>661.55</v>
      </c>
      <c r="H986" s="545">
        <v>68.333333333333329</v>
      </c>
      <c r="I986" s="545">
        <v>55.333333333333336</v>
      </c>
      <c r="J986" s="545">
        <v>490.20238095238102</v>
      </c>
    </row>
    <row r="987" spans="1:10">
      <c r="A987" s="441">
        <v>12696</v>
      </c>
      <c r="B987" s="441" t="s">
        <v>2022</v>
      </c>
      <c r="C987" s="545">
        <v>2.1666666666666665</v>
      </c>
      <c r="D987" s="545">
        <v>0.66666666666666663</v>
      </c>
      <c r="E987" s="545">
        <v>0</v>
      </c>
      <c r="F987" s="545">
        <v>1.6428571428571426</v>
      </c>
      <c r="G987" s="545">
        <v>3.6</v>
      </c>
      <c r="H987" s="545">
        <v>3</v>
      </c>
      <c r="I987" s="545">
        <v>0</v>
      </c>
      <c r="J987" s="545">
        <v>3</v>
      </c>
    </row>
    <row r="988" spans="1:10">
      <c r="A988" s="441">
        <v>11254</v>
      </c>
      <c r="B988" s="441" t="s">
        <v>2023</v>
      </c>
      <c r="C988" s="545">
        <v>223.5</v>
      </c>
      <c r="D988" s="545">
        <v>10.333333333333334</v>
      </c>
      <c r="E988" s="545">
        <v>9.3333333333333321</v>
      </c>
      <c r="F988" s="545">
        <v>162.45238095238093</v>
      </c>
      <c r="G988" s="545">
        <v>98.5</v>
      </c>
      <c r="H988" s="545">
        <v>9.3333333333333339</v>
      </c>
      <c r="I988" s="545">
        <v>6.333333333333333</v>
      </c>
      <c r="J988" s="545">
        <v>72.595238095238088</v>
      </c>
    </row>
    <row r="989" spans="1:10">
      <c r="A989" s="441">
        <v>9960</v>
      </c>
      <c r="B989" s="441" t="s">
        <v>2024</v>
      </c>
      <c r="C989" s="545">
        <v>330.16666666666663</v>
      </c>
      <c r="D989" s="545">
        <v>37.666666666666671</v>
      </c>
      <c r="E989" s="545">
        <v>43.333333333333329</v>
      </c>
      <c r="F989" s="545">
        <v>247.40476190476187</v>
      </c>
      <c r="G989" s="545">
        <v>252.75</v>
      </c>
      <c r="H989" s="545">
        <v>26.333333333333332</v>
      </c>
      <c r="I989" s="545">
        <v>31</v>
      </c>
      <c r="J989" s="545">
        <v>188.72619047619045</v>
      </c>
    </row>
    <row r="990" spans="1:10">
      <c r="A990" s="441">
        <v>5817</v>
      </c>
      <c r="B990" s="441" t="s">
        <v>2025</v>
      </c>
      <c r="C990" s="545">
        <v>1.5</v>
      </c>
      <c r="D990" s="545">
        <v>1</v>
      </c>
      <c r="E990" s="545">
        <v>0</v>
      </c>
      <c r="F990" s="545">
        <v>1.2142857142857142</v>
      </c>
      <c r="G990" s="545">
        <v>6.7</v>
      </c>
      <c r="H990" s="545">
        <v>2</v>
      </c>
      <c r="I990" s="545">
        <v>0</v>
      </c>
      <c r="J990" s="545">
        <v>5.0714285714285712</v>
      </c>
    </row>
    <row r="991" spans="1:10">
      <c r="A991" s="441">
        <v>5844</v>
      </c>
      <c r="B991" s="441" t="s">
        <v>2025</v>
      </c>
      <c r="C991" s="545">
        <v>1.1666666666666667</v>
      </c>
      <c r="D991" s="545">
        <v>0.66666666666666663</v>
      </c>
      <c r="E991" s="545">
        <v>1</v>
      </c>
      <c r="F991" s="545">
        <v>1.0714285714285716</v>
      </c>
      <c r="G991" s="545">
        <v>7.25</v>
      </c>
      <c r="H991" s="545">
        <v>0.66666666666666663</v>
      </c>
      <c r="I991" s="545">
        <v>0.66666666666666663</v>
      </c>
      <c r="J991" s="545">
        <v>5.3690476190476186</v>
      </c>
    </row>
    <row r="992" spans="1:10">
      <c r="A992" s="441">
        <v>5819</v>
      </c>
      <c r="B992" s="441" t="s">
        <v>2026</v>
      </c>
      <c r="C992" s="545">
        <v>0.66666666666666663</v>
      </c>
      <c r="D992" s="545">
        <v>0.66666666666666663</v>
      </c>
      <c r="E992" s="545">
        <v>3</v>
      </c>
      <c r="F992" s="545">
        <v>1</v>
      </c>
      <c r="G992" s="545">
        <v>1.95</v>
      </c>
      <c r="H992" s="545">
        <v>0.33333333333333331</v>
      </c>
      <c r="I992" s="545">
        <v>0.66666666666666663</v>
      </c>
      <c r="J992" s="545">
        <v>1.5357142857142858</v>
      </c>
    </row>
    <row r="993" spans="1:10">
      <c r="A993" s="441">
        <v>5842</v>
      </c>
      <c r="B993" s="441" t="s">
        <v>2026</v>
      </c>
      <c r="C993" s="545">
        <v>0.33333333333333331</v>
      </c>
      <c r="D993" s="545">
        <v>1.6666666666666667</v>
      </c>
      <c r="E993" s="545">
        <v>1.3333333333333333</v>
      </c>
      <c r="F993" s="545">
        <v>0.66666666666666663</v>
      </c>
      <c r="G993" s="545">
        <v>0.25</v>
      </c>
      <c r="H993" s="545">
        <v>0</v>
      </c>
      <c r="I993" s="545">
        <v>0.33333333333333331</v>
      </c>
      <c r="J993" s="545">
        <v>0.22619047619047619</v>
      </c>
    </row>
    <row r="994" spans="1:10">
      <c r="A994" s="441">
        <v>5818</v>
      </c>
      <c r="B994" s="441" t="s">
        <v>2027</v>
      </c>
      <c r="C994" s="545">
        <v>3</v>
      </c>
      <c r="D994" s="545">
        <v>1</v>
      </c>
      <c r="E994" s="545">
        <v>0.66666666666666663</v>
      </c>
      <c r="F994" s="545">
        <v>2.3809523809523809</v>
      </c>
      <c r="G994" s="545">
        <v>2.0499999999999998</v>
      </c>
      <c r="H994" s="545">
        <v>1.6666666666666667</v>
      </c>
      <c r="I994" s="545">
        <v>1.6666666666666667</v>
      </c>
      <c r="J994" s="545">
        <v>1.9404761904761902</v>
      </c>
    </row>
    <row r="995" spans="1:10">
      <c r="A995" s="441">
        <v>5843</v>
      </c>
      <c r="B995" s="441" t="s">
        <v>2027</v>
      </c>
      <c r="C995" s="545">
        <v>2.5</v>
      </c>
      <c r="D995" s="545">
        <v>0.66666666666666663</v>
      </c>
      <c r="E995" s="545">
        <v>0.33333333333333331</v>
      </c>
      <c r="F995" s="545">
        <v>1.9285714285714286</v>
      </c>
      <c r="G995" s="545">
        <v>3.05</v>
      </c>
      <c r="H995" s="545">
        <v>2.6666666666666665</v>
      </c>
      <c r="I995" s="545">
        <v>1.3333333333333333</v>
      </c>
      <c r="J995" s="545">
        <v>2.75</v>
      </c>
    </row>
    <row r="996" spans="1:10">
      <c r="A996" s="441">
        <v>2928</v>
      </c>
      <c r="B996" s="441" t="s">
        <v>2028</v>
      </c>
      <c r="C996" s="545">
        <v>8.1666666666666661</v>
      </c>
      <c r="D996" s="545">
        <v>8.3333333333333321</v>
      </c>
      <c r="E996" s="545">
        <v>4</v>
      </c>
      <c r="F996" s="545">
        <v>7.595238095238094</v>
      </c>
      <c r="G996" s="545">
        <v>3.6</v>
      </c>
      <c r="H996" s="545">
        <v>0.66666666666666663</v>
      </c>
      <c r="I996" s="545">
        <v>1.3333333333333333</v>
      </c>
      <c r="J996" s="545">
        <v>2.8571428571428572</v>
      </c>
    </row>
    <row r="997" spans="1:10">
      <c r="A997" s="441">
        <v>8441</v>
      </c>
      <c r="B997" s="441" t="s">
        <v>2029</v>
      </c>
      <c r="C997" s="545">
        <v>5.333333333333333</v>
      </c>
      <c r="D997" s="545">
        <v>1</v>
      </c>
      <c r="E997" s="545">
        <v>1</v>
      </c>
      <c r="F997" s="545">
        <v>4.0952380952380949</v>
      </c>
      <c r="G997" s="545">
        <v>0.9</v>
      </c>
      <c r="H997" s="545">
        <v>1.6666666666666667</v>
      </c>
      <c r="I997" s="545">
        <v>5.333333333333333</v>
      </c>
      <c r="J997" s="545">
        <v>1.6428571428571428</v>
      </c>
    </row>
    <row r="998" spans="1:10">
      <c r="A998" s="441">
        <v>8439</v>
      </c>
      <c r="B998" s="441" t="s">
        <v>2030</v>
      </c>
      <c r="C998" s="545">
        <v>4.5</v>
      </c>
      <c r="D998" s="545">
        <v>1</v>
      </c>
      <c r="E998" s="545">
        <v>0.33333333333333331</v>
      </c>
      <c r="F998" s="545">
        <v>3.4047619047619047</v>
      </c>
      <c r="G998" s="545">
        <v>2.65</v>
      </c>
      <c r="H998" s="545">
        <v>1.6666666666666667</v>
      </c>
      <c r="I998" s="545">
        <v>0.66666666666666663</v>
      </c>
      <c r="J998" s="545">
        <v>2.2261904761904758</v>
      </c>
    </row>
    <row r="999" spans="1:10">
      <c r="A999" s="441">
        <v>8437</v>
      </c>
      <c r="B999" s="441" t="s">
        <v>2031</v>
      </c>
      <c r="C999" s="545">
        <v>8.6666666666666661</v>
      </c>
      <c r="D999" s="545">
        <v>5.6666666666666661</v>
      </c>
      <c r="E999" s="545">
        <v>4.333333333333333</v>
      </c>
      <c r="F999" s="545">
        <v>7.6190476190476186</v>
      </c>
      <c r="G999" s="545">
        <v>4.6500000000000004</v>
      </c>
      <c r="H999" s="545">
        <v>5.333333333333333</v>
      </c>
      <c r="I999" s="545">
        <v>2.3333333333333335</v>
      </c>
      <c r="J999" s="545">
        <v>4.4166666666666661</v>
      </c>
    </row>
    <row r="1000" spans="1:10">
      <c r="A1000" s="441">
        <v>8440</v>
      </c>
      <c r="B1000" s="441" t="s">
        <v>2032</v>
      </c>
      <c r="C1000" s="545">
        <v>2.8333333333333335</v>
      </c>
      <c r="D1000" s="545">
        <v>1</v>
      </c>
      <c r="E1000" s="545">
        <v>1</v>
      </c>
      <c r="F1000" s="545">
        <v>2.3095238095238098</v>
      </c>
      <c r="G1000" s="545">
        <v>2.0499999999999998</v>
      </c>
      <c r="H1000" s="545">
        <v>1.6666666666666667</v>
      </c>
      <c r="I1000" s="545">
        <v>0.66666666666666663</v>
      </c>
      <c r="J1000" s="545">
        <v>1.7976190476190474</v>
      </c>
    </row>
    <row r="1001" spans="1:10">
      <c r="A1001" s="441">
        <v>8438</v>
      </c>
      <c r="B1001" s="441" t="s">
        <v>2033</v>
      </c>
      <c r="C1001" s="545">
        <v>3.5</v>
      </c>
      <c r="D1001" s="545">
        <v>2.6666666666666665</v>
      </c>
      <c r="E1001" s="545">
        <v>2</v>
      </c>
      <c r="F1001" s="545">
        <v>3.166666666666667</v>
      </c>
      <c r="G1001" s="545">
        <v>2.8</v>
      </c>
      <c r="H1001" s="545">
        <v>2</v>
      </c>
      <c r="I1001" s="545">
        <v>0</v>
      </c>
      <c r="J1001" s="545">
        <v>2.2857142857142856</v>
      </c>
    </row>
    <row r="1002" spans="1:10">
      <c r="A1002" s="441">
        <v>12722</v>
      </c>
      <c r="B1002" s="441" t="s">
        <v>2034</v>
      </c>
      <c r="C1002" s="545">
        <v>7.5</v>
      </c>
      <c r="D1002" s="545">
        <v>6.666666666666667</v>
      </c>
      <c r="E1002" s="545">
        <v>4</v>
      </c>
      <c r="F1002" s="545">
        <v>6.8809523809523805</v>
      </c>
      <c r="G1002" s="545">
        <v>6.4</v>
      </c>
      <c r="H1002" s="545">
        <v>3.3333333333333335</v>
      </c>
      <c r="I1002" s="545">
        <v>2.3333333333333335</v>
      </c>
      <c r="J1002" s="545">
        <v>5.3809523809523814</v>
      </c>
    </row>
    <row r="1003" spans="1:10">
      <c r="A1003" s="441">
        <v>12723</v>
      </c>
      <c r="B1003" s="441" t="s">
        <v>2034</v>
      </c>
      <c r="C1003" s="545">
        <v>3.8333333333333335</v>
      </c>
      <c r="D1003" s="545">
        <v>5.333333333333333</v>
      </c>
      <c r="E1003" s="545">
        <v>3</v>
      </c>
      <c r="F1003" s="545">
        <v>3.9285714285714284</v>
      </c>
      <c r="G1003" s="545">
        <v>4.7</v>
      </c>
      <c r="H1003" s="545">
        <v>3.6666666666666665</v>
      </c>
      <c r="I1003" s="545">
        <v>2.6666666666666665</v>
      </c>
      <c r="J1003" s="545">
        <v>4.2619047619047619</v>
      </c>
    </row>
    <row r="1004" spans="1:10">
      <c r="A1004" s="441">
        <v>12720</v>
      </c>
      <c r="B1004" s="441" t="s">
        <v>2035</v>
      </c>
      <c r="C1004" s="545">
        <v>8</v>
      </c>
      <c r="D1004" s="545">
        <v>9</v>
      </c>
      <c r="E1004" s="545">
        <v>8</v>
      </c>
      <c r="F1004" s="545">
        <v>8.1428571428571423</v>
      </c>
      <c r="G1004" s="545">
        <v>6.55</v>
      </c>
      <c r="H1004" s="545">
        <v>3.3333333333333335</v>
      </c>
      <c r="I1004" s="545">
        <v>1.6666666666666667</v>
      </c>
      <c r="J1004" s="545">
        <v>5.3928571428571432</v>
      </c>
    </row>
    <row r="1005" spans="1:10">
      <c r="A1005" s="441">
        <v>12721</v>
      </c>
      <c r="B1005" s="441" t="s">
        <v>2035</v>
      </c>
      <c r="C1005" s="545">
        <v>4.166666666666667</v>
      </c>
      <c r="D1005" s="545">
        <v>2</v>
      </c>
      <c r="E1005" s="545">
        <v>2.666666666666667</v>
      </c>
      <c r="F1005" s="545">
        <v>3.6428571428571432</v>
      </c>
      <c r="G1005" s="545">
        <v>4.8499999999999996</v>
      </c>
      <c r="H1005" s="545">
        <v>2</v>
      </c>
      <c r="I1005" s="545">
        <v>3</v>
      </c>
      <c r="J1005" s="545">
        <v>4.1785714285714288</v>
      </c>
    </row>
    <row r="1006" spans="1:10">
      <c r="A1006" s="441">
        <v>13163</v>
      </c>
      <c r="B1006" s="441" t="s">
        <v>2036</v>
      </c>
      <c r="C1006" s="545">
        <v>9.5</v>
      </c>
      <c r="D1006" s="545">
        <v>3.6666666666666665</v>
      </c>
      <c r="E1006" s="545">
        <v>6.666666666666667</v>
      </c>
      <c r="F1006" s="545">
        <v>8.261904761904761</v>
      </c>
      <c r="G1006" s="545">
        <v>16.05</v>
      </c>
      <c r="H1006" s="545">
        <v>5</v>
      </c>
      <c r="I1006" s="545">
        <v>3.6666666666666665</v>
      </c>
      <c r="J1006" s="545">
        <v>12.702380952380953</v>
      </c>
    </row>
    <row r="1007" spans="1:10">
      <c r="A1007" s="441">
        <v>12718</v>
      </c>
      <c r="B1007" s="441" t="s">
        <v>2037</v>
      </c>
      <c r="C1007" s="545">
        <v>23.5</v>
      </c>
      <c r="D1007" s="545">
        <v>14</v>
      </c>
      <c r="E1007" s="545">
        <v>15.666666666666668</v>
      </c>
      <c r="F1007" s="545">
        <v>21.023809523809522</v>
      </c>
      <c r="G1007" s="545">
        <v>22.8</v>
      </c>
      <c r="H1007" s="545">
        <v>10.666666666666666</v>
      </c>
      <c r="I1007" s="545">
        <v>7.666666666666667</v>
      </c>
      <c r="J1007" s="545">
        <v>18.904761904761905</v>
      </c>
    </row>
    <row r="1008" spans="1:10">
      <c r="A1008" s="441">
        <v>12719</v>
      </c>
      <c r="B1008" s="441" t="s">
        <v>2037</v>
      </c>
      <c r="C1008" s="545">
        <v>34.166666666666671</v>
      </c>
      <c r="D1008" s="545">
        <v>18</v>
      </c>
      <c r="E1008" s="545">
        <v>18.666666666666668</v>
      </c>
      <c r="F1008" s="545">
        <v>29.642857142857146</v>
      </c>
      <c r="G1008" s="545">
        <v>19</v>
      </c>
      <c r="H1008" s="545">
        <v>13.333333333333334</v>
      </c>
      <c r="I1008" s="545">
        <v>8.6666666666666661</v>
      </c>
      <c r="J1008" s="545">
        <v>16.714285714285715</v>
      </c>
    </row>
    <row r="1009" spans="1:10">
      <c r="A1009" s="441">
        <v>7016</v>
      </c>
      <c r="B1009" s="441" t="s">
        <v>2038</v>
      </c>
      <c r="C1009" s="545">
        <v>15.333333333333334</v>
      </c>
      <c r="D1009" s="545">
        <v>4</v>
      </c>
      <c r="E1009" s="545">
        <v>1.6666666666666667</v>
      </c>
      <c r="F1009" s="545">
        <v>11.761904761904763</v>
      </c>
      <c r="G1009" s="545">
        <v>9.9</v>
      </c>
      <c r="H1009" s="545">
        <v>1.6666666666666667</v>
      </c>
      <c r="I1009" s="545">
        <v>4.333333333333333</v>
      </c>
      <c r="J1009" s="545">
        <v>7.9285714285714288</v>
      </c>
    </row>
    <row r="1010" spans="1:10">
      <c r="A1010" s="441">
        <v>7018</v>
      </c>
      <c r="B1010" s="441" t="s">
        <v>2038</v>
      </c>
      <c r="C1010" s="545">
        <v>21.833333333333336</v>
      </c>
      <c r="D1010" s="545">
        <v>1.6666666666666665</v>
      </c>
      <c r="E1010" s="545">
        <v>1.6666666666666665</v>
      </c>
      <c r="F1010" s="545">
        <v>16.071428571428577</v>
      </c>
      <c r="G1010" s="545">
        <v>14.7</v>
      </c>
      <c r="H1010" s="545">
        <v>4.666666666666667</v>
      </c>
      <c r="I1010" s="545">
        <v>4</v>
      </c>
      <c r="J1010" s="545">
        <v>11.738095238095239</v>
      </c>
    </row>
    <row r="1011" spans="1:10">
      <c r="A1011" s="441">
        <v>3634</v>
      </c>
      <c r="B1011" s="441" t="s">
        <v>2039</v>
      </c>
      <c r="C1011" s="545">
        <v>9.8333333333333321</v>
      </c>
      <c r="D1011" s="545">
        <v>4</v>
      </c>
      <c r="E1011" s="545">
        <v>5.3333333333333339</v>
      </c>
      <c r="F1011" s="545">
        <v>8.3571428571428559</v>
      </c>
      <c r="G1011" s="545">
        <v>15.05</v>
      </c>
      <c r="H1011" s="545">
        <v>10</v>
      </c>
      <c r="I1011" s="545">
        <v>4.666666666666667</v>
      </c>
      <c r="J1011" s="545">
        <v>12.845238095238097</v>
      </c>
    </row>
    <row r="1012" spans="1:10">
      <c r="A1012" s="441">
        <v>7002</v>
      </c>
      <c r="B1012" s="441" t="s">
        <v>2040</v>
      </c>
      <c r="C1012" s="545">
        <v>30.333333333333336</v>
      </c>
      <c r="D1012" s="545">
        <v>16.666666666666664</v>
      </c>
      <c r="E1012" s="545">
        <v>16.333333333333332</v>
      </c>
      <c r="F1012" s="545">
        <v>26.380952380952383</v>
      </c>
      <c r="G1012" s="545">
        <v>26.5</v>
      </c>
      <c r="H1012" s="545">
        <v>15.666666666666666</v>
      </c>
      <c r="I1012" s="545">
        <v>10</v>
      </c>
      <c r="J1012" s="545">
        <v>22.595238095238095</v>
      </c>
    </row>
    <row r="1013" spans="1:10">
      <c r="A1013" s="441">
        <v>10134</v>
      </c>
      <c r="B1013" s="441" t="s">
        <v>2040</v>
      </c>
      <c r="C1013" s="545">
        <v>27.5</v>
      </c>
      <c r="D1013" s="545">
        <v>12.666666666666668</v>
      </c>
      <c r="E1013" s="545">
        <v>19</v>
      </c>
      <c r="F1013" s="545">
        <v>24.166666666666664</v>
      </c>
      <c r="G1013" s="545">
        <v>21.2</v>
      </c>
      <c r="H1013" s="545">
        <v>14.666666666666666</v>
      </c>
      <c r="I1013" s="545">
        <v>11.333333333333334</v>
      </c>
      <c r="J1013" s="545">
        <v>18.857142857142858</v>
      </c>
    </row>
    <row r="1014" spans="1:10">
      <c r="A1014" s="441">
        <v>7011</v>
      </c>
      <c r="B1014" s="441" t="s">
        <v>2041</v>
      </c>
      <c r="C1014" s="545">
        <v>34.333333333333329</v>
      </c>
      <c r="D1014" s="545">
        <v>15.666666666666668</v>
      </c>
      <c r="E1014" s="545">
        <v>9.6666666666666661</v>
      </c>
      <c r="F1014" s="545">
        <v>28.142857142857135</v>
      </c>
      <c r="G1014" s="545">
        <v>35.6</v>
      </c>
      <c r="H1014" s="545">
        <v>14</v>
      </c>
      <c r="I1014" s="545">
        <v>9.6666666666666661</v>
      </c>
      <c r="J1014" s="545">
        <v>28.809523809523807</v>
      </c>
    </row>
    <row r="1015" spans="1:10">
      <c r="A1015" s="441">
        <v>7023</v>
      </c>
      <c r="B1015" s="441" t="s">
        <v>2041</v>
      </c>
      <c r="C1015" s="545">
        <v>43.166666666666671</v>
      </c>
      <c r="D1015" s="545">
        <v>24.333333333333336</v>
      </c>
      <c r="E1015" s="545">
        <v>16.333333333333332</v>
      </c>
      <c r="F1015" s="545">
        <v>36.642857142857153</v>
      </c>
      <c r="G1015" s="545">
        <v>41.4</v>
      </c>
      <c r="H1015" s="545">
        <v>16.333333333333332</v>
      </c>
      <c r="I1015" s="545">
        <v>12</v>
      </c>
      <c r="J1015" s="545">
        <v>33.61904761904762</v>
      </c>
    </row>
    <row r="1016" spans="1:10">
      <c r="A1016" s="441">
        <v>3651</v>
      </c>
      <c r="B1016" s="441" t="s">
        <v>2042</v>
      </c>
      <c r="C1016" s="545">
        <v>3.833333333333333</v>
      </c>
      <c r="D1016" s="545">
        <v>1</v>
      </c>
      <c r="E1016" s="545">
        <v>1.3333333333333333</v>
      </c>
      <c r="F1016" s="545">
        <v>3.0714285714285707</v>
      </c>
      <c r="G1016" s="545">
        <v>3.8</v>
      </c>
      <c r="H1016" s="545">
        <v>1.6666666666666667</v>
      </c>
      <c r="I1016" s="545">
        <v>1.3333333333333333</v>
      </c>
      <c r="J1016" s="545">
        <v>3.1428571428571428</v>
      </c>
    </row>
    <row r="1017" spans="1:10">
      <c r="A1017" s="441">
        <v>3652</v>
      </c>
      <c r="B1017" s="441" t="s">
        <v>2042</v>
      </c>
      <c r="C1017" s="545">
        <v>6.6666666666666661</v>
      </c>
      <c r="D1017" s="545">
        <v>1.3333333333333333</v>
      </c>
      <c r="E1017" s="545">
        <v>1.6666666666666667</v>
      </c>
      <c r="F1017" s="545">
        <v>5.1904761904761898</v>
      </c>
      <c r="G1017" s="545">
        <v>3.75</v>
      </c>
      <c r="H1017" s="545">
        <v>0.66666666666666663</v>
      </c>
      <c r="I1017" s="545">
        <v>0</v>
      </c>
      <c r="J1017" s="545">
        <v>2.7738095238095242</v>
      </c>
    </row>
    <row r="1018" spans="1:10">
      <c r="A1018" s="441">
        <v>7006</v>
      </c>
      <c r="B1018" s="441" t="s">
        <v>2043</v>
      </c>
      <c r="C1018" s="545">
        <v>131.83333333333334</v>
      </c>
      <c r="D1018" s="545">
        <v>52.333333333333336</v>
      </c>
      <c r="E1018" s="545">
        <v>22.333333333333336</v>
      </c>
      <c r="F1018" s="545">
        <v>104.83333333333336</v>
      </c>
      <c r="G1018" s="545">
        <v>78.5</v>
      </c>
      <c r="H1018" s="545">
        <v>39.333333333333336</v>
      </c>
      <c r="I1018" s="545">
        <v>18.333333333333332</v>
      </c>
      <c r="J1018" s="545">
        <v>64.30952380952381</v>
      </c>
    </row>
    <row r="1019" spans="1:10">
      <c r="A1019" s="441">
        <v>7028</v>
      </c>
      <c r="B1019" s="441" t="s">
        <v>2043</v>
      </c>
      <c r="C1019" s="545">
        <v>114.5</v>
      </c>
      <c r="D1019" s="545">
        <v>35.666666666666664</v>
      </c>
      <c r="E1019" s="545">
        <v>24.333333333333332</v>
      </c>
      <c r="F1019" s="545">
        <v>90.357142857142861</v>
      </c>
      <c r="G1019" s="545">
        <v>70.150000000000006</v>
      </c>
      <c r="H1019" s="545">
        <v>25.666666666666668</v>
      </c>
      <c r="I1019" s="545">
        <v>16</v>
      </c>
      <c r="J1019" s="545">
        <v>56.05952380952381</v>
      </c>
    </row>
    <row r="1020" spans="1:10">
      <c r="A1020" s="441">
        <v>7010</v>
      </c>
      <c r="B1020" s="441" t="s">
        <v>2044</v>
      </c>
      <c r="C1020" s="545">
        <v>27.5</v>
      </c>
      <c r="D1020" s="545">
        <v>14</v>
      </c>
      <c r="E1020" s="545">
        <v>10.666666666666668</v>
      </c>
      <c r="F1020" s="545">
        <v>23.166666666666664</v>
      </c>
      <c r="G1020" s="545">
        <v>29.6</v>
      </c>
      <c r="H1020" s="545">
        <v>27</v>
      </c>
      <c r="I1020" s="545">
        <v>16.333333333333332</v>
      </c>
      <c r="J1020" s="545">
        <v>27.333333333333336</v>
      </c>
    </row>
    <row r="1021" spans="1:10">
      <c r="A1021" s="441">
        <v>7024</v>
      </c>
      <c r="B1021" s="441" t="s">
        <v>2044</v>
      </c>
      <c r="C1021" s="545">
        <v>13.666666666666668</v>
      </c>
      <c r="D1021" s="545">
        <v>4.6666666666666661</v>
      </c>
      <c r="E1021" s="545">
        <v>4</v>
      </c>
      <c r="F1021" s="545">
        <v>11.000000000000002</v>
      </c>
      <c r="G1021" s="545">
        <v>9.65</v>
      </c>
      <c r="H1021" s="545">
        <v>6.333333333333333</v>
      </c>
      <c r="I1021" s="545">
        <v>3</v>
      </c>
      <c r="J1021" s="545">
        <v>8.2261904761904763</v>
      </c>
    </row>
    <row r="1022" spans="1:10">
      <c r="A1022" s="441">
        <v>3637</v>
      </c>
      <c r="B1022" s="441" t="s">
        <v>2045</v>
      </c>
      <c r="C1022" s="545">
        <v>11.5</v>
      </c>
      <c r="D1022" s="545">
        <v>3.6666666666666665</v>
      </c>
      <c r="E1022" s="545">
        <v>2.6666666666666665</v>
      </c>
      <c r="F1022" s="545">
        <v>9.1190476190476186</v>
      </c>
      <c r="G1022" s="545">
        <v>9.85</v>
      </c>
      <c r="H1022" s="545">
        <v>2</v>
      </c>
      <c r="I1022" s="545">
        <v>1.3333333333333333</v>
      </c>
      <c r="J1022" s="545">
        <v>7.5119047619047619</v>
      </c>
    </row>
    <row r="1023" spans="1:10">
      <c r="A1023" s="441">
        <v>3677</v>
      </c>
      <c r="B1023" s="441" t="s">
        <v>2045</v>
      </c>
      <c r="C1023" s="545">
        <v>12.5</v>
      </c>
      <c r="D1023" s="545">
        <v>5.6666666666666661</v>
      </c>
      <c r="E1023" s="545">
        <v>11</v>
      </c>
      <c r="F1023" s="545">
        <v>11.30952380952381</v>
      </c>
      <c r="G1023" s="545">
        <v>11.35</v>
      </c>
      <c r="H1023" s="545">
        <v>3.3333333333333335</v>
      </c>
      <c r="I1023" s="545">
        <v>2.6666666666666665</v>
      </c>
      <c r="J1023" s="545">
        <v>8.9642857142857135</v>
      </c>
    </row>
    <row r="1024" spans="1:10">
      <c r="A1024" s="441">
        <v>3629</v>
      </c>
      <c r="B1024" s="441" t="s">
        <v>2046</v>
      </c>
      <c r="C1024" s="545">
        <v>30</v>
      </c>
      <c r="D1024" s="545">
        <v>5</v>
      </c>
      <c r="E1024" s="545">
        <v>6</v>
      </c>
      <c r="F1024" s="545">
        <v>23</v>
      </c>
      <c r="G1024" s="545">
        <v>12</v>
      </c>
      <c r="H1024" s="545">
        <v>3</v>
      </c>
      <c r="I1024" s="545">
        <v>2</v>
      </c>
      <c r="J1024" s="545">
        <v>9.2857142857142865</v>
      </c>
    </row>
    <row r="1025" spans="1:10">
      <c r="A1025" s="441">
        <v>3684</v>
      </c>
      <c r="B1025" s="441" t="s">
        <v>2046</v>
      </c>
      <c r="C1025" s="545">
        <v>27.166666666666664</v>
      </c>
      <c r="D1025" s="545">
        <v>8.3333333333333339</v>
      </c>
      <c r="E1025" s="545">
        <v>8.3333333333333339</v>
      </c>
      <c r="F1025" s="545">
        <v>21.785714285714285</v>
      </c>
      <c r="G1025" s="545">
        <v>14.05</v>
      </c>
      <c r="H1025" s="545">
        <v>1</v>
      </c>
      <c r="I1025" s="545">
        <v>1.3333333333333333</v>
      </c>
      <c r="J1025" s="545">
        <v>10.369047619047619</v>
      </c>
    </row>
    <row r="1026" spans="1:10">
      <c r="A1026" s="441">
        <v>7862</v>
      </c>
      <c r="B1026" s="441" t="s">
        <v>2047</v>
      </c>
      <c r="C1026" s="545">
        <v>52</v>
      </c>
      <c r="D1026" s="545">
        <v>23</v>
      </c>
      <c r="E1026" s="545">
        <v>19.666666666666668</v>
      </c>
      <c r="F1026" s="545">
        <v>43.238095238095241</v>
      </c>
      <c r="G1026" s="545">
        <v>33.450000000000003</v>
      </c>
      <c r="H1026" s="545">
        <v>21.333333333333332</v>
      </c>
      <c r="I1026" s="545">
        <v>10.333333333333334</v>
      </c>
      <c r="J1026" s="545">
        <v>28.416666666666668</v>
      </c>
    </row>
    <row r="1027" spans="1:10">
      <c r="A1027" s="441">
        <v>7830</v>
      </c>
      <c r="B1027" s="441" t="s">
        <v>2048</v>
      </c>
      <c r="C1027" s="545">
        <v>56</v>
      </c>
      <c r="D1027" s="545">
        <v>39.666666666666671</v>
      </c>
      <c r="E1027" s="545">
        <v>35</v>
      </c>
      <c r="F1027" s="545">
        <v>50.666666666666671</v>
      </c>
      <c r="G1027" s="545">
        <v>44.4</v>
      </c>
      <c r="H1027" s="545">
        <v>30.333333333333332</v>
      </c>
      <c r="I1027" s="545">
        <v>25.333333333333332</v>
      </c>
      <c r="J1027" s="545">
        <v>39.666666666666671</v>
      </c>
    </row>
    <row r="1028" spans="1:10">
      <c r="A1028" s="441">
        <v>7001</v>
      </c>
      <c r="B1028" s="441" t="s">
        <v>2049</v>
      </c>
      <c r="C1028" s="545">
        <v>163.33333333333331</v>
      </c>
      <c r="D1028" s="545">
        <v>93.333333333333329</v>
      </c>
      <c r="E1028" s="545">
        <v>78</v>
      </c>
      <c r="F1028" s="545">
        <v>141.14285714285714</v>
      </c>
      <c r="G1028" s="545">
        <v>158.55000000000001</v>
      </c>
      <c r="H1028" s="545">
        <v>79.666666666666671</v>
      </c>
      <c r="I1028" s="545">
        <v>57</v>
      </c>
      <c r="J1028" s="545">
        <v>132.77380952380952</v>
      </c>
    </row>
    <row r="1029" spans="1:10">
      <c r="A1029" s="441">
        <v>10054</v>
      </c>
      <c r="B1029" s="441" t="s">
        <v>2049</v>
      </c>
      <c r="C1029" s="545">
        <v>111</v>
      </c>
      <c r="D1029" s="545">
        <v>59.333333333333329</v>
      </c>
      <c r="E1029" s="545">
        <v>51</v>
      </c>
      <c r="F1029" s="545">
        <v>95.047619047619051</v>
      </c>
      <c r="G1029" s="545">
        <v>71.75</v>
      </c>
      <c r="H1029" s="545">
        <v>44.666666666666664</v>
      </c>
      <c r="I1029" s="545">
        <v>24</v>
      </c>
      <c r="J1029" s="545">
        <v>61.05952380952381</v>
      </c>
    </row>
    <row r="1030" spans="1:10">
      <c r="A1030" s="441">
        <v>3641</v>
      </c>
      <c r="B1030" s="441" t="s">
        <v>2050</v>
      </c>
      <c r="C1030" s="545">
        <v>18.666666666666668</v>
      </c>
      <c r="D1030" s="545">
        <v>7</v>
      </c>
      <c r="E1030" s="545">
        <v>3</v>
      </c>
      <c r="F1030" s="545">
        <v>14.761904761904763</v>
      </c>
      <c r="G1030" s="545">
        <v>12.25</v>
      </c>
      <c r="H1030" s="545">
        <v>7.333333333333333</v>
      </c>
      <c r="I1030" s="545">
        <v>4.333333333333333</v>
      </c>
      <c r="J1030" s="545">
        <v>10.416666666666666</v>
      </c>
    </row>
    <row r="1031" spans="1:10">
      <c r="A1031" s="441">
        <v>3672</v>
      </c>
      <c r="B1031" s="441" t="s">
        <v>2050</v>
      </c>
      <c r="C1031" s="545">
        <v>11.5</v>
      </c>
      <c r="D1031" s="545">
        <v>6</v>
      </c>
      <c r="E1031" s="545">
        <v>6</v>
      </c>
      <c r="F1031" s="545">
        <v>9.9285714285714288</v>
      </c>
      <c r="G1031" s="545">
        <v>8.4499999999999993</v>
      </c>
      <c r="H1031" s="545">
        <v>6</v>
      </c>
      <c r="I1031" s="545">
        <v>3</v>
      </c>
      <c r="J1031" s="545">
        <v>7.3214285714285712</v>
      </c>
    </row>
    <row r="1032" spans="1:10">
      <c r="A1032" s="441">
        <v>6997</v>
      </c>
      <c r="B1032" s="441" t="s">
        <v>2051</v>
      </c>
      <c r="C1032" s="545">
        <v>78.5</v>
      </c>
      <c r="D1032" s="545">
        <v>26</v>
      </c>
      <c r="E1032" s="545">
        <v>28.333333333333336</v>
      </c>
      <c r="F1032" s="545">
        <v>63.833333333333329</v>
      </c>
      <c r="G1032" s="545">
        <v>68.400000000000006</v>
      </c>
      <c r="H1032" s="545">
        <v>23.333333333333332</v>
      </c>
      <c r="I1032" s="545">
        <v>17.333333333333332</v>
      </c>
      <c r="J1032" s="545">
        <v>54.666666666666664</v>
      </c>
    </row>
    <row r="1033" spans="1:10">
      <c r="A1033" s="441">
        <v>7037</v>
      </c>
      <c r="B1033" s="441" t="s">
        <v>2051</v>
      </c>
      <c r="C1033" s="545">
        <v>72.333333333333343</v>
      </c>
      <c r="D1033" s="545">
        <v>17.666666666666668</v>
      </c>
      <c r="E1033" s="545">
        <v>16.666666666666664</v>
      </c>
      <c r="F1033" s="545">
        <v>56.571428571428591</v>
      </c>
      <c r="G1033" s="545">
        <v>93.75</v>
      </c>
      <c r="H1033" s="545">
        <v>22</v>
      </c>
      <c r="I1033" s="545">
        <v>14</v>
      </c>
      <c r="J1033" s="545">
        <v>72.107142857142861</v>
      </c>
    </row>
    <row r="1034" spans="1:10">
      <c r="A1034" s="441">
        <v>7038</v>
      </c>
      <c r="B1034" s="441" t="s">
        <v>2051</v>
      </c>
      <c r="C1034" s="545">
        <v>99.333333333333343</v>
      </c>
      <c r="D1034" s="545">
        <v>24.666666666666664</v>
      </c>
      <c r="E1034" s="545">
        <v>10.666666666666666</v>
      </c>
      <c r="F1034" s="545">
        <v>76</v>
      </c>
      <c r="G1034" s="545">
        <v>81.599999999999994</v>
      </c>
      <c r="H1034" s="545">
        <v>28.333333333333332</v>
      </c>
      <c r="I1034" s="545">
        <v>14.333333333333334</v>
      </c>
      <c r="J1034" s="545">
        <v>64.38095238095238</v>
      </c>
    </row>
    <row r="1035" spans="1:10">
      <c r="A1035" s="441">
        <v>11423</v>
      </c>
      <c r="B1035" s="441" t="s">
        <v>2052</v>
      </c>
      <c r="C1035" s="545">
        <v>10.5</v>
      </c>
      <c r="D1035" s="545">
        <v>13.666666666666666</v>
      </c>
      <c r="E1035" s="545">
        <v>6.3333333333333339</v>
      </c>
      <c r="F1035" s="545">
        <v>10.357142857142858</v>
      </c>
      <c r="G1035" s="545">
        <v>8</v>
      </c>
      <c r="H1035" s="545">
        <v>5.333333333333333</v>
      </c>
      <c r="I1035" s="545">
        <v>1</v>
      </c>
      <c r="J1035" s="545">
        <v>6.6190476190476195</v>
      </c>
    </row>
    <row r="1036" spans="1:10">
      <c r="A1036" s="441">
        <v>7821</v>
      </c>
      <c r="B1036" s="441" t="s">
        <v>2053</v>
      </c>
      <c r="C1036" s="545">
        <v>40.833333333333329</v>
      </c>
      <c r="D1036" s="545">
        <v>17</v>
      </c>
      <c r="E1036" s="545">
        <v>7.666666666666667</v>
      </c>
      <c r="F1036" s="545">
        <v>32.690476190476183</v>
      </c>
      <c r="G1036" s="545">
        <v>27.85</v>
      </c>
      <c r="H1036" s="545">
        <v>17</v>
      </c>
      <c r="I1036" s="545">
        <v>6</v>
      </c>
      <c r="J1036" s="545">
        <v>23.178571428571427</v>
      </c>
    </row>
    <row r="1037" spans="1:10">
      <c r="A1037" s="441">
        <v>7841</v>
      </c>
      <c r="B1037" s="441" t="s">
        <v>2053</v>
      </c>
      <c r="C1037" s="545">
        <v>28.666666666666668</v>
      </c>
      <c r="D1037" s="545">
        <v>17.666666666666668</v>
      </c>
      <c r="E1037" s="545">
        <v>8.6666666666666661</v>
      </c>
      <c r="F1037" s="545">
        <v>24.238095238095237</v>
      </c>
      <c r="G1037" s="545">
        <v>17.3</v>
      </c>
      <c r="H1037" s="545">
        <v>10</v>
      </c>
      <c r="I1037" s="545">
        <v>4</v>
      </c>
      <c r="J1037" s="545">
        <v>14.357142857142858</v>
      </c>
    </row>
    <row r="1038" spans="1:10">
      <c r="A1038" s="441">
        <v>6993</v>
      </c>
      <c r="B1038" s="441" t="s">
        <v>2054</v>
      </c>
      <c r="C1038" s="545">
        <v>10</v>
      </c>
      <c r="D1038" s="545">
        <v>1</v>
      </c>
      <c r="E1038" s="545">
        <v>1.6666666666666665</v>
      </c>
      <c r="F1038" s="545">
        <v>7.5238095238095237</v>
      </c>
      <c r="G1038" s="545">
        <v>7.6</v>
      </c>
      <c r="H1038" s="545">
        <v>2.6666666666666665</v>
      </c>
      <c r="I1038" s="545">
        <v>1.3333333333333333</v>
      </c>
      <c r="J1038" s="545">
        <v>6</v>
      </c>
    </row>
    <row r="1039" spans="1:10">
      <c r="A1039" s="441">
        <v>10135</v>
      </c>
      <c r="B1039" s="441" t="s">
        <v>2054</v>
      </c>
      <c r="C1039" s="545">
        <v>6.5</v>
      </c>
      <c r="D1039" s="545">
        <v>1.3333333333333333</v>
      </c>
      <c r="E1039" s="545">
        <v>3</v>
      </c>
      <c r="F1039" s="545">
        <v>5.2619047619047619</v>
      </c>
      <c r="G1039" s="545">
        <v>7.75</v>
      </c>
      <c r="H1039" s="545">
        <v>6.666666666666667</v>
      </c>
      <c r="I1039" s="545">
        <v>3</v>
      </c>
      <c r="J1039" s="545">
        <v>6.9166666666666661</v>
      </c>
    </row>
    <row r="1040" spans="1:10">
      <c r="A1040" s="441">
        <v>6990</v>
      </c>
      <c r="B1040" s="441" t="s">
        <v>2055</v>
      </c>
      <c r="C1040" s="545">
        <v>133.16666666666666</v>
      </c>
      <c r="D1040" s="545">
        <v>58</v>
      </c>
      <c r="E1040" s="545">
        <v>38.333333333333336</v>
      </c>
      <c r="F1040" s="545">
        <v>108.88095238095238</v>
      </c>
      <c r="G1040" s="545">
        <v>112.65</v>
      </c>
      <c r="H1040" s="545">
        <v>49.666666666666664</v>
      </c>
      <c r="I1040" s="545">
        <v>34</v>
      </c>
      <c r="J1040" s="545">
        <v>92.416666666666657</v>
      </c>
    </row>
    <row r="1041" spans="1:10">
      <c r="A1041" s="441">
        <v>7044</v>
      </c>
      <c r="B1041" s="441" t="s">
        <v>2055</v>
      </c>
      <c r="C1041" s="545">
        <v>104.33333333333333</v>
      </c>
      <c r="D1041" s="545">
        <v>47.333333333333329</v>
      </c>
      <c r="E1041" s="545">
        <v>36.333333333333329</v>
      </c>
      <c r="F1041" s="545">
        <v>86.476190476190482</v>
      </c>
      <c r="G1041" s="545">
        <v>114.6</v>
      </c>
      <c r="H1041" s="545">
        <v>42</v>
      </c>
      <c r="I1041" s="545">
        <v>28.666666666666668</v>
      </c>
      <c r="J1041" s="545">
        <v>91.952380952380949</v>
      </c>
    </row>
    <row r="1042" spans="1:10">
      <c r="A1042" s="441">
        <v>7045</v>
      </c>
      <c r="B1042" s="441" t="s">
        <v>2055</v>
      </c>
      <c r="C1042" s="545">
        <v>73</v>
      </c>
      <c r="D1042" s="545">
        <v>30</v>
      </c>
      <c r="E1042" s="545">
        <v>35</v>
      </c>
      <c r="F1042" s="545">
        <v>61.428571428571431</v>
      </c>
      <c r="G1042" s="545">
        <v>60.3</v>
      </c>
      <c r="H1042" s="545">
        <v>33</v>
      </c>
      <c r="I1042" s="545">
        <v>30.333333333333332</v>
      </c>
      <c r="J1042" s="545">
        <v>52.119047619047613</v>
      </c>
    </row>
    <row r="1043" spans="1:10">
      <c r="A1043" s="441">
        <v>6994</v>
      </c>
      <c r="B1043" s="441" t="s">
        <v>2056</v>
      </c>
      <c r="C1043" s="545">
        <v>14.333333333333334</v>
      </c>
      <c r="D1043" s="545">
        <v>6.333333333333333</v>
      </c>
      <c r="E1043" s="545">
        <v>7.6666666666666661</v>
      </c>
      <c r="F1043" s="545">
        <v>12.238095238095239</v>
      </c>
      <c r="G1043" s="545">
        <v>11.4</v>
      </c>
      <c r="H1043" s="545">
        <v>9.3333333333333339</v>
      </c>
      <c r="I1043" s="545">
        <v>5.333333333333333</v>
      </c>
      <c r="J1043" s="545">
        <v>10.238095238095237</v>
      </c>
    </row>
    <row r="1044" spans="1:10">
      <c r="A1044" s="441">
        <v>6995</v>
      </c>
      <c r="B1044" s="441" t="s">
        <v>2056</v>
      </c>
      <c r="C1044" s="545">
        <v>119.33333333333334</v>
      </c>
      <c r="D1044" s="545">
        <v>7</v>
      </c>
      <c r="E1044" s="545">
        <v>1.3333333333333333</v>
      </c>
      <c r="F1044" s="545">
        <v>86.428571428571445</v>
      </c>
      <c r="G1044" s="545">
        <v>13.1</v>
      </c>
      <c r="H1044" s="545">
        <v>6.333333333333333</v>
      </c>
      <c r="I1044" s="545">
        <v>3.6666666666666665</v>
      </c>
      <c r="J1044" s="545">
        <v>10.785714285714286</v>
      </c>
    </row>
    <row r="1045" spans="1:10">
      <c r="A1045" s="441">
        <v>7040</v>
      </c>
      <c r="B1045" s="441" t="s">
        <v>2056</v>
      </c>
      <c r="C1045" s="545">
        <v>29</v>
      </c>
      <c r="D1045" s="545">
        <v>6.6666666666666661</v>
      </c>
      <c r="E1045" s="545">
        <v>11.666666666666666</v>
      </c>
      <c r="F1045" s="545">
        <v>23.333333333333332</v>
      </c>
      <c r="G1045" s="545">
        <v>16.25</v>
      </c>
      <c r="H1045" s="545">
        <v>7.333333333333333</v>
      </c>
      <c r="I1045" s="545">
        <v>6.333333333333333</v>
      </c>
      <c r="J1045" s="545">
        <v>13.559523809523808</v>
      </c>
    </row>
    <row r="1046" spans="1:10">
      <c r="A1046" s="441">
        <v>6989</v>
      </c>
      <c r="B1046" s="441" t="s">
        <v>2057</v>
      </c>
      <c r="C1046" s="545">
        <v>74.666666666666657</v>
      </c>
      <c r="D1046" s="545">
        <v>33.333333333333336</v>
      </c>
      <c r="E1046" s="545">
        <v>26.666666666666668</v>
      </c>
      <c r="F1046" s="545">
        <v>61.904761904761891</v>
      </c>
      <c r="G1046" s="545">
        <v>63.65</v>
      </c>
      <c r="H1046" s="545">
        <v>29.333333333333332</v>
      </c>
      <c r="I1046" s="545">
        <v>21</v>
      </c>
      <c r="J1046" s="545">
        <v>52.654761904761905</v>
      </c>
    </row>
    <row r="1047" spans="1:10">
      <c r="A1047" s="441">
        <v>7046</v>
      </c>
      <c r="B1047" s="441" t="s">
        <v>2057</v>
      </c>
      <c r="C1047" s="545">
        <v>83.333333333333343</v>
      </c>
      <c r="D1047" s="545">
        <v>52</v>
      </c>
      <c r="E1047" s="545">
        <v>30</v>
      </c>
      <c r="F1047" s="545">
        <v>71.238095238095255</v>
      </c>
      <c r="G1047" s="545">
        <v>59.2</v>
      </c>
      <c r="H1047" s="545">
        <v>32.666666666666664</v>
      </c>
      <c r="I1047" s="545">
        <v>27.333333333333332</v>
      </c>
      <c r="J1047" s="545">
        <v>50.857142857142854</v>
      </c>
    </row>
    <row r="1048" spans="1:10">
      <c r="A1048" s="441">
        <v>7003</v>
      </c>
      <c r="B1048" s="441" t="s">
        <v>2058</v>
      </c>
      <c r="C1048" s="545">
        <v>5.833333333333333</v>
      </c>
      <c r="D1048" s="545">
        <v>8.3333333333333339</v>
      </c>
      <c r="E1048" s="545">
        <v>6</v>
      </c>
      <c r="F1048" s="545">
        <v>6.2142857142857144</v>
      </c>
      <c r="G1048" s="545">
        <v>7.45</v>
      </c>
      <c r="H1048" s="545">
        <v>4.333333333333333</v>
      </c>
      <c r="I1048" s="545">
        <v>7</v>
      </c>
      <c r="J1048" s="545">
        <v>6.9404761904761907</v>
      </c>
    </row>
    <row r="1049" spans="1:10">
      <c r="A1049" s="441">
        <v>7031</v>
      </c>
      <c r="B1049" s="441" t="s">
        <v>2058</v>
      </c>
      <c r="C1049" s="545">
        <v>5.5</v>
      </c>
      <c r="D1049" s="545">
        <v>8.6666666666666679</v>
      </c>
      <c r="E1049" s="545">
        <v>5.666666666666667</v>
      </c>
      <c r="F1049" s="545">
        <v>5.9761904761904763</v>
      </c>
      <c r="G1049" s="545">
        <v>5.55</v>
      </c>
      <c r="H1049" s="545">
        <v>5.666666666666667</v>
      </c>
      <c r="I1049" s="545">
        <v>4.333333333333333</v>
      </c>
      <c r="J1049" s="545">
        <v>5.3928571428571432</v>
      </c>
    </row>
    <row r="1050" spans="1:10">
      <c r="A1050" s="441">
        <v>7842</v>
      </c>
      <c r="B1050" s="441" t="s">
        <v>2059</v>
      </c>
      <c r="C1050" s="545">
        <v>58.166666666666671</v>
      </c>
      <c r="D1050" s="545">
        <v>36.333333333333336</v>
      </c>
      <c r="E1050" s="545">
        <v>28</v>
      </c>
      <c r="F1050" s="545">
        <v>50.738095238095241</v>
      </c>
      <c r="G1050" s="545">
        <v>26.7</v>
      </c>
      <c r="H1050" s="545">
        <v>17.666666666666668</v>
      </c>
      <c r="I1050" s="545">
        <v>17.666666666666668</v>
      </c>
      <c r="J1050" s="545">
        <v>24.119047619047617</v>
      </c>
    </row>
    <row r="1051" spans="1:10">
      <c r="A1051" s="441">
        <v>3640</v>
      </c>
      <c r="B1051" s="441" t="s">
        <v>2060</v>
      </c>
      <c r="C1051" s="545">
        <v>77.166666666666657</v>
      </c>
      <c r="D1051" s="545">
        <v>51.666666666666671</v>
      </c>
      <c r="E1051" s="545">
        <v>45.333333333333329</v>
      </c>
      <c r="F1051" s="545">
        <v>68.976190476190467</v>
      </c>
      <c r="G1051" s="545">
        <v>62.8</v>
      </c>
      <c r="H1051" s="545">
        <v>34.333333333333336</v>
      </c>
      <c r="I1051" s="545">
        <v>29</v>
      </c>
      <c r="J1051" s="545">
        <v>53.904761904761905</v>
      </c>
    </row>
    <row r="1052" spans="1:10">
      <c r="A1052" s="441">
        <v>3673</v>
      </c>
      <c r="B1052" s="441" t="s">
        <v>2060</v>
      </c>
      <c r="C1052" s="545">
        <v>83.166666666666657</v>
      </c>
      <c r="D1052" s="545">
        <v>62</v>
      </c>
      <c r="E1052" s="545">
        <v>41.333333333333329</v>
      </c>
      <c r="F1052" s="545">
        <v>74.166666666666657</v>
      </c>
      <c r="G1052" s="545">
        <v>68.650000000000006</v>
      </c>
      <c r="H1052" s="545">
        <v>35.333333333333336</v>
      </c>
      <c r="I1052" s="545">
        <v>32</v>
      </c>
      <c r="J1052" s="545">
        <v>58.654761904761905</v>
      </c>
    </row>
    <row r="1053" spans="1:10">
      <c r="A1053" s="441">
        <v>7036</v>
      </c>
      <c r="B1053" s="441" t="s">
        <v>2061</v>
      </c>
      <c r="C1053" s="545">
        <v>50</v>
      </c>
      <c r="D1053" s="545">
        <v>25.666666666666664</v>
      </c>
      <c r="E1053" s="545">
        <v>21.333333333333336</v>
      </c>
      <c r="F1053" s="545">
        <v>42.428571428571431</v>
      </c>
      <c r="G1053" s="545">
        <v>49.4</v>
      </c>
      <c r="H1053" s="545">
        <v>22.333333333333332</v>
      </c>
      <c r="I1053" s="545">
        <v>8.3333333333333339</v>
      </c>
      <c r="J1053" s="545">
        <v>39.666666666666664</v>
      </c>
    </row>
    <row r="1054" spans="1:10">
      <c r="A1054" s="441">
        <v>8632</v>
      </c>
      <c r="B1054" s="441" t="s">
        <v>2062</v>
      </c>
      <c r="C1054" s="545">
        <v>99</v>
      </c>
      <c r="D1054" s="545">
        <v>62</v>
      </c>
      <c r="E1054" s="545">
        <v>33.666666666666671</v>
      </c>
      <c r="F1054" s="545">
        <v>84.38095238095238</v>
      </c>
      <c r="G1054" s="545">
        <v>51.65</v>
      </c>
      <c r="H1054" s="545">
        <v>43.333333333333336</v>
      </c>
      <c r="I1054" s="545">
        <v>36.666666666666664</v>
      </c>
      <c r="J1054" s="545">
        <v>48.321428571428569</v>
      </c>
    </row>
    <row r="1055" spans="1:10">
      <c r="A1055" s="441">
        <v>7012</v>
      </c>
      <c r="B1055" s="441" t="s">
        <v>2063</v>
      </c>
      <c r="C1055" s="545">
        <v>38.166666666666671</v>
      </c>
      <c r="D1055" s="545">
        <v>40.333333333333336</v>
      </c>
      <c r="E1055" s="545">
        <v>43.333333333333336</v>
      </c>
      <c r="F1055" s="545">
        <v>39.214285714285722</v>
      </c>
      <c r="G1055" s="545">
        <v>44.35</v>
      </c>
      <c r="H1055" s="545">
        <v>22.333333333333332</v>
      </c>
      <c r="I1055" s="545">
        <v>31</v>
      </c>
      <c r="J1055" s="545">
        <v>39.297619047619051</v>
      </c>
    </row>
    <row r="1056" spans="1:10">
      <c r="A1056" s="441">
        <v>7022</v>
      </c>
      <c r="B1056" s="441" t="s">
        <v>2063</v>
      </c>
      <c r="C1056" s="545">
        <v>48.5</v>
      </c>
      <c r="D1056" s="545">
        <v>22.333333333333336</v>
      </c>
      <c r="E1056" s="545">
        <v>29.333333333333336</v>
      </c>
      <c r="F1056" s="545">
        <v>42.023809523809518</v>
      </c>
      <c r="G1056" s="545">
        <v>31.55</v>
      </c>
      <c r="H1056" s="545">
        <v>15.333333333333334</v>
      </c>
      <c r="I1056" s="545">
        <v>21.333333333333332</v>
      </c>
      <c r="J1056" s="545">
        <v>27.773809523809526</v>
      </c>
    </row>
    <row r="1057" spans="1:10">
      <c r="A1057" s="441">
        <v>7013</v>
      </c>
      <c r="B1057" s="441" t="s">
        <v>2064</v>
      </c>
      <c r="C1057" s="545">
        <v>44.833333333333329</v>
      </c>
      <c r="D1057" s="545">
        <v>28</v>
      </c>
      <c r="E1057" s="545">
        <v>11.333333333333332</v>
      </c>
      <c r="F1057" s="545">
        <v>37.642857142857132</v>
      </c>
      <c r="G1057" s="545">
        <v>35.65</v>
      </c>
      <c r="H1057" s="545">
        <v>18.333333333333332</v>
      </c>
      <c r="I1057" s="545">
        <v>14.666666666666666</v>
      </c>
      <c r="J1057" s="545">
        <v>30.178571428571427</v>
      </c>
    </row>
    <row r="1058" spans="1:10">
      <c r="A1058" s="441">
        <v>7021</v>
      </c>
      <c r="B1058" s="441" t="s">
        <v>2064</v>
      </c>
      <c r="C1058" s="545">
        <v>59.166666666666671</v>
      </c>
      <c r="D1058" s="545">
        <v>29.333333333333332</v>
      </c>
      <c r="E1058" s="545">
        <v>15.666666666666668</v>
      </c>
      <c r="F1058" s="545">
        <v>48.690476190476197</v>
      </c>
      <c r="G1058" s="545">
        <v>44.6</v>
      </c>
      <c r="H1058" s="545">
        <v>28</v>
      </c>
      <c r="I1058" s="545">
        <v>15</v>
      </c>
      <c r="J1058" s="545">
        <v>38</v>
      </c>
    </row>
    <row r="1059" spans="1:10">
      <c r="A1059" s="441">
        <v>3636</v>
      </c>
      <c r="B1059" s="441" t="s">
        <v>2065</v>
      </c>
      <c r="C1059" s="545">
        <v>38</v>
      </c>
      <c r="D1059" s="545">
        <v>32.666666666666671</v>
      </c>
      <c r="E1059" s="545">
        <v>25</v>
      </c>
      <c r="F1059" s="545">
        <v>35.380952380952387</v>
      </c>
      <c r="G1059" s="545">
        <v>28.4</v>
      </c>
      <c r="H1059" s="545">
        <v>14.333333333333334</v>
      </c>
      <c r="I1059" s="545">
        <v>11.333333333333334</v>
      </c>
      <c r="J1059" s="545">
        <v>23.952380952380956</v>
      </c>
    </row>
    <row r="1060" spans="1:10">
      <c r="A1060" s="441">
        <v>3678</v>
      </c>
      <c r="B1060" s="441" t="s">
        <v>2065</v>
      </c>
      <c r="C1060" s="545">
        <v>43.5</v>
      </c>
      <c r="D1060" s="545">
        <v>36.333333333333336</v>
      </c>
      <c r="E1060" s="545">
        <v>31</v>
      </c>
      <c r="F1060" s="545">
        <v>40.690476190476197</v>
      </c>
      <c r="G1060" s="545">
        <v>36.6</v>
      </c>
      <c r="H1060" s="545">
        <v>16</v>
      </c>
      <c r="I1060" s="545">
        <v>19.333333333333332</v>
      </c>
      <c r="J1060" s="545">
        <v>31.190476190476193</v>
      </c>
    </row>
    <row r="1061" spans="1:10">
      <c r="A1061" s="441">
        <v>3633</v>
      </c>
      <c r="B1061" s="441" t="s">
        <v>2066</v>
      </c>
      <c r="C1061" s="545">
        <v>5.5</v>
      </c>
      <c r="D1061" s="545">
        <v>3</v>
      </c>
      <c r="E1061" s="545">
        <v>0</v>
      </c>
      <c r="F1061" s="545">
        <v>4.3571428571428568</v>
      </c>
      <c r="G1061" s="545">
        <v>2.9</v>
      </c>
      <c r="H1061" s="545">
        <v>1.3333333333333333</v>
      </c>
      <c r="I1061" s="545">
        <v>0.66666666666666663</v>
      </c>
      <c r="J1061" s="545">
        <v>2.3571428571428572</v>
      </c>
    </row>
    <row r="1062" spans="1:10">
      <c r="A1062" s="441">
        <v>3680</v>
      </c>
      <c r="B1062" s="441" t="s">
        <v>2066</v>
      </c>
      <c r="C1062" s="545">
        <v>4.5</v>
      </c>
      <c r="D1062" s="545">
        <v>0.66666666666666663</v>
      </c>
      <c r="E1062" s="545">
        <v>0</v>
      </c>
      <c r="F1062" s="545">
        <v>3.3095238095238098</v>
      </c>
      <c r="G1062" s="545">
        <v>3.7</v>
      </c>
      <c r="H1062" s="545">
        <v>1.6666666666666667</v>
      </c>
      <c r="I1062" s="545">
        <v>1</v>
      </c>
      <c r="J1062" s="545">
        <v>3.0238095238095242</v>
      </c>
    </row>
    <row r="1063" spans="1:10">
      <c r="A1063" s="441">
        <v>7827</v>
      </c>
      <c r="B1063" s="441" t="s">
        <v>2067</v>
      </c>
      <c r="C1063" s="545">
        <v>52.333333333333336</v>
      </c>
      <c r="D1063" s="545">
        <v>37.666666666666664</v>
      </c>
      <c r="E1063" s="545">
        <v>26.333333333333336</v>
      </c>
      <c r="F1063" s="545">
        <v>46.523809523809526</v>
      </c>
      <c r="G1063" s="545">
        <v>53.95</v>
      </c>
      <c r="H1063" s="545">
        <v>48</v>
      </c>
      <c r="I1063" s="545">
        <v>28.666666666666668</v>
      </c>
      <c r="J1063" s="545">
        <v>49.488095238095241</v>
      </c>
    </row>
    <row r="1064" spans="1:10">
      <c r="A1064" s="441">
        <v>7835</v>
      </c>
      <c r="B1064" s="441" t="s">
        <v>2067</v>
      </c>
      <c r="C1064" s="545">
        <v>68.333333333333329</v>
      </c>
      <c r="D1064" s="545">
        <v>40</v>
      </c>
      <c r="E1064" s="545">
        <v>34.666666666666664</v>
      </c>
      <c r="F1064" s="545">
        <v>59.476190476190474</v>
      </c>
      <c r="G1064" s="545">
        <v>61.25</v>
      </c>
      <c r="H1064" s="545">
        <v>42.666666666666664</v>
      </c>
      <c r="I1064" s="545">
        <v>33.666666666666664</v>
      </c>
      <c r="J1064" s="545">
        <v>54.654761904761912</v>
      </c>
    </row>
    <row r="1065" spans="1:10">
      <c r="A1065" s="441">
        <v>8639</v>
      </c>
      <c r="B1065" s="441" t="s">
        <v>2068</v>
      </c>
      <c r="C1065" s="545">
        <v>145.5</v>
      </c>
      <c r="D1065" s="545">
        <v>48.666666666666664</v>
      </c>
      <c r="E1065" s="545">
        <v>36.333333333333336</v>
      </c>
      <c r="F1065" s="545">
        <v>116.07142857142857</v>
      </c>
      <c r="G1065" s="545">
        <v>67.599999999999994</v>
      </c>
      <c r="H1065" s="545">
        <v>41</v>
      </c>
      <c r="I1065" s="545">
        <v>45</v>
      </c>
      <c r="J1065" s="545">
        <v>60.571428571428569</v>
      </c>
    </row>
    <row r="1066" spans="1:10">
      <c r="A1066" s="441">
        <v>8633</v>
      </c>
      <c r="B1066" s="441" t="s">
        <v>2069</v>
      </c>
      <c r="C1066" s="545">
        <v>86.5</v>
      </c>
      <c r="D1066" s="545">
        <v>17.333333333333332</v>
      </c>
      <c r="E1066" s="545">
        <v>10.333333333333334</v>
      </c>
      <c r="F1066" s="545">
        <v>65.738095238095227</v>
      </c>
      <c r="G1066" s="545">
        <v>30.95</v>
      </c>
      <c r="H1066" s="545">
        <v>19</v>
      </c>
      <c r="I1066" s="545">
        <v>23.666666666666668</v>
      </c>
      <c r="J1066" s="545">
        <v>28.202380952380953</v>
      </c>
    </row>
    <row r="1067" spans="1:10">
      <c r="A1067" s="441">
        <v>7824</v>
      </c>
      <c r="B1067" s="441" t="s">
        <v>2070</v>
      </c>
      <c r="C1067" s="545">
        <v>104.33333333333333</v>
      </c>
      <c r="D1067" s="545">
        <v>76.333333333333329</v>
      </c>
      <c r="E1067" s="545">
        <v>67.666666666666671</v>
      </c>
      <c r="F1067" s="545">
        <v>95.095238095238088</v>
      </c>
      <c r="G1067" s="545">
        <v>75.3</v>
      </c>
      <c r="H1067" s="545">
        <v>58.666666666666664</v>
      </c>
      <c r="I1067" s="545">
        <v>39</v>
      </c>
      <c r="J1067" s="545">
        <v>67.738095238095241</v>
      </c>
    </row>
    <row r="1068" spans="1:10">
      <c r="A1068" s="441">
        <v>7838</v>
      </c>
      <c r="B1068" s="441" t="s">
        <v>2070</v>
      </c>
      <c r="C1068" s="545">
        <v>132.33333333333334</v>
      </c>
      <c r="D1068" s="545">
        <v>96.666666666666657</v>
      </c>
      <c r="E1068" s="545">
        <v>86.333333333333329</v>
      </c>
      <c r="F1068" s="545">
        <v>120.66666666666667</v>
      </c>
      <c r="G1068" s="545">
        <v>111.15</v>
      </c>
      <c r="H1068" s="545">
        <v>83</v>
      </c>
      <c r="I1068" s="545">
        <v>61.666666666666664</v>
      </c>
      <c r="J1068" s="545">
        <v>100.05952380952381</v>
      </c>
    </row>
    <row r="1069" spans="1:10">
      <c r="A1069" s="441">
        <v>7839</v>
      </c>
      <c r="B1069" s="441" t="s">
        <v>2070</v>
      </c>
      <c r="C1069" s="545">
        <v>19.5</v>
      </c>
      <c r="D1069" s="545">
        <v>12</v>
      </c>
      <c r="E1069" s="545">
        <v>8</v>
      </c>
      <c r="F1069" s="545">
        <v>16.785714285714285</v>
      </c>
      <c r="G1069" s="545">
        <v>18.55</v>
      </c>
      <c r="H1069" s="545">
        <v>13.666666666666666</v>
      </c>
      <c r="I1069" s="545">
        <v>12.333333333333334</v>
      </c>
      <c r="J1069" s="545">
        <v>16.964285714285715</v>
      </c>
    </row>
    <row r="1070" spans="1:10">
      <c r="A1070" s="441">
        <v>7836</v>
      </c>
      <c r="B1070" s="441" t="s">
        <v>2071</v>
      </c>
      <c r="C1070" s="545">
        <v>21</v>
      </c>
      <c r="D1070" s="545">
        <v>14</v>
      </c>
      <c r="E1070" s="545">
        <v>12.333333333333334</v>
      </c>
      <c r="F1070" s="545">
        <v>18.761904761904763</v>
      </c>
      <c r="G1070" s="545">
        <v>13.65</v>
      </c>
      <c r="H1070" s="545">
        <v>9</v>
      </c>
      <c r="I1070" s="545">
        <v>2.6666666666666665</v>
      </c>
      <c r="J1070" s="545">
        <v>11.416666666666668</v>
      </c>
    </row>
    <row r="1071" spans="1:10">
      <c r="A1071" s="441">
        <v>7828</v>
      </c>
      <c r="B1071" s="441" t="s">
        <v>2072</v>
      </c>
      <c r="C1071" s="545">
        <v>109.83333333333333</v>
      </c>
      <c r="D1071" s="545">
        <v>53</v>
      </c>
      <c r="E1071" s="545">
        <v>36.666666666666671</v>
      </c>
      <c r="F1071" s="545">
        <v>91.261904761904745</v>
      </c>
      <c r="G1071" s="545">
        <v>61.1</v>
      </c>
      <c r="H1071" s="545">
        <v>52.666666666666664</v>
      </c>
      <c r="I1071" s="545">
        <v>32</v>
      </c>
      <c r="J1071" s="545">
        <v>55.738095238095241</v>
      </c>
    </row>
    <row r="1072" spans="1:10">
      <c r="A1072" s="441">
        <v>7833</v>
      </c>
      <c r="B1072" s="441" t="s">
        <v>2072</v>
      </c>
      <c r="C1072" s="545">
        <v>85</v>
      </c>
      <c r="D1072" s="545">
        <v>45.666666666666664</v>
      </c>
      <c r="E1072" s="545">
        <v>30</v>
      </c>
      <c r="F1072" s="545">
        <v>71.523809523809533</v>
      </c>
      <c r="G1072" s="545">
        <v>68.7</v>
      </c>
      <c r="H1072" s="545">
        <v>45.666666666666664</v>
      </c>
      <c r="I1072" s="545">
        <v>40.333333333333336</v>
      </c>
      <c r="J1072" s="545">
        <v>61.357142857142854</v>
      </c>
    </row>
    <row r="1073" spans="1:10">
      <c r="A1073" s="441">
        <v>7834</v>
      </c>
      <c r="B1073" s="441" t="s">
        <v>2073</v>
      </c>
      <c r="C1073" s="545">
        <v>103.33333333333333</v>
      </c>
      <c r="D1073" s="545">
        <v>52</v>
      </c>
      <c r="E1073" s="545">
        <v>50</v>
      </c>
      <c r="F1073" s="545">
        <v>88.38095238095238</v>
      </c>
      <c r="G1073" s="545">
        <v>54.55</v>
      </c>
      <c r="H1073" s="545">
        <v>25</v>
      </c>
      <c r="I1073" s="545">
        <v>16</v>
      </c>
      <c r="J1073" s="545">
        <v>44.821428571428569</v>
      </c>
    </row>
    <row r="1074" spans="1:10">
      <c r="A1074" s="441">
        <v>8206</v>
      </c>
      <c r="B1074" s="441" t="s">
        <v>2073</v>
      </c>
      <c r="C1074" s="545">
        <v>96.666666666666671</v>
      </c>
      <c r="D1074" s="545">
        <v>61.333333333333336</v>
      </c>
      <c r="E1074" s="545">
        <v>43.666666666666664</v>
      </c>
      <c r="F1074" s="545">
        <v>84.047619047619051</v>
      </c>
      <c r="G1074" s="545">
        <v>78</v>
      </c>
      <c r="H1074" s="545">
        <v>48.333333333333336</v>
      </c>
      <c r="I1074" s="545">
        <v>27.666666666666668</v>
      </c>
      <c r="J1074" s="545">
        <v>66.571428571428569</v>
      </c>
    </row>
    <row r="1075" spans="1:10">
      <c r="A1075" s="441">
        <v>3643</v>
      </c>
      <c r="B1075" s="441" t="s">
        <v>2074</v>
      </c>
      <c r="C1075" s="545">
        <v>0.66666666666666663</v>
      </c>
      <c r="D1075" s="545">
        <v>0</v>
      </c>
      <c r="E1075" s="545">
        <v>0</v>
      </c>
      <c r="F1075" s="545">
        <v>0.47619047619047616</v>
      </c>
      <c r="G1075" s="545">
        <v>13.65</v>
      </c>
      <c r="H1075" s="545">
        <v>7</v>
      </c>
      <c r="I1075" s="545">
        <v>1.3333333333333333</v>
      </c>
      <c r="J1075" s="545">
        <v>10.94047619047619</v>
      </c>
    </row>
    <row r="1076" spans="1:10">
      <c r="A1076" s="441">
        <v>3670</v>
      </c>
      <c r="B1076" s="441" t="s">
        <v>2074</v>
      </c>
      <c r="C1076" s="545">
        <v>34.666666666666671</v>
      </c>
      <c r="D1076" s="545">
        <v>20</v>
      </c>
      <c r="E1076" s="545">
        <v>22.666666666666668</v>
      </c>
      <c r="F1076" s="545">
        <v>30.857142857142861</v>
      </c>
      <c r="G1076" s="545">
        <v>30.7</v>
      </c>
      <c r="H1076" s="545">
        <v>22.333333333333332</v>
      </c>
      <c r="I1076" s="545">
        <v>12</v>
      </c>
      <c r="J1076" s="545">
        <v>26.833333333333336</v>
      </c>
    </row>
    <row r="1077" spans="1:10">
      <c r="A1077" s="441">
        <v>3654</v>
      </c>
      <c r="B1077" s="441" t="s">
        <v>2075</v>
      </c>
      <c r="C1077" s="545">
        <v>1.8333333333333335</v>
      </c>
      <c r="D1077" s="545">
        <v>2.3333333333333335</v>
      </c>
      <c r="E1077" s="545">
        <v>2</v>
      </c>
      <c r="F1077" s="545">
        <v>1.9285714285714288</v>
      </c>
      <c r="G1077" s="545">
        <v>2.25</v>
      </c>
      <c r="H1077" s="545">
        <v>1.6666666666666667</v>
      </c>
      <c r="I1077" s="545">
        <v>2.3333333333333335</v>
      </c>
      <c r="J1077" s="545">
        <v>2.1785714285714284</v>
      </c>
    </row>
    <row r="1078" spans="1:10">
      <c r="A1078" s="441">
        <v>3660</v>
      </c>
      <c r="B1078" s="441" t="s">
        <v>2075</v>
      </c>
      <c r="C1078" s="545">
        <v>7.8333333333333339</v>
      </c>
      <c r="D1078" s="545">
        <v>1</v>
      </c>
      <c r="E1078" s="545">
        <v>1.3333333333333333</v>
      </c>
      <c r="F1078" s="545">
        <v>5.9285714285714297</v>
      </c>
      <c r="G1078" s="545">
        <v>2.5499999999999998</v>
      </c>
      <c r="H1078" s="545">
        <v>2.6666666666666665</v>
      </c>
      <c r="I1078" s="545">
        <v>2</v>
      </c>
      <c r="J1078" s="545">
        <v>2.4880952380952377</v>
      </c>
    </row>
    <row r="1079" spans="1:10">
      <c r="A1079" s="441">
        <v>7004</v>
      </c>
      <c r="B1079" s="441" t="s">
        <v>2076</v>
      </c>
      <c r="C1079" s="545">
        <v>18.166666666666668</v>
      </c>
      <c r="D1079" s="545">
        <v>13.666666666666668</v>
      </c>
      <c r="E1079" s="545">
        <v>14</v>
      </c>
      <c r="F1079" s="545">
        <v>16.928571428571431</v>
      </c>
      <c r="G1079" s="545">
        <v>12.9</v>
      </c>
      <c r="H1079" s="545">
        <v>9.3333333333333339</v>
      </c>
      <c r="I1079" s="545">
        <v>9</v>
      </c>
      <c r="J1079" s="545">
        <v>11.833333333333332</v>
      </c>
    </row>
    <row r="1080" spans="1:10">
      <c r="A1080" s="441">
        <v>7030</v>
      </c>
      <c r="B1080" s="441" t="s">
        <v>2076</v>
      </c>
      <c r="C1080" s="545">
        <v>24.5</v>
      </c>
      <c r="D1080" s="545">
        <v>20.333333333333332</v>
      </c>
      <c r="E1080" s="545">
        <v>23</v>
      </c>
      <c r="F1080" s="545">
        <v>23.690476190476193</v>
      </c>
      <c r="G1080" s="545">
        <v>22.35</v>
      </c>
      <c r="H1080" s="545">
        <v>17.666666666666668</v>
      </c>
      <c r="I1080" s="545">
        <v>11.333333333333334</v>
      </c>
      <c r="J1080" s="545">
        <v>20.107142857142858</v>
      </c>
    </row>
    <row r="1081" spans="1:10">
      <c r="A1081" s="441">
        <v>3666</v>
      </c>
      <c r="B1081" s="441" t="s">
        <v>2077</v>
      </c>
      <c r="C1081" s="545">
        <v>5.1666666666666661</v>
      </c>
      <c r="D1081" s="545">
        <v>1.3333333333333333</v>
      </c>
      <c r="E1081" s="545">
        <v>1.3333333333333333</v>
      </c>
      <c r="F1081" s="545">
        <v>4.0714285714285703</v>
      </c>
      <c r="G1081" s="545">
        <v>5.25</v>
      </c>
      <c r="H1081" s="545">
        <v>0.33333333333333331</v>
      </c>
      <c r="I1081" s="545">
        <v>0</v>
      </c>
      <c r="J1081" s="545">
        <v>3.7976190476190474</v>
      </c>
    </row>
    <row r="1082" spans="1:10">
      <c r="A1082" s="441">
        <v>10433</v>
      </c>
      <c r="B1082" s="441" t="s">
        <v>2077</v>
      </c>
      <c r="C1082" s="545">
        <v>9.3333333333333339</v>
      </c>
      <c r="D1082" s="545">
        <v>1.6666666666666665</v>
      </c>
      <c r="E1082" s="545">
        <v>1.6666666666666665</v>
      </c>
      <c r="F1082" s="545">
        <v>7.1428571428571432</v>
      </c>
      <c r="G1082" s="545">
        <v>6.8</v>
      </c>
      <c r="H1082" s="545">
        <v>0</v>
      </c>
      <c r="I1082" s="545">
        <v>0.33333333333333331</v>
      </c>
      <c r="J1082" s="545">
        <v>4.9047619047619051</v>
      </c>
    </row>
    <row r="1083" spans="1:10">
      <c r="A1083" s="441">
        <v>7035</v>
      </c>
      <c r="B1083" s="441" t="s">
        <v>2078</v>
      </c>
      <c r="C1083" s="545">
        <v>163</v>
      </c>
      <c r="D1083" s="545">
        <v>80.333333333333329</v>
      </c>
      <c r="E1083" s="545">
        <v>72.333333333333329</v>
      </c>
      <c r="F1083" s="545">
        <v>138.23809523809524</v>
      </c>
      <c r="G1083" s="545">
        <v>133.15</v>
      </c>
      <c r="H1083" s="545">
        <v>83</v>
      </c>
      <c r="I1083" s="545">
        <v>58.333333333333336</v>
      </c>
      <c r="J1083" s="545">
        <v>115.29761904761905</v>
      </c>
    </row>
    <row r="1084" spans="1:10">
      <c r="A1084" s="441">
        <v>11328</v>
      </c>
      <c r="B1084" s="441" t="s">
        <v>2078</v>
      </c>
      <c r="C1084" s="545">
        <v>245.33333333333334</v>
      </c>
      <c r="D1084" s="545">
        <v>129</v>
      </c>
      <c r="E1084" s="545">
        <v>107.33333333333333</v>
      </c>
      <c r="F1084" s="545">
        <v>209</v>
      </c>
      <c r="G1084" s="545">
        <v>171.75</v>
      </c>
      <c r="H1084" s="545">
        <v>103</v>
      </c>
      <c r="I1084" s="545">
        <v>74</v>
      </c>
      <c r="J1084" s="545">
        <v>147.96428571428572</v>
      </c>
    </row>
    <row r="1085" spans="1:10">
      <c r="A1085" s="441">
        <v>90039</v>
      </c>
      <c r="B1085" s="441" t="s">
        <v>2078</v>
      </c>
      <c r="C1085" s="545">
        <v>10.166666666666668</v>
      </c>
      <c r="D1085" s="545">
        <v>10</v>
      </c>
      <c r="E1085" s="545">
        <v>2.666666666666667</v>
      </c>
      <c r="F1085" s="545">
        <v>9.071428571428573</v>
      </c>
      <c r="G1085" s="545">
        <v>4.5999999999999996</v>
      </c>
      <c r="H1085" s="545">
        <v>1.6666666666666667</v>
      </c>
      <c r="I1085" s="545">
        <v>0.66666666666666663</v>
      </c>
      <c r="J1085" s="545">
        <v>3.6190476190476195</v>
      </c>
    </row>
    <row r="1086" spans="1:10">
      <c r="A1086" s="441">
        <v>8630</v>
      </c>
      <c r="B1086" s="441" t="s">
        <v>2079</v>
      </c>
      <c r="C1086" s="545">
        <v>111.66666666666667</v>
      </c>
      <c r="D1086" s="545">
        <v>70.333333333333329</v>
      </c>
      <c r="E1086" s="545">
        <v>59.666666666666671</v>
      </c>
      <c r="F1086" s="545">
        <v>98.333333333333343</v>
      </c>
      <c r="G1086" s="545">
        <v>51.9</v>
      </c>
      <c r="H1086" s="545">
        <v>35</v>
      </c>
      <c r="I1086" s="545">
        <v>29.666666666666668</v>
      </c>
      <c r="J1086" s="545">
        <v>46.30952380952381</v>
      </c>
    </row>
    <row r="1087" spans="1:10">
      <c r="A1087" s="441">
        <v>10247</v>
      </c>
      <c r="B1087" s="441" t="s">
        <v>2079</v>
      </c>
      <c r="C1087" s="545">
        <v>103.33333333333334</v>
      </c>
      <c r="D1087" s="545">
        <v>64.666666666666671</v>
      </c>
      <c r="E1087" s="545">
        <v>48</v>
      </c>
      <c r="F1087" s="545">
        <v>89.904761904761912</v>
      </c>
      <c r="G1087" s="545">
        <v>68.5</v>
      </c>
      <c r="H1087" s="545">
        <v>41</v>
      </c>
      <c r="I1087" s="545">
        <v>36.333333333333336</v>
      </c>
      <c r="J1087" s="545">
        <v>59.976190476190474</v>
      </c>
    </row>
    <row r="1088" spans="1:10">
      <c r="A1088" s="441">
        <v>3646</v>
      </c>
      <c r="B1088" s="441" t="s">
        <v>2080</v>
      </c>
      <c r="C1088" s="545">
        <v>9.1666666666666661</v>
      </c>
      <c r="D1088" s="545">
        <v>8.3333333333333321</v>
      </c>
      <c r="E1088" s="545">
        <v>5.3333333333333339</v>
      </c>
      <c r="F1088" s="545">
        <v>8.4999999999999982</v>
      </c>
      <c r="G1088" s="545">
        <v>6.8</v>
      </c>
      <c r="H1088" s="545">
        <v>3.6666666666666665</v>
      </c>
      <c r="I1088" s="545">
        <v>3</v>
      </c>
      <c r="J1088" s="545">
        <v>5.8095238095238093</v>
      </c>
    </row>
    <row r="1089" spans="1:10">
      <c r="A1089" s="441">
        <v>3667</v>
      </c>
      <c r="B1089" s="441" t="s">
        <v>2080</v>
      </c>
      <c r="C1089" s="545">
        <v>57.166666666666664</v>
      </c>
      <c r="D1089" s="545">
        <v>26.666666666666668</v>
      </c>
      <c r="E1089" s="545">
        <v>21.666666666666668</v>
      </c>
      <c r="F1089" s="545">
        <v>47.738095238095241</v>
      </c>
      <c r="G1089" s="545">
        <v>46.35</v>
      </c>
      <c r="H1089" s="545">
        <v>19</v>
      </c>
      <c r="I1089" s="545">
        <v>16.333333333333332</v>
      </c>
      <c r="J1089" s="545">
        <v>38.154761904761905</v>
      </c>
    </row>
    <row r="1090" spans="1:10">
      <c r="A1090" s="441">
        <v>3663</v>
      </c>
      <c r="B1090" s="441" t="s">
        <v>2081</v>
      </c>
      <c r="C1090" s="545">
        <v>9.6666666666666661</v>
      </c>
      <c r="D1090" s="545">
        <v>1.3333333333333333</v>
      </c>
      <c r="E1090" s="545">
        <v>1.3333333333333333</v>
      </c>
      <c r="F1090" s="545">
        <v>7.2857142857142856</v>
      </c>
      <c r="G1090" s="545">
        <v>6.9</v>
      </c>
      <c r="H1090" s="545">
        <v>2.6666666666666665</v>
      </c>
      <c r="I1090" s="545">
        <v>0.66666666666666663</v>
      </c>
      <c r="J1090" s="545">
        <v>5.4047619047619042</v>
      </c>
    </row>
    <row r="1091" spans="1:10">
      <c r="A1091" s="441">
        <v>3664</v>
      </c>
      <c r="B1091" s="441" t="s">
        <v>2081</v>
      </c>
      <c r="C1091" s="545">
        <v>8.3333333333333321</v>
      </c>
      <c r="D1091" s="545">
        <v>3</v>
      </c>
      <c r="E1091" s="545">
        <v>2</v>
      </c>
      <c r="F1091" s="545">
        <v>6.6666666666666652</v>
      </c>
      <c r="G1091" s="545">
        <v>5.95</v>
      </c>
      <c r="H1091" s="545">
        <v>2.6666666666666665</v>
      </c>
      <c r="I1091" s="545">
        <v>1.3333333333333333</v>
      </c>
      <c r="J1091" s="545">
        <v>4.8214285714285712</v>
      </c>
    </row>
    <row r="1092" spans="1:10">
      <c r="A1092" s="441">
        <v>7005</v>
      </c>
      <c r="B1092" s="441" t="s">
        <v>2082</v>
      </c>
      <c r="C1092" s="545">
        <v>172.5</v>
      </c>
      <c r="D1092" s="545">
        <v>115.33333333333334</v>
      </c>
      <c r="E1092" s="545">
        <v>73.666666666666657</v>
      </c>
      <c r="F1092" s="545">
        <v>150.21428571428572</v>
      </c>
      <c r="G1092" s="545">
        <v>152.30000000000001</v>
      </c>
      <c r="H1092" s="545">
        <v>93</v>
      </c>
      <c r="I1092" s="545">
        <v>47.333333333333336</v>
      </c>
      <c r="J1092" s="545">
        <v>128.83333333333334</v>
      </c>
    </row>
    <row r="1093" spans="1:10">
      <c r="A1093" s="441">
        <v>7029</v>
      </c>
      <c r="B1093" s="441" t="s">
        <v>2082</v>
      </c>
      <c r="C1093" s="545">
        <v>188.66666666666666</v>
      </c>
      <c r="D1093" s="545">
        <v>113</v>
      </c>
      <c r="E1093" s="545">
        <v>98.333333333333343</v>
      </c>
      <c r="F1093" s="545">
        <v>164.95238095238093</v>
      </c>
      <c r="G1093" s="545">
        <v>155.44999999999999</v>
      </c>
      <c r="H1093" s="545">
        <v>92</v>
      </c>
      <c r="I1093" s="545">
        <v>61</v>
      </c>
      <c r="J1093" s="545">
        <v>132.89285714285714</v>
      </c>
    </row>
    <row r="1094" spans="1:10">
      <c r="A1094" s="441">
        <v>3661</v>
      </c>
      <c r="B1094" s="441" t="s">
        <v>2083</v>
      </c>
      <c r="C1094" s="545">
        <v>24.5</v>
      </c>
      <c r="D1094" s="545">
        <v>1.6666666666666665</v>
      </c>
      <c r="E1094" s="545">
        <v>1.3333333333333333</v>
      </c>
      <c r="F1094" s="545">
        <v>17.928571428571427</v>
      </c>
      <c r="G1094" s="545">
        <v>0</v>
      </c>
      <c r="H1094" s="545">
        <v>0.66666666666666663</v>
      </c>
      <c r="I1094" s="545">
        <v>0</v>
      </c>
      <c r="J1094" s="545">
        <v>9.5238095238095233E-2</v>
      </c>
    </row>
    <row r="1095" spans="1:10">
      <c r="A1095" s="441">
        <v>7826</v>
      </c>
      <c r="B1095" s="441" t="s">
        <v>2084</v>
      </c>
      <c r="C1095" s="545">
        <v>26</v>
      </c>
      <c r="D1095" s="545">
        <v>21.333333333333336</v>
      </c>
      <c r="E1095" s="545">
        <v>22</v>
      </c>
      <c r="F1095" s="545">
        <v>24.761904761904763</v>
      </c>
      <c r="G1095" s="545">
        <v>2.85</v>
      </c>
      <c r="H1095" s="545">
        <v>1.3333333333333333</v>
      </c>
      <c r="I1095" s="545">
        <v>1.3333333333333333</v>
      </c>
      <c r="J1095" s="545">
        <v>2.416666666666667</v>
      </c>
    </row>
    <row r="1096" spans="1:10">
      <c r="A1096" s="441">
        <v>11807</v>
      </c>
      <c r="B1096" s="441" t="s">
        <v>2084</v>
      </c>
      <c r="C1096" s="545">
        <v>45.333333333333336</v>
      </c>
      <c r="D1096" s="545">
        <v>26</v>
      </c>
      <c r="E1096" s="545">
        <v>18.333333333333336</v>
      </c>
      <c r="F1096" s="545">
        <v>38.714285714285715</v>
      </c>
      <c r="G1096" s="545">
        <v>36.65</v>
      </c>
      <c r="H1096" s="545">
        <v>21</v>
      </c>
      <c r="I1096" s="545">
        <v>14.666666666666666</v>
      </c>
      <c r="J1096" s="545">
        <v>31.273809523809522</v>
      </c>
    </row>
    <row r="1097" spans="1:10">
      <c r="A1097" s="441">
        <v>3650</v>
      </c>
      <c r="B1097" s="441" t="s">
        <v>2085</v>
      </c>
      <c r="C1097" s="545">
        <v>8.6666666666666661</v>
      </c>
      <c r="D1097" s="545">
        <v>4</v>
      </c>
      <c r="E1097" s="545">
        <v>2</v>
      </c>
      <c r="F1097" s="545">
        <v>7.0476190476190466</v>
      </c>
      <c r="G1097" s="545">
        <v>3.8</v>
      </c>
      <c r="H1097" s="545">
        <v>2.3333333333333335</v>
      </c>
      <c r="I1097" s="545">
        <v>1.3333333333333333</v>
      </c>
      <c r="J1097" s="545">
        <v>3.2380952380952377</v>
      </c>
    </row>
    <row r="1098" spans="1:10">
      <c r="A1098" s="441">
        <v>10434</v>
      </c>
      <c r="B1098" s="441" t="s">
        <v>2085</v>
      </c>
      <c r="C1098" s="545">
        <v>6.166666666666667</v>
      </c>
      <c r="D1098" s="545">
        <v>2.3333333333333335</v>
      </c>
      <c r="E1098" s="545">
        <v>1</v>
      </c>
      <c r="F1098" s="545">
        <v>4.8809523809523814</v>
      </c>
      <c r="G1098" s="545">
        <v>2.5499999999999998</v>
      </c>
      <c r="H1098" s="545">
        <v>1.6666666666666667</v>
      </c>
      <c r="I1098" s="545">
        <v>0</v>
      </c>
      <c r="J1098" s="545">
        <v>2.0595238095238093</v>
      </c>
    </row>
    <row r="1099" spans="1:10">
      <c r="A1099" s="441">
        <v>3644</v>
      </c>
      <c r="B1099" s="441" t="s">
        <v>2086</v>
      </c>
      <c r="C1099" s="545">
        <v>116.66666666666667</v>
      </c>
      <c r="D1099" s="545">
        <v>77</v>
      </c>
      <c r="E1099" s="545">
        <v>58.333333333333329</v>
      </c>
      <c r="F1099" s="545">
        <v>102.66666666666667</v>
      </c>
      <c r="G1099" s="545">
        <v>66.45</v>
      </c>
      <c r="H1099" s="545">
        <v>43.333333333333336</v>
      </c>
      <c r="I1099" s="545">
        <v>31</v>
      </c>
      <c r="J1099" s="545">
        <v>58.083333333333329</v>
      </c>
    </row>
    <row r="1100" spans="1:10">
      <c r="A1100" s="441">
        <v>3669</v>
      </c>
      <c r="B1100" s="441" t="s">
        <v>2086</v>
      </c>
      <c r="C1100" s="545">
        <v>72.166666666666671</v>
      </c>
      <c r="D1100" s="545">
        <v>46.333333333333329</v>
      </c>
      <c r="E1100" s="545">
        <v>35</v>
      </c>
      <c r="F1100" s="545">
        <v>63.166666666666671</v>
      </c>
      <c r="G1100" s="545">
        <v>49</v>
      </c>
      <c r="H1100" s="545">
        <v>31.666666666666668</v>
      </c>
      <c r="I1100" s="545">
        <v>24</v>
      </c>
      <c r="J1100" s="545">
        <v>42.952380952380956</v>
      </c>
    </row>
    <row r="1101" spans="1:10">
      <c r="A1101" s="441">
        <v>11808</v>
      </c>
      <c r="B1101" s="441" t="s">
        <v>2087</v>
      </c>
      <c r="C1101" s="545">
        <v>31</v>
      </c>
      <c r="D1101" s="545">
        <v>22.333333333333336</v>
      </c>
      <c r="E1101" s="545">
        <v>19.333333333333336</v>
      </c>
      <c r="F1101" s="545">
        <v>28.095238095238098</v>
      </c>
      <c r="G1101" s="545">
        <v>28.3</v>
      </c>
      <c r="H1101" s="545">
        <v>21.666666666666668</v>
      </c>
      <c r="I1101" s="545">
        <v>15.333333333333334</v>
      </c>
      <c r="J1101" s="545">
        <v>25.5</v>
      </c>
    </row>
    <row r="1102" spans="1:10">
      <c r="A1102" s="441">
        <v>3630</v>
      </c>
      <c r="B1102" s="441" t="s">
        <v>2088</v>
      </c>
      <c r="C1102" s="545">
        <v>10.666666666666666</v>
      </c>
      <c r="D1102" s="545">
        <v>6</v>
      </c>
      <c r="E1102" s="545">
        <v>4</v>
      </c>
      <c r="F1102" s="545">
        <v>9.0476190476190474</v>
      </c>
      <c r="G1102" s="545">
        <v>8.65</v>
      </c>
      <c r="H1102" s="545">
        <v>5.333333333333333</v>
      </c>
      <c r="I1102" s="545">
        <v>3</v>
      </c>
      <c r="J1102" s="545">
        <v>7.3690476190476195</v>
      </c>
    </row>
    <row r="1103" spans="1:10">
      <c r="A1103" s="441">
        <v>3683</v>
      </c>
      <c r="B1103" s="441" t="s">
        <v>2088</v>
      </c>
      <c r="C1103" s="545">
        <v>7.833333333333333</v>
      </c>
      <c r="D1103" s="545">
        <v>4.6666666666666661</v>
      </c>
      <c r="E1103" s="545">
        <v>4.6666666666666661</v>
      </c>
      <c r="F1103" s="545">
        <v>6.9285714285714279</v>
      </c>
      <c r="G1103" s="545">
        <v>7.3</v>
      </c>
      <c r="H1103" s="545">
        <v>2.3333333333333335</v>
      </c>
      <c r="I1103" s="545">
        <v>1</v>
      </c>
      <c r="J1103" s="545">
        <v>5.6904761904761907</v>
      </c>
    </row>
    <row r="1104" spans="1:10">
      <c r="A1104" s="441">
        <v>6999</v>
      </c>
      <c r="B1104" s="441" t="s">
        <v>2089</v>
      </c>
      <c r="C1104" s="545">
        <v>213.33333333333334</v>
      </c>
      <c r="D1104" s="545">
        <v>123</v>
      </c>
      <c r="E1104" s="545">
        <v>84.333333333333329</v>
      </c>
      <c r="F1104" s="545">
        <v>182</v>
      </c>
      <c r="G1104" s="545">
        <v>166.45</v>
      </c>
      <c r="H1104" s="545">
        <v>113</v>
      </c>
      <c r="I1104" s="545">
        <v>62</v>
      </c>
      <c r="J1104" s="545">
        <v>143.89285714285714</v>
      </c>
    </row>
    <row r="1105" spans="1:10">
      <c r="A1105" s="441">
        <v>7000</v>
      </c>
      <c r="B1105" s="441" t="s">
        <v>2090</v>
      </c>
      <c r="C1105" s="545">
        <v>80.666666666666671</v>
      </c>
      <c r="D1105" s="545">
        <v>37</v>
      </c>
      <c r="E1105" s="545">
        <v>29.333333333333332</v>
      </c>
      <c r="F1105" s="545">
        <v>67.095238095238102</v>
      </c>
      <c r="G1105" s="545">
        <v>0.35</v>
      </c>
      <c r="H1105" s="545">
        <v>1.6666666666666667</v>
      </c>
      <c r="I1105" s="545">
        <v>0</v>
      </c>
      <c r="J1105" s="545">
        <v>0.48809523809523814</v>
      </c>
    </row>
    <row r="1106" spans="1:10">
      <c r="A1106" s="441">
        <v>7822</v>
      </c>
      <c r="B1106" s="441" t="s">
        <v>2091</v>
      </c>
      <c r="C1106" s="545">
        <v>92</v>
      </c>
      <c r="D1106" s="545">
        <v>55</v>
      </c>
      <c r="E1106" s="545">
        <v>45</v>
      </c>
      <c r="F1106" s="545">
        <v>80</v>
      </c>
      <c r="G1106" s="545">
        <v>57.55</v>
      </c>
      <c r="H1106" s="545">
        <v>23</v>
      </c>
      <c r="I1106" s="545">
        <v>20.333333333333332</v>
      </c>
      <c r="J1106" s="545">
        <v>47.297619047619044</v>
      </c>
    </row>
    <row r="1107" spans="1:10">
      <c r="A1107" s="441">
        <v>7823</v>
      </c>
      <c r="B1107" s="441" t="s">
        <v>2091</v>
      </c>
      <c r="C1107" s="545">
        <v>23.5</v>
      </c>
      <c r="D1107" s="545">
        <v>17.666666666666664</v>
      </c>
      <c r="E1107" s="545">
        <v>10</v>
      </c>
      <c r="F1107" s="545">
        <v>20.738095238095237</v>
      </c>
      <c r="G1107" s="545">
        <v>18.7</v>
      </c>
      <c r="H1107" s="545">
        <v>12.333333333333334</v>
      </c>
      <c r="I1107" s="545">
        <v>10.333333333333334</v>
      </c>
      <c r="J1107" s="545">
        <v>16.595238095238095</v>
      </c>
    </row>
    <row r="1108" spans="1:10">
      <c r="A1108" s="441">
        <v>7840</v>
      </c>
      <c r="B1108" s="441" t="s">
        <v>2091</v>
      </c>
      <c r="C1108" s="545">
        <v>90.166666666666657</v>
      </c>
      <c r="D1108" s="545">
        <v>60</v>
      </c>
      <c r="E1108" s="545">
        <v>49.666666666666671</v>
      </c>
      <c r="F1108" s="545">
        <v>80.071428571428555</v>
      </c>
      <c r="G1108" s="545">
        <v>63.1</v>
      </c>
      <c r="H1108" s="545">
        <v>33</v>
      </c>
      <c r="I1108" s="545">
        <v>23.333333333333332</v>
      </c>
      <c r="J1108" s="545">
        <v>53.119047619047613</v>
      </c>
    </row>
    <row r="1109" spans="1:10">
      <c r="A1109" s="441">
        <v>7015</v>
      </c>
      <c r="B1109" s="441" t="s">
        <v>2092</v>
      </c>
      <c r="C1109" s="545">
        <v>4.3333333333333339</v>
      </c>
      <c r="D1109" s="545">
        <v>2.6666666666666665</v>
      </c>
      <c r="E1109" s="545">
        <v>1.3333333333333333</v>
      </c>
      <c r="F1109" s="545">
        <v>3.6666666666666674</v>
      </c>
      <c r="G1109" s="545">
        <v>4.5</v>
      </c>
      <c r="H1109" s="545">
        <v>3</v>
      </c>
      <c r="I1109" s="545">
        <v>1</v>
      </c>
      <c r="J1109" s="545">
        <v>3.7857142857142856</v>
      </c>
    </row>
    <row r="1110" spans="1:10">
      <c r="A1110" s="441">
        <v>7019</v>
      </c>
      <c r="B1110" s="441" t="s">
        <v>2092</v>
      </c>
      <c r="C1110" s="545">
        <v>8.6666666666666661</v>
      </c>
      <c r="D1110" s="545">
        <v>10.333333333333332</v>
      </c>
      <c r="E1110" s="545">
        <v>2.3333333333333335</v>
      </c>
      <c r="F1110" s="545">
        <v>7.9999999999999991</v>
      </c>
      <c r="G1110" s="545">
        <v>4.3</v>
      </c>
      <c r="H1110" s="545">
        <v>2.6666666666666665</v>
      </c>
      <c r="I1110" s="545">
        <v>2</v>
      </c>
      <c r="J1110" s="545">
        <v>3.7380952380952381</v>
      </c>
    </row>
    <row r="1111" spans="1:10">
      <c r="A1111" s="441">
        <v>6998</v>
      </c>
      <c r="B1111" s="441" t="s">
        <v>2093</v>
      </c>
      <c r="C1111" s="545">
        <v>204</v>
      </c>
      <c r="D1111" s="545">
        <v>123.66666666666666</v>
      </c>
      <c r="E1111" s="545">
        <v>85</v>
      </c>
      <c r="F1111" s="545">
        <v>175.52380952380955</v>
      </c>
      <c r="G1111" s="545">
        <v>170.7</v>
      </c>
      <c r="H1111" s="545">
        <v>94.666666666666671</v>
      </c>
      <c r="I1111" s="545">
        <v>80.333333333333329</v>
      </c>
      <c r="J1111" s="545">
        <v>146.92857142857142</v>
      </c>
    </row>
    <row r="1112" spans="1:10">
      <c r="A1112" s="441">
        <v>3653</v>
      </c>
      <c r="B1112" s="441" t="s">
        <v>2094</v>
      </c>
      <c r="C1112" s="545">
        <v>18.333333333333332</v>
      </c>
      <c r="D1112" s="545">
        <v>5.666666666666667</v>
      </c>
      <c r="E1112" s="545">
        <v>2.6666666666666665</v>
      </c>
      <c r="F1112" s="545">
        <v>14.285714285714286</v>
      </c>
      <c r="G1112" s="545">
        <v>17.95</v>
      </c>
      <c r="H1112" s="545">
        <v>3.3333333333333335</v>
      </c>
      <c r="I1112" s="545">
        <v>6.333333333333333</v>
      </c>
      <c r="J1112" s="545">
        <v>14.202380952380951</v>
      </c>
    </row>
    <row r="1113" spans="1:10">
      <c r="A1113" s="441">
        <v>3662</v>
      </c>
      <c r="B1113" s="441" t="s">
        <v>2094</v>
      </c>
      <c r="C1113" s="545">
        <v>17.166666666666664</v>
      </c>
      <c r="D1113" s="545">
        <v>11.666666666666666</v>
      </c>
      <c r="E1113" s="545">
        <v>4.333333333333333</v>
      </c>
      <c r="F1113" s="545">
        <v>14.547619047619046</v>
      </c>
      <c r="G1113" s="545">
        <v>19.25</v>
      </c>
      <c r="H1113" s="545">
        <v>4.666666666666667</v>
      </c>
      <c r="I1113" s="545">
        <v>7</v>
      </c>
      <c r="J1113" s="545">
        <v>15.416666666666668</v>
      </c>
    </row>
    <row r="1114" spans="1:10">
      <c r="A1114" s="441">
        <v>10465</v>
      </c>
      <c r="B1114" s="441" t="s">
        <v>2095</v>
      </c>
      <c r="C1114" s="545">
        <v>5</v>
      </c>
      <c r="D1114" s="545">
        <v>5</v>
      </c>
      <c r="E1114" s="545">
        <v>3.666666666666667</v>
      </c>
      <c r="F1114" s="545">
        <v>4.8095238095238093</v>
      </c>
      <c r="G1114" s="545">
        <v>4.25</v>
      </c>
      <c r="H1114" s="545">
        <v>3</v>
      </c>
      <c r="I1114" s="545">
        <v>1.6666666666666667</v>
      </c>
      <c r="J1114" s="545">
        <v>3.7023809523809526</v>
      </c>
    </row>
    <row r="1115" spans="1:10">
      <c r="A1115" s="441">
        <v>7014</v>
      </c>
      <c r="B1115" s="441" t="s">
        <v>2096</v>
      </c>
      <c r="C1115" s="545">
        <v>27.666666666666668</v>
      </c>
      <c r="D1115" s="545">
        <v>19.333333333333332</v>
      </c>
      <c r="E1115" s="545">
        <v>7.333333333333333</v>
      </c>
      <c r="F1115" s="545">
        <v>23.571428571428577</v>
      </c>
      <c r="G1115" s="545">
        <v>16.8</v>
      </c>
      <c r="H1115" s="545">
        <v>12.333333333333334</v>
      </c>
      <c r="I1115" s="545">
        <v>5.666666666666667</v>
      </c>
      <c r="J1115" s="545">
        <v>14.571428571428571</v>
      </c>
    </row>
    <row r="1116" spans="1:10">
      <c r="A1116" s="441">
        <v>7020</v>
      </c>
      <c r="B1116" s="441" t="s">
        <v>2096</v>
      </c>
      <c r="C1116" s="545">
        <v>27.333333333333336</v>
      </c>
      <c r="D1116" s="545">
        <v>19</v>
      </c>
      <c r="E1116" s="545">
        <v>8.6666666666666661</v>
      </c>
      <c r="F1116" s="545">
        <v>23.476190476190478</v>
      </c>
      <c r="G1116" s="545">
        <v>19.95</v>
      </c>
      <c r="H1116" s="545">
        <v>17.666666666666668</v>
      </c>
      <c r="I1116" s="545">
        <v>12.333333333333334</v>
      </c>
      <c r="J1116" s="545">
        <v>18.535714285714285</v>
      </c>
    </row>
    <row r="1117" spans="1:10">
      <c r="A1117" s="441">
        <v>7032</v>
      </c>
      <c r="B1117" s="441" t="s">
        <v>2097</v>
      </c>
      <c r="C1117" s="545">
        <v>148.33333333333331</v>
      </c>
      <c r="D1117" s="545">
        <v>74</v>
      </c>
      <c r="E1117" s="545">
        <v>61.666666666666664</v>
      </c>
      <c r="F1117" s="545">
        <v>125.3333333333333</v>
      </c>
      <c r="G1117" s="545">
        <v>95.5</v>
      </c>
      <c r="H1117" s="545">
        <v>51</v>
      </c>
      <c r="I1117" s="545">
        <v>26.333333333333332</v>
      </c>
      <c r="J1117" s="545">
        <v>79.261904761904773</v>
      </c>
    </row>
    <row r="1118" spans="1:10">
      <c r="A1118" s="441">
        <v>7033</v>
      </c>
      <c r="B1118" s="441" t="s">
        <v>2097</v>
      </c>
      <c r="C1118" s="545">
        <v>39.166666666666664</v>
      </c>
      <c r="D1118" s="545">
        <v>23.333333333333332</v>
      </c>
      <c r="E1118" s="545">
        <v>26.333333333333336</v>
      </c>
      <c r="F1118" s="545">
        <v>35.071428571428569</v>
      </c>
      <c r="G1118" s="545">
        <v>27.25</v>
      </c>
      <c r="H1118" s="545">
        <v>20</v>
      </c>
      <c r="I1118" s="545">
        <v>11</v>
      </c>
      <c r="J1118" s="545">
        <v>23.892857142857142</v>
      </c>
    </row>
    <row r="1119" spans="1:10">
      <c r="A1119" s="441">
        <v>7861</v>
      </c>
      <c r="B1119" s="441" t="s">
        <v>2098</v>
      </c>
      <c r="C1119" s="545">
        <v>19.5</v>
      </c>
      <c r="D1119" s="545">
        <v>9</v>
      </c>
      <c r="E1119" s="545">
        <v>5.666666666666667</v>
      </c>
      <c r="F1119" s="545">
        <v>16.023809523809526</v>
      </c>
      <c r="G1119" s="545">
        <v>9.4499999999999993</v>
      </c>
      <c r="H1119" s="545">
        <v>9.3333333333333339</v>
      </c>
      <c r="I1119" s="545">
        <v>5.666666666666667</v>
      </c>
      <c r="J1119" s="545">
        <v>8.8928571428571423</v>
      </c>
    </row>
    <row r="1120" spans="1:10">
      <c r="A1120" s="441">
        <v>11239</v>
      </c>
      <c r="B1120" s="441" t="s">
        <v>2098</v>
      </c>
      <c r="C1120" s="545">
        <v>9.5</v>
      </c>
      <c r="D1120" s="545">
        <v>5.666666666666667</v>
      </c>
      <c r="E1120" s="545">
        <v>3.3333333333333335</v>
      </c>
      <c r="F1120" s="545">
        <v>8.0714285714285712</v>
      </c>
      <c r="G1120" s="545">
        <v>6.3</v>
      </c>
      <c r="H1120" s="545">
        <v>5.333333333333333</v>
      </c>
      <c r="I1120" s="545">
        <v>2.6666666666666665</v>
      </c>
      <c r="J1120" s="545">
        <v>5.6428571428571432</v>
      </c>
    </row>
    <row r="1121" spans="1:10">
      <c r="A1121" s="441">
        <v>3675</v>
      </c>
      <c r="B1121" s="441" t="s">
        <v>2099</v>
      </c>
      <c r="C1121" s="545">
        <v>36.666666666666671</v>
      </c>
      <c r="D1121" s="545">
        <v>15.333333333333334</v>
      </c>
      <c r="E1121" s="545">
        <v>18.666666666666668</v>
      </c>
      <c r="F1121" s="545">
        <v>31.047619047619055</v>
      </c>
      <c r="G1121" s="545">
        <v>23.5</v>
      </c>
      <c r="H1121" s="545">
        <v>9</v>
      </c>
      <c r="I1121" s="545">
        <v>11.666666666666666</v>
      </c>
      <c r="J1121" s="545">
        <v>19.738095238095237</v>
      </c>
    </row>
    <row r="1122" spans="1:10">
      <c r="A1122" s="441">
        <v>10223</v>
      </c>
      <c r="B1122" s="441" t="s">
        <v>2099</v>
      </c>
      <c r="C1122" s="545">
        <v>42.166666666666671</v>
      </c>
      <c r="D1122" s="545">
        <v>23</v>
      </c>
      <c r="E1122" s="545">
        <v>24</v>
      </c>
      <c r="F1122" s="545">
        <v>36.833333333333336</v>
      </c>
      <c r="G1122" s="545">
        <v>25.95</v>
      </c>
      <c r="H1122" s="545">
        <v>5.333333333333333</v>
      </c>
      <c r="I1122" s="545">
        <v>10.666666666666666</v>
      </c>
      <c r="J1122" s="545">
        <v>20.821428571428573</v>
      </c>
    </row>
    <row r="1123" spans="1:10">
      <c r="A1123" s="441">
        <v>2674</v>
      </c>
      <c r="B1123" s="441" t="s">
        <v>2100</v>
      </c>
      <c r="C1123" s="545">
        <v>78.666666666666657</v>
      </c>
      <c r="D1123" s="545">
        <v>48</v>
      </c>
      <c r="E1123" s="545">
        <v>36</v>
      </c>
      <c r="F1123" s="545">
        <v>68.190476190476176</v>
      </c>
      <c r="G1123" s="545">
        <v>53.8</v>
      </c>
      <c r="H1123" s="545">
        <v>26.333333333333332</v>
      </c>
      <c r="I1123" s="545">
        <v>24.666666666666668</v>
      </c>
      <c r="J1123" s="545">
        <v>45.714285714285715</v>
      </c>
    </row>
    <row r="1124" spans="1:10">
      <c r="A1124" s="441">
        <v>3645</v>
      </c>
      <c r="B1124" s="441" t="s">
        <v>2101</v>
      </c>
      <c r="C1124" s="545">
        <v>16.833333333333336</v>
      </c>
      <c r="D1124" s="545">
        <v>15</v>
      </c>
      <c r="E1124" s="545">
        <v>6.3333333333333339</v>
      </c>
      <c r="F1124" s="545">
        <v>15.071428571428573</v>
      </c>
      <c r="G1124" s="545">
        <v>17</v>
      </c>
      <c r="H1124" s="545">
        <v>9.6666666666666661</v>
      </c>
      <c r="I1124" s="545">
        <v>9</v>
      </c>
      <c r="J1124" s="545">
        <v>14.80952380952381</v>
      </c>
    </row>
    <row r="1125" spans="1:10">
      <c r="A1125" s="441">
        <v>3668</v>
      </c>
      <c r="B1125" s="441" t="s">
        <v>2101</v>
      </c>
      <c r="C1125" s="545">
        <v>8.3333333333333339</v>
      </c>
      <c r="D1125" s="545">
        <v>12.666666666666666</v>
      </c>
      <c r="E1125" s="545">
        <v>6.333333333333333</v>
      </c>
      <c r="F1125" s="545">
        <v>8.6666666666666679</v>
      </c>
      <c r="G1125" s="545">
        <v>9.85</v>
      </c>
      <c r="H1125" s="545">
        <v>7</v>
      </c>
      <c r="I1125" s="545">
        <v>5</v>
      </c>
      <c r="J1125" s="545">
        <v>8.75</v>
      </c>
    </row>
    <row r="1126" spans="1:10">
      <c r="A1126" s="441">
        <v>3632</v>
      </c>
      <c r="B1126" s="441" t="s">
        <v>2102</v>
      </c>
      <c r="C1126" s="545">
        <v>20</v>
      </c>
      <c r="D1126" s="545">
        <v>10</v>
      </c>
      <c r="E1126" s="545">
        <v>8.3333333333333339</v>
      </c>
      <c r="F1126" s="545">
        <v>16.904761904761905</v>
      </c>
      <c r="G1126" s="545">
        <v>19.2</v>
      </c>
      <c r="H1126" s="545">
        <v>6.333333333333333</v>
      </c>
      <c r="I1126" s="545">
        <v>4</v>
      </c>
      <c r="J1126" s="545">
        <v>15.19047619047619</v>
      </c>
    </row>
    <row r="1127" spans="1:10">
      <c r="A1127" s="441">
        <v>3681</v>
      </c>
      <c r="B1127" s="441" t="s">
        <v>2102</v>
      </c>
      <c r="C1127" s="545">
        <v>11.333333333333334</v>
      </c>
      <c r="D1127" s="545">
        <v>3.3333333333333335</v>
      </c>
      <c r="E1127" s="545">
        <v>5</v>
      </c>
      <c r="F1127" s="545">
        <v>9.2857142857142865</v>
      </c>
      <c r="G1127" s="545">
        <v>10.6</v>
      </c>
      <c r="H1127" s="545">
        <v>6</v>
      </c>
      <c r="I1127" s="545">
        <v>2.3333333333333335</v>
      </c>
      <c r="J1127" s="545">
        <v>8.7619047619047628</v>
      </c>
    </row>
    <row r="1128" spans="1:10">
      <c r="A1128" s="441">
        <v>7008</v>
      </c>
      <c r="B1128" s="441" t="s">
        <v>2103</v>
      </c>
      <c r="C1128" s="545">
        <v>70.666666666666657</v>
      </c>
      <c r="D1128" s="545">
        <v>41.333333333333336</v>
      </c>
      <c r="E1128" s="545">
        <v>25.666666666666664</v>
      </c>
      <c r="F1128" s="545">
        <v>60.047619047619037</v>
      </c>
      <c r="G1128" s="545">
        <v>61.5</v>
      </c>
      <c r="H1128" s="545">
        <v>38.666666666666664</v>
      </c>
      <c r="I1128" s="545">
        <v>30.666666666666668</v>
      </c>
      <c r="J1128" s="545">
        <v>53.833333333333336</v>
      </c>
    </row>
    <row r="1129" spans="1:10">
      <c r="A1129" s="441">
        <v>7026</v>
      </c>
      <c r="B1129" s="441" t="s">
        <v>2103</v>
      </c>
      <c r="C1129" s="545">
        <v>112.33333333333333</v>
      </c>
      <c r="D1129" s="545">
        <v>60.666666666666664</v>
      </c>
      <c r="E1129" s="545">
        <v>46</v>
      </c>
      <c r="F1129" s="545">
        <v>95.476190476190467</v>
      </c>
      <c r="G1129" s="545">
        <v>90.55</v>
      </c>
      <c r="H1129" s="545">
        <v>54.333333333333336</v>
      </c>
      <c r="I1129" s="545">
        <v>29.333333333333332</v>
      </c>
      <c r="J1129" s="545">
        <v>76.63095238095238</v>
      </c>
    </row>
    <row r="1130" spans="1:10">
      <c r="A1130" s="441">
        <v>3631</v>
      </c>
      <c r="B1130" s="441" t="s">
        <v>2104</v>
      </c>
      <c r="C1130" s="545">
        <v>25.166666666666664</v>
      </c>
      <c r="D1130" s="545">
        <v>13</v>
      </c>
      <c r="E1130" s="545">
        <v>7</v>
      </c>
      <c r="F1130" s="545">
        <v>20.833333333333332</v>
      </c>
      <c r="G1130" s="545">
        <v>16.100000000000001</v>
      </c>
      <c r="H1130" s="545">
        <v>8.3333333333333339</v>
      </c>
      <c r="I1130" s="545">
        <v>8.3333333333333339</v>
      </c>
      <c r="J1130" s="545">
        <v>13.88095238095238</v>
      </c>
    </row>
    <row r="1131" spans="1:10">
      <c r="A1131" s="441">
        <v>3682</v>
      </c>
      <c r="B1131" s="441" t="s">
        <v>2104</v>
      </c>
      <c r="C1131" s="545">
        <v>39.5</v>
      </c>
      <c r="D1131" s="545">
        <v>12.333333333333334</v>
      </c>
      <c r="E1131" s="545">
        <v>7.333333333333333</v>
      </c>
      <c r="F1131" s="545">
        <v>31.023809523809526</v>
      </c>
      <c r="G1131" s="545">
        <v>24.3</v>
      </c>
      <c r="H1131" s="545">
        <v>7.666666666666667</v>
      </c>
      <c r="I1131" s="545">
        <v>3.3333333333333335</v>
      </c>
      <c r="J1131" s="545">
        <v>18.928571428571427</v>
      </c>
    </row>
    <row r="1132" spans="1:10">
      <c r="A1132" s="441">
        <v>7829</v>
      </c>
      <c r="B1132" s="441" t="s">
        <v>2105</v>
      </c>
      <c r="C1132" s="545">
        <v>2.6666666666666665</v>
      </c>
      <c r="D1132" s="545">
        <v>1.6666666666666667</v>
      </c>
      <c r="E1132" s="545">
        <v>1</v>
      </c>
      <c r="F1132" s="545">
        <v>2.2857142857142856</v>
      </c>
      <c r="G1132" s="545">
        <v>2.35</v>
      </c>
      <c r="H1132" s="545">
        <v>3.3333333333333335</v>
      </c>
      <c r="I1132" s="545">
        <v>0.33333333333333331</v>
      </c>
      <c r="J1132" s="545">
        <v>2.2023809523809526</v>
      </c>
    </row>
    <row r="1133" spans="1:10">
      <c r="A1133" s="441">
        <v>11240</v>
      </c>
      <c r="B1133" s="441" t="s">
        <v>2105</v>
      </c>
      <c r="C1133" s="545">
        <v>3.1666666666666665</v>
      </c>
      <c r="D1133" s="545">
        <v>1.6666666666666667</v>
      </c>
      <c r="E1133" s="545">
        <v>0.33333333333333331</v>
      </c>
      <c r="F1133" s="545">
        <v>2.5476190476190474</v>
      </c>
      <c r="G1133" s="545">
        <v>4.2</v>
      </c>
      <c r="H1133" s="545">
        <v>2.6666666666666665</v>
      </c>
      <c r="I1133" s="545">
        <v>0.66666666666666663</v>
      </c>
      <c r="J1133" s="545">
        <v>3.4761904761904767</v>
      </c>
    </row>
    <row r="1134" spans="1:10">
      <c r="A1134" s="441">
        <v>3659</v>
      </c>
      <c r="B1134" s="441" t="s">
        <v>2106</v>
      </c>
      <c r="C1134" s="545">
        <v>3.1666666666666665</v>
      </c>
      <c r="D1134" s="545">
        <v>4</v>
      </c>
      <c r="E1134" s="545">
        <v>0.33333333333333331</v>
      </c>
      <c r="F1134" s="545">
        <v>2.8809523809523805</v>
      </c>
      <c r="G1134" s="545">
        <v>3</v>
      </c>
      <c r="H1134" s="545">
        <v>4.333333333333333</v>
      </c>
      <c r="I1134" s="545">
        <v>0.66666666666666663</v>
      </c>
      <c r="J1134" s="545">
        <v>2.8571428571428572</v>
      </c>
    </row>
    <row r="1135" spans="1:10">
      <c r="A1135" s="441">
        <v>8634</v>
      </c>
      <c r="B1135" s="441" t="s">
        <v>2107</v>
      </c>
      <c r="C1135" s="545">
        <v>110.16666666666666</v>
      </c>
      <c r="D1135" s="545">
        <v>62.666666666666671</v>
      </c>
      <c r="E1135" s="545">
        <v>50</v>
      </c>
      <c r="F1135" s="545">
        <v>94.785714285714263</v>
      </c>
      <c r="G1135" s="545">
        <v>65.599999999999994</v>
      </c>
      <c r="H1135" s="545">
        <v>34.333333333333336</v>
      </c>
      <c r="I1135" s="545">
        <v>26</v>
      </c>
      <c r="J1135" s="545">
        <v>55.476190476190474</v>
      </c>
    </row>
    <row r="1136" spans="1:10">
      <c r="A1136" s="441">
        <v>8637</v>
      </c>
      <c r="B1136" s="441" t="s">
        <v>2107</v>
      </c>
      <c r="C1136" s="545">
        <v>126.66666666666666</v>
      </c>
      <c r="D1136" s="545">
        <v>50</v>
      </c>
      <c r="E1136" s="545">
        <v>43</v>
      </c>
      <c r="F1136" s="545">
        <v>103.76190476190474</v>
      </c>
      <c r="G1136" s="545">
        <v>51.9</v>
      </c>
      <c r="H1136" s="545">
        <v>31.666666666666668</v>
      </c>
      <c r="I1136" s="545">
        <v>27.333333333333332</v>
      </c>
      <c r="J1136" s="545">
        <v>45.5</v>
      </c>
    </row>
    <row r="1137" spans="1:10">
      <c r="A1137" s="441">
        <v>8638</v>
      </c>
      <c r="B1137" s="441" t="s">
        <v>2107</v>
      </c>
      <c r="C1137" s="545">
        <v>20.333333333333332</v>
      </c>
      <c r="D1137" s="545">
        <v>8.6666666666666661</v>
      </c>
      <c r="E1137" s="545">
        <v>8.6666666666666661</v>
      </c>
      <c r="F1137" s="545">
        <v>17</v>
      </c>
      <c r="G1137" s="545">
        <v>13.5</v>
      </c>
      <c r="H1137" s="545">
        <v>4.333333333333333</v>
      </c>
      <c r="I1137" s="545">
        <v>5</v>
      </c>
      <c r="J1137" s="545">
        <v>10.976190476190476</v>
      </c>
    </row>
    <row r="1138" spans="1:10">
      <c r="A1138" s="441">
        <v>7007</v>
      </c>
      <c r="B1138" s="441" t="s">
        <v>2108</v>
      </c>
      <c r="C1138" s="545">
        <v>34.5</v>
      </c>
      <c r="D1138" s="545">
        <v>20</v>
      </c>
      <c r="E1138" s="545">
        <v>11</v>
      </c>
      <c r="F1138" s="545">
        <v>29.071428571428573</v>
      </c>
      <c r="G1138" s="545">
        <v>27.85</v>
      </c>
      <c r="H1138" s="545">
        <v>15</v>
      </c>
      <c r="I1138" s="545">
        <v>11.666666666666666</v>
      </c>
      <c r="J1138" s="545">
        <v>23.702380952380953</v>
      </c>
    </row>
    <row r="1139" spans="1:10">
      <c r="A1139" s="441">
        <v>7027</v>
      </c>
      <c r="B1139" s="441" t="s">
        <v>2108</v>
      </c>
      <c r="C1139" s="545">
        <v>47.166666666666671</v>
      </c>
      <c r="D1139" s="545">
        <v>40</v>
      </c>
      <c r="E1139" s="545">
        <v>18</v>
      </c>
      <c r="F1139" s="545">
        <v>41.976190476190482</v>
      </c>
      <c r="G1139" s="545">
        <v>34.25</v>
      </c>
      <c r="H1139" s="545">
        <v>26.666666666666668</v>
      </c>
      <c r="I1139" s="545">
        <v>15</v>
      </c>
      <c r="J1139" s="545">
        <v>30.416666666666664</v>
      </c>
    </row>
    <row r="1140" spans="1:10">
      <c r="A1140" s="441">
        <v>7009</v>
      </c>
      <c r="B1140" s="441" t="s">
        <v>2109</v>
      </c>
      <c r="C1140" s="545">
        <v>183.5</v>
      </c>
      <c r="D1140" s="545">
        <v>96</v>
      </c>
      <c r="E1140" s="545">
        <v>76.666666666666671</v>
      </c>
      <c r="F1140" s="545">
        <v>155.73809523809524</v>
      </c>
      <c r="G1140" s="545">
        <v>112.3</v>
      </c>
      <c r="H1140" s="545">
        <v>51.666666666666664</v>
      </c>
      <c r="I1140" s="545">
        <v>51.333333333333336</v>
      </c>
      <c r="J1140" s="545">
        <v>94.928571428571431</v>
      </c>
    </row>
    <row r="1141" spans="1:10">
      <c r="A1141" s="441">
        <v>7025</v>
      </c>
      <c r="B1141" s="441" t="s">
        <v>2109</v>
      </c>
      <c r="C1141" s="545">
        <v>141.16666666666666</v>
      </c>
      <c r="D1141" s="545">
        <v>77</v>
      </c>
      <c r="E1141" s="545">
        <v>54.333333333333329</v>
      </c>
      <c r="F1141" s="545">
        <v>119.59523809523809</v>
      </c>
      <c r="G1141" s="545">
        <v>94.1</v>
      </c>
      <c r="H1141" s="545">
        <v>55.333333333333336</v>
      </c>
      <c r="I1141" s="545">
        <v>49</v>
      </c>
      <c r="J1141" s="545">
        <v>82.11904761904762</v>
      </c>
    </row>
    <row r="1142" spans="1:10">
      <c r="A1142" s="441">
        <v>6996</v>
      </c>
      <c r="B1142" s="441" t="s">
        <v>2110</v>
      </c>
      <c r="C1142" s="545">
        <v>59.833333333333329</v>
      </c>
      <c r="D1142" s="545">
        <v>30.666666666666664</v>
      </c>
      <c r="E1142" s="545">
        <v>16.333333333333332</v>
      </c>
      <c r="F1142" s="545">
        <v>49.452380952380949</v>
      </c>
      <c r="G1142" s="545">
        <v>148.55000000000001</v>
      </c>
      <c r="H1142" s="545">
        <v>26</v>
      </c>
      <c r="I1142" s="545">
        <v>16</v>
      </c>
      <c r="J1142" s="545">
        <v>112.10714285714286</v>
      </c>
    </row>
    <row r="1143" spans="1:10">
      <c r="A1143" s="441">
        <v>7043</v>
      </c>
      <c r="B1143" s="441" t="s">
        <v>2111</v>
      </c>
      <c r="C1143" s="545">
        <v>436</v>
      </c>
      <c r="D1143" s="545">
        <v>244.66666666666666</v>
      </c>
      <c r="E1143" s="545">
        <v>179.66666666666666</v>
      </c>
      <c r="F1143" s="545">
        <v>372.04761904761898</v>
      </c>
      <c r="G1143" s="545">
        <v>328.75</v>
      </c>
      <c r="H1143" s="545">
        <v>175.66666666666666</v>
      </c>
      <c r="I1143" s="545">
        <v>125</v>
      </c>
      <c r="J1143" s="545">
        <v>277.77380952380952</v>
      </c>
    </row>
    <row r="1144" spans="1:10">
      <c r="A1144" s="441">
        <v>10133</v>
      </c>
      <c r="B1144" s="441" t="s">
        <v>2111</v>
      </c>
      <c r="C1144" s="545">
        <v>333.83333333333331</v>
      </c>
      <c r="D1144" s="545">
        <v>184</v>
      </c>
      <c r="E1144" s="545">
        <v>154</v>
      </c>
      <c r="F1144" s="545">
        <v>286.73809523809524</v>
      </c>
      <c r="G1144" s="545">
        <v>289.3</v>
      </c>
      <c r="H1144" s="545">
        <v>143.33333333333334</v>
      </c>
      <c r="I1144" s="545">
        <v>115.66666666666667</v>
      </c>
      <c r="J1144" s="545">
        <v>243.64285714285714</v>
      </c>
    </row>
    <row r="1145" spans="1:10">
      <c r="A1145" s="441">
        <v>6991</v>
      </c>
      <c r="B1145" s="441" t="s">
        <v>2112</v>
      </c>
      <c r="C1145" s="545">
        <v>99.333333333333329</v>
      </c>
      <c r="D1145" s="545">
        <v>29.666666666666668</v>
      </c>
      <c r="E1145" s="545">
        <v>20.666666666666668</v>
      </c>
      <c r="F1145" s="545">
        <v>78.142857142857125</v>
      </c>
      <c r="G1145" s="545">
        <v>49.9</v>
      </c>
      <c r="H1145" s="545">
        <v>21.666666666666668</v>
      </c>
      <c r="I1145" s="545">
        <v>18.666666666666668</v>
      </c>
      <c r="J1145" s="545">
        <v>41.404761904761912</v>
      </c>
    </row>
    <row r="1146" spans="1:10">
      <c r="A1146" s="441">
        <v>6992</v>
      </c>
      <c r="B1146" s="441" t="s">
        <v>2113</v>
      </c>
      <c r="C1146" s="545">
        <v>1.8333333333333335</v>
      </c>
      <c r="D1146" s="545">
        <v>1.3333333333333333</v>
      </c>
      <c r="E1146" s="545">
        <v>0.33333333333333331</v>
      </c>
      <c r="F1146" s="545">
        <v>1.5476190476190479</v>
      </c>
      <c r="G1146" s="545">
        <v>1.9</v>
      </c>
      <c r="H1146" s="545">
        <v>2.3333333333333335</v>
      </c>
      <c r="I1146" s="545">
        <v>0.33333333333333331</v>
      </c>
      <c r="J1146" s="545">
        <v>1.7380952380952384</v>
      </c>
    </row>
    <row r="1147" spans="1:10">
      <c r="A1147" s="441">
        <v>7825</v>
      </c>
      <c r="B1147" s="441" t="s">
        <v>2114</v>
      </c>
      <c r="C1147" s="545">
        <v>150.33333333333331</v>
      </c>
      <c r="D1147" s="545">
        <v>116.66666666666667</v>
      </c>
      <c r="E1147" s="545">
        <v>80.333333333333329</v>
      </c>
      <c r="F1147" s="545">
        <v>135.52380952380949</v>
      </c>
      <c r="G1147" s="545">
        <v>111</v>
      </c>
      <c r="H1147" s="545">
        <v>79</v>
      </c>
      <c r="I1147" s="545">
        <v>61.666666666666664</v>
      </c>
      <c r="J1147" s="545">
        <v>99.38095238095238</v>
      </c>
    </row>
    <row r="1148" spans="1:10">
      <c r="A1148" s="441">
        <v>7837</v>
      </c>
      <c r="B1148" s="441" t="s">
        <v>2114</v>
      </c>
      <c r="C1148" s="545">
        <v>118.16666666666666</v>
      </c>
      <c r="D1148" s="545">
        <v>88.666666666666671</v>
      </c>
      <c r="E1148" s="545">
        <v>51</v>
      </c>
      <c r="F1148" s="545">
        <v>104.35714285714285</v>
      </c>
      <c r="G1148" s="545">
        <v>89.45</v>
      </c>
      <c r="H1148" s="545">
        <v>71</v>
      </c>
      <c r="I1148" s="545">
        <v>56.333333333333336</v>
      </c>
      <c r="J1148" s="545">
        <v>82.083333333333343</v>
      </c>
    </row>
    <row r="1149" spans="1:10">
      <c r="A1149" s="441">
        <v>3647</v>
      </c>
      <c r="B1149" s="441" t="s">
        <v>2115</v>
      </c>
      <c r="C1149" s="545">
        <v>72.833333333333343</v>
      </c>
      <c r="D1149" s="545">
        <v>32</v>
      </c>
      <c r="E1149" s="545">
        <v>24.666666666666668</v>
      </c>
      <c r="F1149" s="545">
        <v>60.119047619047635</v>
      </c>
      <c r="G1149" s="545">
        <v>44.95</v>
      </c>
      <c r="H1149" s="545">
        <v>24.333333333333332</v>
      </c>
      <c r="I1149" s="545">
        <v>17.666666666666668</v>
      </c>
      <c r="J1149" s="545">
        <v>38.107142857142854</v>
      </c>
    </row>
    <row r="1150" spans="1:10">
      <c r="A1150" s="441">
        <v>3665</v>
      </c>
      <c r="B1150" s="441" t="s">
        <v>2115</v>
      </c>
      <c r="C1150" s="545">
        <v>18.5</v>
      </c>
      <c r="D1150" s="545">
        <v>17</v>
      </c>
      <c r="E1150" s="545">
        <v>8.3333333333333321</v>
      </c>
      <c r="F1150" s="545">
        <v>16.833333333333332</v>
      </c>
      <c r="G1150" s="545">
        <v>11.8</v>
      </c>
      <c r="H1150" s="545">
        <v>8.3333333333333339</v>
      </c>
      <c r="I1150" s="545">
        <v>3.3333333333333335</v>
      </c>
      <c r="J1150" s="545">
        <v>10.095238095238093</v>
      </c>
    </row>
    <row r="1151" spans="1:10">
      <c r="A1151" s="441">
        <v>8629</v>
      </c>
      <c r="B1151" s="441" t="s">
        <v>2116</v>
      </c>
      <c r="C1151" s="545">
        <v>156.33333333333331</v>
      </c>
      <c r="D1151" s="545">
        <v>81.666666666666657</v>
      </c>
      <c r="E1151" s="545">
        <v>50.666666666666671</v>
      </c>
      <c r="F1151" s="545">
        <v>130.57142857142853</v>
      </c>
      <c r="G1151" s="545">
        <v>89.5</v>
      </c>
      <c r="H1151" s="545">
        <v>54.333333333333336</v>
      </c>
      <c r="I1151" s="545">
        <v>39.666666666666664</v>
      </c>
      <c r="J1151" s="545">
        <v>77.357142857142861</v>
      </c>
    </row>
    <row r="1152" spans="1:10">
      <c r="A1152" s="441">
        <v>8641</v>
      </c>
      <c r="B1152" s="441" t="s">
        <v>2116</v>
      </c>
      <c r="C1152" s="545">
        <v>143.83333333333334</v>
      </c>
      <c r="D1152" s="545">
        <v>74</v>
      </c>
      <c r="E1152" s="545">
        <v>69</v>
      </c>
      <c r="F1152" s="545">
        <v>123.16666666666667</v>
      </c>
      <c r="G1152" s="545">
        <v>87.2</v>
      </c>
      <c r="H1152" s="545">
        <v>51.333333333333336</v>
      </c>
      <c r="I1152" s="545">
        <v>30.333333333333332</v>
      </c>
      <c r="J1152" s="545">
        <v>73.952380952380949</v>
      </c>
    </row>
    <row r="1153" spans="1:10">
      <c r="A1153" s="441">
        <v>10495</v>
      </c>
      <c r="B1153" s="441" t="s">
        <v>2116</v>
      </c>
      <c r="C1153" s="545">
        <v>46.666666666666664</v>
      </c>
      <c r="D1153" s="545">
        <v>36</v>
      </c>
      <c r="E1153" s="545">
        <v>20.333333333333332</v>
      </c>
      <c r="F1153" s="545">
        <v>41.380952380952372</v>
      </c>
      <c r="G1153" s="545">
        <v>43.9</v>
      </c>
      <c r="H1153" s="545">
        <v>22</v>
      </c>
      <c r="I1153" s="545">
        <v>17.666666666666668</v>
      </c>
      <c r="J1153" s="545">
        <v>37.023809523809526</v>
      </c>
    </row>
    <row r="1154" spans="1:10">
      <c r="A1154" s="441">
        <v>3655</v>
      </c>
      <c r="B1154" s="441" t="s">
        <v>2117</v>
      </c>
      <c r="C1154" s="545">
        <v>1</v>
      </c>
      <c r="D1154" s="545">
        <v>0.66666666666666663</v>
      </c>
      <c r="E1154" s="545">
        <v>0.66666666666666663</v>
      </c>
      <c r="F1154" s="545">
        <v>0.90476190476190488</v>
      </c>
      <c r="G1154" s="545">
        <v>2.2000000000000002</v>
      </c>
      <c r="H1154" s="545">
        <v>1.6666666666666667</v>
      </c>
      <c r="I1154" s="545">
        <v>0.33333333333333331</v>
      </c>
      <c r="J1154" s="545">
        <v>1.8571428571428572</v>
      </c>
    </row>
    <row r="1155" spans="1:10">
      <c r="A1155" s="441">
        <v>7819</v>
      </c>
      <c r="B1155" s="441" t="s">
        <v>2118</v>
      </c>
      <c r="C1155" s="545">
        <v>86.166666666666671</v>
      </c>
      <c r="D1155" s="545">
        <v>64</v>
      </c>
      <c r="E1155" s="545">
        <v>44</v>
      </c>
      <c r="F1155" s="545">
        <v>76.976190476190482</v>
      </c>
      <c r="G1155" s="545">
        <v>58.1</v>
      </c>
      <c r="H1155" s="545">
        <v>44</v>
      </c>
      <c r="I1155" s="545">
        <v>29.666666666666668</v>
      </c>
      <c r="J1155" s="545">
        <v>52.023809523809526</v>
      </c>
    </row>
    <row r="1156" spans="1:10">
      <c r="A1156" s="441">
        <v>11422</v>
      </c>
      <c r="B1156" s="441" t="s">
        <v>2118</v>
      </c>
      <c r="C1156" s="545">
        <v>10.666666666666666</v>
      </c>
      <c r="D1156" s="545">
        <v>1.3333333333333333</v>
      </c>
      <c r="E1156" s="545">
        <v>0.33333333333333331</v>
      </c>
      <c r="F1156" s="545">
        <v>7.8571428571428568</v>
      </c>
      <c r="G1156" s="545">
        <v>4.55</v>
      </c>
      <c r="H1156" s="545">
        <v>0.33333333333333331</v>
      </c>
      <c r="I1156" s="545">
        <v>0</v>
      </c>
      <c r="J1156" s="545">
        <v>3.2976190476190474</v>
      </c>
    </row>
    <row r="1157" spans="1:10">
      <c r="A1157" s="441">
        <v>6259</v>
      </c>
      <c r="B1157" s="441" t="s">
        <v>2119</v>
      </c>
      <c r="C1157" s="545">
        <v>119.33333333333334</v>
      </c>
      <c r="D1157" s="545">
        <v>63.666666666666671</v>
      </c>
      <c r="E1157" s="545">
        <v>45.666666666666671</v>
      </c>
      <c r="F1157" s="545">
        <v>100.85714285714286</v>
      </c>
      <c r="G1157" s="545">
        <v>90.9</v>
      </c>
      <c r="H1157" s="545">
        <v>44.666666666666664</v>
      </c>
      <c r="I1157" s="545">
        <v>31</v>
      </c>
      <c r="J1157" s="545">
        <v>75.738095238095255</v>
      </c>
    </row>
    <row r="1158" spans="1:10">
      <c r="A1158" s="441">
        <v>7047</v>
      </c>
      <c r="B1158" s="441" t="s">
        <v>2119</v>
      </c>
      <c r="C1158" s="545">
        <v>46.166666666666664</v>
      </c>
      <c r="D1158" s="545">
        <v>29.333333333333336</v>
      </c>
      <c r="E1158" s="545">
        <v>27.666666666666668</v>
      </c>
      <c r="F1158" s="545">
        <v>41.119047619047613</v>
      </c>
      <c r="G1158" s="545">
        <v>48.05</v>
      </c>
      <c r="H1158" s="545">
        <v>33</v>
      </c>
      <c r="I1158" s="545">
        <v>19</v>
      </c>
      <c r="J1158" s="545">
        <v>41.75</v>
      </c>
    </row>
    <row r="1159" spans="1:10">
      <c r="A1159" s="441">
        <v>8635</v>
      </c>
      <c r="B1159" s="441" t="s">
        <v>2119</v>
      </c>
      <c r="C1159" s="545">
        <v>52.5</v>
      </c>
      <c r="D1159" s="545">
        <v>30</v>
      </c>
      <c r="E1159" s="545">
        <v>18</v>
      </c>
      <c r="F1159" s="545">
        <v>44.357142857142854</v>
      </c>
      <c r="G1159" s="545">
        <v>26</v>
      </c>
      <c r="H1159" s="545">
        <v>13.666666666666666</v>
      </c>
      <c r="I1159" s="545">
        <v>14.333333333333334</v>
      </c>
      <c r="J1159" s="545">
        <v>22.571428571428573</v>
      </c>
    </row>
    <row r="1160" spans="1:10">
      <c r="A1160" s="441">
        <v>8636</v>
      </c>
      <c r="B1160" s="441" t="s">
        <v>2119</v>
      </c>
      <c r="C1160" s="545">
        <v>27.833333333333336</v>
      </c>
      <c r="D1160" s="545">
        <v>17</v>
      </c>
      <c r="E1160" s="545">
        <v>13.333333333333334</v>
      </c>
      <c r="F1160" s="545">
        <v>24.214285714285719</v>
      </c>
      <c r="G1160" s="545">
        <v>20.6</v>
      </c>
      <c r="H1160" s="545">
        <v>9.3333333333333339</v>
      </c>
      <c r="I1160" s="545">
        <v>7.666666666666667</v>
      </c>
      <c r="J1160" s="545">
        <v>17.142857142857142</v>
      </c>
    </row>
    <row r="1161" spans="1:10">
      <c r="A1161" s="441">
        <v>7017</v>
      </c>
      <c r="B1161" s="441" t="s">
        <v>2120</v>
      </c>
      <c r="C1161" s="545">
        <v>16</v>
      </c>
      <c r="D1161" s="545">
        <v>1.3333333333333333</v>
      </c>
      <c r="E1161" s="545">
        <v>1</v>
      </c>
      <c r="F1161" s="545">
        <v>11.761904761904761</v>
      </c>
      <c r="G1161" s="545">
        <v>7.4</v>
      </c>
      <c r="H1161" s="545">
        <v>2.3333333333333335</v>
      </c>
      <c r="I1161" s="545">
        <v>0.66666666666666663</v>
      </c>
      <c r="J1161" s="545">
        <v>5.7142857142857144</v>
      </c>
    </row>
    <row r="1162" spans="1:10">
      <c r="A1162" s="441">
        <v>3642</v>
      </c>
      <c r="B1162" s="441" t="s">
        <v>2121</v>
      </c>
      <c r="C1162" s="545">
        <v>7.5</v>
      </c>
      <c r="D1162" s="545">
        <v>4.333333333333333</v>
      </c>
      <c r="E1162" s="545">
        <v>0</v>
      </c>
      <c r="F1162" s="545">
        <v>5.9761904761904763</v>
      </c>
      <c r="G1162" s="545">
        <v>6.4</v>
      </c>
      <c r="H1162" s="545">
        <v>2</v>
      </c>
      <c r="I1162" s="545">
        <v>1</v>
      </c>
      <c r="J1162" s="545">
        <v>5</v>
      </c>
    </row>
    <row r="1163" spans="1:10">
      <c r="A1163" s="441">
        <v>3671</v>
      </c>
      <c r="B1163" s="441" t="s">
        <v>2121</v>
      </c>
      <c r="C1163" s="545">
        <v>6</v>
      </c>
      <c r="D1163" s="545">
        <v>3.666666666666667</v>
      </c>
      <c r="E1163" s="545">
        <v>0.33333333333333331</v>
      </c>
      <c r="F1163" s="545">
        <v>4.8571428571428568</v>
      </c>
      <c r="G1163" s="545">
        <v>4.75</v>
      </c>
      <c r="H1163" s="545">
        <v>5.666666666666667</v>
      </c>
      <c r="I1163" s="545">
        <v>2</v>
      </c>
      <c r="J1163" s="545">
        <v>4.4880952380952381</v>
      </c>
    </row>
    <row r="1164" spans="1:10">
      <c r="A1164" s="441">
        <v>7041</v>
      </c>
      <c r="B1164" s="441" t="s">
        <v>2122</v>
      </c>
      <c r="C1164" s="545">
        <v>0.5</v>
      </c>
      <c r="D1164" s="545">
        <v>0</v>
      </c>
      <c r="E1164" s="545">
        <v>0.33333333333333331</v>
      </c>
      <c r="F1164" s="545">
        <v>0.40476190476190477</v>
      </c>
      <c r="G1164" s="545">
        <v>0.7</v>
      </c>
      <c r="H1164" s="545">
        <v>1</v>
      </c>
      <c r="I1164" s="545">
        <v>0.33333333333333331</v>
      </c>
      <c r="J1164" s="545">
        <v>0.69047619047619047</v>
      </c>
    </row>
    <row r="1165" spans="1:10">
      <c r="A1165" s="441">
        <v>7042</v>
      </c>
      <c r="B1165" s="441" t="s">
        <v>2122</v>
      </c>
      <c r="C1165" s="545">
        <v>10.666666666666668</v>
      </c>
      <c r="D1165" s="545">
        <v>5.333333333333333</v>
      </c>
      <c r="E1165" s="545">
        <v>2.3333333333333335</v>
      </c>
      <c r="F1165" s="545">
        <v>8.7142857142857171</v>
      </c>
      <c r="G1165" s="545">
        <v>9.85</v>
      </c>
      <c r="H1165" s="545">
        <v>1.3333333333333333</v>
      </c>
      <c r="I1165" s="545">
        <v>0.66666666666666663</v>
      </c>
      <c r="J1165" s="545">
        <v>7.3214285714285712</v>
      </c>
    </row>
    <row r="1166" spans="1:10">
      <c r="A1166" s="441">
        <v>3635</v>
      </c>
      <c r="B1166" s="441" t="s">
        <v>2123</v>
      </c>
      <c r="C1166" s="545">
        <v>45.333333333333336</v>
      </c>
      <c r="D1166" s="545">
        <v>34.333333333333336</v>
      </c>
      <c r="E1166" s="545">
        <v>25</v>
      </c>
      <c r="F1166" s="545">
        <v>40.857142857142854</v>
      </c>
      <c r="G1166" s="545">
        <v>36.799999999999997</v>
      </c>
      <c r="H1166" s="545">
        <v>23.333333333333332</v>
      </c>
      <c r="I1166" s="545">
        <v>19.333333333333332</v>
      </c>
      <c r="J1166" s="545">
        <v>32.380952380952387</v>
      </c>
    </row>
    <row r="1167" spans="1:10">
      <c r="A1167" s="441">
        <v>3679</v>
      </c>
      <c r="B1167" s="441" t="s">
        <v>2123</v>
      </c>
      <c r="C1167" s="545">
        <v>53.333333333333329</v>
      </c>
      <c r="D1167" s="545">
        <v>40</v>
      </c>
      <c r="E1167" s="545">
        <v>27</v>
      </c>
      <c r="F1167" s="545">
        <v>47.666666666666664</v>
      </c>
      <c r="G1167" s="545">
        <v>50.85</v>
      </c>
      <c r="H1167" s="545">
        <v>41</v>
      </c>
      <c r="I1167" s="545">
        <v>19.666666666666668</v>
      </c>
      <c r="J1167" s="545">
        <v>44.988095238095241</v>
      </c>
    </row>
    <row r="1168" spans="1:10">
      <c r="A1168" s="441">
        <v>3639</v>
      </c>
      <c r="B1168" s="441" t="s">
        <v>2124</v>
      </c>
      <c r="C1168" s="545">
        <v>26.333333333333332</v>
      </c>
      <c r="D1168" s="545">
        <v>12.666666666666666</v>
      </c>
      <c r="E1168" s="545">
        <v>13.333333333333332</v>
      </c>
      <c r="F1168" s="545">
        <v>22.523809523809522</v>
      </c>
      <c r="G1168" s="545">
        <v>20.75</v>
      </c>
      <c r="H1168" s="545">
        <v>10</v>
      </c>
      <c r="I1168" s="545">
        <v>9.6666666666666661</v>
      </c>
      <c r="J1168" s="545">
        <v>17.630952380952383</v>
      </c>
    </row>
    <row r="1169" spans="1:10">
      <c r="A1169" s="441">
        <v>3674</v>
      </c>
      <c r="B1169" s="441" t="s">
        <v>2124</v>
      </c>
      <c r="C1169" s="545">
        <v>23.833333333333332</v>
      </c>
      <c r="D1169" s="545">
        <v>17</v>
      </c>
      <c r="E1169" s="545">
        <v>15.666666666666668</v>
      </c>
      <c r="F1169" s="545">
        <v>21.690476190476186</v>
      </c>
      <c r="G1169" s="545">
        <v>19.899999999999999</v>
      </c>
      <c r="H1169" s="545">
        <v>14.333333333333334</v>
      </c>
      <c r="I1169" s="545">
        <v>12.666666666666666</v>
      </c>
      <c r="J1169" s="545">
        <v>18.071428571428573</v>
      </c>
    </row>
    <row r="1170" spans="1:10">
      <c r="A1170" s="441">
        <v>7820</v>
      </c>
      <c r="B1170" s="441" t="s">
        <v>2125</v>
      </c>
      <c r="C1170" s="545">
        <v>216.5</v>
      </c>
      <c r="D1170" s="545">
        <v>131.33333333333334</v>
      </c>
      <c r="E1170" s="545">
        <v>110</v>
      </c>
      <c r="F1170" s="545">
        <v>189.11904761904762</v>
      </c>
      <c r="G1170" s="545">
        <v>134.44999999999999</v>
      </c>
      <c r="H1170" s="545">
        <v>73.666666666666671</v>
      </c>
      <c r="I1170" s="545">
        <v>55.333333333333336</v>
      </c>
      <c r="J1170" s="545">
        <v>114.46428571428571</v>
      </c>
    </row>
    <row r="1171" spans="1:10">
      <c r="A1171" s="441">
        <v>8245</v>
      </c>
      <c r="B1171" s="441" t="s">
        <v>2125</v>
      </c>
      <c r="C1171" s="545">
        <v>207.83333333333334</v>
      </c>
      <c r="D1171" s="545">
        <v>113</v>
      </c>
      <c r="E1171" s="545">
        <v>92.666666666666671</v>
      </c>
      <c r="F1171" s="545">
        <v>177.83333333333334</v>
      </c>
      <c r="G1171" s="545">
        <v>154.6</v>
      </c>
      <c r="H1171" s="545">
        <v>93.333333333333329</v>
      </c>
      <c r="I1171" s="545">
        <v>70</v>
      </c>
      <c r="J1171" s="545">
        <v>133.76190476190476</v>
      </c>
    </row>
    <row r="1172" spans="1:10">
      <c r="A1172" s="441">
        <v>3628</v>
      </c>
      <c r="B1172" s="441" t="s">
        <v>2126</v>
      </c>
      <c r="C1172" s="545">
        <v>8.5</v>
      </c>
      <c r="D1172" s="545">
        <v>5</v>
      </c>
      <c r="E1172" s="545">
        <v>0.66666666666666663</v>
      </c>
      <c r="F1172" s="545">
        <v>6.8809523809523805</v>
      </c>
      <c r="G1172" s="545">
        <v>9.15</v>
      </c>
      <c r="H1172" s="545">
        <v>0.66666666666666663</v>
      </c>
      <c r="I1172" s="545">
        <v>0.66666666666666663</v>
      </c>
      <c r="J1172" s="545">
        <v>6.7261904761904754</v>
      </c>
    </row>
    <row r="1173" spans="1:10">
      <c r="A1173" s="441">
        <v>10435</v>
      </c>
      <c r="B1173" s="441" t="s">
        <v>2126</v>
      </c>
      <c r="C1173" s="545">
        <v>11.833333333333332</v>
      </c>
      <c r="D1173" s="545">
        <v>0.66666666666666663</v>
      </c>
      <c r="E1173" s="545">
        <v>0.33333333333333331</v>
      </c>
      <c r="F1173" s="545">
        <v>8.5952380952380931</v>
      </c>
      <c r="G1173" s="545">
        <v>5.4</v>
      </c>
      <c r="H1173" s="545">
        <v>1</v>
      </c>
      <c r="I1173" s="545">
        <v>0</v>
      </c>
      <c r="J1173" s="545">
        <v>4</v>
      </c>
    </row>
    <row r="1174" spans="1:10">
      <c r="A1174" s="441">
        <v>3648</v>
      </c>
      <c r="B1174" s="441" t="s">
        <v>2127</v>
      </c>
      <c r="C1174" s="545">
        <v>3.5</v>
      </c>
      <c r="D1174" s="545">
        <v>1.3333333333333333</v>
      </c>
      <c r="E1174" s="545">
        <v>0.33333333333333331</v>
      </c>
      <c r="F1174" s="545">
        <v>2.7380952380952377</v>
      </c>
      <c r="G1174" s="545">
        <v>3.3</v>
      </c>
      <c r="H1174" s="545">
        <v>0</v>
      </c>
      <c r="I1174" s="545">
        <v>0</v>
      </c>
      <c r="J1174" s="545">
        <v>2.3571428571428572</v>
      </c>
    </row>
    <row r="1175" spans="1:10">
      <c r="A1175" s="441">
        <v>3649</v>
      </c>
      <c r="B1175" s="441" t="s">
        <v>2127</v>
      </c>
      <c r="C1175" s="545">
        <v>2.1666666666666665</v>
      </c>
      <c r="D1175" s="545">
        <v>1</v>
      </c>
      <c r="E1175" s="545">
        <v>1.6666666666666665</v>
      </c>
      <c r="F1175" s="545">
        <v>1.9285714285714284</v>
      </c>
      <c r="G1175" s="545">
        <v>0.75</v>
      </c>
      <c r="H1175" s="545">
        <v>1.6666666666666667</v>
      </c>
      <c r="I1175" s="545">
        <v>0</v>
      </c>
      <c r="J1175" s="545">
        <v>0.77380952380952384</v>
      </c>
    </row>
    <row r="1176" spans="1:10">
      <c r="A1176" s="441">
        <v>8631</v>
      </c>
      <c r="B1176" s="441" t="s">
        <v>2128</v>
      </c>
      <c r="C1176" s="545">
        <v>287</v>
      </c>
      <c r="D1176" s="545">
        <v>196.33333333333334</v>
      </c>
      <c r="E1176" s="545">
        <v>154</v>
      </c>
      <c r="F1176" s="545">
        <v>255.04761904761904</v>
      </c>
      <c r="G1176" s="545">
        <v>186.65</v>
      </c>
      <c r="H1176" s="545">
        <v>126.66666666666667</v>
      </c>
      <c r="I1176" s="545">
        <v>93</v>
      </c>
      <c r="J1176" s="545">
        <v>164.70238095238096</v>
      </c>
    </row>
    <row r="1177" spans="1:10">
      <c r="A1177" s="441">
        <v>8640</v>
      </c>
      <c r="B1177" s="441" t="s">
        <v>2128</v>
      </c>
      <c r="C1177" s="545">
        <v>402</v>
      </c>
      <c r="D1177" s="545">
        <v>233</v>
      </c>
      <c r="E1177" s="545">
        <v>205.33333333333331</v>
      </c>
      <c r="F1177" s="545">
        <v>349.76190476190476</v>
      </c>
      <c r="G1177" s="545">
        <v>232.3</v>
      </c>
      <c r="H1177" s="545">
        <v>150.66666666666666</v>
      </c>
      <c r="I1177" s="545">
        <v>106.33333333333333</v>
      </c>
      <c r="J1177" s="545">
        <v>202.64285714285714</v>
      </c>
    </row>
    <row r="1178" spans="1:10">
      <c r="A1178" s="441">
        <v>3656</v>
      </c>
      <c r="B1178" s="441" t="s">
        <v>2129</v>
      </c>
      <c r="C1178" s="545">
        <v>7.6666666666666661</v>
      </c>
      <c r="D1178" s="545">
        <v>3.6666666666666665</v>
      </c>
      <c r="E1178" s="545">
        <v>1.6666666666666667</v>
      </c>
      <c r="F1178" s="545">
        <v>6.2380952380952364</v>
      </c>
      <c r="G1178" s="545">
        <v>2.5</v>
      </c>
      <c r="H1178" s="545">
        <v>1.6666666666666667</v>
      </c>
      <c r="I1178" s="545">
        <v>1.6666666666666667</v>
      </c>
      <c r="J1178" s="545">
        <v>2.2619047619047619</v>
      </c>
    </row>
    <row r="1179" spans="1:10">
      <c r="A1179" s="441">
        <v>3658</v>
      </c>
      <c r="B1179" s="441" t="s">
        <v>2129</v>
      </c>
      <c r="C1179" s="545">
        <v>37.5</v>
      </c>
      <c r="D1179" s="545">
        <v>22.333333333333332</v>
      </c>
      <c r="E1179" s="545">
        <v>14.333333333333332</v>
      </c>
      <c r="F1179" s="545">
        <v>32.023809523809526</v>
      </c>
      <c r="G1179" s="545">
        <v>26.25</v>
      </c>
      <c r="H1179" s="545">
        <v>11</v>
      </c>
      <c r="I1179" s="545">
        <v>9.3333333333333339</v>
      </c>
      <c r="J1179" s="545">
        <v>21.654761904761905</v>
      </c>
    </row>
    <row r="1180" spans="1:10">
      <c r="A1180" s="441">
        <v>8867</v>
      </c>
      <c r="B1180" s="441" t="s">
        <v>2130</v>
      </c>
      <c r="C1180" s="545">
        <v>8.1666666666666679</v>
      </c>
      <c r="D1180" s="545">
        <v>5.666666666666667</v>
      </c>
      <c r="E1180" s="545">
        <v>2.3333333333333335</v>
      </c>
      <c r="F1180" s="545">
        <v>6.9761904761904772</v>
      </c>
      <c r="G1180" s="545">
        <v>6.5</v>
      </c>
      <c r="H1180" s="545">
        <v>3.3333333333333335</v>
      </c>
      <c r="I1180" s="545">
        <v>2.3333333333333335</v>
      </c>
      <c r="J1180" s="545">
        <v>5.4523809523809534</v>
      </c>
    </row>
    <row r="1181" spans="1:10">
      <c r="A1181" s="441">
        <v>8868</v>
      </c>
      <c r="B1181" s="441" t="s">
        <v>2130</v>
      </c>
      <c r="C1181" s="545">
        <v>8</v>
      </c>
      <c r="D1181" s="545">
        <v>5</v>
      </c>
      <c r="E1181" s="545">
        <v>5.666666666666667</v>
      </c>
      <c r="F1181" s="545">
        <v>7.2380952380952381</v>
      </c>
      <c r="G1181" s="545">
        <v>6.55</v>
      </c>
      <c r="H1181" s="545">
        <v>3</v>
      </c>
      <c r="I1181" s="545">
        <v>2.3333333333333335</v>
      </c>
      <c r="J1181" s="545">
        <v>5.4404761904761907</v>
      </c>
    </row>
    <row r="1182" spans="1:10">
      <c r="A1182" s="441">
        <v>12810</v>
      </c>
      <c r="B1182" s="441" t="s">
        <v>2131</v>
      </c>
      <c r="C1182" s="545">
        <v>11</v>
      </c>
      <c r="D1182" s="545">
        <v>5</v>
      </c>
      <c r="E1182" s="545">
        <v>3.3333333333333335</v>
      </c>
      <c r="F1182" s="545">
        <v>9.0476190476190474</v>
      </c>
      <c r="G1182" s="545">
        <v>6.3</v>
      </c>
      <c r="H1182" s="545">
        <v>2.3333333333333335</v>
      </c>
      <c r="I1182" s="545">
        <v>2.6666666666666665</v>
      </c>
      <c r="J1182" s="545">
        <v>5.2142857142857144</v>
      </c>
    </row>
    <row r="1183" spans="1:10">
      <c r="A1183" s="441">
        <v>8869</v>
      </c>
      <c r="B1183" s="441" t="s">
        <v>2132</v>
      </c>
      <c r="C1183" s="545">
        <v>7</v>
      </c>
      <c r="D1183" s="545">
        <v>6</v>
      </c>
      <c r="E1183" s="545">
        <v>2.333333333333333</v>
      </c>
      <c r="F1183" s="545">
        <v>6.1904761904761907</v>
      </c>
      <c r="G1183" s="545">
        <v>3.9</v>
      </c>
      <c r="H1183" s="545">
        <v>4.666666666666667</v>
      </c>
      <c r="I1183" s="545">
        <v>1</v>
      </c>
      <c r="J1183" s="545">
        <v>3.5952380952380953</v>
      </c>
    </row>
    <row r="1184" spans="1:10">
      <c r="A1184" s="441">
        <v>12808</v>
      </c>
      <c r="B1184" s="441" t="s">
        <v>2132</v>
      </c>
      <c r="C1184" s="545">
        <v>16</v>
      </c>
      <c r="D1184" s="545">
        <v>9</v>
      </c>
      <c r="E1184" s="545">
        <v>6.666666666666667</v>
      </c>
      <c r="F1184" s="545">
        <v>13.666666666666668</v>
      </c>
      <c r="G1184" s="545">
        <v>6.35</v>
      </c>
      <c r="H1184" s="545">
        <v>5.666666666666667</v>
      </c>
      <c r="I1184" s="545">
        <v>3</v>
      </c>
      <c r="J1184" s="545">
        <v>5.7738095238095237</v>
      </c>
    </row>
    <row r="1185" spans="1:10">
      <c r="A1185" s="441">
        <v>12809</v>
      </c>
      <c r="B1185" s="441" t="s">
        <v>2132</v>
      </c>
      <c r="C1185" s="545">
        <v>4.833333333333333</v>
      </c>
      <c r="D1185" s="545">
        <v>2.3333333333333335</v>
      </c>
      <c r="E1185" s="545">
        <v>1.3333333333333333</v>
      </c>
      <c r="F1185" s="545">
        <v>3.9761904761904754</v>
      </c>
      <c r="G1185" s="545">
        <v>3.8</v>
      </c>
      <c r="H1185" s="545">
        <v>2.3333333333333335</v>
      </c>
      <c r="I1185" s="545">
        <v>2</v>
      </c>
      <c r="J1185" s="545">
        <v>3.333333333333333</v>
      </c>
    </row>
    <row r="1186" spans="1:10">
      <c r="A1186" s="441">
        <v>11488</v>
      </c>
      <c r="B1186" s="441" t="s">
        <v>2133</v>
      </c>
      <c r="C1186" s="545">
        <v>22</v>
      </c>
      <c r="D1186" s="545">
        <v>18.666666666666668</v>
      </c>
      <c r="E1186" s="545">
        <v>16.333333333333332</v>
      </c>
      <c r="F1186" s="545">
        <v>20.714285714285715</v>
      </c>
      <c r="G1186" s="545">
        <v>9.1</v>
      </c>
      <c r="H1186" s="545">
        <v>7.666666666666667</v>
      </c>
      <c r="I1186" s="545">
        <v>13</v>
      </c>
      <c r="J1186" s="545">
        <v>9.4523809523809508</v>
      </c>
    </row>
    <row r="1187" spans="1:10">
      <c r="A1187" s="441">
        <v>11489</v>
      </c>
      <c r="B1187" s="441" t="s">
        <v>2133</v>
      </c>
      <c r="C1187" s="545">
        <v>13.5</v>
      </c>
      <c r="D1187" s="545">
        <v>8</v>
      </c>
      <c r="E1187" s="545">
        <v>4.666666666666667</v>
      </c>
      <c r="F1187" s="545">
        <v>11.452380952380953</v>
      </c>
      <c r="G1187" s="545">
        <v>7.15</v>
      </c>
      <c r="H1187" s="545">
        <v>7</v>
      </c>
      <c r="I1187" s="545">
        <v>7.666666666666667</v>
      </c>
      <c r="J1187" s="545">
        <v>7.2023809523809517</v>
      </c>
    </row>
    <row r="1188" spans="1:10">
      <c r="A1188" s="441">
        <v>11490</v>
      </c>
      <c r="B1188" s="441" t="s">
        <v>2133</v>
      </c>
      <c r="C1188" s="545">
        <v>83.5</v>
      </c>
      <c r="D1188" s="545">
        <v>52.666666666666664</v>
      </c>
      <c r="E1188" s="545">
        <v>52</v>
      </c>
      <c r="F1188" s="545">
        <v>74.595238095238102</v>
      </c>
      <c r="G1188" s="545">
        <v>67.45</v>
      </c>
      <c r="H1188" s="545">
        <v>52</v>
      </c>
      <c r="I1188" s="545">
        <v>52</v>
      </c>
      <c r="J1188" s="545">
        <v>63.035714285714285</v>
      </c>
    </row>
    <row r="1189" spans="1:10">
      <c r="A1189" s="441">
        <v>2144</v>
      </c>
      <c r="B1189" s="441" t="s">
        <v>2134</v>
      </c>
      <c r="C1189" s="545">
        <v>19.5</v>
      </c>
      <c r="D1189" s="545">
        <v>6</v>
      </c>
      <c r="E1189" s="545">
        <v>9</v>
      </c>
      <c r="F1189" s="545">
        <v>16.071428571428573</v>
      </c>
      <c r="G1189" s="545">
        <v>11.95</v>
      </c>
      <c r="H1189" s="545">
        <v>10.333333333333334</v>
      </c>
      <c r="I1189" s="545">
        <v>6</v>
      </c>
      <c r="J1189" s="545">
        <v>10.869047619047619</v>
      </c>
    </row>
    <row r="1190" spans="1:10">
      <c r="A1190" s="441">
        <v>2161</v>
      </c>
      <c r="B1190" s="441" t="s">
        <v>2134</v>
      </c>
      <c r="C1190" s="545">
        <v>15.5</v>
      </c>
      <c r="D1190" s="545">
        <v>10</v>
      </c>
      <c r="E1190" s="545">
        <v>6</v>
      </c>
      <c r="F1190" s="545">
        <v>13.357142857142858</v>
      </c>
      <c r="G1190" s="545">
        <v>11.4</v>
      </c>
      <c r="H1190" s="545">
        <v>8.6666666666666661</v>
      </c>
      <c r="I1190" s="545">
        <v>6</v>
      </c>
      <c r="J1190" s="545">
        <v>10.238095238095239</v>
      </c>
    </row>
    <row r="1191" spans="1:10">
      <c r="A1191" s="441">
        <v>2143</v>
      </c>
      <c r="B1191" s="441" t="s">
        <v>2135</v>
      </c>
      <c r="C1191" s="545">
        <v>84</v>
      </c>
      <c r="D1191" s="545">
        <v>32</v>
      </c>
      <c r="E1191" s="545">
        <v>19.666666666666668</v>
      </c>
      <c r="F1191" s="545">
        <v>67.38095238095238</v>
      </c>
      <c r="G1191" s="545">
        <v>54.65</v>
      </c>
      <c r="H1191" s="545">
        <v>18.666666666666668</v>
      </c>
      <c r="I1191" s="545">
        <v>19</v>
      </c>
      <c r="J1191" s="545">
        <v>44.416666666666671</v>
      </c>
    </row>
    <row r="1192" spans="1:10">
      <c r="A1192" s="441">
        <v>2162</v>
      </c>
      <c r="B1192" s="441" t="s">
        <v>2135</v>
      </c>
      <c r="C1192" s="545">
        <v>69.666666666666671</v>
      </c>
      <c r="D1192" s="545">
        <v>21</v>
      </c>
      <c r="E1192" s="545">
        <v>21.333333333333332</v>
      </c>
      <c r="F1192" s="545">
        <v>55.80952380952381</v>
      </c>
      <c r="G1192" s="545">
        <v>37.799999999999997</v>
      </c>
      <c r="H1192" s="545">
        <v>12.666666666666666</v>
      </c>
      <c r="I1192" s="545">
        <v>10.333333333333334</v>
      </c>
      <c r="J1192" s="545">
        <v>30.285714285714285</v>
      </c>
    </row>
    <row r="1193" spans="1:10">
      <c r="A1193" s="441">
        <v>2145</v>
      </c>
      <c r="B1193" s="441" t="s">
        <v>2136</v>
      </c>
      <c r="C1193" s="545">
        <v>29</v>
      </c>
      <c r="D1193" s="545">
        <v>23.333333333333332</v>
      </c>
      <c r="E1193" s="545">
        <v>10.666666666666666</v>
      </c>
      <c r="F1193" s="545">
        <v>25.571428571428573</v>
      </c>
      <c r="G1193" s="545">
        <v>24.15</v>
      </c>
      <c r="H1193" s="545">
        <v>18.666666666666668</v>
      </c>
      <c r="I1193" s="545">
        <v>12.333333333333334</v>
      </c>
      <c r="J1193" s="545">
        <v>21.678571428571427</v>
      </c>
    </row>
    <row r="1194" spans="1:10">
      <c r="A1194" s="441">
        <v>2160</v>
      </c>
      <c r="B1194" s="441" t="s">
        <v>2136</v>
      </c>
      <c r="C1194" s="545">
        <v>43.5</v>
      </c>
      <c r="D1194" s="545">
        <v>21.333333333333336</v>
      </c>
      <c r="E1194" s="545">
        <v>22.333333333333332</v>
      </c>
      <c r="F1194" s="545">
        <v>37.30952380952381</v>
      </c>
      <c r="G1194" s="545">
        <v>28.25</v>
      </c>
      <c r="H1194" s="545">
        <v>20.333333333333332</v>
      </c>
      <c r="I1194" s="545">
        <v>15.333333333333334</v>
      </c>
      <c r="J1194" s="545">
        <v>25.273809523809526</v>
      </c>
    </row>
    <row r="1195" spans="1:10">
      <c r="A1195" s="441">
        <v>11483</v>
      </c>
      <c r="B1195" s="441" t="s">
        <v>2137</v>
      </c>
      <c r="C1195" s="545">
        <v>25.833333333333332</v>
      </c>
      <c r="D1195" s="545">
        <v>12</v>
      </c>
      <c r="E1195" s="545">
        <v>10.333333333333334</v>
      </c>
      <c r="F1195" s="545">
        <v>21.642857142857142</v>
      </c>
      <c r="G1195" s="545">
        <v>10.4</v>
      </c>
      <c r="H1195" s="545">
        <v>5</v>
      </c>
      <c r="I1195" s="545">
        <v>6.666666666666667</v>
      </c>
      <c r="J1195" s="545">
        <v>9.0952380952380949</v>
      </c>
    </row>
    <row r="1196" spans="1:10">
      <c r="A1196" s="441">
        <v>11484</v>
      </c>
      <c r="B1196" s="441" t="s">
        <v>2137</v>
      </c>
      <c r="C1196" s="545">
        <v>27.166666666666664</v>
      </c>
      <c r="D1196" s="545">
        <v>14.333333333333334</v>
      </c>
      <c r="E1196" s="545">
        <v>9.3333333333333321</v>
      </c>
      <c r="F1196" s="545">
        <v>22.785714285714285</v>
      </c>
      <c r="G1196" s="545">
        <v>11.9</v>
      </c>
      <c r="H1196" s="545">
        <v>6.666666666666667</v>
      </c>
      <c r="I1196" s="545">
        <v>3</v>
      </c>
      <c r="J1196" s="545">
        <v>9.8809523809523814</v>
      </c>
    </row>
    <row r="1197" spans="1:10">
      <c r="A1197" s="441">
        <v>11487</v>
      </c>
      <c r="B1197" s="441" t="s">
        <v>2138</v>
      </c>
      <c r="C1197" s="545">
        <v>56.333333333333336</v>
      </c>
      <c r="D1197" s="545">
        <v>23.666666666666668</v>
      </c>
      <c r="E1197" s="545">
        <v>21</v>
      </c>
      <c r="F1197" s="545">
        <v>46.619047619047628</v>
      </c>
      <c r="G1197" s="545">
        <v>25.95</v>
      </c>
      <c r="H1197" s="545">
        <v>14.333333333333334</v>
      </c>
      <c r="I1197" s="545">
        <v>12</v>
      </c>
      <c r="J1197" s="545">
        <v>22.297619047619047</v>
      </c>
    </row>
    <row r="1198" spans="1:10">
      <c r="A1198" s="441">
        <v>11492</v>
      </c>
      <c r="B1198" s="441" t="s">
        <v>2138</v>
      </c>
      <c r="C1198" s="545">
        <v>58.166666666666664</v>
      </c>
      <c r="D1198" s="545">
        <v>21.666666666666668</v>
      </c>
      <c r="E1198" s="545">
        <v>21.333333333333332</v>
      </c>
      <c r="F1198" s="545">
        <v>47.69047619047619</v>
      </c>
      <c r="G1198" s="545">
        <v>31.6</v>
      </c>
      <c r="H1198" s="545">
        <v>13.333333333333334</v>
      </c>
      <c r="I1198" s="545">
        <v>10.666666666666666</v>
      </c>
      <c r="J1198" s="545">
        <v>26</v>
      </c>
    </row>
    <row r="1199" spans="1:10">
      <c r="A1199" s="441">
        <v>7351</v>
      </c>
      <c r="B1199" s="441" t="s">
        <v>2139</v>
      </c>
      <c r="C1199" s="545">
        <v>0.33333333333333331</v>
      </c>
      <c r="D1199" s="545">
        <v>0.66666666666666663</v>
      </c>
      <c r="E1199" s="545">
        <v>0</v>
      </c>
      <c r="F1199" s="545">
        <v>0.33333333333333331</v>
      </c>
      <c r="G1199" s="545">
        <v>1.55</v>
      </c>
      <c r="H1199" s="545">
        <v>0</v>
      </c>
      <c r="I1199" s="545">
        <v>0</v>
      </c>
      <c r="J1199" s="545">
        <v>1.1071428571428572</v>
      </c>
    </row>
    <row r="1200" spans="1:10">
      <c r="A1200" s="441">
        <v>7364</v>
      </c>
      <c r="B1200" s="441" t="s">
        <v>2139</v>
      </c>
      <c r="C1200" s="545">
        <v>2.5</v>
      </c>
      <c r="D1200" s="545">
        <v>1</v>
      </c>
      <c r="E1200" s="545">
        <v>0.66666666666666663</v>
      </c>
      <c r="F1200" s="545">
        <v>2.0238095238095237</v>
      </c>
      <c r="G1200" s="545">
        <v>0.65</v>
      </c>
      <c r="H1200" s="545">
        <v>0.66666666666666663</v>
      </c>
      <c r="I1200" s="545">
        <v>1</v>
      </c>
      <c r="J1200" s="545">
        <v>0.70238095238095233</v>
      </c>
    </row>
    <row r="1201" spans="1:10">
      <c r="A1201" s="441">
        <v>7353</v>
      </c>
      <c r="B1201" s="441" t="s">
        <v>2140</v>
      </c>
      <c r="C1201" s="545">
        <v>0.33333333333333331</v>
      </c>
      <c r="D1201" s="545">
        <v>0</v>
      </c>
      <c r="E1201" s="545">
        <v>0</v>
      </c>
      <c r="F1201" s="545">
        <v>0.23809523809523808</v>
      </c>
      <c r="G1201" s="545">
        <v>1.1499999999999999</v>
      </c>
      <c r="H1201" s="545">
        <v>0.33333333333333331</v>
      </c>
      <c r="I1201" s="545">
        <v>0.66666666666666663</v>
      </c>
      <c r="J1201" s="545">
        <v>0.9642857142857143</v>
      </c>
    </row>
    <row r="1202" spans="1:10">
      <c r="A1202" s="441">
        <v>7350</v>
      </c>
      <c r="B1202" s="441" t="s">
        <v>2141</v>
      </c>
      <c r="C1202" s="545">
        <v>2</v>
      </c>
      <c r="D1202" s="545">
        <v>2.6666666666666665</v>
      </c>
      <c r="E1202" s="545">
        <v>2</v>
      </c>
      <c r="F1202" s="545">
        <v>2.0952380952380953</v>
      </c>
      <c r="G1202" s="545">
        <v>1.8</v>
      </c>
      <c r="H1202" s="545">
        <v>3</v>
      </c>
      <c r="I1202" s="545">
        <v>1.6666666666666667</v>
      </c>
      <c r="J1202" s="545">
        <v>1.9523809523809523</v>
      </c>
    </row>
    <row r="1203" spans="1:10">
      <c r="A1203" s="441">
        <v>7365</v>
      </c>
      <c r="B1203" s="441" t="s">
        <v>2142</v>
      </c>
      <c r="C1203" s="545">
        <v>10.5</v>
      </c>
      <c r="D1203" s="545">
        <v>7.333333333333333</v>
      </c>
      <c r="E1203" s="545">
        <v>5.333333333333333</v>
      </c>
      <c r="F1203" s="545">
        <v>9.3095238095238102</v>
      </c>
      <c r="G1203" s="545">
        <v>6.55</v>
      </c>
      <c r="H1203" s="545">
        <v>5</v>
      </c>
      <c r="I1203" s="545">
        <v>2.6666666666666665</v>
      </c>
      <c r="J1203" s="545">
        <v>5.7738095238095237</v>
      </c>
    </row>
    <row r="1204" spans="1:10">
      <c r="A1204" s="441">
        <v>7352</v>
      </c>
      <c r="B1204" s="441" t="s">
        <v>2143</v>
      </c>
      <c r="C1204" s="545">
        <v>11</v>
      </c>
      <c r="D1204" s="545">
        <v>4.666666666666667</v>
      </c>
      <c r="E1204" s="545">
        <v>5</v>
      </c>
      <c r="F1204" s="545">
        <v>9.2380952380952372</v>
      </c>
      <c r="G1204" s="545">
        <v>6.2</v>
      </c>
      <c r="H1204" s="545">
        <v>3.6666666666666665</v>
      </c>
      <c r="I1204" s="545">
        <v>3.6666666666666665</v>
      </c>
      <c r="J1204" s="545">
        <v>5.4761904761904754</v>
      </c>
    </row>
    <row r="1205" spans="1:10">
      <c r="A1205" s="441">
        <v>7363</v>
      </c>
      <c r="B1205" s="441" t="s">
        <v>2143</v>
      </c>
      <c r="C1205" s="545">
        <v>11.333333333333332</v>
      </c>
      <c r="D1205" s="545">
        <v>4</v>
      </c>
      <c r="E1205" s="545">
        <v>3.3333333333333335</v>
      </c>
      <c r="F1205" s="545">
        <v>9.1428571428571423</v>
      </c>
      <c r="G1205" s="545">
        <v>7.65</v>
      </c>
      <c r="H1205" s="545">
        <v>3</v>
      </c>
      <c r="I1205" s="545">
        <v>3.3333333333333335</v>
      </c>
      <c r="J1205" s="545">
        <v>6.3690476190476195</v>
      </c>
    </row>
    <row r="1206" spans="1:10">
      <c r="A1206" s="441">
        <v>7380</v>
      </c>
      <c r="B1206" s="441" t="s">
        <v>2144</v>
      </c>
      <c r="C1206" s="545">
        <v>2.1666666666666665</v>
      </c>
      <c r="D1206" s="545">
        <v>0.33333333333333331</v>
      </c>
      <c r="E1206" s="545">
        <v>0.33333333333333331</v>
      </c>
      <c r="F1206" s="545">
        <v>1.6428571428571428</v>
      </c>
      <c r="G1206" s="545">
        <v>0.65</v>
      </c>
      <c r="H1206" s="545">
        <v>2</v>
      </c>
      <c r="I1206" s="545">
        <v>1</v>
      </c>
      <c r="J1206" s="545">
        <v>0.8928571428571429</v>
      </c>
    </row>
    <row r="1207" spans="1:10">
      <c r="A1207" s="441">
        <v>12326</v>
      </c>
      <c r="B1207" s="441" t="s">
        <v>2145</v>
      </c>
      <c r="C1207" s="545">
        <v>60.333333333333329</v>
      </c>
      <c r="D1207" s="545">
        <v>28.333333333333336</v>
      </c>
      <c r="E1207" s="545">
        <v>29.333333333333332</v>
      </c>
      <c r="F1207" s="545">
        <v>51.333333333333321</v>
      </c>
      <c r="G1207" s="545">
        <v>43.55</v>
      </c>
      <c r="H1207" s="545">
        <v>29.666666666666668</v>
      </c>
      <c r="I1207" s="545">
        <v>16.666666666666668</v>
      </c>
      <c r="J1207" s="545">
        <v>37.726190476190474</v>
      </c>
    </row>
    <row r="1208" spans="1:10">
      <c r="A1208" s="441">
        <v>8532</v>
      </c>
      <c r="B1208" s="441" t="s">
        <v>2146</v>
      </c>
      <c r="C1208" s="545">
        <v>153.66666666666666</v>
      </c>
      <c r="D1208" s="545">
        <v>90</v>
      </c>
      <c r="E1208" s="545">
        <v>117.66666666666666</v>
      </c>
      <c r="F1208" s="545">
        <v>139.42857142857142</v>
      </c>
      <c r="G1208" s="545">
        <v>39.65</v>
      </c>
      <c r="H1208" s="545">
        <v>10.333333333333334</v>
      </c>
      <c r="I1208" s="545">
        <v>11</v>
      </c>
      <c r="J1208" s="545">
        <v>31.36904761904762</v>
      </c>
    </row>
    <row r="1209" spans="1:10">
      <c r="A1209" s="441">
        <v>12325</v>
      </c>
      <c r="B1209" s="441" t="s">
        <v>2147</v>
      </c>
      <c r="C1209" s="545">
        <v>8.8333333333333321</v>
      </c>
      <c r="D1209" s="545">
        <v>2</v>
      </c>
      <c r="E1209" s="545">
        <v>4.6666666666666661</v>
      </c>
      <c r="F1209" s="545">
        <v>7.2619047619047601</v>
      </c>
      <c r="G1209" s="545">
        <v>58.2</v>
      </c>
      <c r="H1209" s="545">
        <v>65</v>
      </c>
      <c r="I1209" s="545">
        <v>45.666666666666664</v>
      </c>
      <c r="J1209" s="545">
        <v>57.380952380952387</v>
      </c>
    </row>
    <row r="1210" spans="1:10">
      <c r="A1210" s="441">
        <v>1266</v>
      </c>
      <c r="B1210" s="441" t="s">
        <v>2148</v>
      </c>
      <c r="C1210" s="545">
        <v>2</v>
      </c>
      <c r="D1210" s="545">
        <v>0.33333333333333331</v>
      </c>
      <c r="E1210" s="545">
        <v>1</v>
      </c>
      <c r="F1210" s="545">
        <v>1.6190476190476191</v>
      </c>
      <c r="G1210" s="545">
        <v>2.6</v>
      </c>
      <c r="H1210" s="545">
        <v>3</v>
      </c>
      <c r="I1210" s="545">
        <v>0.33333333333333331</v>
      </c>
      <c r="J1210" s="545">
        <v>2.333333333333333</v>
      </c>
    </row>
    <row r="1211" spans="1:10">
      <c r="A1211" s="441">
        <v>1291</v>
      </c>
      <c r="B1211" s="441" t="s">
        <v>2148</v>
      </c>
      <c r="C1211" s="545">
        <v>2</v>
      </c>
      <c r="D1211" s="545">
        <v>1.6666666666666665</v>
      </c>
      <c r="E1211" s="545">
        <v>0.66666666666666663</v>
      </c>
      <c r="F1211" s="545">
        <v>1.7619047619047616</v>
      </c>
      <c r="G1211" s="545">
        <v>1.2</v>
      </c>
      <c r="H1211" s="545">
        <v>2.3333333333333335</v>
      </c>
      <c r="I1211" s="545">
        <v>0</v>
      </c>
      <c r="J1211" s="545">
        <v>1.1904761904761905</v>
      </c>
    </row>
    <row r="1212" spans="1:10">
      <c r="A1212" s="441">
        <v>1292</v>
      </c>
      <c r="B1212" s="441" t="s">
        <v>2149</v>
      </c>
      <c r="C1212" s="545">
        <v>6.5</v>
      </c>
      <c r="D1212" s="545">
        <v>2.666666666666667</v>
      </c>
      <c r="E1212" s="545">
        <v>1.3333333333333333</v>
      </c>
      <c r="F1212" s="545">
        <v>5.2142857142857144</v>
      </c>
      <c r="G1212" s="545">
        <v>1.6</v>
      </c>
      <c r="H1212" s="545">
        <v>2</v>
      </c>
      <c r="I1212" s="545">
        <v>2.3333333333333335</v>
      </c>
      <c r="J1212" s="545">
        <v>1.7619047619047621</v>
      </c>
    </row>
    <row r="1213" spans="1:10">
      <c r="A1213" s="441">
        <v>12311</v>
      </c>
      <c r="B1213" s="441" t="s">
        <v>2150</v>
      </c>
      <c r="C1213" s="545">
        <v>14.333333333333332</v>
      </c>
      <c r="D1213" s="545">
        <v>0</v>
      </c>
      <c r="E1213" s="545">
        <v>0</v>
      </c>
      <c r="F1213" s="545">
        <v>10.238095238095237</v>
      </c>
      <c r="G1213" s="545">
        <v>4.6500000000000004</v>
      </c>
      <c r="H1213" s="545"/>
      <c r="I1213" s="545"/>
      <c r="J1213" s="545">
        <v>3.3214285714285716</v>
      </c>
    </row>
    <row r="1214" spans="1:10">
      <c r="A1214" s="441">
        <v>12312</v>
      </c>
      <c r="B1214" s="441" t="s">
        <v>2150</v>
      </c>
      <c r="C1214" s="545">
        <v>17.833333333333332</v>
      </c>
      <c r="D1214" s="545">
        <v>0</v>
      </c>
      <c r="E1214" s="545">
        <v>0</v>
      </c>
      <c r="F1214" s="545">
        <v>12.738095238095237</v>
      </c>
      <c r="G1214" s="545">
        <v>14.05</v>
      </c>
      <c r="H1214" s="545"/>
      <c r="I1214" s="545"/>
      <c r="J1214" s="545">
        <v>10.035714285714286</v>
      </c>
    </row>
    <row r="1215" spans="1:10">
      <c r="A1215" s="441">
        <v>12309</v>
      </c>
      <c r="B1215" s="441" t="s">
        <v>2151</v>
      </c>
      <c r="C1215" s="545">
        <v>16</v>
      </c>
      <c r="D1215" s="545">
        <v>0</v>
      </c>
      <c r="E1215" s="545">
        <v>0</v>
      </c>
      <c r="F1215" s="545">
        <v>11.428571428571429</v>
      </c>
      <c r="G1215" s="545">
        <v>8.6</v>
      </c>
      <c r="H1215" s="545"/>
      <c r="I1215" s="545"/>
      <c r="J1215" s="545">
        <v>6.1428571428571432</v>
      </c>
    </row>
    <row r="1216" spans="1:10">
      <c r="A1216" s="441">
        <v>12310</v>
      </c>
      <c r="B1216" s="441" t="s">
        <v>2151</v>
      </c>
      <c r="C1216" s="545">
        <v>14.833333333333332</v>
      </c>
      <c r="D1216" s="545">
        <v>0</v>
      </c>
      <c r="E1216" s="545">
        <v>0</v>
      </c>
      <c r="F1216" s="545">
        <v>10.595238095238093</v>
      </c>
      <c r="G1216" s="545">
        <v>9.5</v>
      </c>
      <c r="H1216" s="545"/>
      <c r="I1216" s="545"/>
      <c r="J1216" s="545">
        <v>6.7857142857142856</v>
      </c>
    </row>
    <row r="1217" spans="1:10">
      <c r="A1217" s="441">
        <v>11700</v>
      </c>
      <c r="B1217" s="441" t="s">
        <v>2152</v>
      </c>
      <c r="C1217" s="545">
        <v>15.5</v>
      </c>
      <c r="D1217" s="545">
        <v>7</v>
      </c>
      <c r="E1217" s="545">
        <v>8.6666666666666661</v>
      </c>
      <c r="F1217" s="545">
        <v>13.30952380952381</v>
      </c>
      <c r="G1217" s="545">
        <v>11.6</v>
      </c>
      <c r="H1217" s="545">
        <v>2.6666666666666665</v>
      </c>
      <c r="I1217" s="545">
        <v>3.6666666666666665</v>
      </c>
      <c r="J1217" s="545">
        <v>9.1904761904761898</v>
      </c>
    </row>
    <row r="1218" spans="1:10">
      <c r="A1218" s="441">
        <v>11699</v>
      </c>
      <c r="B1218" s="441" t="s">
        <v>2153</v>
      </c>
      <c r="C1218" s="545">
        <v>14.666666666666666</v>
      </c>
      <c r="D1218" s="545">
        <v>15</v>
      </c>
      <c r="E1218" s="545">
        <v>13</v>
      </c>
      <c r="F1218" s="545">
        <v>14.476190476190476</v>
      </c>
      <c r="G1218" s="545">
        <v>28.15</v>
      </c>
      <c r="H1218" s="545">
        <v>13.666666666666666</v>
      </c>
      <c r="I1218" s="545">
        <v>6</v>
      </c>
      <c r="J1218" s="545">
        <v>22.916666666666664</v>
      </c>
    </row>
    <row r="1219" spans="1:10">
      <c r="A1219" s="441">
        <v>11703</v>
      </c>
      <c r="B1219" s="441" t="s">
        <v>2154</v>
      </c>
      <c r="C1219" s="545">
        <v>11</v>
      </c>
      <c r="D1219" s="545">
        <v>5</v>
      </c>
      <c r="E1219" s="545">
        <v>6</v>
      </c>
      <c r="F1219" s="545">
        <v>9.4285714285714288</v>
      </c>
      <c r="G1219" s="545">
        <v>12.45</v>
      </c>
      <c r="H1219" s="545">
        <v>7</v>
      </c>
      <c r="I1219" s="545">
        <v>6</v>
      </c>
      <c r="J1219" s="545">
        <v>10.75</v>
      </c>
    </row>
    <row r="1220" spans="1:10">
      <c r="A1220" s="441">
        <v>11939</v>
      </c>
      <c r="B1220" s="441" t="s">
        <v>2155</v>
      </c>
      <c r="C1220" s="545">
        <v>29</v>
      </c>
      <c r="D1220" s="545">
        <v>7.3333333333333339</v>
      </c>
      <c r="E1220" s="545">
        <v>7.333333333333333</v>
      </c>
      <c r="F1220" s="545">
        <v>22.809523809523814</v>
      </c>
      <c r="G1220" s="545">
        <v>5.7</v>
      </c>
      <c r="H1220" s="545">
        <v>10</v>
      </c>
      <c r="I1220" s="545">
        <v>3</v>
      </c>
      <c r="J1220" s="545">
        <v>5.9285714285714288</v>
      </c>
    </row>
    <row r="1221" spans="1:10">
      <c r="A1221" s="441">
        <v>4091</v>
      </c>
      <c r="B1221" s="441" t="s">
        <v>2156</v>
      </c>
      <c r="C1221" s="545">
        <v>4.6666666666666661</v>
      </c>
      <c r="D1221" s="545">
        <v>0.33333333333333331</v>
      </c>
      <c r="E1221" s="545">
        <v>1</v>
      </c>
      <c r="F1221" s="545">
        <v>3.5238095238095228</v>
      </c>
      <c r="G1221" s="545">
        <v>1.7</v>
      </c>
      <c r="H1221" s="545">
        <v>0.33333333333333331</v>
      </c>
      <c r="I1221" s="545">
        <v>1.6666666666666667</v>
      </c>
      <c r="J1221" s="545">
        <v>1.5</v>
      </c>
    </row>
    <row r="1222" spans="1:10">
      <c r="A1222" s="441">
        <v>4117</v>
      </c>
      <c r="B1222" s="441" t="s">
        <v>2156</v>
      </c>
      <c r="C1222" s="545">
        <v>2.8333333333333335</v>
      </c>
      <c r="D1222" s="545">
        <v>1.3333333333333333</v>
      </c>
      <c r="E1222" s="545">
        <v>0.66666666666666663</v>
      </c>
      <c r="F1222" s="545">
        <v>2.3095238095238098</v>
      </c>
      <c r="G1222" s="545">
        <v>1.95</v>
      </c>
      <c r="H1222" s="545">
        <v>0</v>
      </c>
      <c r="I1222" s="545">
        <v>0.66666666666666663</v>
      </c>
      <c r="J1222" s="545">
        <v>1.4880952380952379</v>
      </c>
    </row>
    <row r="1223" spans="1:10">
      <c r="A1223" s="441">
        <v>4099</v>
      </c>
      <c r="B1223" s="441" t="s">
        <v>2157</v>
      </c>
      <c r="C1223" s="545">
        <v>4.833333333333333</v>
      </c>
      <c r="D1223" s="545">
        <v>2.333333333333333</v>
      </c>
      <c r="E1223" s="545">
        <v>1</v>
      </c>
      <c r="F1223" s="545">
        <v>3.9285714285714279</v>
      </c>
      <c r="G1223" s="545">
        <v>4.5</v>
      </c>
      <c r="H1223" s="545">
        <v>2.3333333333333335</v>
      </c>
      <c r="I1223" s="545">
        <v>0.66666666666666663</v>
      </c>
      <c r="J1223" s="545">
        <v>3.6428571428571428</v>
      </c>
    </row>
    <row r="1224" spans="1:10">
      <c r="A1224" s="441">
        <v>4100</v>
      </c>
      <c r="B1224" s="441" t="s">
        <v>2157</v>
      </c>
      <c r="C1224" s="545">
        <v>7.3333333333333339</v>
      </c>
      <c r="D1224" s="545">
        <v>4.666666666666667</v>
      </c>
      <c r="E1224" s="545">
        <v>9.3333333333333321</v>
      </c>
      <c r="F1224" s="545">
        <v>7.238095238095239</v>
      </c>
      <c r="G1224" s="545">
        <v>6.1</v>
      </c>
      <c r="H1224" s="545">
        <v>4</v>
      </c>
      <c r="I1224" s="545">
        <v>2.3333333333333335</v>
      </c>
      <c r="J1224" s="545">
        <v>5.2619047619047619</v>
      </c>
    </row>
    <row r="1225" spans="1:10">
      <c r="A1225" s="441">
        <v>4110</v>
      </c>
      <c r="B1225" s="441" t="s">
        <v>2157</v>
      </c>
      <c r="C1225" s="545">
        <v>4.333333333333333</v>
      </c>
      <c r="D1225" s="545">
        <v>0</v>
      </c>
      <c r="E1225" s="545">
        <v>0.66666666666666663</v>
      </c>
      <c r="F1225" s="545">
        <v>3.1904761904761902</v>
      </c>
      <c r="G1225" s="545">
        <v>2.75</v>
      </c>
      <c r="H1225" s="545">
        <v>0</v>
      </c>
      <c r="I1225" s="545">
        <v>0</v>
      </c>
      <c r="J1225" s="545">
        <v>1.9642857142857142</v>
      </c>
    </row>
    <row r="1226" spans="1:10">
      <c r="A1226" s="441">
        <v>6272</v>
      </c>
      <c r="B1226" s="441" t="s">
        <v>2158</v>
      </c>
      <c r="C1226" s="545">
        <v>2.5</v>
      </c>
      <c r="D1226" s="545">
        <v>1.3333333333333333</v>
      </c>
      <c r="E1226" s="545">
        <v>0.33333333333333331</v>
      </c>
      <c r="F1226" s="545">
        <v>2.0238095238095242</v>
      </c>
      <c r="G1226" s="545">
        <v>0.95</v>
      </c>
      <c r="H1226" s="545">
        <v>1</v>
      </c>
      <c r="I1226" s="545">
        <v>0</v>
      </c>
      <c r="J1226" s="545">
        <v>0.8214285714285714</v>
      </c>
    </row>
    <row r="1227" spans="1:10">
      <c r="A1227" s="441">
        <v>6977</v>
      </c>
      <c r="B1227" s="441" t="s">
        <v>2158</v>
      </c>
      <c r="C1227" s="545">
        <v>2.833333333333333</v>
      </c>
      <c r="D1227" s="545">
        <v>0</v>
      </c>
      <c r="E1227" s="545">
        <v>1.3333333333333333</v>
      </c>
      <c r="F1227" s="545">
        <v>2.214285714285714</v>
      </c>
      <c r="G1227" s="545">
        <v>1.95</v>
      </c>
      <c r="H1227" s="545">
        <v>0.66666666666666663</v>
      </c>
      <c r="I1227" s="545">
        <v>0.33333333333333331</v>
      </c>
      <c r="J1227" s="545">
        <v>1.5357142857142858</v>
      </c>
    </row>
    <row r="1228" spans="1:10">
      <c r="A1228" s="441">
        <v>6261</v>
      </c>
      <c r="B1228" s="441" t="s">
        <v>2159</v>
      </c>
      <c r="C1228" s="545">
        <v>30.166666666666668</v>
      </c>
      <c r="D1228" s="545">
        <v>14.666666666666666</v>
      </c>
      <c r="E1228" s="545">
        <v>15.666666666666666</v>
      </c>
      <c r="F1228" s="545">
        <v>25.88095238095238</v>
      </c>
      <c r="G1228" s="545">
        <v>27.9</v>
      </c>
      <c r="H1228" s="545">
        <v>22.333333333333332</v>
      </c>
      <c r="I1228" s="545">
        <v>23.333333333333332</v>
      </c>
      <c r="J1228" s="545">
        <v>26.452380952380956</v>
      </c>
    </row>
    <row r="1229" spans="1:10">
      <c r="A1229" s="441">
        <v>6988</v>
      </c>
      <c r="B1229" s="441" t="s">
        <v>2159</v>
      </c>
      <c r="C1229" s="545">
        <v>17</v>
      </c>
      <c r="D1229" s="545">
        <v>15.666666666666668</v>
      </c>
      <c r="E1229" s="545">
        <v>6.333333333333333</v>
      </c>
      <c r="F1229" s="545">
        <v>15.285714285714286</v>
      </c>
      <c r="G1229" s="545">
        <v>9.75</v>
      </c>
      <c r="H1229" s="545">
        <v>11.666666666666666</v>
      </c>
      <c r="I1229" s="545">
        <v>2.6666666666666665</v>
      </c>
      <c r="J1229" s="545">
        <v>9.011904761904761</v>
      </c>
    </row>
    <row r="1230" spans="1:10">
      <c r="A1230" s="441">
        <v>4076</v>
      </c>
      <c r="B1230" s="441" t="s">
        <v>2160</v>
      </c>
      <c r="C1230" s="545">
        <v>17.666666666666668</v>
      </c>
      <c r="D1230" s="545">
        <v>5.3333333333333339</v>
      </c>
      <c r="E1230" s="545">
        <v>2.6666666666666665</v>
      </c>
      <c r="F1230" s="545">
        <v>13.761904761904763</v>
      </c>
      <c r="G1230" s="545">
        <v>8.8000000000000007</v>
      </c>
      <c r="H1230" s="545">
        <v>2.3333333333333335</v>
      </c>
      <c r="I1230" s="545">
        <v>2.3333333333333335</v>
      </c>
      <c r="J1230" s="545">
        <v>6.9523809523809534</v>
      </c>
    </row>
    <row r="1231" spans="1:10">
      <c r="A1231" s="441">
        <v>4126</v>
      </c>
      <c r="B1231" s="441" t="s">
        <v>2160</v>
      </c>
      <c r="C1231" s="545">
        <v>18.333333333333332</v>
      </c>
      <c r="D1231" s="545">
        <v>3</v>
      </c>
      <c r="E1231" s="545">
        <v>2.3333333333333335</v>
      </c>
      <c r="F1231" s="545">
        <v>13.857142857142856</v>
      </c>
      <c r="G1231" s="545">
        <v>9.15</v>
      </c>
      <c r="H1231" s="545">
        <v>1</v>
      </c>
      <c r="I1231" s="545">
        <v>2</v>
      </c>
      <c r="J1231" s="545">
        <v>6.9642857142857144</v>
      </c>
    </row>
    <row r="1232" spans="1:10">
      <c r="A1232" s="441">
        <v>6978</v>
      </c>
      <c r="B1232" s="441" t="s">
        <v>2161</v>
      </c>
      <c r="C1232" s="545">
        <v>16.5</v>
      </c>
      <c r="D1232" s="545">
        <v>3.666666666666667</v>
      </c>
      <c r="E1232" s="545">
        <v>2</v>
      </c>
      <c r="F1232" s="545">
        <v>12.595238095238097</v>
      </c>
      <c r="G1232" s="545">
        <v>15.6</v>
      </c>
      <c r="H1232" s="545">
        <v>3.3333333333333335</v>
      </c>
      <c r="I1232" s="545">
        <v>4.333333333333333</v>
      </c>
      <c r="J1232" s="545">
        <v>12.238095238095237</v>
      </c>
    </row>
    <row r="1233" spans="1:10">
      <c r="A1233" s="441">
        <v>6262</v>
      </c>
      <c r="B1233" s="441" t="s">
        <v>2162</v>
      </c>
      <c r="C1233" s="545">
        <v>13</v>
      </c>
      <c r="D1233" s="545">
        <v>12</v>
      </c>
      <c r="E1233" s="545">
        <v>9</v>
      </c>
      <c r="F1233" s="545">
        <v>12.285714285714286</v>
      </c>
      <c r="G1233" s="545">
        <v>10.15</v>
      </c>
      <c r="H1233" s="545">
        <v>10.666666666666666</v>
      </c>
      <c r="I1233" s="545">
        <v>8.3333333333333339</v>
      </c>
      <c r="J1233" s="545">
        <v>9.9642857142857135</v>
      </c>
    </row>
    <row r="1234" spans="1:10">
      <c r="A1234" s="441">
        <v>6987</v>
      </c>
      <c r="B1234" s="441" t="s">
        <v>2162</v>
      </c>
      <c r="C1234" s="545">
        <v>22.5</v>
      </c>
      <c r="D1234" s="545">
        <v>18.666666666666664</v>
      </c>
      <c r="E1234" s="545">
        <v>9.3333333333333321</v>
      </c>
      <c r="F1234" s="545">
        <v>20.071428571428573</v>
      </c>
      <c r="G1234" s="545">
        <v>23.55</v>
      </c>
      <c r="H1234" s="545">
        <v>16</v>
      </c>
      <c r="I1234" s="545">
        <v>16.666666666666668</v>
      </c>
      <c r="J1234" s="545">
        <v>21.488095238095237</v>
      </c>
    </row>
    <row r="1235" spans="1:10">
      <c r="A1235" s="441">
        <v>6982</v>
      </c>
      <c r="B1235" s="441" t="s">
        <v>2163</v>
      </c>
      <c r="C1235" s="545">
        <v>7.166666666666667</v>
      </c>
      <c r="D1235" s="545">
        <v>6</v>
      </c>
      <c r="E1235" s="545">
        <v>1.3333333333333333</v>
      </c>
      <c r="F1235" s="545">
        <v>6.166666666666667</v>
      </c>
      <c r="G1235" s="545">
        <v>4.0999999999999996</v>
      </c>
      <c r="H1235" s="545">
        <v>1.3333333333333333</v>
      </c>
      <c r="I1235" s="545">
        <v>2.6666666666666665</v>
      </c>
      <c r="J1235" s="545">
        <v>3.5</v>
      </c>
    </row>
    <row r="1236" spans="1:10">
      <c r="A1236" s="441">
        <v>4096</v>
      </c>
      <c r="B1236" s="441" t="s">
        <v>2164</v>
      </c>
      <c r="C1236" s="545">
        <v>13.833333333333334</v>
      </c>
      <c r="D1236" s="545">
        <v>2.6666666666666665</v>
      </c>
      <c r="E1236" s="545">
        <v>1.6666666666666667</v>
      </c>
      <c r="F1236" s="545">
        <v>10.500000000000002</v>
      </c>
      <c r="G1236" s="545">
        <v>5.85</v>
      </c>
      <c r="H1236" s="545">
        <v>1</v>
      </c>
      <c r="I1236" s="545">
        <v>1.3333333333333333</v>
      </c>
      <c r="J1236" s="545">
        <v>4.5119047619047619</v>
      </c>
    </row>
    <row r="1237" spans="1:10">
      <c r="A1237" s="441">
        <v>4097</v>
      </c>
      <c r="B1237" s="441" t="s">
        <v>2164</v>
      </c>
      <c r="C1237" s="545">
        <v>14</v>
      </c>
      <c r="D1237" s="545">
        <v>3.6666666666666665</v>
      </c>
      <c r="E1237" s="545">
        <v>4.6666666666666661</v>
      </c>
      <c r="F1237" s="545">
        <v>11.190476190476192</v>
      </c>
      <c r="G1237" s="545">
        <v>7.35</v>
      </c>
      <c r="H1237" s="545">
        <v>3</v>
      </c>
      <c r="I1237" s="545">
        <v>1.3333333333333333</v>
      </c>
      <c r="J1237" s="545">
        <v>5.8690476190476195</v>
      </c>
    </row>
    <row r="1238" spans="1:10">
      <c r="A1238" s="441">
        <v>6265</v>
      </c>
      <c r="B1238" s="441" t="s">
        <v>2165</v>
      </c>
      <c r="C1238" s="545">
        <v>4.5</v>
      </c>
      <c r="D1238" s="545">
        <v>7</v>
      </c>
      <c r="E1238" s="545">
        <v>2</v>
      </c>
      <c r="F1238" s="545">
        <v>4.5</v>
      </c>
      <c r="G1238" s="545">
        <v>5.5</v>
      </c>
      <c r="H1238" s="545">
        <v>5.666666666666667</v>
      </c>
      <c r="I1238" s="545">
        <v>1.6666666666666667</v>
      </c>
      <c r="J1238" s="545">
        <v>4.9761904761904754</v>
      </c>
    </row>
    <row r="1239" spans="1:10">
      <c r="A1239" s="441">
        <v>6984</v>
      </c>
      <c r="B1239" s="441" t="s">
        <v>2165</v>
      </c>
      <c r="C1239" s="545">
        <v>3.166666666666667</v>
      </c>
      <c r="D1239" s="545">
        <v>1.6666666666666665</v>
      </c>
      <c r="E1239" s="545">
        <v>4.666666666666667</v>
      </c>
      <c r="F1239" s="545">
        <v>3.1666666666666674</v>
      </c>
      <c r="G1239" s="545">
        <v>3.45</v>
      </c>
      <c r="H1239" s="545">
        <v>3</v>
      </c>
      <c r="I1239" s="545">
        <v>2</v>
      </c>
      <c r="J1239" s="545">
        <v>3.1785714285714284</v>
      </c>
    </row>
    <row r="1240" spans="1:10">
      <c r="A1240" s="441">
        <v>4080</v>
      </c>
      <c r="B1240" s="441" t="s">
        <v>2166</v>
      </c>
      <c r="C1240" s="545">
        <v>18.166666666666668</v>
      </c>
      <c r="D1240" s="545">
        <v>17</v>
      </c>
      <c r="E1240" s="545">
        <v>10.333333333333332</v>
      </c>
      <c r="F1240" s="545">
        <v>16.880952380952383</v>
      </c>
      <c r="G1240" s="545">
        <v>7.25</v>
      </c>
      <c r="H1240" s="545">
        <v>5.333333333333333</v>
      </c>
      <c r="I1240" s="545">
        <v>3.6666666666666665</v>
      </c>
      <c r="J1240" s="545">
        <v>6.4642857142857144</v>
      </c>
    </row>
    <row r="1241" spans="1:10">
      <c r="A1241" s="441">
        <v>4122</v>
      </c>
      <c r="B1241" s="441" t="s">
        <v>2166</v>
      </c>
      <c r="C1241" s="545">
        <v>21.333333333333336</v>
      </c>
      <c r="D1241" s="545">
        <v>13.333333333333334</v>
      </c>
      <c r="E1241" s="545">
        <v>10.666666666666666</v>
      </c>
      <c r="F1241" s="545">
        <v>18.666666666666668</v>
      </c>
      <c r="G1241" s="545">
        <v>5.05</v>
      </c>
      <c r="H1241" s="545">
        <v>4.333333333333333</v>
      </c>
      <c r="I1241" s="545">
        <v>4.333333333333333</v>
      </c>
      <c r="J1241" s="545">
        <v>4.8452380952380949</v>
      </c>
    </row>
    <row r="1242" spans="1:10">
      <c r="A1242" s="441">
        <v>5671</v>
      </c>
      <c r="B1242" s="441" t="s">
        <v>2167</v>
      </c>
      <c r="C1242" s="545">
        <v>58.333333333333329</v>
      </c>
      <c r="D1242" s="545">
        <v>45.333333333333329</v>
      </c>
      <c r="E1242" s="545">
        <v>33.666666666666664</v>
      </c>
      <c r="F1242" s="545">
        <v>52.952380952380949</v>
      </c>
      <c r="G1242" s="545">
        <v>62</v>
      </c>
      <c r="H1242" s="545">
        <v>35.666666666666664</v>
      </c>
      <c r="I1242" s="545">
        <v>34.666666666666664</v>
      </c>
      <c r="J1242" s="545">
        <v>54.333333333333336</v>
      </c>
    </row>
    <row r="1243" spans="1:10">
      <c r="A1243" s="441">
        <v>6968</v>
      </c>
      <c r="B1243" s="441" t="s">
        <v>2167</v>
      </c>
      <c r="C1243" s="545">
        <v>96.833333333333343</v>
      </c>
      <c r="D1243" s="545">
        <v>61.666666666666671</v>
      </c>
      <c r="E1243" s="545">
        <v>46</v>
      </c>
      <c r="F1243" s="545">
        <v>84.547619047619051</v>
      </c>
      <c r="G1243" s="545">
        <v>65.099999999999994</v>
      </c>
      <c r="H1243" s="545">
        <v>47.333333333333336</v>
      </c>
      <c r="I1243" s="545">
        <v>39.333333333333336</v>
      </c>
      <c r="J1243" s="545">
        <v>58.880952380952372</v>
      </c>
    </row>
    <row r="1244" spans="1:10">
      <c r="A1244" s="441">
        <v>6268</v>
      </c>
      <c r="B1244" s="441" t="s">
        <v>2168</v>
      </c>
      <c r="C1244" s="545">
        <v>3</v>
      </c>
      <c r="D1244" s="545">
        <v>1.3333333333333333</v>
      </c>
      <c r="E1244" s="545">
        <v>0.66666666666666663</v>
      </c>
      <c r="F1244" s="545">
        <v>2.4285714285714284</v>
      </c>
      <c r="G1244" s="545">
        <v>1.9</v>
      </c>
      <c r="H1244" s="545">
        <v>2.3333333333333335</v>
      </c>
      <c r="I1244" s="545">
        <v>1</v>
      </c>
      <c r="J1244" s="545">
        <v>1.8333333333333335</v>
      </c>
    </row>
    <row r="1245" spans="1:10">
      <c r="A1245" s="441">
        <v>6981</v>
      </c>
      <c r="B1245" s="441" t="s">
        <v>2168</v>
      </c>
      <c r="C1245" s="545">
        <v>5.1666666666666661</v>
      </c>
      <c r="D1245" s="545">
        <v>1.6666666666666665</v>
      </c>
      <c r="E1245" s="545">
        <v>1.3333333333333333</v>
      </c>
      <c r="F1245" s="545">
        <v>4.1190476190476186</v>
      </c>
      <c r="G1245" s="545">
        <v>2.65</v>
      </c>
      <c r="H1245" s="545">
        <v>5</v>
      </c>
      <c r="I1245" s="545">
        <v>1.3333333333333333</v>
      </c>
      <c r="J1245" s="545">
        <v>2.7976190476190474</v>
      </c>
    </row>
    <row r="1246" spans="1:10">
      <c r="A1246" s="441">
        <v>6267</v>
      </c>
      <c r="B1246" s="441" t="s">
        <v>2169</v>
      </c>
      <c r="C1246" s="545">
        <v>7</v>
      </c>
      <c r="D1246" s="545">
        <v>5.333333333333333</v>
      </c>
      <c r="E1246" s="545">
        <v>0.66666666666666663</v>
      </c>
      <c r="F1246" s="545">
        <v>5.8571428571428568</v>
      </c>
      <c r="G1246" s="545">
        <v>2.75</v>
      </c>
      <c r="H1246" s="545">
        <v>1.3333333333333333</v>
      </c>
      <c r="I1246" s="545">
        <v>2.6666666666666665</v>
      </c>
      <c r="J1246" s="545">
        <v>2.5357142857142856</v>
      </c>
    </row>
    <row r="1247" spans="1:10">
      <c r="A1247" s="441">
        <v>5664</v>
      </c>
      <c r="B1247" s="441" t="s">
        <v>2170</v>
      </c>
      <c r="C1247" s="545">
        <v>12.666666666666668</v>
      </c>
      <c r="D1247" s="545">
        <v>8.3333333333333339</v>
      </c>
      <c r="E1247" s="545">
        <v>8.3333333333333339</v>
      </c>
      <c r="F1247" s="545">
        <v>11.428571428571429</v>
      </c>
      <c r="G1247" s="545">
        <v>11.1</v>
      </c>
      <c r="H1247" s="545">
        <v>6.333333333333333</v>
      </c>
      <c r="I1247" s="545">
        <v>7</v>
      </c>
      <c r="J1247" s="545">
        <v>9.8333333333333339</v>
      </c>
    </row>
    <row r="1248" spans="1:10">
      <c r="A1248" s="441">
        <v>5665</v>
      </c>
      <c r="B1248" s="441" t="s">
        <v>2171</v>
      </c>
      <c r="C1248" s="545">
        <v>4.166666666666667</v>
      </c>
      <c r="D1248" s="545">
        <v>2</v>
      </c>
      <c r="E1248" s="545">
        <v>2</v>
      </c>
      <c r="F1248" s="545">
        <v>3.5476190476190479</v>
      </c>
      <c r="G1248" s="545">
        <v>1.65</v>
      </c>
      <c r="H1248" s="545">
        <v>3.3333333333333335</v>
      </c>
      <c r="I1248" s="545">
        <v>1.6666666666666667</v>
      </c>
      <c r="J1248" s="545">
        <v>1.8928571428571428</v>
      </c>
    </row>
    <row r="1249" spans="1:10">
      <c r="A1249" s="441">
        <v>6975</v>
      </c>
      <c r="B1249" s="441" t="s">
        <v>2171</v>
      </c>
      <c r="C1249" s="545">
        <v>7.333333333333333</v>
      </c>
      <c r="D1249" s="545">
        <v>1.6666666666666665</v>
      </c>
      <c r="E1249" s="545">
        <v>3.3333333333333335</v>
      </c>
      <c r="F1249" s="545">
        <v>5.9523809523809517</v>
      </c>
      <c r="G1249" s="545">
        <v>4.4000000000000004</v>
      </c>
      <c r="H1249" s="545">
        <v>3.6666666666666665</v>
      </c>
      <c r="I1249" s="545">
        <v>3</v>
      </c>
      <c r="J1249" s="545">
        <v>4.0952380952380958</v>
      </c>
    </row>
    <row r="1250" spans="1:10">
      <c r="A1250" s="441">
        <v>4090</v>
      </c>
      <c r="B1250" s="441" t="s">
        <v>2172</v>
      </c>
      <c r="C1250" s="545">
        <v>122.66666666666667</v>
      </c>
      <c r="D1250" s="545">
        <v>31</v>
      </c>
      <c r="E1250" s="545">
        <v>22</v>
      </c>
      <c r="F1250" s="545">
        <v>95.19047619047619</v>
      </c>
      <c r="G1250" s="545">
        <v>85.65</v>
      </c>
      <c r="H1250" s="545">
        <v>26.333333333333332</v>
      </c>
      <c r="I1250" s="545">
        <v>19.333333333333332</v>
      </c>
      <c r="J1250" s="545">
        <v>67.702380952380949</v>
      </c>
    </row>
    <row r="1251" spans="1:10">
      <c r="A1251" s="441">
        <v>4118</v>
      </c>
      <c r="B1251" s="441" t="s">
        <v>2172</v>
      </c>
      <c r="C1251" s="545">
        <v>127.16666666666666</v>
      </c>
      <c r="D1251" s="545">
        <v>34</v>
      </c>
      <c r="E1251" s="545">
        <v>27.333333333333332</v>
      </c>
      <c r="F1251" s="545">
        <v>99.595238095238088</v>
      </c>
      <c r="G1251" s="545">
        <v>75.8</v>
      </c>
      <c r="H1251" s="545">
        <v>31</v>
      </c>
      <c r="I1251" s="545">
        <v>15.333333333333334</v>
      </c>
      <c r="J1251" s="545">
        <v>60.761904761904759</v>
      </c>
    </row>
    <row r="1252" spans="1:10">
      <c r="A1252" s="441">
        <v>4124</v>
      </c>
      <c r="B1252" s="441" t="s">
        <v>2173</v>
      </c>
      <c r="C1252" s="545">
        <v>2.1666666666666665</v>
      </c>
      <c r="D1252" s="545">
        <v>1.6666666666666665</v>
      </c>
      <c r="E1252" s="545">
        <v>2.333333333333333</v>
      </c>
      <c r="F1252" s="545">
        <v>2.1190476190476191</v>
      </c>
      <c r="G1252" s="545">
        <v>1.25</v>
      </c>
      <c r="H1252" s="545">
        <v>1.6666666666666667</v>
      </c>
      <c r="I1252" s="545">
        <v>1.6666666666666667</v>
      </c>
      <c r="J1252" s="545">
        <v>1.3690476190476191</v>
      </c>
    </row>
    <row r="1253" spans="1:10">
      <c r="A1253" s="441">
        <v>6969</v>
      </c>
      <c r="B1253" s="441" t="s">
        <v>2174</v>
      </c>
      <c r="C1253" s="545">
        <v>25.5</v>
      </c>
      <c r="D1253" s="545">
        <v>12.333333333333332</v>
      </c>
      <c r="E1253" s="545">
        <v>13.666666666666666</v>
      </c>
      <c r="F1253" s="545">
        <v>21.928571428571427</v>
      </c>
      <c r="G1253" s="545">
        <v>17.350000000000001</v>
      </c>
      <c r="H1253" s="545">
        <v>9.6666666666666661</v>
      </c>
      <c r="I1253" s="545">
        <v>18</v>
      </c>
      <c r="J1253" s="545">
        <v>16.345238095238095</v>
      </c>
    </row>
    <row r="1254" spans="1:10">
      <c r="A1254" s="441">
        <v>6970</v>
      </c>
      <c r="B1254" s="441" t="s">
        <v>2174</v>
      </c>
      <c r="C1254" s="545">
        <v>23</v>
      </c>
      <c r="D1254" s="545">
        <v>11.333333333333334</v>
      </c>
      <c r="E1254" s="545">
        <v>4.6666666666666661</v>
      </c>
      <c r="F1254" s="545">
        <v>18.714285714285715</v>
      </c>
      <c r="G1254" s="545">
        <v>18.850000000000001</v>
      </c>
      <c r="H1254" s="545">
        <v>10.333333333333334</v>
      </c>
      <c r="I1254" s="545">
        <v>12.333333333333334</v>
      </c>
      <c r="J1254" s="545">
        <v>16.702380952380953</v>
      </c>
    </row>
    <row r="1255" spans="1:10">
      <c r="A1255" s="441">
        <v>5672</v>
      </c>
      <c r="B1255" s="441" t="s">
        <v>2175</v>
      </c>
      <c r="C1255" s="545">
        <v>41</v>
      </c>
      <c r="D1255" s="545">
        <v>16.666666666666668</v>
      </c>
      <c r="E1255" s="545">
        <v>12</v>
      </c>
      <c r="F1255" s="545">
        <v>33.38095238095238</v>
      </c>
      <c r="G1255" s="545">
        <v>4.3499999999999996</v>
      </c>
      <c r="H1255" s="545">
        <v>4</v>
      </c>
      <c r="I1255" s="545">
        <v>0.66666666666666663</v>
      </c>
      <c r="J1255" s="545">
        <v>3.7738095238095242</v>
      </c>
    </row>
    <row r="1256" spans="1:10">
      <c r="A1256" s="441">
        <v>6967</v>
      </c>
      <c r="B1256" s="441" t="s">
        <v>2175</v>
      </c>
      <c r="C1256" s="545">
        <v>14.5</v>
      </c>
      <c r="D1256" s="545">
        <v>8</v>
      </c>
      <c r="E1256" s="545">
        <v>7.333333333333333</v>
      </c>
      <c r="F1256" s="545">
        <v>12.547619047619047</v>
      </c>
      <c r="G1256" s="545">
        <v>4</v>
      </c>
      <c r="H1256" s="545">
        <v>8.3333333333333339</v>
      </c>
      <c r="I1256" s="545">
        <v>1.3333333333333333</v>
      </c>
      <c r="J1256" s="545">
        <v>4.2380952380952381</v>
      </c>
    </row>
    <row r="1257" spans="1:10">
      <c r="A1257" s="441">
        <v>6974</v>
      </c>
      <c r="B1257" s="441" t="s">
        <v>2176</v>
      </c>
      <c r="C1257" s="545">
        <v>16.833333333333332</v>
      </c>
      <c r="D1257" s="545">
        <v>9</v>
      </c>
      <c r="E1257" s="545">
        <v>3</v>
      </c>
      <c r="F1257" s="545">
        <v>13.738095238095237</v>
      </c>
      <c r="G1257" s="545">
        <v>3.3</v>
      </c>
      <c r="H1257" s="545">
        <v>2</v>
      </c>
      <c r="I1257" s="545">
        <v>1.6666666666666667</v>
      </c>
      <c r="J1257" s="545">
        <v>2.8809523809523809</v>
      </c>
    </row>
    <row r="1258" spans="1:10">
      <c r="A1258" s="441">
        <v>4095</v>
      </c>
      <c r="B1258" s="441" t="s">
        <v>2177</v>
      </c>
      <c r="C1258" s="545">
        <v>1.3333333333333333</v>
      </c>
      <c r="D1258" s="545">
        <v>0</v>
      </c>
      <c r="E1258" s="545">
        <v>0</v>
      </c>
      <c r="F1258" s="545">
        <v>0.95238095238095233</v>
      </c>
      <c r="G1258" s="545">
        <v>2.75</v>
      </c>
      <c r="H1258" s="545">
        <v>1</v>
      </c>
      <c r="I1258" s="545">
        <v>0.33333333333333331</v>
      </c>
      <c r="J1258" s="545">
        <v>2.1547619047619047</v>
      </c>
    </row>
    <row r="1259" spans="1:10">
      <c r="A1259" s="441">
        <v>5676</v>
      </c>
      <c r="B1259" s="441" t="s">
        <v>2178</v>
      </c>
      <c r="C1259" s="545">
        <v>2.6666666666666665</v>
      </c>
      <c r="D1259" s="545">
        <v>4.666666666666667</v>
      </c>
      <c r="E1259" s="545">
        <v>0.66666666666666663</v>
      </c>
      <c r="F1259" s="545">
        <v>2.666666666666667</v>
      </c>
      <c r="G1259" s="545">
        <v>3.1</v>
      </c>
      <c r="H1259" s="545">
        <v>0.66666666666666663</v>
      </c>
      <c r="I1259" s="545">
        <v>1</v>
      </c>
      <c r="J1259" s="545">
        <v>2.4523809523809526</v>
      </c>
    </row>
    <row r="1260" spans="1:10">
      <c r="A1260" s="441">
        <v>6962</v>
      </c>
      <c r="B1260" s="441" t="s">
        <v>2178</v>
      </c>
      <c r="C1260" s="545">
        <v>6.5</v>
      </c>
      <c r="D1260" s="545">
        <v>5.666666666666667</v>
      </c>
      <c r="E1260" s="545">
        <v>2.6666666666666665</v>
      </c>
      <c r="F1260" s="545">
        <v>5.833333333333333</v>
      </c>
      <c r="G1260" s="545">
        <v>6.7</v>
      </c>
      <c r="H1260" s="545">
        <v>3.6666666666666665</v>
      </c>
      <c r="I1260" s="545">
        <v>6.333333333333333</v>
      </c>
      <c r="J1260" s="545">
        <v>6.2142857142857144</v>
      </c>
    </row>
    <row r="1261" spans="1:10">
      <c r="A1261" s="441">
        <v>11971</v>
      </c>
      <c r="B1261" s="441" t="s">
        <v>2179</v>
      </c>
      <c r="C1261" s="545">
        <v>4</v>
      </c>
      <c r="D1261" s="545">
        <v>2.3333333333333335</v>
      </c>
      <c r="E1261" s="545">
        <v>2</v>
      </c>
      <c r="F1261" s="545">
        <v>3.4761904761904758</v>
      </c>
      <c r="G1261" s="545">
        <v>1.8</v>
      </c>
      <c r="H1261" s="545">
        <v>1</v>
      </c>
      <c r="I1261" s="545">
        <v>1</v>
      </c>
      <c r="J1261" s="545">
        <v>1.5714285714285714</v>
      </c>
    </row>
    <row r="1262" spans="1:10">
      <c r="A1262" s="441">
        <v>12073</v>
      </c>
      <c r="B1262" s="441" t="s">
        <v>2179</v>
      </c>
      <c r="C1262" s="545">
        <v>5.3333333333333339</v>
      </c>
      <c r="D1262" s="545">
        <v>2</v>
      </c>
      <c r="E1262" s="545">
        <v>3</v>
      </c>
      <c r="F1262" s="545">
        <v>4.5238095238095246</v>
      </c>
      <c r="G1262" s="545">
        <v>0.8</v>
      </c>
      <c r="H1262" s="545">
        <v>0.33333333333333331</v>
      </c>
      <c r="I1262" s="545">
        <v>1.6666666666666667</v>
      </c>
      <c r="J1262" s="545">
        <v>0.8571428571428571</v>
      </c>
    </row>
    <row r="1263" spans="1:10">
      <c r="A1263" s="441">
        <v>5674</v>
      </c>
      <c r="B1263" s="441" t="s">
        <v>2180</v>
      </c>
      <c r="C1263" s="545">
        <v>1</v>
      </c>
      <c r="D1263" s="545">
        <v>0.33333333333333331</v>
      </c>
      <c r="E1263" s="545">
        <v>0.33333333333333331</v>
      </c>
      <c r="F1263" s="545">
        <v>0.80952380952380942</v>
      </c>
      <c r="G1263" s="545">
        <v>0.1</v>
      </c>
      <c r="H1263" s="545">
        <v>0</v>
      </c>
      <c r="I1263" s="545">
        <v>0</v>
      </c>
      <c r="J1263" s="545">
        <v>7.1428571428571425E-2</v>
      </c>
    </row>
    <row r="1264" spans="1:10">
      <c r="A1264" s="441">
        <v>6965</v>
      </c>
      <c r="B1264" s="441" t="s">
        <v>2180</v>
      </c>
      <c r="C1264" s="545">
        <v>0.33333333333333331</v>
      </c>
      <c r="D1264" s="545">
        <v>0.33333333333333331</v>
      </c>
      <c r="E1264" s="545">
        <v>0.33333333333333331</v>
      </c>
      <c r="F1264" s="545">
        <v>0.33333333333333331</v>
      </c>
      <c r="G1264" s="545">
        <v>0.6</v>
      </c>
      <c r="H1264" s="545">
        <v>0.33333333333333331</v>
      </c>
      <c r="I1264" s="545">
        <v>0</v>
      </c>
      <c r="J1264" s="545">
        <v>0.47619047619047622</v>
      </c>
    </row>
    <row r="1265" spans="1:10">
      <c r="A1265" s="441">
        <v>6269</v>
      </c>
      <c r="B1265" s="441" t="s">
        <v>2181</v>
      </c>
      <c r="C1265" s="545">
        <v>99.833333333333343</v>
      </c>
      <c r="D1265" s="545">
        <v>58.666666666666671</v>
      </c>
      <c r="E1265" s="545">
        <v>35.666666666666664</v>
      </c>
      <c r="F1265" s="545">
        <v>84.785714285714292</v>
      </c>
      <c r="G1265" s="545">
        <v>59.5</v>
      </c>
      <c r="H1265" s="545">
        <v>44.666666666666664</v>
      </c>
      <c r="I1265" s="545">
        <v>46.333333333333336</v>
      </c>
      <c r="J1265" s="545">
        <v>55.5</v>
      </c>
    </row>
    <row r="1266" spans="1:10">
      <c r="A1266" s="441">
        <v>6980</v>
      </c>
      <c r="B1266" s="441" t="s">
        <v>2181</v>
      </c>
      <c r="C1266" s="545">
        <v>156.33333333333334</v>
      </c>
      <c r="D1266" s="545">
        <v>107.33333333333333</v>
      </c>
      <c r="E1266" s="545">
        <v>78</v>
      </c>
      <c r="F1266" s="545">
        <v>138.14285714285717</v>
      </c>
      <c r="G1266" s="545">
        <v>85.7</v>
      </c>
      <c r="H1266" s="545">
        <v>78.333333333333329</v>
      </c>
      <c r="I1266" s="545">
        <v>63</v>
      </c>
      <c r="J1266" s="545">
        <v>81.404761904761898</v>
      </c>
    </row>
    <row r="1267" spans="1:10">
      <c r="A1267" s="441">
        <v>121</v>
      </c>
      <c r="B1267" s="441" t="s">
        <v>2182</v>
      </c>
      <c r="C1267" s="545">
        <v>100.66666666666666</v>
      </c>
      <c r="D1267" s="545">
        <v>88</v>
      </c>
      <c r="E1267" s="545">
        <v>64</v>
      </c>
      <c r="F1267" s="545">
        <v>93.619047619047606</v>
      </c>
      <c r="G1267" s="545">
        <v>63.6</v>
      </c>
      <c r="H1267" s="545">
        <v>55</v>
      </c>
      <c r="I1267" s="545">
        <v>47</v>
      </c>
      <c r="J1267" s="545">
        <v>60</v>
      </c>
    </row>
    <row r="1268" spans="1:10">
      <c r="A1268" s="441">
        <v>4115</v>
      </c>
      <c r="B1268" s="441" t="s">
        <v>2183</v>
      </c>
      <c r="C1268" s="545">
        <v>3.5</v>
      </c>
      <c r="D1268" s="545">
        <v>0.66666666666666663</v>
      </c>
      <c r="E1268" s="545">
        <v>1.3333333333333333</v>
      </c>
      <c r="F1268" s="545">
        <v>2.7857142857142856</v>
      </c>
      <c r="G1268" s="545">
        <v>1.05</v>
      </c>
      <c r="H1268" s="545">
        <v>1</v>
      </c>
      <c r="I1268" s="545">
        <v>0</v>
      </c>
      <c r="J1268" s="545">
        <v>0.8928571428571429</v>
      </c>
    </row>
    <row r="1269" spans="1:10">
      <c r="A1269" s="441">
        <v>4114</v>
      </c>
      <c r="B1269" s="441" t="s">
        <v>2184</v>
      </c>
      <c r="C1269" s="545">
        <v>1.8333333333333335</v>
      </c>
      <c r="D1269" s="545">
        <v>2.3333333333333335</v>
      </c>
      <c r="E1269" s="545">
        <v>1</v>
      </c>
      <c r="F1269" s="545">
        <v>1.785714285714286</v>
      </c>
      <c r="G1269" s="545">
        <v>3.4</v>
      </c>
      <c r="H1269" s="545">
        <v>1</v>
      </c>
      <c r="I1269" s="545">
        <v>0</v>
      </c>
      <c r="J1269" s="545">
        <v>2.5714285714285716</v>
      </c>
    </row>
    <row r="1270" spans="1:10">
      <c r="A1270" s="441">
        <v>4113</v>
      </c>
      <c r="B1270" s="441" t="s">
        <v>2185</v>
      </c>
      <c r="C1270" s="545">
        <v>14.833333333333332</v>
      </c>
      <c r="D1270" s="545">
        <v>5.3333333333333339</v>
      </c>
      <c r="E1270" s="545">
        <v>5.666666666666667</v>
      </c>
      <c r="F1270" s="545">
        <v>12.166666666666666</v>
      </c>
      <c r="G1270" s="545">
        <v>5.95</v>
      </c>
      <c r="H1270" s="545">
        <v>1.3333333333333333</v>
      </c>
      <c r="I1270" s="545">
        <v>2</v>
      </c>
      <c r="J1270" s="545">
        <v>4.7261904761904754</v>
      </c>
    </row>
    <row r="1271" spans="1:10">
      <c r="A1271" s="441">
        <v>4112</v>
      </c>
      <c r="B1271" s="441" t="s">
        <v>2186</v>
      </c>
      <c r="C1271" s="545">
        <v>17.166666666666668</v>
      </c>
      <c r="D1271" s="545">
        <v>11.666666666666668</v>
      </c>
      <c r="E1271" s="545">
        <v>10.333333333333334</v>
      </c>
      <c r="F1271" s="545">
        <v>15.404761904761907</v>
      </c>
      <c r="G1271" s="545">
        <v>16.100000000000001</v>
      </c>
      <c r="H1271" s="545">
        <v>7.666666666666667</v>
      </c>
      <c r="I1271" s="545">
        <v>4.666666666666667</v>
      </c>
      <c r="J1271" s="545">
        <v>13.261904761904763</v>
      </c>
    </row>
    <row r="1272" spans="1:10">
      <c r="A1272" s="441">
        <v>4079</v>
      </c>
      <c r="B1272" s="441" t="s">
        <v>2187</v>
      </c>
      <c r="C1272" s="545">
        <v>0.5</v>
      </c>
      <c r="D1272" s="545">
        <v>1</v>
      </c>
      <c r="E1272" s="545">
        <v>0</v>
      </c>
      <c r="F1272" s="545">
        <v>0.5</v>
      </c>
      <c r="G1272" s="545">
        <v>0.4</v>
      </c>
      <c r="H1272" s="545">
        <v>0</v>
      </c>
      <c r="I1272" s="545">
        <v>0.66666666666666663</v>
      </c>
      <c r="J1272" s="545">
        <v>0.38095238095238093</v>
      </c>
    </row>
    <row r="1273" spans="1:10">
      <c r="A1273" s="441">
        <v>4123</v>
      </c>
      <c r="B1273" s="441" t="s">
        <v>2187</v>
      </c>
      <c r="C1273" s="545">
        <v>1</v>
      </c>
      <c r="D1273" s="545">
        <v>0.33333333333333331</v>
      </c>
      <c r="E1273" s="545">
        <v>0</v>
      </c>
      <c r="F1273" s="545">
        <v>0.76190476190476186</v>
      </c>
      <c r="G1273" s="545">
        <v>0.3</v>
      </c>
      <c r="H1273" s="545">
        <v>1</v>
      </c>
      <c r="I1273" s="545">
        <v>0.33333333333333331</v>
      </c>
      <c r="J1273" s="545">
        <v>0.40476190476190477</v>
      </c>
    </row>
    <row r="1274" spans="1:10">
      <c r="A1274" s="441">
        <v>4071</v>
      </c>
      <c r="B1274" s="441" t="s">
        <v>2188</v>
      </c>
      <c r="C1274" s="545">
        <v>4.333333333333333</v>
      </c>
      <c r="D1274" s="545">
        <v>1.6666666666666667</v>
      </c>
      <c r="E1274" s="545">
        <v>0.66666666666666663</v>
      </c>
      <c r="F1274" s="545">
        <v>3.4285714285714284</v>
      </c>
      <c r="G1274" s="545">
        <v>2.65</v>
      </c>
      <c r="H1274" s="545">
        <v>2</v>
      </c>
      <c r="I1274" s="545">
        <v>1.6666666666666667</v>
      </c>
      <c r="J1274" s="545">
        <v>2.416666666666667</v>
      </c>
    </row>
    <row r="1275" spans="1:10">
      <c r="A1275" s="441">
        <v>4132</v>
      </c>
      <c r="B1275" s="441" t="s">
        <v>2188</v>
      </c>
      <c r="C1275" s="545">
        <v>1.1666666666666665</v>
      </c>
      <c r="D1275" s="545">
        <v>1.3333333333333333</v>
      </c>
      <c r="E1275" s="545">
        <v>0</v>
      </c>
      <c r="F1275" s="545">
        <v>1.0238095238095235</v>
      </c>
      <c r="G1275" s="545">
        <v>0.45</v>
      </c>
      <c r="H1275" s="545">
        <v>0.66666666666666663</v>
      </c>
      <c r="I1275" s="545">
        <v>1.3333333333333333</v>
      </c>
      <c r="J1275" s="545">
        <v>0.6071428571428571</v>
      </c>
    </row>
    <row r="1276" spans="1:10">
      <c r="A1276" s="441">
        <v>4093</v>
      </c>
      <c r="B1276" s="441" t="s">
        <v>2189</v>
      </c>
      <c r="C1276" s="545">
        <v>8.5</v>
      </c>
      <c r="D1276" s="545">
        <v>2.666666666666667</v>
      </c>
      <c r="E1276" s="545">
        <v>1</v>
      </c>
      <c r="F1276" s="545">
        <v>6.5952380952380949</v>
      </c>
      <c r="G1276" s="545">
        <v>8.5500000000000007</v>
      </c>
      <c r="H1276" s="545">
        <v>4.666666666666667</v>
      </c>
      <c r="I1276" s="545">
        <v>2</v>
      </c>
      <c r="J1276" s="545">
        <v>7.0595238095238093</v>
      </c>
    </row>
    <row r="1277" spans="1:10">
      <c r="A1277" s="441">
        <v>4116</v>
      </c>
      <c r="B1277" s="441" t="s">
        <v>2189</v>
      </c>
      <c r="C1277" s="545">
        <v>9.3333333333333321</v>
      </c>
      <c r="D1277" s="545">
        <v>1.6666666666666665</v>
      </c>
      <c r="E1277" s="545">
        <v>1</v>
      </c>
      <c r="F1277" s="545">
        <v>7.0476190476190457</v>
      </c>
      <c r="G1277" s="545">
        <v>11.45</v>
      </c>
      <c r="H1277" s="545">
        <v>5.333333333333333</v>
      </c>
      <c r="I1277" s="545">
        <v>3</v>
      </c>
      <c r="J1277" s="545">
        <v>9.3690476190476204</v>
      </c>
    </row>
    <row r="1278" spans="1:10">
      <c r="A1278" s="441">
        <v>5667</v>
      </c>
      <c r="B1278" s="441" t="s">
        <v>2190</v>
      </c>
      <c r="C1278" s="545">
        <v>48.333333333333329</v>
      </c>
      <c r="D1278" s="545">
        <v>35.666666666666664</v>
      </c>
      <c r="E1278" s="545">
        <v>28.333333333333336</v>
      </c>
      <c r="F1278" s="545">
        <v>43.666666666666664</v>
      </c>
      <c r="G1278" s="545">
        <v>39.85</v>
      </c>
      <c r="H1278" s="545">
        <v>25</v>
      </c>
      <c r="I1278" s="545">
        <v>32</v>
      </c>
      <c r="J1278" s="545">
        <v>36.607142857142854</v>
      </c>
    </row>
    <row r="1279" spans="1:10">
      <c r="A1279" s="441">
        <v>6973</v>
      </c>
      <c r="B1279" s="441" t="s">
        <v>2190</v>
      </c>
      <c r="C1279" s="545">
        <v>49.333333333333329</v>
      </c>
      <c r="D1279" s="545">
        <v>37.666666666666664</v>
      </c>
      <c r="E1279" s="545">
        <v>24.666666666666664</v>
      </c>
      <c r="F1279" s="545">
        <v>44.142857142857146</v>
      </c>
      <c r="G1279" s="545">
        <v>40.299999999999997</v>
      </c>
      <c r="H1279" s="545">
        <v>27.333333333333332</v>
      </c>
      <c r="I1279" s="545">
        <v>23.666666666666668</v>
      </c>
      <c r="J1279" s="545">
        <v>36.071428571428569</v>
      </c>
    </row>
    <row r="1280" spans="1:10">
      <c r="A1280" s="441">
        <v>6260</v>
      </c>
      <c r="B1280" s="441" t="s">
        <v>2191</v>
      </c>
      <c r="C1280" s="545">
        <v>13</v>
      </c>
      <c r="D1280" s="545">
        <v>10</v>
      </c>
      <c r="E1280" s="545">
        <v>2</v>
      </c>
      <c r="F1280" s="545">
        <v>11</v>
      </c>
      <c r="G1280" s="545">
        <v>10.95</v>
      </c>
      <c r="H1280" s="545">
        <v>9.3333333333333339</v>
      </c>
      <c r="I1280" s="545">
        <v>2.6666666666666665</v>
      </c>
      <c r="J1280" s="545">
        <v>9.5357142857142865</v>
      </c>
    </row>
    <row r="1281" spans="1:10">
      <c r="A1281" s="441">
        <v>4075</v>
      </c>
      <c r="B1281" s="441" t="s">
        <v>2192</v>
      </c>
      <c r="C1281" s="545">
        <v>8.5</v>
      </c>
      <c r="D1281" s="545">
        <v>4.6666666666666661</v>
      </c>
      <c r="E1281" s="545">
        <v>1.3333333333333333</v>
      </c>
      <c r="F1281" s="545">
        <v>6.9285714285714288</v>
      </c>
      <c r="G1281" s="545">
        <v>3.45</v>
      </c>
      <c r="H1281" s="545">
        <v>1</v>
      </c>
      <c r="I1281" s="545">
        <v>0.33333333333333331</v>
      </c>
      <c r="J1281" s="545">
        <v>2.6547619047619047</v>
      </c>
    </row>
    <row r="1282" spans="1:10">
      <c r="A1282" s="441">
        <v>4087</v>
      </c>
      <c r="B1282" s="441" t="s">
        <v>2193</v>
      </c>
      <c r="C1282" s="545">
        <v>8.5</v>
      </c>
      <c r="D1282" s="545">
        <v>7</v>
      </c>
      <c r="E1282" s="545">
        <v>5.3333333333333339</v>
      </c>
      <c r="F1282" s="545">
        <v>7.8333333333333339</v>
      </c>
      <c r="G1282" s="545">
        <v>8.65</v>
      </c>
      <c r="H1282" s="545">
        <v>5.333333333333333</v>
      </c>
      <c r="I1282" s="545">
        <v>1.6666666666666667</v>
      </c>
      <c r="J1282" s="545">
        <v>7.1785714285714288</v>
      </c>
    </row>
    <row r="1283" spans="1:10">
      <c r="A1283" s="441">
        <v>4081</v>
      </c>
      <c r="B1283" s="441" t="s">
        <v>2194</v>
      </c>
      <c r="C1283" s="545">
        <v>23.5</v>
      </c>
      <c r="D1283" s="545">
        <v>14.333333333333334</v>
      </c>
      <c r="E1283" s="545">
        <v>9</v>
      </c>
      <c r="F1283" s="545">
        <v>20.11904761904762</v>
      </c>
      <c r="G1283" s="545">
        <v>9</v>
      </c>
      <c r="H1283" s="545">
        <v>9</v>
      </c>
      <c r="I1283" s="545">
        <v>10.666666666666666</v>
      </c>
      <c r="J1283" s="545">
        <v>9.238095238095239</v>
      </c>
    </row>
    <row r="1284" spans="1:10">
      <c r="A1284" s="441">
        <v>4082</v>
      </c>
      <c r="B1284" s="441" t="s">
        <v>2194</v>
      </c>
      <c r="C1284" s="545">
        <v>6.166666666666667</v>
      </c>
      <c r="D1284" s="545">
        <v>2.3333333333333335</v>
      </c>
      <c r="E1284" s="545">
        <v>1.6666666666666665</v>
      </c>
      <c r="F1284" s="545">
        <v>4.9761904761904763</v>
      </c>
      <c r="G1284" s="545">
        <v>3.65</v>
      </c>
      <c r="H1284" s="545">
        <v>1.3333333333333333</v>
      </c>
      <c r="I1284" s="545">
        <v>1.6666666666666667</v>
      </c>
      <c r="J1284" s="545">
        <v>3.0357142857142856</v>
      </c>
    </row>
    <row r="1285" spans="1:10">
      <c r="A1285" s="441">
        <v>4088</v>
      </c>
      <c r="B1285" s="441" t="s">
        <v>2194</v>
      </c>
      <c r="C1285" s="545">
        <v>94.5</v>
      </c>
      <c r="D1285" s="545">
        <v>31</v>
      </c>
      <c r="E1285" s="545">
        <v>28.666666666666668</v>
      </c>
      <c r="F1285" s="545">
        <v>76.023809523809518</v>
      </c>
      <c r="G1285" s="545">
        <v>69.05</v>
      </c>
      <c r="H1285" s="545">
        <v>21.666666666666668</v>
      </c>
      <c r="I1285" s="545">
        <v>9</v>
      </c>
      <c r="J1285" s="545">
        <v>53.702380952380956</v>
      </c>
    </row>
    <row r="1286" spans="1:10">
      <c r="A1286" s="441">
        <v>4120</v>
      </c>
      <c r="B1286" s="441" t="s">
        <v>2194</v>
      </c>
      <c r="C1286" s="545">
        <v>81.333333333333343</v>
      </c>
      <c r="D1286" s="545">
        <v>32.333333333333336</v>
      </c>
      <c r="E1286" s="545">
        <v>25.666666666666664</v>
      </c>
      <c r="F1286" s="545">
        <v>66.380952380952394</v>
      </c>
      <c r="G1286" s="545">
        <v>63.15</v>
      </c>
      <c r="H1286" s="545">
        <v>20.333333333333332</v>
      </c>
      <c r="I1286" s="545">
        <v>15.333333333333334</v>
      </c>
      <c r="J1286" s="545">
        <v>50.202380952380949</v>
      </c>
    </row>
    <row r="1287" spans="1:10">
      <c r="A1287" s="441">
        <v>4121</v>
      </c>
      <c r="B1287" s="441" t="s">
        <v>2194</v>
      </c>
      <c r="C1287" s="545">
        <v>21.166666666666668</v>
      </c>
      <c r="D1287" s="545">
        <v>15.333333333333334</v>
      </c>
      <c r="E1287" s="545">
        <v>10</v>
      </c>
      <c r="F1287" s="545">
        <v>18.738095238095241</v>
      </c>
      <c r="G1287" s="545">
        <v>12</v>
      </c>
      <c r="H1287" s="545">
        <v>11.666666666666666</v>
      </c>
      <c r="I1287" s="545">
        <v>7.666666666666667</v>
      </c>
      <c r="J1287" s="545">
        <v>11.333333333333334</v>
      </c>
    </row>
    <row r="1288" spans="1:10">
      <c r="A1288" s="441">
        <v>6270</v>
      </c>
      <c r="B1288" s="441" t="s">
        <v>2195</v>
      </c>
      <c r="C1288" s="545">
        <v>126.5</v>
      </c>
      <c r="D1288" s="545">
        <v>78.666666666666657</v>
      </c>
      <c r="E1288" s="545">
        <v>54.666666666666664</v>
      </c>
      <c r="F1288" s="545">
        <v>109.4047619047619</v>
      </c>
      <c r="G1288" s="545">
        <v>59.5</v>
      </c>
      <c r="H1288" s="545">
        <v>44</v>
      </c>
      <c r="I1288" s="545">
        <v>38.666666666666664</v>
      </c>
      <c r="J1288" s="545">
        <v>54.30952380952381</v>
      </c>
    </row>
    <row r="1289" spans="1:10">
      <c r="A1289" s="441">
        <v>6271</v>
      </c>
      <c r="B1289" s="441" t="s">
        <v>2195</v>
      </c>
      <c r="C1289" s="545">
        <v>11.833333333333332</v>
      </c>
      <c r="D1289" s="545">
        <v>4</v>
      </c>
      <c r="E1289" s="545">
        <v>1.3333333333333333</v>
      </c>
      <c r="F1289" s="545">
        <v>9.2142857142857117</v>
      </c>
      <c r="G1289" s="545">
        <v>17.95</v>
      </c>
      <c r="H1289" s="545">
        <v>1.6666666666666667</v>
      </c>
      <c r="I1289" s="545">
        <v>2</v>
      </c>
      <c r="J1289" s="545">
        <v>13.345238095238097</v>
      </c>
    </row>
    <row r="1290" spans="1:10">
      <c r="A1290" s="441">
        <v>6979</v>
      </c>
      <c r="B1290" s="441" t="s">
        <v>2195</v>
      </c>
      <c r="C1290" s="545">
        <v>48.333333333333329</v>
      </c>
      <c r="D1290" s="545">
        <v>29</v>
      </c>
      <c r="E1290" s="545">
        <v>22.666666666666668</v>
      </c>
      <c r="F1290" s="545">
        <v>41.904761904761905</v>
      </c>
      <c r="G1290" s="545">
        <v>23.7</v>
      </c>
      <c r="H1290" s="545">
        <v>14.666666666666666</v>
      </c>
      <c r="I1290" s="545">
        <v>8.6666666666666661</v>
      </c>
      <c r="J1290" s="545">
        <v>20.261904761904759</v>
      </c>
    </row>
    <row r="1291" spans="1:10">
      <c r="A1291" s="441">
        <v>4074</v>
      </c>
      <c r="B1291" s="441" t="s">
        <v>2196</v>
      </c>
      <c r="C1291" s="545">
        <v>0.83333333333333326</v>
      </c>
      <c r="D1291" s="545">
        <v>1</v>
      </c>
      <c r="E1291" s="545">
        <v>0</v>
      </c>
      <c r="F1291" s="545">
        <v>0.73809523809523803</v>
      </c>
      <c r="G1291" s="545">
        <v>1.25</v>
      </c>
      <c r="H1291" s="545">
        <v>1</v>
      </c>
      <c r="I1291" s="545">
        <v>1</v>
      </c>
      <c r="J1291" s="545">
        <v>1.1785714285714286</v>
      </c>
    </row>
    <row r="1292" spans="1:10">
      <c r="A1292" s="441">
        <v>4128</v>
      </c>
      <c r="B1292" s="441" t="s">
        <v>2196</v>
      </c>
      <c r="C1292" s="545">
        <v>1.1666666666666667</v>
      </c>
      <c r="D1292" s="545">
        <v>0.33333333333333331</v>
      </c>
      <c r="E1292" s="545">
        <v>0</v>
      </c>
      <c r="F1292" s="545">
        <v>0.88095238095238104</v>
      </c>
      <c r="G1292" s="545">
        <v>0.7</v>
      </c>
      <c r="H1292" s="545">
        <v>1.3333333333333333</v>
      </c>
      <c r="I1292" s="545">
        <v>0</v>
      </c>
      <c r="J1292" s="545">
        <v>0.69047619047619047</v>
      </c>
    </row>
    <row r="1293" spans="1:10">
      <c r="A1293" s="441">
        <v>4130</v>
      </c>
      <c r="B1293" s="441" t="s">
        <v>2197</v>
      </c>
      <c r="C1293" s="545">
        <v>74.833333333333343</v>
      </c>
      <c r="D1293" s="545">
        <v>25.666666666666664</v>
      </c>
      <c r="E1293" s="545">
        <v>27.666666666666668</v>
      </c>
      <c r="F1293" s="545">
        <v>61.071428571428591</v>
      </c>
      <c r="G1293" s="545">
        <v>44.6</v>
      </c>
      <c r="H1293" s="545">
        <v>25</v>
      </c>
      <c r="I1293" s="545">
        <v>19.333333333333332</v>
      </c>
      <c r="J1293" s="545">
        <v>38.19047619047619</v>
      </c>
    </row>
    <row r="1294" spans="1:10">
      <c r="A1294" s="441">
        <v>4131</v>
      </c>
      <c r="B1294" s="441" t="s">
        <v>2197</v>
      </c>
      <c r="C1294" s="545">
        <v>0.5</v>
      </c>
      <c r="D1294" s="545">
        <v>1.3333333333333333</v>
      </c>
      <c r="E1294" s="545">
        <v>0.33333333333333331</v>
      </c>
      <c r="F1294" s="545">
        <v>0.59523809523809512</v>
      </c>
      <c r="G1294" s="545">
        <v>1.1499999999999999</v>
      </c>
      <c r="H1294" s="545">
        <v>1.3333333333333333</v>
      </c>
      <c r="I1294" s="545">
        <v>2.3333333333333335</v>
      </c>
      <c r="J1294" s="545">
        <v>1.3452380952380951</v>
      </c>
    </row>
    <row r="1295" spans="1:10">
      <c r="A1295" s="441">
        <v>11529</v>
      </c>
      <c r="B1295" s="441" t="s">
        <v>2197</v>
      </c>
      <c r="C1295" s="545">
        <v>73.166666666666671</v>
      </c>
      <c r="D1295" s="545">
        <v>34</v>
      </c>
      <c r="E1295" s="545">
        <v>17</v>
      </c>
      <c r="F1295" s="545">
        <v>59.547619047619051</v>
      </c>
      <c r="G1295" s="545">
        <v>52.7</v>
      </c>
      <c r="H1295" s="545">
        <v>26.666666666666668</v>
      </c>
      <c r="I1295" s="545">
        <v>20.333333333333332</v>
      </c>
      <c r="J1295" s="545">
        <v>44.357142857142854</v>
      </c>
    </row>
    <row r="1296" spans="1:10">
      <c r="A1296" s="441">
        <v>11788</v>
      </c>
      <c r="B1296" s="441" t="s">
        <v>2198</v>
      </c>
      <c r="C1296" s="545">
        <v>9.8333333333333339</v>
      </c>
      <c r="D1296" s="545">
        <v>5.333333333333333</v>
      </c>
      <c r="E1296" s="545">
        <v>3.333333333333333</v>
      </c>
      <c r="F1296" s="545">
        <v>8.2619047619047628</v>
      </c>
      <c r="G1296" s="545">
        <v>3.65</v>
      </c>
      <c r="H1296" s="545">
        <v>2.6666666666666665</v>
      </c>
      <c r="I1296" s="545">
        <v>1.3333333333333333</v>
      </c>
      <c r="J1296" s="545">
        <v>3.1785714285714284</v>
      </c>
    </row>
    <row r="1297" spans="1:10">
      <c r="A1297" s="441">
        <v>5448</v>
      </c>
      <c r="B1297" s="441" t="s">
        <v>2199</v>
      </c>
      <c r="C1297" s="545">
        <v>37</v>
      </c>
      <c r="D1297" s="545">
        <v>13</v>
      </c>
      <c r="E1297" s="545">
        <v>6.333333333333333</v>
      </c>
      <c r="F1297" s="545">
        <v>29.190476190476193</v>
      </c>
      <c r="G1297" s="545">
        <v>98.2</v>
      </c>
      <c r="H1297" s="545">
        <v>10</v>
      </c>
      <c r="I1297" s="545">
        <v>7</v>
      </c>
      <c r="J1297" s="545">
        <v>72.571428571428569</v>
      </c>
    </row>
    <row r="1298" spans="1:10">
      <c r="A1298" s="441">
        <v>4086</v>
      </c>
      <c r="B1298" s="441" t="s">
        <v>2200</v>
      </c>
      <c r="C1298" s="545">
        <v>0.16666666666666666</v>
      </c>
      <c r="D1298" s="545">
        <v>0</v>
      </c>
      <c r="E1298" s="545">
        <v>1.6666666666666665</v>
      </c>
      <c r="F1298" s="545">
        <v>0.35714285714285715</v>
      </c>
      <c r="G1298" s="545">
        <v>9.15</v>
      </c>
      <c r="H1298" s="545">
        <v>5</v>
      </c>
      <c r="I1298" s="545">
        <v>6.666666666666667</v>
      </c>
      <c r="J1298" s="545">
        <v>8.2023809523809526</v>
      </c>
    </row>
    <row r="1299" spans="1:10">
      <c r="A1299" s="441">
        <v>4070</v>
      </c>
      <c r="B1299" s="441" t="s">
        <v>2201</v>
      </c>
      <c r="C1299" s="545">
        <v>9.3333333333333321</v>
      </c>
      <c r="D1299" s="545">
        <v>2.3333333333333335</v>
      </c>
      <c r="E1299" s="545">
        <v>0.66666666666666663</v>
      </c>
      <c r="F1299" s="545">
        <v>7.095238095238094</v>
      </c>
      <c r="G1299" s="545">
        <v>1.5</v>
      </c>
      <c r="H1299" s="545">
        <v>2.3333333333333335</v>
      </c>
      <c r="I1299" s="545">
        <v>1.6666666666666667</v>
      </c>
      <c r="J1299" s="545">
        <v>1.6428571428571428</v>
      </c>
    </row>
    <row r="1300" spans="1:10">
      <c r="A1300" s="441">
        <v>4133</v>
      </c>
      <c r="B1300" s="441" t="s">
        <v>2201</v>
      </c>
      <c r="C1300" s="545">
        <v>17</v>
      </c>
      <c r="D1300" s="545">
        <v>2.6666666666666665</v>
      </c>
      <c r="E1300" s="545">
        <v>3.666666666666667</v>
      </c>
      <c r="F1300" s="545">
        <v>13.047619047619049</v>
      </c>
      <c r="G1300" s="545">
        <v>4.5999999999999996</v>
      </c>
      <c r="H1300" s="545">
        <v>4.666666666666667</v>
      </c>
      <c r="I1300" s="545">
        <v>2.3333333333333335</v>
      </c>
      <c r="J1300" s="545">
        <v>4.2857142857142856</v>
      </c>
    </row>
    <row r="1301" spans="1:10">
      <c r="A1301" s="441">
        <v>5673</v>
      </c>
      <c r="B1301" s="441" t="s">
        <v>2202</v>
      </c>
      <c r="C1301" s="545">
        <v>0.66666666666666663</v>
      </c>
      <c r="D1301" s="545">
        <v>0</v>
      </c>
      <c r="E1301" s="545">
        <v>0</v>
      </c>
      <c r="F1301" s="545">
        <v>0.47619047619047616</v>
      </c>
      <c r="G1301" s="545">
        <v>0.75</v>
      </c>
      <c r="H1301" s="545">
        <v>1.6666666666666667</v>
      </c>
      <c r="I1301" s="545">
        <v>0</v>
      </c>
      <c r="J1301" s="545">
        <v>0.77380952380952384</v>
      </c>
    </row>
    <row r="1302" spans="1:10">
      <c r="A1302" s="441">
        <v>6966</v>
      </c>
      <c r="B1302" s="441" t="s">
        <v>2202</v>
      </c>
      <c r="C1302" s="545">
        <v>0.33333333333333331</v>
      </c>
      <c r="D1302" s="545">
        <v>0.33333333333333331</v>
      </c>
      <c r="E1302" s="545">
        <v>0.66666666666666663</v>
      </c>
      <c r="F1302" s="545">
        <v>0.38095238095238093</v>
      </c>
      <c r="G1302" s="545">
        <v>1.85</v>
      </c>
      <c r="H1302" s="545">
        <v>3.3333333333333335</v>
      </c>
      <c r="I1302" s="545">
        <v>1</v>
      </c>
      <c r="J1302" s="545">
        <v>1.9404761904761905</v>
      </c>
    </row>
    <row r="1303" spans="1:10">
      <c r="A1303" s="441">
        <v>5669</v>
      </c>
      <c r="B1303" s="441" t="s">
        <v>2203</v>
      </c>
      <c r="C1303" s="545">
        <v>7.5</v>
      </c>
      <c r="D1303" s="545">
        <v>4.666666666666667</v>
      </c>
      <c r="E1303" s="545">
        <v>4.666666666666667</v>
      </c>
      <c r="F1303" s="545">
        <v>6.6904761904761898</v>
      </c>
      <c r="G1303" s="545">
        <v>2.8</v>
      </c>
      <c r="H1303" s="545">
        <v>1.3333333333333333</v>
      </c>
      <c r="I1303" s="545">
        <v>1</v>
      </c>
      <c r="J1303" s="545">
        <v>2.3333333333333335</v>
      </c>
    </row>
    <row r="1304" spans="1:10">
      <c r="A1304" s="441">
        <v>5670</v>
      </c>
      <c r="B1304" s="441" t="s">
        <v>2203</v>
      </c>
      <c r="C1304" s="545">
        <v>39.166666666666671</v>
      </c>
      <c r="D1304" s="545">
        <v>11.333333333333332</v>
      </c>
      <c r="E1304" s="545">
        <v>12.333333333333334</v>
      </c>
      <c r="F1304" s="545">
        <v>31.357142857142865</v>
      </c>
      <c r="G1304" s="545">
        <v>29.9</v>
      </c>
      <c r="H1304" s="545">
        <v>16</v>
      </c>
      <c r="I1304" s="545">
        <v>16.333333333333332</v>
      </c>
      <c r="J1304" s="545">
        <v>25.976190476190478</v>
      </c>
    </row>
    <row r="1305" spans="1:10">
      <c r="A1305" s="441">
        <v>6971</v>
      </c>
      <c r="B1305" s="441" t="s">
        <v>2203</v>
      </c>
      <c r="C1305" s="545">
        <v>9.1666666666666661</v>
      </c>
      <c r="D1305" s="545">
        <v>5</v>
      </c>
      <c r="E1305" s="545">
        <v>3.666666666666667</v>
      </c>
      <c r="F1305" s="545">
        <v>7.7857142857142847</v>
      </c>
      <c r="G1305" s="545">
        <v>3.5</v>
      </c>
      <c r="H1305" s="545">
        <v>2</v>
      </c>
      <c r="I1305" s="545">
        <v>0.33333333333333331</v>
      </c>
      <c r="J1305" s="545">
        <v>2.833333333333333</v>
      </c>
    </row>
    <row r="1306" spans="1:10">
      <c r="A1306" s="441">
        <v>6266</v>
      </c>
      <c r="B1306" s="441" t="s">
        <v>2204</v>
      </c>
      <c r="C1306" s="545">
        <v>10.166666666666668</v>
      </c>
      <c r="D1306" s="545">
        <v>7.3333333333333339</v>
      </c>
      <c r="E1306" s="545">
        <v>4.666666666666667</v>
      </c>
      <c r="F1306" s="545">
        <v>8.9761904761904781</v>
      </c>
      <c r="G1306" s="545">
        <v>4.1500000000000004</v>
      </c>
      <c r="H1306" s="545">
        <v>3.6666666666666665</v>
      </c>
      <c r="I1306" s="545">
        <v>2.3333333333333335</v>
      </c>
      <c r="J1306" s="545">
        <v>3.8214285714285716</v>
      </c>
    </row>
    <row r="1307" spans="1:10">
      <c r="A1307" s="441">
        <v>6983</v>
      </c>
      <c r="B1307" s="441" t="s">
        <v>2204</v>
      </c>
      <c r="C1307" s="545">
        <v>8.3333333333333339</v>
      </c>
      <c r="D1307" s="545">
        <v>7</v>
      </c>
      <c r="E1307" s="545">
        <v>2</v>
      </c>
      <c r="F1307" s="545">
        <v>7.238095238095239</v>
      </c>
      <c r="G1307" s="545">
        <v>3.05</v>
      </c>
      <c r="H1307" s="545">
        <v>2.3333333333333335</v>
      </c>
      <c r="I1307" s="545">
        <v>1.6666666666666667</v>
      </c>
      <c r="J1307" s="545">
        <v>2.75</v>
      </c>
    </row>
    <row r="1308" spans="1:10">
      <c r="A1308" s="441">
        <v>5668</v>
      </c>
      <c r="B1308" s="441" t="s">
        <v>2205</v>
      </c>
      <c r="C1308" s="545">
        <v>2.1666666666666665</v>
      </c>
      <c r="D1308" s="545">
        <v>0.66666666666666663</v>
      </c>
      <c r="E1308" s="545">
        <v>0.66666666666666663</v>
      </c>
      <c r="F1308" s="545">
        <v>1.7380952380952377</v>
      </c>
      <c r="G1308" s="545">
        <v>1.7</v>
      </c>
      <c r="H1308" s="545">
        <v>1</v>
      </c>
      <c r="I1308" s="545">
        <v>0.33333333333333331</v>
      </c>
      <c r="J1308" s="545">
        <v>1.4047619047619049</v>
      </c>
    </row>
    <row r="1309" spans="1:10">
      <c r="A1309" s="441">
        <v>6972</v>
      </c>
      <c r="B1309" s="441" t="s">
        <v>2205</v>
      </c>
      <c r="C1309" s="545">
        <v>0.66666666666666663</v>
      </c>
      <c r="D1309" s="545">
        <v>1</v>
      </c>
      <c r="E1309" s="545">
        <v>0</v>
      </c>
      <c r="F1309" s="545">
        <v>0.61904761904761896</v>
      </c>
      <c r="G1309" s="545">
        <v>1.1000000000000001</v>
      </c>
      <c r="H1309" s="545">
        <v>1.3333333333333333</v>
      </c>
      <c r="I1309" s="545">
        <v>1</v>
      </c>
      <c r="J1309" s="545">
        <v>1.1190476190476191</v>
      </c>
    </row>
    <row r="1310" spans="1:10">
      <c r="A1310" s="441">
        <v>6964</v>
      </c>
      <c r="B1310" s="441" t="s">
        <v>2206</v>
      </c>
      <c r="C1310" s="545">
        <v>2.8333333333333335</v>
      </c>
      <c r="D1310" s="545">
        <v>2</v>
      </c>
      <c r="E1310" s="545">
        <v>0</v>
      </c>
      <c r="F1310" s="545">
        <v>2.3095238095238098</v>
      </c>
      <c r="G1310" s="545">
        <v>0.85</v>
      </c>
      <c r="H1310" s="545">
        <v>0</v>
      </c>
      <c r="I1310" s="545">
        <v>0</v>
      </c>
      <c r="J1310" s="545">
        <v>0.6071428571428571</v>
      </c>
    </row>
    <row r="1311" spans="1:10">
      <c r="A1311" s="441">
        <v>6264</v>
      </c>
      <c r="B1311" s="441" t="s">
        <v>2207</v>
      </c>
      <c r="C1311" s="545">
        <v>172</v>
      </c>
      <c r="D1311" s="545">
        <v>97.333333333333343</v>
      </c>
      <c r="E1311" s="545">
        <v>70.333333333333343</v>
      </c>
      <c r="F1311" s="545">
        <v>146.80952380952382</v>
      </c>
      <c r="G1311" s="545">
        <v>95.8</v>
      </c>
      <c r="H1311" s="545">
        <v>83.333333333333329</v>
      </c>
      <c r="I1311" s="545">
        <v>73.333333333333329</v>
      </c>
      <c r="J1311" s="545">
        <v>90.809523809523824</v>
      </c>
    </row>
    <row r="1312" spans="1:10">
      <c r="A1312" s="441">
        <v>6985</v>
      </c>
      <c r="B1312" s="441" t="s">
        <v>2207</v>
      </c>
      <c r="C1312" s="545">
        <v>108.16666666666667</v>
      </c>
      <c r="D1312" s="545">
        <v>59</v>
      </c>
      <c r="E1312" s="545">
        <v>39.333333333333336</v>
      </c>
      <c r="F1312" s="545">
        <v>91.309523809523824</v>
      </c>
      <c r="G1312" s="545">
        <v>59.05</v>
      </c>
      <c r="H1312" s="545">
        <v>45.666666666666664</v>
      </c>
      <c r="I1312" s="545">
        <v>34</v>
      </c>
      <c r="J1312" s="545">
        <v>53.55952380952381</v>
      </c>
    </row>
    <row r="1313" spans="1:10">
      <c r="A1313" s="441">
        <v>5675</v>
      </c>
      <c r="B1313" s="441" t="s">
        <v>2208</v>
      </c>
      <c r="C1313" s="545">
        <v>5.5</v>
      </c>
      <c r="D1313" s="545">
        <v>3</v>
      </c>
      <c r="E1313" s="545">
        <v>0</v>
      </c>
      <c r="F1313" s="545">
        <v>4.3571428571428568</v>
      </c>
      <c r="G1313" s="545">
        <v>2.8</v>
      </c>
      <c r="H1313" s="545">
        <v>0.33333333333333331</v>
      </c>
      <c r="I1313" s="545">
        <v>0.33333333333333331</v>
      </c>
      <c r="J1313" s="545">
        <v>2.0952380952380953</v>
      </c>
    </row>
    <row r="1314" spans="1:10">
      <c r="A1314" s="441">
        <v>6963</v>
      </c>
      <c r="B1314" s="441" t="s">
        <v>2208</v>
      </c>
      <c r="C1314" s="545">
        <v>6.3333333333333339</v>
      </c>
      <c r="D1314" s="545">
        <v>0.33333333333333331</v>
      </c>
      <c r="E1314" s="545">
        <v>0.33333333333333331</v>
      </c>
      <c r="F1314" s="545">
        <v>4.6190476190476204</v>
      </c>
      <c r="G1314" s="545">
        <v>0.9</v>
      </c>
      <c r="H1314" s="545">
        <v>3.6666666666666665</v>
      </c>
      <c r="I1314" s="545">
        <v>0.33333333333333331</v>
      </c>
      <c r="J1314" s="545">
        <v>1.2142857142857142</v>
      </c>
    </row>
    <row r="1315" spans="1:10">
      <c r="A1315" s="441">
        <v>6263</v>
      </c>
      <c r="B1315" s="441" t="s">
        <v>2209</v>
      </c>
      <c r="C1315" s="545">
        <v>82</v>
      </c>
      <c r="D1315" s="545">
        <v>55</v>
      </c>
      <c r="E1315" s="545">
        <v>53</v>
      </c>
      <c r="F1315" s="545">
        <v>74</v>
      </c>
      <c r="G1315" s="545">
        <v>44.45</v>
      </c>
      <c r="H1315" s="545">
        <v>38</v>
      </c>
      <c r="I1315" s="545">
        <v>30.666666666666668</v>
      </c>
      <c r="J1315" s="545">
        <v>41.55952380952381</v>
      </c>
    </row>
    <row r="1316" spans="1:10">
      <c r="A1316" s="441">
        <v>6986</v>
      </c>
      <c r="B1316" s="441" t="s">
        <v>2209</v>
      </c>
      <c r="C1316" s="545">
        <v>46.833333333333329</v>
      </c>
      <c r="D1316" s="545">
        <v>20.666666666666664</v>
      </c>
      <c r="E1316" s="545">
        <v>26.666666666666664</v>
      </c>
      <c r="F1316" s="545">
        <v>40.214285714285708</v>
      </c>
      <c r="G1316" s="545">
        <v>20.05</v>
      </c>
      <c r="H1316" s="545">
        <v>16.666666666666668</v>
      </c>
      <c r="I1316" s="545">
        <v>17.666666666666668</v>
      </c>
      <c r="J1316" s="545">
        <v>19.226190476190478</v>
      </c>
    </row>
    <row r="1317" spans="1:10">
      <c r="A1317" s="441">
        <v>4089</v>
      </c>
      <c r="B1317" s="441" t="s">
        <v>2210</v>
      </c>
      <c r="C1317" s="545">
        <v>18.166666666666668</v>
      </c>
      <c r="D1317" s="545">
        <v>4.333333333333333</v>
      </c>
      <c r="E1317" s="545">
        <v>3</v>
      </c>
      <c r="F1317" s="545">
        <v>14.023809523809524</v>
      </c>
      <c r="G1317" s="545">
        <v>13.85</v>
      </c>
      <c r="H1317" s="545">
        <v>2.6666666666666665</v>
      </c>
      <c r="I1317" s="545">
        <v>1</v>
      </c>
      <c r="J1317" s="545">
        <v>10.416666666666668</v>
      </c>
    </row>
    <row r="1318" spans="1:10">
      <c r="A1318" s="441">
        <v>4119</v>
      </c>
      <c r="B1318" s="441" t="s">
        <v>2210</v>
      </c>
      <c r="C1318" s="545">
        <v>13.833333333333334</v>
      </c>
      <c r="D1318" s="545">
        <v>1.3333333333333333</v>
      </c>
      <c r="E1318" s="545">
        <v>1.6666666666666665</v>
      </c>
      <c r="F1318" s="545">
        <v>10.30952380952381</v>
      </c>
      <c r="G1318" s="545">
        <v>10.85</v>
      </c>
      <c r="H1318" s="545">
        <v>2.6666666666666665</v>
      </c>
      <c r="I1318" s="545">
        <v>1.3333333333333333</v>
      </c>
      <c r="J1318" s="545">
        <v>8.3214285714285712</v>
      </c>
    </row>
    <row r="1319" spans="1:10">
      <c r="A1319" s="441">
        <v>4098</v>
      </c>
      <c r="B1319" s="441" t="s">
        <v>2211</v>
      </c>
      <c r="C1319" s="545">
        <v>157.16666666666666</v>
      </c>
      <c r="D1319" s="545">
        <v>98</v>
      </c>
      <c r="E1319" s="545">
        <v>53.333333333333329</v>
      </c>
      <c r="F1319" s="545">
        <v>133.88095238095238</v>
      </c>
      <c r="G1319" s="545">
        <v>123.8</v>
      </c>
      <c r="H1319" s="545">
        <v>67.666666666666671</v>
      </c>
      <c r="I1319" s="545">
        <v>47</v>
      </c>
      <c r="J1319" s="545">
        <v>104.80952380952381</v>
      </c>
    </row>
    <row r="1320" spans="1:10">
      <c r="A1320" s="441">
        <v>4129</v>
      </c>
      <c r="B1320" s="441" t="s">
        <v>2211</v>
      </c>
      <c r="C1320" s="545">
        <v>1</v>
      </c>
      <c r="D1320" s="545">
        <v>0.66666666666666663</v>
      </c>
      <c r="E1320" s="545">
        <v>0</v>
      </c>
      <c r="F1320" s="545">
        <v>0.80952380952380953</v>
      </c>
      <c r="G1320" s="545">
        <v>1.6</v>
      </c>
      <c r="H1320" s="545">
        <v>0</v>
      </c>
      <c r="I1320" s="545">
        <v>1</v>
      </c>
      <c r="J1320" s="545">
        <v>1.2857142857142858</v>
      </c>
    </row>
    <row r="1321" spans="1:10">
      <c r="A1321" s="441">
        <v>11528</v>
      </c>
      <c r="B1321" s="441" t="s">
        <v>2211</v>
      </c>
      <c r="C1321" s="545">
        <v>148.83333333333334</v>
      </c>
      <c r="D1321" s="545">
        <v>90</v>
      </c>
      <c r="E1321" s="545">
        <v>59.333333333333329</v>
      </c>
      <c r="F1321" s="545">
        <v>127.64285714285715</v>
      </c>
      <c r="G1321" s="545">
        <v>102.5</v>
      </c>
      <c r="H1321" s="545">
        <v>55.333333333333336</v>
      </c>
      <c r="I1321" s="545">
        <v>41</v>
      </c>
      <c r="J1321" s="545">
        <v>86.976190476190482</v>
      </c>
    </row>
    <row r="1322" spans="1:10">
      <c r="A1322" s="441">
        <v>4094</v>
      </c>
      <c r="B1322" s="441" t="s">
        <v>2212</v>
      </c>
      <c r="C1322" s="545">
        <v>2.8333333333333335</v>
      </c>
      <c r="D1322" s="545">
        <v>1</v>
      </c>
      <c r="E1322" s="545">
        <v>0.66666666666666663</v>
      </c>
      <c r="F1322" s="545">
        <v>2.2619047619047619</v>
      </c>
      <c r="G1322" s="545">
        <v>1.9</v>
      </c>
      <c r="H1322" s="545">
        <v>0.33333333333333331</v>
      </c>
      <c r="I1322" s="545">
        <v>0</v>
      </c>
      <c r="J1322" s="545">
        <v>1.4047619047619049</v>
      </c>
    </row>
    <row r="1323" spans="1:10">
      <c r="A1323" s="441">
        <v>4078</v>
      </c>
      <c r="B1323" s="441" t="s">
        <v>2213</v>
      </c>
      <c r="C1323" s="545">
        <v>2.333333333333333</v>
      </c>
      <c r="D1323" s="545">
        <v>1</v>
      </c>
      <c r="E1323" s="545">
        <v>1.3333333333333333</v>
      </c>
      <c r="F1323" s="545">
        <v>1.9999999999999998</v>
      </c>
      <c r="G1323" s="545">
        <v>1.2</v>
      </c>
      <c r="H1323" s="545">
        <v>3.6666666666666665</v>
      </c>
      <c r="I1323" s="545">
        <v>1.6666666666666667</v>
      </c>
      <c r="J1323" s="545">
        <v>1.6190476190476188</v>
      </c>
    </row>
    <row r="1324" spans="1:10">
      <c r="A1324" s="441">
        <v>4069</v>
      </c>
      <c r="B1324" s="441" t="s">
        <v>2214</v>
      </c>
      <c r="C1324" s="545">
        <v>5</v>
      </c>
      <c r="D1324" s="545">
        <v>0.33333333333333331</v>
      </c>
      <c r="E1324" s="545">
        <v>0.33333333333333331</v>
      </c>
      <c r="F1324" s="545">
        <v>3.6666666666666665</v>
      </c>
      <c r="G1324" s="545">
        <v>1.1000000000000001</v>
      </c>
      <c r="H1324" s="545">
        <v>2</v>
      </c>
      <c r="I1324" s="545">
        <v>1.3333333333333333</v>
      </c>
      <c r="J1324" s="545">
        <v>1.2619047619047621</v>
      </c>
    </row>
    <row r="1325" spans="1:10">
      <c r="A1325" s="441">
        <v>5677</v>
      </c>
      <c r="B1325" s="441" t="s">
        <v>2214</v>
      </c>
      <c r="C1325" s="545">
        <v>2.8333333333333335</v>
      </c>
      <c r="D1325" s="545">
        <v>2.666666666666667</v>
      </c>
      <c r="E1325" s="545">
        <v>1.6666666666666665</v>
      </c>
      <c r="F1325" s="545">
        <v>2.6428571428571432</v>
      </c>
      <c r="G1325" s="545">
        <v>4.05</v>
      </c>
      <c r="H1325" s="545">
        <v>4</v>
      </c>
      <c r="I1325" s="545">
        <v>3</v>
      </c>
      <c r="J1325" s="545">
        <v>3.8928571428571428</v>
      </c>
    </row>
    <row r="1326" spans="1:10">
      <c r="A1326" s="441">
        <v>213</v>
      </c>
      <c r="B1326" s="441" t="s">
        <v>2215</v>
      </c>
      <c r="C1326" s="545">
        <v>128.5</v>
      </c>
      <c r="D1326" s="545">
        <v>105</v>
      </c>
      <c r="E1326" s="545">
        <v>73.333333333333343</v>
      </c>
      <c r="F1326" s="545">
        <v>117.26190476190477</v>
      </c>
      <c r="G1326" s="545">
        <v>73.650000000000006</v>
      </c>
      <c r="H1326" s="545">
        <v>49.333333333333336</v>
      </c>
      <c r="I1326" s="545">
        <v>44</v>
      </c>
      <c r="J1326" s="545">
        <v>65.94047619047619</v>
      </c>
    </row>
    <row r="1327" spans="1:10">
      <c r="A1327" s="441">
        <v>2929</v>
      </c>
      <c r="B1327" s="441" t="s">
        <v>2216</v>
      </c>
      <c r="C1327" s="545">
        <v>2</v>
      </c>
      <c r="D1327" s="545">
        <v>1.3333333333333333</v>
      </c>
      <c r="E1327" s="545">
        <v>0.33333333333333331</v>
      </c>
      <c r="F1327" s="545">
        <v>1.6666666666666667</v>
      </c>
      <c r="G1327" s="545">
        <v>2.75</v>
      </c>
      <c r="H1327" s="545">
        <v>3</v>
      </c>
      <c r="I1327" s="545">
        <v>3.3333333333333335</v>
      </c>
      <c r="J1327" s="545">
        <v>2.8690476190476191</v>
      </c>
    </row>
    <row r="1328" spans="1:10">
      <c r="A1328" s="441">
        <v>2930</v>
      </c>
      <c r="B1328" s="441" t="s">
        <v>2217</v>
      </c>
      <c r="C1328" s="545">
        <v>8</v>
      </c>
      <c r="D1328" s="545">
        <v>12</v>
      </c>
      <c r="E1328" s="545">
        <v>4</v>
      </c>
      <c r="F1328" s="545">
        <v>8</v>
      </c>
      <c r="G1328" s="545">
        <v>9.35</v>
      </c>
      <c r="H1328" s="545">
        <v>7.666666666666667</v>
      </c>
      <c r="I1328" s="545">
        <v>3.6666666666666665</v>
      </c>
      <c r="J1328" s="545">
        <v>8.2976190476190474</v>
      </c>
    </row>
    <row r="1329" spans="1:10">
      <c r="A1329" s="441">
        <v>8747</v>
      </c>
      <c r="B1329" s="441" t="s">
        <v>2218</v>
      </c>
      <c r="C1329" s="545">
        <v>5.3333333333333339</v>
      </c>
      <c r="D1329" s="545">
        <v>3</v>
      </c>
      <c r="E1329" s="545">
        <v>2.666666666666667</v>
      </c>
      <c r="F1329" s="545">
        <v>4.6190476190476195</v>
      </c>
      <c r="G1329" s="545">
        <v>2.65</v>
      </c>
      <c r="H1329" s="545">
        <v>1.3333333333333333</v>
      </c>
      <c r="I1329" s="545">
        <v>2.3333333333333335</v>
      </c>
      <c r="J1329" s="545">
        <v>2.416666666666667</v>
      </c>
    </row>
    <row r="1330" spans="1:10">
      <c r="A1330" s="441">
        <v>8959</v>
      </c>
      <c r="B1330" s="441" t="s">
        <v>2218</v>
      </c>
      <c r="C1330" s="545">
        <v>2.833333333333333</v>
      </c>
      <c r="D1330" s="545">
        <v>3.3333333333333335</v>
      </c>
      <c r="E1330" s="545">
        <v>2.333333333333333</v>
      </c>
      <c r="F1330" s="545">
        <v>2.8333333333333326</v>
      </c>
      <c r="G1330" s="545">
        <v>1.55</v>
      </c>
      <c r="H1330" s="545">
        <v>0.33333333333333331</v>
      </c>
      <c r="I1330" s="545">
        <v>0.66666666666666663</v>
      </c>
      <c r="J1330" s="545">
        <v>1.25</v>
      </c>
    </row>
    <row r="1331" spans="1:10">
      <c r="A1331" s="441">
        <v>8753</v>
      </c>
      <c r="B1331" s="441" t="s">
        <v>2219</v>
      </c>
      <c r="C1331" s="545">
        <v>2.5</v>
      </c>
      <c r="D1331" s="545">
        <v>2.3333333333333335</v>
      </c>
      <c r="E1331" s="545">
        <v>0</v>
      </c>
      <c r="F1331" s="545">
        <v>2.1190476190476191</v>
      </c>
      <c r="G1331" s="545">
        <v>2.4500000000000002</v>
      </c>
      <c r="H1331" s="545">
        <v>0</v>
      </c>
      <c r="I1331" s="545">
        <v>0.33333333333333331</v>
      </c>
      <c r="J1331" s="545">
        <v>1.7976190476190477</v>
      </c>
    </row>
    <row r="1332" spans="1:10">
      <c r="A1332" s="441">
        <v>8953</v>
      </c>
      <c r="B1332" s="441" t="s">
        <v>2219</v>
      </c>
      <c r="C1332" s="545">
        <v>2</v>
      </c>
      <c r="D1332" s="545">
        <v>0.33333333333333331</v>
      </c>
      <c r="E1332" s="545">
        <v>0</v>
      </c>
      <c r="F1332" s="545">
        <v>1.4761904761904763</v>
      </c>
      <c r="G1332" s="545">
        <v>1.7</v>
      </c>
      <c r="H1332" s="545">
        <v>0.33333333333333331</v>
      </c>
      <c r="I1332" s="545">
        <v>1</v>
      </c>
      <c r="J1332" s="545">
        <v>1.4047619047619049</v>
      </c>
    </row>
    <row r="1333" spans="1:10">
      <c r="A1333" s="441">
        <v>8755</v>
      </c>
      <c r="B1333" s="441" t="s">
        <v>2220</v>
      </c>
      <c r="C1333" s="545">
        <v>61.833333333333336</v>
      </c>
      <c r="D1333" s="545">
        <v>29.333333333333332</v>
      </c>
      <c r="E1333" s="545">
        <v>24.666666666666664</v>
      </c>
      <c r="F1333" s="545">
        <v>51.880952380952387</v>
      </c>
      <c r="G1333" s="545">
        <v>48.55</v>
      </c>
      <c r="H1333" s="545">
        <v>22</v>
      </c>
      <c r="I1333" s="545">
        <v>22.666666666666668</v>
      </c>
      <c r="J1333" s="545">
        <v>41.05952380952381</v>
      </c>
    </row>
    <row r="1334" spans="1:10">
      <c r="A1334" s="441">
        <v>8770</v>
      </c>
      <c r="B1334" s="441" t="s">
        <v>2220</v>
      </c>
      <c r="C1334" s="545">
        <v>48.833333333333329</v>
      </c>
      <c r="D1334" s="545">
        <v>24.333333333333332</v>
      </c>
      <c r="E1334" s="545">
        <v>15.666666666666668</v>
      </c>
      <c r="F1334" s="545">
        <v>40.595238095238088</v>
      </c>
      <c r="G1334" s="545">
        <v>69.55</v>
      </c>
      <c r="H1334" s="545">
        <v>16.666666666666668</v>
      </c>
      <c r="I1334" s="545">
        <v>19</v>
      </c>
      <c r="J1334" s="545">
        <v>54.773809523809526</v>
      </c>
    </row>
    <row r="1335" spans="1:10">
      <c r="A1335" s="441">
        <v>10633</v>
      </c>
      <c r="B1335" s="441" t="s">
        <v>2221</v>
      </c>
      <c r="C1335" s="545">
        <v>62.833333333333336</v>
      </c>
      <c r="D1335" s="545">
        <v>14.666666666666666</v>
      </c>
      <c r="E1335" s="545">
        <v>0.66666666666666663</v>
      </c>
      <c r="F1335" s="545">
        <v>47.071428571428577</v>
      </c>
      <c r="G1335" s="545">
        <v>58.95</v>
      </c>
      <c r="H1335" s="545">
        <v>9.3333333333333339</v>
      </c>
      <c r="I1335" s="545">
        <v>5.333333333333333</v>
      </c>
      <c r="J1335" s="545">
        <v>44.202380952380949</v>
      </c>
    </row>
    <row r="1336" spans="1:10">
      <c r="A1336" s="441">
        <v>8761</v>
      </c>
      <c r="B1336" s="441" t="s">
        <v>2222</v>
      </c>
      <c r="C1336" s="545">
        <v>69.333333333333343</v>
      </c>
      <c r="D1336" s="545">
        <v>18.333333333333336</v>
      </c>
      <c r="E1336" s="545">
        <v>11.333333333333332</v>
      </c>
      <c r="F1336" s="545">
        <v>53.761904761904766</v>
      </c>
      <c r="G1336" s="545">
        <v>75.25</v>
      </c>
      <c r="H1336" s="545">
        <v>21.333333333333332</v>
      </c>
      <c r="I1336" s="545">
        <v>16.666666666666668</v>
      </c>
      <c r="J1336" s="545">
        <v>59.178571428571431</v>
      </c>
    </row>
    <row r="1337" spans="1:10">
      <c r="A1337" s="441">
        <v>8764</v>
      </c>
      <c r="B1337" s="441" t="s">
        <v>2222</v>
      </c>
      <c r="C1337" s="545">
        <v>80.166666666666657</v>
      </c>
      <c r="D1337" s="545">
        <v>19.333333333333332</v>
      </c>
      <c r="E1337" s="545">
        <v>14.333333333333334</v>
      </c>
      <c r="F1337" s="545">
        <v>62.071428571428555</v>
      </c>
      <c r="G1337" s="545">
        <v>69.3</v>
      </c>
      <c r="H1337" s="545">
        <v>20.333333333333332</v>
      </c>
      <c r="I1337" s="545">
        <v>10</v>
      </c>
      <c r="J1337" s="545">
        <v>53.833333333333329</v>
      </c>
    </row>
    <row r="1338" spans="1:10">
      <c r="A1338" s="441">
        <v>8749</v>
      </c>
      <c r="B1338" s="441" t="s">
        <v>2223</v>
      </c>
      <c r="C1338" s="545">
        <v>6.166666666666667</v>
      </c>
      <c r="D1338" s="545">
        <v>1.3333333333333333</v>
      </c>
      <c r="E1338" s="545">
        <v>0.33333333333333331</v>
      </c>
      <c r="F1338" s="545">
        <v>4.6428571428571441</v>
      </c>
      <c r="G1338" s="545">
        <v>2.1</v>
      </c>
      <c r="H1338" s="545">
        <v>0</v>
      </c>
      <c r="I1338" s="545">
        <v>0.66666666666666663</v>
      </c>
      <c r="J1338" s="545">
        <v>1.5952380952380951</v>
      </c>
    </row>
    <row r="1339" spans="1:10">
      <c r="A1339" s="441">
        <v>8957</v>
      </c>
      <c r="B1339" s="441" t="s">
        <v>2223</v>
      </c>
      <c r="C1339" s="545">
        <v>3.6666666666666665</v>
      </c>
      <c r="D1339" s="545">
        <v>0.66666666666666663</v>
      </c>
      <c r="E1339" s="545">
        <v>0</v>
      </c>
      <c r="F1339" s="545">
        <v>2.7142857142857144</v>
      </c>
      <c r="G1339" s="545">
        <v>1.65</v>
      </c>
      <c r="H1339" s="545">
        <v>0</v>
      </c>
      <c r="I1339" s="545">
        <v>0.66666666666666663</v>
      </c>
      <c r="J1339" s="545">
        <v>1.2738095238095237</v>
      </c>
    </row>
    <row r="1340" spans="1:10">
      <c r="A1340" s="441">
        <v>8960</v>
      </c>
      <c r="B1340" s="441" t="s">
        <v>2224</v>
      </c>
      <c r="C1340" s="545">
        <v>33.5</v>
      </c>
      <c r="D1340" s="545">
        <v>24.666666666666664</v>
      </c>
      <c r="E1340" s="545">
        <v>19.666666666666668</v>
      </c>
      <c r="F1340" s="545">
        <v>30.261904761904759</v>
      </c>
      <c r="G1340" s="545">
        <v>20.6</v>
      </c>
      <c r="H1340" s="545">
        <v>17</v>
      </c>
      <c r="I1340" s="545">
        <v>13.666666666666666</v>
      </c>
      <c r="J1340" s="545">
        <v>19.095238095238095</v>
      </c>
    </row>
    <row r="1341" spans="1:10">
      <c r="A1341" s="441">
        <v>10639</v>
      </c>
      <c r="B1341" s="441" t="s">
        <v>2225</v>
      </c>
      <c r="C1341" s="545">
        <v>7.5</v>
      </c>
      <c r="D1341" s="545">
        <v>2.666666666666667</v>
      </c>
      <c r="E1341" s="545">
        <v>1</v>
      </c>
      <c r="F1341" s="545">
        <v>5.8809523809523805</v>
      </c>
      <c r="G1341" s="545">
        <v>2.6</v>
      </c>
      <c r="H1341" s="545">
        <v>2.6666666666666665</v>
      </c>
      <c r="I1341" s="545">
        <v>2</v>
      </c>
      <c r="J1341" s="545">
        <v>2.5238095238095233</v>
      </c>
    </row>
    <row r="1342" spans="1:10">
      <c r="A1342" s="441">
        <v>8757</v>
      </c>
      <c r="B1342" s="441" t="s">
        <v>2226</v>
      </c>
      <c r="C1342" s="545">
        <v>27</v>
      </c>
      <c r="D1342" s="545">
        <v>14</v>
      </c>
      <c r="E1342" s="545">
        <v>5.666666666666667</v>
      </c>
      <c r="F1342" s="545">
        <v>22.095238095238095</v>
      </c>
      <c r="G1342" s="545">
        <v>39.5</v>
      </c>
      <c r="H1342" s="545">
        <v>12</v>
      </c>
      <c r="I1342" s="545">
        <v>10</v>
      </c>
      <c r="J1342" s="545">
        <v>31.357142857142858</v>
      </c>
    </row>
    <row r="1343" spans="1:10">
      <c r="A1343" s="441">
        <v>8768</v>
      </c>
      <c r="B1343" s="441" t="s">
        <v>2226</v>
      </c>
      <c r="C1343" s="545">
        <v>38.166666666666671</v>
      </c>
      <c r="D1343" s="545">
        <v>10.666666666666666</v>
      </c>
      <c r="E1343" s="545">
        <v>6.6666666666666661</v>
      </c>
      <c r="F1343" s="545">
        <v>29.738095238095241</v>
      </c>
      <c r="G1343" s="545">
        <v>42.25</v>
      </c>
      <c r="H1343" s="545">
        <v>18.333333333333332</v>
      </c>
      <c r="I1343" s="545">
        <v>8.6666666666666661</v>
      </c>
      <c r="J1343" s="545">
        <v>34.035714285714285</v>
      </c>
    </row>
    <row r="1344" spans="1:10">
      <c r="A1344" s="441">
        <v>10636</v>
      </c>
      <c r="B1344" s="441" t="s">
        <v>2227</v>
      </c>
      <c r="C1344" s="545">
        <v>5</v>
      </c>
      <c r="D1344" s="545">
        <v>4</v>
      </c>
      <c r="E1344" s="545">
        <v>0.33333333333333331</v>
      </c>
      <c r="F1344" s="545">
        <v>4.1904761904761907</v>
      </c>
      <c r="G1344" s="545">
        <v>3.35</v>
      </c>
      <c r="H1344" s="545">
        <v>1.3333333333333333</v>
      </c>
      <c r="I1344" s="545">
        <v>1</v>
      </c>
      <c r="J1344" s="545">
        <v>2.7261904761904758</v>
      </c>
    </row>
    <row r="1345" spans="1:10">
      <c r="A1345" s="441">
        <v>10638</v>
      </c>
      <c r="B1345" s="441" t="s">
        <v>2227</v>
      </c>
      <c r="C1345" s="545">
        <v>5</v>
      </c>
      <c r="D1345" s="545">
        <v>4.333333333333333</v>
      </c>
      <c r="E1345" s="545">
        <v>2.6666666666666665</v>
      </c>
      <c r="F1345" s="545">
        <v>4.5714285714285712</v>
      </c>
      <c r="G1345" s="545">
        <v>9.65</v>
      </c>
      <c r="H1345" s="545">
        <v>6.333333333333333</v>
      </c>
      <c r="I1345" s="545">
        <v>0.33333333333333331</v>
      </c>
      <c r="J1345" s="545">
        <v>7.8452380952380958</v>
      </c>
    </row>
    <row r="1346" spans="1:10">
      <c r="A1346" s="441">
        <v>8759</v>
      </c>
      <c r="B1346" s="441" t="s">
        <v>2228</v>
      </c>
      <c r="C1346" s="545">
        <v>64.666666666666671</v>
      </c>
      <c r="D1346" s="545">
        <v>36.666666666666671</v>
      </c>
      <c r="E1346" s="545">
        <v>21</v>
      </c>
      <c r="F1346" s="545">
        <v>54.428571428571438</v>
      </c>
      <c r="G1346" s="545">
        <v>52.8</v>
      </c>
      <c r="H1346" s="545">
        <v>20.333333333333332</v>
      </c>
      <c r="I1346" s="545">
        <v>18.333333333333332</v>
      </c>
      <c r="J1346" s="545">
        <v>43.238095238095234</v>
      </c>
    </row>
    <row r="1347" spans="1:10">
      <c r="A1347" s="441">
        <v>8766</v>
      </c>
      <c r="B1347" s="441" t="s">
        <v>2228</v>
      </c>
      <c r="C1347" s="545">
        <v>49</v>
      </c>
      <c r="D1347" s="545">
        <v>31.666666666666668</v>
      </c>
      <c r="E1347" s="545">
        <v>21</v>
      </c>
      <c r="F1347" s="545">
        <v>42.523809523809526</v>
      </c>
      <c r="G1347" s="545">
        <v>45.85</v>
      </c>
      <c r="H1347" s="545">
        <v>10.666666666666666</v>
      </c>
      <c r="I1347" s="545">
        <v>16</v>
      </c>
      <c r="J1347" s="545">
        <v>36.55952380952381</v>
      </c>
    </row>
    <row r="1348" spans="1:10">
      <c r="A1348" s="441">
        <v>8752</v>
      </c>
      <c r="B1348" s="441" t="s">
        <v>2229</v>
      </c>
      <c r="C1348" s="545">
        <v>0.66666666666666663</v>
      </c>
      <c r="D1348" s="545">
        <v>0</v>
      </c>
      <c r="E1348" s="545">
        <v>0.66666666666666663</v>
      </c>
      <c r="F1348" s="545">
        <v>0.5714285714285714</v>
      </c>
      <c r="G1348" s="545">
        <v>1.35</v>
      </c>
      <c r="H1348" s="545">
        <v>0</v>
      </c>
      <c r="I1348" s="545">
        <v>0.66666666666666663</v>
      </c>
      <c r="J1348" s="545">
        <v>1.0595238095238095</v>
      </c>
    </row>
    <row r="1349" spans="1:10">
      <c r="A1349" s="441">
        <v>8954</v>
      </c>
      <c r="B1349" s="441" t="s">
        <v>2229</v>
      </c>
      <c r="C1349" s="545">
        <v>1</v>
      </c>
      <c r="D1349" s="545">
        <v>1</v>
      </c>
      <c r="E1349" s="545">
        <v>0</v>
      </c>
      <c r="F1349" s="545">
        <v>0.8571428571428571</v>
      </c>
      <c r="G1349" s="545">
        <v>0.35</v>
      </c>
      <c r="H1349" s="545">
        <v>0.66666666666666663</v>
      </c>
      <c r="I1349" s="545">
        <v>0.33333333333333331</v>
      </c>
      <c r="J1349" s="545">
        <v>0.39285714285714285</v>
      </c>
    </row>
    <row r="1350" spans="1:10">
      <c r="A1350" s="441">
        <v>8751</v>
      </c>
      <c r="B1350" s="441" t="s">
        <v>2230</v>
      </c>
      <c r="C1350" s="545">
        <v>1</v>
      </c>
      <c r="D1350" s="545">
        <v>0.66666666666666663</v>
      </c>
      <c r="E1350" s="545">
        <v>0</v>
      </c>
      <c r="F1350" s="545">
        <v>0.80952380952380953</v>
      </c>
      <c r="G1350" s="545">
        <v>2.4500000000000002</v>
      </c>
      <c r="H1350" s="545">
        <v>1</v>
      </c>
      <c r="I1350" s="545">
        <v>1</v>
      </c>
      <c r="J1350" s="545">
        <v>2.0357142857142856</v>
      </c>
    </row>
    <row r="1351" spans="1:10">
      <c r="A1351" s="441">
        <v>8955</v>
      </c>
      <c r="B1351" s="441" t="s">
        <v>2230</v>
      </c>
      <c r="C1351" s="545">
        <v>1.1666666666666667</v>
      </c>
      <c r="D1351" s="545">
        <v>0.66666666666666663</v>
      </c>
      <c r="E1351" s="545">
        <v>0</v>
      </c>
      <c r="F1351" s="545">
        <v>0.92857142857142871</v>
      </c>
      <c r="G1351" s="545">
        <v>2.1</v>
      </c>
      <c r="H1351" s="545">
        <v>1.3333333333333333</v>
      </c>
      <c r="I1351" s="545">
        <v>0.66666666666666663</v>
      </c>
      <c r="J1351" s="545">
        <v>1.7857142857142858</v>
      </c>
    </row>
    <row r="1352" spans="1:10">
      <c r="A1352" s="441">
        <v>10635</v>
      </c>
      <c r="B1352" s="441" t="s">
        <v>2231</v>
      </c>
      <c r="C1352" s="545">
        <v>6.666666666666667</v>
      </c>
      <c r="D1352" s="545">
        <v>1</v>
      </c>
      <c r="E1352" s="545">
        <v>1.3333333333333333</v>
      </c>
      <c r="F1352" s="545">
        <v>5.0952380952380958</v>
      </c>
      <c r="G1352" s="545">
        <v>4.6500000000000004</v>
      </c>
      <c r="H1352" s="545">
        <v>1.6666666666666667</v>
      </c>
      <c r="I1352" s="545">
        <v>0</v>
      </c>
      <c r="J1352" s="545">
        <v>3.5595238095238098</v>
      </c>
    </row>
    <row r="1353" spans="1:10">
      <c r="A1353" s="441">
        <v>8750</v>
      </c>
      <c r="B1353" s="441" t="s">
        <v>2232</v>
      </c>
      <c r="C1353" s="545">
        <v>1</v>
      </c>
      <c r="D1353" s="545">
        <v>0</v>
      </c>
      <c r="E1353" s="545">
        <v>0</v>
      </c>
      <c r="F1353" s="545">
        <v>0.7142857142857143</v>
      </c>
      <c r="G1353" s="545">
        <v>0.3</v>
      </c>
      <c r="H1353" s="545">
        <v>0.66666666666666663</v>
      </c>
      <c r="I1353" s="545">
        <v>0.33333333333333331</v>
      </c>
      <c r="J1353" s="545">
        <v>0.35714285714285715</v>
      </c>
    </row>
    <row r="1354" spans="1:10">
      <c r="A1354" s="441">
        <v>8956</v>
      </c>
      <c r="B1354" s="441" t="s">
        <v>2232</v>
      </c>
      <c r="C1354" s="545">
        <v>1.8333333333333335</v>
      </c>
      <c r="D1354" s="545">
        <v>0.33333333333333331</v>
      </c>
      <c r="E1354" s="545">
        <v>0.66666666666666663</v>
      </c>
      <c r="F1354" s="545">
        <v>1.4523809523809526</v>
      </c>
      <c r="G1354" s="545">
        <v>1.25</v>
      </c>
      <c r="H1354" s="545">
        <v>0</v>
      </c>
      <c r="I1354" s="545">
        <v>1.6666666666666667</v>
      </c>
      <c r="J1354" s="545">
        <v>1.1309523809523809</v>
      </c>
    </row>
    <row r="1355" spans="1:10">
      <c r="A1355" s="441">
        <v>8754</v>
      </c>
      <c r="B1355" s="441" t="s">
        <v>2233</v>
      </c>
      <c r="C1355" s="545">
        <v>67</v>
      </c>
      <c r="D1355" s="545">
        <v>34.666666666666671</v>
      </c>
      <c r="E1355" s="545">
        <v>22</v>
      </c>
      <c r="F1355" s="545">
        <v>55.952380952380956</v>
      </c>
      <c r="G1355" s="545">
        <v>53.4</v>
      </c>
      <c r="H1355" s="545">
        <v>23.666666666666668</v>
      </c>
      <c r="I1355" s="545">
        <v>15</v>
      </c>
      <c r="J1355" s="545">
        <v>43.666666666666671</v>
      </c>
    </row>
    <row r="1356" spans="1:10">
      <c r="A1356" s="441">
        <v>8771</v>
      </c>
      <c r="B1356" s="441" t="s">
        <v>2233</v>
      </c>
      <c r="C1356" s="545">
        <v>53.833333333333336</v>
      </c>
      <c r="D1356" s="545">
        <v>33</v>
      </c>
      <c r="E1356" s="545">
        <v>19</v>
      </c>
      <c r="F1356" s="545">
        <v>45.880952380952387</v>
      </c>
      <c r="G1356" s="545">
        <v>33.9</v>
      </c>
      <c r="H1356" s="545">
        <v>20.333333333333332</v>
      </c>
      <c r="I1356" s="545">
        <v>17</v>
      </c>
      <c r="J1356" s="545">
        <v>29.547619047619047</v>
      </c>
    </row>
    <row r="1357" spans="1:10">
      <c r="A1357" s="441">
        <v>8748</v>
      </c>
      <c r="B1357" s="441" t="s">
        <v>2234</v>
      </c>
      <c r="C1357" s="545">
        <v>0.83333333333333326</v>
      </c>
      <c r="D1357" s="545">
        <v>0</v>
      </c>
      <c r="E1357" s="545">
        <v>0</v>
      </c>
      <c r="F1357" s="545">
        <v>0.59523809523809512</v>
      </c>
      <c r="G1357" s="545">
        <v>0.35</v>
      </c>
      <c r="H1357" s="545">
        <v>0.33333333333333331</v>
      </c>
      <c r="I1357" s="545">
        <v>0.66666666666666663</v>
      </c>
      <c r="J1357" s="545">
        <v>0.39285714285714285</v>
      </c>
    </row>
    <row r="1358" spans="1:10">
      <c r="A1358" s="441">
        <v>8958</v>
      </c>
      <c r="B1358" s="441" t="s">
        <v>2234</v>
      </c>
      <c r="C1358" s="545">
        <v>1.6666666666666667</v>
      </c>
      <c r="D1358" s="545">
        <v>0</v>
      </c>
      <c r="E1358" s="545">
        <v>0</v>
      </c>
      <c r="F1358" s="545">
        <v>1.1904761904761905</v>
      </c>
      <c r="G1358" s="545">
        <v>0.2</v>
      </c>
      <c r="H1358" s="545">
        <v>0.33333333333333331</v>
      </c>
      <c r="I1358" s="545">
        <v>0.66666666666666663</v>
      </c>
      <c r="J1358" s="545">
        <v>0.2857142857142857</v>
      </c>
    </row>
    <row r="1359" spans="1:10">
      <c r="A1359" s="441">
        <v>8760</v>
      </c>
      <c r="B1359" s="441" t="s">
        <v>2235</v>
      </c>
      <c r="C1359" s="545">
        <v>16.666666666666664</v>
      </c>
      <c r="D1359" s="545">
        <v>4.666666666666667</v>
      </c>
      <c r="E1359" s="545">
        <v>2.333333333333333</v>
      </c>
      <c r="F1359" s="545">
        <v>12.904761904761902</v>
      </c>
      <c r="G1359" s="545">
        <v>5.75</v>
      </c>
      <c r="H1359" s="545">
        <v>2.3333333333333335</v>
      </c>
      <c r="I1359" s="545">
        <v>2.3333333333333335</v>
      </c>
      <c r="J1359" s="545">
        <v>4.7738095238095237</v>
      </c>
    </row>
    <row r="1360" spans="1:10">
      <c r="A1360" s="441">
        <v>8765</v>
      </c>
      <c r="B1360" s="441" t="s">
        <v>2235</v>
      </c>
      <c r="C1360" s="545">
        <v>15</v>
      </c>
      <c r="D1360" s="545">
        <v>5</v>
      </c>
      <c r="E1360" s="545">
        <v>3.3333333333333335</v>
      </c>
      <c r="F1360" s="545">
        <v>11.904761904761903</v>
      </c>
      <c r="G1360" s="545">
        <v>11.55</v>
      </c>
      <c r="H1360" s="545">
        <v>1.6666666666666667</v>
      </c>
      <c r="I1360" s="545">
        <v>3.6666666666666665</v>
      </c>
      <c r="J1360" s="545">
        <v>9.011904761904761</v>
      </c>
    </row>
    <row r="1361" spans="1:10">
      <c r="A1361" s="441">
        <v>8758</v>
      </c>
      <c r="B1361" s="441" t="s">
        <v>2236</v>
      </c>
      <c r="C1361" s="545">
        <v>120.83333333333333</v>
      </c>
      <c r="D1361" s="545">
        <v>69</v>
      </c>
      <c r="E1361" s="545">
        <v>56</v>
      </c>
      <c r="F1361" s="545">
        <v>104.16666666666666</v>
      </c>
      <c r="G1361" s="545">
        <v>108.65</v>
      </c>
      <c r="H1361" s="545">
        <v>47</v>
      </c>
      <c r="I1361" s="545">
        <v>42</v>
      </c>
      <c r="J1361" s="545">
        <v>90.321428571428569</v>
      </c>
    </row>
    <row r="1362" spans="1:10">
      <c r="A1362" s="441">
        <v>8767</v>
      </c>
      <c r="B1362" s="441" t="s">
        <v>2236</v>
      </c>
      <c r="C1362" s="545">
        <v>139.66666666666669</v>
      </c>
      <c r="D1362" s="545">
        <v>69.333333333333343</v>
      </c>
      <c r="E1362" s="545">
        <v>51.666666666666664</v>
      </c>
      <c r="F1362" s="545">
        <v>117.04761904761907</v>
      </c>
      <c r="G1362" s="545">
        <v>99</v>
      </c>
      <c r="H1362" s="545">
        <v>58</v>
      </c>
      <c r="I1362" s="545">
        <v>46.333333333333336</v>
      </c>
      <c r="J1362" s="545">
        <v>85.61904761904762</v>
      </c>
    </row>
    <row r="1363" spans="1:10">
      <c r="A1363" s="441">
        <v>8756</v>
      </c>
      <c r="B1363" s="441" t="s">
        <v>2237</v>
      </c>
      <c r="C1363" s="545">
        <v>3.5</v>
      </c>
      <c r="D1363" s="545">
        <v>2.666666666666667</v>
      </c>
      <c r="E1363" s="545">
        <v>0.33333333333333331</v>
      </c>
      <c r="F1363" s="545">
        <v>2.9285714285714284</v>
      </c>
      <c r="G1363" s="545">
        <v>9.5500000000000007</v>
      </c>
      <c r="H1363" s="545">
        <v>3</v>
      </c>
      <c r="I1363" s="545">
        <v>4.333333333333333</v>
      </c>
      <c r="J1363" s="545">
        <v>7.8690476190476195</v>
      </c>
    </row>
    <row r="1364" spans="1:10">
      <c r="A1364" s="441">
        <v>8769</v>
      </c>
      <c r="B1364" s="441" t="s">
        <v>2237</v>
      </c>
      <c r="C1364" s="545">
        <v>3.5</v>
      </c>
      <c r="D1364" s="545">
        <v>3</v>
      </c>
      <c r="E1364" s="545">
        <v>1.3333333333333333</v>
      </c>
      <c r="F1364" s="545">
        <v>3.1190476190476191</v>
      </c>
      <c r="G1364" s="545">
        <v>4</v>
      </c>
      <c r="H1364" s="545">
        <v>1</v>
      </c>
      <c r="I1364" s="545">
        <v>3</v>
      </c>
      <c r="J1364" s="545">
        <v>3.4285714285714284</v>
      </c>
    </row>
    <row r="1365" spans="1:10">
      <c r="A1365" s="441">
        <v>10634</v>
      </c>
      <c r="B1365" s="441" t="s">
        <v>2238</v>
      </c>
      <c r="C1365" s="545">
        <v>137</v>
      </c>
      <c r="D1365" s="545">
        <v>21.333333333333332</v>
      </c>
      <c r="E1365" s="545">
        <v>0.66666666666666663</v>
      </c>
      <c r="F1365" s="545">
        <v>101</v>
      </c>
      <c r="G1365" s="545">
        <v>183.35</v>
      </c>
      <c r="H1365" s="545">
        <v>12.666666666666666</v>
      </c>
      <c r="I1365" s="545">
        <v>3.3333333333333335</v>
      </c>
      <c r="J1365" s="545">
        <v>133.25</v>
      </c>
    </row>
    <row r="1366" spans="1:10">
      <c r="A1366" s="441">
        <v>12857</v>
      </c>
      <c r="B1366" s="441" t="s">
        <v>2239</v>
      </c>
      <c r="C1366" s="545">
        <v>33</v>
      </c>
      <c r="D1366" s="545">
        <v>19.666666666666668</v>
      </c>
      <c r="E1366" s="545">
        <v>10</v>
      </c>
      <c r="F1366" s="545">
        <v>27.809523809523807</v>
      </c>
      <c r="G1366" s="545">
        <v>19.399999999999999</v>
      </c>
      <c r="H1366" s="545">
        <v>7.333333333333333</v>
      </c>
      <c r="I1366" s="545">
        <v>9.6666666666666661</v>
      </c>
      <c r="J1366" s="545">
        <v>16.285714285714285</v>
      </c>
    </row>
    <row r="1367" spans="1:10">
      <c r="A1367" s="441">
        <v>12858</v>
      </c>
      <c r="B1367" s="441" t="s">
        <v>2239</v>
      </c>
      <c r="C1367" s="545">
        <v>29.166666666666664</v>
      </c>
      <c r="D1367" s="545">
        <v>18</v>
      </c>
      <c r="E1367" s="545">
        <v>11</v>
      </c>
      <c r="F1367" s="545">
        <v>24.976190476190474</v>
      </c>
      <c r="G1367" s="545">
        <v>20.75</v>
      </c>
      <c r="H1367" s="545">
        <v>10.666666666666666</v>
      </c>
      <c r="I1367" s="545">
        <v>10</v>
      </c>
      <c r="J1367" s="545">
        <v>17.773809523809526</v>
      </c>
    </row>
    <row r="1368" spans="1:10">
      <c r="A1368" s="441">
        <v>13091</v>
      </c>
      <c r="B1368" s="441" t="s">
        <v>2239</v>
      </c>
      <c r="C1368" s="545">
        <v>5.166666666666667</v>
      </c>
      <c r="D1368" s="545">
        <v>5.333333333333333</v>
      </c>
      <c r="E1368" s="545">
        <v>5.666666666666667</v>
      </c>
      <c r="F1368" s="545">
        <v>5.2619047619047619</v>
      </c>
      <c r="G1368" s="545">
        <v>1.75</v>
      </c>
      <c r="H1368" s="545">
        <v>1</v>
      </c>
      <c r="I1368" s="545">
        <v>1</v>
      </c>
      <c r="J1368" s="545">
        <v>1.5357142857142858</v>
      </c>
    </row>
    <row r="1369" spans="1:10">
      <c r="A1369" s="441">
        <v>9006</v>
      </c>
      <c r="B1369" s="441" t="s">
        <v>2240</v>
      </c>
      <c r="C1369" s="545">
        <v>51</v>
      </c>
      <c r="D1369" s="545">
        <v>30.666666666666664</v>
      </c>
      <c r="E1369" s="545">
        <v>20.333333333333336</v>
      </c>
      <c r="F1369" s="545">
        <v>43.714285714285715</v>
      </c>
      <c r="G1369" s="545">
        <v>33.6</v>
      </c>
      <c r="H1369" s="545">
        <v>16.666666666666668</v>
      </c>
      <c r="I1369" s="545">
        <v>18.666666666666668</v>
      </c>
      <c r="J1369" s="545">
        <v>29.047619047619044</v>
      </c>
    </row>
    <row r="1370" spans="1:10">
      <c r="A1370" s="441">
        <v>12058</v>
      </c>
      <c r="B1370" s="441" t="s">
        <v>2240</v>
      </c>
      <c r="C1370" s="545">
        <v>48.333333333333329</v>
      </c>
      <c r="D1370" s="545">
        <v>28.666666666666664</v>
      </c>
      <c r="E1370" s="545">
        <v>24.666666666666664</v>
      </c>
      <c r="F1370" s="545">
        <v>42.142857142857146</v>
      </c>
      <c r="G1370" s="545">
        <v>36.299999999999997</v>
      </c>
      <c r="H1370" s="545">
        <v>14</v>
      </c>
      <c r="I1370" s="545">
        <v>17.333333333333332</v>
      </c>
      <c r="J1370" s="545">
        <v>30.404761904761905</v>
      </c>
    </row>
    <row r="1371" spans="1:10">
      <c r="A1371" s="441">
        <v>12859</v>
      </c>
      <c r="B1371" s="441" t="s">
        <v>2241</v>
      </c>
      <c r="C1371" s="545">
        <v>21.166666666666668</v>
      </c>
      <c r="D1371" s="545">
        <v>18.333333333333336</v>
      </c>
      <c r="E1371" s="545">
        <v>13.333333333333334</v>
      </c>
      <c r="F1371" s="545">
        <v>19.642857142857146</v>
      </c>
      <c r="G1371" s="545">
        <v>13.15</v>
      </c>
      <c r="H1371" s="545">
        <v>15</v>
      </c>
      <c r="I1371" s="545">
        <v>6.666666666666667</v>
      </c>
      <c r="J1371" s="545">
        <v>12.488095238095239</v>
      </c>
    </row>
    <row r="1372" spans="1:10">
      <c r="A1372" s="441">
        <v>9004</v>
      </c>
      <c r="B1372" s="441" t="s">
        <v>2242</v>
      </c>
      <c r="C1372" s="545">
        <v>25.166666666666664</v>
      </c>
      <c r="D1372" s="545">
        <v>10.333333333333334</v>
      </c>
      <c r="E1372" s="545">
        <v>3.3333333333333335</v>
      </c>
      <c r="F1372" s="545">
        <v>19.928571428571427</v>
      </c>
      <c r="G1372" s="545">
        <v>5.2</v>
      </c>
      <c r="H1372" s="545">
        <v>1.6666666666666667</v>
      </c>
      <c r="I1372" s="545">
        <v>1.3333333333333333</v>
      </c>
      <c r="J1372" s="545">
        <v>4.1428571428571432</v>
      </c>
    </row>
    <row r="1373" spans="1:10">
      <c r="A1373" s="441">
        <v>9008</v>
      </c>
      <c r="B1373" s="441" t="s">
        <v>2242</v>
      </c>
      <c r="C1373" s="545">
        <v>26.833333333333336</v>
      </c>
      <c r="D1373" s="545">
        <v>8</v>
      </c>
      <c r="E1373" s="545">
        <v>4.6666666666666661</v>
      </c>
      <c r="F1373" s="545">
        <v>20.976190476190478</v>
      </c>
      <c r="G1373" s="545">
        <v>6.45</v>
      </c>
      <c r="H1373" s="545">
        <v>3</v>
      </c>
      <c r="I1373" s="545">
        <v>3.6666666666666665</v>
      </c>
      <c r="J1373" s="545">
        <v>5.5595238095238093</v>
      </c>
    </row>
    <row r="1374" spans="1:10">
      <c r="A1374" s="441">
        <v>9005</v>
      </c>
      <c r="B1374" s="441" t="s">
        <v>2243</v>
      </c>
      <c r="C1374" s="545">
        <v>21</v>
      </c>
      <c r="D1374" s="545">
        <v>16.333333333333336</v>
      </c>
      <c r="E1374" s="545">
        <v>8</v>
      </c>
      <c r="F1374" s="545">
        <v>18.476190476190478</v>
      </c>
      <c r="G1374" s="545">
        <v>13.7</v>
      </c>
      <c r="H1374" s="545">
        <v>11</v>
      </c>
      <c r="I1374" s="545">
        <v>10</v>
      </c>
      <c r="J1374" s="545">
        <v>12.785714285714286</v>
      </c>
    </row>
    <row r="1375" spans="1:10">
      <c r="A1375" s="441">
        <v>9007</v>
      </c>
      <c r="B1375" s="441" t="s">
        <v>2243</v>
      </c>
      <c r="C1375" s="545">
        <v>25.166666666666664</v>
      </c>
      <c r="D1375" s="545">
        <v>15.333333333333334</v>
      </c>
      <c r="E1375" s="545">
        <v>9.6666666666666661</v>
      </c>
      <c r="F1375" s="545">
        <v>21.547619047619044</v>
      </c>
      <c r="G1375" s="545">
        <v>17.3</v>
      </c>
      <c r="H1375" s="545">
        <v>12.666666666666666</v>
      </c>
      <c r="I1375" s="545">
        <v>5.666666666666667</v>
      </c>
      <c r="J1375" s="545">
        <v>14.976190476190478</v>
      </c>
    </row>
    <row r="1376" spans="1:10">
      <c r="A1376" s="441">
        <v>13087</v>
      </c>
      <c r="B1376" s="441" t="s">
        <v>2244</v>
      </c>
      <c r="C1376" s="545">
        <v>53.5</v>
      </c>
      <c r="D1376" s="545">
        <v>38</v>
      </c>
      <c r="E1376" s="545">
        <v>28.333333333333332</v>
      </c>
      <c r="F1376" s="545">
        <v>47.69047619047619</v>
      </c>
      <c r="G1376" s="545">
        <v>18.350000000000001</v>
      </c>
      <c r="H1376" s="545">
        <v>15</v>
      </c>
      <c r="I1376" s="545">
        <v>12.333333333333334</v>
      </c>
      <c r="J1376" s="545">
        <v>17.011904761904763</v>
      </c>
    </row>
    <row r="1377" spans="1:10">
      <c r="A1377" s="441">
        <v>12417</v>
      </c>
      <c r="B1377" s="441" t="s">
        <v>2245</v>
      </c>
      <c r="C1377" s="545">
        <v>1.3333333333333333</v>
      </c>
      <c r="D1377" s="545">
        <v>0</v>
      </c>
      <c r="E1377" s="545">
        <v>0</v>
      </c>
      <c r="F1377" s="545">
        <v>0.95238095238095233</v>
      </c>
      <c r="G1377" s="545">
        <v>1.2105263157894737</v>
      </c>
      <c r="H1377" s="545">
        <v>0</v>
      </c>
      <c r="I1377" s="545">
        <v>0</v>
      </c>
      <c r="J1377" s="545">
        <v>0.86466165413533835</v>
      </c>
    </row>
    <row r="1378" spans="1:10">
      <c r="A1378" s="441">
        <v>12423</v>
      </c>
      <c r="B1378" s="441" t="s">
        <v>2246</v>
      </c>
      <c r="C1378" s="545">
        <v>13.333333333333332</v>
      </c>
      <c r="D1378" s="545">
        <v>4.6666666666666661</v>
      </c>
      <c r="E1378" s="545">
        <v>4</v>
      </c>
      <c r="F1378" s="545">
        <v>10.761904761904761</v>
      </c>
      <c r="G1378" s="545">
        <v>10.105263157894736</v>
      </c>
      <c r="H1378" s="545">
        <v>4.333333333333333</v>
      </c>
      <c r="I1378" s="545">
        <v>3.3333333333333335</v>
      </c>
      <c r="J1378" s="545">
        <v>8.3132832080200512</v>
      </c>
    </row>
    <row r="1379" spans="1:10">
      <c r="A1379" s="441">
        <v>12424</v>
      </c>
      <c r="B1379" s="441" t="s">
        <v>2246</v>
      </c>
      <c r="C1379" s="545">
        <v>16.666666666666668</v>
      </c>
      <c r="D1379" s="545">
        <v>3.3333333333333335</v>
      </c>
      <c r="E1379" s="545">
        <v>3.666666666666667</v>
      </c>
      <c r="F1379" s="545">
        <v>12.904761904761907</v>
      </c>
      <c r="G1379" s="545">
        <v>10.1</v>
      </c>
      <c r="H1379" s="545">
        <v>2.6666666666666665</v>
      </c>
      <c r="I1379" s="545">
        <v>2.3333333333333335</v>
      </c>
      <c r="J1379" s="545">
        <v>7.9285714285714288</v>
      </c>
    </row>
    <row r="1380" spans="1:10">
      <c r="A1380" s="441">
        <v>12418</v>
      </c>
      <c r="B1380" s="441" t="s">
        <v>2247</v>
      </c>
      <c r="C1380" s="545">
        <v>0.5</v>
      </c>
      <c r="D1380" s="545">
        <v>0</v>
      </c>
      <c r="E1380" s="545">
        <v>0</v>
      </c>
      <c r="F1380" s="545">
        <v>0.35714285714285715</v>
      </c>
      <c r="G1380" s="545">
        <v>0.63157894736842102</v>
      </c>
      <c r="H1380" s="545">
        <v>0</v>
      </c>
      <c r="I1380" s="545">
        <v>0</v>
      </c>
      <c r="J1380" s="545">
        <v>0.45112781954887221</v>
      </c>
    </row>
    <row r="1381" spans="1:10">
      <c r="A1381" s="441">
        <v>12419</v>
      </c>
      <c r="B1381" s="441" t="s">
        <v>2248</v>
      </c>
      <c r="C1381" s="545">
        <v>1.3333333333333333</v>
      </c>
      <c r="D1381" s="545">
        <v>1</v>
      </c>
      <c r="E1381" s="545">
        <v>1.3333333333333333</v>
      </c>
      <c r="F1381" s="545">
        <v>1.2857142857142858</v>
      </c>
      <c r="G1381" s="545">
        <v>0.84210526315789469</v>
      </c>
      <c r="H1381" s="545">
        <v>0.66666666666666663</v>
      </c>
      <c r="I1381" s="545">
        <v>0</v>
      </c>
      <c r="J1381" s="545">
        <v>0.69674185463659144</v>
      </c>
    </row>
    <row r="1382" spans="1:10">
      <c r="A1382" s="441">
        <v>12420</v>
      </c>
      <c r="B1382" s="441" t="s">
        <v>2248</v>
      </c>
      <c r="C1382" s="545">
        <v>0.83333333333333337</v>
      </c>
      <c r="D1382" s="545">
        <v>0.33333333333333331</v>
      </c>
      <c r="E1382" s="545">
        <v>1.3333333333333333</v>
      </c>
      <c r="F1382" s="545">
        <v>0.83333333333333326</v>
      </c>
      <c r="G1382" s="545">
        <v>1.1052631578947369</v>
      </c>
      <c r="H1382" s="545">
        <v>0.33333333333333331</v>
      </c>
      <c r="I1382" s="545">
        <v>0.33333333333333331</v>
      </c>
      <c r="J1382" s="545">
        <v>0.88471177944862156</v>
      </c>
    </row>
    <row r="1383" spans="1:10">
      <c r="A1383" s="441">
        <v>12421</v>
      </c>
      <c r="B1383" s="441" t="s">
        <v>2249</v>
      </c>
      <c r="C1383" s="545">
        <v>4.666666666666667</v>
      </c>
      <c r="D1383" s="545">
        <v>1.6666666666666667</v>
      </c>
      <c r="E1383" s="545">
        <v>0</v>
      </c>
      <c r="F1383" s="545">
        <v>3.5714285714285721</v>
      </c>
      <c r="G1383" s="545">
        <v>5</v>
      </c>
      <c r="H1383" s="545">
        <v>1.3333333333333333</v>
      </c>
      <c r="I1383" s="545">
        <v>0.33333333333333331</v>
      </c>
      <c r="J1383" s="545">
        <v>3.8095238095238093</v>
      </c>
    </row>
    <row r="1384" spans="1:10">
      <c r="A1384" s="441">
        <v>12422</v>
      </c>
      <c r="B1384" s="441" t="s">
        <v>2249</v>
      </c>
      <c r="C1384" s="545">
        <v>4.666666666666667</v>
      </c>
      <c r="D1384" s="545">
        <v>1.3333333333333333</v>
      </c>
      <c r="E1384" s="545">
        <v>1.3333333333333333</v>
      </c>
      <c r="F1384" s="545">
        <v>3.7142857142857144</v>
      </c>
      <c r="G1384" s="545">
        <v>1.631578947368421</v>
      </c>
      <c r="H1384" s="545">
        <v>0.66666666666666663</v>
      </c>
      <c r="I1384" s="545">
        <v>0</v>
      </c>
      <c r="J1384" s="545">
        <v>1.2606516290726815</v>
      </c>
    </row>
    <row r="1385" spans="1:10">
      <c r="A1385" s="441">
        <v>11775</v>
      </c>
      <c r="B1385" s="441" t="s">
        <v>2250</v>
      </c>
      <c r="C1385" s="545">
        <v>11.333333333333332</v>
      </c>
      <c r="D1385" s="545">
        <v>2.3333333333333335</v>
      </c>
      <c r="E1385" s="545">
        <v>0</v>
      </c>
      <c r="F1385" s="545">
        <v>8.428571428571427</v>
      </c>
      <c r="G1385" s="545">
        <v>4.2</v>
      </c>
      <c r="H1385" s="545">
        <v>8.3333333333333339</v>
      </c>
      <c r="I1385" s="545">
        <v>1.3333333333333333</v>
      </c>
      <c r="J1385" s="545">
        <v>4.3809523809523814</v>
      </c>
    </row>
    <row r="1386" spans="1:10">
      <c r="A1386" s="441">
        <v>735</v>
      </c>
      <c r="B1386" s="441" t="s">
        <v>2251</v>
      </c>
      <c r="C1386" s="545">
        <v>147.66666666666669</v>
      </c>
      <c r="D1386" s="545">
        <v>76.333333333333329</v>
      </c>
      <c r="E1386" s="545">
        <v>79</v>
      </c>
      <c r="F1386" s="545">
        <v>127.6666666666667</v>
      </c>
      <c r="G1386" s="545">
        <v>91.05</v>
      </c>
      <c r="H1386" s="545">
        <v>65.666666666666671</v>
      </c>
      <c r="I1386" s="545">
        <v>62.666666666666664</v>
      </c>
      <c r="J1386" s="545">
        <v>83.369047619047606</v>
      </c>
    </row>
    <row r="1387" spans="1:10">
      <c r="A1387" s="441">
        <v>751</v>
      </c>
      <c r="B1387" s="441" t="s">
        <v>2251</v>
      </c>
      <c r="C1387" s="545">
        <v>167.5</v>
      </c>
      <c r="D1387" s="545">
        <v>87.666666666666671</v>
      </c>
      <c r="E1387" s="545">
        <v>76</v>
      </c>
      <c r="F1387" s="545">
        <v>143.02380952380952</v>
      </c>
      <c r="G1387" s="545">
        <v>90.6</v>
      </c>
      <c r="H1387" s="545">
        <v>81.666666666666671</v>
      </c>
      <c r="I1387" s="545">
        <v>55.666666666666664</v>
      </c>
      <c r="J1387" s="545">
        <v>84.333333333333329</v>
      </c>
    </row>
    <row r="1388" spans="1:10">
      <c r="A1388" s="441">
        <v>753</v>
      </c>
      <c r="B1388" s="441" t="s">
        <v>2251</v>
      </c>
      <c r="C1388" s="545">
        <v>3</v>
      </c>
      <c r="D1388" s="545">
        <v>2.6666666666666665</v>
      </c>
      <c r="E1388" s="545">
        <v>0.33333333333333331</v>
      </c>
      <c r="F1388" s="545">
        <v>2.5714285714285716</v>
      </c>
      <c r="G1388" s="545">
        <v>2.5</v>
      </c>
      <c r="H1388" s="545">
        <v>0.33333333333333331</v>
      </c>
      <c r="I1388" s="545">
        <v>1.6666666666666667</v>
      </c>
      <c r="J1388" s="545">
        <v>2.0714285714285716</v>
      </c>
    </row>
    <row r="1389" spans="1:10">
      <c r="A1389" s="441">
        <v>736</v>
      </c>
      <c r="B1389" s="441" t="s">
        <v>2252</v>
      </c>
      <c r="C1389" s="545">
        <v>194.5</v>
      </c>
      <c r="D1389" s="545">
        <v>124.33333333333334</v>
      </c>
      <c r="E1389" s="545">
        <v>99.666666666666657</v>
      </c>
      <c r="F1389" s="545">
        <v>170.92857142857142</v>
      </c>
      <c r="G1389" s="545">
        <v>120.3</v>
      </c>
      <c r="H1389" s="545">
        <v>100.33333333333333</v>
      </c>
      <c r="I1389" s="545">
        <v>93.333333333333329</v>
      </c>
      <c r="J1389" s="545">
        <v>113.5952380952381</v>
      </c>
    </row>
    <row r="1390" spans="1:10">
      <c r="A1390" s="441">
        <v>737</v>
      </c>
      <c r="B1390" s="441" t="s">
        <v>2253</v>
      </c>
      <c r="C1390" s="545">
        <v>121.16666666666667</v>
      </c>
      <c r="D1390" s="545">
        <v>72</v>
      </c>
      <c r="E1390" s="545">
        <v>57.333333333333336</v>
      </c>
      <c r="F1390" s="545">
        <v>105.02380952380953</v>
      </c>
      <c r="G1390" s="545">
        <v>71.849999999999994</v>
      </c>
      <c r="H1390" s="545">
        <v>51.666666666666664</v>
      </c>
      <c r="I1390" s="545">
        <v>32.333333333333336</v>
      </c>
      <c r="J1390" s="545">
        <v>63.321428571428569</v>
      </c>
    </row>
    <row r="1391" spans="1:10">
      <c r="A1391" s="441">
        <v>752</v>
      </c>
      <c r="B1391" s="441" t="s">
        <v>2254</v>
      </c>
      <c r="C1391" s="545">
        <v>54.333333333333336</v>
      </c>
      <c r="D1391" s="545">
        <v>38</v>
      </c>
      <c r="E1391" s="545">
        <v>29</v>
      </c>
      <c r="F1391" s="545">
        <v>48.380952380952387</v>
      </c>
      <c r="G1391" s="545">
        <v>34.65</v>
      </c>
      <c r="H1391" s="545">
        <v>29</v>
      </c>
      <c r="I1391" s="545">
        <v>23.666666666666668</v>
      </c>
      <c r="J1391" s="545">
        <v>32.273809523809526</v>
      </c>
    </row>
    <row r="1392" spans="1:10">
      <c r="A1392" s="441">
        <v>829</v>
      </c>
      <c r="B1392" s="441" t="s">
        <v>2255</v>
      </c>
      <c r="C1392" s="545">
        <v>31.666666666666664</v>
      </c>
      <c r="D1392" s="545">
        <v>26.666666666666668</v>
      </c>
      <c r="E1392" s="545">
        <v>25.333333333333336</v>
      </c>
      <c r="F1392" s="545">
        <v>30.047619047619044</v>
      </c>
      <c r="G1392" s="545">
        <v>20.9</v>
      </c>
      <c r="H1392" s="545">
        <v>20.666666666666668</v>
      </c>
      <c r="I1392" s="545">
        <v>18</v>
      </c>
      <c r="J1392" s="545">
        <v>20.452380952380956</v>
      </c>
    </row>
    <row r="1393" spans="1:10">
      <c r="A1393" s="441">
        <v>861</v>
      </c>
      <c r="B1393" s="441" t="s">
        <v>2255</v>
      </c>
      <c r="C1393" s="545">
        <v>34.166666666666664</v>
      </c>
      <c r="D1393" s="545">
        <v>24.333333333333336</v>
      </c>
      <c r="E1393" s="545">
        <v>34.333333333333329</v>
      </c>
      <c r="F1393" s="545">
        <v>32.785714285714285</v>
      </c>
      <c r="G1393" s="545">
        <v>20.6</v>
      </c>
      <c r="H1393" s="545">
        <v>19.666666666666668</v>
      </c>
      <c r="I1393" s="545">
        <v>16.666666666666668</v>
      </c>
      <c r="J1393" s="545">
        <v>19.904761904761905</v>
      </c>
    </row>
    <row r="1394" spans="1:10">
      <c r="A1394" s="441">
        <v>1013</v>
      </c>
      <c r="B1394" s="441" t="s">
        <v>2256</v>
      </c>
      <c r="C1394" s="545">
        <v>42.166666666666671</v>
      </c>
      <c r="D1394" s="545">
        <v>10</v>
      </c>
      <c r="E1394" s="545">
        <v>10</v>
      </c>
      <c r="F1394" s="545">
        <v>32.976190476190482</v>
      </c>
      <c r="G1394" s="545">
        <v>28.7</v>
      </c>
      <c r="H1394" s="545">
        <v>7.333333333333333</v>
      </c>
      <c r="I1394" s="545">
        <v>6.666666666666667</v>
      </c>
      <c r="J1394" s="545">
        <v>22.5</v>
      </c>
    </row>
    <row r="1395" spans="1:10">
      <c r="A1395" s="441">
        <v>1590</v>
      </c>
      <c r="B1395" s="441" t="s">
        <v>2256</v>
      </c>
      <c r="C1395" s="545">
        <v>38.5</v>
      </c>
      <c r="D1395" s="545">
        <v>14.666666666666666</v>
      </c>
      <c r="E1395" s="545">
        <v>11.666666666666666</v>
      </c>
      <c r="F1395" s="545">
        <v>31.261904761904759</v>
      </c>
      <c r="G1395" s="545">
        <v>23.65</v>
      </c>
      <c r="H1395" s="545">
        <v>14</v>
      </c>
      <c r="I1395" s="545">
        <v>7</v>
      </c>
      <c r="J1395" s="545">
        <v>19.892857142857142</v>
      </c>
    </row>
    <row r="1396" spans="1:10">
      <c r="A1396" s="441">
        <v>1527</v>
      </c>
      <c r="B1396" s="441" t="s">
        <v>2257</v>
      </c>
      <c r="C1396" s="545">
        <v>25.5</v>
      </c>
      <c r="D1396" s="545">
        <v>11</v>
      </c>
      <c r="E1396" s="545">
        <v>4.666666666666667</v>
      </c>
      <c r="F1396" s="545">
        <v>20.452380952380953</v>
      </c>
      <c r="G1396" s="545">
        <v>17.899999999999999</v>
      </c>
      <c r="H1396" s="545">
        <v>11.333333333333334</v>
      </c>
      <c r="I1396" s="545">
        <v>6.666666666666667</v>
      </c>
      <c r="J1396" s="545">
        <v>15.357142857142858</v>
      </c>
    </row>
    <row r="1397" spans="1:10">
      <c r="A1397" s="441">
        <v>830</v>
      </c>
      <c r="B1397" s="441" t="s">
        <v>2258</v>
      </c>
      <c r="C1397" s="545">
        <v>39.166666666666664</v>
      </c>
      <c r="D1397" s="545">
        <v>17.666666666666668</v>
      </c>
      <c r="E1397" s="545">
        <v>26.333333333333336</v>
      </c>
      <c r="F1397" s="545">
        <v>34.261904761904759</v>
      </c>
      <c r="G1397" s="545">
        <v>38.450000000000003</v>
      </c>
      <c r="H1397" s="545">
        <v>19.333333333333332</v>
      </c>
      <c r="I1397" s="545">
        <v>20.333333333333332</v>
      </c>
      <c r="J1397" s="545">
        <v>33.130952380952387</v>
      </c>
    </row>
    <row r="1398" spans="1:10">
      <c r="A1398" s="441">
        <v>860</v>
      </c>
      <c r="B1398" s="441" t="s">
        <v>2258</v>
      </c>
      <c r="C1398" s="545">
        <v>49.166666666666671</v>
      </c>
      <c r="D1398" s="545">
        <v>18</v>
      </c>
      <c r="E1398" s="545">
        <v>25.666666666666664</v>
      </c>
      <c r="F1398" s="545">
        <v>41.357142857142868</v>
      </c>
      <c r="G1398" s="545">
        <v>32.299999999999997</v>
      </c>
      <c r="H1398" s="545">
        <v>22.666666666666668</v>
      </c>
      <c r="I1398" s="545">
        <v>12.666666666666666</v>
      </c>
      <c r="J1398" s="545">
        <v>28.119047619047617</v>
      </c>
    </row>
    <row r="1399" spans="1:10">
      <c r="A1399" s="441">
        <v>1549</v>
      </c>
      <c r="B1399" s="441" t="s">
        <v>2259</v>
      </c>
      <c r="C1399" s="545">
        <v>25.833333333333332</v>
      </c>
      <c r="D1399" s="545">
        <v>15</v>
      </c>
      <c r="E1399" s="545">
        <v>10.666666666666668</v>
      </c>
      <c r="F1399" s="545">
        <v>22.119047619047617</v>
      </c>
      <c r="G1399" s="545">
        <v>16</v>
      </c>
      <c r="H1399" s="545">
        <v>11.333333333333334</v>
      </c>
      <c r="I1399" s="545">
        <v>10.666666666666666</v>
      </c>
      <c r="J1399" s="545">
        <v>14.571428571428571</v>
      </c>
    </row>
    <row r="1400" spans="1:10">
      <c r="A1400" s="441">
        <v>1586</v>
      </c>
      <c r="B1400" s="441" t="s">
        <v>2259</v>
      </c>
      <c r="C1400" s="545">
        <v>28.5</v>
      </c>
      <c r="D1400" s="545">
        <v>17</v>
      </c>
      <c r="E1400" s="545">
        <v>10.333333333333334</v>
      </c>
      <c r="F1400" s="545">
        <v>24.261904761904763</v>
      </c>
      <c r="G1400" s="545">
        <v>19.05</v>
      </c>
      <c r="H1400" s="545">
        <v>18</v>
      </c>
      <c r="I1400" s="545">
        <v>12.666666666666666</v>
      </c>
      <c r="J1400" s="545">
        <v>17.988095238095237</v>
      </c>
    </row>
    <row r="1401" spans="1:10">
      <c r="A1401" s="441">
        <v>831</v>
      </c>
      <c r="B1401" s="441" t="s">
        <v>2260</v>
      </c>
      <c r="C1401" s="545">
        <v>42.166666666666664</v>
      </c>
      <c r="D1401" s="545">
        <v>18.333333333333332</v>
      </c>
      <c r="E1401" s="545">
        <v>15.333333333333332</v>
      </c>
      <c r="F1401" s="545">
        <v>34.928571428571431</v>
      </c>
      <c r="G1401" s="545">
        <v>17.45</v>
      </c>
      <c r="H1401" s="545">
        <v>27</v>
      </c>
      <c r="I1401" s="545">
        <v>10.333333333333334</v>
      </c>
      <c r="J1401" s="545">
        <v>17.797619047619047</v>
      </c>
    </row>
    <row r="1402" spans="1:10">
      <c r="A1402" s="441">
        <v>840</v>
      </c>
      <c r="B1402" s="441" t="s">
        <v>2260</v>
      </c>
      <c r="C1402" s="545">
        <v>38</v>
      </c>
      <c r="D1402" s="545">
        <v>24.666666666666664</v>
      </c>
      <c r="E1402" s="545">
        <v>17.666666666666668</v>
      </c>
      <c r="F1402" s="545">
        <v>33.19047619047619</v>
      </c>
      <c r="G1402" s="545">
        <v>21.55</v>
      </c>
      <c r="H1402" s="545">
        <v>17.333333333333332</v>
      </c>
      <c r="I1402" s="545">
        <v>17</v>
      </c>
      <c r="J1402" s="545">
        <v>20.297619047619044</v>
      </c>
    </row>
    <row r="1403" spans="1:10">
      <c r="A1403" s="441">
        <v>732</v>
      </c>
      <c r="B1403" s="441" t="s">
        <v>2261</v>
      </c>
      <c r="C1403" s="545">
        <v>18.5</v>
      </c>
      <c r="D1403" s="545">
        <v>9</v>
      </c>
      <c r="E1403" s="545">
        <v>10.333333333333334</v>
      </c>
      <c r="F1403" s="545">
        <v>15.976190476190476</v>
      </c>
      <c r="G1403" s="545">
        <v>14.75</v>
      </c>
      <c r="H1403" s="545">
        <v>11.666666666666666</v>
      </c>
      <c r="I1403" s="545">
        <v>11</v>
      </c>
      <c r="J1403" s="545">
        <v>13.773809523809524</v>
      </c>
    </row>
    <row r="1404" spans="1:10">
      <c r="A1404" s="441">
        <v>755</v>
      </c>
      <c r="B1404" s="441" t="s">
        <v>2261</v>
      </c>
      <c r="C1404" s="545">
        <v>12.5</v>
      </c>
      <c r="D1404" s="545">
        <v>12.333333333333334</v>
      </c>
      <c r="E1404" s="545">
        <v>4.333333333333333</v>
      </c>
      <c r="F1404" s="545">
        <v>11.309523809523808</v>
      </c>
      <c r="G1404" s="545">
        <v>13.9</v>
      </c>
      <c r="H1404" s="545">
        <v>14.333333333333334</v>
      </c>
      <c r="I1404" s="545">
        <v>13</v>
      </c>
      <c r="J1404" s="545">
        <v>13.833333333333332</v>
      </c>
    </row>
    <row r="1405" spans="1:10">
      <c r="A1405" s="441">
        <v>832</v>
      </c>
      <c r="B1405" s="441" t="s">
        <v>2262</v>
      </c>
      <c r="C1405" s="545">
        <v>13</v>
      </c>
      <c r="D1405" s="545">
        <v>8.6666666666666661</v>
      </c>
      <c r="E1405" s="545">
        <v>10</v>
      </c>
      <c r="F1405" s="545">
        <v>11.952380952380953</v>
      </c>
      <c r="G1405" s="545">
        <v>12.4</v>
      </c>
      <c r="H1405" s="545">
        <v>12.333333333333334</v>
      </c>
      <c r="I1405" s="545">
        <v>10.666666666666666</v>
      </c>
      <c r="J1405" s="545">
        <v>12.142857142857142</v>
      </c>
    </row>
    <row r="1406" spans="1:10">
      <c r="A1406" s="441">
        <v>839</v>
      </c>
      <c r="B1406" s="441" t="s">
        <v>2262</v>
      </c>
      <c r="C1406" s="545">
        <v>11</v>
      </c>
      <c r="D1406" s="545">
        <v>6</v>
      </c>
      <c r="E1406" s="545">
        <v>7.3333333333333339</v>
      </c>
      <c r="F1406" s="545">
        <v>9.761904761904761</v>
      </c>
      <c r="G1406" s="545">
        <v>13.35</v>
      </c>
      <c r="H1406" s="545">
        <v>12</v>
      </c>
      <c r="I1406" s="545">
        <v>9.6666666666666661</v>
      </c>
      <c r="J1406" s="545">
        <v>12.630952380952381</v>
      </c>
    </row>
    <row r="1407" spans="1:10">
      <c r="A1407" s="441">
        <v>1012</v>
      </c>
      <c r="B1407" s="441" t="s">
        <v>2263</v>
      </c>
      <c r="C1407" s="545">
        <v>77.833333333333329</v>
      </c>
      <c r="D1407" s="545">
        <v>52</v>
      </c>
      <c r="E1407" s="545">
        <v>38</v>
      </c>
      <c r="F1407" s="545">
        <v>68.452380952380949</v>
      </c>
      <c r="G1407" s="545">
        <v>52.75</v>
      </c>
      <c r="H1407" s="545">
        <v>33</v>
      </c>
      <c r="I1407" s="545">
        <v>34.333333333333336</v>
      </c>
      <c r="J1407" s="545">
        <v>47.297619047619044</v>
      </c>
    </row>
    <row r="1408" spans="1:10">
      <c r="A1408" s="441">
        <v>1591</v>
      </c>
      <c r="B1408" s="441" t="s">
        <v>2263</v>
      </c>
      <c r="C1408" s="545">
        <v>89.833333333333329</v>
      </c>
      <c r="D1408" s="545">
        <v>60.666666666666671</v>
      </c>
      <c r="E1408" s="545">
        <v>50.666666666666664</v>
      </c>
      <c r="F1408" s="545">
        <v>80.071428571428569</v>
      </c>
      <c r="G1408" s="545">
        <v>64.099999999999994</v>
      </c>
      <c r="H1408" s="545">
        <v>43</v>
      </c>
      <c r="I1408" s="545">
        <v>31</v>
      </c>
      <c r="J1408" s="545">
        <v>56.357142857142854</v>
      </c>
    </row>
    <row r="1409" spans="1:10">
      <c r="A1409" s="441">
        <v>1009</v>
      </c>
      <c r="B1409" s="441" t="s">
        <v>2264</v>
      </c>
      <c r="C1409" s="545">
        <v>44</v>
      </c>
      <c r="D1409" s="545">
        <v>30.666666666666668</v>
      </c>
      <c r="E1409" s="545">
        <v>17.666666666666668</v>
      </c>
      <c r="F1409" s="545">
        <v>38.333333333333329</v>
      </c>
      <c r="G1409" s="545">
        <v>17.55</v>
      </c>
      <c r="H1409" s="545">
        <v>9.6666666666666661</v>
      </c>
      <c r="I1409" s="545">
        <v>14.666666666666666</v>
      </c>
      <c r="J1409" s="545">
        <v>16.011904761904763</v>
      </c>
    </row>
    <row r="1410" spans="1:10">
      <c r="A1410" s="441">
        <v>1594</v>
      </c>
      <c r="B1410" s="441" t="s">
        <v>2264</v>
      </c>
      <c r="C1410" s="545">
        <v>42.5</v>
      </c>
      <c r="D1410" s="545">
        <v>28</v>
      </c>
      <c r="E1410" s="545">
        <v>22.666666666666668</v>
      </c>
      <c r="F1410" s="545">
        <v>37.595238095238095</v>
      </c>
      <c r="G1410" s="545">
        <v>24.15</v>
      </c>
      <c r="H1410" s="545">
        <v>19.666666666666668</v>
      </c>
      <c r="I1410" s="545">
        <v>14</v>
      </c>
      <c r="J1410" s="545">
        <v>22.059523809523807</v>
      </c>
    </row>
    <row r="1411" spans="1:10">
      <c r="A1411" s="441">
        <v>836</v>
      </c>
      <c r="B1411" s="441" t="s">
        <v>2265</v>
      </c>
      <c r="C1411" s="545">
        <v>88.166666666666657</v>
      </c>
      <c r="D1411" s="545">
        <v>42.333333333333329</v>
      </c>
      <c r="E1411" s="545">
        <v>40.333333333333336</v>
      </c>
      <c r="F1411" s="545">
        <v>74.785714285714263</v>
      </c>
      <c r="G1411" s="545">
        <v>61.15</v>
      </c>
      <c r="H1411" s="545">
        <v>36.333333333333336</v>
      </c>
      <c r="I1411" s="545">
        <v>28.333333333333332</v>
      </c>
      <c r="J1411" s="545">
        <v>52.916666666666664</v>
      </c>
    </row>
    <row r="1412" spans="1:10">
      <c r="A1412" s="441">
        <v>833</v>
      </c>
      <c r="B1412" s="441" t="s">
        <v>2266</v>
      </c>
      <c r="C1412" s="545">
        <v>24.666666666666668</v>
      </c>
      <c r="D1412" s="545">
        <v>10.666666666666668</v>
      </c>
      <c r="E1412" s="545">
        <v>11</v>
      </c>
      <c r="F1412" s="545">
        <v>20.714285714285715</v>
      </c>
      <c r="G1412" s="545">
        <v>12.35</v>
      </c>
      <c r="H1412" s="545">
        <v>7</v>
      </c>
      <c r="I1412" s="545">
        <v>11.666666666666666</v>
      </c>
      <c r="J1412" s="545">
        <v>11.488095238095239</v>
      </c>
    </row>
    <row r="1413" spans="1:10">
      <c r="A1413" s="441">
        <v>838</v>
      </c>
      <c r="B1413" s="441" t="s">
        <v>2266</v>
      </c>
      <c r="C1413" s="545">
        <v>16.833333333333336</v>
      </c>
      <c r="D1413" s="545">
        <v>7.3333333333333339</v>
      </c>
      <c r="E1413" s="545">
        <v>12</v>
      </c>
      <c r="F1413" s="545">
        <v>14.785714285714288</v>
      </c>
      <c r="G1413" s="545">
        <v>7.85</v>
      </c>
      <c r="H1413" s="545">
        <v>10.666666666666666</v>
      </c>
      <c r="I1413" s="545">
        <v>10</v>
      </c>
      <c r="J1413" s="545">
        <v>8.5595238095238084</v>
      </c>
    </row>
    <row r="1414" spans="1:10">
      <c r="A1414" s="441">
        <v>1551</v>
      </c>
      <c r="B1414" s="441" t="s">
        <v>2267</v>
      </c>
      <c r="C1414" s="545">
        <v>3</v>
      </c>
      <c r="D1414" s="545">
        <v>2</v>
      </c>
      <c r="E1414" s="545">
        <v>0.66666666666666663</v>
      </c>
      <c r="F1414" s="545">
        <v>2.5238095238095242</v>
      </c>
      <c r="G1414" s="545">
        <v>0.45</v>
      </c>
      <c r="H1414" s="545">
        <v>0.33333333333333331</v>
      </c>
      <c r="I1414" s="545">
        <v>0.33333333333333331</v>
      </c>
      <c r="J1414" s="545">
        <v>0.41666666666666669</v>
      </c>
    </row>
    <row r="1415" spans="1:10">
      <c r="A1415" s="441">
        <v>834</v>
      </c>
      <c r="B1415" s="441" t="s">
        <v>2268</v>
      </c>
      <c r="C1415" s="545">
        <v>11.666666666666668</v>
      </c>
      <c r="D1415" s="545">
        <v>5.333333333333333</v>
      </c>
      <c r="E1415" s="545">
        <v>1</v>
      </c>
      <c r="F1415" s="545">
        <v>9.2380952380952408</v>
      </c>
      <c r="G1415" s="545">
        <v>6.85</v>
      </c>
      <c r="H1415" s="545">
        <v>8</v>
      </c>
      <c r="I1415" s="545">
        <v>4.666666666666667</v>
      </c>
      <c r="J1415" s="545">
        <v>6.7023809523809517</v>
      </c>
    </row>
    <row r="1416" spans="1:10">
      <c r="A1416" s="441">
        <v>837</v>
      </c>
      <c r="B1416" s="441" t="s">
        <v>2268</v>
      </c>
      <c r="C1416" s="545">
        <v>15</v>
      </c>
      <c r="D1416" s="545">
        <v>7</v>
      </c>
      <c r="E1416" s="545">
        <v>8.3333333333333321</v>
      </c>
      <c r="F1416" s="545">
        <v>12.904761904761903</v>
      </c>
      <c r="G1416" s="545">
        <v>6.95</v>
      </c>
      <c r="H1416" s="545">
        <v>9</v>
      </c>
      <c r="I1416" s="545">
        <v>7</v>
      </c>
      <c r="J1416" s="545">
        <v>7.25</v>
      </c>
    </row>
    <row r="1417" spans="1:10">
      <c r="A1417" s="441">
        <v>1011</v>
      </c>
      <c r="B1417" s="441" t="s">
        <v>2269</v>
      </c>
      <c r="C1417" s="545">
        <v>6.8333333333333339</v>
      </c>
      <c r="D1417" s="545">
        <v>1.3333333333333333</v>
      </c>
      <c r="E1417" s="545">
        <v>2.333333333333333</v>
      </c>
      <c r="F1417" s="545">
        <v>5.404761904761906</v>
      </c>
      <c r="G1417" s="545">
        <v>5.75</v>
      </c>
      <c r="H1417" s="545">
        <v>1.3333333333333333</v>
      </c>
      <c r="I1417" s="545">
        <v>1.6666666666666667</v>
      </c>
      <c r="J1417" s="545">
        <v>4.5357142857142856</v>
      </c>
    </row>
    <row r="1418" spans="1:10">
      <c r="A1418" s="441">
        <v>1592</v>
      </c>
      <c r="B1418" s="441" t="s">
        <v>2269</v>
      </c>
      <c r="C1418" s="545">
        <v>9.8333333333333339</v>
      </c>
      <c r="D1418" s="545">
        <v>3.6666666666666665</v>
      </c>
      <c r="E1418" s="545">
        <v>2</v>
      </c>
      <c r="F1418" s="545">
        <v>7.8333333333333339</v>
      </c>
      <c r="G1418" s="545">
        <v>4</v>
      </c>
      <c r="H1418" s="545">
        <v>4.666666666666667</v>
      </c>
      <c r="I1418" s="545">
        <v>1.6666666666666667</v>
      </c>
      <c r="J1418" s="545">
        <v>3.7619047619047623</v>
      </c>
    </row>
    <row r="1419" spans="1:10">
      <c r="A1419" s="441">
        <v>835</v>
      </c>
      <c r="B1419" s="441" t="s">
        <v>2270</v>
      </c>
      <c r="C1419" s="545">
        <v>75.833333333333329</v>
      </c>
      <c r="D1419" s="545">
        <v>43.666666666666671</v>
      </c>
      <c r="E1419" s="545">
        <v>32.666666666666671</v>
      </c>
      <c r="F1419" s="545">
        <v>65.071428571428569</v>
      </c>
      <c r="G1419" s="545">
        <v>39.9</v>
      </c>
      <c r="H1419" s="545">
        <v>39.333333333333336</v>
      </c>
      <c r="I1419" s="545">
        <v>26.666666666666668</v>
      </c>
      <c r="J1419" s="545">
        <v>37.928571428571431</v>
      </c>
    </row>
    <row r="1420" spans="1:10">
      <c r="A1420" s="441">
        <v>1589</v>
      </c>
      <c r="B1420" s="441" t="s">
        <v>2271</v>
      </c>
      <c r="C1420" s="545">
        <v>48.833333333333329</v>
      </c>
      <c r="D1420" s="545">
        <v>35.666666666666671</v>
      </c>
      <c r="E1420" s="545">
        <v>29.666666666666668</v>
      </c>
      <c r="F1420" s="545">
        <v>44.214285714285715</v>
      </c>
      <c r="G1420" s="545">
        <v>30.5</v>
      </c>
      <c r="H1420" s="545">
        <v>31.666666666666668</v>
      </c>
      <c r="I1420" s="545">
        <v>19.666666666666668</v>
      </c>
      <c r="J1420" s="545">
        <v>29.119047619047617</v>
      </c>
    </row>
    <row r="1421" spans="1:10">
      <c r="A1421" s="441">
        <v>1526</v>
      </c>
      <c r="B1421" s="441" t="s">
        <v>2272</v>
      </c>
      <c r="C1421" s="545">
        <v>69.5</v>
      </c>
      <c r="D1421" s="545">
        <v>42</v>
      </c>
      <c r="E1421" s="545">
        <v>41.333333333333329</v>
      </c>
      <c r="F1421" s="545">
        <v>61.547619047619044</v>
      </c>
      <c r="G1421" s="545">
        <v>43.45</v>
      </c>
      <c r="H1421" s="545">
        <v>45</v>
      </c>
      <c r="I1421" s="545">
        <v>27.666666666666668</v>
      </c>
      <c r="J1421" s="545">
        <v>41.416666666666671</v>
      </c>
    </row>
    <row r="1422" spans="1:10">
      <c r="A1422" s="441">
        <v>1588</v>
      </c>
      <c r="B1422" s="441" t="s">
        <v>2273</v>
      </c>
      <c r="C1422" s="545">
        <v>32.5</v>
      </c>
      <c r="D1422" s="545">
        <v>19.666666666666668</v>
      </c>
      <c r="E1422" s="545">
        <v>14.333333333333334</v>
      </c>
      <c r="F1422" s="545">
        <v>28.071428571428573</v>
      </c>
      <c r="G1422" s="545">
        <v>17.7</v>
      </c>
      <c r="H1422" s="545">
        <v>19.333333333333332</v>
      </c>
      <c r="I1422" s="545">
        <v>12.666666666666666</v>
      </c>
      <c r="J1422" s="545">
        <v>17.214285714285715</v>
      </c>
    </row>
    <row r="1423" spans="1:10">
      <c r="A1423" s="441">
        <v>1528</v>
      </c>
      <c r="B1423" s="441" t="s">
        <v>2274</v>
      </c>
      <c r="C1423" s="545">
        <v>29.666666666666664</v>
      </c>
      <c r="D1423" s="545">
        <v>13.333333333333334</v>
      </c>
      <c r="E1423" s="545">
        <v>18.666666666666664</v>
      </c>
      <c r="F1423" s="545">
        <v>25.761904761904759</v>
      </c>
      <c r="G1423" s="545">
        <v>24.65</v>
      </c>
      <c r="H1423" s="545">
        <v>16.666666666666668</v>
      </c>
      <c r="I1423" s="545">
        <v>16.666666666666668</v>
      </c>
      <c r="J1423" s="545">
        <v>22.369047619047617</v>
      </c>
    </row>
    <row r="1424" spans="1:10">
      <c r="A1424" s="441">
        <v>1587</v>
      </c>
      <c r="B1424" s="441" t="s">
        <v>2274</v>
      </c>
      <c r="C1424" s="545">
        <v>35.166666666666671</v>
      </c>
      <c r="D1424" s="545">
        <v>13</v>
      </c>
      <c r="E1424" s="545">
        <v>17.333333333333332</v>
      </c>
      <c r="F1424" s="545">
        <v>29.45238095238096</v>
      </c>
      <c r="G1424" s="545">
        <v>30.5</v>
      </c>
      <c r="H1424" s="545">
        <v>22.666666666666668</v>
      </c>
      <c r="I1424" s="545">
        <v>20.666666666666668</v>
      </c>
      <c r="J1424" s="545">
        <v>27.976190476190474</v>
      </c>
    </row>
    <row r="1425" spans="1:10">
      <c r="A1425" s="441">
        <v>746</v>
      </c>
      <c r="B1425" s="441" t="s">
        <v>2275</v>
      </c>
      <c r="C1425" s="545">
        <v>201</v>
      </c>
      <c r="D1425" s="545">
        <v>115.33333333333333</v>
      </c>
      <c r="E1425" s="545">
        <v>90.333333333333329</v>
      </c>
      <c r="F1425" s="545">
        <v>172.95238095238093</v>
      </c>
      <c r="G1425" s="545">
        <v>154.94999999999999</v>
      </c>
      <c r="H1425" s="545">
        <v>117</v>
      </c>
      <c r="I1425" s="545">
        <v>92</v>
      </c>
      <c r="J1425" s="545">
        <v>140.53571428571428</v>
      </c>
    </row>
    <row r="1426" spans="1:10">
      <c r="A1426" s="441">
        <v>747</v>
      </c>
      <c r="B1426" s="441" t="s">
        <v>2275</v>
      </c>
      <c r="C1426" s="545">
        <v>57.5</v>
      </c>
      <c r="D1426" s="545">
        <v>35</v>
      </c>
      <c r="E1426" s="545">
        <v>34.333333333333336</v>
      </c>
      <c r="F1426" s="545">
        <v>50.976190476190474</v>
      </c>
      <c r="G1426" s="545">
        <v>35.25</v>
      </c>
      <c r="H1426" s="545">
        <v>22</v>
      </c>
      <c r="I1426" s="545">
        <v>33.333333333333336</v>
      </c>
      <c r="J1426" s="545">
        <v>33.083333333333336</v>
      </c>
    </row>
    <row r="1427" spans="1:10">
      <c r="A1427" s="441">
        <v>731</v>
      </c>
      <c r="B1427" s="441" t="s">
        <v>2276</v>
      </c>
      <c r="C1427" s="545">
        <v>67.333333333333343</v>
      </c>
      <c r="D1427" s="545">
        <v>39</v>
      </c>
      <c r="E1427" s="545">
        <v>25.333333333333336</v>
      </c>
      <c r="F1427" s="545">
        <v>57.285714285714292</v>
      </c>
      <c r="G1427" s="545">
        <v>47.95</v>
      </c>
      <c r="H1427" s="545">
        <v>27.666666666666668</v>
      </c>
      <c r="I1427" s="545">
        <v>17</v>
      </c>
      <c r="J1427" s="545">
        <v>40.630952380952387</v>
      </c>
    </row>
    <row r="1428" spans="1:10">
      <c r="A1428" s="441">
        <v>756</v>
      </c>
      <c r="B1428" s="441" t="s">
        <v>2276</v>
      </c>
      <c r="C1428" s="545">
        <v>55</v>
      </c>
      <c r="D1428" s="545">
        <v>30.333333333333336</v>
      </c>
      <c r="E1428" s="545">
        <v>16</v>
      </c>
      <c r="F1428" s="545">
        <v>45.904761904761905</v>
      </c>
      <c r="G1428" s="545">
        <v>26.4</v>
      </c>
      <c r="H1428" s="545">
        <v>19.666666666666668</v>
      </c>
      <c r="I1428" s="545">
        <v>12</v>
      </c>
      <c r="J1428" s="545">
        <v>23.38095238095238</v>
      </c>
    </row>
    <row r="1429" spans="1:10">
      <c r="A1429" s="441">
        <v>828</v>
      </c>
      <c r="B1429" s="441" t="s">
        <v>2277</v>
      </c>
      <c r="C1429" s="545">
        <v>31</v>
      </c>
      <c r="D1429" s="545">
        <v>18.666666666666668</v>
      </c>
      <c r="E1429" s="545">
        <v>20</v>
      </c>
      <c r="F1429" s="545">
        <v>27.666666666666664</v>
      </c>
      <c r="G1429" s="545">
        <v>23.35</v>
      </c>
      <c r="H1429" s="545">
        <v>18.333333333333332</v>
      </c>
      <c r="I1429" s="545">
        <v>10.333333333333334</v>
      </c>
      <c r="J1429" s="545">
        <v>20.773809523809526</v>
      </c>
    </row>
    <row r="1430" spans="1:10">
      <c r="A1430" s="441">
        <v>862</v>
      </c>
      <c r="B1430" s="441" t="s">
        <v>2277</v>
      </c>
      <c r="C1430" s="545">
        <v>25.5</v>
      </c>
      <c r="D1430" s="545">
        <v>13</v>
      </c>
      <c r="E1430" s="545">
        <v>13.333333333333332</v>
      </c>
      <c r="F1430" s="545">
        <v>21.976190476190478</v>
      </c>
      <c r="G1430" s="545">
        <v>17.100000000000001</v>
      </c>
      <c r="H1430" s="545">
        <v>18.666666666666668</v>
      </c>
      <c r="I1430" s="545">
        <v>10.333333333333334</v>
      </c>
      <c r="J1430" s="545">
        <v>16.357142857142858</v>
      </c>
    </row>
    <row r="1431" spans="1:10">
      <c r="A1431" s="441">
        <v>738</v>
      </c>
      <c r="B1431" s="441" t="s">
        <v>2278</v>
      </c>
      <c r="C1431" s="545">
        <v>110.83333333333333</v>
      </c>
      <c r="D1431" s="545">
        <v>79.333333333333329</v>
      </c>
      <c r="E1431" s="545">
        <v>58.666666666666664</v>
      </c>
      <c r="F1431" s="545">
        <v>98.88095238095238</v>
      </c>
      <c r="G1431" s="545">
        <v>88.95</v>
      </c>
      <c r="H1431" s="545">
        <v>64.333333333333329</v>
      </c>
      <c r="I1431" s="545">
        <v>58.333333333333336</v>
      </c>
      <c r="J1431" s="545">
        <v>81.05952380952381</v>
      </c>
    </row>
    <row r="1432" spans="1:10">
      <c r="A1432" s="441">
        <v>739</v>
      </c>
      <c r="B1432" s="441" t="s">
        <v>2278</v>
      </c>
      <c r="C1432" s="545">
        <v>204.16666666666666</v>
      </c>
      <c r="D1432" s="545">
        <v>126</v>
      </c>
      <c r="E1432" s="545">
        <v>108</v>
      </c>
      <c r="F1432" s="545">
        <v>179.26190476190476</v>
      </c>
      <c r="G1432" s="545">
        <v>158</v>
      </c>
      <c r="H1432" s="545">
        <v>118</v>
      </c>
      <c r="I1432" s="545">
        <v>104.33333333333333</v>
      </c>
      <c r="J1432" s="545">
        <v>144.61904761904762</v>
      </c>
    </row>
    <row r="1433" spans="1:10">
      <c r="A1433" s="441">
        <v>748</v>
      </c>
      <c r="B1433" s="441" t="s">
        <v>2278</v>
      </c>
      <c r="C1433" s="545">
        <v>77.666666666666671</v>
      </c>
      <c r="D1433" s="545">
        <v>53</v>
      </c>
      <c r="E1433" s="545">
        <v>43</v>
      </c>
      <c r="F1433" s="545">
        <v>69.19047619047619</v>
      </c>
      <c r="G1433" s="545">
        <v>50.55</v>
      </c>
      <c r="H1433" s="545">
        <v>52.666666666666664</v>
      </c>
      <c r="I1433" s="545">
        <v>31.333333333333332</v>
      </c>
      <c r="J1433" s="545">
        <v>48.107142857142854</v>
      </c>
    </row>
    <row r="1434" spans="1:10">
      <c r="A1434" s="441">
        <v>749</v>
      </c>
      <c r="B1434" s="441" t="s">
        <v>2279</v>
      </c>
      <c r="C1434" s="545">
        <v>140.83333333333331</v>
      </c>
      <c r="D1434" s="545">
        <v>71.333333333333329</v>
      </c>
      <c r="E1434" s="545">
        <v>87.666666666666657</v>
      </c>
      <c r="F1434" s="545">
        <v>123.30952380952378</v>
      </c>
      <c r="G1434" s="545">
        <v>83.7</v>
      </c>
      <c r="H1434" s="545">
        <v>69</v>
      </c>
      <c r="I1434" s="545">
        <v>58.333333333333336</v>
      </c>
      <c r="J1434" s="545">
        <v>77.976190476190482</v>
      </c>
    </row>
    <row r="1435" spans="1:10">
      <c r="A1435" s="441">
        <v>750</v>
      </c>
      <c r="B1435" s="441" t="s">
        <v>2280</v>
      </c>
      <c r="C1435" s="545">
        <v>155</v>
      </c>
      <c r="D1435" s="545">
        <v>99.666666666666671</v>
      </c>
      <c r="E1435" s="545">
        <v>76.333333333333329</v>
      </c>
      <c r="F1435" s="545">
        <v>135.85714285714286</v>
      </c>
      <c r="G1435" s="545">
        <v>108.85</v>
      </c>
      <c r="H1435" s="545">
        <v>91</v>
      </c>
      <c r="I1435" s="545">
        <v>69.666666666666671</v>
      </c>
      <c r="J1435" s="545">
        <v>100.70238095238095</v>
      </c>
    </row>
    <row r="1436" spans="1:10">
      <c r="A1436" s="441">
        <v>733</v>
      </c>
      <c r="B1436" s="441" t="s">
        <v>2281</v>
      </c>
      <c r="C1436" s="545">
        <v>3.666666666666667</v>
      </c>
      <c r="D1436" s="545">
        <v>0.66666666666666663</v>
      </c>
      <c r="E1436" s="545">
        <v>1.6666666666666665</v>
      </c>
      <c r="F1436" s="545">
        <v>2.952380952380953</v>
      </c>
      <c r="G1436" s="545">
        <v>1.05</v>
      </c>
      <c r="H1436" s="545">
        <v>1.3333333333333333</v>
      </c>
      <c r="I1436" s="545">
        <v>1.6666666666666667</v>
      </c>
      <c r="J1436" s="545">
        <v>1.1785714285714286</v>
      </c>
    </row>
    <row r="1437" spans="1:10">
      <c r="A1437" s="441">
        <v>734</v>
      </c>
      <c r="B1437" s="441" t="s">
        <v>2281</v>
      </c>
      <c r="C1437" s="545">
        <v>22.666666666666668</v>
      </c>
      <c r="D1437" s="545">
        <v>13.333333333333334</v>
      </c>
      <c r="E1437" s="545">
        <v>9.6666666666666661</v>
      </c>
      <c r="F1437" s="545">
        <v>19.476190476190478</v>
      </c>
      <c r="G1437" s="545">
        <v>15.8</v>
      </c>
      <c r="H1437" s="545">
        <v>13.666666666666666</v>
      </c>
      <c r="I1437" s="545">
        <v>6</v>
      </c>
      <c r="J1437" s="545">
        <v>14.095238095238097</v>
      </c>
    </row>
    <row r="1438" spans="1:10">
      <c r="A1438" s="441">
        <v>754</v>
      </c>
      <c r="B1438" s="441" t="s">
        <v>2281</v>
      </c>
      <c r="C1438" s="545">
        <v>4.3333333333333339</v>
      </c>
      <c r="D1438" s="545">
        <v>1</v>
      </c>
      <c r="E1438" s="545">
        <v>3.3333333333333335</v>
      </c>
      <c r="F1438" s="545">
        <v>3.7142857142857149</v>
      </c>
      <c r="G1438" s="545">
        <v>1.7</v>
      </c>
      <c r="H1438" s="545">
        <v>2.3333333333333335</v>
      </c>
      <c r="I1438" s="545">
        <v>0.66666666666666663</v>
      </c>
      <c r="J1438" s="545">
        <v>1.6428571428571428</v>
      </c>
    </row>
    <row r="1439" spans="1:10">
      <c r="A1439" s="441">
        <v>1010</v>
      </c>
      <c r="B1439" s="441" t="s">
        <v>2282</v>
      </c>
      <c r="C1439" s="545">
        <v>26.166666666666668</v>
      </c>
      <c r="D1439" s="545">
        <v>18</v>
      </c>
      <c r="E1439" s="545">
        <v>18.333333333333332</v>
      </c>
      <c r="F1439" s="545">
        <v>23.880952380952383</v>
      </c>
      <c r="G1439" s="545">
        <v>14.65</v>
      </c>
      <c r="H1439" s="545">
        <v>12.333333333333334</v>
      </c>
      <c r="I1439" s="545">
        <v>7</v>
      </c>
      <c r="J1439" s="545">
        <v>13.226190476190476</v>
      </c>
    </row>
    <row r="1440" spans="1:10">
      <c r="A1440" s="441">
        <v>1593</v>
      </c>
      <c r="B1440" s="441" t="s">
        <v>2282</v>
      </c>
      <c r="C1440" s="545">
        <v>22.5</v>
      </c>
      <c r="D1440" s="545">
        <v>17</v>
      </c>
      <c r="E1440" s="545">
        <v>13</v>
      </c>
      <c r="F1440" s="545">
        <v>20.357142857142858</v>
      </c>
      <c r="G1440" s="545">
        <v>14.1</v>
      </c>
      <c r="H1440" s="545">
        <v>9.3333333333333339</v>
      </c>
      <c r="I1440" s="545">
        <v>6</v>
      </c>
      <c r="J1440" s="545">
        <v>12.261904761904761</v>
      </c>
    </row>
    <row r="1441" spans="1:10">
      <c r="A1441" s="441">
        <v>1550</v>
      </c>
      <c r="B1441" s="441" t="s">
        <v>2283</v>
      </c>
      <c r="C1441" s="545">
        <v>5.1666666666666661</v>
      </c>
      <c r="D1441" s="545">
        <v>1.6666666666666665</v>
      </c>
      <c r="E1441" s="545">
        <v>1.3333333333333333</v>
      </c>
      <c r="F1441" s="545">
        <v>4.1190476190476186</v>
      </c>
      <c r="G1441" s="545">
        <v>2.6</v>
      </c>
      <c r="H1441" s="545">
        <v>2</v>
      </c>
      <c r="I1441" s="545">
        <v>0.66666666666666663</v>
      </c>
      <c r="J1441" s="545">
        <v>2.2380952380952381</v>
      </c>
    </row>
    <row r="1442" spans="1:10">
      <c r="A1442" s="441">
        <v>1585</v>
      </c>
      <c r="B1442" s="441" t="s">
        <v>2283</v>
      </c>
      <c r="C1442" s="545">
        <v>5.166666666666667</v>
      </c>
      <c r="D1442" s="545">
        <v>1.3333333333333333</v>
      </c>
      <c r="E1442" s="545">
        <v>2.666666666666667</v>
      </c>
      <c r="F1442" s="545">
        <v>4.2619047619047619</v>
      </c>
      <c r="G1442" s="545">
        <v>2.7</v>
      </c>
      <c r="H1442" s="545">
        <v>2.6666666666666665</v>
      </c>
      <c r="I1442" s="545">
        <v>1.3333333333333333</v>
      </c>
      <c r="J1442" s="545">
        <v>2.5</v>
      </c>
    </row>
    <row r="1443" spans="1:10">
      <c r="A1443" s="441">
        <v>10378</v>
      </c>
      <c r="B1443" s="441" t="s">
        <v>2284</v>
      </c>
      <c r="C1443" s="545">
        <v>1.8333333333333333</v>
      </c>
      <c r="D1443" s="545">
        <v>0.33333333333333331</v>
      </c>
      <c r="E1443" s="545">
        <v>2.6666666666666665</v>
      </c>
      <c r="F1443" s="545">
        <v>1.7380952380952379</v>
      </c>
      <c r="G1443" s="545">
        <v>5.45</v>
      </c>
      <c r="H1443" s="545">
        <v>7</v>
      </c>
      <c r="I1443" s="545">
        <v>1.6666666666666667</v>
      </c>
      <c r="J1443" s="545">
        <v>5.1309523809523805</v>
      </c>
    </row>
    <row r="1444" spans="1:10">
      <c r="A1444" s="441">
        <v>10384</v>
      </c>
      <c r="B1444" s="441" t="s">
        <v>2284</v>
      </c>
      <c r="C1444" s="545">
        <v>39</v>
      </c>
      <c r="D1444" s="545">
        <v>60</v>
      </c>
      <c r="E1444" s="545">
        <v>30.333333333333336</v>
      </c>
      <c r="F1444" s="545">
        <v>40.761904761904759</v>
      </c>
      <c r="G1444" s="545">
        <v>59.3</v>
      </c>
      <c r="H1444" s="545">
        <v>45</v>
      </c>
      <c r="I1444" s="545">
        <v>17</v>
      </c>
      <c r="J1444" s="545">
        <v>51.214285714285715</v>
      </c>
    </row>
    <row r="1445" spans="1:10">
      <c r="A1445" s="441">
        <v>10379</v>
      </c>
      <c r="B1445" s="441" t="s">
        <v>2285</v>
      </c>
      <c r="C1445" s="545">
        <v>4.833333333333333</v>
      </c>
      <c r="D1445" s="545">
        <v>4</v>
      </c>
      <c r="E1445" s="545">
        <v>6</v>
      </c>
      <c r="F1445" s="545">
        <v>4.8809523809523805</v>
      </c>
      <c r="G1445" s="545">
        <v>0.75</v>
      </c>
      <c r="H1445" s="545">
        <v>0</v>
      </c>
      <c r="I1445" s="545">
        <v>0</v>
      </c>
      <c r="J1445" s="545">
        <v>0.5357142857142857</v>
      </c>
    </row>
    <row r="1446" spans="1:10">
      <c r="A1446" s="441">
        <v>11553</v>
      </c>
      <c r="B1446" s="441" t="s">
        <v>2286</v>
      </c>
      <c r="C1446" s="545">
        <v>16.666666666666668</v>
      </c>
      <c r="D1446" s="545">
        <v>12.666666666666668</v>
      </c>
      <c r="E1446" s="545">
        <v>7.666666666666667</v>
      </c>
      <c r="F1446" s="545">
        <v>14.809523809523812</v>
      </c>
      <c r="G1446" s="545">
        <v>11.4</v>
      </c>
      <c r="H1446" s="545">
        <v>9.3333333333333339</v>
      </c>
      <c r="I1446" s="545">
        <v>5</v>
      </c>
      <c r="J1446" s="545">
        <v>10.19047619047619</v>
      </c>
    </row>
    <row r="1447" spans="1:10">
      <c r="A1447" s="441">
        <v>11554</v>
      </c>
      <c r="B1447" s="441" t="s">
        <v>2287</v>
      </c>
      <c r="C1447" s="545">
        <v>4.333333333333333</v>
      </c>
      <c r="D1447" s="545">
        <v>2</v>
      </c>
      <c r="E1447" s="545">
        <v>2.6666666666666665</v>
      </c>
      <c r="F1447" s="545">
        <v>3.7619047619047619</v>
      </c>
      <c r="G1447" s="545">
        <v>3.5</v>
      </c>
      <c r="H1447" s="545">
        <v>1.3333333333333333</v>
      </c>
      <c r="I1447" s="545">
        <v>4.333333333333333</v>
      </c>
      <c r="J1447" s="545">
        <v>3.3095238095238093</v>
      </c>
    </row>
    <row r="1448" spans="1:10">
      <c r="A1448" s="441">
        <v>2023</v>
      </c>
      <c r="B1448" s="441" t="s">
        <v>2288</v>
      </c>
      <c r="C1448" s="545">
        <v>5.166666666666667</v>
      </c>
      <c r="D1448" s="545">
        <v>1.6666666666666665</v>
      </c>
      <c r="E1448" s="545">
        <v>1.3333333333333333</v>
      </c>
      <c r="F1448" s="545">
        <v>4.1190476190476195</v>
      </c>
      <c r="G1448" s="545">
        <v>0.2</v>
      </c>
      <c r="H1448" s="545">
        <v>0</v>
      </c>
      <c r="I1448" s="545">
        <v>0.33333333333333331</v>
      </c>
      <c r="J1448" s="545">
        <v>0.19047619047619047</v>
      </c>
    </row>
    <row r="1449" spans="1:10">
      <c r="A1449" s="441">
        <v>2041</v>
      </c>
      <c r="B1449" s="441" t="s">
        <v>2288</v>
      </c>
      <c r="C1449" s="545">
        <v>2.333333333333333</v>
      </c>
      <c r="D1449" s="545">
        <v>1.6666666666666665</v>
      </c>
      <c r="E1449" s="545">
        <v>1.3333333333333333</v>
      </c>
      <c r="F1449" s="545">
        <v>2.0952380952380949</v>
      </c>
      <c r="G1449" s="545">
        <v>1.1499999999999999</v>
      </c>
      <c r="H1449" s="545">
        <v>0</v>
      </c>
      <c r="I1449" s="545">
        <v>0.33333333333333331</v>
      </c>
      <c r="J1449" s="545">
        <v>0.86904761904761896</v>
      </c>
    </row>
    <row r="1450" spans="1:10">
      <c r="A1450" s="441">
        <v>11355</v>
      </c>
      <c r="B1450" s="441" t="s">
        <v>2289</v>
      </c>
      <c r="C1450" s="545">
        <v>3.6666666666666665</v>
      </c>
      <c r="D1450" s="545">
        <v>2.6666666666666665</v>
      </c>
      <c r="E1450" s="545">
        <v>4</v>
      </c>
      <c r="F1450" s="545">
        <v>3.5714285714285716</v>
      </c>
      <c r="G1450" s="545">
        <v>1.7</v>
      </c>
      <c r="H1450" s="545">
        <v>0.66666666666666663</v>
      </c>
      <c r="I1450" s="545">
        <v>1.6666666666666667</v>
      </c>
      <c r="J1450" s="545">
        <v>1.5476190476190474</v>
      </c>
    </row>
    <row r="1451" spans="1:10">
      <c r="A1451" s="441">
        <v>2024</v>
      </c>
      <c r="B1451" s="441" t="s">
        <v>2290</v>
      </c>
      <c r="C1451" s="545">
        <v>20.666666666666664</v>
      </c>
      <c r="D1451" s="545">
        <v>17.666666666666664</v>
      </c>
      <c r="E1451" s="545">
        <v>12.333333333333332</v>
      </c>
      <c r="F1451" s="545">
        <v>19.047619047619044</v>
      </c>
      <c r="G1451" s="545">
        <v>11.15</v>
      </c>
      <c r="H1451" s="545">
        <v>7</v>
      </c>
      <c r="I1451" s="545">
        <v>5.333333333333333</v>
      </c>
      <c r="J1451" s="545">
        <v>9.7261904761904763</v>
      </c>
    </row>
    <row r="1452" spans="1:10">
      <c r="A1452" s="441">
        <v>2040</v>
      </c>
      <c r="B1452" s="441" t="s">
        <v>2290</v>
      </c>
      <c r="C1452" s="545">
        <v>26.166666666666664</v>
      </c>
      <c r="D1452" s="545">
        <v>14.333333333333334</v>
      </c>
      <c r="E1452" s="545">
        <v>13.666666666666666</v>
      </c>
      <c r="F1452" s="545">
        <v>22.690476190476186</v>
      </c>
      <c r="G1452" s="545">
        <v>12.55</v>
      </c>
      <c r="H1452" s="545">
        <v>8.6666666666666661</v>
      </c>
      <c r="I1452" s="545">
        <v>8</v>
      </c>
      <c r="J1452" s="545">
        <v>11.345238095238097</v>
      </c>
    </row>
    <row r="1453" spans="1:10">
      <c r="A1453" s="441">
        <v>2022</v>
      </c>
      <c r="B1453" s="441" t="s">
        <v>2291</v>
      </c>
      <c r="C1453" s="545">
        <v>20.5</v>
      </c>
      <c r="D1453" s="545">
        <v>15.333333333333334</v>
      </c>
      <c r="E1453" s="545">
        <v>8</v>
      </c>
      <c r="F1453" s="545">
        <v>17.976190476190474</v>
      </c>
      <c r="G1453" s="545">
        <v>46.7</v>
      </c>
      <c r="H1453" s="545">
        <v>15.333333333333334</v>
      </c>
      <c r="I1453" s="545">
        <v>11.333333333333334</v>
      </c>
      <c r="J1453" s="545">
        <v>37.166666666666671</v>
      </c>
    </row>
    <row r="1454" spans="1:10">
      <c r="A1454" s="441">
        <v>2042</v>
      </c>
      <c r="B1454" s="441" t="s">
        <v>2291</v>
      </c>
      <c r="C1454" s="545">
        <v>23.5</v>
      </c>
      <c r="D1454" s="545">
        <v>15</v>
      </c>
      <c r="E1454" s="545">
        <v>10.333333333333332</v>
      </c>
      <c r="F1454" s="545">
        <v>20.404761904761905</v>
      </c>
      <c r="G1454" s="545">
        <v>16.5</v>
      </c>
      <c r="H1454" s="545">
        <v>14</v>
      </c>
      <c r="I1454" s="545">
        <v>10</v>
      </c>
      <c r="J1454" s="545">
        <v>15.214285714285714</v>
      </c>
    </row>
    <row r="1455" spans="1:10">
      <c r="A1455" s="441">
        <v>11354</v>
      </c>
      <c r="B1455" s="441" t="s">
        <v>2291</v>
      </c>
      <c r="C1455" s="545">
        <v>1.3333333333333333</v>
      </c>
      <c r="D1455" s="545">
        <v>1.6666666666666665</v>
      </c>
      <c r="E1455" s="545">
        <v>4.3333333333333339</v>
      </c>
      <c r="F1455" s="545">
        <v>1.8095238095238095</v>
      </c>
      <c r="G1455" s="545">
        <v>1.85</v>
      </c>
      <c r="H1455" s="545">
        <v>1.3333333333333333</v>
      </c>
      <c r="I1455" s="545">
        <v>0</v>
      </c>
      <c r="J1455" s="545">
        <v>1.5119047619047621</v>
      </c>
    </row>
    <row r="1456" spans="1:10">
      <c r="A1456" s="441">
        <v>2025</v>
      </c>
      <c r="B1456" s="441" t="s">
        <v>2292</v>
      </c>
      <c r="C1456" s="545">
        <v>8.6666666666666679</v>
      </c>
      <c r="D1456" s="545">
        <v>4.3333333333333339</v>
      </c>
      <c r="E1456" s="545">
        <v>1.3333333333333333</v>
      </c>
      <c r="F1456" s="545">
        <v>7.0000000000000018</v>
      </c>
      <c r="G1456" s="545">
        <v>6.85</v>
      </c>
      <c r="H1456" s="545">
        <v>6</v>
      </c>
      <c r="I1456" s="545">
        <v>11.666666666666666</v>
      </c>
      <c r="J1456" s="545">
        <v>7.4166666666666661</v>
      </c>
    </row>
    <row r="1457" spans="1:10">
      <c r="A1457" s="441">
        <v>2039</v>
      </c>
      <c r="B1457" s="441" t="s">
        <v>2292</v>
      </c>
      <c r="C1457" s="545">
        <v>5.5</v>
      </c>
      <c r="D1457" s="545">
        <v>5</v>
      </c>
      <c r="E1457" s="545">
        <v>3</v>
      </c>
      <c r="F1457" s="545">
        <v>5.0714285714285712</v>
      </c>
      <c r="G1457" s="545">
        <v>3.55</v>
      </c>
      <c r="H1457" s="545">
        <v>3</v>
      </c>
      <c r="I1457" s="545">
        <v>4</v>
      </c>
      <c r="J1457" s="545">
        <v>3.5357142857142856</v>
      </c>
    </row>
    <row r="1458" spans="1:10">
      <c r="A1458" s="441">
        <v>1858</v>
      </c>
      <c r="B1458" s="441" t="s">
        <v>2293</v>
      </c>
      <c r="C1458" s="545">
        <v>0.83333333333333337</v>
      </c>
      <c r="D1458" s="545">
        <v>0</v>
      </c>
      <c r="E1458" s="545">
        <v>0</v>
      </c>
      <c r="F1458" s="545">
        <v>0.59523809523809523</v>
      </c>
      <c r="G1458" s="545">
        <v>1</v>
      </c>
      <c r="H1458" s="545">
        <v>0</v>
      </c>
      <c r="I1458" s="545">
        <v>0.33333333333333331</v>
      </c>
      <c r="J1458" s="545">
        <v>0.76190476190476186</v>
      </c>
    </row>
    <row r="1459" spans="1:10">
      <c r="A1459" s="441">
        <v>180</v>
      </c>
      <c r="B1459" s="441" t="s">
        <v>2294</v>
      </c>
      <c r="C1459" s="545">
        <v>3.5</v>
      </c>
      <c r="D1459" s="545">
        <v>0.66666666666666663</v>
      </c>
      <c r="E1459" s="545">
        <v>1.3333333333333333</v>
      </c>
      <c r="F1459" s="545">
        <v>2.7857142857142856</v>
      </c>
      <c r="G1459" s="545">
        <v>0.65</v>
      </c>
      <c r="H1459" s="545">
        <v>0.66666666666666663</v>
      </c>
      <c r="I1459" s="545">
        <v>0.33333333333333331</v>
      </c>
      <c r="J1459" s="545">
        <v>0.6071428571428571</v>
      </c>
    </row>
    <row r="1460" spans="1:10">
      <c r="A1460" s="441">
        <v>1857</v>
      </c>
      <c r="B1460" s="441" t="s">
        <v>2294</v>
      </c>
      <c r="C1460" s="545">
        <v>6.5</v>
      </c>
      <c r="D1460" s="545">
        <v>4.6666666666666661</v>
      </c>
      <c r="E1460" s="545">
        <v>1.3333333333333333</v>
      </c>
      <c r="F1460" s="545">
        <v>5.5</v>
      </c>
      <c r="G1460" s="545">
        <v>3.85</v>
      </c>
      <c r="H1460" s="545">
        <v>4</v>
      </c>
      <c r="I1460" s="545">
        <v>0.66666666666666663</v>
      </c>
      <c r="J1460" s="545">
        <v>3.416666666666667</v>
      </c>
    </row>
    <row r="1461" spans="1:10">
      <c r="A1461" s="441">
        <v>4603</v>
      </c>
      <c r="B1461" s="441" t="s">
        <v>2295</v>
      </c>
      <c r="C1461" s="545">
        <v>46.5</v>
      </c>
      <c r="D1461" s="545">
        <v>25.333333333333336</v>
      </c>
      <c r="E1461" s="545">
        <v>16</v>
      </c>
      <c r="F1461" s="545">
        <v>39.119047619047613</v>
      </c>
      <c r="G1461" s="545">
        <v>22.35</v>
      </c>
      <c r="H1461" s="545">
        <v>15.666666666666666</v>
      </c>
      <c r="I1461" s="545">
        <v>12.666666666666666</v>
      </c>
      <c r="J1461" s="545">
        <v>20.011904761904763</v>
      </c>
    </row>
    <row r="1462" spans="1:10">
      <c r="A1462" s="441">
        <v>12089</v>
      </c>
      <c r="B1462" s="441" t="s">
        <v>2295</v>
      </c>
      <c r="C1462" s="545">
        <v>37</v>
      </c>
      <c r="D1462" s="545">
        <v>27</v>
      </c>
      <c r="E1462" s="545">
        <v>16.333333333333336</v>
      </c>
      <c r="F1462" s="545">
        <v>32.61904761904762</v>
      </c>
      <c r="G1462" s="545">
        <v>16.95</v>
      </c>
      <c r="H1462" s="545">
        <v>13.333333333333334</v>
      </c>
      <c r="I1462" s="545">
        <v>9.3333333333333339</v>
      </c>
      <c r="J1462" s="545">
        <v>15.345238095238093</v>
      </c>
    </row>
    <row r="1463" spans="1:10">
      <c r="A1463" s="441">
        <v>5288</v>
      </c>
      <c r="B1463" s="441" t="s">
        <v>2296</v>
      </c>
      <c r="C1463" s="545">
        <v>4.5</v>
      </c>
      <c r="D1463" s="545">
        <v>2.666666666666667</v>
      </c>
      <c r="E1463" s="545">
        <v>1.3333333333333333</v>
      </c>
      <c r="F1463" s="545">
        <v>3.7857142857142856</v>
      </c>
      <c r="G1463" s="545">
        <v>4.95</v>
      </c>
      <c r="H1463" s="545">
        <v>1.6666666666666667</v>
      </c>
      <c r="I1463" s="545">
        <v>1.3333333333333333</v>
      </c>
      <c r="J1463" s="545">
        <v>3.9642857142857144</v>
      </c>
    </row>
    <row r="1464" spans="1:10">
      <c r="A1464" s="441">
        <v>5330</v>
      </c>
      <c r="B1464" s="441" t="s">
        <v>2296</v>
      </c>
      <c r="C1464" s="545">
        <v>3.1666666666666665</v>
      </c>
      <c r="D1464" s="545">
        <v>3</v>
      </c>
      <c r="E1464" s="545">
        <v>3.6666666666666665</v>
      </c>
      <c r="F1464" s="545">
        <v>3.2142857142857144</v>
      </c>
      <c r="G1464" s="545">
        <v>1.9</v>
      </c>
      <c r="H1464" s="545">
        <v>1.6666666666666667</v>
      </c>
      <c r="I1464" s="545">
        <v>0.33333333333333331</v>
      </c>
      <c r="J1464" s="545">
        <v>1.6428571428571428</v>
      </c>
    </row>
    <row r="1465" spans="1:10">
      <c r="A1465" s="441">
        <v>5291</v>
      </c>
      <c r="B1465" s="441" t="s">
        <v>2297</v>
      </c>
      <c r="C1465" s="545">
        <v>12</v>
      </c>
      <c r="D1465" s="545">
        <v>4.6666666666666661</v>
      </c>
      <c r="E1465" s="545">
        <v>1.6666666666666665</v>
      </c>
      <c r="F1465" s="545">
        <v>9.4761904761904781</v>
      </c>
      <c r="G1465" s="545">
        <v>7.8</v>
      </c>
      <c r="H1465" s="545">
        <v>2.6666666666666665</v>
      </c>
      <c r="I1465" s="545">
        <v>3</v>
      </c>
      <c r="J1465" s="545">
        <v>6.3809523809523805</v>
      </c>
    </row>
    <row r="1466" spans="1:10">
      <c r="A1466" s="441">
        <v>5292</v>
      </c>
      <c r="B1466" s="441" t="s">
        <v>2297</v>
      </c>
      <c r="C1466" s="545">
        <v>6.666666666666667</v>
      </c>
      <c r="D1466" s="545">
        <v>1.6666666666666665</v>
      </c>
      <c r="E1466" s="545">
        <v>0.33333333333333331</v>
      </c>
      <c r="F1466" s="545">
        <v>5.0476190476190483</v>
      </c>
      <c r="G1466" s="545">
        <v>3.45</v>
      </c>
      <c r="H1466" s="545">
        <v>2.6666666666666665</v>
      </c>
      <c r="I1466" s="545">
        <v>1.6666666666666667</v>
      </c>
      <c r="J1466" s="545">
        <v>3.0833333333333335</v>
      </c>
    </row>
    <row r="1467" spans="1:10">
      <c r="A1467" s="441">
        <v>5327</v>
      </c>
      <c r="B1467" s="441" t="s">
        <v>2297</v>
      </c>
      <c r="C1467" s="545">
        <v>8.3333333333333339</v>
      </c>
      <c r="D1467" s="545">
        <v>3.666666666666667</v>
      </c>
      <c r="E1467" s="545">
        <v>2.666666666666667</v>
      </c>
      <c r="F1467" s="545">
        <v>6.8571428571428568</v>
      </c>
      <c r="G1467" s="545">
        <v>7.75</v>
      </c>
      <c r="H1467" s="545">
        <v>3</v>
      </c>
      <c r="I1467" s="545">
        <v>2.6666666666666665</v>
      </c>
      <c r="J1467" s="545">
        <v>6.3452380952380949</v>
      </c>
    </row>
    <row r="1468" spans="1:10">
      <c r="A1468" s="441">
        <v>4598</v>
      </c>
      <c r="B1468" s="441" t="s">
        <v>2298</v>
      </c>
      <c r="C1468" s="545">
        <v>2.333333333333333</v>
      </c>
      <c r="D1468" s="545">
        <v>1.3333333333333333</v>
      </c>
      <c r="E1468" s="545">
        <v>0.66666666666666663</v>
      </c>
      <c r="F1468" s="545">
        <v>1.9523809523809521</v>
      </c>
      <c r="G1468" s="545">
        <v>1.95</v>
      </c>
      <c r="H1468" s="545">
        <v>0.66666666666666663</v>
      </c>
      <c r="I1468" s="545">
        <v>0.33333333333333331</v>
      </c>
      <c r="J1468" s="545">
        <v>1.5357142857142858</v>
      </c>
    </row>
    <row r="1469" spans="1:10">
      <c r="A1469" s="441">
        <v>4599</v>
      </c>
      <c r="B1469" s="441" t="s">
        <v>2298</v>
      </c>
      <c r="C1469" s="545">
        <v>2.1666666666666665</v>
      </c>
      <c r="D1469" s="545">
        <v>2.6666666666666665</v>
      </c>
      <c r="E1469" s="545">
        <v>0.33333333333333331</v>
      </c>
      <c r="F1469" s="545">
        <v>1.9761904761904761</v>
      </c>
      <c r="G1469" s="545">
        <v>0</v>
      </c>
      <c r="H1469" s="545">
        <v>0</v>
      </c>
      <c r="I1469" s="545">
        <v>0</v>
      </c>
      <c r="J1469" s="545">
        <v>0</v>
      </c>
    </row>
    <row r="1470" spans="1:10">
      <c r="A1470" s="441">
        <v>4600</v>
      </c>
      <c r="B1470" s="441" t="s">
        <v>2299</v>
      </c>
      <c r="C1470" s="545">
        <v>1.6666666666666665</v>
      </c>
      <c r="D1470" s="545">
        <v>0.33333333333333331</v>
      </c>
      <c r="E1470" s="545">
        <v>0.33333333333333331</v>
      </c>
      <c r="F1470" s="545">
        <v>1.2857142857142858</v>
      </c>
      <c r="G1470" s="545">
        <v>0.89473684210526316</v>
      </c>
      <c r="H1470" s="545">
        <v>0</v>
      </c>
      <c r="I1470" s="545">
        <v>0</v>
      </c>
      <c r="J1470" s="545">
        <v>0.63909774436090228</v>
      </c>
    </row>
    <row r="1471" spans="1:10">
      <c r="A1471" s="441">
        <v>4595</v>
      </c>
      <c r="B1471" s="441" t="s">
        <v>2300</v>
      </c>
      <c r="C1471" s="545">
        <v>4.166666666666667</v>
      </c>
      <c r="D1471" s="545">
        <v>0.66666666666666663</v>
      </c>
      <c r="E1471" s="545">
        <v>0.66666666666666663</v>
      </c>
      <c r="F1471" s="545">
        <v>3.1666666666666674</v>
      </c>
      <c r="G1471" s="545">
        <v>1</v>
      </c>
      <c r="H1471" s="545">
        <v>1</v>
      </c>
      <c r="I1471" s="545">
        <v>0.66666666666666663</v>
      </c>
      <c r="J1471" s="545">
        <v>0.95238095238095244</v>
      </c>
    </row>
    <row r="1472" spans="1:10">
      <c r="A1472" s="441">
        <v>5326</v>
      </c>
      <c r="B1472" s="441" t="s">
        <v>2301</v>
      </c>
      <c r="C1472" s="545">
        <v>6.1666666666666661</v>
      </c>
      <c r="D1472" s="545">
        <v>3.3333333333333335</v>
      </c>
      <c r="E1472" s="545">
        <v>1.3333333333333333</v>
      </c>
      <c r="F1472" s="545">
        <v>5.0714285714285712</v>
      </c>
      <c r="G1472" s="545">
        <v>6.2</v>
      </c>
      <c r="H1472" s="545">
        <v>4.333333333333333</v>
      </c>
      <c r="I1472" s="545">
        <v>0.33333333333333331</v>
      </c>
      <c r="J1472" s="545">
        <v>5.0952380952380958</v>
      </c>
    </row>
    <row r="1473" spans="1:10">
      <c r="A1473" s="441">
        <v>4597</v>
      </c>
      <c r="B1473" s="441" t="s">
        <v>2302</v>
      </c>
      <c r="C1473" s="545">
        <v>1.6666666666666665</v>
      </c>
      <c r="D1473" s="545">
        <v>0.33333333333333331</v>
      </c>
      <c r="E1473" s="545">
        <v>1</v>
      </c>
      <c r="F1473" s="545">
        <v>1.3809523809523809</v>
      </c>
      <c r="G1473" s="545">
        <v>0.85</v>
      </c>
      <c r="H1473" s="545">
        <v>0.66666666666666663</v>
      </c>
      <c r="I1473" s="545">
        <v>0</v>
      </c>
      <c r="J1473" s="545">
        <v>0.70238095238095244</v>
      </c>
    </row>
    <row r="1474" spans="1:10">
      <c r="A1474" s="441">
        <v>9972</v>
      </c>
      <c r="B1474" s="441" t="s">
        <v>2303</v>
      </c>
      <c r="C1474" s="545">
        <v>13</v>
      </c>
      <c r="D1474" s="545">
        <v>3.333333333333333</v>
      </c>
      <c r="E1474" s="545">
        <v>2.666666666666667</v>
      </c>
      <c r="F1474" s="545">
        <v>10.142857142857142</v>
      </c>
      <c r="G1474" s="545">
        <v>10.55</v>
      </c>
      <c r="H1474" s="545">
        <v>3</v>
      </c>
      <c r="I1474" s="545">
        <v>4.333333333333333</v>
      </c>
      <c r="J1474" s="545">
        <v>8.5833333333333339</v>
      </c>
    </row>
    <row r="1475" spans="1:10">
      <c r="A1475" s="441">
        <v>5290</v>
      </c>
      <c r="B1475" s="441" t="s">
        <v>2304</v>
      </c>
      <c r="C1475" s="545">
        <v>4.166666666666667</v>
      </c>
      <c r="D1475" s="545">
        <v>3.333333333333333</v>
      </c>
      <c r="E1475" s="545">
        <v>2</v>
      </c>
      <c r="F1475" s="545">
        <v>3.7380952380952381</v>
      </c>
      <c r="G1475" s="545">
        <v>3.2</v>
      </c>
      <c r="H1475" s="545">
        <v>1</v>
      </c>
      <c r="I1475" s="545">
        <v>1.3333333333333333</v>
      </c>
      <c r="J1475" s="545">
        <v>2.6190476190476191</v>
      </c>
    </row>
    <row r="1476" spans="1:10">
      <c r="A1476" s="441">
        <v>5328</v>
      </c>
      <c r="B1476" s="441" t="s">
        <v>2304</v>
      </c>
      <c r="C1476" s="545">
        <v>4.833333333333333</v>
      </c>
      <c r="D1476" s="545">
        <v>1</v>
      </c>
      <c r="E1476" s="545">
        <v>1.6666666666666667</v>
      </c>
      <c r="F1476" s="545">
        <v>3.833333333333333</v>
      </c>
      <c r="G1476" s="545">
        <v>0.85</v>
      </c>
      <c r="H1476" s="545">
        <v>2</v>
      </c>
      <c r="I1476" s="545">
        <v>1</v>
      </c>
      <c r="J1476" s="545">
        <v>1.0357142857142858</v>
      </c>
    </row>
    <row r="1477" spans="1:10">
      <c r="A1477" s="441">
        <v>4602</v>
      </c>
      <c r="B1477" s="441" t="s">
        <v>2305</v>
      </c>
      <c r="C1477" s="545">
        <v>4.166666666666667</v>
      </c>
      <c r="D1477" s="545">
        <v>0.33333333333333331</v>
      </c>
      <c r="E1477" s="545">
        <v>0.66666666666666663</v>
      </c>
      <c r="F1477" s="545">
        <v>3.1190476190476195</v>
      </c>
      <c r="G1477" s="545">
        <v>2.5499999999999998</v>
      </c>
      <c r="H1477" s="545">
        <v>0</v>
      </c>
      <c r="I1477" s="545">
        <v>0</v>
      </c>
      <c r="J1477" s="545">
        <v>1.8214285714285714</v>
      </c>
    </row>
    <row r="1478" spans="1:10">
      <c r="A1478" s="441">
        <v>4596</v>
      </c>
      <c r="B1478" s="441" t="s">
        <v>2306</v>
      </c>
      <c r="C1478" s="545">
        <v>1.3333333333333333</v>
      </c>
      <c r="D1478" s="545">
        <v>0</v>
      </c>
      <c r="E1478" s="545">
        <v>0</v>
      </c>
      <c r="F1478" s="545">
        <v>0.95238095238095233</v>
      </c>
      <c r="G1478" s="545">
        <v>0.2</v>
      </c>
      <c r="H1478" s="545">
        <v>1</v>
      </c>
      <c r="I1478" s="545">
        <v>0</v>
      </c>
      <c r="J1478" s="545">
        <v>0.2857142857142857</v>
      </c>
    </row>
    <row r="1479" spans="1:10">
      <c r="A1479" s="441">
        <v>4601</v>
      </c>
      <c r="B1479" s="441" t="s">
        <v>2306</v>
      </c>
      <c r="C1479" s="545">
        <v>1</v>
      </c>
      <c r="D1479" s="545">
        <v>0</v>
      </c>
      <c r="E1479" s="545">
        <v>0.66666666666666663</v>
      </c>
      <c r="F1479" s="545">
        <v>0.80952380952380953</v>
      </c>
      <c r="G1479" s="545">
        <v>1.05</v>
      </c>
      <c r="H1479" s="545">
        <v>1</v>
      </c>
      <c r="I1479" s="545">
        <v>0</v>
      </c>
      <c r="J1479" s="545">
        <v>0.8928571428571429</v>
      </c>
    </row>
    <row r="1480" spans="1:10">
      <c r="A1480" s="441">
        <v>5289</v>
      </c>
      <c r="B1480" s="441" t="s">
        <v>2307</v>
      </c>
      <c r="C1480" s="545">
        <v>6.5</v>
      </c>
      <c r="D1480" s="545">
        <v>1.6666666666666665</v>
      </c>
      <c r="E1480" s="545">
        <v>0.33333333333333331</v>
      </c>
      <c r="F1480" s="545">
        <v>4.9285714285714288</v>
      </c>
      <c r="G1480" s="545">
        <v>4.6500000000000004</v>
      </c>
      <c r="H1480" s="545">
        <v>1.6666666666666667</v>
      </c>
      <c r="I1480" s="545">
        <v>1</v>
      </c>
      <c r="J1480" s="545">
        <v>3.7023809523809526</v>
      </c>
    </row>
    <row r="1481" spans="1:10">
      <c r="A1481" s="441">
        <v>5329</v>
      </c>
      <c r="B1481" s="441" t="s">
        <v>2307</v>
      </c>
      <c r="C1481" s="545">
        <v>3.6666666666666665</v>
      </c>
      <c r="D1481" s="545">
        <v>0.33333333333333331</v>
      </c>
      <c r="E1481" s="545">
        <v>1</v>
      </c>
      <c r="F1481" s="545">
        <v>2.8095238095238093</v>
      </c>
      <c r="G1481" s="545">
        <v>2.4500000000000002</v>
      </c>
      <c r="H1481" s="545">
        <v>1.3333333333333333</v>
      </c>
      <c r="I1481" s="545">
        <v>0.66666666666666663</v>
      </c>
      <c r="J1481" s="545">
        <v>2.0357142857142856</v>
      </c>
    </row>
    <row r="1482" spans="1:10">
      <c r="A1482" s="441">
        <v>4593</v>
      </c>
      <c r="B1482" s="441" t="s">
        <v>2308</v>
      </c>
      <c r="C1482" s="545">
        <v>62.333333333333329</v>
      </c>
      <c r="D1482" s="545">
        <v>36.333333333333329</v>
      </c>
      <c r="E1482" s="545">
        <v>35.333333333333329</v>
      </c>
      <c r="F1482" s="545">
        <v>54.761904761904752</v>
      </c>
      <c r="G1482" s="545">
        <v>39.299999999999997</v>
      </c>
      <c r="H1482" s="545">
        <v>24.333333333333332</v>
      </c>
      <c r="I1482" s="545">
        <v>12.666666666666666</v>
      </c>
      <c r="J1482" s="545">
        <v>33.357142857142854</v>
      </c>
    </row>
    <row r="1483" spans="1:10">
      <c r="A1483" s="441">
        <v>4604</v>
      </c>
      <c r="B1483" s="441" t="s">
        <v>2308</v>
      </c>
      <c r="C1483" s="545">
        <v>63.166666666666664</v>
      </c>
      <c r="D1483" s="545">
        <v>32.333333333333329</v>
      </c>
      <c r="E1483" s="545">
        <v>29</v>
      </c>
      <c r="F1483" s="545">
        <v>53.880952380952372</v>
      </c>
      <c r="G1483" s="545">
        <v>27.1</v>
      </c>
      <c r="H1483" s="545">
        <v>24</v>
      </c>
      <c r="I1483" s="545">
        <v>14.333333333333334</v>
      </c>
      <c r="J1483" s="545">
        <v>24.833333333333336</v>
      </c>
    </row>
    <row r="1484" spans="1:10">
      <c r="A1484" s="441">
        <v>12777</v>
      </c>
      <c r="B1484" s="441" t="s">
        <v>2309</v>
      </c>
      <c r="C1484" s="545">
        <v>38.166666666666671</v>
      </c>
      <c r="D1484" s="545">
        <v>6.666666666666667</v>
      </c>
      <c r="E1484" s="545">
        <v>4.666666666666667</v>
      </c>
      <c r="F1484" s="545">
        <v>28.880952380952383</v>
      </c>
      <c r="G1484" s="545">
        <v>10.050000000000001</v>
      </c>
      <c r="H1484" s="545">
        <v>6.666666666666667</v>
      </c>
      <c r="I1484" s="545">
        <v>7.333333333333333</v>
      </c>
      <c r="J1484" s="545">
        <v>9.1785714285714288</v>
      </c>
    </row>
    <row r="1485" spans="1:10">
      <c r="A1485" s="441">
        <v>12771</v>
      </c>
      <c r="B1485" s="441" t="s">
        <v>2310</v>
      </c>
      <c r="C1485" s="545">
        <v>12</v>
      </c>
      <c r="D1485" s="545">
        <v>13</v>
      </c>
      <c r="E1485" s="545">
        <v>7</v>
      </c>
      <c r="F1485" s="545">
        <v>11.428571428571429</v>
      </c>
      <c r="G1485" s="545">
        <v>6.65</v>
      </c>
      <c r="H1485" s="545">
        <v>5.666666666666667</v>
      </c>
      <c r="I1485" s="545">
        <v>5.333333333333333</v>
      </c>
      <c r="J1485" s="545">
        <v>6.3214285714285712</v>
      </c>
    </row>
    <row r="1486" spans="1:10">
      <c r="A1486" s="441">
        <v>12772</v>
      </c>
      <c r="B1486" s="441" t="s">
        <v>2310</v>
      </c>
      <c r="C1486" s="545">
        <v>27.333333333333332</v>
      </c>
      <c r="D1486" s="545">
        <v>24.666666666666664</v>
      </c>
      <c r="E1486" s="545">
        <v>20.333333333333332</v>
      </c>
      <c r="F1486" s="545">
        <v>25.952380952380953</v>
      </c>
      <c r="G1486" s="545">
        <v>12.55</v>
      </c>
      <c r="H1486" s="545">
        <v>11.666666666666666</v>
      </c>
      <c r="I1486" s="545">
        <v>7.666666666666667</v>
      </c>
      <c r="J1486" s="545">
        <v>11.726190476190478</v>
      </c>
    </row>
    <row r="1487" spans="1:10">
      <c r="A1487" s="441">
        <v>429</v>
      </c>
      <c r="B1487" s="441" t="s">
        <v>2311</v>
      </c>
      <c r="C1487" s="545">
        <v>28.5</v>
      </c>
      <c r="D1487" s="545">
        <v>5.666666666666667</v>
      </c>
      <c r="E1487" s="545">
        <v>4.3333333333333339</v>
      </c>
      <c r="F1487" s="545">
        <v>21.785714285714285</v>
      </c>
      <c r="G1487" s="545">
        <v>13.2</v>
      </c>
      <c r="H1487" s="545">
        <v>4</v>
      </c>
      <c r="I1487" s="545">
        <v>3.3333333333333335</v>
      </c>
      <c r="J1487" s="545">
        <v>10.476190476190476</v>
      </c>
    </row>
    <row r="1488" spans="1:10">
      <c r="A1488" s="441">
        <v>11702</v>
      </c>
      <c r="B1488" s="441" t="s">
        <v>2312</v>
      </c>
      <c r="C1488" s="545">
        <v>21.5</v>
      </c>
      <c r="D1488" s="545">
        <v>11.333333333333334</v>
      </c>
      <c r="E1488" s="545">
        <v>13</v>
      </c>
      <c r="F1488" s="545">
        <v>18.833333333333332</v>
      </c>
      <c r="G1488" s="545">
        <v>28.45</v>
      </c>
      <c r="H1488" s="545">
        <v>14</v>
      </c>
      <c r="I1488" s="545">
        <v>11</v>
      </c>
      <c r="J1488" s="545">
        <v>23.892857142857142</v>
      </c>
    </row>
    <row r="1489" spans="1:10">
      <c r="A1489" s="441">
        <v>12176</v>
      </c>
      <c r="B1489" s="441" t="s">
        <v>2313</v>
      </c>
      <c r="C1489" s="545">
        <v>849.16666666666674</v>
      </c>
      <c r="D1489" s="545">
        <v>534.33333333333326</v>
      </c>
      <c r="E1489" s="545">
        <v>449</v>
      </c>
      <c r="F1489" s="545">
        <v>747.02380952380952</v>
      </c>
      <c r="G1489" s="545">
        <v>513.79999999999995</v>
      </c>
      <c r="H1489" s="545">
        <v>337.66666666666669</v>
      </c>
      <c r="I1489" s="545">
        <v>386</v>
      </c>
      <c r="J1489" s="545">
        <v>470.38095238095235</v>
      </c>
    </row>
    <row r="1490" spans="1:10">
      <c r="A1490" s="441">
        <v>811</v>
      </c>
      <c r="B1490" s="441" t="s">
        <v>2314</v>
      </c>
      <c r="C1490" s="545">
        <v>1271.1666666666665</v>
      </c>
      <c r="D1490" s="545">
        <v>1131</v>
      </c>
      <c r="E1490" s="545">
        <v>1059</v>
      </c>
      <c r="F1490" s="545">
        <v>1220.8333333333333</v>
      </c>
      <c r="G1490" s="545">
        <v>940.5</v>
      </c>
      <c r="H1490" s="545">
        <v>897.33333333333337</v>
      </c>
      <c r="I1490" s="545">
        <v>825.66666666666663</v>
      </c>
      <c r="J1490" s="545">
        <v>917.92857142857144</v>
      </c>
    </row>
    <row r="1491" spans="1:10">
      <c r="A1491" s="441">
        <v>11773</v>
      </c>
      <c r="B1491" s="441" t="s">
        <v>2315</v>
      </c>
      <c r="C1491" s="545">
        <v>76.166666666666671</v>
      </c>
      <c r="D1491" s="545">
        <v>65.666666666666657</v>
      </c>
      <c r="E1491" s="545">
        <v>57</v>
      </c>
      <c r="F1491" s="545">
        <v>71.928571428571431</v>
      </c>
      <c r="G1491" s="545">
        <v>43</v>
      </c>
      <c r="H1491" s="545">
        <v>34.333333333333336</v>
      </c>
      <c r="I1491" s="545">
        <v>40.333333333333336</v>
      </c>
      <c r="J1491" s="545">
        <v>41.380952380952387</v>
      </c>
    </row>
    <row r="1492" spans="1:10">
      <c r="A1492" s="441">
        <v>3893</v>
      </c>
      <c r="B1492" s="441" t="s">
        <v>2316</v>
      </c>
      <c r="C1492" s="545">
        <v>3.166666666666667</v>
      </c>
      <c r="D1492" s="545">
        <v>1.3333333333333333</v>
      </c>
      <c r="E1492" s="545">
        <v>2</v>
      </c>
      <c r="F1492" s="545">
        <v>2.7380952380952381</v>
      </c>
      <c r="G1492" s="545">
        <v>2.9</v>
      </c>
      <c r="H1492" s="545">
        <v>1.6666666666666667</v>
      </c>
      <c r="I1492" s="545">
        <v>1</v>
      </c>
      <c r="J1492" s="545">
        <v>2.4523809523809526</v>
      </c>
    </row>
    <row r="1493" spans="1:10">
      <c r="A1493" s="441">
        <v>3894</v>
      </c>
      <c r="B1493" s="441" t="s">
        <v>2317</v>
      </c>
      <c r="C1493" s="545">
        <v>38</v>
      </c>
      <c r="D1493" s="545">
        <v>21.333333333333336</v>
      </c>
      <c r="E1493" s="545">
        <v>10.666666666666666</v>
      </c>
      <c r="F1493" s="545">
        <v>31.714285714285715</v>
      </c>
      <c r="G1493" s="545">
        <v>14.5</v>
      </c>
      <c r="H1493" s="545">
        <v>5</v>
      </c>
      <c r="I1493" s="545">
        <v>4</v>
      </c>
      <c r="J1493" s="545">
        <v>11.642857142857142</v>
      </c>
    </row>
    <row r="1494" spans="1:10">
      <c r="A1494" s="441">
        <v>2937</v>
      </c>
      <c r="B1494" s="441" t="s">
        <v>2318</v>
      </c>
      <c r="C1494" s="545">
        <v>1.3333333333333333</v>
      </c>
      <c r="D1494" s="545">
        <v>1.6666666666666665</v>
      </c>
      <c r="E1494" s="545">
        <v>2</v>
      </c>
      <c r="F1494" s="545">
        <v>1.4761904761904761</v>
      </c>
      <c r="G1494" s="545">
        <v>2</v>
      </c>
      <c r="H1494" s="545">
        <v>0.66666666666666663</v>
      </c>
      <c r="I1494" s="545">
        <v>0</v>
      </c>
      <c r="J1494" s="545">
        <v>1.5238095238095237</v>
      </c>
    </row>
    <row r="1495" spans="1:10">
      <c r="A1495" s="441">
        <v>2933</v>
      </c>
      <c r="B1495" s="441" t="s">
        <v>2319</v>
      </c>
      <c r="C1495" s="545">
        <v>5</v>
      </c>
      <c r="D1495" s="545">
        <v>2.3333333333333335</v>
      </c>
      <c r="E1495" s="545">
        <v>1.6666666666666665</v>
      </c>
      <c r="F1495" s="545">
        <v>4.1428571428571432</v>
      </c>
      <c r="G1495" s="545">
        <v>2.5</v>
      </c>
      <c r="H1495" s="545">
        <v>1.3333333333333333</v>
      </c>
      <c r="I1495" s="545">
        <v>0.66666666666666663</v>
      </c>
      <c r="J1495" s="545">
        <v>2.0714285714285716</v>
      </c>
    </row>
    <row r="1496" spans="1:10">
      <c r="A1496" s="441">
        <v>2935</v>
      </c>
      <c r="B1496" s="441" t="s">
        <v>2320</v>
      </c>
      <c r="C1496" s="545">
        <v>1.1666666666666667</v>
      </c>
      <c r="D1496" s="545">
        <v>0.33333333333333331</v>
      </c>
      <c r="E1496" s="545">
        <v>1</v>
      </c>
      <c r="F1496" s="545">
        <v>1.0238095238095239</v>
      </c>
      <c r="G1496" s="545">
        <v>2.2999999999999998</v>
      </c>
      <c r="H1496" s="545">
        <v>0.66666666666666663</v>
      </c>
      <c r="I1496" s="545">
        <v>0.33333333333333331</v>
      </c>
      <c r="J1496" s="545">
        <v>1.7857142857142858</v>
      </c>
    </row>
    <row r="1497" spans="1:10">
      <c r="A1497" s="441">
        <v>2938</v>
      </c>
      <c r="B1497" s="441" t="s">
        <v>2321</v>
      </c>
      <c r="C1497" s="545">
        <v>1.6666666666666665</v>
      </c>
      <c r="D1497" s="545">
        <v>0</v>
      </c>
      <c r="E1497" s="545">
        <v>0.33333333333333331</v>
      </c>
      <c r="F1497" s="545">
        <v>1.2380952380952379</v>
      </c>
      <c r="G1497" s="545">
        <v>1.4</v>
      </c>
      <c r="H1497" s="545">
        <v>2</v>
      </c>
      <c r="I1497" s="545">
        <v>1.3333333333333333</v>
      </c>
      <c r="J1497" s="545">
        <v>1.4761904761904763</v>
      </c>
    </row>
    <row r="1498" spans="1:10">
      <c r="A1498" s="441">
        <v>2932</v>
      </c>
      <c r="B1498" s="441" t="s">
        <v>2322</v>
      </c>
      <c r="C1498" s="545">
        <v>1</v>
      </c>
      <c r="D1498" s="545">
        <v>2.3333333333333335</v>
      </c>
      <c r="E1498" s="545">
        <v>0</v>
      </c>
      <c r="F1498" s="545">
        <v>1.0476190476190477</v>
      </c>
      <c r="G1498" s="545">
        <v>0.8</v>
      </c>
      <c r="H1498" s="545">
        <v>0.33333333333333331</v>
      </c>
      <c r="I1498" s="545">
        <v>0.33333333333333331</v>
      </c>
      <c r="J1498" s="545">
        <v>0.66666666666666663</v>
      </c>
    </row>
    <row r="1499" spans="1:10">
      <c r="A1499" s="441">
        <v>2939</v>
      </c>
      <c r="B1499" s="441" t="s">
        <v>2323</v>
      </c>
      <c r="C1499" s="545">
        <v>1.5</v>
      </c>
      <c r="D1499" s="545">
        <v>3.3333333333333335</v>
      </c>
      <c r="E1499" s="545">
        <v>1.6666666666666665</v>
      </c>
      <c r="F1499" s="545">
        <v>1.7857142857142858</v>
      </c>
      <c r="G1499" s="545">
        <v>1.8</v>
      </c>
      <c r="H1499" s="545">
        <v>1</v>
      </c>
      <c r="I1499" s="545">
        <v>1</v>
      </c>
      <c r="J1499" s="545">
        <v>1.5714285714285714</v>
      </c>
    </row>
    <row r="1500" spans="1:10">
      <c r="A1500" s="441">
        <v>2936</v>
      </c>
      <c r="B1500" s="441" t="s">
        <v>2324</v>
      </c>
      <c r="C1500" s="545">
        <v>4.333333333333333</v>
      </c>
      <c r="D1500" s="545">
        <v>3.3333333333333335</v>
      </c>
      <c r="E1500" s="545">
        <v>3</v>
      </c>
      <c r="F1500" s="545">
        <v>3.9999999999999996</v>
      </c>
      <c r="G1500" s="545">
        <v>3.75</v>
      </c>
      <c r="H1500" s="545">
        <v>4.666666666666667</v>
      </c>
      <c r="I1500" s="545">
        <v>1.6666666666666667</v>
      </c>
      <c r="J1500" s="545">
        <v>3.5833333333333335</v>
      </c>
    </row>
    <row r="1501" spans="1:10">
      <c r="A1501" s="441">
        <v>2931</v>
      </c>
      <c r="B1501" s="441" t="s">
        <v>2325</v>
      </c>
      <c r="C1501" s="545">
        <v>5.833333333333333</v>
      </c>
      <c r="D1501" s="545">
        <v>2</v>
      </c>
      <c r="E1501" s="545">
        <v>3.666666666666667</v>
      </c>
      <c r="F1501" s="545">
        <v>4.9761904761904754</v>
      </c>
      <c r="G1501" s="545">
        <v>3.35</v>
      </c>
      <c r="H1501" s="545">
        <v>5</v>
      </c>
      <c r="I1501" s="545">
        <v>3.6666666666666665</v>
      </c>
      <c r="J1501" s="545">
        <v>3.6309523809523809</v>
      </c>
    </row>
    <row r="1502" spans="1:10">
      <c r="A1502" s="441">
        <v>2934</v>
      </c>
      <c r="B1502" s="441" t="s">
        <v>2326</v>
      </c>
      <c r="C1502" s="545">
        <v>2.6666666666666665</v>
      </c>
      <c r="D1502" s="545">
        <v>0.66666666666666663</v>
      </c>
      <c r="E1502" s="545">
        <v>0.33333333333333331</v>
      </c>
      <c r="F1502" s="545">
        <v>2.0476190476190474</v>
      </c>
      <c r="G1502" s="545">
        <v>7.9</v>
      </c>
      <c r="H1502" s="545">
        <v>0.66666666666666663</v>
      </c>
      <c r="I1502" s="545">
        <v>0</v>
      </c>
      <c r="J1502" s="545">
        <v>5.7380952380952381</v>
      </c>
    </row>
    <row r="1503" spans="1:10">
      <c r="A1503" s="441">
        <v>3885</v>
      </c>
      <c r="B1503" s="441" t="s">
        <v>2327</v>
      </c>
      <c r="C1503" s="545">
        <v>0.66666666666666663</v>
      </c>
      <c r="D1503" s="545">
        <v>0</v>
      </c>
      <c r="E1503" s="545">
        <v>0</v>
      </c>
      <c r="F1503" s="545">
        <v>0.47619047619047616</v>
      </c>
      <c r="G1503" s="545">
        <v>0.75</v>
      </c>
      <c r="H1503" s="545">
        <v>0.33333333333333331</v>
      </c>
      <c r="I1503" s="545">
        <v>0.33333333333333331</v>
      </c>
      <c r="J1503" s="545">
        <v>0.63095238095238082</v>
      </c>
    </row>
    <row r="1504" spans="1:10">
      <c r="A1504" s="441">
        <v>3888</v>
      </c>
      <c r="B1504" s="441" t="s">
        <v>2328</v>
      </c>
      <c r="C1504" s="545">
        <v>22.333333333333336</v>
      </c>
      <c r="D1504" s="545">
        <v>5</v>
      </c>
      <c r="E1504" s="545">
        <v>6</v>
      </c>
      <c r="F1504" s="545">
        <v>17.523809523809526</v>
      </c>
      <c r="G1504" s="545">
        <v>7.25</v>
      </c>
      <c r="H1504" s="545">
        <v>1</v>
      </c>
      <c r="I1504" s="545">
        <v>1.6666666666666667</v>
      </c>
      <c r="J1504" s="545">
        <v>5.5595238095238093</v>
      </c>
    </row>
    <row r="1505" spans="1:10">
      <c r="A1505" s="441">
        <v>3887</v>
      </c>
      <c r="B1505" s="441" t="s">
        <v>2329</v>
      </c>
      <c r="C1505" s="545">
        <v>3</v>
      </c>
      <c r="D1505" s="545">
        <v>0</v>
      </c>
      <c r="E1505" s="545">
        <v>0</v>
      </c>
      <c r="F1505" s="545">
        <v>2.1428571428571428</v>
      </c>
      <c r="G1505" s="545">
        <v>3.9</v>
      </c>
      <c r="H1505" s="545">
        <v>0.66666666666666663</v>
      </c>
      <c r="I1505" s="545">
        <v>1.3333333333333333</v>
      </c>
      <c r="J1505" s="545">
        <v>3.0714285714285716</v>
      </c>
    </row>
    <row r="1506" spans="1:10">
      <c r="A1506" s="441">
        <v>1888</v>
      </c>
      <c r="B1506" s="441" t="s">
        <v>2330</v>
      </c>
      <c r="C1506" s="545">
        <v>4.333333333333333</v>
      </c>
      <c r="D1506" s="545">
        <v>8.3333333333333321</v>
      </c>
      <c r="E1506" s="545">
        <v>3</v>
      </c>
      <c r="F1506" s="545">
        <v>4.7142857142857144</v>
      </c>
      <c r="G1506" s="545">
        <v>0.25</v>
      </c>
      <c r="H1506" s="545">
        <v>0</v>
      </c>
      <c r="I1506" s="545">
        <v>0</v>
      </c>
      <c r="J1506" s="545">
        <v>0.17857142857142858</v>
      </c>
    </row>
    <row r="1507" spans="1:10">
      <c r="A1507" s="441">
        <v>1893</v>
      </c>
      <c r="B1507" s="441" t="s">
        <v>2330</v>
      </c>
      <c r="C1507" s="545">
        <v>1.6666666666666665</v>
      </c>
      <c r="D1507" s="545">
        <v>8</v>
      </c>
      <c r="E1507" s="545">
        <v>2</v>
      </c>
      <c r="F1507" s="545">
        <v>2.6190476190476191</v>
      </c>
      <c r="G1507" s="545">
        <v>10.15</v>
      </c>
      <c r="H1507" s="545">
        <v>2.6666666666666665</v>
      </c>
      <c r="I1507" s="545">
        <v>5.333333333333333</v>
      </c>
      <c r="J1507" s="545">
        <v>8.3928571428571423</v>
      </c>
    </row>
    <row r="1508" spans="1:10">
      <c r="A1508" s="441">
        <v>1887</v>
      </c>
      <c r="B1508" s="441" t="s">
        <v>2331</v>
      </c>
      <c r="C1508" s="545">
        <v>5</v>
      </c>
      <c r="D1508" s="545">
        <v>7.666666666666667</v>
      </c>
      <c r="E1508" s="545">
        <v>4.6666666666666661</v>
      </c>
      <c r="F1508" s="545">
        <v>5.333333333333333</v>
      </c>
      <c r="G1508" s="545">
        <v>8.6</v>
      </c>
      <c r="H1508" s="545">
        <v>12</v>
      </c>
      <c r="I1508" s="545">
        <v>9.3333333333333339</v>
      </c>
      <c r="J1508" s="545">
        <v>9.1904761904761898</v>
      </c>
    </row>
    <row r="1509" spans="1:10">
      <c r="A1509" s="441">
        <v>1895</v>
      </c>
      <c r="B1509" s="441" t="s">
        <v>2331</v>
      </c>
      <c r="C1509" s="545">
        <v>6</v>
      </c>
      <c r="D1509" s="545">
        <v>8</v>
      </c>
      <c r="E1509" s="545">
        <v>3.333333333333333</v>
      </c>
      <c r="F1509" s="545">
        <v>5.9047619047619051</v>
      </c>
      <c r="G1509" s="545">
        <v>8.3333333333333329E-2</v>
      </c>
      <c r="H1509" s="545">
        <v>0</v>
      </c>
      <c r="I1509" s="545">
        <v>0</v>
      </c>
      <c r="J1509" s="545">
        <v>5.9523809523809521E-2</v>
      </c>
    </row>
    <row r="1510" spans="1:10">
      <c r="A1510" s="441">
        <v>3889</v>
      </c>
      <c r="B1510" s="441" t="s">
        <v>2332</v>
      </c>
      <c r="C1510" s="545">
        <v>29.666666666666664</v>
      </c>
      <c r="D1510" s="545">
        <v>15.666666666666668</v>
      </c>
      <c r="E1510" s="545">
        <v>10</v>
      </c>
      <c r="F1510" s="545">
        <v>24.857142857142854</v>
      </c>
      <c r="G1510" s="545">
        <v>14.15</v>
      </c>
      <c r="H1510" s="545">
        <v>4.333333333333333</v>
      </c>
      <c r="I1510" s="545">
        <v>11.333333333333334</v>
      </c>
      <c r="J1510" s="545">
        <v>12.345238095238093</v>
      </c>
    </row>
    <row r="1511" spans="1:10">
      <c r="A1511" s="441">
        <v>1894</v>
      </c>
      <c r="B1511" s="441" t="s">
        <v>2333</v>
      </c>
      <c r="C1511" s="545">
        <v>1.1666666666666667</v>
      </c>
      <c r="D1511" s="545">
        <v>0.66666666666666663</v>
      </c>
      <c r="E1511" s="545">
        <v>0.33333333333333331</v>
      </c>
      <c r="F1511" s="545">
        <v>0.97619047619047628</v>
      </c>
      <c r="G1511" s="545">
        <v>1.5</v>
      </c>
      <c r="H1511" s="545"/>
      <c r="I1511" s="545">
        <v>0</v>
      </c>
      <c r="J1511" s="545">
        <v>1.0714285714285714</v>
      </c>
    </row>
    <row r="1512" spans="1:10">
      <c r="A1512" s="441">
        <v>3890</v>
      </c>
      <c r="B1512" s="441" t="s">
        <v>2334</v>
      </c>
      <c r="C1512" s="545">
        <v>1</v>
      </c>
      <c r="D1512" s="545">
        <v>0.66666666666666663</v>
      </c>
      <c r="E1512" s="545">
        <v>0.66666666666666663</v>
      </c>
      <c r="F1512" s="545">
        <v>0.90476190476190488</v>
      </c>
      <c r="G1512" s="545">
        <v>0.8</v>
      </c>
      <c r="H1512" s="545">
        <v>0</v>
      </c>
      <c r="I1512" s="545">
        <v>1.3333333333333333</v>
      </c>
      <c r="J1512" s="545">
        <v>0.76190476190476186</v>
      </c>
    </row>
    <row r="1513" spans="1:10">
      <c r="A1513" s="441">
        <v>1889</v>
      </c>
      <c r="B1513" s="441" t="s">
        <v>2335</v>
      </c>
      <c r="C1513" s="545">
        <v>1.3333333333333333</v>
      </c>
      <c r="D1513" s="545">
        <v>3</v>
      </c>
      <c r="E1513" s="545">
        <v>2.6666666666666665</v>
      </c>
      <c r="F1513" s="545">
        <v>1.7619047619047616</v>
      </c>
      <c r="G1513" s="545">
        <v>0</v>
      </c>
      <c r="H1513" s="545">
        <v>0.66666666666666663</v>
      </c>
      <c r="I1513" s="545">
        <v>1</v>
      </c>
      <c r="J1513" s="545">
        <v>0.23809523809523808</v>
      </c>
    </row>
    <row r="1514" spans="1:10">
      <c r="A1514" s="441">
        <v>1892</v>
      </c>
      <c r="B1514" s="441" t="s">
        <v>2335</v>
      </c>
      <c r="C1514" s="545">
        <v>4.166666666666667</v>
      </c>
      <c r="D1514" s="545">
        <v>3.3333333333333335</v>
      </c>
      <c r="E1514" s="545">
        <v>2.3333333333333335</v>
      </c>
      <c r="F1514" s="545">
        <v>3.7857142857142856</v>
      </c>
      <c r="G1514" s="545">
        <v>0.35</v>
      </c>
      <c r="H1514" s="545">
        <v>0</v>
      </c>
      <c r="I1514" s="545">
        <v>0.33333333333333331</v>
      </c>
      <c r="J1514" s="545">
        <v>0.29761904761904762</v>
      </c>
    </row>
    <row r="1515" spans="1:10">
      <c r="A1515" s="441">
        <v>3886</v>
      </c>
      <c r="B1515" s="441" t="s">
        <v>2336</v>
      </c>
      <c r="C1515" s="545">
        <v>4.5</v>
      </c>
      <c r="D1515" s="545">
        <v>7</v>
      </c>
      <c r="E1515" s="545">
        <v>0</v>
      </c>
      <c r="F1515" s="545">
        <v>4.2142857142857144</v>
      </c>
      <c r="G1515" s="545">
        <v>0.5</v>
      </c>
      <c r="H1515" s="545">
        <v>0.33333333333333331</v>
      </c>
      <c r="I1515" s="545">
        <v>0</v>
      </c>
      <c r="J1515" s="545">
        <v>0.40476190476190477</v>
      </c>
    </row>
    <row r="1516" spans="1:10">
      <c r="A1516" s="441">
        <v>2346</v>
      </c>
      <c r="B1516" s="441" t="s">
        <v>2337</v>
      </c>
      <c r="C1516" s="545">
        <v>110.66666666666666</v>
      </c>
      <c r="D1516" s="545">
        <v>61.333333333333329</v>
      </c>
      <c r="E1516" s="545">
        <v>48.333333333333336</v>
      </c>
      <c r="F1516" s="545">
        <v>94.714285714285708</v>
      </c>
      <c r="G1516" s="545">
        <v>62.5</v>
      </c>
      <c r="H1516" s="545">
        <v>32.666666666666664</v>
      </c>
      <c r="I1516" s="545">
        <v>32</v>
      </c>
      <c r="J1516" s="545">
        <v>53.880952380952387</v>
      </c>
    </row>
    <row r="1517" spans="1:10">
      <c r="A1517" s="441">
        <v>12759</v>
      </c>
      <c r="B1517" s="441" t="s">
        <v>2338</v>
      </c>
      <c r="C1517" s="545">
        <v>22</v>
      </c>
      <c r="D1517" s="545">
        <v>10</v>
      </c>
      <c r="E1517" s="545">
        <v>7.3333333333333339</v>
      </c>
      <c r="F1517" s="545">
        <v>18.19047619047619</v>
      </c>
      <c r="G1517" s="545">
        <v>14</v>
      </c>
      <c r="H1517" s="545">
        <v>7</v>
      </c>
      <c r="I1517" s="545">
        <v>5.666666666666667</v>
      </c>
      <c r="J1517" s="545">
        <v>11.80952380952381</v>
      </c>
    </row>
    <row r="1518" spans="1:10">
      <c r="A1518" s="441">
        <v>12760</v>
      </c>
      <c r="B1518" s="441" t="s">
        <v>2338</v>
      </c>
      <c r="C1518" s="545">
        <v>27.333333333333336</v>
      </c>
      <c r="D1518" s="545">
        <v>18</v>
      </c>
      <c r="E1518" s="545">
        <v>16.333333333333332</v>
      </c>
      <c r="F1518" s="545">
        <v>24.428571428571434</v>
      </c>
      <c r="G1518" s="545">
        <v>16.8</v>
      </c>
      <c r="H1518" s="545">
        <v>10</v>
      </c>
      <c r="I1518" s="545">
        <v>4.666666666666667</v>
      </c>
      <c r="J1518" s="545">
        <v>14.095238095238097</v>
      </c>
    </row>
    <row r="1519" spans="1:10">
      <c r="A1519" s="441">
        <v>11217</v>
      </c>
      <c r="B1519" s="441" t="s">
        <v>2339</v>
      </c>
      <c r="C1519" s="545">
        <v>48.333333333333336</v>
      </c>
      <c r="D1519" s="545">
        <v>0</v>
      </c>
      <c r="E1519" s="545">
        <v>0</v>
      </c>
      <c r="F1519" s="545">
        <v>34.523809523809526</v>
      </c>
      <c r="G1519" s="545">
        <v>39.700000000000003</v>
      </c>
      <c r="H1519" s="545"/>
      <c r="I1519" s="545"/>
      <c r="J1519" s="545">
        <v>28.357142857142858</v>
      </c>
    </row>
    <row r="1520" spans="1:10">
      <c r="A1520" s="441">
        <v>11218</v>
      </c>
      <c r="B1520" s="441" t="s">
        <v>2339</v>
      </c>
      <c r="C1520" s="545">
        <v>54.833333333333336</v>
      </c>
      <c r="D1520" s="545">
        <v>0</v>
      </c>
      <c r="E1520" s="545">
        <v>0</v>
      </c>
      <c r="F1520" s="545">
        <v>39.166666666666671</v>
      </c>
      <c r="G1520" s="545">
        <v>46</v>
      </c>
      <c r="H1520" s="545"/>
      <c r="I1520" s="545"/>
      <c r="J1520" s="545">
        <v>32.857142857142854</v>
      </c>
    </row>
    <row r="1521" spans="1:10">
      <c r="A1521" s="441">
        <v>11779</v>
      </c>
      <c r="B1521" s="441" t="s">
        <v>2340</v>
      </c>
      <c r="C1521" s="545">
        <v>43.833333333333329</v>
      </c>
      <c r="D1521" s="545">
        <v>8</v>
      </c>
      <c r="E1521" s="545">
        <v>4</v>
      </c>
      <c r="F1521" s="545">
        <v>33.023809523809518</v>
      </c>
      <c r="G1521" s="545">
        <v>34.049999999999997</v>
      </c>
      <c r="H1521" s="545">
        <v>0.33333333333333331</v>
      </c>
      <c r="I1521" s="545">
        <v>0.66666666666666663</v>
      </c>
      <c r="J1521" s="545">
        <v>24.464285714285715</v>
      </c>
    </row>
    <row r="1522" spans="1:10">
      <c r="A1522" s="441">
        <v>11780</v>
      </c>
      <c r="B1522" s="441" t="s">
        <v>2340</v>
      </c>
      <c r="C1522" s="545">
        <v>38</v>
      </c>
      <c r="D1522" s="545">
        <v>7.6666666666666661</v>
      </c>
      <c r="E1522" s="545">
        <v>4.666666666666667</v>
      </c>
      <c r="F1522" s="545">
        <v>28.904761904761902</v>
      </c>
      <c r="G1522" s="545">
        <v>38.9</v>
      </c>
      <c r="H1522" s="545">
        <v>2.3333333333333335</v>
      </c>
      <c r="I1522" s="545">
        <v>0.66666666666666663</v>
      </c>
      <c r="J1522" s="545">
        <v>28.214285714285715</v>
      </c>
    </row>
    <row r="1523" spans="1:10">
      <c r="A1523" s="441">
        <v>9396</v>
      </c>
      <c r="B1523" s="441" t="s">
        <v>2341</v>
      </c>
      <c r="C1523" s="545">
        <v>53</v>
      </c>
      <c r="D1523" s="545">
        <v>11.333333333333334</v>
      </c>
      <c r="E1523" s="545">
        <v>6.333333333333333</v>
      </c>
      <c r="F1523" s="545">
        <v>40.380952380952372</v>
      </c>
      <c r="G1523" s="545">
        <v>98.35</v>
      </c>
      <c r="H1523" s="545">
        <v>8</v>
      </c>
      <c r="I1523" s="545">
        <v>3</v>
      </c>
      <c r="J1523" s="545">
        <v>71.821428571428569</v>
      </c>
    </row>
    <row r="1524" spans="1:10">
      <c r="A1524" s="441">
        <v>9402</v>
      </c>
      <c r="B1524" s="441" t="s">
        <v>2341</v>
      </c>
      <c r="C1524" s="545">
        <v>73.833333333333329</v>
      </c>
      <c r="D1524" s="545">
        <v>11.666666666666668</v>
      </c>
      <c r="E1524" s="545">
        <v>10.333333333333334</v>
      </c>
      <c r="F1524" s="545">
        <v>55.880952380952372</v>
      </c>
      <c r="G1524" s="545">
        <v>79.25</v>
      </c>
      <c r="H1524" s="545">
        <v>6.666666666666667</v>
      </c>
      <c r="I1524" s="545">
        <v>7</v>
      </c>
      <c r="J1524" s="545">
        <v>58.55952380952381</v>
      </c>
    </row>
    <row r="1525" spans="1:10">
      <c r="A1525" s="441">
        <v>9398</v>
      </c>
      <c r="B1525" s="441" t="s">
        <v>2342</v>
      </c>
      <c r="C1525" s="545">
        <v>62</v>
      </c>
      <c r="D1525" s="545">
        <v>23</v>
      </c>
      <c r="E1525" s="545">
        <v>13.333333333333332</v>
      </c>
      <c r="F1525" s="545">
        <v>49.476190476190474</v>
      </c>
      <c r="G1525" s="545">
        <v>130</v>
      </c>
      <c r="H1525" s="545">
        <v>11.333333333333334</v>
      </c>
      <c r="I1525" s="545">
        <v>6.333333333333333</v>
      </c>
      <c r="J1525" s="545">
        <v>95.380952380952394</v>
      </c>
    </row>
    <row r="1526" spans="1:10">
      <c r="A1526" s="441">
        <v>9401</v>
      </c>
      <c r="B1526" s="441" t="s">
        <v>2342</v>
      </c>
      <c r="C1526" s="545">
        <v>145</v>
      </c>
      <c r="D1526" s="545">
        <v>55</v>
      </c>
      <c r="E1526" s="545">
        <v>49</v>
      </c>
      <c r="F1526" s="545">
        <v>118.42857142857143</v>
      </c>
      <c r="G1526" s="545">
        <v>181.1</v>
      </c>
      <c r="H1526" s="545">
        <v>44.666666666666664</v>
      </c>
      <c r="I1526" s="545">
        <v>43.333333333333336</v>
      </c>
      <c r="J1526" s="545">
        <v>141.92857142857142</v>
      </c>
    </row>
    <row r="1527" spans="1:10">
      <c r="A1527" s="441">
        <v>9948</v>
      </c>
      <c r="B1527" s="441" t="s">
        <v>2343</v>
      </c>
      <c r="C1527" s="545">
        <v>232.66666666666669</v>
      </c>
      <c r="D1527" s="545">
        <v>6.3333333333333339</v>
      </c>
      <c r="E1527" s="545">
        <v>6.3333333333333339</v>
      </c>
      <c r="F1527" s="545">
        <v>168</v>
      </c>
      <c r="G1527" s="545">
        <v>164.6</v>
      </c>
      <c r="H1527" s="545">
        <v>5.666666666666667</v>
      </c>
      <c r="I1527" s="545">
        <v>3.3333333333333335</v>
      </c>
      <c r="J1527" s="545">
        <v>118.85714285714286</v>
      </c>
    </row>
    <row r="1528" spans="1:10">
      <c r="A1528" s="441">
        <v>10511</v>
      </c>
      <c r="B1528" s="441" t="s">
        <v>2343</v>
      </c>
      <c r="C1528" s="545">
        <v>136.16666666666666</v>
      </c>
      <c r="D1528" s="545">
        <v>0</v>
      </c>
      <c r="E1528" s="545">
        <v>0</v>
      </c>
      <c r="F1528" s="545">
        <v>97.261904761904745</v>
      </c>
      <c r="G1528" s="545">
        <v>117.05</v>
      </c>
      <c r="H1528" s="545"/>
      <c r="I1528" s="545"/>
      <c r="J1528" s="545">
        <v>83.607142857142861</v>
      </c>
    </row>
    <row r="1529" spans="1:10">
      <c r="A1529" s="441">
        <v>9397</v>
      </c>
      <c r="B1529" s="441" t="s">
        <v>2344</v>
      </c>
      <c r="C1529" s="545">
        <v>96.5</v>
      </c>
      <c r="D1529" s="545">
        <v>32.333333333333336</v>
      </c>
      <c r="E1529" s="545">
        <v>35</v>
      </c>
      <c r="F1529" s="545">
        <v>78.547619047619051</v>
      </c>
      <c r="G1529" s="545">
        <v>183.5</v>
      </c>
      <c r="H1529" s="545">
        <v>42</v>
      </c>
      <c r="I1529" s="545">
        <v>33.666666666666664</v>
      </c>
      <c r="J1529" s="545">
        <v>141.88095238095238</v>
      </c>
    </row>
    <row r="1530" spans="1:10">
      <c r="A1530" s="441">
        <v>12900</v>
      </c>
      <c r="B1530" s="441" t="s">
        <v>2345</v>
      </c>
      <c r="C1530" s="545">
        <v>7.666666666666667</v>
      </c>
      <c r="D1530" s="545">
        <v>1.6666666666666665</v>
      </c>
      <c r="E1530" s="545">
        <v>2.3333333333333335</v>
      </c>
      <c r="F1530" s="545">
        <v>6.0476190476190483</v>
      </c>
      <c r="G1530" s="545">
        <v>3.65</v>
      </c>
      <c r="H1530" s="545">
        <v>0.33333333333333331</v>
      </c>
      <c r="I1530" s="545">
        <v>0</v>
      </c>
      <c r="J1530" s="545">
        <v>2.6547619047619047</v>
      </c>
    </row>
    <row r="1531" spans="1:10">
      <c r="A1531" s="441">
        <v>12901</v>
      </c>
      <c r="B1531" s="441" t="s">
        <v>2345</v>
      </c>
      <c r="C1531" s="545">
        <v>12</v>
      </c>
      <c r="D1531" s="545">
        <v>2.6666666666666665</v>
      </c>
      <c r="E1531" s="545">
        <v>2.6666666666666665</v>
      </c>
      <c r="F1531" s="545">
        <v>9.3333333333333321</v>
      </c>
      <c r="G1531" s="545">
        <v>19.899999999999999</v>
      </c>
      <c r="H1531" s="545">
        <v>1.6666666666666667</v>
      </c>
      <c r="I1531" s="545">
        <v>3.3333333333333335</v>
      </c>
      <c r="J1531" s="545">
        <v>14.928571428571429</v>
      </c>
    </row>
    <row r="1532" spans="1:10">
      <c r="A1532" s="441">
        <v>12175</v>
      </c>
      <c r="B1532" s="441" t="s">
        <v>2346</v>
      </c>
      <c r="C1532" s="545">
        <v>0.33333333333333331</v>
      </c>
      <c r="D1532" s="545">
        <v>0</v>
      </c>
      <c r="E1532" s="545">
        <v>0</v>
      </c>
      <c r="F1532" s="545">
        <v>0.23809523809523808</v>
      </c>
      <c r="G1532" s="545">
        <v>0.55000000000000004</v>
      </c>
      <c r="H1532" s="545">
        <v>0.33333333333333331</v>
      </c>
      <c r="I1532" s="545">
        <v>0.66666666666666663</v>
      </c>
      <c r="J1532" s="545">
        <v>0.5357142857142857</v>
      </c>
    </row>
    <row r="1533" spans="1:10">
      <c r="A1533" s="441">
        <v>9395</v>
      </c>
      <c r="B1533" s="441" t="s">
        <v>2347</v>
      </c>
      <c r="C1533" s="545">
        <v>21.5</v>
      </c>
      <c r="D1533" s="545">
        <v>1.6666666666666667</v>
      </c>
      <c r="E1533" s="545">
        <v>1.3333333333333333</v>
      </c>
      <c r="F1533" s="545">
        <v>15.785714285714286</v>
      </c>
      <c r="G1533" s="545">
        <v>47.9</v>
      </c>
      <c r="H1533" s="545">
        <v>2.3333333333333335</v>
      </c>
      <c r="I1533" s="545">
        <v>2.3333333333333335</v>
      </c>
      <c r="J1533" s="545">
        <v>34.880952380952387</v>
      </c>
    </row>
    <row r="1534" spans="1:10">
      <c r="A1534" s="441">
        <v>11781</v>
      </c>
      <c r="B1534" s="441" t="s">
        <v>2347</v>
      </c>
      <c r="C1534" s="545">
        <v>26.5</v>
      </c>
      <c r="D1534" s="545">
        <v>4.3333333333333339</v>
      </c>
      <c r="E1534" s="545">
        <v>1.6666666666666665</v>
      </c>
      <c r="F1534" s="545">
        <v>19.785714285714285</v>
      </c>
      <c r="G1534" s="545">
        <v>34.4</v>
      </c>
      <c r="H1534" s="545">
        <v>4</v>
      </c>
      <c r="I1534" s="545">
        <v>4.666666666666667</v>
      </c>
      <c r="J1534" s="545">
        <v>25.809523809523807</v>
      </c>
    </row>
    <row r="1535" spans="1:10">
      <c r="A1535" s="441">
        <v>11795</v>
      </c>
      <c r="B1535" s="441" t="s">
        <v>2347</v>
      </c>
      <c r="C1535" s="545">
        <v>28.5</v>
      </c>
      <c r="D1535" s="545">
        <v>11.666666666666666</v>
      </c>
      <c r="E1535" s="545">
        <v>7</v>
      </c>
      <c r="F1535" s="545">
        <v>23.023809523809522</v>
      </c>
      <c r="G1535" s="545">
        <v>37.5</v>
      </c>
      <c r="H1535" s="545">
        <v>5.333333333333333</v>
      </c>
      <c r="I1535" s="545">
        <v>3.3333333333333335</v>
      </c>
      <c r="J1535" s="545">
        <v>28.023809523809526</v>
      </c>
    </row>
    <row r="1536" spans="1:10">
      <c r="A1536" s="441">
        <v>11777</v>
      </c>
      <c r="B1536" s="441" t="s">
        <v>2348</v>
      </c>
      <c r="C1536" s="545">
        <v>7</v>
      </c>
      <c r="D1536" s="545">
        <v>0.66666666666666663</v>
      </c>
      <c r="E1536" s="545">
        <v>0.66666666666666663</v>
      </c>
      <c r="F1536" s="545">
        <v>5.1904761904761898</v>
      </c>
      <c r="G1536" s="545">
        <v>19.2</v>
      </c>
      <c r="H1536" s="545">
        <v>1</v>
      </c>
      <c r="I1536" s="545">
        <v>2</v>
      </c>
      <c r="J1536" s="545">
        <v>14.142857142857142</v>
      </c>
    </row>
    <row r="1537" spans="1:10">
      <c r="A1537" s="441">
        <v>11778</v>
      </c>
      <c r="B1537" s="441" t="s">
        <v>2348</v>
      </c>
      <c r="C1537" s="545">
        <v>2.166666666666667</v>
      </c>
      <c r="D1537" s="545">
        <v>1.6666666666666665</v>
      </c>
      <c r="E1537" s="545">
        <v>0</v>
      </c>
      <c r="F1537" s="545">
        <v>1.785714285714286</v>
      </c>
      <c r="G1537" s="545">
        <v>19.75</v>
      </c>
      <c r="H1537" s="545">
        <v>0.33333333333333331</v>
      </c>
      <c r="I1537" s="545">
        <v>1.3333333333333333</v>
      </c>
      <c r="J1537" s="545">
        <v>14.345238095238093</v>
      </c>
    </row>
    <row r="1538" spans="1:10">
      <c r="A1538" s="441">
        <v>9827</v>
      </c>
      <c r="B1538" s="441" t="s">
        <v>2349</v>
      </c>
      <c r="C1538" s="545">
        <v>4</v>
      </c>
      <c r="D1538" s="545">
        <v>0.66666666666666663</v>
      </c>
      <c r="E1538" s="545">
        <v>0.66666666666666663</v>
      </c>
      <c r="F1538" s="545">
        <v>3.0476190476190479</v>
      </c>
      <c r="G1538" s="545">
        <v>1.55</v>
      </c>
      <c r="H1538" s="545">
        <v>2</v>
      </c>
      <c r="I1538" s="545">
        <v>1</v>
      </c>
      <c r="J1538" s="545">
        <v>1.5357142857142858</v>
      </c>
    </row>
    <row r="1539" spans="1:10">
      <c r="A1539" s="441">
        <v>9430</v>
      </c>
      <c r="B1539" s="441" t="s">
        <v>2350</v>
      </c>
      <c r="C1539" s="545">
        <v>12</v>
      </c>
      <c r="D1539" s="545">
        <v>6.3333333333333339</v>
      </c>
      <c r="E1539" s="545">
        <v>4</v>
      </c>
      <c r="F1539" s="545">
        <v>10.047619047619047</v>
      </c>
      <c r="G1539" s="545">
        <v>6.1</v>
      </c>
      <c r="H1539" s="545">
        <v>4</v>
      </c>
      <c r="I1539" s="545">
        <v>1.3333333333333333</v>
      </c>
      <c r="J1539" s="545">
        <v>5.1190476190476195</v>
      </c>
    </row>
    <row r="1540" spans="1:10">
      <c r="A1540" s="441">
        <v>9826</v>
      </c>
      <c r="B1540" s="441" t="s">
        <v>2350</v>
      </c>
      <c r="C1540" s="545">
        <v>12.166666666666666</v>
      </c>
      <c r="D1540" s="545">
        <v>10.666666666666668</v>
      </c>
      <c r="E1540" s="545">
        <v>6</v>
      </c>
      <c r="F1540" s="545">
        <v>11.071428571428571</v>
      </c>
      <c r="G1540" s="545">
        <v>5.85</v>
      </c>
      <c r="H1540" s="545">
        <v>5.333333333333333</v>
      </c>
      <c r="I1540" s="545">
        <v>5.333333333333333</v>
      </c>
      <c r="J1540" s="545">
        <v>5.7023809523809534</v>
      </c>
    </row>
    <row r="1541" spans="1:10">
      <c r="A1541" s="441">
        <v>1055</v>
      </c>
      <c r="B1541" s="441" t="s">
        <v>2351</v>
      </c>
      <c r="C1541" s="545">
        <v>15.5</v>
      </c>
      <c r="D1541" s="545">
        <v>6.6666666666666661</v>
      </c>
      <c r="E1541" s="545">
        <v>6.3333333333333339</v>
      </c>
      <c r="F1541" s="545">
        <v>12.928571428571429</v>
      </c>
      <c r="G1541" s="545">
        <v>14.4</v>
      </c>
      <c r="H1541" s="545">
        <v>4.333333333333333</v>
      </c>
      <c r="I1541" s="545">
        <v>4.666666666666667</v>
      </c>
      <c r="J1541" s="545">
        <v>11.571428571428571</v>
      </c>
    </row>
    <row r="1542" spans="1:10">
      <c r="A1542" s="441">
        <v>1057</v>
      </c>
      <c r="B1542" s="441" t="s">
        <v>2351</v>
      </c>
      <c r="C1542" s="545">
        <v>20.166666666666664</v>
      </c>
      <c r="D1542" s="545">
        <v>5.333333333333333</v>
      </c>
      <c r="E1542" s="545">
        <v>4.333333333333333</v>
      </c>
      <c r="F1542" s="545">
        <v>15.785714285714281</v>
      </c>
      <c r="G1542" s="545">
        <v>10.6</v>
      </c>
      <c r="H1542" s="545">
        <v>2.6666666666666665</v>
      </c>
      <c r="I1542" s="545">
        <v>7</v>
      </c>
      <c r="J1542" s="545">
        <v>8.9523809523809526</v>
      </c>
    </row>
    <row r="1543" spans="1:10">
      <c r="A1543" s="441">
        <v>1054</v>
      </c>
      <c r="B1543" s="441" t="s">
        <v>2352</v>
      </c>
      <c r="C1543" s="545">
        <v>25</v>
      </c>
      <c r="D1543" s="545">
        <v>10</v>
      </c>
      <c r="E1543" s="545">
        <v>7.6666666666666661</v>
      </c>
      <c r="F1543" s="545">
        <v>20.38095238095238</v>
      </c>
      <c r="G1543" s="545">
        <v>12.85</v>
      </c>
      <c r="H1543" s="545">
        <v>8.6666666666666661</v>
      </c>
      <c r="I1543" s="545">
        <v>8</v>
      </c>
      <c r="J1543" s="545">
        <v>11.55952380952381</v>
      </c>
    </row>
    <row r="1544" spans="1:10">
      <c r="A1544" s="441">
        <v>1058</v>
      </c>
      <c r="B1544" s="441" t="s">
        <v>2352</v>
      </c>
      <c r="C1544" s="545">
        <v>28.333333333333336</v>
      </c>
      <c r="D1544" s="545">
        <v>15</v>
      </c>
      <c r="E1544" s="545">
        <v>6.666666666666667</v>
      </c>
      <c r="F1544" s="545">
        <v>23.333333333333336</v>
      </c>
      <c r="G1544" s="545">
        <v>11.8</v>
      </c>
      <c r="H1544" s="545">
        <v>8</v>
      </c>
      <c r="I1544" s="545">
        <v>9.3333333333333339</v>
      </c>
      <c r="J1544" s="545">
        <v>10.904761904761903</v>
      </c>
    </row>
    <row r="1545" spans="1:10">
      <c r="A1545" s="441">
        <v>1052</v>
      </c>
      <c r="B1545" s="441" t="s">
        <v>2353</v>
      </c>
      <c r="C1545" s="545">
        <v>14.5</v>
      </c>
      <c r="D1545" s="545">
        <v>10.333333333333332</v>
      </c>
      <c r="E1545" s="545">
        <v>6.333333333333333</v>
      </c>
      <c r="F1545" s="545">
        <v>12.738095238095237</v>
      </c>
      <c r="G1545" s="545">
        <v>6.8</v>
      </c>
      <c r="H1545" s="545">
        <v>7</v>
      </c>
      <c r="I1545" s="545">
        <v>6.666666666666667</v>
      </c>
      <c r="J1545" s="545">
        <v>6.8095238095238093</v>
      </c>
    </row>
    <row r="1546" spans="1:10">
      <c r="A1546" s="441">
        <v>10201</v>
      </c>
      <c r="B1546" s="441" t="s">
        <v>2353</v>
      </c>
      <c r="C1546" s="545">
        <v>22.166666666666668</v>
      </c>
      <c r="D1546" s="545">
        <v>12.666666666666666</v>
      </c>
      <c r="E1546" s="545">
        <v>9</v>
      </c>
      <c r="F1546" s="545">
        <v>18.928571428571427</v>
      </c>
      <c r="G1546" s="545">
        <v>10.199999999999999</v>
      </c>
      <c r="H1546" s="545">
        <v>7.333333333333333</v>
      </c>
      <c r="I1546" s="545">
        <v>10.333333333333334</v>
      </c>
      <c r="J1546" s="545">
        <v>9.8095238095238102</v>
      </c>
    </row>
    <row r="1547" spans="1:10">
      <c r="A1547" s="441">
        <v>1051</v>
      </c>
      <c r="B1547" s="441" t="s">
        <v>2354</v>
      </c>
      <c r="C1547" s="545">
        <v>20.666666666666668</v>
      </c>
      <c r="D1547" s="545">
        <v>10.666666666666666</v>
      </c>
      <c r="E1547" s="545">
        <v>8.6666666666666661</v>
      </c>
      <c r="F1547" s="545">
        <v>17.523809523809526</v>
      </c>
      <c r="G1547" s="545">
        <v>14.5</v>
      </c>
      <c r="H1547" s="545">
        <v>9.6666666666666661</v>
      </c>
      <c r="I1547" s="545">
        <v>14.666666666666666</v>
      </c>
      <c r="J1547" s="545">
        <v>13.833333333333334</v>
      </c>
    </row>
    <row r="1548" spans="1:10">
      <c r="A1548" s="441">
        <v>9422</v>
      </c>
      <c r="B1548" s="441" t="s">
        <v>2355</v>
      </c>
      <c r="C1548" s="545">
        <v>15.666666666666668</v>
      </c>
      <c r="D1548" s="545">
        <v>11.666666666666668</v>
      </c>
      <c r="E1548" s="545">
        <v>9.3333333333333339</v>
      </c>
      <c r="F1548" s="545">
        <v>14.190476190476192</v>
      </c>
      <c r="G1548" s="545">
        <v>8.15</v>
      </c>
      <c r="H1548" s="545">
        <v>6</v>
      </c>
      <c r="I1548" s="545">
        <v>7.333333333333333</v>
      </c>
      <c r="J1548" s="545">
        <v>7.7261904761904763</v>
      </c>
    </row>
    <row r="1549" spans="1:10">
      <c r="A1549" s="441">
        <v>9414</v>
      </c>
      <c r="B1549" s="441" t="s">
        <v>2356</v>
      </c>
      <c r="C1549" s="545">
        <v>10.666666666666668</v>
      </c>
      <c r="D1549" s="545">
        <v>8.3333333333333321</v>
      </c>
      <c r="E1549" s="545">
        <v>6</v>
      </c>
      <c r="F1549" s="545">
        <v>9.6666666666666679</v>
      </c>
      <c r="G1549" s="545">
        <v>1.35</v>
      </c>
      <c r="H1549" s="545">
        <v>1</v>
      </c>
      <c r="I1549" s="545">
        <v>0.33333333333333331</v>
      </c>
      <c r="J1549" s="545">
        <v>1.1547619047619049</v>
      </c>
    </row>
    <row r="1550" spans="1:10">
      <c r="A1550" s="441">
        <v>9428</v>
      </c>
      <c r="B1550" s="441" t="s">
        <v>2356</v>
      </c>
      <c r="C1550" s="545">
        <v>7.6666666666666661</v>
      </c>
      <c r="D1550" s="545">
        <v>3.6666666666666665</v>
      </c>
      <c r="E1550" s="545">
        <v>2.666666666666667</v>
      </c>
      <c r="F1550" s="545">
        <v>6.3809523809523796</v>
      </c>
      <c r="G1550" s="545">
        <v>2.25</v>
      </c>
      <c r="H1550" s="545">
        <v>2</v>
      </c>
      <c r="I1550" s="545">
        <v>1.6666666666666667</v>
      </c>
      <c r="J1550" s="545">
        <v>2.1309523809523809</v>
      </c>
    </row>
    <row r="1551" spans="1:10">
      <c r="A1551" s="441">
        <v>9431</v>
      </c>
      <c r="B1551" s="441" t="s">
        <v>2357</v>
      </c>
      <c r="C1551" s="545">
        <v>87.333333333333329</v>
      </c>
      <c r="D1551" s="545">
        <v>68.333333333333343</v>
      </c>
      <c r="E1551" s="545">
        <v>59</v>
      </c>
      <c r="F1551" s="545">
        <v>80.571428571428569</v>
      </c>
      <c r="G1551" s="545">
        <v>53.6</v>
      </c>
      <c r="H1551" s="545">
        <v>34.333333333333336</v>
      </c>
      <c r="I1551" s="545">
        <v>46</v>
      </c>
      <c r="J1551" s="545">
        <v>49.761904761904759</v>
      </c>
    </row>
    <row r="1552" spans="1:10">
      <c r="A1552" s="441">
        <v>9825</v>
      </c>
      <c r="B1552" s="441" t="s">
        <v>2357</v>
      </c>
      <c r="C1552" s="545">
        <v>85.166666666666671</v>
      </c>
      <c r="D1552" s="545">
        <v>58.666666666666671</v>
      </c>
      <c r="E1552" s="545">
        <v>71.666666666666671</v>
      </c>
      <c r="F1552" s="545">
        <v>79.452380952380963</v>
      </c>
      <c r="G1552" s="545">
        <v>56.95</v>
      </c>
      <c r="H1552" s="545">
        <v>39.333333333333336</v>
      </c>
      <c r="I1552" s="545">
        <v>48.666666666666664</v>
      </c>
      <c r="J1552" s="545">
        <v>53.25</v>
      </c>
    </row>
    <row r="1553" spans="1:10">
      <c r="A1553" s="441">
        <v>1239</v>
      </c>
      <c r="B1553" s="441" t="s">
        <v>2358</v>
      </c>
      <c r="C1553" s="545">
        <v>20.666666666666664</v>
      </c>
      <c r="D1553" s="545">
        <v>14</v>
      </c>
      <c r="E1553" s="545">
        <v>8.3333333333333321</v>
      </c>
      <c r="F1553" s="545">
        <v>17.952380952380949</v>
      </c>
      <c r="G1553" s="545">
        <v>24.35</v>
      </c>
      <c r="H1553" s="545">
        <v>15</v>
      </c>
      <c r="I1553" s="545">
        <v>11</v>
      </c>
      <c r="J1553" s="545">
        <v>21.107142857142858</v>
      </c>
    </row>
    <row r="1554" spans="1:10">
      <c r="A1554" s="441">
        <v>1252</v>
      </c>
      <c r="B1554" s="441" t="s">
        <v>2359</v>
      </c>
      <c r="C1554" s="545">
        <v>48.5</v>
      </c>
      <c r="D1554" s="545">
        <v>21.666666666666668</v>
      </c>
      <c r="E1554" s="545">
        <v>21.666666666666664</v>
      </c>
      <c r="F1554" s="545">
        <v>40.833333333333336</v>
      </c>
      <c r="G1554" s="545">
        <v>17.55</v>
      </c>
      <c r="H1554" s="545">
        <v>9</v>
      </c>
      <c r="I1554" s="545">
        <v>9.3333333333333339</v>
      </c>
      <c r="J1554" s="545">
        <v>15.154761904761903</v>
      </c>
    </row>
    <row r="1555" spans="1:10">
      <c r="A1555" s="441">
        <v>1247</v>
      </c>
      <c r="B1555" s="441" t="s">
        <v>2360</v>
      </c>
      <c r="C1555" s="545">
        <v>24.5</v>
      </c>
      <c r="D1555" s="545">
        <v>11.333333333333332</v>
      </c>
      <c r="E1555" s="545">
        <v>9.3333333333333339</v>
      </c>
      <c r="F1555" s="545">
        <v>20.452380952380956</v>
      </c>
      <c r="G1555" s="545">
        <v>14</v>
      </c>
      <c r="H1555" s="545">
        <v>7.666666666666667</v>
      </c>
      <c r="I1555" s="545">
        <v>6.333333333333333</v>
      </c>
      <c r="J1555" s="545">
        <v>12</v>
      </c>
    </row>
    <row r="1556" spans="1:10">
      <c r="A1556" s="441">
        <v>9415</v>
      </c>
      <c r="B1556" s="441" t="s">
        <v>2361</v>
      </c>
      <c r="C1556" s="545">
        <v>18.666666666666664</v>
      </c>
      <c r="D1556" s="545">
        <v>3.333333333333333</v>
      </c>
      <c r="E1556" s="545">
        <v>4</v>
      </c>
      <c r="F1556" s="545">
        <v>14.380952380952378</v>
      </c>
      <c r="G1556" s="545">
        <v>10.199999999999999</v>
      </c>
      <c r="H1556" s="545">
        <v>3</v>
      </c>
      <c r="I1556" s="545">
        <v>4.333333333333333</v>
      </c>
      <c r="J1556" s="545">
        <v>8.3333333333333339</v>
      </c>
    </row>
    <row r="1557" spans="1:10">
      <c r="A1557" s="441">
        <v>9427</v>
      </c>
      <c r="B1557" s="441" t="s">
        <v>2361</v>
      </c>
      <c r="C1557" s="545">
        <v>15.666666666666668</v>
      </c>
      <c r="D1557" s="545">
        <v>6</v>
      </c>
      <c r="E1557" s="545">
        <v>5.333333333333333</v>
      </c>
      <c r="F1557" s="545">
        <v>12.80952380952381</v>
      </c>
      <c r="G1557" s="545">
        <v>9.4</v>
      </c>
      <c r="H1557" s="545">
        <v>4.333333333333333</v>
      </c>
      <c r="I1557" s="545">
        <v>4.666666666666667</v>
      </c>
      <c r="J1557" s="545">
        <v>8</v>
      </c>
    </row>
    <row r="1558" spans="1:10">
      <c r="A1558" s="441">
        <v>1053</v>
      </c>
      <c r="B1558" s="441" t="s">
        <v>2362</v>
      </c>
      <c r="C1558" s="545">
        <v>15.166666666666668</v>
      </c>
      <c r="D1558" s="545">
        <v>5</v>
      </c>
      <c r="E1558" s="545">
        <v>5.3333333333333339</v>
      </c>
      <c r="F1558" s="545">
        <v>12.30952380952381</v>
      </c>
      <c r="G1558" s="545">
        <v>7.3</v>
      </c>
      <c r="H1558" s="545">
        <v>3</v>
      </c>
      <c r="I1558" s="545">
        <v>8.3333333333333339</v>
      </c>
      <c r="J1558" s="545">
        <v>6.8333333333333339</v>
      </c>
    </row>
    <row r="1559" spans="1:10">
      <c r="A1559" s="441">
        <v>10451</v>
      </c>
      <c r="B1559" s="441" t="s">
        <v>2362</v>
      </c>
      <c r="C1559" s="545">
        <v>13.166666666666666</v>
      </c>
      <c r="D1559" s="545">
        <v>4.666666666666667</v>
      </c>
      <c r="E1559" s="545">
        <v>5.3333333333333339</v>
      </c>
      <c r="F1559" s="545">
        <v>10.833333333333332</v>
      </c>
      <c r="G1559" s="545">
        <v>6.95</v>
      </c>
      <c r="H1559" s="545">
        <v>3</v>
      </c>
      <c r="I1559" s="545">
        <v>4.333333333333333</v>
      </c>
      <c r="J1559" s="545">
        <v>6.0119047619047619</v>
      </c>
    </row>
    <row r="1560" spans="1:10">
      <c r="A1560" s="441">
        <v>1245</v>
      </c>
      <c r="B1560" s="441" t="s">
        <v>2363</v>
      </c>
      <c r="C1560" s="545">
        <v>46.833333333333336</v>
      </c>
      <c r="D1560" s="545">
        <v>24.666666666666668</v>
      </c>
      <c r="E1560" s="545">
        <v>18.333333333333332</v>
      </c>
      <c r="F1560" s="545">
        <v>39.595238095238095</v>
      </c>
      <c r="G1560" s="545">
        <v>19.600000000000001</v>
      </c>
      <c r="H1560" s="545">
        <v>10.666666666666666</v>
      </c>
      <c r="I1560" s="545">
        <v>13.333333333333334</v>
      </c>
      <c r="J1560" s="545">
        <v>17.428571428571427</v>
      </c>
    </row>
    <row r="1561" spans="1:10">
      <c r="A1561" s="441">
        <v>1251</v>
      </c>
      <c r="B1561" s="441" t="s">
        <v>2364</v>
      </c>
      <c r="C1561" s="545">
        <v>29.666666666666668</v>
      </c>
      <c r="D1561" s="545">
        <v>16.333333333333332</v>
      </c>
      <c r="E1561" s="545">
        <v>15.333333333333332</v>
      </c>
      <c r="F1561" s="545">
        <v>25.714285714285719</v>
      </c>
      <c r="G1561" s="545">
        <v>14.65</v>
      </c>
      <c r="H1561" s="545">
        <v>11</v>
      </c>
      <c r="I1561" s="545">
        <v>10</v>
      </c>
      <c r="J1561" s="545">
        <v>13.464285714285714</v>
      </c>
    </row>
    <row r="1562" spans="1:10">
      <c r="A1562" s="441">
        <v>9417</v>
      </c>
      <c r="B1562" s="441" t="s">
        <v>2365</v>
      </c>
      <c r="C1562" s="545">
        <v>7</v>
      </c>
      <c r="D1562" s="545">
        <v>2.666666666666667</v>
      </c>
      <c r="E1562" s="545">
        <v>2.666666666666667</v>
      </c>
      <c r="F1562" s="545">
        <v>5.761904761904761</v>
      </c>
      <c r="G1562" s="545">
        <v>11.25</v>
      </c>
      <c r="H1562" s="545">
        <v>3</v>
      </c>
      <c r="I1562" s="545">
        <v>6.666666666666667</v>
      </c>
      <c r="J1562" s="545">
        <v>9.4166666666666679</v>
      </c>
    </row>
    <row r="1563" spans="1:10">
      <c r="A1563" s="441">
        <v>9425</v>
      </c>
      <c r="B1563" s="441" t="s">
        <v>2365</v>
      </c>
      <c r="C1563" s="545">
        <v>5.833333333333333</v>
      </c>
      <c r="D1563" s="545">
        <v>4.333333333333333</v>
      </c>
      <c r="E1563" s="545">
        <v>1</v>
      </c>
      <c r="F1563" s="545">
        <v>4.9285714285714288</v>
      </c>
      <c r="G1563" s="545">
        <v>14.4</v>
      </c>
      <c r="H1563" s="545">
        <v>4.333333333333333</v>
      </c>
      <c r="I1563" s="545">
        <v>8</v>
      </c>
      <c r="J1563" s="545">
        <v>12.047619047619047</v>
      </c>
    </row>
    <row r="1564" spans="1:10">
      <c r="A1564" s="441">
        <v>9420</v>
      </c>
      <c r="B1564" s="441" t="s">
        <v>2366</v>
      </c>
      <c r="C1564" s="545">
        <v>17.833333333333336</v>
      </c>
      <c r="D1564" s="545">
        <v>12.666666666666666</v>
      </c>
      <c r="E1564" s="545">
        <v>14.666666666666666</v>
      </c>
      <c r="F1564" s="545">
        <v>16.642857142857146</v>
      </c>
      <c r="G1564" s="545">
        <v>11.8</v>
      </c>
      <c r="H1564" s="545">
        <v>8</v>
      </c>
      <c r="I1564" s="545">
        <v>8.6666666666666661</v>
      </c>
      <c r="J1564" s="545">
        <v>10.80952380952381</v>
      </c>
    </row>
    <row r="1565" spans="1:10">
      <c r="A1565" s="441">
        <v>9421</v>
      </c>
      <c r="B1565" s="441" t="s">
        <v>2367</v>
      </c>
      <c r="C1565" s="545">
        <v>20.666666666666668</v>
      </c>
      <c r="D1565" s="545">
        <v>19.666666666666668</v>
      </c>
      <c r="E1565" s="545">
        <v>14</v>
      </c>
      <c r="F1565" s="545">
        <v>19.571428571428573</v>
      </c>
      <c r="G1565" s="545">
        <v>10.45</v>
      </c>
      <c r="H1565" s="545">
        <v>7.666666666666667</v>
      </c>
      <c r="I1565" s="545">
        <v>5</v>
      </c>
      <c r="J1565" s="545">
        <v>9.2738095238095219</v>
      </c>
    </row>
    <row r="1566" spans="1:10">
      <c r="A1566" s="441">
        <v>1258</v>
      </c>
      <c r="B1566" s="441" t="s">
        <v>2368</v>
      </c>
      <c r="C1566" s="545">
        <v>26.833333333333336</v>
      </c>
      <c r="D1566" s="545">
        <v>22</v>
      </c>
      <c r="E1566" s="545">
        <v>12.666666666666666</v>
      </c>
      <c r="F1566" s="545">
        <v>24.11904761904762</v>
      </c>
      <c r="G1566" s="545">
        <v>22.65</v>
      </c>
      <c r="H1566" s="545">
        <v>19</v>
      </c>
      <c r="I1566" s="545">
        <v>18</v>
      </c>
      <c r="J1566" s="545">
        <v>21.464285714285715</v>
      </c>
    </row>
    <row r="1567" spans="1:10">
      <c r="A1567" s="441">
        <v>9418</v>
      </c>
      <c r="B1567" s="441" t="s">
        <v>2369</v>
      </c>
      <c r="C1567" s="545">
        <v>10.166666666666668</v>
      </c>
      <c r="D1567" s="545">
        <v>3.666666666666667</v>
      </c>
      <c r="E1567" s="545">
        <v>4.666666666666667</v>
      </c>
      <c r="F1567" s="545">
        <v>8.4523809523809526</v>
      </c>
      <c r="G1567" s="545">
        <v>8.1</v>
      </c>
      <c r="H1567" s="545">
        <v>2.3333333333333335</v>
      </c>
      <c r="I1567" s="545">
        <v>2.3333333333333335</v>
      </c>
      <c r="J1567" s="545">
        <v>6.4523809523809534</v>
      </c>
    </row>
    <row r="1568" spans="1:10">
      <c r="A1568" s="441">
        <v>9424</v>
      </c>
      <c r="B1568" s="441" t="s">
        <v>2369</v>
      </c>
      <c r="C1568" s="545">
        <v>13.833333333333334</v>
      </c>
      <c r="D1568" s="545">
        <v>3.333333333333333</v>
      </c>
      <c r="E1568" s="545">
        <v>2.3333333333333335</v>
      </c>
      <c r="F1568" s="545">
        <v>10.69047619047619</v>
      </c>
      <c r="G1568" s="545">
        <v>6.7</v>
      </c>
      <c r="H1568" s="545">
        <v>1.6666666666666667</v>
      </c>
      <c r="I1568" s="545">
        <v>1.3333333333333333</v>
      </c>
      <c r="J1568" s="545">
        <v>5.2142857142857144</v>
      </c>
    </row>
    <row r="1569" spans="1:10">
      <c r="A1569" s="441">
        <v>9419</v>
      </c>
      <c r="B1569" s="441" t="s">
        <v>2370</v>
      </c>
      <c r="C1569" s="545">
        <v>20.666666666666668</v>
      </c>
      <c r="D1569" s="545">
        <v>9.6666666666666679</v>
      </c>
      <c r="E1569" s="545">
        <v>10</v>
      </c>
      <c r="F1569" s="545">
        <v>17.571428571428573</v>
      </c>
      <c r="G1569" s="545">
        <v>11.3</v>
      </c>
      <c r="H1569" s="545">
        <v>6.333333333333333</v>
      </c>
      <c r="I1569" s="545">
        <v>9</v>
      </c>
      <c r="J1569" s="545">
        <v>10.261904761904763</v>
      </c>
    </row>
    <row r="1570" spans="1:10">
      <c r="A1570" s="441">
        <v>9423</v>
      </c>
      <c r="B1570" s="441" t="s">
        <v>2370</v>
      </c>
      <c r="C1570" s="545">
        <v>21.833333333333336</v>
      </c>
      <c r="D1570" s="545">
        <v>11</v>
      </c>
      <c r="E1570" s="545">
        <v>15</v>
      </c>
      <c r="F1570" s="545">
        <v>19.309523809523814</v>
      </c>
      <c r="G1570" s="545">
        <v>10.050000000000001</v>
      </c>
      <c r="H1570" s="545">
        <v>10.333333333333334</v>
      </c>
      <c r="I1570" s="545">
        <v>3</v>
      </c>
      <c r="J1570" s="545">
        <v>9.0833333333333339</v>
      </c>
    </row>
    <row r="1571" spans="1:10">
      <c r="A1571" s="441">
        <v>1243</v>
      </c>
      <c r="B1571" s="441" t="s">
        <v>2371</v>
      </c>
      <c r="C1571" s="545">
        <v>12.5</v>
      </c>
      <c r="D1571" s="545">
        <v>7.333333333333333</v>
      </c>
      <c r="E1571" s="545">
        <v>7</v>
      </c>
      <c r="F1571" s="545">
        <v>10.976190476190476</v>
      </c>
      <c r="G1571" s="545">
        <v>6.85</v>
      </c>
      <c r="H1571" s="545">
        <v>8</v>
      </c>
      <c r="I1571" s="545">
        <v>7</v>
      </c>
      <c r="J1571" s="545">
        <v>7.0357142857142856</v>
      </c>
    </row>
    <row r="1572" spans="1:10">
      <c r="A1572" s="441">
        <v>1254</v>
      </c>
      <c r="B1572" s="441" t="s">
        <v>2371</v>
      </c>
      <c r="C1572" s="545">
        <v>16.333333333333332</v>
      </c>
      <c r="D1572" s="545">
        <v>7</v>
      </c>
      <c r="E1572" s="545">
        <v>10.666666666666668</v>
      </c>
      <c r="F1572" s="545">
        <v>14.19047619047619</v>
      </c>
      <c r="G1572" s="545">
        <v>8.35</v>
      </c>
      <c r="H1572" s="545">
        <v>6.333333333333333</v>
      </c>
      <c r="I1572" s="545">
        <v>8</v>
      </c>
      <c r="J1572" s="545">
        <v>8.0119047619047628</v>
      </c>
    </row>
    <row r="1573" spans="1:10">
      <c r="A1573" s="441">
        <v>1244</v>
      </c>
      <c r="B1573" s="441" t="s">
        <v>2372</v>
      </c>
      <c r="C1573" s="545">
        <v>18</v>
      </c>
      <c r="D1573" s="545">
        <v>7.6666666666666661</v>
      </c>
      <c r="E1573" s="545">
        <v>10.333333333333332</v>
      </c>
      <c r="F1573" s="545">
        <v>15.428571428571429</v>
      </c>
      <c r="G1573" s="545">
        <v>8.8000000000000007</v>
      </c>
      <c r="H1573" s="545">
        <v>4.666666666666667</v>
      </c>
      <c r="I1573" s="545">
        <v>3</v>
      </c>
      <c r="J1573" s="545">
        <v>7.3809523809523805</v>
      </c>
    </row>
    <row r="1574" spans="1:10">
      <c r="A1574" s="441">
        <v>1253</v>
      </c>
      <c r="B1574" s="441" t="s">
        <v>2372</v>
      </c>
      <c r="C1574" s="545">
        <v>23.5</v>
      </c>
      <c r="D1574" s="545">
        <v>15.666666666666666</v>
      </c>
      <c r="E1574" s="545">
        <v>6.333333333333333</v>
      </c>
      <c r="F1574" s="545">
        <v>19.928571428571427</v>
      </c>
      <c r="G1574" s="545">
        <v>12.9</v>
      </c>
      <c r="H1574" s="545">
        <v>13.333333333333334</v>
      </c>
      <c r="I1574" s="545">
        <v>8.6666666666666661</v>
      </c>
      <c r="J1574" s="545">
        <v>12.357142857142858</v>
      </c>
    </row>
    <row r="1575" spans="1:10">
      <c r="A1575" s="441">
        <v>13051</v>
      </c>
      <c r="B1575" s="441" t="s">
        <v>2373</v>
      </c>
      <c r="C1575" s="545">
        <v>12.833333333333334</v>
      </c>
      <c r="D1575" s="545">
        <v>6.333333333333333</v>
      </c>
      <c r="E1575" s="545">
        <v>6.3333333333333339</v>
      </c>
      <c r="F1575" s="545">
        <v>10.976190476190476</v>
      </c>
      <c r="G1575" s="545">
        <v>5.75</v>
      </c>
      <c r="H1575" s="545">
        <v>4</v>
      </c>
      <c r="I1575" s="545">
        <v>5</v>
      </c>
      <c r="J1575" s="545">
        <v>5.3928571428571432</v>
      </c>
    </row>
    <row r="1576" spans="1:10">
      <c r="A1576" s="441">
        <v>1240</v>
      </c>
      <c r="B1576" s="441" t="s">
        <v>2374</v>
      </c>
      <c r="C1576" s="545">
        <v>28</v>
      </c>
      <c r="D1576" s="545">
        <v>25.666666666666668</v>
      </c>
      <c r="E1576" s="545">
        <v>19.333333333333332</v>
      </c>
      <c r="F1576" s="545">
        <v>26.428571428571427</v>
      </c>
      <c r="G1576" s="545">
        <v>16.3</v>
      </c>
      <c r="H1576" s="545">
        <v>10.333333333333334</v>
      </c>
      <c r="I1576" s="545">
        <v>18</v>
      </c>
      <c r="J1576" s="545">
        <v>15.69047619047619</v>
      </c>
    </row>
    <row r="1577" spans="1:10">
      <c r="A1577" s="441">
        <v>1257</v>
      </c>
      <c r="B1577" s="441" t="s">
        <v>2374</v>
      </c>
      <c r="C1577" s="545">
        <v>36</v>
      </c>
      <c r="D1577" s="545">
        <v>23.666666666666668</v>
      </c>
      <c r="E1577" s="545">
        <v>22.666666666666668</v>
      </c>
      <c r="F1577" s="545">
        <v>32.333333333333329</v>
      </c>
      <c r="G1577" s="545">
        <v>21.4</v>
      </c>
      <c r="H1577" s="545">
        <v>14</v>
      </c>
      <c r="I1577" s="545">
        <v>20.333333333333332</v>
      </c>
      <c r="J1577" s="545">
        <v>20.190476190476193</v>
      </c>
    </row>
    <row r="1578" spans="1:10">
      <c r="A1578" s="441">
        <v>1241</v>
      </c>
      <c r="B1578" s="441" t="s">
        <v>2375</v>
      </c>
      <c r="C1578" s="545">
        <v>13</v>
      </c>
      <c r="D1578" s="545">
        <v>3.666666666666667</v>
      </c>
      <c r="E1578" s="545">
        <v>4.3333333333333339</v>
      </c>
      <c r="F1578" s="545">
        <v>10.428571428571429</v>
      </c>
      <c r="G1578" s="545">
        <v>10.35</v>
      </c>
      <c r="H1578" s="545">
        <v>2.6666666666666665</v>
      </c>
      <c r="I1578" s="545">
        <v>3.6666666666666665</v>
      </c>
      <c r="J1578" s="545">
        <v>8.2976190476190474</v>
      </c>
    </row>
    <row r="1579" spans="1:10">
      <c r="A1579" s="441">
        <v>1256</v>
      </c>
      <c r="B1579" s="441" t="s">
        <v>2375</v>
      </c>
      <c r="C1579" s="545">
        <v>10.5</v>
      </c>
      <c r="D1579" s="545">
        <v>3.6666666666666665</v>
      </c>
      <c r="E1579" s="545">
        <v>1.3333333333333333</v>
      </c>
      <c r="F1579" s="545">
        <v>8.2142857142857135</v>
      </c>
      <c r="G1579" s="545">
        <v>8.75</v>
      </c>
      <c r="H1579" s="545">
        <v>3.3333333333333335</v>
      </c>
      <c r="I1579" s="545">
        <v>4</v>
      </c>
      <c r="J1579" s="545">
        <v>7.2976190476190483</v>
      </c>
    </row>
    <row r="1580" spans="1:10">
      <c r="A1580" s="441">
        <v>1242</v>
      </c>
      <c r="B1580" s="441" t="s">
        <v>2376</v>
      </c>
      <c r="C1580" s="545">
        <v>29.666666666666664</v>
      </c>
      <c r="D1580" s="545">
        <v>21</v>
      </c>
      <c r="E1580" s="545">
        <v>17.666666666666664</v>
      </c>
      <c r="F1580" s="545">
        <v>26.714285714285712</v>
      </c>
      <c r="G1580" s="545">
        <v>26.35</v>
      </c>
      <c r="H1580" s="545">
        <v>15</v>
      </c>
      <c r="I1580" s="545">
        <v>13.333333333333334</v>
      </c>
      <c r="J1580" s="545">
        <v>22.86904761904762</v>
      </c>
    </row>
    <row r="1581" spans="1:10">
      <c r="A1581" s="441">
        <v>1255</v>
      </c>
      <c r="B1581" s="441" t="s">
        <v>2376</v>
      </c>
      <c r="C1581" s="545">
        <v>30.166666666666664</v>
      </c>
      <c r="D1581" s="545">
        <v>14.333333333333332</v>
      </c>
      <c r="E1581" s="545">
        <v>8</v>
      </c>
      <c r="F1581" s="545">
        <v>24.738095238095237</v>
      </c>
      <c r="G1581" s="545">
        <v>20.55</v>
      </c>
      <c r="H1581" s="545">
        <v>10.333333333333334</v>
      </c>
      <c r="I1581" s="545">
        <v>8</v>
      </c>
      <c r="J1581" s="545">
        <v>17.297619047619047</v>
      </c>
    </row>
    <row r="1582" spans="1:10">
      <c r="A1582" s="441">
        <v>1238</v>
      </c>
      <c r="B1582" s="441" t="s">
        <v>2377</v>
      </c>
      <c r="C1582" s="545">
        <v>27.5</v>
      </c>
      <c r="D1582" s="545">
        <v>17</v>
      </c>
      <c r="E1582" s="545">
        <v>14</v>
      </c>
      <c r="F1582" s="545">
        <v>24.071428571428573</v>
      </c>
      <c r="G1582" s="545">
        <v>11.45</v>
      </c>
      <c r="H1582" s="545">
        <v>7.333333333333333</v>
      </c>
      <c r="I1582" s="545">
        <v>15</v>
      </c>
      <c r="J1582" s="545">
        <v>11.369047619047619</v>
      </c>
    </row>
    <row r="1583" spans="1:10">
      <c r="A1583" s="441">
        <v>1259</v>
      </c>
      <c r="B1583" s="441" t="s">
        <v>2377</v>
      </c>
      <c r="C1583" s="545">
        <v>35.5</v>
      </c>
      <c r="D1583" s="545">
        <v>17.333333333333336</v>
      </c>
      <c r="E1583" s="545">
        <v>20</v>
      </c>
      <c r="F1583" s="545">
        <v>30.690476190476193</v>
      </c>
      <c r="G1583" s="545">
        <v>18.350000000000001</v>
      </c>
      <c r="H1583" s="545">
        <v>8</v>
      </c>
      <c r="I1583" s="545">
        <v>15.666666666666666</v>
      </c>
      <c r="J1583" s="545">
        <v>16.488095238095237</v>
      </c>
    </row>
    <row r="1584" spans="1:10">
      <c r="A1584" s="441">
        <v>1250</v>
      </c>
      <c r="B1584" s="441" t="s">
        <v>2378</v>
      </c>
      <c r="C1584" s="545">
        <v>6</v>
      </c>
      <c r="D1584" s="545">
        <v>6</v>
      </c>
      <c r="E1584" s="545">
        <v>5.6666666666666661</v>
      </c>
      <c r="F1584" s="545">
        <v>5.9523809523809517</v>
      </c>
      <c r="G1584" s="545">
        <v>3.1</v>
      </c>
      <c r="H1584" s="545">
        <v>1</v>
      </c>
      <c r="I1584" s="545">
        <v>1.6666666666666667</v>
      </c>
      <c r="J1584" s="545">
        <v>2.5952380952380953</v>
      </c>
    </row>
    <row r="1585" spans="1:10">
      <c r="A1585" s="441">
        <v>1237</v>
      </c>
      <c r="B1585" s="441" t="s">
        <v>2379</v>
      </c>
      <c r="C1585" s="545">
        <v>32.333333333333329</v>
      </c>
      <c r="D1585" s="545">
        <v>19</v>
      </c>
      <c r="E1585" s="545">
        <v>23.666666666666664</v>
      </c>
      <c r="F1585" s="545">
        <v>29.190476190476183</v>
      </c>
      <c r="G1585" s="545">
        <v>21.35</v>
      </c>
      <c r="H1585" s="545">
        <v>13.666666666666666</v>
      </c>
      <c r="I1585" s="545">
        <v>22.333333333333332</v>
      </c>
      <c r="J1585" s="545">
        <v>20.392857142857142</v>
      </c>
    </row>
    <row r="1586" spans="1:10">
      <c r="A1586" s="441">
        <v>9426</v>
      </c>
      <c r="B1586" s="441" t="s">
        <v>2380</v>
      </c>
      <c r="C1586" s="545">
        <v>10.166666666666666</v>
      </c>
      <c r="D1586" s="545">
        <v>6</v>
      </c>
      <c r="E1586" s="545">
        <v>1.6666666666666665</v>
      </c>
      <c r="F1586" s="545">
        <v>8.3571428571428559</v>
      </c>
      <c r="G1586" s="545">
        <v>3.65</v>
      </c>
      <c r="H1586" s="545">
        <v>3.3333333333333335</v>
      </c>
      <c r="I1586" s="545">
        <v>7.666666666666667</v>
      </c>
      <c r="J1586" s="545">
        <v>4.1785714285714288</v>
      </c>
    </row>
    <row r="1587" spans="1:10">
      <c r="A1587" s="441">
        <v>9429</v>
      </c>
      <c r="B1587" s="441" t="s">
        <v>2381</v>
      </c>
      <c r="C1587" s="545">
        <v>3.8333333333333335</v>
      </c>
      <c r="D1587" s="545">
        <v>4.666666666666667</v>
      </c>
      <c r="E1587" s="545">
        <v>3</v>
      </c>
      <c r="F1587" s="545">
        <v>3.8333333333333335</v>
      </c>
      <c r="G1587" s="545">
        <v>1.4</v>
      </c>
      <c r="H1587" s="545">
        <v>1</v>
      </c>
      <c r="I1587" s="545">
        <v>0</v>
      </c>
      <c r="J1587" s="545">
        <v>1.1428571428571428</v>
      </c>
    </row>
    <row r="1588" spans="1:10">
      <c r="A1588" s="441">
        <v>9781</v>
      </c>
      <c r="B1588" s="441" t="s">
        <v>2382</v>
      </c>
      <c r="C1588" s="545">
        <v>13.833333333333332</v>
      </c>
      <c r="D1588" s="545">
        <v>6</v>
      </c>
      <c r="E1588" s="545">
        <v>11.333333333333334</v>
      </c>
      <c r="F1588" s="545">
        <v>12.357142857142856</v>
      </c>
      <c r="G1588" s="545">
        <v>6.75</v>
      </c>
      <c r="H1588" s="545">
        <v>5.666666666666667</v>
      </c>
      <c r="I1588" s="545">
        <v>6.666666666666667</v>
      </c>
      <c r="J1588" s="545">
        <v>6.583333333333333</v>
      </c>
    </row>
    <row r="1589" spans="1:10">
      <c r="A1589" s="441">
        <v>1249</v>
      </c>
      <c r="B1589" s="441" t="s">
        <v>2383</v>
      </c>
      <c r="C1589" s="545">
        <v>46.666666666666671</v>
      </c>
      <c r="D1589" s="545">
        <v>16.666666666666668</v>
      </c>
      <c r="E1589" s="545">
        <v>13.333333333333334</v>
      </c>
      <c r="F1589" s="545">
        <v>37.619047619047628</v>
      </c>
      <c r="G1589" s="545">
        <v>18.649999999999999</v>
      </c>
      <c r="H1589" s="545">
        <v>12</v>
      </c>
      <c r="I1589" s="545">
        <v>13.333333333333334</v>
      </c>
      <c r="J1589" s="545">
        <v>16.94047619047619</v>
      </c>
    </row>
    <row r="1590" spans="1:10">
      <c r="A1590" s="441">
        <v>10168</v>
      </c>
      <c r="B1590" s="441" t="s">
        <v>2383</v>
      </c>
      <c r="C1590" s="545">
        <v>37.166666666666664</v>
      </c>
      <c r="D1590" s="545">
        <v>22.666666666666664</v>
      </c>
      <c r="E1590" s="545">
        <v>20.333333333333332</v>
      </c>
      <c r="F1590" s="545">
        <v>32.69047619047619</v>
      </c>
      <c r="G1590" s="545">
        <v>20.45</v>
      </c>
      <c r="H1590" s="545">
        <v>11.666666666666666</v>
      </c>
      <c r="I1590" s="545">
        <v>16</v>
      </c>
      <c r="J1590" s="545">
        <v>18.559523809523814</v>
      </c>
    </row>
    <row r="1591" spans="1:10">
      <c r="A1591" s="441">
        <v>1246</v>
      </c>
      <c r="B1591" s="441" t="s">
        <v>2384</v>
      </c>
      <c r="C1591" s="545">
        <v>8.6666666666666661</v>
      </c>
      <c r="D1591" s="545">
        <v>4</v>
      </c>
      <c r="E1591" s="545">
        <v>3.6666666666666665</v>
      </c>
      <c r="F1591" s="545">
        <v>7.2857142857142847</v>
      </c>
      <c r="G1591" s="545">
        <v>5.65</v>
      </c>
      <c r="H1591" s="545">
        <v>2.3333333333333335</v>
      </c>
      <c r="I1591" s="545">
        <v>3</v>
      </c>
      <c r="J1591" s="545">
        <v>4.7976190476190466</v>
      </c>
    </row>
    <row r="1592" spans="1:10">
      <c r="A1592" s="441">
        <v>11575</v>
      </c>
      <c r="B1592" s="441" t="s">
        <v>2385</v>
      </c>
      <c r="C1592" s="545">
        <v>7.1666666666666661</v>
      </c>
      <c r="D1592" s="545">
        <v>2.666666666666667</v>
      </c>
      <c r="E1592" s="545">
        <v>4.333333333333333</v>
      </c>
      <c r="F1592" s="545">
        <v>6.1190476190476186</v>
      </c>
      <c r="G1592" s="545">
        <v>5.15</v>
      </c>
      <c r="H1592" s="545">
        <v>1</v>
      </c>
      <c r="I1592" s="545">
        <v>3.3333333333333335</v>
      </c>
      <c r="J1592" s="545">
        <v>4.2976190476190474</v>
      </c>
    </row>
    <row r="1593" spans="1:10">
      <c r="A1593" s="441">
        <v>1056</v>
      </c>
      <c r="B1593" s="441" t="s">
        <v>2386</v>
      </c>
      <c r="C1593" s="545">
        <v>22.5</v>
      </c>
      <c r="D1593" s="545">
        <v>11.666666666666668</v>
      </c>
      <c r="E1593" s="545">
        <v>3</v>
      </c>
      <c r="F1593" s="545">
        <v>18.166666666666668</v>
      </c>
      <c r="G1593" s="545">
        <v>9.35</v>
      </c>
      <c r="H1593" s="545">
        <v>8.3333333333333339</v>
      </c>
      <c r="I1593" s="545">
        <v>7.333333333333333</v>
      </c>
      <c r="J1593" s="545">
        <v>8.9166666666666679</v>
      </c>
    </row>
    <row r="1594" spans="1:10">
      <c r="A1594" s="441">
        <v>9433</v>
      </c>
      <c r="B1594" s="441" t="s">
        <v>2386</v>
      </c>
      <c r="C1594" s="545">
        <v>21</v>
      </c>
      <c r="D1594" s="545">
        <v>7.3333333333333339</v>
      </c>
      <c r="E1594" s="545">
        <v>4</v>
      </c>
      <c r="F1594" s="545">
        <v>16.619047619047617</v>
      </c>
      <c r="G1594" s="545">
        <v>12.45</v>
      </c>
      <c r="H1594" s="545">
        <v>8.3333333333333339</v>
      </c>
      <c r="I1594" s="545">
        <v>7</v>
      </c>
      <c r="J1594" s="545">
        <v>11.083333333333332</v>
      </c>
    </row>
    <row r="1595" spans="1:10">
      <c r="A1595" s="441">
        <v>1248</v>
      </c>
      <c r="B1595" s="441" t="s">
        <v>2387</v>
      </c>
      <c r="C1595" s="545">
        <v>5.1666666666666661</v>
      </c>
      <c r="D1595" s="545">
        <v>2.6666666666666665</v>
      </c>
      <c r="E1595" s="545">
        <v>2</v>
      </c>
      <c r="F1595" s="545">
        <v>4.3571428571428568</v>
      </c>
      <c r="G1595" s="545">
        <v>1.65</v>
      </c>
      <c r="H1595" s="545">
        <v>1</v>
      </c>
      <c r="I1595" s="545">
        <v>1.3333333333333333</v>
      </c>
      <c r="J1595" s="545">
        <v>1.5119047619047621</v>
      </c>
    </row>
    <row r="1596" spans="1:10">
      <c r="A1596" s="441">
        <v>9432</v>
      </c>
      <c r="B1596" s="441" t="s">
        <v>2388</v>
      </c>
      <c r="C1596" s="545">
        <v>34</v>
      </c>
      <c r="D1596" s="545">
        <v>19.666666666666664</v>
      </c>
      <c r="E1596" s="545">
        <v>17.333333333333336</v>
      </c>
      <c r="F1596" s="545">
        <v>29.571428571428573</v>
      </c>
      <c r="G1596" s="545">
        <v>17.95</v>
      </c>
      <c r="H1596" s="545">
        <v>9.3333333333333339</v>
      </c>
      <c r="I1596" s="545">
        <v>20</v>
      </c>
      <c r="J1596" s="545">
        <v>17.011904761904763</v>
      </c>
    </row>
    <row r="1597" spans="1:10">
      <c r="A1597" s="441">
        <v>9824</v>
      </c>
      <c r="B1597" s="441" t="s">
        <v>2388</v>
      </c>
      <c r="C1597" s="545">
        <v>28</v>
      </c>
      <c r="D1597" s="545">
        <v>24.333333333333332</v>
      </c>
      <c r="E1597" s="545">
        <v>14.666666666666668</v>
      </c>
      <c r="F1597" s="545">
        <v>25.571428571428573</v>
      </c>
      <c r="G1597" s="545">
        <v>13.55</v>
      </c>
      <c r="H1597" s="545">
        <v>11.666666666666666</v>
      </c>
      <c r="I1597" s="545">
        <v>8.3333333333333339</v>
      </c>
      <c r="J1597" s="545">
        <v>12.535714285714286</v>
      </c>
    </row>
    <row r="1598" spans="1:10">
      <c r="A1598" s="441">
        <v>5816</v>
      </c>
      <c r="B1598" s="441" t="s">
        <v>2389</v>
      </c>
      <c r="C1598" s="545">
        <v>3</v>
      </c>
      <c r="D1598" s="545">
        <v>4.333333333333333</v>
      </c>
      <c r="E1598" s="545">
        <v>2.3333333333333335</v>
      </c>
      <c r="F1598" s="545">
        <v>3.0952380952380949</v>
      </c>
      <c r="G1598" s="545">
        <v>3.3</v>
      </c>
      <c r="H1598" s="545">
        <v>1.6666666666666667</v>
      </c>
      <c r="I1598" s="545">
        <v>3.6666666666666665</v>
      </c>
      <c r="J1598" s="545">
        <v>3.1190476190476195</v>
      </c>
    </row>
    <row r="1599" spans="1:10">
      <c r="A1599" s="441">
        <v>5845</v>
      </c>
      <c r="B1599" s="441" t="s">
        <v>2389</v>
      </c>
      <c r="C1599" s="545">
        <v>2.333333333333333</v>
      </c>
      <c r="D1599" s="545">
        <v>2</v>
      </c>
      <c r="E1599" s="545">
        <v>2.333333333333333</v>
      </c>
      <c r="F1599" s="545">
        <v>2.2857142857142851</v>
      </c>
      <c r="G1599" s="545">
        <v>5.9</v>
      </c>
      <c r="H1599" s="545">
        <v>3</v>
      </c>
      <c r="I1599" s="545">
        <v>4.333333333333333</v>
      </c>
      <c r="J1599" s="545">
        <v>5.2619047619047619</v>
      </c>
    </row>
    <row r="1600" spans="1:10">
      <c r="A1600" s="441">
        <v>12427</v>
      </c>
      <c r="B1600" s="441" t="s">
        <v>2390</v>
      </c>
      <c r="C1600" s="545">
        <v>12.5</v>
      </c>
      <c r="D1600" s="545">
        <v>0.66666666666666663</v>
      </c>
      <c r="E1600" s="545">
        <v>1.3333333333333333</v>
      </c>
      <c r="F1600" s="545">
        <v>9.2142857142857135</v>
      </c>
      <c r="G1600" s="545">
        <v>7.5</v>
      </c>
      <c r="H1600" s="545">
        <v>0.66666666666666663</v>
      </c>
      <c r="I1600" s="545">
        <v>6.333333333333333</v>
      </c>
      <c r="J1600" s="545">
        <v>6.3571428571428568</v>
      </c>
    </row>
    <row r="1601" spans="1:10">
      <c r="A1601" s="441">
        <v>12114</v>
      </c>
      <c r="B1601" s="441" t="s">
        <v>2391</v>
      </c>
      <c r="C1601" s="545">
        <v>15</v>
      </c>
      <c r="D1601" s="545">
        <v>16.666666666666664</v>
      </c>
      <c r="E1601" s="545">
        <v>7</v>
      </c>
      <c r="F1601" s="545">
        <v>14.095238095238093</v>
      </c>
      <c r="G1601" s="545">
        <v>7.9</v>
      </c>
      <c r="H1601" s="545">
        <v>17</v>
      </c>
      <c r="I1601" s="545">
        <v>2.6666666666666665</v>
      </c>
      <c r="J1601" s="545">
        <v>8.4523809523809526</v>
      </c>
    </row>
    <row r="1602" spans="1:10">
      <c r="A1602" s="441">
        <v>1028</v>
      </c>
      <c r="B1602" s="441" t="s">
        <v>2392</v>
      </c>
      <c r="C1602" s="545">
        <v>27.833333333333332</v>
      </c>
      <c r="D1602" s="545">
        <v>26</v>
      </c>
      <c r="E1602" s="545">
        <v>68.666666666666671</v>
      </c>
      <c r="F1602" s="545">
        <v>33.404761904761905</v>
      </c>
      <c r="G1602" s="545">
        <v>14</v>
      </c>
      <c r="H1602" s="545">
        <v>20</v>
      </c>
      <c r="I1602" s="545">
        <v>41</v>
      </c>
      <c r="J1602" s="545">
        <v>18.714285714285715</v>
      </c>
    </row>
    <row r="1603" spans="1:10">
      <c r="A1603" s="441">
        <v>1029</v>
      </c>
      <c r="B1603" s="441" t="s">
        <v>2392</v>
      </c>
      <c r="C1603" s="545">
        <v>47</v>
      </c>
      <c r="D1603" s="545">
        <v>72.666666666666671</v>
      </c>
      <c r="E1603" s="545">
        <v>98.333333333333343</v>
      </c>
      <c r="F1603" s="545">
        <v>58</v>
      </c>
      <c r="G1603" s="545">
        <v>23.25</v>
      </c>
      <c r="H1603" s="545">
        <v>46.666666666666664</v>
      </c>
      <c r="I1603" s="545">
        <v>72.666666666666671</v>
      </c>
      <c r="J1603" s="545">
        <v>33.654761904761905</v>
      </c>
    </row>
    <row r="1604" spans="1:10">
      <c r="A1604" s="441">
        <v>12167</v>
      </c>
      <c r="B1604" s="441" t="s">
        <v>2393</v>
      </c>
      <c r="C1604" s="545">
        <v>38</v>
      </c>
      <c r="D1604" s="545">
        <v>29.666666666666664</v>
      </c>
      <c r="E1604" s="545">
        <v>33.666666666666664</v>
      </c>
      <c r="F1604" s="545">
        <v>36.19047619047619</v>
      </c>
      <c r="G1604" s="545">
        <v>29.4</v>
      </c>
      <c r="H1604" s="545">
        <v>19.333333333333332</v>
      </c>
      <c r="I1604" s="545">
        <v>23.666666666666668</v>
      </c>
      <c r="J1604" s="545">
        <v>27.142857142857142</v>
      </c>
    </row>
    <row r="1605" spans="1:10">
      <c r="A1605" s="441">
        <v>238</v>
      </c>
      <c r="B1605" s="441" t="s">
        <v>2394</v>
      </c>
      <c r="C1605" s="545">
        <v>8</v>
      </c>
      <c r="D1605" s="545">
        <v>3.333333333333333</v>
      </c>
      <c r="E1605" s="545">
        <v>3.3333333333333335</v>
      </c>
      <c r="F1605" s="545">
        <v>6.666666666666667</v>
      </c>
      <c r="G1605" s="545">
        <v>7.3</v>
      </c>
      <c r="H1605" s="545">
        <v>10.333333333333334</v>
      </c>
      <c r="I1605" s="545">
        <v>5.666666666666667</v>
      </c>
      <c r="J1605" s="545">
        <v>7.5</v>
      </c>
    </row>
    <row r="1606" spans="1:10">
      <c r="A1606" s="441">
        <v>1026</v>
      </c>
      <c r="B1606" s="441" t="s">
        <v>2395</v>
      </c>
      <c r="C1606" s="545">
        <v>2</v>
      </c>
      <c r="D1606" s="545">
        <v>1.3333333333333333</v>
      </c>
      <c r="E1606" s="545">
        <v>0.33333333333333331</v>
      </c>
      <c r="F1606" s="545">
        <v>1.6666666666666667</v>
      </c>
      <c r="G1606" s="545">
        <v>1.65</v>
      </c>
      <c r="H1606" s="545">
        <v>1.3333333333333333</v>
      </c>
      <c r="I1606" s="545">
        <v>0</v>
      </c>
      <c r="J1606" s="545">
        <v>1.3690476190476191</v>
      </c>
    </row>
    <row r="1607" spans="1:10">
      <c r="A1607" s="441">
        <v>1031</v>
      </c>
      <c r="B1607" s="441" t="s">
        <v>2395</v>
      </c>
      <c r="C1607" s="545">
        <v>10.5</v>
      </c>
      <c r="D1607" s="545">
        <v>4.333333333333333</v>
      </c>
      <c r="E1607" s="545">
        <v>4</v>
      </c>
      <c r="F1607" s="545">
        <v>8.6904761904761916</v>
      </c>
      <c r="G1607" s="545">
        <v>3.85</v>
      </c>
      <c r="H1607" s="545">
        <v>4</v>
      </c>
      <c r="I1607" s="545">
        <v>2.3333333333333335</v>
      </c>
      <c r="J1607" s="545">
        <v>3.6547619047619047</v>
      </c>
    </row>
    <row r="1608" spans="1:10">
      <c r="A1608" s="441">
        <v>1027</v>
      </c>
      <c r="B1608" s="441" t="s">
        <v>2396</v>
      </c>
      <c r="C1608" s="545">
        <v>6.5</v>
      </c>
      <c r="D1608" s="545">
        <v>3.6666666666666665</v>
      </c>
      <c r="E1608" s="545">
        <v>10.333333333333332</v>
      </c>
      <c r="F1608" s="545">
        <v>6.6428571428571432</v>
      </c>
      <c r="G1608" s="545">
        <v>3.7</v>
      </c>
      <c r="H1608" s="545">
        <v>1.3333333333333333</v>
      </c>
      <c r="I1608" s="545">
        <v>3.6666666666666665</v>
      </c>
      <c r="J1608" s="545">
        <v>3.3571428571428572</v>
      </c>
    </row>
    <row r="1609" spans="1:10">
      <c r="A1609" s="441">
        <v>1030</v>
      </c>
      <c r="B1609" s="441" t="s">
        <v>2396</v>
      </c>
      <c r="C1609" s="545">
        <v>9.1666666666666661</v>
      </c>
      <c r="D1609" s="545">
        <v>1.6666666666666665</v>
      </c>
      <c r="E1609" s="545">
        <v>5.6666666666666661</v>
      </c>
      <c r="F1609" s="545">
        <v>7.595238095238094</v>
      </c>
      <c r="G1609" s="545">
        <v>5.5</v>
      </c>
      <c r="H1609" s="545">
        <v>4.333333333333333</v>
      </c>
      <c r="I1609" s="545">
        <v>1.6666666666666667</v>
      </c>
      <c r="J1609" s="545">
        <v>4.7857142857142856</v>
      </c>
    </row>
    <row r="1610" spans="1:10">
      <c r="A1610" s="441">
        <v>1025</v>
      </c>
      <c r="B1610" s="441" t="s">
        <v>2397</v>
      </c>
      <c r="C1610" s="545">
        <v>8</v>
      </c>
      <c r="D1610" s="545">
        <v>3.3333333333333335</v>
      </c>
      <c r="E1610" s="545">
        <v>1</v>
      </c>
      <c r="F1610" s="545">
        <v>6.3333333333333339</v>
      </c>
      <c r="G1610" s="545">
        <v>5.8</v>
      </c>
      <c r="H1610" s="545">
        <v>5</v>
      </c>
      <c r="I1610" s="545">
        <v>0.33333333333333331</v>
      </c>
      <c r="J1610" s="545">
        <v>4.9047619047619051</v>
      </c>
    </row>
    <row r="1611" spans="1:10">
      <c r="A1611" s="441">
        <v>1032</v>
      </c>
      <c r="B1611" s="441" t="s">
        <v>2397</v>
      </c>
      <c r="C1611" s="545">
        <v>9.3333333333333339</v>
      </c>
      <c r="D1611" s="545">
        <v>9.6666666666666679</v>
      </c>
      <c r="E1611" s="545">
        <v>11.666666666666666</v>
      </c>
      <c r="F1611" s="545">
        <v>9.7142857142857171</v>
      </c>
      <c r="G1611" s="545">
        <v>8.6</v>
      </c>
      <c r="H1611" s="545">
        <v>6.666666666666667</v>
      </c>
      <c r="I1611" s="545">
        <v>3.6666666666666665</v>
      </c>
      <c r="J1611" s="545">
        <v>7.6190476190476186</v>
      </c>
    </row>
    <row r="1612" spans="1:10">
      <c r="A1612" s="441">
        <v>12223</v>
      </c>
      <c r="B1612" s="441" t="s">
        <v>2398</v>
      </c>
      <c r="C1612" s="545">
        <v>94.333333333333343</v>
      </c>
      <c r="D1612" s="545">
        <v>50.333333333333336</v>
      </c>
      <c r="E1612" s="545">
        <v>45.666666666666664</v>
      </c>
      <c r="F1612" s="545">
        <v>81.095238095238102</v>
      </c>
      <c r="G1612" s="545">
        <v>51.7</v>
      </c>
      <c r="H1612" s="545">
        <v>24</v>
      </c>
      <c r="I1612" s="545">
        <v>14.666666666666666</v>
      </c>
      <c r="J1612" s="545">
        <v>42.452380952380956</v>
      </c>
    </row>
    <row r="1613" spans="1:10">
      <c r="A1613" s="441">
        <v>9458</v>
      </c>
      <c r="B1613" s="441" t="s">
        <v>2399</v>
      </c>
      <c r="C1613" s="545">
        <v>96.5</v>
      </c>
      <c r="D1613" s="545">
        <v>72.333333333333329</v>
      </c>
      <c r="E1613" s="545">
        <v>45.333333333333329</v>
      </c>
      <c r="F1613" s="545">
        <v>85.738095238095255</v>
      </c>
      <c r="G1613" s="545">
        <v>42.65</v>
      </c>
      <c r="H1613" s="545">
        <v>40.666666666666664</v>
      </c>
      <c r="I1613" s="545">
        <v>25</v>
      </c>
      <c r="J1613" s="545">
        <v>39.845238095238088</v>
      </c>
    </row>
    <row r="1614" spans="1:10">
      <c r="A1614" s="441">
        <v>1787</v>
      </c>
      <c r="B1614" s="441" t="s">
        <v>2400</v>
      </c>
      <c r="C1614" s="545">
        <v>4.8333333333333339</v>
      </c>
      <c r="D1614" s="545">
        <v>3.6666666666666665</v>
      </c>
      <c r="E1614" s="545">
        <v>0.66666666666666663</v>
      </c>
      <c r="F1614" s="545">
        <v>4.0714285714285721</v>
      </c>
      <c r="G1614" s="545">
        <v>3.25</v>
      </c>
      <c r="H1614" s="545">
        <v>2.6666666666666665</v>
      </c>
      <c r="I1614" s="545">
        <v>2.3333333333333335</v>
      </c>
      <c r="J1614" s="545">
        <v>3.0357142857142856</v>
      </c>
    </row>
    <row r="1615" spans="1:10">
      <c r="A1615" s="441">
        <v>1785</v>
      </c>
      <c r="B1615" s="441" t="s">
        <v>2401</v>
      </c>
      <c r="C1615" s="545">
        <v>6.5</v>
      </c>
      <c r="D1615" s="545">
        <v>2.3333333333333335</v>
      </c>
      <c r="E1615" s="545">
        <v>3.3333333333333335</v>
      </c>
      <c r="F1615" s="545">
        <v>5.4523809523809534</v>
      </c>
      <c r="G1615" s="545">
        <v>1.6</v>
      </c>
      <c r="H1615" s="545">
        <v>2</v>
      </c>
      <c r="I1615" s="545">
        <v>1</v>
      </c>
      <c r="J1615" s="545">
        <v>1.5714285714285714</v>
      </c>
    </row>
    <row r="1616" spans="1:10">
      <c r="A1616" s="441">
        <v>1786</v>
      </c>
      <c r="B1616" s="441" t="s">
        <v>2402</v>
      </c>
      <c r="C1616" s="545">
        <v>2.6666666666666665</v>
      </c>
      <c r="D1616" s="545">
        <v>2.3333333333333335</v>
      </c>
      <c r="E1616" s="545">
        <v>0.66666666666666663</v>
      </c>
      <c r="F1616" s="545">
        <v>2.333333333333333</v>
      </c>
      <c r="G1616" s="545">
        <v>0.75</v>
      </c>
      <c r="H1616" s="545">
        <v>1.6666666666666667</v>
      </c>
      <c r="I1616" s="545">
        <v>1.6666666666666667</v>
      </c>
      <c r="J1616" s="545">
        <v>1.0119047619047621</v>
      </c>
    </row>
    <row r="1617" spans="1:10">
      <c r="A1617" s="441">
        <v>350</v>
      </c>
      <c r="B1617" s="441" t="s">
        <v>2403</v>
      </c>
      <c r="C1617" s="545">
        <v>1.3333333333333335</v>
      </c>
      <c r="D1617" s="545">
        <v>0.33333333333333331</v>
      </c>
      <c r="E1617" s="545">
        <v>0</v>
      </c>
      <c r="F1617" s="545">
        <v>1.0000000000000002</v>
      </c>
      <c r="G1617" s="545">
        <v>0.9</v>
      </c>
      <c r="H1617" s="545">
        <v>0</v>
      </c>
      <c r="I1617" s="545">
        <v>0.33333333333333331</v>
      </c>
      <c r="J1617" s="545">
        <v>0.69047619047619047</v>
      </c>
    </row>
    <row r="1618" spans="1:10">
      <c r="A1618" s="441">
        <v>1505</v>
      </c>
      <c r="B1618" s="441" t="s">
        <v>2403</v>
      </c>
      <c r="C1618" s="545">
        <v>5.5</v>
      </c>
      <c r="D1618" s="545">
        <v>0</v>
      </c>
      <c r="E1618" s="545">
        <v>0.33333333333333331</v>
      </c>
      <c r="F1618" s="545">
        <v>3.9761904761904758</v>
      </c>
      <c r="G1618" s="545">
        <v>0.15</v>
      </c>
      <c r="H1618" s="545">
        <v>0</v>
      </c>
      <c r="I1618" s="545">
        <v>0</v>
      </c>
      <c r="J1618" s="545">
        <v>0.10714285714285714</v>
      </c>
    </row>
    <row r="1619" spans="1:10">
      <c r="A1619" s="441">
        <v>351</v>
      </c>
      <c r="B1619" s="441" t="s">
        <v>2404</v>
      </c>
      <c r="C1619" s="545">
        <v>4.166666666666667</v>
      </c>
      <c r="D1619" s="545">
        <v>5</v>
      </c>
      <c r="E1619" s="545">
        <v>1.6666666666666665</v>
      </c>
      <c r="F1619" s="545">
        <v>3.9285714285714293</v>
      </c>
      <c r="G1619" s="545">
        <v>3.25</v>
      </c>
      <c r="H1619" s="545">
        <v>0.66666666666666663</v>
      </c>
      <c r="I1619" s="545">
        <v>0.33333333333333331</v>
      </c>
      <c r="J1619" s="545">
        <v>2.4642857142857144</v>
      </c>
    </row>
    <row r="1620" spans="1:10">
      <c r="A1620" s="441">
        <v>1506</v>
      </c>
      <c r="B1620" s="441" t="s">
        <v>2405</v>
      </c>
      <c r="C1620" s="545">
        <v>5</v>
      </c>
      <c r="D1620" s="545">
        <v>1.3333333333333333</v>
      </c>
      <c r="E1620" s="545">
        <v>6.333333333333333</v>
      </c>
      <c r="F1620" s="545">
        <v>4.6666666666666661</v>
      </c>
      <c r="G1620" s="545">
        <v>3.65</v>
      </c>
      <c r="H1620" s="545">
        <v>0.33333333333333331</v>
      </c>
      <c r="I1620" s="545">
        <v>0.33333333333333331</v>
      </c>
      <c r="J1620" s="545">
        <v>2.7023809523809521</v>
      </c>
    </row>
    <row r="1621" spans="1:10">
      <c r="A1621" s="441">
        <v>10464</v>
      </c>
      <c r="B1621" s="441" t="s">
        <v>2405</v>
      </c>
      <c r="C1621" s="545">
        <v>6.6666666666666661</v>
      </c>
      <c r="D1621" s="545">
        <v>4</v>
      </c>
      <c r="E1621" s="545">
        <v>2.3333333333333335</v>
      </c>
      <c r="F1621" s="545">
        <v>5.6666666666666661</v>
      </c>
      <c r="G1621" s="545">
        <v>1.35</v>
      </c>
      <c r="H1621" s="545">
        <v>0.33333333333333331</v>
      </c>
      <c r="I1621" s="545">
        <v>0.66666666666666663</v>
      </c>
      <c r="J1621" s="545">
        <v>1.1071428571428572</v>
      </c>
    </row>
    <row r="1622" spans="1:10">
      <c r="A1622" s="441">
        <v>3279</v>
      </c>
      <c r="B1622" s="441" t="s">
        <v>2406</v>
      </c>
      <c r="C1622" s="545">
        <v>6</v>
      </c>
      <c r="D1622" s="545">
        <v>4.6666666666666661</v>
      </c>
      <c r="E1622" s="545">
        <v>2</v>
      </c>
      <c r="F1622" s="545">
        <v>5.2380952380952381</v>
      </c>
      <c r="G1622" s="545">
        <v>7.05</v>
      </c>
      <c r="H1622" s="545">
        <v>4.333333333333333</v>
      </c>
      <c r="I1622" s="545">
        <v>7</v>
      </c>
      <c r="J1622" s="545">
        <v>6.6547619047619051</v>
      </c>
    </row>
    <row r="1623" spans="1:10">
      <c r="A1623" s="441">
        <v>2233</v>
      </c>
      <c r="B1623" s="441" t="s">
        <v>2407</v>
      </c>
      <c r="C1623" s="545">
        <v>4.166666666666667</v>
      </c>
      <c r="D1623" s="545">
        <v>4.333333333333333</v>
      </c>
      <c r="E1623" s="545">
        <v>2.3333333333333335</v>
      </c>
      <c r="F1623" s="545">
        <v>3.9285714285714284</v>
      </c>
      <c r="G1623" s="545">
        <v>2.15</v>
      </c>
      <c r="H1623" s="545">
        <v>0.33333333333333331</v>
      </c>
      <c r="I1623" s="545">
        <v>1.6666666666666667</v>
      </c>
      <c r="J1623" s="545">
        <v>1.8214285714285714</v>
      </c>
    </row>
    <row r="1624" spans="1:10">
      <c r="A1624" s="441">
        <v>2234</v>
      </c>
      <c r="B1624" s="441" t="s">
        <v>2408</v>
      </c>
      <c r="C1624" s="545">
        <v>7.1666666666666661</v>
      </c>
      <c r="D1624" s="545">
        <v>4.333333333333333</v>
      </c>
      <c r="E1624" s="545">
        <v>3.333333333333333</v>
      </c>
      <c r="F1624" s="545">
        <v>6.2142857142857144</v>
      </c>
      <c r="G1624" s="545">
        <v>3.7</v>
      </c>
      <c r="H1624" s="545">
        <v>0.33333333333333331</v>
      </c>
      <c r="I1624" s="545">
        <v>7.333333333333333</v>
      </c>
      <c r="J1624" s="545">
        <v>3.7380952380952377</v>
      </c>
    </row>
    <row r="1625" spans="1:10">
      <c r="A1625" s="441">
        <v>3278</v>
      </c>
      <c r="B1625" s="441" t="s">
        <v>2408</v>
      </c>
      <c r="C1625" s="545">
        <v>11.5</v>
      </c>
      <c r="D1625" s="545">
        <v>10</v>
      </c>
      <c r="E1625" s="545">
        <v>9</v>
      </c>
      <c r="F1625" s="545">
        <v>10.928571428571429</v>
      </c>
      <c r="G1625" s="545">
        <v>0.4</v>
      </c>
      <c r="H1625" s="545">
        <v>0</v>
      </c>
      <c r="I1625" s="545">
        <v>2.6666666666666665</v>
      </c>
      <c r="J1625" s="545">
        <v>0.66666666666666663</v>
      </c>
    </row>
    <row r="1626" spans="1:10">
      <c r="A1626" s="441">
        <v>2236</v>
      </c>
      <c r="B1626" s="441" t="s">
        <v>2409</v>
      </c>
      <c r="C1626" s="545">
        <v>17.833333333333332</v>
      </c>
      <c r="D1626" s="545">
        <v>11</v>
      </c>
      <c r="E1626" s="545">
        <v>11</v>
      </c>
      <c r="F1626" s="545">
        <v>15.88095238095238</v>
      </c>
      <c r="G1626" s="545">
        <v>11.65</v>
      </c>
      <c r="H1626" s="545">
        <v>8.6666666666666661</v>
      </c>
      <c r="I1626" s="545">
        <v>6.333333333333333</v>
      </c>
      <c r="J1626" s="545">
        <v>10.464285714285714</v>
      </c>
    </row>
    <row r="1627" spans="1:10">
      <c r="A1627" s="441">
        <v>9984</v>
      </c>
      <c r="B1627" s="441" t="s">
        <v>2409</v>
      </c>
      <c r="C1627" s="545">
        <v>16.5</v>
      </c>
      <c r="D1627" s="545">
        <v>8.6666666666666679</v>
      </c>
      <c r="E1627" s="545">
        <v>5.666666666666667</v>
      </c>
      <c r="F1627" s="545">
        <v>13.833333333333334</v>
      </c>
      <c r="G1627" s="545">
        <v>11.55</v>
      </c>
      <c r="H1627" s="545">
        <v>4</v>
      </c>
      <c r="I1627" s="545">
        <v>3.3333333333333335</v>
      </c>
      <c r="J1627" s="545">
        <v>9.2976190476190474</v>
      </c>
    </row>
    <row r="1628" spans="1:10">
      <c r="A1628" s="441">
        <v>3281</v>
      </c>
      <c r="B1628" s="441" t="s">
        <v>2410</v>
      </c>
      <c r="C1628" s="545">
        <v>5.833333333333333</v>
      </c>
      <c r="D1628" s="545">
        <v>2.333333333333333</v>
      </c>
      <c r="E1628" s="545">
        <v>3</v>
      </c>
      <c r="F1628" s="545">
        <v>4.9285714285714288</v>
      </c>
      <c r="G1628" s="545">
        <v>8.5500000000000007</v>
      </c>
      <c r="H1628" s="545">
        <v>6</v>
      </c>
      <c r="I1628" s="545">
        <v>5.666666666666667</v>
      </c>
      <c r="J1628" s="545">
        <v>7.7738095238095237</v>
      </c>
    </row>
    <row r="1629" spans="1:10">
      <c r="A1629" s="441">
        <v>3294</v>
      </c>
      <c r="B1629" s="441" t="s">
        <v>2410</v>
      </c>
      <c r="C1629" s="545">
        <v>2</v>
      </c>
      <c r="D1629" s="545">
        <v>2</v>
      </c>
      <c r="E1629" s="545">
        <v>2.6666666666666665</v>
      </c>
      <c r="F1629" s="545">
        <v>2.0952380952380953</v>
      </c>
      <c r="G1629" s="545">
        <v>6.3</v>
      </c>
      <c r="H1629" s="545">
        <v>3.3333333333333335</v>
      </c>
      <c r="I1629" s="545">
        <v>1.6666666666666667</v>
      </c>
      <c r="J1629" s="545">
        <v>5.2142857142857144</v>
      </c>
    </row>
    <row r="1630" spans="1:10">
      <c r="A1630" s="441">
        <v>3283</v>
      </c>
      <c r="B1630" s="441" t="s">
        <v>2411</v>
      </c>
      <c r="C1630" s="545">
        <v>21</v>
      </c>
      <c r="D1630" s="545">
        <v>13</v>
      </c>
      <c r="E1630" s="545">
        <v>11.333333333333334</v>
      </c>
      <c r="F1630" s="545">
        <v>18.476190476190478</v>
      </c>
      <c r="G1630" s="545">
        <v>17.2</v>
      </c>
      <c r="H1630" s="545">
        <v>5.666666666666667</v>
      </c>
      <c r="I1630" s="545">
        <v>7</v>
      </c>
      <c r="J1630" s="545">
        <v>14.095238095238097</v>
      </c>
    </row>
    <row r="1631" spans="1:10">
      <c r="A1631" s="441">
        <v>3292</v>
      </c>
      <c r="B1631" s="441" t="s">
        <v>2411</v>
      </c>
      <c r="C1631" s="545">
        <v>31.666666666666668</v>
      </c>
      <c r="D1631" s="545">
        <v>21.333333333333332</v>
      </c>
      <c r="E1631" s="545">
        <v>17.666666666666664</v>
      </c>
      <c r="F1631" s="545">
        <v>28.190476190476193</v>
      </c>
      <c r="G1631" s="545">
        <v>15.5</v>
      </c>
      <c r="H1631" s="545">
        <v>7</v>
      </c>
      <c r="I1631" s="545">
        <v>9.3333333333333339</v>
      </c>
      <c r="J1631" s="545">
        <v>13.404761904761903</v>
      </c>
    </row>
    <row r="1632" spans="1:10">
      <c r="A1632" s="441">
        <v>2240</v>
      </c>
      <c r="B1632" s="441" t="s">
        <v>2412</v>
      </c>
      <c r="C1632" s="545">
        <v>13.833333333333334</v>
      </c>
      <c r="D1632" s="545">
        <v>12</v>
      </c>
      <c r="E1632" s="545">
        <v>8.3333333333333321</v>
      </c>
      <c r="F1632" s="545">
        <v>12.785714285714286</v>
      </c>
      <c r="G1632" s="545">
        <v>18.649999999999999</v>
      </c>
      <c r="H1632" s="545">
        <v>10.333333333333334</v>
      </c>
      <c r="I1632" s="545">
        <v>10.666666666666666</v>
      </c>
      <c r="J1632" s="545">
        <v>16.321428571428573</v>
      </c>
    </row>
    <row r="1633" spans="1:10">
      <c r="A1633" s="441">
        <v>2276</v>
      </c>
      <c r="B1633" s="441" t="s">
        <v>2412</v>
      </c>
      <c r="C1633" s="545">
        <v>14</v>
      </c>
      <c r="D1633" s="545">
        <v>15</v>
      </c>
      <c r="E1633" s="545">
        <v>7</v>
      </c>
      <c r="F1633" s="545">
        <v>13.142857142857142</v>
      </c>
      <c r="G1633" s="545">
        <v>10.1</v>
      </c>
      <c r="H1633" s="545">
        <v>8.3333333333333339</v>
      </c>
      <c r="I1633" s="545">
        <v>9</v>
      </c>
      <c r="J1633" s="545">
        <v>9.6904761904761916</v>
      </c>
    </row>
    <row r="1634" spans="1:10">
      <c r="A1634" s="441">
        <v>2242</v>
      </c>
      <c r="B1634" s="441" t="s">
        <v>2413</v>
      </c>
      <c r="C1634" s="545">
        <v>20.666666666666664</v>
      </c>
      <c r="D1634" s="545">
        <v>23</v>
      </c>
      <c r="E1634" s="545">
        <v>9.6666666666666679</v>
      </c>
      <c r="F1634" s="545">
        <v>19.428571428571423</v>
      </c>
      <c r="G1634" s="545">
        <v>13</v>
      </c>
      <c r="H1634" s="545">
        <v>8</v>
      </c>
      <c r="I1634" s="545">
        <v>9.6666666666666661</v>
      </c>
      <c r="J1634" s="545">
        <v>11.80952380952381</v>
      </c>
    </row>
    <row r="1635" spans="1:10">
      <c r="A1635" s="441">
        <v>2273</v>
      </c>
      <c r="B1635" s="441" t="s">
        <v>2413</v>
      </c>
      <c r="C1635" s="545">
        <v>17.166666666666668</v>
      </c>
      <c r="D1635" s="545">
        <v>10.333333333333334</v>
      </c>
      <c r="E1635" s="545">
        <v>5.666666666666667</v>
      </c>
      <c r="F1635" s="545">
        <v>14.547619047619049</v>
      </c>
      <c r="G1635" s="545">
        <v>9</v>
      </c>
      <c r="H1635" s="545">
        <v>6</v>
      </c>
      <c r="I1635" s="545">
        <v>6.666666666666667</v>
      </c>
      <c r="J1635" s="545">
        <v>8.2380952380952372</v>
      </c>
    </row>
    <row r="1636" spans="1:10">
      <c r="A1636" s="441">
        <v>2235</v>
      </c>
      <c r="B1636" s="441" t="s">
        <v>2414</v>
      </c>
      <c r="C1636" s="545">
        <v>328</v>
      </c>
      <c r="D1636" s="545">
        <v>198.33333333333331</v>
      </c>
      <c r="E1636" s="545">
        <v>166.33333333333334</v>
      </c>
      <c r="F1636" s="545">
        <v>286.38095238095235</v>
      </c>
      <c r="G1636" s="545">
        <v>151.4</v>
      </c>
      <c r="H1636" s="545">
        <v>69</v>
      </c>
      <c r="I1636" s="545">
        <v>71</v>
      </c>
      <c r="J1636" s="545">
        <v>128.14285714285714</v>
      </c>
    </row>
    <row r="1637" spans="1:10">
      <c r="A1637" s="441">
        <v>3277</v>
      </c>
      <c r="B1637" s="441" t="s">
        <v>2414</v>
      </c>
      <c r="C1637" s="545">
        <v>322</v>
      </c>
      <c r="D1637" s="545">
        <v>190.33333333333334</v>
      </c>
      <c r="E1637" s="545">
        <v>140</v>
      </c>
      <c r="F1637" s="545">
        <v>277.1904761904762</v>
      </c>
      <c r="G1637" s="545">
        <v>164.85</v>
      </c>
      <c r="H1637" s="545">
        <v>83</v>
      </c>
      <c r="I1637" s="545">
        <v>70</v>
      </c>
      <c r="J1637" s="545">
        <v>139.60714285714286</v>
      </c>
    </row>
    <row r="1638" spans="1:10">
      <c r="A1638" s="441">
        <v>3285</v>
      </c>
      <c r="B1638" s="441" t="s">
        <v>2415</v>
      </c>
      <c r="C1638" s="545">
        <v>8.6666666666666661</v>
      </c>
      <c r="D1638" s="545">
        <v>4.333333333333333</v>
      </c>
      <c r="E1638" s="545">
        <v>4.333333333333333</v>
      </c>
      <c r="F1638" s="545">
        <v>7.4285714285714288</v>
      </c>
      <c r="G1638" s="545">
        <v>62</v>
      </c>
      <c r="H1638" s="545">
        <v>16</v>
      </c>
      <c r="I1638" s="545">
        <v>9.6666666666666661</v>
      </c>
      <c r="J1638" s="545">
        <v>47.952380952380956</v>
      </c>
    </row>
    <row r="1639" spans="1:10">
      <c r="A1639" s="441">
        <v>3291</v>
      </c>
      <c r="B1639" s="441" t="s">
        <v>2415</v>
      </c>
      <c r="C1639" s="545">
        <v>15.333333333333334</v>
      </c>
      <c r="D1639" s="545">
        <v>7</v>
      </c>
      <c r="E1639" s="545">
        <v>8</v>
      </c>
      <c r="F1639" s="545">
        <v>13.095238095238097</v>
      </c>
      <c r="G1639" s="545">
        <v>18.25</v>
      </c>
      <c r="H1639" s="545">
        <v>7</v>
      </c>
      <c r="I1639" s="545">
        <v>8</v>
      </c>
      <c r="J1639" s="545">
        <v>15.178571428571429</v>
      </c>
    </row>
    <row r="1640" spans="1:10">
      <c r="A1640" s="441">
        <v>3280</v>
      </c>
      <c r="B1640" s="441" t="s">
        <v>2416</v>
      </c>
      <c r="C1640" s="545">
        <v>56.833333333333329</v>
      </c>
      <c r="D1640" s="545">
        <v>39</v>
      </c>
      <c r="E1640" s="545">
        <v>21.666666666666664</v>
      </c>
      <c r="F1640" s="545">
        <v>49.261904761904759</v>
      </c>
      <c r="G1640" s="545">
        <v>24.95</v>
      </c>
      <c r="H1640" s="545">
        <v>15</v>
      </c>
      <c r="I1640" s="545">
        <v>16.333333333333332</v>
      </c>
      <c r="J1640" s="545">
        <v>22.297619047619047</v>
      </c>
    </row>
    <row r="1641" spans="1:10">
      <c r="A1641" s="441">
        <v>3295</v>
      </c>
      <c r="B1641" s="441" t="s">
        <v>2416</v>
      </c>
      <c r="C1641" s="545">
        <v>56.833333333333329</v>
      </c>
      <c r="D1641" s="545">
        <v>37</v>
      </c>
      <c r="E1641" s="545">
        <v>26</v>
      </c>
      <c r="F1641" s="545">
        <v>49.595238095238088</v>
      </c>
      <c r="G1641" s="545">
        <v>23.75</v>
      </c>
      <c r="H1641" s="545">
        <v>13.333333333333334</v>
      </c>
      <c r="I1641" s="545">
        <v>16</v>
      </c>
      <c r="J1641" s="545">
        <v>21.154761904761905</v>
      </c>
    </row>
    <row r="1642" spans="1:10">
      <c r="A1642" s="441">
        <v>3287</v>
      </c>
      <c r="B1642" s="441" t="s">
        <v>2417</v>
      </c>
      <c r="C1642" s="545">
        <v>47.833333333333336</v>
      </c>
      <c r="D1642" s="545">
        <v>31</v>
      </c>
      <c r="E1642" s="545">
        <v>15</v>
      </c>
      <c r="F1642" s="545">
        <v>40.738095238095241</v>
      </c>
      <c r="G1642" s="545">
        <v>35.450000000000003</v>
      </c>
      <c r="H1642" s="545">
        <v>19</v>
      </c>
      <c r="I1642" s="545">
        <v>11</v>
      </c>
      <c r="J1642" s="545">
        <v>29.607142857142858</v>
      </c>
    </row>
    <row r="1643" spans="1:10">
      <c r="A1643" s="441">
        <v>3288</v>
      </c>
      <c r="B1643" s="441" t="s">
        <v>2417</v>
      </c>
      <c r="C1643" s="545">
        <v>50.666666666666671</v>
      </c>
      <c r="D1643" s="545">
        <v>31.666666666666668</v>
      </c>
      <c r="E1643" s="545">
        <v>25.333333333333332</v>
      </c>
      <c r="F1643" s="545">
        <v>44.333333333333336</v>
      </c>
      <c r="G1643" s="545">
        <v>39.85</v>
      </c>
      <c r="H1643" s="545">
        <v>19.666666666666668</v>
      </c>
      <c r="I1643" s="545">
        <v>11</v>
      </c>
      <c r="J1643" s="545">
        <v>32.845238095238095</v>
      </c>
    </row>
    <row r="1644" spans="1:10">
      <c r="A1644" s="441">
        <v>2241</v>
      </c>
      <c r="B1644" s="441" t="s">
        <v>2418</v>
      </c>
      <c r="C1644" s="545">
        <v>23.666666666666668</v>
      </c>
      <c r="D1644" s="545">
        <v>13</v>
      </c>
      <c r="E1644" s="545">
        <v>12.333333333333332</v>
      </c>
      <c r="F1644" s="545">
        <v>20.523809523809526</v>
      </c>
      <c r="G1644" s="545">
        <v>8.4499999999999993</v>
      </c>
      <c r="H1644" s="545">
        <v>6.333333333333333</v>
      </c>
      <c r="I1644" s="545">
        <v>4.666666666666667</v>
      </c>
      <c r="J1644" s="545">
        <v>7.6071428571428568</v>
      </c>
    </row>
    <row r="1645" spans="1:10">
      <c r="A1645" s="441">
        <v>2275</v>
      </c>
      <c r="B1645" s="441" t="s">
        <v>2418</v>
      </c>
      <c r="C1645" s="545">
        <v>21</v>
      </c>
      <c r="D1645" s="545">
        <v>16.333333333333332</v>
      </c>
      <c r="E1645" s="545">
        <v>12</v>
      </c>
      <c r="F1645" s="545">
        <v>19.047619047619044</v>
      </c>
      <c r="G1645" s="545">
        <v>8.4</v>
      </c>
      <c r="H1645" s="545">
        <v>7.666666666666667</v>
      </c>
      <c r="I1645" s="545">
        <v>7.333333333333333</v>
      </c>
      <c r="J1645" s="545">
        <v>8.1428571428571423</v>
      </c>
    </row>
    <row r="1646" spans="1:10">
      <c r="A1646" s="441">
        <v>6058</v>
      </c>
      <c r="B1646" s="441" t="s">
        <v>2419</v>
      </c>
      <c r="C1646" s="545">
        <v>37.333333333333336</v>
      </c>
      <c r="D1646" s="545">
        <v>25.333333333333336</v>
      </c>
      <c r="E1646" s="545">
        <v>15.333333333333334</v>
      </c>
      <c r="F1646" s="545">
        <v>32.476190476190482</v>
      </c>
      <c r="G1646" s="545">
        <v>16.95</v>
      </c>
      <c r="H1646" s="545">
        <v>7</v>
      </c>
      <c r="I1646" s="545">
        <v>10.666666666666666</v>
      </c>
      <c r="J1646" s="545">
        <v>14.630952380952381</v>
      </c>
    </row>
    <row r="1647" spans="1:10">
      <c r="A1647" s="441">
        <v>6079</v>
      </c>
      <c r="B1647" s="441" t="s">
        <v>2419</v>
      </c>
      <c r="C1647" s="545">
        <v>38.166666666666664</v>
      </c>
      <c r="D1647" s="545">
        <v>27.666666666666668</v>
      </c>
      <c r="E1647" s="545">
        <v>17.333333333333336</v>
      </c>
      <c r="F1647" s="545">
        <v>33.69047619047619</v>
      </c>
      <c r="G1647" s="545">
        <v>23.35</v>
      </c>
      <c r="H1647" s="545">
        <v>14</v>
      </c>
      <c r="I1647" s="545">
        <v>12</v>
      </c>
      <c r="J1647" s="545">
        <v>20.392857142857142</v>
      </c>
    </row>
    <row r="1648" spans="1:10">
      <c r="A1648" s="441">
        <v>6059</v>
      </c>
      <c r="B1648" s="441" t="s">
        <v>2420</v>
      </c>
      <c r="C1648" s="545">
        <v>23.666666666666664</v>
      </c>
      <c r="D1648" s="545">
        <v>10.666666666666666</v>
      </c>
      <c r="E1648" s="545">
        <v>15.666666666666668</v>
      </c>
      <c r="F1648" s="545">
        <v>20.666666666666661</v>
      </c>
      <c r="G1648" s="545">
        <v>10.85</v>
      </c>
      <c r="H1648" s="545">
        <v>4.333333333333333</v>
      </c>
      <c r="I1648" s="545">
        <v>6.333333333333333</v>
      </c>
      <c r="J1648" s="545">
        <v>9.2738095238095237</v>
      </c>
    </row>
    <row r="1649" spans="1:10">
      <c r="A1649" s="441">
        <v>6078</v>
      </c>
      <c r="B1649" s="441" t="s">
        <v>2420</v>
      </c>
      <c r="C1649" s="545">
        <v>12.666666666666668</v>
      </c>
      <c r="D1649" s="545">
        <v>8.3333333333333321</v>
      </c>
      <c r="E1649" s="545">
        <v>5.333333333333333</v>
      </c>
      <c r="F1649" s="545">
        <v>11</v>
      </c>
      <c r="G1649" s="545">
        <v>5.7</v>
      </c>
      <c r="H1649" s="545">
        <v>2</v>
      </c>
      <c r="I1649" s="545">
        <v>3</v>
      </c>
      <c r="J1649" s="545">
        <v>4.7857142857142856</v>
      </c>
    </row>
    <row r="1650" spans="1:10">
      <c r="A1650" s="441">
        <v>142</v>
      </c>
      <c r="B1650" s="441" t="s">
        <v>2421</v>
      </c>
      <c r="C1650" s="545">
        <v>23.5</v>
      </c>
      <c r="D1650" s="545">
        <v>19.333333333333332</v>
      </c>
      <c r="E1650" s="545">
        <v>14.666666666666666</v>
      </c>
      <c r="F1650" s="545">
        <v>21.642857142857142</v>
      </c>
      <c r="G1650" s="545">
        <v>11.35</v>
      </c>
      <c r="H1650" s="545">
        <v>10.666666666666666</v>
      </c>
      <c r="I1650" s="545">
        <v>7</v>
      </c>
      <c r="J1650" s="545">
        <v>10.630952380952381</v>
      </c>
    </row>
    <row r="1651" spans="1:10">
      <c r="A1651" s="441">
        <v>2274</v>
      </c>
      <c r="B1651" s="441" t="s">
        <v>2421</v>
      </c>
      <c r="C1651" s="545">
        <v>31.5</v>
      </c>
      <c r="D1651" s="545">
        <v>29</v>
      </c>
      <c r="E1651" s="545">
        <v>18.333333333333332</v>
      </c>
      <c r="F1651" s="545">
        <v>29.261904761904763</v>
      </c>
      <c r="G1651" s="545">
        <v>16.100000000000001</v>
      </c>
      <c r="H1651" s="545">
        <v>13.666666666666666</v>
      </c>
      <c r="I1651" s="545">
        <v>10.666666666666666</v>
      </c>
      <c r="J1651" s="545">
        <v>14.976190476190478</v>
      </c>
    </row>
    <row r="1652" spans="1:10">
      <c r="A1652" s="441">
        <v>3286</v>
      </c>
      <c r="B1652" s="441" t="s">
        <v>2422</v>
      </c>
      <c r="C1652" s="545">
        <v>2.166666666666667</v>
      </c>
      <c r="D1652" s="545">
        <v>2.666666666666667</v>
      </c>
      <c r="E1652" s="545">
        <v>0.66666666666666663</v>
      </c>
      <c r="F1652" s="545">
        <v>2.0238095238095242</v>
      </c>
      <c r="G1652" s="545">
        <v>3</v>
      </c>
      <c r="H1652" s="545">
        <v>3.6666666666666665</v>
      </c>
      <c r="I1652" s="545">
        <v>3</v>
      </c>
      <c r="J1652" s="545">
        <v>3.0952380952380953</v>
      </c>
    </row>
    <row r="1653" spans="1:10">
      <c r="A1653" s="441">
        <v>3289</v>
      </c>
      <c r="B1653" s="441" t="s">
        <v>2422</v>
      </c>
      <c r="C1653" s="545">
        <v>3.833333333333333</v>
      </c>
      <c r="D1653" s="545">
        <v>1.3333333333333333</v>
      </c>
      <c r="E1653" s="545">
        <v>1</v>
      </c>
      <c r="F1653" s="545">
        <v>3.0714285714285707</v>
      </c>
      <c r="G1653" s="545">
        <v>12.9</v>
      </c>
      <c r="H1653" s="545">
        <v>4.666666666666667</v>
      </c>
      <c r="I1653" s="545">
        <v>1.3333333333333333</v>
      </c>
      <c r="J1653" s="545">
        <v>10.071428571428571</v>
      </c>
    </row>
    <row r="1654" spans="1:10">
      <c r="A1654" s="441">
        <v>11940</v>
      </c>
      <c r="B1654" s="441" t="s">
        <v>2423</v>
      </c>
      <c r="C1654" s="545">
        <v>81.333333333333329</v>
      </c>
      <c r="D1654" s="545">
        <v>81.333333333333329</v>
      </c>
      <c r="E1654" s="545">
        <v>80.333333333333329</v>
      </c>
      <c r="F1654" s="545">
        <v>81.190476190476176</v>
      </c>
      <c r="G1654" s="545">
        <v>85.8</v>
      </c>
      <c r="H1654" s="545">
        <v>81</v>
      </c>
      <c r="I1654" s="545">
        <v>66</v>
      </c>
      <c r="J1654" s="545">
        <v>82.285714285714292</v>
      </c>
    </row>
    <row r="1655" spans="1:10">
      <c r="A1655" s="441">
        <v>13032</v>
      </c>
      <c r="B1655" s="441" t="s">
        <v>2424</v>
      </c>
      <c r="C1655" s="545">
        <v>11.166666666666666</v>
      </c>
      <c r="D1655" s="545">
        <v>7.6666666666666661</v>
      </c>
      <c r="E1655" s="545">
        <v>3.3333333333333335</v>
      </c>
      <c r="F1655" s="545">
        <v>9.5476190476190474</v>
      </c>
      <c r="G1655" s="545">
        <v>8.5500000000000007</v>
      </c>
      <c r="H1655" s="545">
        <v>3.6666666666666665</v>
      </c>
      <c r="I1655" s="545">
        <v>6.333333333333333</v>
      </c>
      <c r="J1655" s="545">
        <v>7.5357142857142856</v>
      </c>
    </row>
    <row r="1656" spans="1:10">
      <c r="A1656" s="441">
        <v>10469</v>
      </c>
      <c r="B1656" s="441" t="s">
        <v>2425</v>
      </c>
      <c r="C1656" s="545">
        <v>44.166666666666664</v>
      </c>
      <c r="D1656" s="545">
        <v>14</v>
      </c>
      <c r="E1656" s="545">
        <v>9.3333333333333339</v>
      </c>
      <c r="F1656" s="545">
        <v>34.88095238095238</v>
      </c>
      <c r="G1656" s="545">
        <v>16.899999999999999</v>
      </c>
      <c r="H1656" s="545">
        <v>10.333333333333334</v>
      </c>
      <c r="I1656" s="545">
        <v>9.6666666666666661</v>
      </c>
      <c r="J1656" s="545">
        <v>14.928571428571429</v>
      </c>
    </row>
    <row r="1657" spans="1:10">
      <c r="A1657" s="441">
        <v>10470</v>
      </c>
      <c r="B1657" s="441" t="s">
        <v>2425</v>
      </c>
      <c r="C1657" s="545">
        <v>32.666666666666664</v>
      </c>
      <c r="D1657" s="545">
        <v>11.666666666666666</v>
      </c>
      <c r="E1657" s="545">
        <v>8.3333333333333321</v>
      </c>
      <c r="F1657" s="545">
        <v>26.190476190476186</v>
      </c>
      <c r="G1657" s="545">
        <v>10.4</v>
      </c>
      <c r="H1657" s="545">
        <v>8</v>
      </c>
      <c r="I1657" s="545">
        <v>9.3333333333333339</v>
      </c>
      <c r="J1657" s="545">
        <v>9.9047619047619033</v>
      </c>
    </row>
    <row r="1658" spans="1:10">
      <c r="A1658" s="441">
        <v>10108</v>
      </c>
      <c r="B1658" s="441" t="s">
        <v>2426</v>
      </c>
      <c r="C1658" s="545">
        <v>4.666666666666667</v>
      </c>
      <c r="D1658" s="545">
        <v>1.3333333333333333</v>
      </c>
      <c r="E1658" s="545">
        <v>1</v>
      </c>
      <c r="F1658" s="545">
        <v>3.666666666666667</v>
      </c>
      <c r="G1658" s="545">
        <v>1.65</v>
      </c>
      <c r="H1658" s="545">
        <v>0.33333333333333331</v>
      </c>
      <c r="I1658" s="545">
        <v>0.33333333333333331</v>
      </c>
      <c r="J1658" s="545">
        <v>1.2738095238095239</v>
      </c>
    </row>
    <row r="1659" spans="1:10">
      <c r="A1659" s="441">
        <v>11802</v>
      </c>
      <c r="B1659" s="441" t="s">
        <v>2427</v>
      </c>
      <c r="C1659" s="545">
        <v>10.833333333333334</v>
      </c>
      <c r="D1659" s="545">
        <v>6.3333333333333339</v>
      </c>
      <c r="E1659" s="545">
        <v>3</v>
      </c>
      <c r="F1659" s="545">
        <v>9.071428571428573</v>
      </c>
      <c r="G1659" s="545">
        <v>7.25</v>
      </c>
      <c r="H1659" s="545">
        <v>7.666666666666667</v>
      </c>
      <c r="I1659" s="545">
        <v>3</v>
      </c>
      <c r="J1659" s="545">
        <v>6.7023809523809517</v>
      </c>
    </row>
    <row r="1660" spans="1:10">
      <c r="A1660" s="441">
        <v>11622</v>
      </c>
      <c r="B1660" s="441" t="s">
        <v>2428</v>
      </c>
      <c r="C1660" s="545">
        <v>5.833333333333333</v>
      </c>
      <c r="D1660" s="545">
        <v>1.3333333333333333</v>
      </c>
      <c r="E1660" s="545">
        <v>0.66666666666666663</v>
      </c>
      <c r="F1660" s="545">
        <v>4.4523809523809517</v>
      </c>
      <c r="G1660" s="545">
        <v>0.6</v>
      </c>
      <c r="H1660" s="545">
        <v>0.33333333333333331</v>
      </c>
      <c r="I1660" s="545">
        <v>0.33333333333333331</v>
      </c>
      <c r="J1660" s="545">
        <v>0.52380952380952384</v>
      </c>
    </row>
    <row r="1661" spans="1:10">
      <c r="A1661" s="441">
        <v>2927</v>
      </c>
      <c r="B1661" s="441" t="s">
        <v>2429</v>
      </c>
      <c r="C1661" s="545">
        <v>11.833333333333334</v>
      </c>
      <c r="D1661" s="545">
        <v>7.6666666666666661</v>
      </c>
      <c r="E1661" s="545">
        <v>3</v>
      </c>
      <c r="F1661" s="545">
        <v>9.9761904761904781</v>
      </c>
      <c r="G1661" s="545">
        <v>6.1</v>
      </c>
      <c r="H1661" s="545">
        <v>5</v>
      </c>
      <c r="I1661" s="545">
        <v>2</v>
      </c>
      <c r="J1661" s="545">
        <v>5.3571428571428568</v>
      </c>
    </row>
    <row r="1662" spans="1:10">
      <c r="A1662" s="441">
        <v>2861</v>
      </c>
      <c r="B1662" s="441" t="s">
        <v>2430</v>
      </c>
      <c r="C1662" s="545">
        <v>0.16666666666666666</v>
      </c>
      <c r="D1662" s="545">
        <v>0</v>
      </c>
      <c r="E1662" s="545">
        <v>1.3333333333333333</v>
      </c>
      <c r="F1662" s="545">
        <v>0.30952380952380948</v>
      </c>
      <c r="G1662" s="545">
        <v>0.2</v>
      </c>
      <c r="H1662" s="545">
        <v>0.33333333333333331</v>
      </c>
      <c r="I1662" s="545">
        <v>0</v>
      </c>
      <c r="J1662" s="545">
        <v>0.19047619047619047</v>
      </c>
    </row>
    <row r="1663" spans="1:10">
      <c r="A1663" s="441">
        <v>2924</v>
      </c>
      <c r="B1663" s="441" t="s">
        <v>2431</v>
      </c>
      <c r="C1663" s="545">
        <v>2</v>
      </c>
      <c r="D1663" s="545">
        <v>1.6666666666666665</v>
      </c>
      <c r="E1663" s="545">
        <v>1.6666666666666665</v>
      </c>
      <c r="F1663" s="545">
        <v>1.9047619047619047</v>
      </c>
      <c r="G1663" s="545">
        <v>2.85</v>
      </c>
      <c r="H1663" s="545">
        <v>2</v>
      </c>
      <c r="I1663" s="545">
        <v>0.66666666666666663</v>
      </c>
      <c r="J1663" s="545">
        <v>2.416666666666667</v>
      </c>
    </row>
    <row r="1664" spans="1:10">
      <c r="A1664" s="441">
        <v>10118</v>
      </c>
      <c r="B1664" s="441" t="s">
        <v>2432</v>
      </c>
      <c r="C1664" s="545">
        <v>8.3333333333333321</v>
      </c>
      <c r="D1664" s="545">
        <v>17</v>
      </c>
      <c r="E1664" s="545">
        <v>2.6666666666666665</v>
      </c>
      <c r="F1664" s="545">
        <v>8.761904761904761</v>
      </c>
      <c r="G1664" s="545">
        <v>3.55</v>
      </c>
      <c r="H1664" s="545">
        <v>1</v>
      </c>
      <c r="I1664" s="545">
        <v>2</v>
      </c>
      <c r="J1664" s="545">
        <v>2.9642857142857144</v>
      </c>
    </row>
    <row r="1665" spans="1:10">
      <c r="A1665" s="441">
        <v>10974</v>
      </c>
      <c r="B1665" s="441" t="s">
        <v>2432</v>
      </c>
      <c r="C1665" s="545">
        <v>10</v>
      </c>
      <c r="D1665" s="545">
        <v>7.3333333333333339</v>
      </c>
      <c r="E1665" s="545">
        <v>6.333333333333333</v>
      </c>
      <c r="F1665" s="545">
        <v>9.0952380952380967</v>
      </c>
      <c r="G1665" s="545">
        <v>8.1999999999999993</v>
      </c>
      <c r="H1665" s="545">
        <v>3</v>
      </c>
      <c r="I1665" s="545">
        <v>4.666666666666667</v>
      </c>
      <c r="J1665" s="545">
        <v>6.9523809523809517</v>
      </c>
    </row>
    <row r="1666" spans="1:10">
      <c r="A1666" s="441">
        <v>2923</v>
      </c>
      <c r="B1666" s="441" t="s">
        <v>2433</v>
      </c>
      <c r="C1666" s="545">
        <v>14.5</v>
      </c>
      <c r="D1666" s="545">
        <v>4.666666666666667</v>
      </c>
      <c r="E1666" s="545">
        <v>7</v>
      </c>
      <c r="F1666" s="545">
        <v>12.023809523809524</v>
      </c>
      <c r="G1666" s="545">
        <v>7.05</v>
      </c>
      <c r="H1666" s="545">
        <v>5.666666666666667</v>
      </c>
      <c r="I1666" s="545">
        <v>5</v>
      </c>
      <c r="J1666" s="545">
        <v>6.5595238095238093</v>
      </c>
    </row>
    <row r="1667" spans="1:10">
      <c r="A1667" s="441">
        <v>2852</v>
      </c>
      <c r="B1667" s="441" t="s">
        <v>2434</v>
      </c>
      <c r="C1667" s="545">
        <v>7.166666666666667</v>
      </c>
      <c r="D1667" s="545">
        <v>1.6666666666666665</v>
      </c>
      <c r="E1667" s="545">
        <v>2</v>
      </c>
      <c r="F1667" s="545">
        <v>5.6428571428571432</v>
      </c>
      <c r="G1667" s="545">
        <v>5.65</v>
      </c>
      <c r="H1667" s="545">
        <v>3.6666666666666665</v>
      </c>
      <c r="I1667" s="545">
        <v>2.3333333333333335</v>
      </c>
      <c r="J1667" s="545">
        <v>4.8928571428571432</v>
      </c>
    </row>
    <row r="1668" spans="1:10">
      <c r="A1668" s="441">
        <v>10983</v>
      </c>
      <c r="B1668" s="441" t="s">
        <v>2435</v>
      </c>
      <c r="C1668" s="545">
        <v>6</v>
      </c>
      <c r="D1668" s="545">
        <v>2.3333333333333335</v>
      </c>
      <c r="E1668" s="545">
        <v>3.3333333333333335</v>
      </c>
      <c r="F1668" s="545">
        <v>5.0952380952380958</v>
      </c>
      <c r="G1668" s="545">
        <v>4.3</v>
      </c>
      <c r="H1668" s="545">
        <v>4.333333333333333</v>
      </c>
      <c r="I1668" s="545">
        <v>4</v>
      </c>
      <c r="J1668" s="545">
        <v>4.2619047619047619</v>
      </c>
    </row>
    <row r="1669" spans="1:10">
      <c r="A1669" s="441">
        <v>2853</v>
      </c>
      <c r="B1669" s="441" t="s">
        <v>2436</v>
      </c>
      <c r="C1669" s="545">
        <v>2.5</v>
      </c>
      <c r="D1669" s="545">
        <v>1</v>
      </c>
      <c r="E1669" s="545">
        <v>0.66666666666666663</v>
      </c>
      <c r="F1669" s="545">
        <v>2.0238095238095237</v>
      </c>
      <c r="G1669" s="545">
        <v>1.3</v>
      </c>
      <c r="H1669" s="545">
        <v>0.66666666666666663</v>
      </c>
      <c r="I1669" s="545">
        <v>0</v>
      </c>
      <c r="J1669" s="545">
        <v>1.0238095238095239</v>
      </c>
    </row>
    <row r="1670" spans="1:10">
      <c r="A1670" s="441">
        <v>10982</v>
      </c>
      <c r="B1670" s="441" t="s">
        <v>2436</v>
      </c>
      <c r="C1670" s="545">
        <v>4.6666666666666661</v>
      </c>
      <c r="D1670" s="545">
        <v>0.66666666666666663</v>
      </c>
      <c r="E1670" s="545">
        <v>0.33333333333333331</v>
      </c>
      <c r="F1670" s="545">
        <v>3.4761904761904754</v>
      </c>
      <c r="G1670" s="545">
        <v>1.65</v>
      </c>
      <c r="H1670" s="545">
        <v>2</v>
      </c>
      <c r="I1670" s="545">
        <v>0.66666666666666663</v>
      </c>
      <c r="J1670" s="545">
        <v>1.5595238095238095</v>
      </c>
    </row>
    <row r="1671" spans="1:10">
      <c r="A1671" s="441">
        <v>2854</v>
      </c>
      <c r="B1671" s="441" t="s">
        <v>2437</v>
      </c>
      <c r="C1671" s="545">
        <v>7.833333333333333</v>
      </c>
      <c r="D1671" s="545">
        <v>1.3333333333333333</v>
      </c>
      <c r="E1671" s="545">
        <v>6</v>
      </c>
      <c r="F1671" s="545">
        <v>6.6428571428571432</v>
      </c>
      <c r="G1671" s="545">
        <v>3.9</v>
      </c>
      <c r="H1671" s="545">
        <v>3</v>
      </c>
      <c r="I1671" s="545">
        <v>2</v>
      </c>
      <c r="J1671" s="545">
        <v>3.5</v>
      </c>
    </row>
    <row r="1672" spans="1:10">
      <c r="A1672" s="441">
        <v>10975</v>
      </c>
      <c r="B1672" s="441" t="s">
        <v>2438</v>
      </c>
      <c r="C1672" s="545">
        <v>8.5</v>
      </c>
      <c r="D1672" s="545">
        <v>5.6666666666666661</v>
      </c>
      <c r="E1672" s="545">
        <v>8</v>
      </c>
      <c r="F1672" s="545">
        <v>8.0238095238095237</v>
      </c>
      <c r="G1672" s="545">
        <v>3</v>
      </c>
      <c r="H1672" s="545">
        <v>4.666666666666667</v>
      </c>
      <c r="I1672" s="545">
        <v>7.333333333333333</v>
      </c>
      <c r="J1672" s="545">
        <v>3.8571428571428572</v>
      </c>
    </row>
    <row r="1673" spans="1:10">
      <c r="A1673" s="441">
        <v>2922</v>
      </c>
      <c r="B1673" s="441" t="s">
        <v>2439</v>
      </c>
      <c r="C1673" s="545">
        <v>0.83333333333333326</v>
      </c>
      <c r="D1673" s="545">
        <v>0.66666666666666663</v>
      </c>
      <c r="E1673" s="545">
        <v>0.66666666666666663</v>
      </c>
      <c r="F1673" s="545">
        <v>0.7857142857142857</v>
      </c>
      <c r="G1673" s="545">
        <v>0.8</v>
      </c>
      <c r="H1673" s="545">
        <v>0.66666666666666663</v>
      </c>
      <c r="I1673" s="545">
        <v>1</v>
      </c>
      <c r="J1673" s="545">
        <v>0.80952380952380953</v>
      </c>
    </row>
    <row r="1674" spans="1:10">
      <c r="A1674" s="441">
        <v>2925</v>
      </c>
      <c r="B1674" s="441" t="s">
        <v>2440</v>
      </c>
      <c r="C1674" s="545">
        <v>6.1666666666666661</v>
      </c>
      <c r="D1674" s="545">
        <v>3.333333333333333</v>
      </c>
      <c r="E1674" s="545">
        <v>1.3333333333333333</v>
      </c>
      <c r="F1674" s="545">
        <v>5.0714285714285712</v>
      </c>
      <c r="G1674" s="545">
        <v>5.25</v>
      </c>
      <c r="H1674" s="545">
        <v>2.3333333333333335</v>
      </c>
      <c r="I1674" s="545">
        <v>2.6666666666666665</v>
      </c>
      <c r="J1674" s="545">
        <v>4.4642857142857144</v>
      </c>
    </row>
    <row r="1675" spans="1:10">
      <c r="A1675" s="441">
        <v>2926</v>
      </c>
      <c r="B1675" s="441" t="s">
        <v>2441</v>
      </c>
      <c r="C1675" s="545">
        <v>2.8333333333333335</v>
      </c>
      <c r="D1675" s="545">
        <v>1.3333333333333333</v>
      </c>
      <c r="E1675" s="545">
        <v>1.6666666666666667</v>
      </c>
      <c r="F1675" s="545">
        <v>2.4523809523809526</v>
      </c>
      <c r="G1675" s="545">
        <v>3.1</v>
      </c>
      <c r="H1675" s="545">
        <v>2.3333333333333335</v>
      </c>
      <c r="I1675" s="545">
        <v>1.3333333333333333</v>
      </c>
      <c r="J1675" s="545">
        <v>2.7380952380952377</v>
      </c>
    </row>
    <row r="1676" spans="1:10">
      <c r="A1676" s="441">
        <v>5936</v>
      </c>
      <c r="B1676" s="441" t="s">
        <v>2442</v>
      </c>
      <c r="C1676" s="545">
        <v>43.166666666666664</v>
      </c>
      <c r="D1676" s="545">
        <v>46</v>
      </c>
      <c r="E1676" s="545">
        <v>29.666666666666664</v>
      </c>
      <c r="F1676" s="545">
        <v>41.642857142857146</v>
      </c>
      <c r="G1676" s="545">
        <v>11.7</v>
      </c>
      <c r="H1676" s="545">
        <v>6</v>
      </c>
      <c r="I1676" s="545">
        <v>8.6666666666666661</v>
      </c>
      <c r="J1676" s="545">
        <v>10.452380952380953</v>
      </c>
    </row>
    <row r="1677" spans="1:10">
      <c r="A1677" s="441">
        <v>12948</v>
      </c>
      <c r="B1677" s="441" t="s">
        <v>2443</v>
      </c>
      <c r="C1677" s="545">
        <v>43</v>
      </c>
      <c r="D1677" s="545">
        <v>38.666666666666664</v>
      </c>
      <c r="E1677" s="545">
        <v>38.666666666666671</v>
      </c>
      <c r="F1677" s="545">
        <v>41.761904761904759</v>
      </c>
      <c r="G1677" s="545">
        <v>14.45</v>
      </c>
      <c r="H1677" s="545">
        <v>19</v>
      </c>
      <c r="I1677" s="545">
        <v>8.3333333333333339</v>
      </c>
      <c r="J1677" s="545">
        <v>14.226190476190476</v>
      </c>
    </row>
    <row r="1678" spans="1:10">
      <c r="A1678" s="441">
        <v>5921</v>
      </c>
      <c r="B1678" s="441" t="s">
        <v>2444</v>
      </c>
      <c r="C1678" s="545">
        <v>3.833333333333333</v>
      </c>
      <c r="D1678" s="545">
        <v>0.66666666666666663</v>
      </c>
      <c r="E1678" s="545">
        <v>0.66666666666666663</v>
      </c>
      <c r="F1678" s="545">
        <v>2.9285714285714284</v>
      </c>
      <c r="G1678" s="545">
        <v>2.35</v>
      </c>
      <c r="H1678" s="545">
        <v>0.33333333333333331</v>
      </c>
      <c r="I1678" s="545">
        <v>0.33333333333333331</v>
      </c>
      <c r="J1678" s="545">
        <v>1.7738095238095239</v>
      </c>
    </row>
    <row r="1679" spans="1:10">
      <c r="A1679" s="441">
        <v>5906</v>
      </c>
      <c r="B1679" s="441" t="s">
        <v>2445</v>
      </c>
      <c r="C1679" s="545">
        <v>10.166666666666668</v>
      </c>
      <c r="D1679" s="545">
        <v>15.333333333333332</v>
      </c>
      <c r="E1679" s="545">
        <v>5.333333333333333</v>
      </c>
      <c r="F1679" s="545">
        <v>10.214285714285714</v>
      </c>
      <c r="G1679" s="545">
        <v>8.1999999999999993</v>
      </c>
      <c r="H1679" s="545">
        <v>6.333333333333333</v>
      </c>
      <c r="I1679" s="545">
        <v>5.666666666666667</v>
      </c>
      <c r="J1679" s="545">
        <v>7.5714285714285712</v>
      </c>
    </row>
    <row r="1680" spans="1:10">
      <c r="A1680" s="441">
        <v>5941</v>
      </c>
      <c r="B1680" s="441" t="s">
        <v>2445</v>
      </c>
      <c r="C1680" s="545">
        <v>24.5</v>
      </c>
      <c r="D1680" s="545">
        <v>18</v>
      </c>
      <c r="E1680" s="545">
        <v>13</v>
      </c>
      <c r="F1680" s="545">
        <v>21.928571428571427</v>
      </c>
      <c r="G1680" s="545">
        <v>21.45</v>
      </c>
      <c r="H1680" s="545">
        <v>9.6666666666666661</v>
      </c>
      <c r="I1680" s="545">
        <v>7.666666666666667</v>
      </c>
      <c r="J1680" s="545">
        <v>17.797619047619047</v>
      </c>
    </row>
    <row r="1681" spans="1:10">
      <c r="A1681" s="441">
        <v>5909</v>
      </c>
      <c r="B1681" s="441" t="s">
        <v>2446</v>
      </c>
      <c r="C1681" s="545">
        <v>12.333333333333334</v>
      </c>
      <c r="D1681" s="545">
        <v>8</v>
      </c>
      <c r="E1681" s="545">
        <v>5.333333333333333</v>
      </c>
      <c r="F1681" s="545">
        <v>10.714285714285714</v>
      </c>
      <c r="G1681" s="545">
        <v>13.05</v>
      </c>
      <c r="H1681" s="545">
        <v>5.333333333333333</v>
      </c>
      <c r="I1681" s="545">
        <v>4</v>
      </c>
      <c r="J1681" s="545">
        <v>10.654761904761903</v>
      </c>
    </row>
    <row r="1682" spans="1:10">
      <c r="A1682" s="441">
        <v>5938</v>
      </c>
      <c r="B1682" s="441" t="s">
        <v>2446</v>
      </c>
      <c r="C1682" s="545">
        <v>21.333333333333336</v>
      </c>
      <c r="D1682" s="545">
        <v>10.333333333333334</v>
      </c>
      <c r="E1682" s="545">
        <v>4.333333333333333</v>
      </c>
      <c r="F1682" s="545">
        <v>17.333333333333336</v>
      </c>
      <c r="G1682" s="545">
        <v>17.649999999999999</v>
      </c>
      <c r="H1682" s="545">
        <v>5</v>
      </c>
      <c r="I1682" s="545">
        <v>3</v>
      </c>
      <c r="J1682" s="545">
        <v>13.75</v>
      </c>
    </row>
    <row r="1683" spans="1:10">
      <c r="A1683" s="441">
        <v>5910</v>
      </c>
      <c r="B1683" s="441" t="s">
        <v>2447</v>
      </c>
      <c r="C1683" s="545">
        <v>45.5</v>
      </c>
      <c r="D1683" s="545">
        <v>28.333333333333336</v>
      </c>
      <c r="E1683" s="545">
        <v>10.666666666666668</v>
      </c>
      <c r="F1683" s="545">
        <v>38.071428571428569</v>
      </c>
      <c r="G1683" s="545">
        <v>26.65</v>
      </c>
      <c r="H1683" s="545">
        <v>11</v>
      </c>
      <c r="I1683" s="545">
        <v>11.666666666666666</v>
      </c>
      <c r="J1683" s="545">
        <v>22.273809523809522</v>
      </c>
    </row>
    <row r="1684" spans="1:10">
      <c r="A1684" s="441">
        <v>5937</v>
      </c>
      <c r="B1684" s="441" t="s">
        <v>2447</v>
      </c>
      <c r="C1684" s="545">
        <v>34.5</v>
      </c>
      <c r="D1684" s="545">
        <v>20.333333333333332</v>
      </c>
      <c r="E1684" s="545">
        <v>9.6666666666666679</v>
      </c>
      <c r="F1684" s="545">
        <v>28.928571428571427</v>
      </c>
      <c r="G1684" s="545">
        <v>22.1</v>
      </c>
      <c r="H1684" s="545">
        <v>12.333333333333334</v>
      </c>
      <c r="I1684" s="545">
        <v>11.333333333333334</v>
      </c>
      <c r="J1684" s="545">
        <v>19.166666666666664</v>
      </c>
    </row>
    <row r="1685" spans="1:10">
      <c r="A1685" s="441">
        <v>6292</v>
      </c>
      <c r="B1685" s="441" t="s">
        <v>2448</v>
      </c>
      <c r="C1685" s="545">
        <v>114</v>
      </c>
      <c r="D1685" s="545">
        <v>23.333333333333336</v>
      </c>
      <c r="E1685" s="545">
        <v>3</v>
      </c>
      <c r="F1685" s="545">
        <v>85.19047619047619</v>
      </c>
      <c r="G1685" s="545">
        <v>97.05</v>
      </c>
      <c r="H1685" s="545">
        <v>10</v>
      </c>
      <c r="I1685" s="545">
        <v>3.3333333333333335</v>
      </c>
      <c r="J1685" s="545">
        <v>71.226190476190467</v>
      </c>
    </row>
    <row r="1686" spans="1:10">
      <c r="A1686" s="441">
        <v>5905</v>
      </c>
      <c r="B1686" s="441" t="s">
        <v>2449</v>
      </c>
      <c r="C1686" s="545">
        <v>114.83333333333334</v>
      </c>
      <c r="D1686" s="545">
        <v>72.666666666666671</v>
      </c>
      <c r="E1686" s="545">
        <v>54.333333333333329</v>
      </c>
      <c r="F1686" s="545">
        <v>100.16666666666667</v>
      </c>
      <c r="G1686" s="545">
        <v>65.3</v>
      </c>
      <c r="H1686" s="545">
        <v>39.666666666666664</v>
      </c>
      <c r="I1686" s="545">
        <v>30.333333333333332</v>
      </c>
      <c r="J1686" s="545">
        <v>56.642857142857146</v>
      </c>
    </row>
    <row r="1687" spans="1:10">
      <c r="A1687" s="441">
        <v>5943</v>
      </c>
      <c r="B1687" s="441" t="s">
        <v>2449</v>
      </c>
      <c r="C1687" s="545">
        <v>111.83333333333333</v>
      </c>
      <c r="D1687" s="545">
        <v>75.333333333333329</v>
      </c>
      <c r="E1687" s="545">
        <v>53</v>
      </c>
      <c r="F1687" s="545">
        <v>98.214285714285708</v>
      </c>
      <c r="G1687" s="545">
        <v>50.1</v>
      </c>
      <c r="H1687" s="545">
        <v>34.333333333333336</v>
      </c>
      <c r="I1687" s="545">
        <v>33.666666666666664</v>
      </c>
      <c r="J1687" s="545">
        <v>45.5</v>
      </c>
    </row>
    <row r="1688" spans="1:10">
      <c r="A1688" s="441">
        <v>6153</v>
      </c>
      <c r="B1688" s="441" t="s">
        <v>2449</v>
      </c>
      <c r="C1688" s="545">
        <v>117.66666666666667</v>
      </c>
      <c r="D1688" s="545">
        <v>88.666666666666671</v>
      </c>
      <c r="E1688" s="545">
        <v>64</v>
      </c>
      <c r="F1688" s="545">
        <v>105.85714285714286</v>
      </c>
      <c r="G1688" s="545">
        <v>76.349999999999994</v>
      </c>
      <c r="H1688" s="545">
        <v>43.333333333333336</v>
      </c>
      <c r="I1688" s="545">
        <v>49.666666666666664</v>
      </c>
      <c r="J1688" s="545">
        <v>67.821428571428569</v>
      </c>
    </row>
    <row r="1689" spans="1:10">
      <c r="A1689" s="441">
        <v>5908</v>
      </c>
      <c r="B1689" s="441" t="s">
        <v>2450</v>
      </c>
      <c r="C1689" s="545">
        <v>47.666666666666664</v>
      </c>
      <c r="D1689" s="545">
        <v>30</v>
      </c>
      <c r="E1689" s="545">
        <v>23</v>
      </c>
      <c r="F1689" s="545">
        <v>41.619047619047613</v>
      </c>
      <c r="G1689" s="545">
        <v>33.5</v>
      </c>
      <c r="H1689" s="545">
        <v>20.666666666666668</v>
      </c>
      <c r="I1689" s="545">
        <v>23.333333333333332</v>
      </c>
      <c r="J1689" s="545">
        <v>30.214285714285715</v>
      </c>
    </row>
    <row r="1690" spans="1:10">
      <c r="A1690" s="441">
        <v>5939</v>
      </c>
      <c r="B1690" s="441" t="s">
        <v>2450</v>
      </c>
      <c r="C1690" s="545">
        <v>49.666666666666671</v>
      </c>
      <c r="D1690" s="545">
        <v>27</v>
      </c>
      <c r="E1690" s="545">
        <v>27</v>
      </c>
      <c r="F1690" s="545">
        <v>43.190476190476197</v>
      </c>
      <c r="G1690" s="545">
        <v>33.25</v>
      </c>
      <c r="H1690" s="545">
        <v>19.333333333333332</v>
      </c>
      <c r="I1690" s="545">
        <v>18.333333333333332</v>
      </c>
      <c r="J1690" s="545">
        <v>29.130952380952383</v>
      </c>
    </row>
    <row r="1691" spans="1:10">
      <c r="A1691" s="441">
        <v>6293</v>
      </c>
      <c r="B1691" s="441" t="s">
        <v>2451</v>
      </c>
      <c r="C1691" s="545">
        <v>43.5</v>
      </c>
      <c r="D1691" s="545">
        <v>17.666666666666668</v>
      </c>
      <c r="E1691" s="545">
        <v>10</v>
      </c>
      <c r="F1691" s="545">
        <v>35.023809523809526</v>
      </c>
      <c r="G1691" s="545">
        <v>13</v>
      </c>
      <c r="H1691" s="545">
        <v>9</v>
      </c>
      <c r="I1691" s="545">
        <v>5.333333333333333</v>
      </c>
      <c r="J1691" s="545">
        <v>11.333333333333332</v>
      </c>
    </row>
    <row r="1692" spans="1:10">
      <c r="A1692" s="441">
        <v>5942</v>
      </c>
      <c r="B1692" s="441" t="s">
        <v>2452</v>
      </c>
      <c r="C1692" s="545">
        <v>117.16666666666667</v>
      </c>
      <c r="D1692" s="545">
        <v>86.333333333333343</v>
      </c>
      <c r="E1692" s="545">
        <v>50.333333333333329</v>
      </c>
      <c r="F1692" s="545">
        <v>103.21428571428574</v>
      </c>
      <c r="G1692" s="545">
        <v>78.349999999999994</v>
      </c>
      <c r="H1692" s="545">
        <v>42</v>
      </c>
      <c r="I1692" s="545">
        <v>46.666666666666664</v>
      </c>
      <c r="J1692" s="545">
        <v>68.63095238095238</v>
      </c>
    </row>
    <row r="1693" spans="1:10">
      <c r="A1693" s="441">
        <v>5907</v>
      </c>
      <c r="B1693" s="441" t="s">
        <v>2453</v>
      </c>
      <c r="C1693" s="545">
        <v>100.83333333333334</v>
      </c>
      <c r="D1693" s="545">
        <v>42.333333333333336</v>
      </c>
      <c r="E1693" s="545">
        <v>28.333333333333336</v>
      </c>
      <c r="F1693" s="545">
        <v>82.119047619047635</v>
      </c>
      <c r="G1693" s="545">
        <v>63</v>
      </c>
      <c r="H1693" s="545">
        <v>28.333333333333332</v>
      </c>
      <c r="I1693" s="545">
        <v>20.666666666666668</v>
      </c>
      <c r="J1693" s="545">
        <v>52</v>
      </c>
    </row>
    <row r="1694" spans="1:10">
      <c r="A1694" s="441">
        <v>5940</v>
      </c>
      <c r="B1694" s="441" t="s">
        <v>2453</v>
      </c>
      <c r="C1694" s="545">
        <v>88.166666666666657</v>
      </c>
      <c r="D1694" s="545">
        <v>38.333333333333336</v>
      </c>
      <c r="E1694" s="545">
        <v>26.666666666666668</v>
      </c>
      <c r="F1694" s="545">
        <v>72.261904761904745</v>
      </c>
      <c r="G1694" s="545">
        <v>53.75</v>
      </c>
      <c r="H1694" s="545">
        <v>21.666666666666668</v>
      </c>
      <c r="I1694" s="545">
        <v>17</v>
      </c>
      <c r="J1694" s="545">
        <v>43.916666666666671</v>
      </c>
    </row>
    <row r="1695" spans="1:10">
      <c r="A1695" s="441">
        <v>12622</v>
      </c>
      <c r="B1695" s="441" t="s">
        <v>2454</v>
      </c>
      <c r="C1695" s="545">
        <v>17.833333333333332</v>
      </c>
      <c r="D1695" s="545">
        <v>10.666666666666668</v>
      </c>
      <c r="E1695" s="545">
        <v>8.6666666666666661</v>
      </c>
      <c r="F1695" s="545">
        <v>15.5</v>
      </c>
      <c r="G1695" s="545">
        <v>11</v>
      </c>
      <c r="H1695" s="545">
        <v>9</v>
      </c>
      <c r="I1695" s="545">
        <v>11.333333333333334</v>
      </c>
      <c r="J1695" s="545">
        <v>10.761904761904761</v>
      </c>
    </row>
    <row r="1696" spans="1:10">
      <c r="A1696" s="441">
        <v>12608</v>
      </c>
      <c r="B1696" s="441" t="s">
        <v>2455</v>
      </c>
      <c r="C1696" s="545">
        <v>3.8333333333333335</v>
      </c>
      <c r="D1696" s="545">
        <v>2.3333333333333335</v>
      </c>
      <c r="E1696" s="545">
        <v>0.66666666666666663</v>
      </c>
      <c r="F1696" s="545">
        <v>3.166666666666667</v>
      </c>
      <c r="G1696" s="545">
        <v>3.3</v>
      </c>
      <c r="H1696" s="545">
        <v>1</v>
      </c>
      <c r="I1696" s="545">
        <v>2</v>
      </c>
      <c r="J1696" s="545">
        <v>2.7857142857142856</v>
      </c>
    </row>
    <row r="1697" spans="1:10">
      <c r="A1697" s="441">
        <v>12609</v>
      </c>
      <c r="B1697" s="441" t="s">
        <v>2455</v>
      </c>
      <c r="C1697" s="545">
        <v>2</v>
      </c>
      <c r="D1697" s="545">
        <v>1.6666666666666667</v>
      </c>
      <c r="E1697" s="545">
        <v>1.6666666666666667</v>
      </c>
      <c r="F1697" s="545">
        <v>1.9047619047619047</v>
      </c>
      <c r="G1697" s="545">
        <v>2.25</v>
      </c>
      <c r="H1697" s="545">
        <v>1</v>
      </c>
      <c r="I1697" s="545">
        <v>1.6666666666666667</v>
      </c>
      <c r="J1697" s="545">
        <v>1.9880952380952379</v>
      </c>
    </row>
    <row r="1698" spans="1:10">
      <c r="A1698" s="441">
        <v>12604</v>
      </c>
      <c r="B1698" s="441" t="s">
        <v>2456</v>
      </c>
      <c r="C1698" s="545">
        <v>34.333333333333329</v>
      </c>
      <c r="D1698" s="545">
        <v>21.333333333333336</v>
      </c>
      <c r="E1698" s="545">
        <v>10</v>
      </c>
      <c r="F1698" s="545">
        <v>28.999999999999996</v>
      </c>
      <c r="G1698" s="545">
        <v>26.5</v>
      </c>
      <c r="H1698" s="545">
        <v>19</v>
      </c>
      <c r="I1698" s="545">
        <v>14.333333333333334</v>
      </c>
      <c r="J1698" s="545">
        <v>23.690476190476193</v>
      </c>
    </row>
    <row r="1699" spans="1:10">
      <c r="A1699" s="441">
        <v>12605</v>
      </c>
      <c r="B1699" s="441" t="s">
        <v>2456</v>
      </c>
      <c r="C1699" s="545">
        <v>30.166666666666664</v>
      </c>
      <c r="D1699" s="545">
        <v>15.666666666666666</v>
      </c>
      <c r="E1699" s="545">
        <v>10</v>
      </c>
      <c r="F1699" s="545">
        <v>25.214285714285712</v>
      </c>
      <c r="G1699" s="545">
        <v>24.65</v>
      </c>
      <c r="H1699" s="545">
        <v>16</v>
      </c>
      <c r="I1699" s="545">
        <v>11.333333333333334</v>
      </c>
      <c r="J1699" s="545">
        <v>21.511904761904763</v>
      </c>
    </row>
    <row r="1700" spans="1:10">
      <c r="A1700" s="441">
        <v>6326</v>
      </c>
      <c r="B1700" s="441" t="s">
        <v>2457</v>
      </c>
      <c r="C1700" s="545">
        <v>83.166666666666671</v>
      </c>
      <c r="D1700" s="545">
        <v>29.333333333333336</v>
      </c>
      <c r="E1700" s="545">
        <v>9.3333333333333321</v>
      </c>
      <c r="F1700" s="545">
        <v>64.928571428571431</v>
      </c>
      <c r="G1700" s="545">
        <v>50.15</v>
      </c>
      <c r="H1700" s="545">
        <v>7.333333333333333</v>
      </c>
      <c r="I1700" s="545">
        <v>7.666666666666667</v>
      </c>
      <c r="J1700" s="545">
        <v>37.964285714285715</v>
      </c>
    </row>
    <row r="1701" spans="1:10">
      <c r="A1701" s="441">
        <v>12606</v>
      </c>
      <c r="B1701" s="441" t="s">
        <v>2458</v>
      </c>
      <c r="C1701" s="545">
        <v>22.833333333333332</v>
      </c>
      <c r="D1701" s="545">
        <v>6.3333333333333339</v>
      </c>
      <c r="E1701" s="545">
        <v>1.3333333333333333</v>
      </c>
      <c r="F1701" s="545">
        <v>17.404761904761902</v>
      </c>
      <c r="G1701" s="545">
        <v>23.25</v>
      </c>
      <c r="H1701" s="545">
        <v>2.3333333333333335</v>
      </c>
      <c r="I1701" s="545">
        <v>1.3333333333333333</v>
      </c>
      <c r="J1701" s="545">
        <v>17.13095238095238</v>
      </c>
    </row>
    <row r="1702" spans="1:10">
      <c r="A1702" s="441">
        <v>12607</v>
      </c>
      <c r="B1702" s="441" t="s">
        <v>2458</v>
      </c>
      <c r="C1702" s="545">
        <v>17.833333333333332</v>
      </c>
      <c r="D1702" s="545">
        <v>4.333333333333333</v>
      </c>
      <c r="E1702" s="545">
        <v>3</v>
      </c>
      <c r="F1702" s="545">
        <v>13.785714285714283</v>
      </c>
      <c r="G1702" s="545">
        <v>8</v>
      </c>
      <c r="H1702" s="545">
        <v>2</v>
      </c>
      <c r="I1702" s="545">
        <v>1.6666666666666667</v>
      </c>
      <c r="J1702" s="545">
        <v>6.2380952380952381</v>
      </c>
    </row>
    <row r="1703" spans="1:10">
      <c r="A1703" s="441">
        <v>12624</v>
      </c>
      <c r="B1703" s="441" t="s">
        <v>2459</v>
      </c>
      <c r="C1703" s="545">
        <v>88.166666666666671</v>
      </c>
      <c r="D1703" s="545">
        <v>50.333333333333336</v>
      </c>
      <c r="E1703" s="545">
        <v>37.666666666666664</v>
      </c>
      <c r="F1703" s="545">
        <v>75.547619047619051</v>
      </c>
      <c r="G1703" s="545">
        <v>53.35</v>
      </c>
      <c r="H1703" s="545">
        <v>22</v>
      </c>
      <c r="I1703" s="545">
        <v>24.333333333333332</v>
      </c>
      <c r="J1703" s="545">
        <v>44.726190476190474</v>
      </c>
    </row>
    <row r="1704" spans="1:10">
      <c r="A1704" s="441">
        <v>12625</v>
      </c>
      <c r="B1704" s="441" t="s">
        <v>2459</v>
      </c>
      <c r="C1704" s="545">
        <v>75.833333333333343</v>
      </c>
      <c r="D1704" s="545">
        <v>41.333333333333336</v>
      </c>
      <c r="E1704" s="545">
        <v>30.666666666666664</v>
      </c>
      <c r="F1704" s="545">
        <v>64.452380952380963</v>
      </c>
      <c r="G1704" s="545">
        <v>56.6</v>
      </c>
      <c r="H1704" s="545">
        <v>25</v>
      </c>
      <c r="I1704" s="545">
        <v>17</v>
      </c>
      <c r="J1704" s="545">
        <v>46.428571428571431</v>
      </c>
    </row>
    <row r="1705" spans="1:10">
      <c r="A1705" s="441">
        <v>12610</v>
      </c>
      <c r="B1705" s="441" t="s">
        <v>2460</v>
      </c>
      <c r="C1705" s="545">
        <v>6</v>
      </c>
      <c r="D1705" s="545">
        <v>1.3333333333333333</v>
      </c>
      <c r="E1705" s="545">
        <v>0.33333333333333331</v>
      </c>
      <c r="F1705" s="545">
        <v>4.5238095238095237</v>
      </c>
      <c r="G1705" s="545">
        <v>2.7</v>
      </c>
      <c r="H1705" s="545">
        <v>1</v>
      </c>
      <c r="I1705" s="545">
        <v>0.33333333333333331</v>
      </c>
      <c r="J1705" s="545">
        <v>2.1190476190476191</v>
      </c>
    </row>
    <row r="1706" spans="1:10">
      <c r="A1706" s="441">
        <v>12611</v>
      </c>
      <c r="B1706" s="441" t="s">
        <v>2460</v>
      </c>
      <c r="C1706" s="545">
        <v>3.5</v>
      </c>
      <c r="D1706" s="545">
        <v>0.66666666666666663</v>
      </c>
      <c r="E1706" s="545">
        <v>1</v>
      </c>
      <c r="F1706" s="545">
        <v>2.7380952380952381</v>
      </c>
      <c r="G1706" s="545">
        <v>4.45</v>
      </c>
      <c r="H1706" s="545">
        <v>1</v>
      </c>
      <c r="I1706" s="545">
        <v>0.66666666666666663</v>
      </c>
      <c r="J1706" s="545">
        <v>3.416666666666667</v>
      </c>
    </row>
    <row r="1707" spans="1:10">
      <c r="A1707" s="441">
        <v>12626</v>
      </c>
      <c r="B1707" s="441" t="s">
        <v>2461</v>
      </c>
      <c r="C1707" s="545">
        <v>8</v>
      </c>
      <c r="D1707" s="545">
        <v>3.6666666666666665</v>
      </c>
      <c r="E1707" s="545">
        <v>6</v>
      </c>
      <c r="F1707" s="545">
        <v>7.0952380952380949</v>
      </c>
      <c r="G1707" s="545">
        <v>9.0500000000000007</v>
      </c>
      <c r="H1707" s="545">
        <v>6</v>
      </c>
      <c r="I1707" s="545">
        <v>6.333333333333333</v>
      </c>
      <c r="J1707" s="545">
        <v>8.2261904761904763</v>
      </c>
    </row>
    <row r="1708" spans="1:10">
      <c r="A1708" s="441">
        <v>12627</v>
      </c>
      <c r="B1708" s="441" t="s">
        <v>2461</v>
      </c>
      <c r="C1708" s="545">
        <v>10.5</v>
      </c>
      <c r="D1708" s="545">
        <v>6.6666666666666661</v>
      </c>
      <c r="E1708" s="545">
        <v>4.333333333333333</v>
      </c>
      <c r="F1708" s="545">
        <v>9.0714285714285712</v>
      </c>
      <c r="G1708" s="545">
        <v>10.3</v>
      </c>
      <c r="H1708" s="545">
        <v>4.333333333333333</v>
      </c>
      <c r="I1708" s="545">
        <v>7.666666666666667</v>
      </c>
      <c r="J1708" s="545">
        <v>9.0714285714285712</v>
      </c>
    </row>
    <row r="1709" spans="1:10">
      <c r="A1709" s="441">
        <v>6328</v>
      </c>
      <c r="B1709" s="441" t="s">
        <v>2462</v>
      </c>
      <c r="C1709" s="545">
        <v>26</v>
      </c>
      <c r="D1709" s="545">
        <v>18.333333333333332</v>
      </c>
      <c r="E1709" s="545">
        <v>5.6666666666666661</v>
      </c>
      <c r="F1709" s="545">
        <v>22</v>
      </c>
      <c r="G1709" s="545">
        <v>42.45</v>
      </c>
      <c r="H1709" s="545">
        <v>11.333333333333334</v>
      </c>
      <c r="I1709" s="545">
        <v>6.333333333333333</v>
      </c>
      <c r="J1709" s="545">
        <v>32.845238095238095</v>
      </c>
    </row>
    <row r="1710" spans="1:10">
      <c r="A1710" s="441">
        <v>12623</v>
      </c>
      <c r="B1710" s="441" t="s">
        <v>2463</v>
      </c>
      <c r="C1710" s="545">
        <v>12</v>
      </c>
      <c r="D1710" s="545">
        <v>9</v>
      </c>
      <c r="E1710" s="545">
        <v>7.666666666666667</v>
      </c>
      <c r="F1710" s="545">
        <v>10.952380952380953</v>
      </c>
      <c r="G1710" s="545">
        <v>10.8</v>
      </c>
      <c r="H1710" s="545">
        <v>6</v>
      </c>
      <c r="I1710" s="545">
        <v>5.666666666666667</v>
      </c>
      <c r="J1710" s="545">
        <v>9.3809523809523814</v>
      </c>
    </row>
    <row r="1711" spans="1:10">
      <c r="A1711" s="441">
        <v>12612</v>
      </c>
      <c r="B1711" s="441" t="s">
        <v>2464</v>
      </c>
      <c r="C1711" s="545">
        <v>3.333333333333333</v>
      </c>
      <c r="D1711" s="545">
        <v>3</v>
      </c>
      <c r="E1711" s="545">
        <v>0.66666666666666663</v>
      </c>
      <c r="F1711" s="545">
        <v>2.9047619047619047</v>
      </c>
      <c r="G1711" s="545">
        <v>3.85</v>
      </c>
      <c r="H1711" s="545">
        <v>0.66666666666666663</v>
      </c>
      <c r="I1711" s="545">
        <v>2.3333333333333335</v>
      </c>
      <c r="J1711" s="545">
        <v>3.1785714285714284</v>
      </c>
    </row>
    <row r="1712" spans="1:10">
      <c r="A1712" s="441">
        <v>12613</v>
      </c>
      <c r="B1712" s="441" t="s">
        <v>2464</v>
      </c>
      <c r="C1712" s="545">
        <v>10.833333333333332</v>
      </c>
      <c r="D1712" s="545">
        <v>5</v>
      </c>
      <c r="E1712" s="545">
        <v>1.3333333333333333</v>
      </c>
      <c r="F1712" s="545">
        <v>8.6428571428571423</v>
      </c>
      <c r="G1712" s="545">
        <v>5.35</v>
      </c>
      <c r="H1712" s="545">
        <v>2</v>
      </c>
      <c r="I1712" s="545">
        <v>11.666666666666666</v>
      </c>
      <c r="J1712" s="545">
        <v>5.7738095238095237</v>
      </c>
    </row>
    <row r="1713" spans="1:10">
      <c r="A1713" s="441">
        <v>12862</v>
      </c>
      <c r="B1713" s="441" t="s">
        <v>2465</v>
      </c>
      <c r="C1713" s="545">
        <v>10.5</v>
      </c>
      <c r="D1713" s="545">
        <v>7.3333333333333339</v>
      </c>
      <c r="E1713" s="545">
        <v>4.333333333333333</v>
      </c>
      <c r="F1713" s="545">
        <v>9.1666666666666679</v>
      </c>
      <c r="G1713" s="545">
        <v>10.65</v>
      </c>
      <c r="H1713" s="545">
        <v>5.666666666666667</v>
      </c>
      <c r="I1713" s="545">
        <v>2.3333333333333335</v>
      </c>
      <c r="J1713" s="545">
        <v>8.75</v>
      </c>
    </row>
    <row r="1714" spans="1:10">
      <c r="A1714" s="441">
        <v>12863</v>
      </c>
      <c r="B1714" s="441" t="s">
        <v>2465</v>
      </c>
      <c r="C1714" s="545">
        <v>18.166666666666664</v>
      </c>
      <c r="D1714" s="545">
        <v>8</v>
      </c>
      <c r="E1714" s="545">
        <v>7</v>
      </c>
      <c r="F1714" s="545">
        <v>15.119047619047617</v>
      </c>
      <c r="G1714" s="545">
        <v>9.1</v>
      </c>
      <c r="H1714" s="545">
        <v>3</v>
      </c>
      <c r="I1714" s="545">
        <v>4.666666666666667</v>
      </c>
      <c r="J1714" s="545">
        <v>7.5952380952380949</v>
      </c>
    </row>
    <row r="1715" spans="1:10">
      <c r="A1715" s="441">
        <v>12860</v>
      </c>
      <c r="B1715" s="441" t="s">
        <v>2466</v>
      </c>
      <c r="C1715" s="545">
        <v>10.5</v>
      </c>
      <c r="D1715" s="545">
        <v>4</v>
      </c>
      <c r="E1715" s="545">
        <v>2</v>
      </c>
      <c r="F1715" s="545">
        <v>8.3571428571428577</v>
      </c>
      <c r="G1715" s="545">
        <v>11.05</v>
      </c>
      <c r="H1715" s="545">
        <v>6.666666666666667</v>
      </c>
      <c r="I1715" s="545">
        <v>3.3333333333333335</v>
      </c>
      <c r="J1715" s="545">
        <v>9.3214285714285712</v>
      </c>
    </row>
    <row r="1716" spans="1:10">
      <c r="A1716" s="441">
        <v>12861</v>
      </c>
      <c r="B1716" s="441" t="s">
        <v>2467</v>
      </c>
      <c r="C1716" s="545">
        <v>49.666666666666664</v>
      </c>
      <c r="D1716" s="545">
        <v>26</v>
      </c>
      <c r="E1716" s="545">
        <v>22.333333333333332</v>
      </c>
      <c r="F1716" s="545">
        <v>42.380952380952372</v>
      </c>
      <c r="G1716" s="545">
        <v>37.35</v>
      </c>
      <c r="H1716" s="545">
        <v>27</v>
      </c>
      <c r="I1716" s="545">
        <v>24</v>
      </c>
      <c r="J1716" s="545">
        <v>33.964285714285715</v>
      </c>
    </row>
    <row r="1717" spans="1:10">
      <c r="A1717" s="441">
        <v>8534</v>
      </c>
      <c r="B1717" s="441" t="s">
        <v>2468</v>
      </c>
      <c r="C1717" s="545">
        <v>30.5</v>
      </c>
      <c r="D1717" s="545">
        <v>16</v>
      </c>
      <c r="E1717" s="545">
        <v>11</v>
      </c>
      <c r="F1717" s="545">
        <v>25.642857142857142</v>
      </c>
      <c r="G1717" s="545">
        <v>20.65</v>
      </c>
      <c r="H1717" s="545">
        <v>12.666666666666666</v>
      </c>
      <c r="I1717" s="545">
        <v>9.3333333333333339</v>
      </c>
      <c r="J1717" s="545">
        <v>17.892857142857142</v>
      </c>
    </row>
    <row r="1718" spans="1:10">
      <c r="A1718" s="441">
        <v>11669</v>
      </c>
      <c r="B1718" s="441" t="s">
        <v>2469</v>
      </c>
      <c r="C1718" s="545">
        <v>216</v>
      </c>
      <c r="D1718" s="545">
        <v>0</v>
      </c>
      <c r="E1718" s="545">
        <v>0</v>
      </c>
      <c r="F1718" s="545">
        <v>154.28571428571428</v>
      </c>
      <c r="G1718" s="545">
        <v>44.7</v>
      </c>
      <c r="H1718" s="545"/>
      <c r="I1718" s="545"/>
      <c r="J1718" s="545">
        <v>31.928571428571427</v>
      </c>
    </row>
    <row r="1719" spans="1:10">
      <c r="A1719" s="441">
        <v>8533</v>
      </c>
      <c r="B1719" s="441" t="s">
        <v>2470</v>
      </c>
      <c r="C1719" s="545">
        <v>16</v>
      </c>
      <c r="D1719" s="545">
        <v>7.333333333333333</v>
      </c>
      <c r="E1719" s="545">
        <v>7</v>
      </c>
      <c r="F1719" s="545">
        <v>13.476190476190476</v>
      </c>
      <c r="G1719" s="545">
        <v>2.5499999999999998</v>
      </c>
      <c r="H1719" s="545">
        <v>1</v>
      </c>
      <c r="I1719" s="545">
        <v>2</v>
      </c>
      <c r="J1719" s="545">
        <v>2.25</v>
      </c>
    </row>
    <row r="1720" spans="1:10">
      <c r="A1720" s="441">
        <v>12425</v>
      </c>
      <c r="B1720" s="441" t="s">
        <v>2471</v>
      </c>
      <c r="C1720" s="545">
        <v>1.8333333333333335</v>
      </c>
      <c r="D1720" s="545">
        <v>0.66666666666666663</v>
      </c>
      <c r="E1720" s="545">
        <v>0.33333333333333331</v>
      </c>
      <c r="F1720" s="545">
        <v>1.4523809523809526</v>
      </c>
      <c r="G1720" s="545">
        <v>0.78947368421052633</v>
      </c>
      <c r="H1720" s="545">
        <v>0.66666666666666663</v>
      </c>
      <c r="I1720" s="545">
        <v>1</v>
      </c>
      <c r="J1720" s="545">
        <v>0.80200501253132839</v>
      </c>
    </row>
    <row r="1721" spans="1:10">
      <c r="A1721" s="441">
        <v>12429</v>
      </c>
      <c r="B1721" s="441" t="s">
        <v>2472</v>
      </c>
      <c r="C1721" s="545">
        <v>14.333333333333334</v>
      </c>
      <c r="D1721" s="545">
        <v>12</v>
      </c>
      <c r="E1721" s="545">
        <v>5</v>
      </c>
      <c r="F1721" s="545">
        <v>12.666666666666668</v>
      </c>
      <c r="G1721" s="545">
        <v>11.8</v>
      </c>
      <c r="H1721" s="545">
        <v>6.666666666666667</v>
      </c>
      <c r="I1721" s="545">
        <v>6</v>
      </c>
      <c r="J1721" s="545">
        <v>10.238095238095239</v>
      </c>
    </row>
    <row r="1722" spans="1:10">
      <c r="A1722" s="441">
        <v>10149</v>
      </c>
      <c r="B1722" s="441" t="s">
        <v>2473</v>
      </c>
      <c r="C1722" s="545">
        <v>4.3333333333333339</v>
      </c>
      <c r="D1722" s="545">
        <v>1</v>
      </c>
      <c r="E1722" s="545">
        <v>0</v>
      </c>
      <c r="F1722" s="545">
        <v>3.2380952380952386</v>
      </c>
      <c r="G1722" s="545">
        <v>1.7</v>
      </c>
      <c r="H1722" s="545">
        <v>0.66666666666666663</v>
      </c>
      <c r="I1722" s="545">
        <v>0</v>
      </c>
      <c r="J1722" s="545">
        <v>1.3095238095238095</v>
      </c>
    </row>
    <row r="1723" spans="1:10">
      <c r="A1723" s="441">
        <v>9109</v>
      </c>
      <c r="B1723" s="441" t="s">
        <v>2474</v>
      </c>
      <c r="C1723" s="545">
        <v>3.6666666666666665</v>
      </c>
      <c r="D1723" s="545">
        <v>0.33333333333333331</v>
      </c>
      <c r="E1723" s="545">
        <v>0.33333333333333331</v>
      </c>
      <c r="F1723" s="545">
        <v>2.714285714285714</v>
      </c>
      <c r="G1723" s="545">
        <v>5.25</v>
      </c>
      <c r="H1723" s="545">
        <v>6</v>
      </c>
      <c r="I1723" s="545">
        <v>1.6666666666666667</v>
      </c>
      <c r="J1723" s="545">
        <v>4.8452380952380949</v>
      </c>
    </row>
    <row r="1724" spans="1:10">
      <c r="A1724" s="441">
        <v>9112</v>
      </c>
      <c r="B1724" s="441" t="s">
        <v>2475</v>
      </c>
      <c r="C1724" s="545">
        <v>16</v>
      </c>
      <c r="D1724" s="545">
        <v>11.666666666666668</v>
      </c>
      <c r="E1724" s="545">
        <v>8.6666666666666679</v>
      </c>
      <c r="F1724" s="545">
        <v>14.333333333333334</v>
      </c>
      <c r="G1724" s="545">
        <v>9</v>
      </c>
      <c r="H1724" s="545">
        <v>5.333333333333333</v>
      </c>
      <c r="I1724" s="545">
        <v>3.6666666666666665</v>
      </c>
      <c r="J1724" s="545">
        <v>7.7142857142857144</v>
      </c>
    </row>
    <row r="1725" spans="1:10">
      <c r="A1725" s="441">
        <v>9108</v>
      </c>
      <c r="B1725" s="441" t="s">
        <v>2476</v>
      </c>
      <c r="C1725" s="545">
        <v>5.1666666666666661</v>
      </c>
      <c r="D1725" s="545">
        <v>2.666666666666667</v>
      </c>
      <c r="E1725" s="545">
        <v>0.33333333333333331</v>
      </c>
      <c r="F1725" s="545">
        <v>4.1190476190476186</v>
      </c>
      <c r="G1725" s="545">
        <v>1.75</v>
      </c>
      <c r="H1725" s="545">
        <v>0.33333333333333331</v>
      </c>
      <c r="I1725" s="545">
        <v>1</v>
      </c>
      <c r="J1725" s="545">
        <v>1.4404761904761905</v>
      </c>
    </row>
    <row r="1726" spans="1:10">
      <c r="A1726" s="441">
        <v>9111</v>
      </c>
      <c r="B1726" s="441" t="s">
        <v>2476</v>
      </c>
      <c r="C1726" s="545">
        <v>1.5</v>
      </c>
      <c r="D1726" s="545">
        <v>0</v>
      </c>
      <c r="E1726" s="545">
        <v>2.3333333333333335</v>
      </c>
      <c r="F1726" s="545">
        <v>1.4047619047619049</v>
      </c>
      <c r="G1726" s="545">
        <v>0.65</v>
      </c>
      <c r="H1726" s="545">
        <v>0</v>
      </c>
      <c r="I1726" s="545">
        <v>0</v>
      </c>
      <c r="J1726" s="545">
        <v>0.4642857142857143</v>
      </c>
    </row>
    <row r="1727" spans="1:10">
      <c r="A1727" s="441">
        <v>9105</v>
      </c>
      <c r="B1727" s="441" t="s">
        <v>2477</v>
      </c>
      <c r="C1727" s="545">
        <v>7.166666666666667</v>
      </c>
      <c r="D1727" s="545">
        <v>5</v>
      </c>
      <c r="E1727" s="545">
        <v>5.333333333333333</v>
      </c>
      <c r="F1727" s="545">
        <v>6.5952380952380958</v>
      </c>
      <c r="G1727" s="545">
        <v>4.8</v>
      </c>
      <c r="H1727" s="545">
        <v>5</v>
      </c>
      <c r="I1727" s="545">
        <v>3</v>
      </c>
      <c r="J1727" s="545">
        <v>4.5714285714285712</v>
      </c>
    </row>
    <row r="1728" spans="1:10">
      <c r="A1728" s="441">
        <v>9114</v>
      </c>
      <c r="B1728" s="441" t="s">
        <v>2477</v>
      </c>
      <c r="C1728" s="545">
        <v>5.166666666666667</v>
      </c>
      <c r="D1728" s="545">
        <v>2</v>
      </c>
      <c r="E1728" s="545">
        <v>0.66666666666666663</v>
      </c>
      <c r="F1728" s="545">
        <v>4.0714285714285721</v>
      </c>
      <c r="G1728" s="545">
        <v>2.9</v>
      </c>
      <c r="H1728" s="545">
        <v>3.6666666666666665</v>
      </c>
      <c r="I1728" s="545">
        <v>2</v>
      </c>
      <c r="J1728" s="545">
        <v>2.8809523809523809</v>
      </c>
    </row>
    <row r="1729" spans="1:10">
      <c r="A1729" s="441">
        <v>9106</v>
      </c>
      <c r="B1729" s="441" t="s">
        <v>2478</v>
      </c>
      <c r="C1729" s="545">
        <v>82.5</v>
      </c>
      <c r="D1729" s="545">
        <v>42.666666666666664</v>
      </c>
      <c r="E1729" s="545">
        <v>34.333333333333336</v>
      </c>
      <c r="F1729" s="545">
        <v>69.928571428571431</v>
      </c>
      <c r="G1729" s="545">
        <v>40.700000000000003</v>
      </c>
      <c r="H1729" s="545">
        <v>31</v>
      </c>
      <c r="I1729" s="545">
        <v>26.666666666666668</v>
      </c>
      <c r="J1729" s="545">
        <v>37.30952380952381</v>
      </c>
    </row>
    <row r="1730" spans="1:10">
      <c r="A1730" s="441">
        <v>9113</v>
      </c>
      <c r="B1730" s="441" t="s">
        <v>2478</v>
      </c>
      <c r="C1730" s="545">
        <v>91.333333333333343</v>
      </c>
      <c r="D1730" s="545">
        <v>55.333333333333329</v>
      </c>
      <c r="E1730" s="545">
        <v>36.666666666666664</v>
      </c>
      <c r="F1730" s="545">
        <v>78.380952380952394</v>
      </c>
      <c r="G1730" s="545">
        <v>41.35</v>
      </c>
      <c r="H1730" s="545">
        <v>32.666666666666664</v>
      </c>
      <c r="I1730" s="545">
        <v>24.333333333333332</v>
      </c>
      <c r="J1730" s="545">
        <v>37.678571428571431</v>
      </c>
    </row>
    <row r="1731" spans="1:10">
      <c r="A1731" s="441">
        <v>11606</v>
      </c>
      <c r="B1731" s="441" t="s">
        <v>2479</v>
      </c>
      <c r="C1731" s="545">
        <v>15.333333333333332</v>
      </c>
      <c r="D1731" s="545">
        <v>6.666666666666667</v>
      </c>
      <c r="E1731" s="545">
        <v>5</v>
      </c>
      <c r="F1731" s="545">
        <v>12.619047619047619</v>
      </c>
      <c r="G1731" s="545">
        <v>8.1</v>
      </c>
      <c r="H1731" s="545">
        <v>4</v>
      </c>
      <c r="I1731" s="545">
        <v>2.3333333333333335</v>
      </c>
      <c r="J1731" s="545">
        <v>6.6904761904761907</v>
      </c>
    </row>
    <row r="1732" spans="1:10">
      <c r="A1732" s="441">
        <v>1612</v>
      </c>
      <c r="B1732" s="441" t="s">
        <v>2480</v>
      </c>
      <c r="C1732" s="545">
        <v>88.5</v>
      </c>
      <c r="D1732" s="545">
        <v>39.666666666666664</v>
      </c>
      <c r="E1732" s="545">
        <v>25.666666666666664</v>
      </c>
      <c r="F1732" s="545">
        <v>72.547619047619051</v>
      </c>
      <c r="G1732" s="545">
        <v>32.9</v>
      </c>
      <c r="H1732" s="545">
        <v>99.666666666666671</v>
      </c>
      <c r="I1732" s="545">
        <v>17.333333333333332</v>
      </c>
      <c r="J1732" s="545">
        <v>40.214285714285715</v>
      </c>
    </row>
    <row r="1733" spans="1:10">
      <c r="A1733" s="441">
        <v>1617</v>
      </c>
      <c r="B1733" s="441" t="s">
        <v>2480</v>
      </c>
      <c r="C1733" s="545">
        <v>99.833333333333343</v>
      </c>
      <c r="D1733" s="545">
        <v>44.333333333333329</v>
      </c>
      <c r="E1733" s="545">
        <v>26.666666666666668</v>
      </c>
      <c r="F1733" s="545">
        <v>81.452380952380963</v>
      </c>
      <c r="G1733" s="545">
        <v>43.2</v>
      </c>
      <c r="H1733" s="545">
        <v>25.333333333333332</v>
      </c>
      <c r="I1733" s="545">
        <v>18</v>
      </c>
      <c r="J1733" s="545">
        <v>37.047619047619051</v>
      </c>
    </row>
    <row r="1734" spans="1:10">
      <c r="A1734" s="441">
        <v>12045</v>
      </c>
      <c r="B1734" s="441" t="s">
        <v>2481</v>
      </c>
      <c r="C1734" s="545">
        <v>15.333333333333334</v>
      </c>
      <c r="D1734" s="545">
        <v>13.333333333333334</v>
      </c>
      <c r="E1734" s="545">
        <v>7</v>
      </c>
      <c r="F1734" s="545">
        <v>13.857142857142858</v>
      </c>
      <c r="G1734" s="545">
        <v>35.85</v>
      </c>
      <c r="H1734" s="545">
        <v>23.333333333333332</v>
      </c>
      <c r="I1734" s="545">
        <v>18.666666666666668</v>
      </c>
      <c r="J1734" s="545">
        <v>31.607142857142858</v>
      </c>
    </row>
    <row r="1735" spans="1:10">
      <c r="A1735" s="441">
        <v>1616</v>
      </c>
      <c r="B1735" s="441" t="s">
        <v>2482</v>
      </c>
      <c r="C1735" s="545">
        <v>34.333333333333329</v>
      </c>
      <c r="D1735" s="545">
        <v>20.333333333333332</v>
      </c>
      <c r="E1735" s="545">
        <v>13.333333333333334</v>
      </c>
      <c r="F1735" s="545">
        <v>29.333333333333332</v>
      </c>
      <c r="G1735" s="545">
        <v>21.8</v>
      </c>
      <c r="H1735" s="545">
        <v>15.666666666666666</v>
      </c>
      <c r="I1735" s="545">
        <v>13.333333333333334</v>
      </c>
      <c r="J1735" s="545">
        <v>19.714285714285715</v>
      </c>
    </row>
    <row r="1736" spans="1:10">
      <c r="A1736" s="441">
        <v>1614</v>
      </c>
      <c r="B1736" s="441" t="s">
        <v>2483</v>
      </c>
      <c r="C1736" s="545">
        <v>29</v>
      </c>
      <c r="D1736" s="545">
        <v>16.666666666666668</v>
      </c>
      <c r="E1736" s="545">
        <v>15.666666666666668</v>
      </c>
      <c r="F1736" s="545">
        <v>25.333333333333332</v>
      </c>
      <c r="G1736" s="545">
        <v>18.45</v>
      </c>
      <c r="H1736" s="545">
        <v>16.666666666666668</v>
      </c>
      <c r="I1736" s="545">
        <v>12.666666666666666</v>
      </c>
      <c r="J1736" s="545">
        <v>17.36904761904762</v>
      </c>
    </row>
    <row r="1737" spans="1:10">
      <c r="A1737" s="441">
        <v>1615</v>
      </c>
      <c r="B1737" s="441" t="s">
        <v>2483</v>
      </c>
      <c r="C1737" s="545">
        <v>23.166666666666664</v>
      </c>
      <c r="D1737" s="545">
        <v>14.333333333333332</v>
      </c>
      <c r="E1737" s="545">
        <v>12.666666666666668</v>
      </c>
      <c r="F1737" s="545">
        <v>20.404761904761902</v>
      </c>
      <c r="G1737" s="545">
        <v>25.7</v>
      </c>
      <c r="H1737" s="545">
        <v>15</v>
      </c>
      <c r="I1737" s="545">
        <v>9.6666666666666661</v>
      </c>
      <c r="J1737" s="545">
        <v>21.88095238095238</v>
      </c>
    </row>
    <row r="1738" spans="1:10">
      <c r="A1738" s="441">
        <v>1611</v>
      </c>
      <c r="B1738" s="441" t="s">
        <v>2484</v>
      </c>
      <c r="C1738" s="545">
        <v>78.333333333333329</v>
      </c>
      <c r="D1738" s="545">
        <v>37.333333333333336</v>
      </c>
      <c r="E1738" s="545">
        <v>33.333333333333336</v>
      </c>
      <c r="F1738" s="545">
        <v>66.047619047619037</v>
      </c>
      <c r="G1738" s="545">
        <v>47.65</v>
      </c>
      <c r="H1738" s="545">
        <v>22.666666666666668</v>
      </c>
      <c r="I1738" s="545">
        <v>22.333333333333332</v>
      </c>
      <c r="J1738" s="545">
        <v>40.464285714285715</v>
      </c>
    </row>
    <row r="1739" spans="1:10">
      <c r="A1739" s="441">
        <v>1618</v>
      </c>
      <c r="B1739" s="441" t="s">
        <v>2484</v>
      </c>
      <c r="C1739" s="545">
        <v>62.333333333333336</v>
      </c>
      <c r="D1739" s="545">
        <v>28.333333333333336</v>
      </c>
      <c r="E1739" s="545">
        <v>19.666666666666668</v>
      </c>
      <c r="F1739" s="545">
        <v>51.380952380952387</v>
      </c>
      <c r="G1739" s="545">
        <v>40.1</v>
      </c>
      <c r="H1739" s="545">
        <v>17.666666666666668</v>
      </c>
      <c r="I1739" s="545">
        <v>11.333333333333334</v>
      </c>
      <c r="J1739" s="545">
        <v>32.785714285714285</v>
      </c>
    </row>
    <row r="1740" spans="1:10">
      <c r="A1740" s="441">
        <v>1613</v>
      </c>
      <c r="B1740" s="441" t="s">
        <v>2485</v>
      </c>
      <c r="C1740" s="545">
        <v>40.5</v>
      </c>
      <c r="D1740" s="545">
        <v>21.333333333333336</v>
      </c>
      <c r="E1740" s="545">
        <v>23</v>
      </c>
      <c r="F1740" s="545">
        <v>35.261904761904766</v>
      </c>
      <c r="G1740" s="545">
        <v>19.399999999999999</v>
      </c>
      <c r="H1740" s="545">
        <v>11</v>
      </c>
      <c r="I1740" s="545">
        <v>8.6666666666666661</v>
      </c>
      <c r="J1740" s="545">
        <v>16.666666666666668</v>
      </c>
    </row>
    <row r="1741" spans="1:10">
      <c r="A1741" s="441">
        <v>372</v>
      </c>
      <c r="B1741" s="441" t="s">
        <v>2486</v>
      </c>
      <c r="C1741" s="545">
        <v>0.5</v>
      </c>
      <c r="D1741" s="545">
        <v>0</v>
      </c>
      <c r="E1741" s="545">
        <v>0</v>
      </c>
      <c r="F1741" s="545">
        <v>0.35714285714285715</v>
      </c>
      <c r="G1741" s="545">
        <v>0.5</v>
      </c>
      <c r="H1741" s="545">
        <v>0.33333333333333331</v>
      </c>
      <c r="I1741" s="545">
        <v>0</v>
      </c>
      <c r="J1741" s="545">
        <v>0.40476190476190477</v>
      </c>
    </row>
    <row r="1742" spans="1:10">
      <c r="A1742" s="441">
        <v>373</v>
      </c>
      <c r="B1742" s="441" t="s">
        <v>2487</v>
      </c>
      <c r="C1742" s="545">
        <v>2</v>
      </c>
      <c r="D1742" s="545">
        <v>2</v>
      </c>
      <c r="E1742" s="545">
        <v>0</v>
      </c>
      <c r="F1742" s="545">
        <v>1.7142857142857142</v>
      </c>
      <c r="G1742" s="545">
        <v>1.9</v>
      </c>
      <c r="H1742" s="545">
        <v>0</v>
      </c>
      <c r="I1742" s="545">
        <v>0</v>
      </c>
      <c r="J1742" s="545">
        <v>1.3571428571428572</v>
      </c>
    </row>
    <row r="1743" spans="1:10">
      <c r="A1743" s="441">
        <v>356</v>
      </c>
      <c r="B1743" s="441" t="s">
        <v>2488</v>
      </c>
      <c r="C1743" s="545">
        <v>3.1666666666666665</v>
      </c>
      <c r="D1743" s="545">
        <v>3.6666666666666665</v>
      </c>
      <c r="E1743" s="545">
        <v>0.66666666666666663</v>
      </c>
      <c r="F1743" s="545">
        <v>2.8809523809523809</v>
      </c>
      <c r="G1743" s="545">
        <v>1.65</v>
      </c>
      <c r="H1743" s="545">
        <v>1</v>
      </c>
      <c r="I1743" s="545">
        <v>0.33333333333333331</v>
      </c>
      <c r="J1743" s="545">
        <v>1.3690476190476191</v>
      </c>
    </row>
    <row r="1744" spans="1:10">
      <c r="A1744" s="441">
        <v>393</v>
      </c>
      <c r="B1744" s="441" t="s">
        <v>2488</v>
      </c>
      <c r="C1744" s="545">
        <v>7.5</v>
      </c>
      <c r="D1744" s="545">
        <v>2</v>
      </c>
      <c r="E1744" s="545">
        <v>0.33333333333333331</v>
      </c>
      <c r="F1744" s="545">
        <v>5.6904761904761907</v>
      </c>
      <c r="G1744" s="545">
        <v>3.9</v>
      </c>
      <c r="H1744" s="545">
        <v>1.3333333333333333</v>
      </c>
      <c r="I1744" s="545">
        <v>2</v>
      </c>
      <c r="J1744" s="545">
        <v>3.2619047619047619</v>
      </c>
    </row>
    <row r="1745" spans="1:10">
      <c r="A1745" s="441">
        <v>358</v>
      </c>
      <c r="B1745" s="441" t="s">
        <v>2489</v>
      </c>
      <c r="C1745" s="545">
        <v>1.1666666666666667</v>
      </c>
      <c r="D1745" s="545">
        <v>0</v>
      </c>
      <c r="E1745" s="545">
        <v>0</v>
      </c>
      <c r="F1745" s="545">
        <v>0.83333333333333337</v>
      </c>
      <c r="G1745" s="545">
        <v>1.05</v>
      </c>
      <c r="H1745" s="545">
        <v>2</v>
      </c>
      <c r="I1745" s="545">
        <v>2</v>
      </c>
      <c r="J1745" s="545">
        <v>1.3214285714285714</v>
      </c>
    </row>
    <row r="1746" spans="1:10">
      <c r="A1746" s="441">
        <v>391</v>
      </c>
      <c r="B1746" s="441" t="s">
        <v>2489</v>
      </c>
      <c r="C1746" s="545">
        <v>1.8333333333333335</v>
      </c>
      <c r="D1746" s="545">
        <v>1</v>
      </c>
      <c r="E1746" s="545">
        <v>0.33333333333333331</v>
      </c>
      <c r="F1746" s="545">
        <v>1.5000000000000002</v>
      </c>
      <c r="G1746" s="545">
        <v>1.3</v>
      </c>
      <c r="H1746" s="545">
        <v>2</v>
      </c>
      <c r="I1746" s="545">
        <v>1.6666666666666667</v>
      </c>
      <c r="J1746" s="545">
        <v>1.4523809523809523</v>
      </c>
    </row>
    <row r="1747" spans="1:10">
      <c r="A1747" s="441">
        <v>359</v>
      </c>
      <c r="B1747" s="441" t="s">
        <v>2490</v>
      </c>
      <c r="C1747" s="545">
        <v>0.16666666666666666</v>
      </c>
      <c r="D1747" s="545">
        <v>0</v>
      </c>
      <c r="E1747" s="545">
        <v>0</v>
      </c>
      <c r="F1747" s="545">
        <v>0.11904761904761904</v>
      </c>
      <c r="G1747" s="545">
        <v>0.2</v>
      </c>
      <c r="H1747" s="545">
        <v>0</v>
      </c>
      <c r="I1747" s="545">
        <v>0</v>
      </c>
      <c r="J1747" s="545">
        <v>0.14285714285714285</v>
      </c>
    </row>
    <row r="1748" spans="1:10">
      <c r="A1748" s="441">
        <v>360</v>
      </c>
      <c r="B1748" s="441" t="s">
        <v>2491</v>
      </c>
      <c r="C1748" s="545">
        <v>0</v>
      </c>
      <c r="D1748" s="545">
        <v>0</v>
      </c>
      <c r="E1748" s="545">
        <v>0</v>
      </c>
      <c r="F1748" s="545">
        <v>0</v>
      </c>
      <c r="G1748" s="545">
        <v>0.1</v>
      </c>
      <c r="H1748" s="545">
        <v>0</v>
      </c>
      <c r="I1748" s="545">
        <v>0</v>
      </c>
      <c r="J1748" s="545">
        <v>7.1428571428571425E-2</v>
      </c>
    </row>
    <row r="1749" spans="1:10">
      <c r="A1749" s="441">
        <v>1770</v>
      </c>
      <c r="B1749" s="441" t="s">
        <v>2492</v>
      </c>
      <c r="C1749" s="545">
        <v>5.6666666666666661</v>
      </c>
      <c r="D1749" s="545">
        <v>0</v>
      </c>
      <c r="E1749" s="545">
        <v>0.33333333333333331</v>
      </c>
      <c r="F1749" s="545">
        <v>4.095238095238094</v>
      </c>
      <c r="G1749" s="545">
        <v>2.35</v>
      </c>
      <c r="H1749" s="545">
        <v>0.33333333333333331</v>
      </c>
      <c r="I1749" s="545">
        <v>0</v>
      </c>
      <c r="J1749" s="545">
        <v>1.7261904761904763</v>
      </c>
    </row>
    <row r="1750" spans="1:10">
      <c r="A1750" s="441">
        <v>11438</v>
      </c>
      <c r="B1750" s="441" t="s">
        <v>2492</v>
      </c>
      <c r="C1750" s="545">
        <v>3.5</v>
      </c>
      <c r="D1750" s="545">
        <v>1.3333333333333333</v>
      </c>
      <c r="E1750" s="545">
        <v>0.33333333333333331</v>
      </c>
      <c r="F1750" s="545">
        <v>2.7380952380952377</v>
      </c>
      <c r="G1750" s="545">
        <v>1.1499999999999999</v>
      </c>
      <c r="H1750" s="545">
        <v>0</v>
      </c>
      <c r="I1750" s="545">
        <v>1.3333333333333333</v>
      </c>
      <c r="J1750" s="545">
        <v>1.0119047619047619</v>
      </c>
    </row>
    <row r="1751" spans="1:10">
      <c r="A1751" s="441">
        <v>1773</v>
      </c>
      <c r="B1751" s="441" t="s">
        <v>2493</v>
      </c>
      <c r="C1751" s="545">
        <v>2</v>
      </c>
      <c r="D1751" s="545">
        <v>1</v>
      </c>
      <c r="E1751" s="545">
        <v>0</v>
      </c>
      <c r="F1751" s="545">
        <v>1.5714285714285714</v>
      </c>
      <c r="G1751" s="545">
        <v>3.8</v>
      </c>
      <c r="H1751" s="545">
        <v>10</v>
      </c>
      <c r="I1751" s="545">
        <v>3</v>
      </c>
      <c r="J1751" s="545">
        <v>4.5714285714285712</v>
      </c>
    </row>
    <row r="1752" spans="1:10">
      <c r="A1752" s="441">
        <v>386</v>
      </c>
      <c r="B1752" s="441" t="s">
        <v>2494</v>
      </c>
      <c r="C1752" s="545">
        <v>7.666666666666667</v>
      </c>
      <c r="D1752" s="545">
        <v>1.3333333333333333</v>
      </c>
      <c r="E1752" s="545">
        <v>1.6666666666666667</v>
      </c>
      <c r="F1752" s="545">
        <v>5.9047619047619051</v>
      </c>
      <c r="G1752" s="545">
        <v>2.95</v>
      </c>
      <c r="H1752" s="545">
        <v>4</v>
      </c>
      <c r="I1752" s="545">
        <v>2.6666666666666665</v>
      </c>
      <c r="J1752" s="545">
        <v>3.0595238095238098</v>
      </c>
    </row>
    <row r="1753" spans="1:10">
      <c r="A1753" s="441">
        <v>1772</v>
      </c>
      <c r="B1753" s="441" t="s">
        <v>2495</v>
      </c>
      <c r="C1753" s="545">
        <v>0.83333333333333337</v>
      </c>
      <c r="D1753" s="545">
        <v>0</v>
      </c>
      <c r="E1753" s="545">
        <v>0</v>
      </c>
      <c r="F1753" s="545">
        <v>0.59523809523809523</v>
      </c>
      <c r="G1753" s="545">
        <v>0</v>
      </c>
      <c r="H1753" s="545">
        <v>0</v>
      </c>
      <c r="I1753" s="545">
        <v>0</v>
      </c>
      <c r="J1753" s="545">
        <v>0</v>
      </c>
    </row>
    <row r="1754" spans="1:10">
      <c r="A1754" s="441">
        <v>1844</v>
      </c>
      <c r="B1754" s="441" t="s">
        <v>2495</v>
      </c>
      <c r="C1754" s="545">
        <v>0.33333333333333331</v>
      </c>
      <c r="D1754" s="545">
        <v>0.66666666666666663</v>
      </c>
      <c r="E1754" s="545">
        <v>0</v>
      </c>
      <c r="F1754" s="545">
        <v>0.33333333333333331</v>
      </c>
      <c r="G1754" s="545">
        <v>0.35</v>
      </c>
      <c r="H1754" s="545">
        <v>1.3333333333333333</v>
      </c>
      <c r="I1754" s="545">
        <v>0</v>
      </c>
      <c r="J1754" s="545">
        <v>0.44047619047619041</v>
      </c>
    </row>
    <row r="1755" spans="1:10">
      <c r="A1755" s="441">
        <v>370</v>
      </c>
      <c r="B1755" s="441" t="s">
        <v>2496</v>
      </c>
      <c r="C1755" s="545">
        <v>3.8333333333333335</v>
      </c>
      <c r="D1755" s="545">
        <v>0</v>
      </c>
      <c r="E1755" s="545">
        <v>0</v>
      </c>
      <c r="F1755" s="545">
        <v>2.7380952380952381</v>
      </c>
      <c r="G1755" s="545">
        <v>0.85</v>
      </c>
      <c r="H1755" s="545">
        <v>0.33333333333333331</v>
      </c>
      <c r="I1755" s="545">
        <v>1.3333333333333333</v>
      </c>
      <c r="J1755" s="545">
        <v>0.84523809523809512</v>
      </c>
    </row>
    <row r="1756" spans="1:10">
      <c r="A1756" s="441">
        <v>377</v>
      </c>
      <c r="B1756" s="441" t="s">
        <v>2496</v>
      </c>
      <c r="C1756" s="545">
        <v>2</v>
      </c>
      <c r="D1756" s="545">
        <v>0.66666666666666663</v>
      </c>
      <c r="E1756" s="545">
        <v>0</v>
      </c>
      <c r="F1756" s="545">
        <v>1.5238095238095237</v>
      </c>
      <c r="G1756" s="545">
        <v>0.65</v>
      </c>
      <c r="H1756" s="545">
        <v>0.66666666666666663</v>
      </c>
      <c r="I1756" s="545">
        <v>0.33333333333333331</v>
      </c>
      <c r="J1756" s="545">
        <v>0.6071428571428571</v>
      </c>
    </row>
    <row r="1757" spans="1:10">
      <c r="A1757" s="441">
        <v>357</v>
      </c>
      <c r="B1757" s="441" t="s">
        <v>2497</v>
      </c>
      <c r="C1757" s="545">
        <v>2</v>
      </c>
      <c r="D1757" s="545">
        <v>1</v>
      </c>
      <c r="E1757" s="545">
        <v>0</v>
      </c>
      <c r="F1757" s="545">
        <v>1.5714285714285714</v>
      </c>
      <c r="G1757" s="545">
        <v>2.1</v>
      </c>
      <c r="H1757" s="545">
        <v>0.66666666666666663</v>
      </c>
      <c r="I1757" s="545">
        <v>1.6666666666666667</v>
      </c>
      <c r="J1757" s="545">
        <v>1.8333333333333333</v>
      </c>
    </row>
    <row r="1758" spans="1:10">
      <c r="A1758" s="441">
        <v>392</v>
      </c>
      <c r="B1758" s="441" t="s">
        <v>2497</v>
      </c>
      <c r="C1758" s="545">
        <v>2.6666666666666665</v>
      </c>
      <c r="D1758" s="545">
        <v>0</v>
      </c>
      <c r="E1758" s="545">
        <v>0.66666666666666663</v>
      </c>
      <c r="F1758" s="545">
        <v>1.9999999999999998</v>
      </c>
      <c r="G1758" s="545">
        <v>0.65</v>
      </c>
      <c r="H1758" s="545">
        <v>0.33333333333333331</v>
      </c>
      <c r="I1758" s="545">
        <v>0.33333333333333331</v>
      </c>
      <c r="J1758" s="545">
        <v>0.55952380952380953</v>
      </c>
    </row>
    <row r="1759" spans="1:10">
      <c r="A1759" s="441">
        <v>361</v>
      </c>
      <c r="B1759" s="441" t="s">
        <v>2498</v>
      </c>
      <c r="C1759" s="545">
        <v>8.3333333333333339</v>
      </c>
      <c r="D1759" s="545">
        <v>0</v>
      </c>
      <c r="E1759" s="545">
        <v>0.33333333333333331</v>
      </c>
      <c r="F1759" s="545">
        <v>6.0000000000000009</v>
      </c>
      <c r="G1759" s="545">
        <v>3.7</v>
      </c>
      <c r="H1759" s="545">
        <v>4.333333333333333</v>
      </c>
      <c r="I1759" s="545">
        <v>2.6666666666666665</v>
      </c>
      <c r="J1759" s="545">
        <v>3.6428571428571428</v>
      </c>
    </row>
    <row r="1760" spans="1:10">
      <c r="A1760" s="441">
        <v>362</v>
      </c>
      <c r="B1760" s="441" t="s">
        <v>2499</v>
      </c>
      <c r="C1760" s="545">
        <v>2.1666666666666665</v>
      </c>
      <c r="D1760" s="545">
        <v>0.66666666666666663</v>
      </c>
      <c r="E1760" s="545">
        <v>1.3333333333333333</v>
      </c>
      <c r="F1760" s="545">
        <v>1.8333333333333333</v>
      </c>
      <c r="G1760" s="545">
        <v>1.3</v>
      </c>
      <c r="H1760" s="545">
        <v>1.6666666666666667</v>
      </c>
      <c r="I1760" s="545">
        <v>0</v>
      </c>
      <c r="J1760" s="545">
        <v>1.1666666666666665</v>
      </c>
    </row>
    <row r="1761" spans="1:10">
      <c r="A1761" s="441">
        <v>387</v>
      </c>
      <c r="B1761" s="441" t="s">
        <v>2499</v>
      </c>
      <c r="C1761" s="545">
        <v>0</v>
      </c>
      <c r="D1761" s="545">
        <v>0.66666666666666663</v>
      </c>
      <c r="E1761" s="545">
        <v>0</v>
      </c>
      <c r="F1761" s="545">
        <v>9.5238095238095233E-2</v>
      </c>
      <c r="G1761" s="545">
        <v>0</v>
      </c>
      <c r="H1761" s="545">
        <v>0</v>
      </c>
      <c r="I1761" s="545">
        <v>0</v>
      </c>
      <c r="J1761" s="545">
        <v>0</v>
      </c>
    </row>
    <row r="1762" spans="1:10">
      <c r="A1762" s="441">
        <v>364</v>
      </c>
      <c r="B1762" s="441" t="s">
        <v>2500</v>
      </c>
      <c r="C1762" s="545">
        <v>2.6666666666666665</v>
      </c>
      <c r="D1762" s="545">
        <v>0</v>
      </c>
      <c r="E1762" s="545">
        <v>0.33333333333333331</v>
      </c>
      <c r="F1762" s="545">
        <v>1.9523809523809523</v>
      </c>
      <c r="G1762" s="545">
        <v>0.15</v>
      </c>
      <c r="H1762" s="545">
        <v>0.66666666666666663</v>
      </c>
      <c r="I1762" s="545">
        <v>0</v>
      </c>
      <c r="J1762" s="545">
        <v>0.20238095238095236</v>
      </c>
    </row>
    <row r="1763" spans="1:10">
      <c r="A1763" s="441">
        <v>365</v>
      </c>
      <c r="B1763" s="441" t="s">
        <v>2500</v>
      </c>
      <c r="C1763" s="545">
        <v>0.5</v>
      </c>
      <c r="D1763" s="545">
        <v>0.33333333333333331</v>
      </c>
      <c r="E1763" s="545">
        <v>0.33333333333333331</v>
      </c>
      <c r="F1763" s="545">
        <v>0.45238095238095244</v>
      </c>
      <c r="G1763" s="545">
        <v>0.35</v>
      </c>
      <c r="H1763" s="545">
        <v>0</v>
      </c>
      <c r="I1763" s="545">
        <v>0</v>
      </c>
      <c r="J1763" s="545">
        <v>0.25</v>
      </c>
    </row>
    <row r="1764" spans="1:10">
      <c r="A1764" s="441">
        <v>385</v>
      </c>
      <c r="B1764" s="441" t="s">
        <v>2500</v>
      </c>
      <c r="C1764" s="545">
        <v>0.16666666666666666</v>
      </c>
      <c r="D1764" s="545">
        <v>0</v>
      </c>
      <c r="E1764" s="545">
        <v>0.33333333333333331</v>
      </c>
      <c r="F1764" s="545">
        <v>0.16666666666666666</v>
      </c>
      <c r="G1764" s="545">
        <v>0</v>
      </c>
      <c r="H1764" s="545">
        <v>0</v>
      </c>
      <c r="I1764" s="545">
        <v>0</v>
      </c>
      <c r="J1764" s="545">
        <v>0</v>
      </c>
    </row>
    <row r="1765" spans="1:10">
      <c r="A1765" s="441">
        <v>354</v>
      </c>
      <c r="B1765" s="441" t="s">
        <v>2501</v>
      </c>
      <c r="C1765" s="545">
        <v>0.16666666666666666</v>
      </c>
      <c r="D1765" s="545">
        <v>0</v>
      </c>
      <c r="E1765" s="545">
        <v>0</v>
      </c>
      <c r="F1765" s="545">
        <v>0.11904761904761904</v>
      </c>
      <c r="G1765" s="545">
        <v>0.9</v>
      </c>
      <c r="H1765" s="545">
        <v>0</v>
      </c>
      <c r="I1765" s="545">
        <v>0</v>
      </c>
      <c r="J1765" s="545">
        <v>0.6428571428571429</v>
      </c>
    </row>
    <row r="1766" spans="1:10">
      <c r="A1766" s="441">
        <v>355</v>
      </c>
      <c r="B1766" s="441" t="s">
        <v>2501</v>
      </c>
      <c r="C1766" s="545">
        <v>1.1666666666666667</v>
      </c>
      <c r="D1766" s="545">
        <v>0</v>
      </c>
      <c r="E1766" s="545">
        <v>0.66666666666666663</v>
      </c>
      <c r="F1766" s="545">
        <v>0.92857142857142871</v>
      </c>
      <c r="G1766" s="545">
        <v>0.5</v>
      </c>
      <c r="H1766" s="545">
        <v>0.66666666666666663</v>
      </c>
      <c r="I1766" s="545">
        <v>0</v>
      </c>
      <c r="J1766" s="545">
        <v>0.45238095238095238</v>
      </c>
    </row>
    <row r="1767" spans="1:10">
      <c r="A1767" s="441">
        <v>388</v>
      </c>
      <c r="B1767" s="441" t="s">
        <v>2502</v>
      </c>
      <c r="C1767" s="545">
        <v>4.833333333333333</v>
      </c>
      <c r="D1767" s="545">
        <v>1.6666666666666665</v>
      </c>
      <c r="E1767" s="545">
        <v>4</v>
      </c>
      <c r="F1767" s="545">
        <v>4.2619047619047619</v>
      </c>
      <c r="G1767" s="545">
        <v>3.5</v>
      </c>
      <c r="H1767" s="545">
        <v>3.6666666666666665</v>
      </c>
      <c r="I1767" s="545">
        <v>1</v>
      </c>
      <c r="J1767" s="545">
        <v>3.166666666666667</v>
      </c>
    </row>
    <row r="1768" spans="1:10">
      <c r="A1768" s="441">
        <v>390</v>
      </c>
      <c r="B1768" s="441" t="s">
        <v>2503</v>
      </c>
      <c r="C1768" s="545">
        <v>0</v>
      </c>
      <c r="D1768" s="545">
        <v>0</v>
      </c>
      <c r="E1768" s="545">
        <v>0</v>
      </c>
      <c r="F1768" s="545">
        <v>0</v>
      </c>
      <c r="G1768" s="545">
        <v>0</v>
      </c>
      <c r="H1768" s="545">
        <v>0.33333333333333331</v>
      </c>
      <c r="I1768" s="545">
        <v>0</v>
      </c>
      <c r="J1768" s="545">
        <v>4.7619047619047616E-2</v>
      </c>
    </row>
    <row r="1769" spans="1:10">
      <c r="A1769" s="441">
        <v>389</v>
      </c>
      <c r="B1769" s="441" t="s">
        <v>2504</v>
      </c>
      <c r="C1769" s="545">
        <v>0.16666666666666666</v>
      </c>
      <c r="D1769" s="545">
        <v>0</v>
      </c>
      <c r="E1769" s="545">
        <v>0</v>
      </c>
      <c r="F1769" s="545">
        <v>0.11904761904761904</v>
      </c>
      <c r="G1769" s="545">
        <v>0.15</v>
      </c>
      <c r="H1769" s="545">
        <v>0</v>
      </c>
      <c r="I1769" s="545">
        <v>0</v>
      </c>
      <c r="J1769" s="545">
        <v>0.10714285714285714</v>
      </c>
    </row>
    <row r="1770" spans="1:10">
      <c r="A1770" s="441">
        <v>369</v>
      </c>
      <c r="B1770" s="441" t="s">
        <v>2505</v>
      </c>
      <c r="C1770" s="545">
        <v>4</v>
      </c>
      <c r="D1770" s="545">
        <v>0.66666666666666663</v>
      </c>
      <c r="E1770" s="545">
        <v>0</v>
      </c>
      <c r="F1770" s="545">
        <v>2.9523809523809526</v>
      </c>
      <c r="G1770" s="545">
        <v>2.75</v>
      </c>
      <c r="H1770" s="545">
        <v>0</v>
      </c>
      <c r="I1770" s="545">
        <v>0.33333333333333331</v>
      </c>
      <c r="J1770" s="545">
        <v>2.0119047619047619</v>
      </c>
    </row>
    <row r="1771" spans="1:10">
      <c r="A1771" s="441">
        <v>378</v>
      </c>
      <c r="B1771" s="441" t="s">
        <v>2505</v>
      </c>
      <c r="C1771" s="545">
        <v>3.8333333333333335</v>
      </c>
      <c r="D1771" s="545">
        <v>0.33333333333333331</v>
      </c>
      <c r="E1771" s="545">
        <v>0.33333333333333331</v>
      </c>
      <c r="F1771" s="545">
        <v>2.833333333333333</v>
      </c>
      <c r="G1771" s="545">
        <v>0.65</v>
      </c>
      <c r="H1771" s="545">
        <v>0.66666666666666663</v>
      </c>
      <c r="I1771" s="545">
        <v>0</v>
      </c>
      <c r="J1771" s="545">
        <v>0.55952380952380953</v>
      </c>
    </row>
    <row r="1772" spans="1:10">
      <c r="A1772" s="441">
        <v>379</v>
      </c>
      <c r="B1772" s="441" t="s">
        <v>2505</v>
      </c>
      <c r="C1772" s="545">
        <v>0.5</v>
      </c>
      <c r="D1772" s="545">
        <v>0</v>
      </c>
      <c r="E1772" s="545">
        <v>0.33333333333333331</v>
      </c>
      <c r="F1772" s="545">
        <v>0.40476190476190477</v>
      </c>
      <c r="G1772" s="545">
        <v>0.4</v>
      </c>
      <c r="H1772" s="545">
        <v>0</v>
      </c>
      <c r="I1772" s="545">
        <v>0</v>
      </c>
      <c r="J1772" s="545">
        <v>0.2857142857142857</v>
      </c>
    </row>
    <row r="1773" spans="1:10">
      <c r="A1773" s="441">
        <v>380</v>
      </c>
      <c r="B1773" s="441" t="s">
        <v>2506</v>
      </c>
      <c r="C1773" s="545">
        <v>0.83333333333333337</v>
      </c>
      <c r="D1773" s="545">
        <v>0</v>
      </c>
      <c r="E1773" s="545">
        <v>1</v>
      </c>
      <c r="F1773" s="545">
        <v>0.73809523809523814</v>
      </c>
      <c r="G1773" s="545">
        <v>0.15</v>
      </c>
      <c r="H1773" s="545">
        <v>0</v>
      </c>
      <c r="I1773" s="545">
        <v>0</v>
      </c>
      <c r="J1773" s="545">
        <v>0.10714285714285714</v>
      </c>
    </row>
    <row r="1774" spans="1:10">
      <c r="A1774" s="441">
        <v>381</v>
      </c>
      <c r="B1774" s="441" t="s">
        <v>2507</v>
      </c>
      <c r="C1774" s="545">
        <v>10.166666666666666</v>
      </c>
      <c r="D1774" s="545">
        <v>2.666666666666667</v>
      </c>
      <c r="E1774" s="545">
        <v>1.3333333333333333</v>
      </c>
      <c r="F1774" s="545">
        <v>7.833333333333333</v>
      </c>
      <c r="G1774" s="545">
        <v>3</v>
      </c>
      <c r="H1774" s="545">
        <v>3.3333333333333335</v>
      </c>
      <c r="I1774" s="545">
        <v>2</v>
      </c>
      <c r="J1774" s="545">
        <v>2.9047619047619047</v>
      </c>
    </row>
    <row r="1775" spans="1:10">
      <c r="A1775" s="441">
        <v>371</v>
      </c>
      <c r="B1775" s="441" t="s">
        <v>2508</v>
      </c>
      <c r="C1775" s="545">
        <v>1</v>
      </c>
      <c r="D1775" s="545">
        <v>0</v>
      </c>
      <c r="E1775" s="545">
        <v>0.66666666666666663</v>
      </c>
      <c r="F1775" s="545">
        <v>0.80952380952380953</v>
      </c>
      <c r="G1775" s="545">
        <v>0.8</v>
      </c>
      <c r="H1775" s="545">
        <v>0.33333333333333331</v>
      </c>
      <c r="I1775" s="545">
        <v>0</v>
      </c>
      <c r="J1775" s="545">
        <v>0.61904761904761896</v>
      </c>
    </row>
    <row r="1776" spans="1:10">
      <c r="A1776" s="441">
        <v>376</v>
      </c>
      <c r="B1776" s="441" t="s">
        <v>2508</v>
      </c>
      <c r="C1776" s="545">
        <v>10.833333333333332</v>
      </c>
      <c r="D1776" s="545">
        <v>1.3333333333333333</v>
      </c>
      <c r="E1776" s="545">
        <v>0.33333333333333331</v>
      </c>
      <c r="F1776" s="545">
        <v>7.9761904761904754</v>
      </c>
      <c r="G1776" s="545">
        <v>4.5999999999999996</v>
      </c>
      <c r="H1776" s="545">
        <v>2</v>
      </c>
      <c r="I1776" s="545">
        <v>1.3333333333333333</v>
      </c>
      <c r="J1776" s="545">
        <v>3.7619047619047619</v>
      </c>
    </row>
    <row r="1777" spans="1:10">
      <c r="A1777" s="441">
        <v>366</v>
      </c>
      <c r="B1777" s="441" t="s">
        <v>2509</v>
      </c>
      <c r="C1777" s="545">
        <v>34.833333333333336</v>
      </c>
      <c r="D1777" s="545">
        <v>17</v>
      </c>
      <c r="E1777" s="545">
        <v>14</v>
      </c>
      <c r="F1777" s="545">
        <v>29.309523809523814</v>
      </c>
      <c r="G1777" s="545">
        <v>17.75</v>
      </c>
      <c r="H1777" s="545">
        <v>15</v>
      </c>
      <c r="I1777" s="545">
        <v>5</v>
      </c>
      <c r="J1777" s="545">
        <v>15.535714285714286</v>
      </c>
    </row>
    <row r="1778" spans="1:10">
      <c r="A1778" s="441">
        <v>382</v>
      </c>
      <c r="B1778" s="441" t="s">
        <v>2509</v>
      </c>
      <c r="C1778" s="545">
        <v>8.1666666666666661</v>
      </c>
      <c r="D1778" s="545">
        <v>5</v>
      </c>
      <c r="E1778" s="545">
        <v>4.666666666666667</v>
      </c>
      <c r="F1778" s="545">
        <v>7.2142857142857135</v>
      </c>
      <c r="G1778" s="545">
        <v>5</v>
      </c>
      <c r="H1778" s="545">
        <v>8.3333333333333339</v>
      </c>
      <c r="I1778" s="545">
        <v>2</v>
      </c>
      <c r="J1778" s="545">
        <v>5.0476190476190483</v>
      </c>
    </row>
    <row r="1779" spans="1:10">
      <c r="A1779" s="441">
        <v>384</v>
      </c>
      <c r="B1779" s="441" t="s">
        <v>2509</v>
      </c>
      <c r="C1779" s="545">
        <v>2</v>
      </c>
      <c r="D1779" s="545">
        <v>0</v>
      </c>
      <c r="E1779" s="545">
        <v>0</v>
      </c>
      <c r="F1779" s="545">
        <v>1.4285714285714286</v>
      </c>
      <c r="G1779" s="545">
        <v>0.05</v>
      </c>
      <c r="H1779" s="545">
        <v>0</v>
      </c>
      <c r="I1779" s="545">
        <v>0</v>
      </c>
      <c r="J1779" s="545">
        <v>3.5714285714285712E-2</v>
      </c>
    </row>
    <row r="1780" spans="1:10">
      <c r="A1780" s="441">
        <v>367</v>
      </c>
      <c r="B1780" s="441" t="s">
        <v>2510</v>
      </c>
      <c r="C1780" s="545">
        <v>8.1666666666666679</v>
      </c>
      <c r="D1780" s="545">
        <v>3</v>
      </c>
      <c r="E1780" s="545">
        <v>1.6666666666666665</v>
      </c>
      <c r="F1780" s="545">
        <v>6.5000000000000009</v>
      </c>
      <c r="G1780" s="545">
        <v>1.05</v>
      </c>
      <c r="H1780" s="545">
        <v>1</v>
      </c>
      <c r="I1780" s="545">
        <v>3.6666666666666665</v>
      </c>
      <c r="J1780" s="545">
        <v>1.4166666666666665</v>
      </c>
    </row>
    <row r="1781" spans="1:10">
      <c r="A1781" s="441">
        <v>368</v>
      </c>
      <c r="B1781" s="441" t="s">
        <v>2511</v>
      </c>
      <c r="C1781" s="545">
        <v>0</v>
      </c>
      <c r="D1781" s="545">
        <v>0</v>
      </c>
      <c r="E1781" s="545">
        <v>0</v>
      </c>
      <c r="F1781" s="545">
        <v>0</v>
      </c>
      <c r="G1781" s="545">
        <v>0.4</v>
      </c>
      <c r="H1781" s="545">
        <v>1</v>
      </c>
      <c r="I1781" s="545">
        <v>0</v>
      </c>
      <c r="J1781" s="545">
        <v>0.42857142857142855</v>
      </c>
    </row>
    <row r="1782" spans="1:10">
      <c r="A1782" s="441">
        <v>383</v>
      </c>
      <c r="B1782" s="441" t="s">
        <v>2512</v>
      </c>
      <c r="C1782" s="545">
        <v>4.6666666666666661</v>
      </c>
      <c r="D1782" s="545">
        <v>3</v>
      </c>
      <c r="E1782" s="545">
        <v>2</v>
      </c>
      <c r="F1782" s="545">
        <v>4.0476190476190466</v>
      </c>
      <c r="G1782" s="545">
        <v>3.1</v>
      </c>
      <c r="H1782" s="545">
        <v>2.6666666666666665</v>
      </c>
      <c r="I1782" s="545">
        <v>0.33333333333333331</v>
      </c>
      <c r="J1782" s="545">
        <v>2.6428571428571428</v>
      </c>
    </row>
    <row r="1783" spans="1:10">
      <c r="A1783" s="441">
        <v>11436</v>
      </c>
      <c r="B1783" s="441" t="s">
        <v>2513</v>
      </c>
      <c r="C1783" s="545">
        <v>1.1666666666666667</v>
      </c>
      <c r="D1783" s="545">
        <v>0</v>
      </c>
      <c r="E1783" s="545">
        <v>0.66666666666666663</v>
      </c>
      <c r="F1783" s="545">
        <v>0.92857142857142871</v>
      </c>
      <c r="G1783" s="545">
        <v>0.95</v>
      </c>
      <c r="H1783" s="545">
        <v>0</v>
      </c>
      <c r="I1783" s="545">
        <v>0</v>
      </c>
      <c r="J1783" s="545">
        <v>0.6785714285714286</v>
      </c>
    </row>
    <row r="1784" spans="1:10">
      <c r="A1784" s="441">
        <v>1771</v>
      </c>
      <c r="B1784" s="441" t="s">
        <v>2514</v>
      </c>
      <c r="C1784" s="545">
        <v>0.16666666666666666</v>
      </c>
      <c r="D1784" s="545">
        <v>1</v>
      </c>
      <c r="E1784" s="545">
        <v>0</v>
      </c>
      <c r="F1784" s="545">
        <v>0.26190476190476192</v>
      </c>
      <c r="G1784" s="545">
        <v>1.75</v>
      </c>
      <c r="H1784" s="545">
        <v>0.66666666666666663</v>
      </c>
      <c r="I1784" s="545">
        <v>3.6666666666666665</v>
      </c>
      <c r="J1784" s="545">
        <v>1.8690476190476188</v>
      </c>
    </row>
    <row r="1785" spans="1:10">
      <c r="A1785" s="441">
        <v>1878</v>
      </c>
      <c r="B1785" s="441" t="s">
        <v>2514</v>
      </c>
      <c r="C1785" s="545">
        <v>0</v>
      </c>
      <c r="D1785" s="545">
        <v>0.33333333333333331</v>
      </c>
      <c r="E1785" s="545">
        <v>0</v>
      </c>
      <c r="F1785" s="545">
        <v>4.7619047619047616E-2</v>
      </c>
      <c r="G1785" s="545">
        <v>1.85</v>
      </c>
      <c r="H1785" s="545">
        <v>0.33333333333333331</v>
      </c>
      <c r="I1785" s="545">
        <v>0</v>
      </c>
      <c r="J1785" s="545">
        <v>1.3690476190476191</v>
      </c>
    </row>
    <row r="1786" spans="1:10">
      <c r="A1786" s="441">
        <v>10956</v>
      </c>
      <c r="B1786" s="441" t="s">
        <v>2515</v>
      </c>
      <c r="C1786" s="545">
        <v>2.5</v>
      </c>
      <c r="D1786" s="545">
        <v>0</v>
      </c>
      <c r="E1786" s="545">
        <v>0</v>
      </c>
      <c r="F1786" s="545">
        <v>1.7857142857142858</v>
      </c>
      <c r="G1786" s="545">
        <v>0.9</v>
      </c>
      <c r="H1786" s="545">
        <v>0.33333333333333331</v>
      </c>
      <c r="I1786" s="545">
        <v>0</v>
      </c>
      <c r="J1786" s="545">
        <v>0.69047619047619047</v>
      </c>
    </row>
    <row r="1787" spans="1:10">
      <c r="A1787" s="441">
        <v>10028</v>
      </c>
      <c r="B1787" s="441" t="s">
        <v>2516</v>
      </c>
      <c r="C1787" s="545">
        <v>4.833333333333333</v>
      </c>
      <c r="D1787" s="545">
        <v>2.6666666666666665</v>
      </c>
      <c r="E1787" s="545">
        <v>5.666666666666667</v>
      </c>
      <c r="F1787" s="545">
        <v>4.6428571428571432</v>
      </c>
      <c r="G1787" s="545">
        <v>6.15</v>
      </c>
      <c r="H1787" s="545">
        <v>5</v>
      </c>
      <c r="I1787" s="545">
        <v>2.6666666666666665</v>
      </c>
      <c r="J1787" s="545">
        <v>5.4880952380952381</v>
      </c>
    </row>
    <row r="1788" spans="1:10">
      <c r="A1788" s="441">
        <v>1774</v>
      </c>
      <c r="B1788" s="441" t="s">
        <v>2517</v>
      </c>
      <c r="C1788" s="545">
        <v>1.6666666666666667</v>
      </c>
      <c r="D1788" s="545">
        <v>0</v>
      </c>
      <c r="E1788" s="545">
        <v>0.33333333333333331</v>
      </c>
      <c r="F1788" s="545">
        <v>1.2380952380952384</v>
      </c>
      <c r="G1788" s="545">
        <v>1.05</v>
      </c>
      <c r="H1788" s="545">
        <v>2</v>
      </c>
      <c r="I1788" s="545">
        <v>0.66666666666666663</v>
      </c>
      <c r="J1788" s="545">
        <v>1.1309523809523809</v>
      </c>
    </row>
    <row r="1789" spans="1:10">
      <c r="A1789" s="441">
        <v>1769</v>
      </c>
      <c r="B1789" s="441" t="s">
        <v>2518</v>
      </c>
      <c r="C1789" s="545">
        <v>0</v>
      </c>
      <c r="D1789" s="545">
        <v>0</v>
      </c>
      <c r="E1789" s="545">
        <v>0</v>
      </c>
      <c r="F1789" s="545">
        <v>0</v>
      </c>
      <c r="G1789" s="545">
        <v>0.6</v>
      </c>
      <c r="H1789" s="545">
        <v>0</v>
      </c>
      <c r="I1789" s="545">
        <v>0</v>
      </c>
      <c r="J1789" s="545">
        <v>0.42857142857142855</v>
      </c>
    </row>
    <row r="1790" spans="1:10">
      <c r="A1790" s="441">
        <v>1879</v>
      </c>
      <c r="B1790" s="441" t="s">
        <v>2518</v>
      </c>
      <c r="C1790" s="545">
        <v>0</v>
      </c>
      <c r="D1790" s="545">
        <v>0</v>
      </c>
      <c r="E1790" s="545">
        <v>0</v>
      </c>
      <c r="F1790" s="545">
        <v>0</v>
      </c>
      <c r="G1790" s="545">
        <v>0.4</v>
      </c>
      <c r="H1790" s="545">
        <v>0</v>
      </c>
      <c r="I1790" s="545">
        <v>0.33333333333333331</v>
      </c>
      <c r="J1790" s="545">
        <v>0.33333333333333337</v>
      </c>
    </row>
    <row r="1791" spans="1:10">
      <c r="A1791" s="441">
        <v>363</v>
      </c>
      <c r="B1791" s="441" t="s">
        <v>2519</v>
      </c>
      <c r="C1791" s="545">
        <v>5.833333333333333</v>
      </c>
      <c r="D1791" s="545">
        <v>1</v>
      </c>
      <c r="E1791" s="545">
        <v>1</v>
      </c>
      <c r="F1791" s="545">
        <v>4.4523809523809517</v>
      </c>
      <c r="G1791" s="545">
        <v>3.3</v>
      </c>
      <c r="H1791" s="545">
        <v>2.3333333333333335</v>
      </c>
      <c r="I1791" s="545">
        <v>4</v>
      </c>
      <c r="J1791" s="545">
        <v>3.2619047619047619</v>
      </c>
    </row>
    <row r="1792" spans="1:10">
      <c r="A1792" s="441">
        <v>375</v>
      </c>
      <c r="B1792" s="441" t="s">
        <v>2520</v>
      </c>
      <c r="C1792" s="545">
        <v>0.83333333333333326</v>
      </c>
      <c r="D1792" s="545">
        <v>0.33333333333333331</v>
      </c>
      <c r="E1792" s="545">
        <v>1</v>
      </c>
      <c r="F1792" s="545">
        <v>0.78571428571428559</v>
      </c>
      <c r="G1792" s="545">
        <v>0.5</v>
      </c>
      <c r="H1792" s="545">
        <v>0</v>
      </c>
      <c r="I1792" s="545">
        <v>0</v>
      </c>
      <c r="J1792" s="545">
        <v>0.35714285714285715</v>
      </c>
    </row>
    <row r="1793" spans="1:10">
      <c r="A1793" s="441">
        <v>394</v>
      </c>
      <c r="B1793" s="441" t="s">
        <v>2521</v>
      </c>
      <c r="C1793" s="545">
        <v>1</v>
      </c>
      <c r="D1793" s="545">
        <v>0</v>
      </c>
      <c r="E1793" s="545">
        <v>0</v>
      </c>
      <c r="F1793" s="545">
        <v>0.7142857142857143</v>
      </c>
      <c r="G1793" s="545">
        <v>0.15</v>
      </c>
      <c r="H1793" s="545">
        <v>0</v>
      </c>
      <c r="I1793" s="545">
        <v>0</v>
      </c>
      <c r="J1793" s="545">
        <v>0.10714285714285714</v>
      </c>
    </row>
    <row r="1794" spans="1:10">
      <c r="A1794" s="441">
        <v>395</v>
      </c>
      <c r="B1794" s="441" t="s">
        <v>2522</v>
      </c>
      <c r="C1794" s="545">
        <v>3.833333333333333</v>
      </c>
      <c r="D1794" s="545">
        <v>0.66666666666666663</v>
      </c>
      <c r="E1794" s="545">
        <v>0</v>
      </c>
      <c r="F1794" s="545">
        <v>2.833333333333333</v>
      </c>
      <c r="G1794" s="545">
        <v>0.95</v>
      </c>
      <c r="H1794" s="545">
        <v>0</v>
      </c>
      <c r="I1794" s="545">
        <v>0.66666666666666663</v>
      </c>
      <c r="J1794" s="545">
        <v>0.77380952380952384</v>
      </c>
    </row>
    <row r="1795" spans="1:10">
      <c r="A1795" s="441">
        <v>374</v>
      </c>
      <c r="B1795" s="441" t="s">
        <v>2523</v>
      </c>
      <c r="C1795" s="545">
        <v>15</v>
      </c>
      <c r="D1795" s="545">
        <v>5</v>
      </c>
      <c r="E1795" s="545">
        <v>3.666666666666667</v>
      </c>
      <c r="F1795" s="545">
        <v>11.952380952380953</v>
      </c>
      <c r="G1795" s="545">
        <v>11.85</v>
      </c>
      <c r="H1795" s="545">
        <v>5.666666666666667</v>
      </c>
      <c r="I1795" s="545">
        <v>1</v>
      </c>
      <c r="J1795" s="545">
        <v>9.4166666666666679</v>
      </c>
    </row>
    <row r="1796" spans="1:10">
      <c r="A1796" s="441">
        <v>10172</v>
      </c>
      <c r="B1796" s="441" t="s">
        <v>2523</v>
      </c>
      <c r="C1796" s="545">
        <v>4.833333333333333</v>
      </c>
      <c r="D1796" s="545">
        <v>2</v>
      </c>
      <c r="E1796" s="545">
        <v>1.6666666666666665</v>
      </c>
      <c r="F1796" s="545">
        <v>3.9761904761904758</v>
      </c>
      <c r="G1796" s="545">
        <v>2.65</v>
      </c>
      <c r="H1796" s="545">
        <v>0.66666666666666663</v>
      </c>
      <c r="I1796" s="545">
        <v>1.6666666666666667</v>
      </c>
      <c r="J1796" s="545">
        <v>2.2261904761904758</v>
      </c>
    </row>
    <row r="1797" spans="1:10">
      <c r="A1797" s="441">
        <v>1784</v>
      </c>
      <c r="B1797" s="441" t="s">
        <v>2524</v>
      </c>
      <c r="C1797" s="545">
        <v>1.5</v>
      </c>
      <c r="D1797" s="545">
        <v>0</v>
      </c>
      <c r="E1797" s="545">
        <v>0</v>
      </c>
      <c r="F1797" s="545">
        <v>1.0714285714285714</v>
      </c>
      <c r="G1797" s="545">
        <v>0.2</v>
      </c>
      <c r="H1797" s="545">
        <v>0</v>
      </c>
      <c r="I1797" s="545">
        <v>0</v>
      </c>
      <c r="J1797" s="545">
        <v>0.14285714285714285</v>
      </c>
    </row>
    <row r="1798" spans="1:10">
      <c r="A1798" s="441">
        <v>10027</v>
      </c>
      <c r="B1798" s="441" t="s">
        <v>2525</v>
      </c>
      <c r="C1798" s="545">
        <v>11.166666666666668</v>
      </c>
      <c r="D1798" s="545">
        <v>4.666666666666667</v>
      </c>
      <c r="E1798" s="545">
        <v>3.333333333333333</v>
      </c>
      <c r="F1798" s="545">
        <v>9.1190476190476204</v>
      </c>
      <c r="G1798" s="545">
        <v>3.4</v>
      </c>
      <c r="H1798" s="545">
        <v>4</v>
      </c>
      <c r="I1798" s="545">
        <v>1.6666666666666667</v>
      </c>
      <c r="J1798" s="545">
        <v>3.2380952380952381</v>
      </c>
    </row>
    <row r="1799" spans="1:10">
      <c r="A1799" s="441">
        <v>8654</v>
      </c>
      <c r="B1799" s="441" t="s">
        <v>2526</v>
      </c>
      <c r="C1799" s="545">
        <v>49</v>
      </c>
      <c r="D1799" s="545">
        <v>33.333333333333329</v>
      </c>
      <c r="E1799" s="545">
        <v>32</v>
      </c>
      <c r="F1799" s="545">
        <v>44.333333333333329</v>
      </c>
      <c r="G1799" s="545">
        <v>30</v>
      </c>
      <c r="H1799" s="545">
        <v>25.333333333333332</v>
      </c>
      <c r="I1799" s="545">
        <v>18</v>
      </c>
      <c r="J1799" s="545">
        <v>27.61904761904762</v>
      </c>
    </row>
    <row r="1800" spans="1:10">
      <c r="A1800" s="441">
        <v>8667</v>
      </c>
      <c r="B1800" s="441" t="s">
        <v>2526</v>
      </c>
      <c r="C1800" s="545">
        <v>51.166666666666671</v>
      </c>
      <c r="D1800" s="545">
        <v>21.333333333333336</v>
      </c>
      <c r="E1800" s="545">
        <v>31.333333333333336</v>
      </c>
      <c r="F1800" s="545">
        <v>44.071428571428569</v>
      </c>
      <c r="G1800" s="545">
        <v>21.4</v>
      </c>
      <c r="H1800" s="545">
        <v>22.333333333333332</v>
      </c>
      <c r="I1800" s="545">
        <v>15</v>
      </c>
      <c r="J1800" s="545">
        <v>20.61904761904762</v>
      </c>
    </row>
    <row r="1801" spans="1:10">
      <c r="A1801" s="441">
        <v>8655</v>
      </c>
      <c r="B1801" s="441" t="s">
        <v>2527</v>
      </c>
      <c r="C1801" s="545">
        <v>30.333333333333336</v>
      </c>
      <c r="D1801" s="545">
        <v>15.333333333333334</v>
      </c>
      <c r="E1801" s="545">
        <v>16</v>
      </c>
      <c r="F1801" s="545">
        <v>26.142857142857146</v>
      </c>
      <c r="G1801" s="545">
        <v>13.75</v>
      </c>
      <c r="H1801" s="545">
        <v>10.333333333333334</v>
      </c>
      <c r="I1801" s="545">
        <v>6.333333333333333</v>
      </c>
      <c r="J1801" s="545">
        <v>12.202380952380951</v>
      </c>
    </row>
    <row r="1802" spans="1:10">
      <c r="A1802" s="441">
        <v>8656</v>
      </c>
      <c r="B1802" s="441" t="s">
        <v>2527</v>
      </c>
      <c r="C1802" s="545">
        <v>14.833333333333332</v>
      </c>
      <c r="D1802" s="545">
        <v>7.6666666666666661</v>
      </c>
      <c r="E1802" s="545">
        <v>4.6666666666666661</v>
      </c>
      <c r="F1802" s="545">
        <v>12.357142857142858</v>
      </c>
      <c r="G1802" s="545">
        <v>9.25</v>
      </c>
      <c r="H1802" s="545">
        <v>3.6666666666666665</v>
      </c>
      <c r="I1802" s="545">
        <v>3.3333333333333335</v>
      </c>
      <c r="J1802" s="545">
        <v>7.6071428571428568</v>
      </c>
    </row>
    <row r="1803" spans="1:10">
      <c r="A1803" s="441">
        <v>8665</v>
      </c>
      <c r="B1803" s="441" t="s">
        <v>2527</v>
      </c>
      <c r="C1803" s="545">
        <v>32.333333333333336</v>
      </c>
      <c r="D1803" s="545">
        <v>21.333333333333332</v>
      </c>
      <c r="E1803" s="545">
        <v>13.333333333333334</v>
      </c>
      <c r="F1803" s="545">
        <v>28.047619047619055</v>
      </c>
      <c r="G1803" s="545">
        <v>18.600000000000001</v>
      </c>
      <c r="H1803" s="545">
        <v>14</v>
      </c>
      <c r="I1803" s="545">
        <v>8.3333333333333339</v>
      </c>
      <c r="J1803" s="545">
        <v>16.476190476190474</v>
      </c>
    </row>
    <row r="1804" spans="1:10">
      <c r="A1804" s="441">
        <v>8666</v>
      </c>
      <c r="B1804" s="441" t="s">
        <v>2527</v>
      </c>
      <c r="C1804" s="545">
        <v>32.5</v>
      </c>
      <c r="D1804" s="545">
        <v>13.666666666666668</v>
      </c>
      <c r="E1804" s="545">
        <v>14.666666666666666</v>
      </c>
      <c r="F1804" s="545">
        <v>27.261904761904759</v>
      </c>
      <c r="G1804" s="545">
        <v>16.05</v>
      </c>
      <c r="H1804" s="545">
        <v>10.333333333333334</v>
      </c>
      <c r="I1804" s="545">
        <v>13</v>
      </c>
      <c r="J1804" s="545">
        <v>14.797619047619047</v>
      </c>
    </row>
    <row r="1805" spans="1:10">
      <c r="A1805" s="441">
        <v>8657</v>
      </c>
      <c r="B1805" s="441" t="s">
        <v>2528</v>
      </c>
      <c r="C1805" s="545">
        <v>25.5</v>
      </c>
      <c r="D1805" s="545">
        <v>20</v>
      </c>
      <c r="E1805" s="545">
        <v>12.666666666666666</v>
      </c>
      <c r="F1805" s="545">
        <v>22.88095238095238</v>
      </c>
      <c r="G1805" s="545">
        <v>12.9</v>
      </c>
      <c r="H1805" s="545">
        <v>6</v>
      </c>
      <c r="I1805" s="545">
        <v>9</v>
      </c>
      <c r="J1805" s="545">
        <v>11.357142857142858</v>
      </c>
    </row>
    <row r="1806" spans="1:10">
      <c r="A1806" s="441">
        <v>8664</v>
      </c>
      <c r="B1806" s="441" t="s">
        <v>2528</v>
      </c>
      <c r="C1806" s="545">
        <v>24.666666666666668</v>
      </c>
      <c r="D1806" s="545">
        <v>9.3333333333333339</v>
      </c>
      <c r="E1806" s="545">
        <v>9</v>
      </c>
      <c r="F1806" s="545">
        <v>20.238095238095241</v>
      </c>
      <c r="G1806" s="545">
        <v>18.95</v>
      </c>
      <c r="H1806" s="545">
        <v>16.333333333333332</v>
      </c>
      <c r="I1806" s="545">
        <v>13</v>
      </c>
      <c r="J1806" s="545">
        <v>17.726190476190474</v>
      </c>
    </row>
    <row r="1807" spans="1:10">
      <c r="A1807" s="441">
        <v>4811</v>
      </c>
      <c r="B1807" s="441" t="s">
        <v>2529</v>
      </c>
      <c r="C1807" s="545">
        <v>3.333333333333333</v>
      </c>
      <c r="D1807" s="545">
        <v>2.6666666666666665</v>
      </c>
      <c r="E1807" s="545">
        <v>1</v>
      </c>
      <c r="F1807" s="545">
        <v>2.9047619047619047</v>
      </c>
      <c r="G1807" s="545">
        <v>1.3</v>
      </c>
      <c r="H1807" s="545">
        <v>0</v>
      </c>
      <c r="I1807" s="545">
        <v>0.33333333333333331</v>
      </c>
      <c r="J1807" s="545">
        <v>0.97619047619047616</v>
      </c>
    </row>
    <row r="1808" spans="1:10">
      <c r="A1808" s="441">
        <v>1508</v>
      </c>
      <c r="B1808" s="441" t="s">
        <v>2530</v>
      </c>
      <c r="C1808" s="545">
        <v>26.5</v>
      </c>
      <c r="D1808" s="545">
        <v>18.666666666666668</v>
      </c>
      <c r="E1808" s="545">
        <v>18.666666666666668</v>
      </c>
      <c r="F1808" s="545">
        <v>24.261904761904759</v>
      </c>
      <c r="G1808" s="545">
        <v>14.7</v>
      </c>
      <c r="H1808" s="545">
        <v>3.3333333333333335</v>
      </c>
      <c r="I1808" s="545">
        <v>5.666666666666667</v>
      </c>
      <c r="J1808" s="545">
        <v>11.785714285714286</v>
      </c>
    </row>
    <row r="1809" spans="1:10">
      <c r="A1809" s="441">
        <v>349</v>
      </c>
      <c r="B1809" s="441" t="s">
        <v>2531</v>
      </c>
      <c r="C1809" s="545">
        <v>17</v>
      </c>
      <c r="D1809" s="545">
        <v>17</v>
      </c>
      <c r="E1809" s="545">
        <v>15</v>
      </c>
      <c r="F1809" s="545">
        <v>16.714285714285715</v>
      </c>
      <c r="G1809" s="545">
        <v>6.1</v>
      </c>
      <c r="H1809" s="545">
        <v>3.6666666666666665</v>
      </c>
      <c r="I1809" s="545">
        <v>3</v>
      </c>
      <c r="J1809" s="545">
        <v>5.3095238095238093</v>
      </c>
    </row>
    <row r="1810" spans="1:10">
      <c r="A1810" s="441">
        <v>1507</v>
      </c>
      <c r="B1810" s="441" t="s">
        <v>2532</v>
      </c>
      <c r="C1810" s="545">
        <v>13.166666666666668</v>
      </c>
      <c r="D1810" s="545">
        <v>14</v>
      </c>
      <c r="E1810" s="545">
        <v>10.666666666666668</v>
      </c>
      <c r="F1810" s="545">
        <v>12.928571428571431</v>
      </c>
      <c r="G1810" s="545">
        <v>7.95</v>
      </c>
      <c r="H1810" s="545">
        <v>6</v>
      </c>
      <c r="I1810" s="545">
        <v>1.3333333333333333</v>
      </c>
      <c r="J1810" s="545">
        <v>6.7261904761904763</v>
      </c>
    </row>
    <row r="1811" spans="1:10">
      <c r="A1811" s="441">
        <v>348</v>
      </c>
      <c r="B1811" s="441" t="s">
        <v>2533</v>
      </c>
      <c r="C1811" s="545">
        <v>25.333333333333336</v>
      </c>
      <c r="D1811" s="545">
        <v>6</v>
      </c>
      <c r="E1811" s="545">
        <v>9.6666666666666661</v>
      </c>
      <c r="F1811" s="545">
        <v>20.333333333333336</v>
      </c>
      <c r="G1811" s="545">
        <v>9.6</v>
      </c>
      <c r="H1811" s="545">
        <v>2.3333333333333335</v>
      </c>
      <c r="I1811" s="545">
        <v>2</v>
      </c>
      <c r="J1811" s="545">
        <v>7.4761904761904763</v>
      </c>
    </row>
    <row r="1812" spans="1:10">
      <c r="A1812" s="441">
        <v>1509</v>
      </c>
      <c r="B1812" s="441" t="s">
        <v>2534</v>
      </c>
      <c r="C1812" s="545">
        <v>11.166666666666668</v>
      </c>
      <c r="D1812" s="545">
        <v>8.3333333333333321</v>
      </c>
      <c r="E1812" s="545">
        <v>10.333333333333334</v>
      </c>
      <c r="F1812" s="545">
        <v>10.642857142857142</v>
      </c>
      <c r="G1812" s="545">
        <v>3.2</v>
      </c>
      <c r="H1812" s="545">
        <v>1.3333333333333333</v>
      </c>
      <c r="I1812" s="545">
        <v>1.3333333333333333</v>
      </c>
      <c r="J1812" s="545">
        <v>2.6666666666666665</v>
      </c>
    </row>
    <row r="1813" spans="1:10">
      <c r="A1813" s="441">
        <v>2281</v>
      </c>
      <c r="B1813" s="441" t="s">
        <v>2535</v>
      </c>
      <c r="C1813" s="545">
        <v>4.3333333333333339</v>
      </c>
      <c r="D1813" s="545">
        <v>3</v>
      </c>
      <c r="E1813" s="545">
        <v>1</v>
      </c>
      <c r="F1813" s="545">
        <v>3.6666666666666674</v>
      </c>
      <c r="G1813" s="545">
        <v>3.3</v>
      </c>
      <c r="H1813" s="545">
        <v>2.3333333333333335</v>
      </c>
      <c r="I1813" s="545">
        <v>4.666666666666667</v>
      </c>
      <c r="J1813" s="545">
        <v>3.3571428571428572</v>
      </c>
    </row>
    <row r="1814" spans="1:10">
      <c r="A1814" s="441">
        <v>2286</v>
      </c>
      <c r="B1814" s="441" t="s">
        <v>2535</v>
      </c>
      <c r="C1814" s="545">
        <v>4</v>
      </c>
      <c r="D1814" s="545">
        <v>1.3333333333333333</v>
      </c>
      <c r="E1814" s="545">
        <v>3</v>
      </c>
      <c r="F1814" s="545">
        <v>3.4761904761904758</v>
      </c>
      <c r="G1814" s="545">
        <v>4.55</v>
      </c>
      <c r="H1814" s="545">
        <v>4</v>
      </c>
      <c r="I1814" s="545">
        <v>4.333333333333333</v>
      </c>
      <c r="J1814" s="545">
        <v>4.4404761904761907</v>
      </c>
    </row>
    <row r="1815" spans="1:10">
      <c r="A1815" s="441">
        <v>2290</v>
      </c>
      <c r="B1815" s="441" t="s">
        <v>2536</v>
      </c>
      <c r="C1815" s="545">
        <v>14.166666666666668</v>
      </c>
      <c r="D1815" s="545">
        <v>13.666666666666666</v>
      </c>
      <c r="E1815" s="545">
        <v>14.333333333333332</v>
      </c>
      <c r="F1815" s="545">
        <v>14.11904761904762</v>
      </c>
      <c r="G1815" s="545">
        <v>13.55</v>
      </c>
      <c r="H1815" s="545">
        <v>11</v>
      </c>
      <c r="I1815" s="545">
        <v>8.6666666666666661</v>
      </c>
      <c r="J1815" s="545">
        <v>12.488095238095239</v>
      </c>
    </row>
    <row r="1816" spans="1:10">
      <c r="A1816" s="441">
        <v>2277</v>
      </c>
      <c r="B1816" s="441" t="s">
        <v>2537</v>
      </c>
      <c r="C1816" s="545">
        <v>20.666666666666668</v>
      </c>
      <c r="D1816" s="545">
        <v>15.666666666666668</v>
      </c>
      <c r="E1816" s="545">
        <v>8.3333333333333339</v>
      </c>
      <c r="F1816" s="545">
        <v>18.190476190476193</v>
      </c>
      <c r="G1816" s="545">
        <v>14.9</v>
      </c>
      <c r="H1816" s="545">
        <v>11</v>
      </c>
      <c r="I1816" s="545">
        <v>10</v>
      </c>
      <c r="J1816" s="545">
        <v>13.642857142857142</v>
      </c>
    </row>
    <row r="1817" spans="1:10">
      <c r="A1817" s="441">
        <v>2283</v>
      </c>
      <c r="B1817" s="441" t="s">
        <v>2538</v>
      </c>
      <c r="C1817" s="545">
        <v>6</v>
      </c>
      <c r="D1817" s="545">
        <v>2</v>
      </c>
      <c r="E1817" s="545">
        <v>3.3333333333333335</v>
      </c>
      <c r="F1817" s="545">
        <v>5.0476190476190483</v>
      </c>
      <c r="G1817" s="545">
        <v>6.95</v>
      </c>
      <c r="H1817" s="545">
        <v>5.666666666666667</v>
      </c>
      <c r="I1817" s="545">
        <v>3.3333333333333335</v>
      </c>
      <c r="J1817" s="545">
        <v>6.25</v>
      </c>
    </row>
    <row r="1818" spans="1:10">
      <c r="A1818" s="441">
        <v>2284</v>
      </c>
      <c r="B1818" s="441" t="s">
        <v>2538</v>
      </c>
      <c r="C1818" s="545">
        <v>4.666666666666667</v>
      </c>
      <c r="D1818" s="545">
        <v>1.6666666666666665</v>
      </c>
      <c r="E1818" s="545">
        <v>3</v>
      </c>
      <c r="F1818" s="545">
        <v>4.0000000000000009</v>
      </c>
      <c r="G1818" s="545">
        <v>4.2</v>
      </c>
      <c r="H1818" s="545">
        <v>2.6666666666666665</v>
      </c>
      <c r="I1818" s="545">
        <v>3.3333333333333335</v>
      </c>
      <c r="J1818" s="545">
        <v>3.8571428571428572</v>
      </c>
    </row>
    <row r="1819" spans="1:10">
      <c r="A1819" s="441">
        <v>2278</v>
      </c>
      <c r="B1819" s="441" t="s">
        <v>2539</v>
      </c>
      <c r="C1819" s="545">
        <v>3.166666666666667</v>
      </c>
      <c r="D1819" s="545">
        <v>1.3333333333333333</v>
      </c>
      <c r="E1819" s="545">
        <v>0.33333333333333331</v>
      </c>
      <c r="F1819" s="545">
        <v>2.5</v>
      </c>
      <c r="G1819" s="545">
        <v>2.65</v>
      </c>
      <c r="H1819" s="545">
        <v>0.33333333333333331</v>
      </c>
      <c r="I1819" s="545">
        <v>1</v>
      </c>
      <c r="J1819" s="545">
        <v>2.0833333333333335</v>
      </c>
    </row>
    <row r="1820" spans="1:10">
      <c r="A1820" s="441">
        <v>2289</v>
      </c>
      <c r="B1820" s="441" t="s">
        <v>2539</v>
      </c>
      <c r="C1820" s="545">
        <v>5.333333333333333</v>
      </c>
      <c r="D1820" s="545">
        <v>2</v>
      </c>
      <c r="E1820" s="545">
        <v>1.3333333333333333</v>
      </c>
      <c r="F1820" s="545">
        <v>4.2857142857142856</v>
      </c>
      <c r="G1820" s="545">
        <v>3.45</v>
      </c>
      <c r="H1820" s="545">
        <v>1.6666666666666667</v>
      </c>
      <c r="I1820" s="545">
        <v>0.66666666666666663</v>
      </c>
      <c r="J1820" s="545">
        <v>2.7976190476190479</v>
      </c>
    </row>
    <row r="1821" spans="1:10">
      <c r="A1821" s="441">
        <v>2280</v>
      </c>
      <c r="B1821" s="441" t="s">
        <v>2540</v>
      </c>
      <c r="C1821" s="545">
        <v>2.833333333333333</v>
      </c>
      <c r="D1821" s="545">
        <v>2.333333333333333</v>
      </c>
      <c r="E1821" s="545">
        <v>1</v>
      </c>
      <c r="F1821" s="545">
        <v>2.4999999999999996</v>
      </c>
      <c r="G1821" s="545">
        <v>2.65</v>
      </c>
      <c r="H1821" s="545">
        <v>1</v>
      </c>
      <c r="I1821" s="545">
        <v>2.6666666666666665</v>
      </c>
      <c r="J1821" s="545">
        <v>2.416666666666667</v>
      </c>
    </row>
    <row r="1822" spans="1:10">
      <c r="A1822" s="441">
        <v>2287</v>
      </c>
      <c r="B1822" s="441" t="s">
        <v>2540</v>
      </c>
      <c r="C1822" s="545">
        <v>4.166666666666667</v>
      </c>
      <c r="D1822" s="545">
        <v>3</v>
      </c>
      <c r="E1822" s="545">
        <v>1.3333333333333333</v>
      </c>
      <c r="F1822" s="545">
        <v>3.5952380952380953</v>
      </c>
      <c r="G1822" s="545">
        <v>3.85</v>
      </c>
      <c r="H1822" s="545">
        <v>1</v>
      </c>
      <c r="I1822" s="545">
        <v>3</v>
      </c>
      <c r="J1822" s="545">
        <v>3.3214285714285716</v>
      </c>
    </row>
    <row r="1823" spans="1:10">
      <c r="A1823" s="441">
        <v>2279</v>
      </c>
      <c r="B1823" s="441" t="s">
        <v>2541</v>
      </c>
      <c r="C1823" s="545">
        <v>7.8333333333333339</v>
      </c>
      <c r="D1823" s="545">
        <v>9</v>
      </c>
      <c r="E1823" s="545">
        <v>6.333333333333333</v>
      </c>
      <c r="F1823" s="545">
        <v>7.7857142857142865</v>
      </c>
      <c r="G1823" s="545">
        <v>7.85</v>
      </c>
      <c r="H1823" s="545">
        <v>4</v>
      </c>
      <c r="I1823" s="545">
        <v>3</v>
      </c>
      <c r="J1823" s="545">
        <v>6.6071428571428568</v>
      </c>
    </row>
    <row r="1824" spans="1:10">
      <c r="A1824" s="441">
        <v>2288</v>
      </c>
      <c r="B1824" s="441" t="s">
        <v>2542</v>
      </c>
      <c r="C1824" s="545">
        <v>8.3333333333333339</v>
      </c>
      <c r="D1824" s="545">
        <v>8.6666666666666679</v>
      </c>
      <c r="E1824" s="545">
        <v>6.333333333333333</v>
      </c>
      <c r="F1824" s="545">
        <v>8.0952380952380967</v>
      </c>
      <c r="G1824" s="545">
        <v>8.1999999999999993</v>
      </c>
      <c r="H1824" s="545">
        <v>7.666666666666667</v>
      </c>
      <c r="I1824" s="545">
        <v>8.3333333333333339</v>
      </c>
      <c r="J1824" s="545">
        <v>8.1428571428571423</v>
      </c>
    </row>
    <row r="1825" spans="1:10">
      <c r="A1825" s="441">
        <v>2282</v>
      </c>
      <c r="B1825" s="441" t="s">
        <v>2543</v>
      </c>
      <c r="C1825" s="545">
        <v>4.1666666666666661</v>
      </c>
      <c r="D1825" s="545">
        <v>6</v>
      </c>
      <c r="E1825" s="545">
        <v>5.666666666666667</v>
      </c>
      <c r="F1825" s="545">
        <v>4.6428571428571415</v>
      </c>
      <c r="G1825" s="545">
        <v>2.85</v>
      </c>
      <c r="H1825" s="545">
        <v>1.3333333333333333</v>
      </c>
      <c r="I1825" s="545">
        <v>2.6666666666666665</v>
      </c>
      <c r="J1825" s="545">
        <v>2.6071428571428572</v>
      </c>
    </row>
    <row r="1826" spans="1:10">
      <c r="A1826" s="441">
        <v>2285</v>
      </c>
      <c r="B1826" s="441" t="s">
        <v>2543</v>
      </c>
      <c r="C1826" s="545">
        <v>3.666666666666667</v>
      </c>
      <c r="D1826" s="545">
        <v>5.6666666666666661</v>
      </c>
      <c r="E1826" s="545">
        <v>5</v>
      </c>
      <c r="F1826" s="545">
        <v>4.1428571428571432</v>
      </c>
      <c r="G1826" s="545">
        <v>4</v>
      </c>
      <c r="H1826" s="545">
        <v>3</v>
      </c>
      <c r="I1826" s="545">
        <v>2.6666666666666665</v>
      </c>
      <c r="J1826" s="545">
        <v>3.666666666666667</v>
      </c>
    </row>
    <row r="1827" spans="1:10">
      <c r="A1827" s="441">
        <v>12951</v>
      </c>
      <c r="B1827" s="441" t="s">
        <v>2544</v>
      </c>
      <c r="C1827" s="545">
        <v>18.166666666666668</v>
      </c>
      <c r="D1827" s="545">
        <v>6.3333333333333339</v>
      </c>
      <c r="E1827" s="545">
        <v>10.666666666666668</v>
      </c>
      <c r="F1827" s="545">
        <v>15.404761904761907</v>
      </c>
      <c r="G1827" s="545">
        <v>14.35</v>
      </c>
      <c r="H1827" s="545">
        <v>14</v>
      </c>
      <c r="I1827" s="545">
        <v>32.333333333333336</v>
      </c>
      <c r="J1827" s="545">
        <v>16.86904761904762</v>
      </c>
    </row>
    <row r="1828" spans="1:10">
      <c r="A1828" s="441">
        <v>9197</v>
      </c>
      <c r="B1828" s="441" t="s">
        <v>2545</v>
      </c>
      <c r="C1828" s="545">
        <v>162</v>
      </c>
      <c r="D1828" s="545">
        <v>34</v>
      </c>
      <c r="E1828" s="545">
        <v>20.666666666666668</v>
      </c>
      <c r="F1828" s="545">
        <v>123.52380952380952</v>
      </c>
      <c r="G1828" s="545">
        <v>45.35</v>
      </c>
      <c r="H1828" s="545">
        <v>14.333333333333334</v>
      </c>
      <c r="I1828" s="545">
        <v>16</v>
      </c>
      <c r="J1828" s="545">
        <v>36.726190476190482</v>
      </c>
    </row>
    <row r="1829" spans="1:10">
      <c r="A1829" s="441">
        <v>9198</v>
      </c>
      <c r="B1829" s="441" t="s">
        <v>2546</v>
      </c>
      <c r="C1829" s="545">
        <v>235</v>
      </c>
      <c r="D1829" s="545">
        <v>25</v>
      </c>
      <c r="E1829" s="545">
        <v>20.333333333333332</v>
      </c>
      <c r="F1829" s="545">
        <v>174.33333333333331</v>
      </c>
      <c r="G1829" s="545">
        <v>77.3</v>
      </c>
      <c r="H1829" s="545">
        <v>8.6666666666666661</v>
      </c>
      <c r="I1829" s="545">
        <v>10</v>
      </c>
      <c r="J1829" s="545">
        <v>57.880952380952387</v>
      </c>
    </row>
    <row r="1830" spans="1:10">
      <c r="A1830" s="441">
        <v>10581</v>
      </c>
      <c r="B1830" s="441" t="s">
        <v>2547</v>
      </c>
      <c r="C1830" s="545">
        <v>101.66666666666666</v>
      </c>
      <c r="D1830" s="545">
        <v>90.666666666666657</v>
      </c>
      <c r="E1830" s="545">
        <v>59</v>
      </c>
      <c r="F1830" s="545">
        <v>93.999999999999986</v>
      </c>
      <c r="G1830" s="545">
        <v>79.7</v>
      </c>
      <c r="H1830" s="545">
        <v>49.666666666666664</v>
      </c>
      <c r="I1830" s="545">
        <v>57.333333333333336</v>
      </c>
      <c r="J1830" s="545">
        <v>72.214285714285708</v>
      </c>
    </row>
    <row r="1831" spans="1:10">
      <c r="A1831" s="441">
        <v>10583</v>
      </c>
      <c r="B1831" s="441" t="s">
        <v>2548</v>
      </c>
      <c r="C1831" s="545">
        <v>81.5</v>
      </c>
      <c r="D1831" s="545">
        <v>47.666666666666671</v>
      </c>
      <c r="E1831" s="545">
        <v>19.666666666666664</v>
      </c>
      <c r="F1831" s="545">
        <v>67.833333333333343</v>
      </c>
      <c r="G1831" s="545">
        <v>27.95</v>
      </c>
      <c r="H1831" s="545">
        <v>15.333333333333334</v>
      </c>
      <c r="I1831" s="545">
        <v>17.666666666666668</v>
      </c>
      <c r="J1831" s="545">
        <v>24.678571428571427</v>
      </c>
    </row>
    <row r="1832" spans="1:10">
      <c r="A1832" s="441">
        <v>9200</v>
      </c>
      <c r="B1832" s="441" t="s">
        <v>2549</v>
      </c>
      <c r="C1832" s="545">
        <v>157.5</v>
      </c>
      <c r="D1832" s="545">
        <v>0</v>
      </c>
      <c r="E1832" s="545">
        <v>0</v>
      </c>
      <c r="F1832" s="545">
        <v>112.5</v>
      </c>
      <c r="G1832" s="545">
        <v>27.15</v>
      </c>
      <c r="H1832" s="545"/>
      <c r="I1832" s="545"/>
      <c r="J1832" s="545">
        <v>19.392857142857142</v>
      </c>
    </row>
    <row r="1833" spans="1:10">
      <c r="A1833" s="441">
        <v>10582</v>
      </c>
      <c r="B1833" s="441" t="s">
        <v>2550</v>
      </c>
      <c r="C1833" s="545">
        <v>46.833333333333336</v>
      </c>
      <c r="D1833" s="545">
        <v>75.666666666666671</v>
      </c>
      <c r="E1833" s="545">
        <v>46.333333333333336</v>
      </c>
      <c r="F1833" s="545">
        <v>50.880952380952387</v>
      </c>
      <c r="G1833" s="545">
        <v>29.6</v>
      </c>
      <c r="H1833" s="545">
        <v>16.666666666666668</v>
      </c>
      <c r="I1833" s="545">
        <v>17.333333333333332</v>
      </c>
      <c r="J1833" s="545">
        <v>26</v>
      </c>
    </row>
    <row r="1834" spans="1:10">
      <c r="A1834" s="441">
        <v>9196</v>
      </c>
      <c r="B1834" s="441" t="s">
        <v>2551</v>
      </c>
      <c r="C1834" s="545">
        <v>467.33333333333337</v>
      </c>
      <c r="D1834" s="545">
        <v>24.666666666666664</v>
      </c>
      <c r="E1834" s="545">
        <v>16</v>
      </c>
      <c r="F1834" s="545">
        <v>339.61904761904765</v>
      </c>
      <c r="G1834" s="545">
        <v>82.7</v>
      </c>
      <c r="H1834" s="545">
        <v>9</v>
      </c>
      <c r="I1834" s="545">
        <v>9.3333333333333339</v>
      </c>
      <c r="J1834" s="545">
        <v>61.69047619047619</v>
      </c>
    </row>
    <row r="1835" spans="1:10">
      <c r="A1835" s="441">
        <v>9201</v>
      </c>
      <c r="B1835" s="441" t="s">
        <v>2552</v>
      </c>
      <c r="C1835" s="545">
        <v>772</v>
      </c>
      <c r="D1835" s="545">
        <v>186.66666666666666</v>
      </c>
      <c r="E1835" s="545">
        <v>149.66666666666669</v>
      </c>
      <c r="F1835" s="545">
        <v>599.47619047619048</v>
      </c>
      <c r="G1835" s="545">
        <v>255.2</v>
      </c>
      <c r="H1835" s="545">
        <v>104</v>
      </c>
      <c r="I1835" s="545">
        <v>92.333333333333329</v>
      </c>
      <c r="J1835" s="545">
        <v>210.33333333333331</v>
      </c>
    </row>
    <row r="1836" spans="1:10">
      <c r="A1836" s="441">
        <v>9203</v>
      </c>
      <c r="B1836" s="441" t="s">
        <v>2553</v>
      </c>
      <c r="C1836" s="545">
        <v>138</v>
      </c>
      <c r="D1836" s="545">
        <v>105.33333333333333</v>
      </c>
      <c r="E1836" s="545">
        <v>63</v>
      </c>
      <c r="F1836" s="545">
        <v>122.61904761904762</v>
      </c>
      <c r="G1836" s="545">
        <v>108.15</v>
      </c>
      <c r="H1836" s="545">
        <v>65</v>
      </c>
      <c r="I1836" s="545">
        <v>64.666666666666671</v>
      </c>
      <c r="J1836" s="545">
        <v>95.773809523809518</v>
      </c>
    </row>
    <row r="1837" spans="1:10">
      <c r="A1837" s="441">
        <v>9199</v>
      </c>
      <c r="B1837" s="441" t="s">
        <v>2554</v>
      </c>
      <c r="C1837" s="545">
        <v>128</v>
      </c>
      <c r="D1837" s="545">
        <v>21.333333333333336</v>
      </c>
      <c r="E1837" s="545">
        <v>14.666666666666668</v>
      </c>
      <c r="F1837" s="545">
        <v>96.571428571428569</v>
      </c>
      <c r="G1837" s="545">
        <v>45.65</v>
      </c>
      <c r="H1837" s="545">
        <v>20</v>
      </c>
      <c r="I1837" s="545">
        <v>20</v>
      </c>
      <c r="J1837" s="545">
        <v>38.321428571428569</v>
      </c>
    </row>
    <row r="1838" spans="1:10">
      <c r="A1838" s="441">
        <v>9204</v>
      </c>
      <c r="B1838" s="441" t="s">
        <v>2555</v>
      </c>
      <c r="C1838" s="545">
        <v>148.33333333333331</v>
      </c>
      <c r="D1838" s="545">
        <v>86.666666666666671</v>
      </c>
      <c r="E1838" s="545">
        <v>71</v>
      </c>
      <c r="F1838" s="545">
        <v>128.47619047619045</v>
      </c>
      <c r="G1838" s="545">
        <v>356.15</v>
      </c>
      <c r="H1838" s="545">
        <v>140</v>
      </c>
      <c r="I1838" s="545">
        <v>248.33333333333334</v>
      </c>
      <c r="J1838" s="545">
        <v>309.86904761904765</v>
      </c>
    </row>
    <row r="1839" spans="1:10">
      <c r="A1839" s="441">
        <v>9202</v>
      </c>
      <c r="B1839" s="441" t="s">
        <v>2556</v>
      </c>
      <c r="C1839" s="545">
        <v>116.5</v>
      </c>
      <c r="D1839" s="545">
        <v>0</v>
      </c>
      <c r="E1839" s="545">
        <v>0</v>
      </c>
      <c r="F1839" s="545">
        <v>83.214285714285708</v>
      </c>
      <c r="G1839" s="545">
        <v>33</v>
      </c>
      <c r="H1839" s="545"/>
      <c r="I1839" s="545"/>
      <c r="J1839" s="545">
        <v>23.571428571428573</v>
      </c>
    </row>
    <row r="1840" spans="1:10">
      <c r="A1840" s="441">
        <v>13102</v>
      </c>
      <c r="B1840" s="441" t="s">
        <v>2557</v>
      </c>
      <c r="C1840" s="545" t="e">
        <v>#N/A</v>
      </c>
      <c r="D1840" s="545" t="e">
        <v>#N/A</v>
      </c>
      <c r="E1840" s="545" t="e">
        <v>#N/A</v>
      </c>
      <c r="F1840" s="545" t="e">
        <v>#N/A</v>
      </c>
      <c r="G1840" s="545">
        <v>65.150000000000006</v>
      </c>
      <c r="H1840" s="545"/>
      <c r="I1840" s="545"/>
      <c r="J1840" s="545">
        <v>46.535714285714285</v>
      </c>
    </row>
    <row r="1841" spans="1:10">
      <c r="A1841" s="441">
        <v>11858</v>
      </c>
      <c r="B1841" s="441" t="s">
        <v>2558</v>
      </c>
      <c r="C1841" s="545">
        <v>3.6666666666666665</v>
      </c>
      <c r="D1841" s="545">
        <v>7.333333333333333</v>
      </c>
      <c r="E1841" s="545">
        <v>4.333333333333333</v>
      </c>
      <c r="F1841" s="545">
        <v>4.2857142857142856</v>
      </c>
      <c r="G1841" s="545">
        <v>4.9000000000000004</v>
      </c>
      <c r="H1841" s="545">
        <v>0.66666666666666663</v>
      </c>
      <c r="I1841" s="545">
        <v>1.6666666666666667</v>
      </c>
      <c r="J1841" s="545">
        <v>3.8333333333333335</v>
      </c>
    </row>
    <row r="1842" spans="1:10">
      <c r="A1842" s="441">
        <v>12855</v>
      </c>
      <c r="B1842" s="441" t="s">
        <v>2559</v>
      </c>
      <c r="C1842" s="545">
        <v>87.166666666666671</v>
      </c>
      <c r="D1842" s="545">
        <v>49.333333333333336</v>
      </c>
      <c r="E1842" s="545">
        <v>43.666666666666664</v>
      </c>
      <c r="F1842" s="545">
        <v>75.547619047619051</v>
      </c>
      <c r="G1842" s="545">
        <v>46.85</v>
      </c>
      <c r="H1842" s="545">
        <v>33.666666666666664</v>
      </c>
      <c r="I1842" s="545">
        <v>32.333333333333336</v>
      </c>
      <c r="J1842" s="545">
        <v>42.892857142857146</v>
      </c>
    </row>
    <row r="1843" spans="1:10">
      <c r="A1843" s="441">
        <v>12856</v>
      </c>
      <c r="B1843" s="441" t="s">
        <v>2559</v>
      </c>
      <c r="C1843" s="545">
        <v>89.166666666666657</v>
      </c>
      <c r="D1843" s="545">
        <v>50</v>
      </c>
      <c r="E1843" s="545">
        <v>42.333333333333329</v>
      </c>
      <c r="F1843" s="545">
        <v>76.88095238095238</v>
      </c>
      <c r="G1843" s="545">
        <v>50.65</v>
      </c>
      <c r="H1843" s="545">
        <v>27</v>
      </c>
      <c r="I1843" s="545">
        <v>37.333333333333336</v>
      </c>
      <c r="J1843" s="545">
        <v>45.369047619047613</v>
      </c>
    </row>
    <row r="1844" spans="1:10">
      <c r="A1844" s="441">
        <v>12849</v>
      </c>
      <c r="B1844" s="441" t="s">
        <v>2560</v>
      </c>
      <c r="C1844" s="545">
        <v>87.5</v>
      </c>
      <c r="D1844" s="545">
        <v>49</v>
      </c>
      <c r="E1844" s="545">
        <v>44.333333333333329</v>
      </c>
      <c r="F1844" s="545">
        <v>75.833333333333343</v>
      </c>
      <c r="G1844" s="545">
        <v>48.85</v>
      </c>
      <c r="H1844" s="545">
        <v>34</v>
      </c>
      <c r="I1844" s="545">
        <v>34.333333333333336</v>
      </c>
      <c r="J1844" s="545">
        <v>44.654761904761905</v>
      </c>
    </row>
    <row r="1845" spans="1:10">
      <c r="A1845" s="441">
        <v>12850</v>
      </c>
      <c r="B1845" s="441" t="s">
        <v>2560</v>
      </c>
      <c r="C1845" s="545">
        <v>61.833333333333336</v>
      </c>
      <c r="D1845" s="545">
        <v>37</v>
      </c>
      <c r="E1845" s="545">
        <v>28</v>
      </c>
      <c r="F1845" s="545">
        <v>53.452380952380956</v>
      </c>
      <c r="G1845" s="545">
        <v>42.05</v>
      </c>
      <c r="H1845" s="545">
        <v>30</v>
      </c>
      <c r="I1845" s="545">
        <v>27.333333333333332</v>
      </c>
      <c r="J1845" s="545">
        <v>38.226190476190474</v>
      </c>
    </row>
    <row r="1846" spans="1:10">
      <c r="A1846" s="441">
        <v>13133</v>
      </c>
      <c r="B1846" s="441" t="s">
        <v>2561</v>
      </c>
      <c r="C1846" s="545">
        <v>8.5</v>
      </c>
      <c r="D1846" s="545">
        <v>3.333333333333333</v>
      </c>
      <c r="E1846" s="545">
        <v>4.6666666666666661</v>
      </c>
      <c r="F1846" s="545">
        <v>7.2142857142857144</v>
      </c>
      <c r="G1846" s="545">
        <v>13.25</v>
      </c>
      <c r="H1846" s="545">
        <v>6.666666666666667</v>
      </c>
      <c r="I1846" s="545">
        <v>8.6666666666666661</v>
      </c>
      <c r="J1846" s="545">
        <v>11.654761904761907</v>
      </c>
    </row>
    <row r="1847" spans="1:10">
      <c r="A1847" s="441">
        <v>13134</v>
      </c>
      <c r="B1847" s="441" t="s">
        <v>2561</v>
      </c>
      <c r="C1847" s="545">
        <v>17.833333333333332</v>
      </c>
      <c r="D1847" s="545">
        <v>8.3333333333333339</v>
      </c>
      <c r="E1847" s="545">
        <v>10.333333333333332</v>
      </c>
      <c r="F1847" s="545">
        <v>15.404761904761902</v>
      </c>
      <c r="G1847" s="545">
        <v>9.6999999999999993</v>
      </c>
      <c r="H1847" s="545">
        <v>4</v>
      </c>
      <c r="I1847" s="545">
        <v>4.333333333333333</v>
      </c>
      <c r="J1847" s="545">
        <v>8.1190476190476186</v>
      </c>
    </row>
    <row r="1848" spans="1:10">
      <c r="A1848" s="441">
        <v>12853</v>
      </c>
      <c r="B1848" s="441" t="s">
        <v>2562</v>
      </c>
      <c r="C1848" s="545">
        <v>35.666666666666664</v>
      </c>
      <c r="D1848" s="545">
        <v>19.333333333333332</v>
      </c>
      <c r="E1848" s="545">
        <v>20</v>
      </c>
      <c r="F1848" s="545">
        <v>31.095238095238095</v>
      </c>
      <c r="G1848" s="545">
        <v>10.1</v>
      </c>
      <c r="H1848" s="545">
        <v>7.333333333333333</v>
      </c>
      <c r="I1848" s="545">
        <v>7.666666666666667</v>
      </c>
      <c r="J1848" s="545">
        <v>9.3571428571428577</v>
      </c>
    </row>
    <row r="1849" spans="1:10">
      <c r="A1849" s="441">
        <v>12854</v>
      </c>
      <c r="B1849" s="441" t="s">
        <v>2562</v>
      </c>
      <c r="C1849" s="545">
        <v>33.666666666666671</v>
      </c>
      <c r="D1849" s="545">
        <v>8.6666666666666661</v>
      </c>
      <c r="E1849" s="545">
        <v>14</v>
      </c>
      <c r="F1849" s="545">
        <v>27.285714285714288</v>
      </c>
      <c r="G1849" s="545">
        <v>10.9</v>
      </c>
      <c r="H1849" s="545">
        <v>9.6666666666666661</v>
      </c>
      <c r="I1849" s="545">
        <v>1</v>
      </c>
      <c r="J1849" s="545">
        <v>9.3095238095238102</v>
      </c>
    </row>
    <row r="1850" spans="1:10">
      <c r="A1850" s="441">
        <v>12851</v>
      </c>
      <c r="B1850" s="441" t="s">
        <v>2563</v>
      </c>
      <c r="C1850" s="545">
        <v>49.166666666666671</v>
      </c>
      <c r="D1850" s="545">
        <v>20.333333333333332</v>
      </c>
      <c r="E1850" s="545">
        <v>15.333333333333332</v>
      </c>
      <c r="F1850" s="545">
        <v>40.214285714285715</v>
      </c>
      <c r="G1850" s="545">
        <v>27.35</v>
      </c>
      <c r="H1850" s="545">
        <v>11.666666666666666</v>
      </c>
      <c r="I1850" s="545">
        <v>10.666666666666666</v>
      </c>
      <c r="J1850" s="545">
        <v>22.726190476190474</v>
      </c>
    </row>
    <row r="1851" spans="1:10">
      <c r="A1851" s="441">
        <v>12852</v>
      </c>
      <c r="B1851" s="441" t="s">
        <v>2563</v>
      </c>
      <c r="C1851" s="545">
        <v>40.833333333333336</v>
      </c>
      <c r="D1851" s="545">
        <v>13.333333333333332</v>
      </c>
      <c r="E1851" s="545">
        <v>11.666666666666666</v>
      </c>
      <c r="F1851" s="545">
        <v>32.738095238095241</v>
      </c>
      <c r="G1851" s="545">
        <v>24.95</v>
      </c>
      <c r="H1851" s="545">
        <v>14.666666666666666</v>
      </c>
      <c r="I1851" s="545">
        <v>6.333333333333333</v>
      </c>
      <c r="J1851" s="545">
        <v>20.821428571428573</v>
      </c>
    </row>
    <row r="1852" spans="1:10">
      <c r="A1852" s="441">
        <v>5235</v>
      </c>
      <c r="B1852" s="441" t="s">
        <v>2564</v>
      </c>
      <c r="C1852" s="545">
        <v>13.166666666666668</v>
      </c>
      <c r="D1852" s="545">
        <v>15</v>
      </c>
      <c r="E1852" s="545">
        <v>6.6666666666666661</v>
      </c>
      <c r="F1852" s="545">
        <v>12.500000000000002</v>
      </c>
      <c r="G1852" s="545">
        <v>10.65</v>
      </c>
      <c r="H1852" s="545">
        <v>5.666666666666667</v>
      </c>
      <c r="I1852" s="545">
        <v>19</v>
      </c>
      <c r="J1852" s="545">
        <v>11.13095238095238</v>
      </c>
    </row>
    <row r="1853" spans="1:10">
      <c r="A1853" s="441">
        <v>12917</v>
      </c>
      <c r="B1853" s="441" t="s">
        <v>2565</v>
      </c>
      <c r="C1853" s="545">
        <v>27.333333333333332</v>
      </c>
      <c r="D1853" s="545">
        <v>18.666666666666664</v>
      </c>
      <c r="E1853" s="545">
        <v>17.333333333333336</v>
      </c>
      <c r="F1853" s="545">
        <v>24.666666666666664</v>
      </c>
      <c r="G1853" s="545">
        <v>27.9</v>
      </c>
      <c r="H1853" s="545">
        <v>13</v>
      </c>
      <c r="I1853" s="545">
        <v>12.666666666666666</v>
      </c>
      <c r="J1853" s="545">
        <v>23.595238095238095</v>
      </c>
    </row>
    <row r="1854" spans="1:10">
      <c r="A1854" s="441">
        <v>12916</v>
      </c>
      <c r="B1854" s="441" t="s">
        <v>2566</v>
      </c>
      <c r="C1854" s="545">
        <v>14.833333333333334</v>
      </c>
      <c r="D1854" s="545">
        <v>15</v>
      </c>
      <c r="E1854" s="545">
        <v>9.6666666666666679</v>
      </c>
      <c r="F1854" s="545">
        <v>14.11904761904762</v>
      </c>
      <c r="G1854" s="545">
        <v>14.5</v>
      </c>
      <c r="H1854" s="545">
        <v>13.666666666666666</v>
      </c>
      <c r="I1854" s="545">
        <v>11.666666666666666</v>
      </c>
      <c r="J1854" s="545">
        <v>13.976190476190478</v>
      </c>
    </row>
    <row r="1855" spans="1:10">
      <c r="A1855" s="441">
        <v>5236</v>
      </c>
      <c r="B1855" s="441" t="s">
        <v>2567</v>
      </c>
      <c r="C1855" s="545">
        <v>19.333333333333336</v>
      </c>
      <c r="D1855" s="545">
        <v>8.3333333333333321</v>
      </c>
      <c r="E1855" s="545">
        <v>9.3333333333333339</v>
      </c>
      <c r="F1855" s="545">
        <v>16.333333333333336</v>
      </c>
      <c r="G1855" s="545">
        <v>15.05</v>
      </c>
      <c r="H1855" s="545">
        <v>9</v>
      </c>
      <c r="I1855" s="545">
        <v>11.666666666666666</v>
      </c>
      <c r="J1855" s="545">
        <v>13.702380952380953</v>
      </c>
    </row>
    <row r="1856" spans="1:10">
      <c r="A1856" s="441">
        <v>5234</v>
      </c>
      <c r="B1856" s="441" t="s">
        <v>2568</v>
      </c>
      <c r="C1856" s="545">
        <v>186.16666666666666</v>
      </c>
      <c r="D1856" s="545">
        <v>148</v>
      </c>
      <c r="E1856" s="545">
        <v>149.66666666666669</v>
      </c>
      <c r="F1856" s="545">
        <v>175.5</v>
      </c>
      <c r="G1856" s="545">
        <v>48.55</v>
      </c>
      <c r="H1856" s="545">
        <v>23.333333333333332</v>
      </c>
      <c r="I1856" s="545">
        <v>32.666666666666664</v>
      </c>
      <c r="J1856" s="545">
        <v>42.678571428571431</v>
      </c>
    </row>
    <row r="1857" spans="1:10">
      <c r="A1857" s="441">
        <v>9547</v>
      </c>
      <c r="B1857" s="441" t="s">
        <v>2569</v>
      </c>
      <c r="C1857" s="545">
        <v>34.166666666666664</v>
      </c>
      <c r="D1857" s="545">
        <v>20.333333333333332</v>
      </c>
      <c r="E1857" s="545">
        <v>24.666666666666664</v>
      </c>
      <c r="F1857" s="545">
        <v>30.833333333333332</v>
      </c>
      <c r="G1857" s="545">
        <v>22.65</v>
      </c>
      <c r="H1857" s="545">
        <v>8</v>
      </c>
      <c r="I1857" s="545">
        <v>7</v>
      </c>
      <c r="J1857" s="545">
        <v>18.321428571428573</v>
      </c>
    </row>
    <row r="1858" spans="1:10">
      <c r="A1858" s="441">
        <v>9551</v>
      </c>
      <c r="B1858" s="441" t="s">
        <v>2570</v>
      </c>
      <c r="C1858" s="545">
        <v>20.666666666666664</v>
      </c>
      <c r="D1858" s="545">
        <v>4.666666666666667</v>
      </c>
      <c r="E1858" s="545">
        <v>5.666666666666667</v>
      </c>
      <c r="F1858" s="545">
        <v>16.238095238095237</v>
      </c>
      <c r="G1858" s="545">
        <v>6.6</v>
      </c>
      <c r="H1858" s="545">
        <v>9</v>
      </c>
      <c r="I1858" s="545">
        <v>5.333333333333333</v>
      </c>
      <c r="J1858" s="545">
        <v>6.7619047619047619</v>
      </c>
    </row>
    <row r="1859" spans="1:10">
      <c r="A1859" s="441">
        <v>9550</v>
      </c>
      <c r="B1859" s="441" t="s">
        <v>2571</v>
      </c>
      <c r="C1859" s="545">
        <v>11.166666666666668</v>
      </c>
      <c r="D1859" s="545">
        <v>2.666666666666667</v>
      </c>
      <c r="E1859" s="545">
        <v>0.66666666666666663</v>
      </c>
      <c r="F1859" s="545">
        <v>8.4523809523809526</v>
      </c>
      <c r="G1859" s="545">
        <v>4.0999999999999996</v>
      </c>
      <c r="H1859" s="545">
        <v>1.6666666666666667</v>
      </c>
      <c r="I1859" s="545">
        <v>1.6666666666666667</v>
      </c>
      <c r="J1859" s="545">
        <v>3.4047619047619051</v>
      </c>
    </row>
    <row r="1860" spans="1:10">
      <c r="A1860" s="441">
        <v>9546</v>
      </c>
      <c r="B1860" s="441" t="s">
        <v>2572</v>
      </c>
      <c r="C1860" s="545">
        <v>32.166666666666664</v>
      </c>
      <c r="D1860" s="545">
        <v>8</v>
      </c>
      <c r="E1860" s="545">
        <v>4</v>
      </c>
      <c r="F1860" s="545">
        <v>24.690476190476186</v>
      </c>
      <c r="G1860" s="545">
        <v>14.85</v>
      </c>
      <c r="H1860" s="545">
        <v>6.666666666666667</v>
      </c>
      <c r="I1860" s="545">
        <v>10.666666666666666</v>
      </c>
      <c r="J1860" s="545">
        <v>13.083333333333334</v>
      </c>
    </row>
    <row r="1861" spans="1:10">
      <c r="A1861" s="441">
        <v>9549</v>
      </c>
      <c r="B1861" s="441" t="s">
        <v>2573</v>
      </c>
      <c r="C1861" s="545">
        <v>19.333333333333336</v>
      </c>
      <c r="D1861" s="545">
        <v>12</v>
      </c>
      <c r="E1861" s="545">
        <v>8.6666666666666661</v>
      </c>
      <c r="F1861" s="545">
        <v>16.761904761904766</v>
      </c>
      <c r="G1861" s="545">
        <v>6.5</v>
      </c>
      <c r="H1861" s="545">
        <v>4.666666666666667</v>
      </c>
      <c r="I1861" s="545">
        <v>5.666666666666667</v>
      </c>
      <c r="J1861" s="545">
        <v>6.1190476190476186</v>
      </c>
    </row>
    <row r="1862" spans="1:10">
      <c r="A1862" s="441">
        <v>9548</v>
      </c>
      <c r="B1862" s="441" t="s">
        <v>2574</v>
      </c>
      <c r="C1862" s="545">
        <v>15</v>
      </c>
      <c r="D1862" s="545">
        <v>14</v>
      </c>
      <c r="E1862" s="545">
        <v>11.333333333333334</v>
      </c>
      <c r="F1862" s="545">
        <v>14.333333333333332</v>
      </c>
      <c r="G1862" s="545">
        <v>2.4</v>
      </c>
      <c r="H1862" s="545">
        <v>3.3333333333333335</v>
      </c>
      <c r="I1862" s="545">
        <v>3.6666666666666665</v>
      </c>
      <c r="J1862" s="545">
        <v>2.7142857142857144</v>
      </c>
    </row>
    <row r="1863" spans="1:10">
      <c r="A1863" s="441">
        <v>3912</v>
      </c>
      <c r="B1863" s="441" t="s">
        <v>2575</v>
      </c>
      <c r="C1863" s="545">
        <v>20.833333333333332</v>
      </c>
      <c r="D1863" s="545">
        <v>12</v>
      </c>
      <c r="E1863" s="545">
        <v>7.666666666666667</v>
      </c>
      <c r="F1863" s="545">
        <v>17.69047619047619</v>
      </c>
      <c r="G1863" s="545">
        <v>9.6</v>
      </c>
      <c r="H1863" s="545">
        <v>9.3333333333333339</v>
      </c>
      <c r="I1863" s="545">
        <v>6</v>
      </c>
      <c r="J1863" s="545">
        <v>9.0476190476190474</v>
      </c>
    </row>
    <row r="1864" spans="1:10">
      <c r="A1864" s="441">
        <v>3913</v>
      </c>
      <c r="B1864" s="441" t="s">
        <v>2575</v>
      </c>
      <c r="C1864" s="545">
        <v>25.833333333333336</v>
      </c>
      <c r="D1864" s="545">
        <v>8.6666666666666661</v>
      </c>
      <c r="E1864" s="545">
        <v>6.6666666666666661</v>
      </c>
      <c r="F1864" s="545">
        <v>20.642857142857142</v>
      </c>
      <c r="G1864" s="545">
        <v>11.55</v>
      </c>
      <c r="H1864" s="545">
        <v>9.3333333333333339</v>
      </c>
      <c r="I1864" s="545">
        <v>6.333333333333333</v>
      </c>
      <c r="J1864" s="545">
        <v>10.488095238095237</v>
      </c>
    </row>
    <row r="1865" spans="1:10">
      <c r="A1865" s="441">
        <v>12700</v>
      </c>
      <c r="B1865" s="441" t="s">
        <v>2576</v>
      </c>
      <c r="C1865" s="545">
        <v>7.6666666666666661</v>
      </c>
      <c r="D1865" s="545">
        <v>3.333333333333333</v>
      </c>
      <c r="E1865" s="545">
        <v>2.666666666666667</v>
      </c>
      <c r="F1865" s="545">
        <v>6.333333333333333</v>
      </c>
      <c r="G1865" s="545">
        <v>3.9</v>
      </c>
      <c r="H1865" s="545">
        <v>3</v>
      </c>
      <c r="I1865" s="545">
        <v>4</v>
      </c>
      <c r="J1865" s="545">
        <v>3.7857142857142856</v>
      </c>
    </row>
    <row r="1866" spans="1:10">
      <c r="A1866" s="441">
        <v>12701</v>
      </c>
      <c r="B1866" s="441" t="s">
        <v>2576</v>
      </c>
      <c r="C1866" s="545">
        <v>6.5</v>
      </c>
      <c r="D1866" s="545">
        <v>3.333333333333333</v>
      </c>
      <c r="E1866" s="545">
        <v>2.6666666666666665</v>
      </c>
      <c r="F1866" s="545">
        <v>5.5</v>
      </c>
      <c r="G1866" s="545">
        <v>3.05</v>
      </c>
      <c r="H1866" s="545">
        <v>1.3333333333333333</v>
      </c>
      <c r="I1866" s="545">
        <v>1</v>
      </c>
      <c r="J1866" s="545">
        <v>2.5119047619047619</v>
      </c>
    </row>
    <row r="1867" spans="1:10">
      <c r="A1867" s="441">
        <v>3922</v>
      </c>
      <c r="B1867" s="441" t="s">
        <v>2577</v>
      </c>
      <c r="C1867" s="545">
        <v>7.1666666666666661</v>
      </c>
      <c r="D1867" s="545">
        <v>4.333333333333333</v>
      </c>
      <c r="E1867" s="545">
        <v>2.666666666666667</v>
      </c>
      <c r="F1867" s="545">
        <v>6.1190476190476186</v>
      </c>
      <c r="G1867" s="545">
        <v>4.25</v>
      </c>
      <c r="H1867" s="545">
        <v>3.3333333333333335</v>
      </c>
      <c r="I1867" s="545">
        <v>3.6666666666666665</v>
      </c>
      <c r="J1867" s="545">
        <v>4.0357142857142856</v>
      </c>
    </row>
    <row r="1868" spans="1:10">
      <c r="A1868" s="441">
        <v>3906</v>
      </c>
      <c r="B1868" s="441" t="s">
        <v>2578</v>
      </c>
      <c r="C1868" s="545">
        <v>1.1666666666666665</v>
      </c>
      <c r="D1868" s="545">
        <v>0</v>
      </c>
      <c r="E1868" s="545">
        <v>0.66666666666666663</v>
      </c>
      <c r="F1868" s="545">
        <v>0.92857142857142849</v>
      </c>
      <c r="G1868" s="545">
        <v>0.2</v>
      </c>
      <c r="H1868" s="545">
        <v>0</v>
      </c>
      <c r="I1868" s="545">
        <v>0</v>
      </c>
      <c r="J1868" s="545">
        <v>0.14285714285714285</v>
      </c>
    </row>
    <row r="1869" spans="1:10">
      <c r="A1869" s="441">
        <v>3919</v>
      </c>
      <c r="B1869" s="441" t="s">
        <v>2578</v>
      </c>
      <c r="C1869" s="545">
        <v>2.166666666666667</v>
      </c>
      <c r="D1869" s="545">
        <v>2.3333333333333335</v>
      </c>
      <c r="E1869" s="545">
        <v>0.66666666666666663</v>
      </c>
      <c r="F1869" s="545">
        <v>1.9761904761904765</v>
      </c>
      <c r="G1869" s="545">
        <v>1.05</v>
      </c>
      <c r="H1869" s="545">
        <v>0.33333333333333331</v>
      </c>
      <c r="I1869" s="545">
        <v>0</v>
      </c>
      <c r="J1869" s="545">
        <v>0.79761904761904756</v>
      </c>
    </row>
    <row r="1870" spans="1:10">
      <c r="A1870" s="441">
        <v>3909</v>
      </c>
      <c r="B1870" s="441" t="s">
        <v>2579</v>
      </c>
      <c r="C1870" s="545">
        <v>6</v>
      </c>
      <c r="D1870" s="545">
        <v>3.666666666666667</v>
      </c>
      <c r="E1870" s="545">
        <v>1.6666666666666665</v>
      </c>
      <c r="F1870" s="545">
        <v>5.0476190476190466</v>
      </c>
      <c r="G1870" s="545">
        <v>3.1</v>
      </c>
      <c r="H1870" s="545">
        <v>3.3333333333333335</v>
      </c>
      <c r="I1870" s="545">
        <v>3.6666666666666665</v>
      </c>
      <c r="J1870" s="545">
        <v>3.2142857142857144</v>
      </c>
    </row>
    <row r="1871" spans="1:10">
      <c r="A1871" s="441">
        <v>3916</v>
      </c>
      <c r="B1871" s="441" t="s">
        <v>2579</v>
      </c>
      <c r="C1871" s="545">
        <v>4.8333333333333339</v>
      </c>
      <c r="D1871" s="545">
        <v>3.333333333333333</v>
      </c>
      <c r="E1871" s="545">
        <v>1</v>
      </c>
      <c r="F1871" s="545">
        <v>4.0714285714285721</v>
      </c>
      <c r="G1871" s="545">
        <v>1.9</v>
      </c>
      <c r="H1871" s="545">
        <v>1</v>
      </c>
      <c r="I1871" s="545">
        <v>0.66666666666666663</v>
      </c>
      <c r="J1871" s="545">
        <v>1.5952380952380951</v>
      </c>
    </row>
    <row r="1872" spans="1:10">
      <c r="A1872" s="441">
        <v>3910</v>
      </c>
      <c r="B1872" s="441" t="s">
        <v>2580</v>
      </c>
      <c r="C1872" s="545">
        <v>1.1666666666666667</v>
      </c>
      <c r="D1872" s="545">
        <v>1</v>
      </c>
      <c r="E1872" s="545">
        <v>0.33333333333333331</v>
      </c>
      <c r="F1872" s="545">
        <v>1.0238095238095239</v>
      </c>
      <c r="G1872" s="545">
        <v>0.7</v>
      </c>
      <c r="H1872" s="545">
        <v>1.6666666666666667</v>
      </c>
      <c r="I1872" s="545">
        <v>1.3333333333333333</v>
      </c>
      <c r="J1872" s="545">
        <v>0.9285714285714286</v>
      </c>
    </row>
    <row r="1873" spans="1:10">
      <c r="A1873" s="441">
        <v>3915</v>
      </c>
      <c r="B1873" s="441" t="s">
        <v>2580</v>
      </c>
      <c r="C1873" s="545">
        <v>3</v>
      </c>
      <c r="D1873" s="545">
        <v>3.666666666666667</v>
      </c>
      <c r="E1873" s="545">
        <v>1</v>
      </c>
      <c r="F1873" s="545">
        <v>2.8095238095238098</v>
      </c>
      <c r="G1873" s="545">
        <v>0.9</v>
      </c>
      <c r="H1873" s="545">
        <v>1.3333333333333333</v>
      </c>
      <c r="I1873" s="545">
        <v>0.66666666666666663</v>
      </c>
      <c r="J1873" s="545">
        <v>0.9285714285714286</v>
      </c>
    </row>
    <row r="1874" spans="1:10">
      <c r="A1874" s="441">
        <v>3907</v>
      </c>
      <c r="B1874" s="441" t="s">
        <v>2581</v>
      </c>
      <c r="C1874" s="545">
        <v>4.5</v>
      </c>
      <c r="D1874" s="545">
        <v>1</v>
      </c>
      <c r="E1874" s="545">
        <v>1.3333333333333333</v>
      </c>
      <c r="F1874" s="545">
        <v>3.5476190476190474</v>
      </c>
      <c r="G1874" s="545">
        <v>4.25</v>
      </c>
      <c r="H1874" s="545">
        <v>1</v>
      </c>
      <c r="I1874" s="545">
        <v>2.3333333333333335</v>
      </c>
      <c r="J1874" s="545">
        <v>3.5119047619047619</v>
      </c>
    </row>
    <row r="1875" spans="1:10">
      <c r="A1875" s="441">
        <v>3918</v>
      </c>
      <c r="B1875" s="441" t="s">
        <v>2581</v>
      </c>
      <c r="C1875" s="545">
        <v>7.833333333333333</v>
      </c>
      <c r="D1875" s="545">
        <v>3</v>
      </c>
      <c r="E1875" s="545">
        <v>1.3333333333333333</v>
      </c>
      <c r="F1875" s="545">
        <v>6.2142857142857144</v>
      </c>
      <c r="G1875" s="545">
        <v>3.75</v>
      </c>
      <c r="H1875" s="545">
        <v>0.66666666666666663</v>
      </c>
      <c r="I1875" s="545">
        <v>2.3333333333333335</v>
      </c>
      <c r="J1875" s="545">
        <v>3.1071428571428572</v>
      </c>
    </row>
    <row r="1876" spans="1:10">
      <c r="A1876" s="441">
        <v>12702</v>
      </c>
      <c r="B1876" s="441" t="s">
        <v>2582</v>
      </c>
      <c r="C1876" s="545">
        <v>3.3333333333333335</v>
      </c>
      <c r="D1876" s="545">
        <v>1</v>
      </c>
      <c r="E1876" s="545">
        <v>1.6666666666666665</v>
      </c>
      <c r="F1876" s="545">
        <v>2.7619047619047623</v>
      </c>
      <c r="G1876" s="545">
        <v>2</v>
      </c>
      <c r="H1876" s="545">
        <v>1</v>
      </c>
      <c r="I1876" s="545">
        <v>0</v>
      </c>
      <c r="J1876" s="545">
        <v>1.5714285714285714</v>
      </c>
    </row>
    <row r="1877" spans="1:10">
      <c r="A1877" s="441">
        <v>3911</v>
      </c>
      <c r="B1877" s="441" t="s">
        <v>2583</v>
      </c>
      <c r="C1877" s="545">
        <v>1.6666666666666667</v>
      </c>
      <c r="D1877" s="545">
        <v>0.66666666666666663</v>
      </c>
      <c r="E1877" s="545">
        <v>0.66666666666666663</v>
      </c>
      <c r="F1877" s="545">
        <v>1.3809523809523809</v>
      </c>
      <c r="G1877" s="545">
        <v>0.85</v>
      </c>
      <c r="H1877" s="545">
        <v>0.66666666666666663</v>
      </c>
      <c r="I1877" s="545">
        <v>0.33333333333333331</v>
      </c>
      <c r="J1877" s="545">
        <v>0.75</v>
      </c>
    </row>
    <row r="1878" spans="1:10">
      <c r="A1878" s="441">
        <v>3914</v>
      </c>
      <c r="B1878" s="441" t="s">
        <v>2583</v>
      </c>
      <c r="C1878" s="545">
        <v>1.5</v>
      </c>
      <c r="D1878" s="545">
        <v>0.66666666666666663</v>
      </c>
      <c r="E1878" s="545">
        <v>1.3333333333333333</v>
      </c>
      <c r="F1878" s="545">
        <v>1.3571428571428572</v>
      </c>
      <c r="G1878" s="545">
        <v>0.75</v>
      </c>
      <c r="H1878" s="545">
        <v>0</v>
      </c>
      <c r="I1878" s="545">
        <v>0.66666666666666663</v>
      </c>
      <c r="J1878" s="545">
        <v>0.63095238095238104</v>
      </c>
    </row>
    <row r="1879" spans="1:10">
      <c r="A1879" s="441">
        <v>3899</v>
      </c>
      <c r="B1879" s="441" t="s">
        <v>2584</v>
      </c>
      <c r="C1879" s="545">
        <v>0</v>
      </c>
      <c r="D1879" s="545">
        <v>0.33333333333333331</v>
      </c>
      <c r="E1879" s="545">
        <v>0.33333333333333331</v>
      </c>
      <c r="F1879" s="545">
        <v>9.5238095238095233E-2</v>
      </c>
      <c r="G1879" s="545">
        <v>0.95</v>
      </c>
      <c r="H1879" s="545">
        <v>0</v>
      </c>
      <c r="I1879" s="545">
        <v>0</v>
      </c>
      <c r="J1879" s="545">
        <v>0.6785714285714286</v>
      </c>
    </row>
    <row r="1880" spans="1:10">
      <c r="A1880" s="441">
        <v>3904</v>
      </c>
      <c r="B1880" s="441" t="s">
        <v>2585</v>
      </c>
      <c r="C1880" s="545">
        <v>3.166666666666667</v>
      </c>
      <c r="D1880" s="545">
        <v>2.6666666666666665</v>
      </c>
      <c r="E1880" s="545">
        <v>3.6666666666666665</v>
      </c>
      <c r="F1880" s="545">
        <v>3.1666666666666674</v>
      </c>
      <c r="G1880" s="545">
        <v>1.4</v>
      </c>
      <c r="H1880" s="545">
        <v>0.66666666666666663</v>
      </c>
      <c r="I1880" s="545">
        <v>2</v>
      </c>
      <c r="J1880" s="545">
        <v>1.3809523809523812</v>
      </c>
    </row>
    <row r="1881" spans="1:10">
      <c r="A1881" s="441">
        <v>3920</v>
      </c>
      <c r="B1881" s="441" t="s">
        <v>2585</v>
      </c>
      <c r="C1881" s="545">
        <v>2.5</v>
      </c>
      <c r="D1881" s="545">
        <v>2.6666666666666665</v>
      </c>
      <c r="E1881" s="545">
        <v>3</v>
      </c>
      <c r="F1881" s="545">
        <v>2.5952380952380949</v>
      </c>
      <c r="G1881" s="545">
        <v>0.65</v>
      </c>
      <c r="H1881" s="545">
        <v>0.66666666666666663</v>
      </c>
      <c r="I1881" s="545">
        <v>0.66666666666666663</v>
      </c>
      <c r="J1881" s="545">
        <v>0.65476190476190477</v>
      </c>
    </row>
    <row r="1882" spans="1:10">
      <c r="A1882" s="441">
        <v>3901</v>
      </c>
      <c r="B1882" s="441" t="s">
        <v>2586</v>
      </c>
      <c r="C1882" s="545">
        <v>8</v>
      </c>
      <c r="D1882" s="545">
        <v>5.333333333333333</v>
      </c>
      <c r="E1882" s="545">
        <v>4</v>
      </c>
      <c r="F1882" s="545">
        <v>7.0476190476190483</v>
      </c>
      <c r="G1882" s="545">
        <v>3.9</v>
      </c>
      <c r="H1882" s="545">
        <v>5</v>
      </c>
      <c r="I1882" s="545">
        <v>5.333333333333333</v>
      </c>
      <c r="J1882" s="545">
        <v>4.2619047619047619</v>
      </c>
    </row>
    <row r="1883" spans="1:10">
      <c r="A1883" s="441">
        <v>3923</v>
      </c>
      <c r="B1883" s="441" t="s">
        <v>2586</v>
      </c>
      <c r="C1883" s="545">
        <v>4.333333333333333</v>
      </c>
      <c r="D1883" s="545">
        <v>3</v>
      </c>
      <c r="E1883" s="545">
        <v>1.3333333333333333</v>
      </c>
      <c r="F1883" s="545">
        <v>3.714285714285714</v>
      </c>
      <c r="G1883" s="545">
        <v>2.2000000000000002</v>
      </c>
      <c r="H1883" s="545">
        <v>1.6666666666666667</v>
      </c>
      <c r="I1883" s="545">
        <v>1</v>
      </c>
      <c r="J1883" s="545">
        <v>1.9523809523809523</v>
      </c>
    </row>
    <row r="1884" spans="1:10">
      <c r="A1884" s="441">
        <v>3902</v>
      </c>
      <c r="B1884" s="441" t="s">
        <v>2587</v>
      </c>
      <c r="C1884" s="545">
        <v>6.8333333333333339</v>
      </c>
      <c r="D1884" s="545">
        <v>6</v>
      </c>
      <c r="E1884" s="545">
        <v>3.666666666666667</v>
      </c>
      <c r="F1884" s="545">
        <v>6.2619047619047619</v>
      </c>
      <c r="G1884" s="545">
        <v>5.25</v>
      </c>
      <c r="H1884" s="545">
        <v>4</v>
      </c>
      <c r="I1884" s="545">
        <v>2.3333333333333335</v>
      </c>
      <c r="J1884" s="545">
        <v>4.6547619047619051</v>
      </c>
    </row>
    <row r="1885" spans="1:10">
      <c r="A1885" s="441">
        <v>3900</v>
      </c>
      <c r="B1885" s="441" t="s">
        <v>2588</v>
      </c>
      <c r="C1885" s="545">
        <v>3.5</v>
      </c>
      <c r="D1885" s="545">
        <v>3</v>
      </c>
      <c r="E1885" s="545">
        <v>1</v>
      </c>
      <c r="F1885" s="545">
        <v>3.0714285714285716</v>
      </c>
      <c r="G1885" s="545">
        <v>2.4500000000000002</v>
      </c>
      <c r="H1885" s="545">
        <v>2.3333333333333335</v>
      </c>
      <c r="I1885" s="545">
        <v>1</v>
      </c>
      <c r="J1885" s="545">
        <v>2.2261904761904763</v>
      </c>
    </row>
    <row r="1886" spans="1:10">
      <c r="A1886" s="441">
        <v>3924</v>
      </c>
      <c r="B1886" s="441" t="s">
        <v>2588</v>
      </c>
      <c r="C1886" s="545">
        <v>6.6666666666666661</v>
      </c>
      <c r="D1886" s="545">
        <v>2.6666666666666665</v>
      </c>
      <c r="E1886" s="545">
        <v>0.66666666666666663</v>
      </c>
      <c r="F1886" s="545">
        <v>5.2380952380952364</v>
      </c>
      <c r="G1886" s="545">
        <v>2.25</v>
      </c>
      <c r="H1886" s="545">
        <v>1.3333333333333333</v>
      </c>
      <c r="I1886" s="545">
        <v>0.33333333333333331</v>
      </c>
      <c r="J1886" s="545">
        <v>1.8452380952380953</v>
      </c>
    </row>
    <row r="1887" spans="1:10">
      <c r="A1887" s="441">
        <v>3905</v>
      </c>
      <c r="B1887" s="441" t="s">
        <v>2589</v>
      </c>
      <c r="C1887" s="545">
        <v>2</v>
      </c>
      <c r="D1887" s="545">
        <v>0</v>
      </c>
      <c r="E1887" s="545">
        <v>0</v>
      </c>
      <c r="F1887" s="545">
        <v>1.4285714285714286</v>
      </c>
      <c r="G1887" s="545">
        <v>0.95</v>
      </c>
      <c r="H1887" s="545">
        <v>0.66666666666666663</v>
      </c>
      <c r="I1887" s="545">
        <v>0</v>
      </c>
      <c r="J1887" s="545">
        <v>0.77380952380952384</v>
      </c>
    </row>
    <row r="1888" spans="1:10">
      <c r="A1888" s="441">
        <v>3903</v>
      </c>
      <c r="B1888" s="441" t="s">
        <v>2590</v>
      </c>
      <c r="C1888" s="545">
        <v>1.6666666666666667</v>
      </c>
      <c r="D1888" s="545">
        <v>2.666666666666667</v>
      </c>
      <c r="E1888" s="545">
        <v>0</v>
      </c>
      <c r="F1888" s="545">
        <v>1.5714285714285714</v>
      </c>
      <c r="G1888" s="545">
        <v>0.5</v>
      </c>
      <c r="H1888" s="545">
        <v>0.33333333333333331</v>
      </c>
      <c r="I1888" s="545">
        <v>0.33333333333333331</v>
      </c>
      <c r="J1888" s="545">
        <v>0.45238095238095244</v>
      </c>
    </row>
    <row r="1889" spans="1:10">
      <c r="A1889" s="441">
        <v>3921</v>
      </c>
      <c r="B1889" s="441" t="s">
        <v>2590</v>
      </c>
      <c r="C1889" s="545">
        <v>2.666666666666667</v>
      </c>
      <c r="D1889" s="545">
        <v>2.333333333333333</v>
      </c>
      <c r="E1889" s="545">
        <v>0.66666666666666663</v>
      </c>
      <c r="F1889" s="545">
        <v>2.3333333333333335</v>
      </c>
      <c r="G1889" s="545">
        <v>0.5</v>
      </c>
      <c r="H1889" s="545">
        <v>0.66666666666666663</v>
      </c>
      <c r="I1889" s="545">
        <v>0</v>
      </c>
      <c r="J1889" s="545">
        <v>0.45238095238095238</v>
      </c>
    </row>
    <row r="1890" spans="1:10">
      <c r="A1890" s="441">
        <v>3908</v>
      </c>
      <c r="B1890" s="441" t="s">
        <v>2591</v>
      </c>
      <c r="C1890" s="545">
        <v>3.666666666666667</v>
      </c>
      <c r="D1890" s="545">
        <v>2.666666666666667</v>
      </c>
      <c r="E1890" s="545">
        <v>2</v>
      </c>
      <c r="F1890" s="545">
        <v>3.285714285714286</v>
      </c>
      <c r="G1890" s="545">
        <v>2.35</v>
      </c>
      <c r="H1890" s="545">
        <v>0.66666666666666663</v>
      </c>
      <c r="I1890" s="545">
        <v>1.3333333333333333</v>
      </c>
      <c r="J1890" s="545">
        <v>1.9642857142857142</v>
      </c>
    </row>
    <row r="1891" spans="1:10">
      <c r="A1891" s="441">
        <v>3917</v>
      </c>
      <c r="B1891" s="441" t="s">
        <v>2591</v>
      </c>
      <c r="C1891" s="545">
        <v>2</v>
      </c>
      <c r="D1891" s="545">
        <v>2.3333333333333335</v>
      </c>
      <c r="E1891" s="545">
        <v>0.66666666666666663</v>
      </c>
      <c r="F1891" s="545">
        <v>1.8571428571428572</v>
      </c>
      <c r="G1891" s="545">
        <v>1.05</v>
      </c>
      <c r="H1891" s="545">
        <v>0.33333333333333331</v>
      </c>
      <c r="I1891" s="545">
        <v>0.33333333333333331</v>
      </c>
      <c r="J1891" s="545">
        <v>0.84523809523809512</v>
      </c>
    </row>
    <row r="1892" spans="1:10">
      <c r="A1892" s="441">
        <v>6432</v>
      </c>
      <c r="B1892" s="441" t="s">
        <v>2592</v>
      </c>
      <c r="C1892" s="545">
        <v>42.833333333333329</v>
      </c>
      <c r="D1892" s="545">
        <v>35</v>
      </c>
      <c r="E1892" s="545">
        <v>26</v>
      </c>
      <c r="F1892" s="545">
        <v>39.309523809523803</v>
      </c>
      <c r="G1892" s="545">
        <v>21.8</v>
      </c>
      <c r="H1892" s="545">
        <v>20.333333333333332</v>
      </c>
      <c r="I1892" s="545">
        <v>10</v>
      </c>
      <c r="J1892" s="545">
        <v>19.904761904761905</v>
      </c>
    </row>
    <row r="1893" spans="1:10">
      <c r="A1893" s="441">
        <v>6435</v>
      </c>
      <c r="B1893" s="441" t="s">
        <v>2592</v>
      </c>
      <c r="C1893" s="545">
        <v>33.5</v>
      </c>
      <c r="D1893" s="545">
        <v>22</v>
      </c>
      <c r="E1893" s="545">
        <v>18</v>
      </c>
      <c r="F1893" s="545">
        <v>29.642857142857142</v>
      </c>
      <c r="G1893" s="545">
        <v>23.95</v>
      </c>
      <c r="H1893" s="545">
        <v>18.666666666666668</v>
      </c>
      <c r="I1893" s="545">
        <v>13</v>
      </c>
      <c r="J1893" s="545">
        <v>21.63095238095238</v>
      </c>
    </row>
    <row r="1894" spans="1:10">
      <c r="A1894" s="441">
        <v>4975</v>
      </c>
      <c r="B1894" s="441" t="s">
        <v>2593</v>
      </c>
      <c r="C1894" s="545">
        <v>11</v>
      </c>
      <c r="D1894" s="545">
        <v>5</v>
      </c>
      <c r="E1894" s="545">
        <v>4.333333333333333</v>
      </c>
      <c r="F1894" s="545">
        <v>9.1904761904761898</v>
      </c>
      <c r="G1894" s="545">
        <v>5.4</v>
      </c>
      <c r="H1894" s="545">
        <v>4.333333333333333</v>
      </c>
      <c r="I1894" s="545">
        <v>2</v>
      </c>
      <c r="J1894" s="545">
        <v>4.761904761904761</v>
      </c>
    </row>
    <row r="1895" spans="1:10">
      <c r="A1895" s="441">
        <v>4980</v>
      </c>
      <c r="B1895" s="441" t="s">
        <v>2593</v>
      </c>
      <c r="C1895" s="545">
        <v>5.833333333333333</v>
      </c>
      <c r="D1895" s="545">
        <v>1</v>
      </c>
      <c r="E1895" s="545">
        <v>0.66666666666666663</v>
      </c>
      <c r="F1895" s="545">
        <v>4.4047619047619042</v>
      </c>
      <c r="G1895" s="545">
        <v>2.5</v>
      </c>
      <c r="H1895" s="545">
        <v>1.6666666666666667</v>
      </c>
      <c r="I1895" s="545">
        <v>0.66666666666666663</v>
      </c>
      <c r="J1895" s="545">
        <v>2.1190476190476191</v>
      </c>
    </row>
    <row r="1896" spans="1:10">
      <c r="A1896" s="441">
        <v>4974</v>
      </c>
      <c r="B1896" s="441" t="s">
        <v>2594</v>
      </c>
      <c r="C1896" s="545">
        <v>22.333333333333336</v>
      </c>
      <c r="D1896" s="545">
        <v>13.333333333333334</v>
      </c>
      <c r="E1896" s="545">
        <v>13</v>
      </c>
      <c r="F1896" s="545">
        <v>19.714285714285715</v>
      </c>
      <c r="G1896" s="545">
        <v>9.4499999999999993</v>
      </c>
      <c r="H1896" s="545">
        <v>11</v>
      </c>
      <c r="I1896" s="545">
        <v>10</v>
      </c>
      <c r="J1896" s="545">
        <v>9.75</v>
      </c>
    </row>
    <row r="1897" spans="1:10">
      <c r="A1897" s="441">
        <v>4981</v>
      </c>
      <c r="B1897" s="441" t="s">
        <v>2594</v>
      </c>
      <c r="C1897" s="545">
        <v>23.5</v>
      </c>
      <c r="D1897" s="545">
        <v>8</v>
      </c>
      <c r="E1897" s="545">
        <v>5</v>
      </c>
      <c r="F1897" s="545">
        <v>18.642857142857142</v>
      </c>
      <c r="G1897" s="545">
        <v>7.45</v>
      </c>
      <c r="H1897" s="545">
        <v>5.666666666666667</v>
      </c>
      <c r="I1897" s="545">
        <v>4.666666666666667</v>
      </c>
      <c r="J1897" s="545">
        <v>6.7976190476190466</v>
      </c>
    </row>
    <row r="1898" spans="1:10">
      <c r="A1898" s="441">
        <v>6430</v>
      </c>
      <c r="B1898" s="441" t="s">
        <v>2595</v>
      </c>
      <c r="C1898" s="545">
        <v>11</v>
      </c>
      <c r="D1898" s="545">
        <v>8</v>
      </c>
      <c r="E1898" s="545">
        <v>4.666666666666667</v>
      </c>
      <c r="F1898" s="545">
        <v>9.6666666666666679</v>
      </c>
      <c r="G1898" s="545">
        <v>8.9</v>
      </c>
      <c r="H1898" s="545">
        <v>8.3333333333333339</v>
      </c>
      <c r="I1898" s="545">
        <v>6.333333333333333</v>
      </c>
      <c r="J1898" s="545">
        <v>8.4523809523809526</v>
      </c>
    </row>
    <row r="1899" spans="1:10">
      <c r="A1899" s="441">
        <v>6437</v>
      </c>
      <c r="B1899" s="441" t="s">
        <v>2595</v>
      </c>
      <c r="C1899" s="545">
        <v>8.8333333333333339</v>
      </c>
      <c r="D1899" s="545">
        <v>4.666666666666667</v>
      </c>
      <c r="E1899" s="545">
        <v>6</v>
      </c>
      <c r="F1899" s="545">
        <v>7.8333333333333339</v>
      </c>
      <c r="G1899" s="545">
        <v>9.5500000000000007</v>
      </c>
      <c r="H1899" s="545">
        <v>10.333333333333334</v>
      </c>
      <c r="I1899" s="545">
        <v>11</v>
      </c>
      <c r="J1899" s="545">
        <v>9.8690476190476204</v>
      </c>
    </row>
    <row r="1900" spans="1:10">
      <c r="A1900" s="441">
        <v>4977</v>
      </c>
      <c r="B1900" s="441" t="s">
        <v>2596</v>
      </c>
      <c r="C1900" s="545">
        <v>1.3333333333333333</v>
      </c>
      <c r="D1900" s="545">
        <v>0.66666666666666663</v>
      </c>
      <c r="E1900" s="545">
        <v>2</v>
      </c>
      <c r="F1900" s="545">
        <v>1.3333333333333333</v>
      </c>
      <c r="G1900" s="545">
        <v>5</v>
      </c>
      <c r="H1900" s="545">
        <v>7</v>
      </c>
      <c r="I1900" s="545">
        <v>3.6666666666666665</v>
      </c>
      <c r="J1900" s="545">
        <v>5.0952380952380949</v>
      </c>
    </row>
    <row r="1901" spans="1:10">
      <c r="A1901" s="441">
        <v>4978</v>
      </c>
      <c r="B1901" s="441" t="s">
        <v>2596</v>
      </c>
      <c r="C1901" s="545">
        <v>4.166666666666667</v>
      </c>
      <c r="D1901" s="545">
        <v>1</v>
      </c>
      <c r="E1901" s="545">
        <v>0.33333333333333331</v>
      </c>
      <c r="F1901" s="545">
        <v>3.166666666666667</v>
      </c>
      <c r="G1901" s="545">
        <v>6.3</v>
      </c>
      <c r="H1901" s="545">
        <v>3</v>
      </c>
      <c r="I1901" s="545">
        <v>3</v>
      </c>
      <c r="J1901" s="545">
        <v>5.3571428571428568</v>
      </c>
    </row>
    <row r="1902" spans="1:10">
      <c r="A1902" s="441">
        <v>4459</v>
      </c>
      <c r="B1902" s="441" t="s">
        <v>2597</v>
      </c>
      <c r="C1902" s="545">
        <v>47.833333333333329</v>
      </c>
      <c r="D1902" s="545">
        <v>30.666666666666664</v>
      </c>
      <c r="E1902" s="545">
        <v>24.333333333333336</v>
      </c>
      <c r="F1902" s="545">
        <v>42.023809523809518</v>
      </c>
      <c r="G1902" s="545">
        <v>21.4</v>
      </c>
      <c r="H1902" s="545">
        <v>13</v>
      </c>
      <c r="I1902" s="545">
        <v>10</v>
      </c>
      <c r="J1902" s="545">
        <v>18.571428571428573</v>
      </c>
    </row>
    <row r="1903" spans="1:10">
      <c r="A1903" s="441">
        <v>4460</v>
      </c>
      <c r="B1903" s="441" t="s">
        <v>2597</v>
      </c>
      <c r="C1903" s="545">
        <v>58.333333333333329</v>
      </c>
      <c r="D1903" s="545">
        <v>32.333333333333336</v>
      </c>
      <c r="E1903" s="545">
        <v>28</v>
      </c>
      <c r="F1903" s="545">
        <v>50.285714285714278</v>
      </c>
      <c r="G1903" s="545">
        <v>21.55</v>
      </c>
      <c r="H1903" s="545">
        <v>17</v>
      </c>
      <c r="I1903" s="545">
        <v>13</v>
      </c>
      <c r="J1903" s="545">
        <v>19.678571428571427</v>
      </c>
    </row>
    <row r="1904" spans="1:10">
      <c r="A1904" s="441">
        <v>6431</v>
      </c>
      <c r="B1904" s="441" t="s">
        <v>2598</v>
      </c>
      <c r="C1904" s="545">
        <v>3</v>
      </c>
      <c r="D1904" s="545">
        <v>2.666666666666667</v>
      </c>
      <c r="E1904" s="545">
        <v>1.3333333333333333</v>
      </c>
      <c r="F1904" s="545">
        <v>2.7142857142857144</v>
      </c>
      <c r="G1904" s="545">
        <v>3.45</v>
      </c>
      <c r="H1904" s="545">
        <v>5</v>
      </c>
      <c r="I1904" s="545">
        <v>2.3333333333333335</v>
      </c>
      <c r="J1904" s="545">
        <v>3.5119047619047619</v>
      </c>
    </row>
    <row r="1905" spans="1:10">
      <c r="A1905" s="441">
        <v>6436</v>
      </c>
      <c r="B1905" s="441" t="s">
        <v>2598</v>
      </c>
      <c r="C1905" s="545">
        <v>8.1666666666666661</v>
      </c>
      <c r="D1905" s="545">
        <v>3</v>
      </c>
      <c r="E1905" s="545">
        <v>5.333333333333333</v>
      </c>
      <c r="F1905" s="545">
        <v>7.0238095238095237</v>
      </c>
      <c r="G1905" s="545">
        <v>3.45</v>
      </c>
      <c r="H1905" s="545">
        <v>7.333333333333333</v>
      </c>
      <c r="I1905" s="545">
        <v>6.666666666666667</v>
      </c>
      <c r="J1905" s="545">
        <v>4.4642857142857144</v>
      </c>
    </row>
    <row r="1906" spans="1:10">
      <c r="A1906" s="441">
        <v>4973</v>
      </c>
      <c r="B1906" s="441" t="s">
        <v>2599</v>
      </c>
      <c r="C1906" s="545">
        <v>191.5</v>
      </c>
      <c r="D1906" s="545">
        <v>126</v>
      </c>
      <c r="E1906" s="545">
        <v>104.66666666666667</v>
      </c>
      <c r="F1906" s="545">
        <v>169.73809523809524</v>
      </c>
      <c r="G1906" s="545">
        <v>92.35</v>
      </c>
      <c r="H1906" s="545">
        <v>88.666666666666671</v>
      </c>
      <c r="I1906" s="545">
        <v>78.666666666666671</v>
      </c>
      <c r="J1906" s="545">
        <v>89.869047619047606</v>
      </c>
    </row>
    <row r="1907" spans="1:10">
      <c r="A1907" s="441">
        <v>4982</v>
      </c>
      <c r="B1907" s="441" t="s">
        <v>2599</v>
      </c>
      <c r="C1907" s="545">
        <v>191.66666666666666</v>
      </c>
      <c r="D1907" s="545">
        <v>117.33333333333334</v>
      </c>
      <c r="E1907" s="545">
        <v>105.66666666666667</v>
      </c>
      <c r="F1907" s="545">
        <v>168.76190476190476</v>
      </c>
      <c r="G1907" s="545">
        <v>80.3</v>
      </c>
      <c r="H1907" s="545">
        <v>83</v>
      </c>
      <c r="I1907" s="545">
        <v>64</v>
      </c>
      <c r="J1907" s="545">
        <v>78.357142857142861</v>
      </c>
    </row>
    <row r="1908" spans="1:10">
      <c r="A1908" s="441">
        <v>6428</v>
      </c>
      <c r="B1908" s="441" t="s">
        <v>2600</v>
      </c>
      <c r="C1908" s="545">
        <v>19.333333333333332</v>
      </c>
      <c r="D1908" s="545">
        <v>13.666666666666666</v>
      </c>
      <c r="E1908" s="545">
        <v>5</v>
      </c>
      <c r="F1908" s="545">
        <v>16.476190476190474</v>
      </c>
      <c r="G1908" s="545">
        <v>11</v>
      </c>
      <c r="H1908" s="545">
        <v>4</v>
      </c>
      <c r="I1908" s="545">
        <v>10.666666666666666</v>
      </c>
      <c r="J1908" s="545">
        <v>9.9523809523809526</v>
      </c>
    </row>
    <row r="1909" spans="1:10">
      <c r="A1909" s="441">
        <v>6439</v>
      </c>
      <c r="B1909" s="441" t="s">
        <v>2600</v>
      </c>
      <c r="C1909" s="545">
        <v>32.5</v>
      </c>
      <c r="D1909" s="545">
        <v>16</v>
      </c>
      <c r="E1909" s="545">
        <v>10.333333333333332</v>
      </c>
      <c r="F1909" s="545">
        <v>26.976190476190478</v>
      </c>
      <c r="G1909" s="545">
        <v>10.65</v>
      </c>
      <c r="H1909" s="545">
        <v>8</v>
      </c>
      <c r="I1909" s="545">
        <v>10</v>
      </c>
      <c r="J1909" s="545">
        <v>10.178571428571429</v>
      </c>
    </row>
    <row r="1910" spans="1:10">
      <c r="A1910" s="441">
        <v>6427</v>
      </c>
      <c r="B1910" s="441" t="s">
        <v>2601</v>
      </c>
      <c r="C1910" s="545">
        <v>9.5</v>
      </c>
      <c r="D1910" s="545">
        <v>7</v>
      </c>
      <c r="E1910" s="545">
        <v>3</v>
      </c>
      <c r="F1910" s="545">
        <v>8.2142857142857135</v>
      </c>
      <c r="G1910" s="545">
        <v>5.5</v>
      </c>
      <c r="H1910" s="545">
        <v>9.3333333333333339</v>
      </c>
      <c r="I1910" s="545">
        <v>1.6666666666666667</v>
      </c>
      <c r="J1910" s="545">
        <v>5.5</v>
      </c>
    </row>
    <row r="1911" spans="1:10">
      <c r="A1911" s="441">
        <v>6440</v>
      </c>
      <c r="B1911" s="441" t="s">
        <v>2601</v>
      </c>
      <c r="C1911" s="545">
        <v>9.3333333333333339</v>
      </c>
      <c r="D1911" s="545">
        <v>3.666666666666667</v>
      </c>
      <c r="E1911" s="545">
        <v>5.6666666666666661</v>
      </c>
      <c r="F1911" s="545">
        <v>8</v>
      </c>
      <c r="G1911" s="545">
        <v>7.55</v>
      </c>
      <c r="H1911" s="545">
        <v>9</v>
      </c>
      <c r="I1911" s="545">
        <v>3</v>
      </c>
      <c r="J1911" s="545">
        <v>7.1071428571428568</v>
      </c>
    </row>
    <row r="1912" spans="1:10">
      <c r="A1912" s="441">
        <v>11350</v>
      </c>
      <c r="B1912" s="441" t="s">
        <v>2602</v>
      </c>
      <c r="C1912" s="545">
        <v>20.166666666666668</v>
      </c>
      <c r="D1912" s="545">
        <v>10</v>
      </c>
      <c r="E1912" s="545">
        <v>10.333333333333332</v>
      </c>
      <c r="F1912" s="545">
        <v>17.30952380952381</v>
      </c>
      <c r="G1912" s="545">
        <v>11.05</v>
      </c>
      <c r="H1912" s="545">
        <v>12</v>
      </c>
      <c r="I1912" s="545">
        <v>5.666666666666667</v>
      </c>
      <c r="J1912" s="545">
        <v>10.416666666666668</v>
      </c>
    </row>
    <row r="1913" spans="1:10">
      <c r="A1913" s="441">
        <v>11351</v>
      </c>
      <c r="B1913" s="441" t="s">
        <v>2602</v>
      </c>
      <c r="C1913" s="545">
        <v>13.833333333333334</v>
      </c>
      <c r="D1913" s="545">
        <v>8.6666666666666661</v>
      </c>
      <c r="E1913" s="545">
        <v>11</v>
      </c>
      <c r="F1913" s="545">
        <v>12.690476190476192</v>
      </c>
      <c r="G1913" s="545">
        <v>6.45</v>
      </c>
      <c r="H1913" s="545">
        <v>5</v>
      </c>
      <c r="I1913" s="545">
        <v>6</v>
      </c>
      <c r="J1913" s="545">
        <v>6.1785714285714288</v>
      </c>
    </row>
    <row r="1914" spans="1:10">
      <c r="A1914" s="441">
        <v>4976</v>
      </c>
      <c r="B1914" s="441" t="s">
        <v>2603</v>
      </c>
      <c r="C1914" s="545">
        <v>37.833333333333329</v>
      </c>
      <c r="D1914" s="545">
        <v>25.666666666666664</v>
      </c>
      <c r="E1914" s="545">
        <v>18.666666666666664</v>
      </c>
      <c r="F1914" s="545">
        <v>33.357142857142847</v>
      </c>
      <c r="G1914" s="545">
        <v>19.7</v>
      </c>
      <c r="H1914" s="545">
        <v>19</v>
      </c>
      <c r="I1914" s="545">
        <v>18.333333333333332</v>
      </c>
      <c r="J1914" s="545">
        <v>19.404761904761905</v>
      </c>
    </row>
    <row r="1915" spans="1:10">
      <c r="A1915" s="441">
        <v>4979</v>
      </c>
      <c r="B1915" s="441" t="s">
        <v>2603</v>
      </c>
      <c r="C1915" s="545">
        <v>17.333333333333336</v>
      </c>
      <c r="D1915" s="545">
        <v>14.666666666666668</v>
      </c>
      <c r="E1915" s="545">
        <v>15</v>
      </c>
      <c r="F1915" s="545">
        <v>16.619047619047624</v>
      </c>
      <c r="G1915" s="545">
        <v>14.25</v>
      </c>
      <c r="H1915" s="545">
        <v>8.3333333333333339</v>
      </c>
      <c r="I1915" s="545">
        <v>7.666666666666667</v>
      </c>
      <c r="J1915" s="545">
        <v>12.464285714285714</v>
      </c>
    </row>
    <row r="1916" spans="1:10">
      <c r="A1916" s="441">
        <v>4461</v>
      </c>
      <c r="B1916" s="441" t="s">
        <v>2604</v>
      </c>
      <c r="C1916" s="545">
        <v>74.333333333333329</v>
      </c>
      <c r="D1916" s="545">
        <v>40.666666666666664</v>
      </c>
      <c r="E1916" s="545">
        <v>42</v>
      </c>
      <c r="F1916" s="545">
        <v>64.904761904761898</v>
      </c>
      <c r="G1916" s="545">
        <v>59.6</v>
      </c>
      <c r="H1916" s="545">
        <v>50.666666666666664</v>
      </c>
      <c r="I1916" s="545">
        <v>46.333333333333336</v>
      </c>
      <c r="J1916" s="545">
        <v>56.428571428571431</v>
      </c>
    </row>
    <row r="1917" spans="1:10">
      <c r="A1917" s="441">
        <v>4466</v>
      </c>
      <c r="B1917" s="441" t="s">
        <v>2604</v>
      </c>
      <c r="C1917" s="545">
        <v>62.333333333333329</v>
      </c>
      <c r="D1917" s="545">
        <v>42</v>
      </c>
      <c r="E1917" s="545">
        <v>30</v>
      </c>
      <c r="F1917" s="545">
        <v>54.809523809523803</v>
      </c>
      <c r="G1917" s="545">
        <v>49.75</v>
      </c>
      <c r="H1917" s="545">
        <v>47.666666666666664</v>
      </c>
      <c r="I1917" s="545">
        <v>38</v>
      </c>
      <c r="J1917" s="545">
        <v>47.773809523809526</v>
      </c>
    </row>
    <row r="1918" spans="1:10">
      <c r="A1918" s="441">
        <v>6426</v>
      </c>
      <c r="B1918" s="441" t="s">
        <v>2605</v>
      </c>
      <c r="C1918" s="545">
        <v>68.666666666666671</v>
      </c>
      <c r="D1918" s="545">
        <v>44.333333333333329</v>
      </c>
      <c r="E1918" s="545">
        <v>36.666666666666671</v>
      </c>
      <c r="F1918" s="545">
        <v>60.619047619047628</v>
      </c>
      <c r="G1918" s="545">
        <v>49.45</v>
      </c>
      <c r="H1918" s="545">
        <v>43.333333333333336</v>
      </c>
      <c r="I1918" s="545">
        <v>28</v>
      </c>
      <c r="J1918" s="545">
        <v>45.511904761904759</v>
      </c>
    </row>
    <row r="1919" spans="1:10">
      <c r="A1919" s="441">
        <v>6441</v>
      </c>
      <c r="B1919" s="441" t="s">
        <v>2605</v>
      </c>
      <c r="C1919" s="545">
        <v>22.166666666666664</v>
      </c>
      <c r="D1919" s="545">
        <v>10.333333333333334</v>
      </c>
      <c r="E1919" s="545">
        <v>6.6666666666666661</v>
      </c>
      <c r="F1919" s="545">
        <v>18.261904761904759</v>
      </c>
      <c r="G1919" s="545">
        <v>13.55</v>
      </c>
      <c r="H1919" s="545">
        <v>12.666666666666666</v>
      </c>
      <c r="I1919" s="545">
        <v>5</v>
      </c>
      <c r="J1919" s="545">
        <v>12.202380952380953</v>
      </c>
    </row>
    <row r="1920" spans="1:10">
      <c r="A1920" s="441">
        <v>4972</v>
      </c>
      <c r="B1920" s="441" t="s">
        <v>2606</v>
      </c>
      <c r="C1920" s="545">
        <v>21</v>
      </c>
      <c r="D1920" s="545">
        <v>12.333333333333332</v>
      </c>
      <c r="E1920" s="545">
        <v>19</v>
      </c>
      <c r="F1920" s="545">
        <v>19.476190476190474</v>
      </c>
      <c r="G1920" s="545">
        <v>50.25</v>
      </c>
      <c r="H1920" s="545">
        <v>43</v>
      </c>
      <c r="I1920" s="545">
        <v>38.333333333333336</v>
      </c>
      <c r="J1920" s="545">
        <v>47.511904761904759</v>
      </c>
    </row>
    <row r="1921" spans="1:10">
      <c r="A1921" s="441">
        <v>4983</v>
      </c>
      <c r="B1921" s="441" t="s">
        <v>2606</v>
      </c>
      <c r="C1921" s="545">
        <v>253.33333333333331</v>
      </c>
      <c r="D1921" s="545">
        <v>177.33333333333334</v>
      </c>
      <c r="E1921" s="545">
        <v>153</v>
      </c>
      <c r="F1921" s="545">
        <v>228.14285714285711</v>
      </c>
      <c r="G1921" s="545">
        <v>113</v>
      </c>
      <c r="H1921" s="545">
        <v>102.33333333333333</v>
      </c>
      <c r="I1921" s="545">
        <v>95</v>
      </c>
      <c r="J1921" s="545">
        <v>108.90476190476191</v>
      </c>
    </row>
    <row r="1922" spans="1:10">
      <c r="A1922" s="441">
        <v>6433</v>
      </c>
      <c r="B1922" s="441" t="s">
        <v>2606</v>
      </c>
      <c r="C1922" s="545">
        <v>4.5</v>
      </c>
      <c r="D1922" s="545">
        <v>1.3333333333333333</v>
      </c>
      <c r="E1922" s="545">
        <v>0.66666666666666663</v>
      </c>
      <c r="F1922" s="545">
        <v>3.5</v>
      </c>
      <c r="G1922" s="545">
        <v>13.15</v>
      </c>
      <c r="H1922" s="545">
        <v>13.333333333333334</v>
      </c>
      <c r="I1922" s="545">
        <v>13.333333333333334</v>
      </c>
      <c r="J1922" s="545">
        <v>13.202380952380951</v>
      </c>
    </row>
    <row r="1923" spans="1:10">
      <c r="A1923" s="441">
        <v>6434</v>
      </c>
      <c r="B1923" s="441" t="s">
        <v>2606</v>
      </c>
      <c r="C1923" s="545">
        <v>37.5</v>
      </c>
      <c r="D1923" s="545">
        <v>23.666666666666668</v>
      </c>
      <c r="E1923" s="545">
        <v>10.333333333333334</v>
      </c>
      <c r="F1923" s="545">
        <v>31.642857142857142</v>
      </c>
      <c r="G1923" s="545">
        <v>38.200000000000003</v>
      </c>
      <c r="H1923" s="545">
        <v>37</v>
      </c>
      <c r="I1923" s="545">
        <v>25</v>
      </c>
      <c r="J1923" s="545">
        <v>36.142857142857146</v>
      </c>
    </row>
    <row r="1924" spans="1:10">
      <c r="A1924" s="441">
        <v>6429</v>
      </c>
      <c r="B1924" s="441" t="s">
        <v>2607</v>
      </c>
      <c r="C1924" s="545">
        <v>19.333333333333332</v>
      </c>
      <c r="D1924" s="545">
        <v>12.333333333333332</v>
      </c>
      <c r="E1924" s="545">
        <v>15</v>
      </c>
      <c r="F1924" s="545">
        <v>17.714285714285712</v>
      </c>
      <c r="G1924" s="545">
        <v>11.55</v>
      </c>
      <c r="H1924" s="545">
        <v>13</v>
      </c>
      <c r="I1924" s="545">
        <v>9</v>
      </c>
      <c r="J1924" s="545">
        <v>11.392857142857142</v>
      </c>
    </row>
    <row r="1925" spans="1:10">
      <c r="A1925" s="441">
        <v>6438</v>
      </c>
      <c r="B1925" s="441" t="s">
        <v>2607</v>
      </c>
      <c r="C1925" s="545">
        <v>14</v>
      </c>
      <c r="D1925" s="545">
        <v>14</v>
      </c>
      <c r="E1925" s="545">
        <v>8.3333333333333339</v>
      </c>
      <c r="F1925" s="545">
        <v>13.19047619047619</v>
      </c>
      <c r="G1925" s="545">
        <v>11.05</v>
      </c>
      <c r="H1925" s="545">
        <v>14.666666666666666</v>
      </c>
      <c r="I1925" s="545">
        <v>17.666666666666668</v>
      </c>
      <c r="J1925" s="545">
        <v>12.511904761904763</v>
      </c>
    </row>
    <row r="1926" spans="1:10">
      <c r="A1926" s="441">
        <v>4463</v>
      </c>
      <c r="B1926" s="441" t="s">
        <v>2608</v>
      </c>
      <c r="C1926" s="545">
        <v>12</v>
      </c>
      <c r="D1926" s="545">
        <v>5</v>
      </c>
      <c r="E1926" s="545">
        <v>8</v>
      </c>
      <c r="F1926" s="545">
        <v>10.428571428571429</v>
      </c>
      <c r="G1926" s="545">
        <v>8.5500000000000007</v>
      </c>
      <c r="H1926" s="545">
        <v>5.333333333333333</v>
      </c>
      <c r="I1926" s="545">
        <v>4.333333333333333</v>
      </c>
      <c r="J1926" s="545">
        <v>7.488095238095239</v>
      </c>
    </row>
    <row r="1927" spans="1:10">
      <c r="A1927" s="441">
        <v>4464</v>
      </c>
      <c r="B1927" s="441" t="s">
        <v>2608</v>
      </c>
      <c r="C1927" s="545">
        <v>16.833333333333332</v>
      </c>
      <c r="D1927" s="545">
        <v>5</v>
      </c>
      <c r="E1927" s="545">
        <v>7.6666666666666661</v>
      </c>
      <c r="F1927" s="545">
        <v>13.833333333333332</v>
      </c>
      <c r="G1927" s="545">
        <v>8.35</v>
      </c>
      <c r="H1927" s="545">
        <v>5.666666666666667</v>
      </c>
      <c r="I1927" s="545">
        <v>3.6666666666666665</v>
      </c>
      <c r="J1927" s="545">
        <v>7.2976190476190466</v>
      </c>
    </row>
    <row r="1928" spans="1:10">
      <c r="A1928" s="441">
        <v>11260</v>
      </c>
      <c r="B1928" s="441" t="s">
        <v>2609</v>
      </c>
      <c r="C1928" s="545">
        <v>10.5</v>
      </c>
      <c r="D1928" s="545">
        <v>10</v>
      </c>
      <c r="E1928" s="545">
        <v>6</v>
      </c>
      <c r="F1928" s="545">
        <v>9.7857142857142865</v>
      </c>
      <c r="G1928" s="545">
        <v>7.5</v>
      </c>
      <c r="H1928" s="545">
        <v>6.333333333333333</v>
      </c>
      <c r="I1928" s="545">
        <v>7.666666666666667</v>
      </c>
      <c r="J1928" s="545">
        <v>7.3571428571428568</v>
      </c>
    </row>
    <row r="1929" spans="1:10">
      <c r="A1929" s="441">
        <v>11261</v>
      </c>
      <c r="B1929" s="441" t="s">
        <v>2609</v>
      </c>
      <c r="C1929" s="545">
        <v>10.333333333333332</v>
      </c>
      <c r="D1929" s="545">
        <v>7</v>
      </c>
      <c r="E1929" s="545">
        <v>3.333333333333333</v>
      </c>
      <c r="F1929" s="545">
        <v>8.8571428571428559</v>
      </c>
      <c r="G1929" s="545">
        <v>6.5</v>
      </c>
      <c r="H1929" s="545">
        <v>5</v>
      </c>
      <c r="I1929" s="545">
        <v>6.666666666666667</v>
      </c>
      <c r="J1929" s="545">
        <v>6.3095238095238093</v>
      </c>
    </row>
    <row r="1930" spans="1:10">
      <c r="A1930" s="441">
        <v>4462</v>
      </c>
      <c r="B1930" s="441" t="s">
        <v>2610</v>
      </c>
      <c r="C1930" s="545">
        <v>2.1666666666666665</v>
      </c>
      <c r="D1930" s="545">
        <v>0.66666666666666663</v>
      </c>
      <c r="E1930" s="545">
        <v>2.333333333333333</v>
      </c>
      <c r="F1930" s="545">
        <v>1.9761904761904761</v>
      </c>
      <c r="G1930" s="545">
        <v>5.75</v>
      </c>
      <c r="H1930" s="545">
        <v>4.666666666666667</v>
      </c>
      <c r="I1930" s="545">
        <v>3</v>
      </c>
      <c r="J1930" s="545">
        <v>5.2023809523809517</v>
      </c>
    </row>
    <row r="1931" spans="1:10">
      <c r="A1931" s="441">
        <v>4465</v>
      </c>
      <c r="B1931" s="441" t="s">
        <v>2610</v>
      </c>
      <c r="C1931" s="545">
        <v>1.8333333333333333</v>
      </c>
      <c r="D1931" s="545">
        <v>2.3333333333333335</v>
      </c>
      <c r="E1931" s="545">
        <v>4.666666666666667</v>
      </c>
      <c r="F1931" s="545">
        <v>2.3095238095238098</v>
      </c>
      <c r="G1931" s="545">
        <v>5.0999999999999996</v>
      </c>
      <c r="H1931" s="545">
        <v>5</v>
      </c>
      <c r="I1931" s="545">
        <v>3.6666666666666665</v>
      </c>
      <c r="J1931" s="545">
        <v>4.8809523809523805</v>
      </c>
    </row>
    <row r="1932" spans="1:10">
      <c r="A1932" s="441">
        <v>6442</v>
      </c>
      <c r="B1932" s="441" t="s">
        <v>2611</v>
      </c>
      <c r="C1932" s="545">
        <v>161.33333333333331</v>
      </c>
      <c r="D1932" s="545">
        <v>93.666666666666671</v>
      </c>
      <c r="E1932" s="545">
        <v>65.666666666666671</v>
      </c>
      <c r="F1932" s="545">
        <v>137.99999999999997</v>
      </c>
      <c r="G1932" s="545">
        <v>107.6</v>
      </c>
      <c r="H1932" s="545">
        <v>81.666666666666671</v>
      </c>
      <c r="I1932" s="545">
        <v>49.666666666666664</v>
      </c>
      <c r="J1932" s="545">
        <v>95.619047619047606</v>
      </c>
    </row>
    <row r="1933" spans="1:10">
      <c r="A1933" s="441">
        <v>4277</v>
      </c>
      <c r="B1933" s="441" t="s">
        <v>2612</v>
      </c>
      <c r="C1933" s="545">
        <v>30</v>
      </c>
      <c r="D1933" s="545">
        <v>20.666666666666668</v>
      </c>
      <c r="E1933" s="545">
        <v>15.333333333333332</v>
      </c>
      <c r="F1933" s="545">
        <v>26.571428571428573</v>
      </c>
      <c r="G1933" s="545">
        <v>21.2</v>
      </c>
      <c r="H1933" s="545">
        <v>16.666666666666668</v>
      </c>
      <c r="I1933" s="545">
        <v>12.333333333333334</v>
      </c>
      <c r="J1933" s="545">
        <v>19.285714285714285</v>
      </c>
    </row>
    <row r="1934" spans="1:10">
      <c r="A1934" s="441">
        <v>4309</v>
      </c>
      <c r="B1934" s="441" t="s">
        <v>2612</v>
      </c>
      <c r="C1934" s="545">
        <v>9.8333333333333339</v>
      </c>
      <c r="D1934" s="545">
        <v>8</v>
      </c>
      <c r="E1934" s="545">
        <v>4</v>
      </c>
      <c r="F1934" s="545">
        <v>8.738095238095239</v>
      </c>
      <c r="G1934" s="545">
        <v>5.7</v>
      </c>
      <c r="H1934" s="545">
        <v>8</v>
      </c>
      <c r="I1934" s="545">
        <v>9.6666666666666661</v>
      </c>
      <c r="J1934" s="545">
        <v>6.5952380952380949</v>
      </c>
    </row>
    <row r="1935" spans="1:10">
      <c r="A1935" s="441">
        <v>4286</v>
      </c>
      <c r="B1935" s="441" t="s">
        <v>2613</v>
      </c>
      <c r="C1935" s="545">
        <v>9.8333333333333339</v>
      </c>
      <c r="D1935" s="545">
        <v>6.3333333333333339</v>
      </c>
      <c r="E1935" s="545">
        <v>2</v>
      </c>
      <c r="F1935" s="545">
        <v>8.2142857142857153</v>
      </c>
      <c r="G1935" s="545">
        <v>13.9</v>
      </c>
      <c r="H1935" s="545">
        <v>8.3333333333333339</v>
      </c>
      <c r="I1935" s="545">
        <v>5</v>
      </c>
      <c r="J1935" s="545">
        <v>11.833333333333332</v>
      </c>
    </row>
    <row r="1936" spans="1:10">
      <c r="A1936" s="441">
        <v>4302</v>
      </c>
      <c r="B1936" s="441" t="s">
        <v>2613</v>
      </c>
      <c r="C1936" s="545">
        <v>11.5</v>
      </c>
      <c r="D1936" s="545">
        <v>11.333333333333334</v>
      </c>
      <c r="E1936" s="545">
        <v>3</v>
      </c>
      <c r="F1936" s="545">
        <v>10.261904761904761</v>
      </c>
      <c r="G1936" s="545">
        <v>13.55</v>
      </c>
      <c r="H1936" s="545">
        <v>23.666666666666668</v>
      </c>
      <c r="I1936" s="545">
        <v>11</v>
      </c>
      <c r="J1936" s="545">
        <v>14.630952380952381</v>
      </c>
    </row>
    <row r="1937" spans="1:10">
      <c r="A1937" s="441">
        <v>3045</v>
      </c>
      <c r="B1937" s="441" t="s">
        <v>2614</v>
      </c>
      <c r="C1937" s="545">
        <v>12.666666666666668</v>
      </c>
      <c r="D1937" s="545">
        <v>7</v>
      </c>
      <c r="E1937" s="545">
        <v>5.666666666666667</v>
      </c>
      <c r="F1937" s="545">
        <v>10.857142857142859</v>
      </c>
      <c r="G1937" s="545">
        <v>9.1</v>
      </c>
      <c r="H1937" s="545">
        <v>3.6666666666666665</v>
      </c>
      <c r="I1937" s="545">
        <v>7</v>
      </c>
      <c r="J1937" s="545">
        <v>8.0238095238095237</v>
      </c>
    </row>
    <row r="1938" spans="1:10">
      <c r="A1938" s="441">
        <v>3054</v>
      </c>
      <c r="B1938" s="441" t="s">
        <v>2614</v>
      </c>
      <c r="C1938" s="545">
        <v>10.666666666666666</v>
      </c>
      <c r="D1938" s="545">
        <v>4.333333333333333</v>
      </c>
      <c r="E1938" s="545">
        <v>7.666666666666667</v>
      </c>
      <c r="F1938" s="545">
        <v>9.3333333333333321</v>
      </c>
      <c r="G1938" s="545">
        <v>13.05</v>
      </c>
      <c r="H1938" s="545">
        <v>10</v>
      </c>
      <c r="I1938" s="545">
        <v>6.333333333333333</v>
      </c>
      <c r="J1938" s="545">
        <v>11.654761904761903</v>
      </c>
    </row>
    <row r="1939" spans="1:10">
      <c r="A1939" s="441">
        <v>4287</v>
      </c>
      <c r="B1939" s="441" t="s">
        <v>2615</v>
      </c>
      <c r="C1939" s="545">
        <v>148.33333333333331</v>
      </c>
      <c r="D1939" s="545">
        <v>88.333333333333329</v>
      </c>
      <c r="E1939" s="545">
        <v>80.666666666666671</v>
      </c>
      <c r="F1939" s="545">
        <v>130.09523809523807</v>
      </c>
      <c r="G1939" s="545">
        <v>105.15</v>
      </c>
      <c r="H1939" s="545">
        <v>90.333333333333329</v>
      </c>
      <c r="I1939" s="545">
        <v>68</v>
      </c>
      <c r="J1939" s="545">
        <v>97.726190476190482</v>
      </c>
    </row>
    <row r="1940" spans="1:10">
      <c r="A1940" s="441">
        <v>4301</v>
      </c>
      <c r="B1940" s="441" t="s">
        <v>2615</v>
      </c>
      <c r="C1940" s="545">
        <v>222.66666666666666</v>
      </c>
      <c r="D1940" s="545">
        <v>136</v>
      </c>
      <c r="E1940" s="545">
        <v>99</v>
      </c>
      <c r="F1940" s="545">
        <v>192.61904761904762</v>
      </c>
      <c r="G1940" s="545">
        <v>155.69999999999999</v>
      </c>
      <c r="H1940" s="545">
        <v>137.66666666666666</v>
      </c>
      <c r="I1940" s="545">
        <v>78.333333333333329</v>
      </c>
      <c r="J1940" s="545">
        <v>142.07142857142858</v>
      </c>
    </row>
    <row r="1941" spans="1:10">
      <c r="A1941" s="441">
        <v>4284</v>
      </c>
      <c r="B1941" s="441" t="s">
        <v>2616</v>
      </c>
      <c r="C1941" s="545">
        <v>25.333333333333336</v>
      </c>
      <c r="D1941" s="545">
        <v>18</v>
      </c>
      <c r="E1941" s="545">
        <v>15</v>
      </c>
      <c r="F1941" s="545">
        <v>22.809523809523814</v>
      </c>
      <c r="G1941" s="545">
        <v>11.75</v>
      </c>
      <c r="H1941" s="545">
        <v>12</v>
      </c>
      <c r="I1941" s="545">
        <v>9.6666666666666661</v>
      </c>
      <c r="J1941" s="545">
        <v>11.488095238095239</v>
      </c>
    </row>
    <row r="1942" spans="1:10">
      <c r="A1942" s="441">
        <v>4304</v>
      </c>
      <c r="B1942" s="441" t="s">
        <v>2616</v>
      </c>
      <c r="C1942" s="545">
        <v>14.166666666666668</v>
      </c>
      <c r="D1942" s="545">
        <v>9.6666666666666661</v>
      </c>
      <c r="E1942" s="545">
        <v>6.3333333333333339</v>
      </c>
      <c r="F1942" s="545">
        <v>12.404761904761907</v>
      </c>
      <c r="G1942" s="545">
        <v>8</v>
      </c>
      <c r="H1942" s="545">
        <v>4.666666666666667</v>
      </c>
      <c r="I1942" s="545">
        <v>4</v>
      </c>
      <c r="J1942" s="545">
        <v>6.9523809523809517</v>
      </c>
    </row>
    <row r="1943" spans="1:10">
      <c r="A1943" s="441">
        <v>4289</v>
      </c>
      <c r="B1943" s="441" t="s">
        <v>2617</v>
      </c>
      <c r="C1943" s="545">
        <v>7.833333333333333</v>
      </c>
      <c r="D1943" s="545">
        <v>3.3333333333333335</v>
      </c>
      <c r="E1943" s="545">
        <v>6.333333333333333</v>
      </c>
      <c r="F1943" s="545">
        <v>6.9761904761904763</v>
      </c>
      <c r="G1943" s="545">
        <v>5.35</v>
      </c>
      <c r="H1943" s="545">
        <v>6.666666666666667</v>
      </c>
      <c r="I1943" s="545">
        <v>4.333333333333333</v>
      </c>
      <c r="J1943" s="545">
        <v>5.3928571428571432</v>
      </c>
    </row>
    <row r="1944" spans="1:10">
      <c r="A1944" s="441">
        <v>4299</v>
      </c>
      <c r="B1944" s="441" t="s">
        <v>2617</v>
      </c>
      <c r="C1944" s="545">
        <v>10.5</v>
      </c>
      <c r="D1944" s="545">
        <v>5.333333333333333</v>
      </c>
      <c r="E1944" s="545">
        <v>2.3333333333333335</v>
      </c>
      <c r="F1944" s="545">
        <v>8.5952380952380967</v>
      </c>
      <c r="G1944" s="545">
        <v>6.3</v>
      </c>
      <c r="H1944" s="545">
        <v>3</v>
      </c>
      <c r="I1944" s="545">
        <v>9</v>
      </c>
      <c r="J1944" s="545">
        <v>6.2142857142857144</v>
      </c>
    </row>
    <row r="1945" spans="1:10">
      <c r="A1945" s="441">
        <v>4268</v>
      </c>
      <c r="B1945" s="441" t="s">
        <v>2618</v>
      </c>
      <c r="C1945" s="545">
        <v>6.8333333333333339</v>
      </c>
      <c r="D1945" s="545">
        <v>5.6666666666666661</v>
      </c>
      <c r="E1945" s="545">
        <v>3.6666666666666665</v>
      </c>
      <c r="F1945" s="545">
        <v>6.2142857142857144</v>
      </c>
      <c r="G1945" s="545">
        <v>4.55</v>
      </c>
      <c r="H1945" s="545">
        <v>6</v>
      </c>
      <c r="I1945" s="545">
        <v>2.6666666666666665</v>
      </c>
      <c r="J1945" s="545">
        <v>4.4880952380952381</v>
      </c>
    </row>
    <row r="1946" spans="1:10">
      <c r="A1946" s="441">
        <v>4318</v>
      </c>
      <c r="B1946" s="441" t="s">
        <v>2618</v>
      </c>
      <c r="C1946" s="545">
        <v>17.666666666666664</v>
      </c>
      <c r="D1946" s="545">
        <v>10</v>
      </c>
      <c r="E1946" s="545">
        <v>6</v>
      </c>
      <c r="F1946" s="545">
        <v>14.904761904761902</v>
      </c>
      <c r="G1946" s="545">
        <v>10</v>
      </c>
      <c r="H1946" s="545">
        <v>8.3333333333333339</v>
      </c>
      <c r="I1946" s="545">
        <v>2</v>
      </c>
      <c r="J1946" s="545">
        <v>8.6190476190476186</v>
      </c>
    </row>
    <row r="1947" spans="1:10">
      <c r="A1947" s="441">
        <v>4319</v>
      </c>
      <c r="B1947" s="441" t="s">
        <v>2618</v>
      </c>
      <c r="C1947" s="545">
        <v>1</v>
      </c>
      <c r="D1947" s="545">
        <v>1.6666666666666665</v>
      </c>
      <c r="E1947" s="545">
        <v>0</v>
      </c>
      <c r="F1947" s="545">
        <v>0.95238095238095233</v>
      </c>
      <c r="G1947" s="545">
        <v>1.1000000000000001</v>
      </c>
      <c r="H1947" s="545">
        <v>0.66666666666666663</v>
      </c>
      <c r="I1947" s="545">
        <v>0.33333333333333331</v>
      </c>
      <c r="J1947" s="545">
        <v>0.9285714285714286</v>
      </c>
    </row>
    <row r="1948" spans="1:10">
      <c r="A1948" s="441">
        <v>1901</v>
      </c>
      <c r="B1948" s="441" t="s">
        <v>2619</v>
      </c>
      <c r="C1948" s="545">
        <v>12.166666666666666</v>
      </c>
      <c r="D1948" s="545">
        <v>10.333333333333332</v>
      </c>
      <c r="E1948" s="545">
        <v>4</v>
      </c>
      <c r="F1948" s="545">
        <v>10.738095238095237</v>
      </c>
      <c r="G1948" s="545">
        <v>12.3</v>
      </c>
      <c r="H1948" s="545">
        <v>3.6666666666666665</v>
      </c>
      <c r="I1948" s="545">
        <v>2.3333333333333335</v>
      </c>
      <c r="J1948" s="545">
        <v>9.6428571428571423</v>
      </c>
    </row>
    <row r="1949" spans="1:10">
      <c r="A1949" s="441">
        <v>4273</v>
      </c>
      <c r="B1949" s="441" t="s">
        <v>2620</v>
      </c>
      <c r="C1949" s="545">
        <v>12.5</v>
      </c>
      <c r="D1949" s="545">
        <v>10.333333333333332</v>
      </c>
      <c r="E1949" s="545">
        <v>7</v>
      </c>
      <c r="F1949" s="545">
        <v>11.404761904761903</v>
      </c>
      <c r="G1949" s="545">
        <v>7.6</v>
      </c>
      <c r="H1949" s="545">
        <v>8.6666666666666661</v>
      </c>
      <c r="I1949" s="545">
        <v>6</v>
      </c>
      <c r="J1949" s="545">
        <v>7.5238095238095237</v>
      </c>
    </row>
    <row r="1950" spans="1:10">
      <c r="A1950" s="441">
        <v>4313</v>
      </c>
      <c r="B1950" s="441" t="s">
        <v>2620</v>
      </c>
      <c r="C1950" s="545">
        <v>12.833333333333332</v>
      </c>
      <c r="D1950" s="545">
        <v>10</v>
      </c>
      <c r="E1950" s="545">
        <v>11.333333333333334</v>
      </c>
      <c r="F1950" s="545">
        <v>12.214285714285712</v>
      </c>
      <c r="G1950" s="545">
        <v>7.35</v>
      </c>
      <c r="H1950" s="545">
        <v>6.666666666666667</v>
      </c>
      <c r="I1950" s="545">
        <v>9</v>
      </c>
      <c r="J1950" s="545">
        <v>7.4880952380952381</v>
      </c>
    </row>
    <row r="1951" spans="1:10">
      <c r="A1951" s="441">
        <v>3048</v>
      </c>
      <c r="B1951" s="441" t="s">
        <v>2621</v>
      </c>
      <c r="C1951" s="545">
        <v>6</v>
      </c>
      <c r="D1951" s="545">
        <v>3.6666666666666665</v>
      </c>
      <c r="E1951" s="545">
        <v>3.666666666666667</v>
      </c>
      <c r="F1951" s="545">
        <v>5.333333333333333</v>
      </c>
      <c r="G1951" s="545">
        <v>2.9</v>
      </c>
      <c r="H1951" s="545">
        <v>2.6666666666666665</v>
      </c>
      <c r="I1951" s="545">
        <v>1</v>
      </c>
      <c r="J1951" s="545">
        <v>2.5952380952380953</v>
      </c>
    </row>
    <row r="1952" spans="1:10">
      <c r="A1952" s="441">
        <v>3051</v>
      </c>
      <c r="B1952" s="441" t="s">
        <v>2621</v>
      </c>
      <c r="C1952" s="545">
        <v>7</v>
      </c>
      <c r="D1952" s="545">
        <v>2.6666666666666665</v>
      </c>
      <c r="E1952" s="545">
        <v>8</v>
      </c>
      <c r="F1952" s="545">
        <v>6.5238095238095237</v>
      </c>
      <c r="G1952" s="545">
        <v>3.45</v>
      </c>
      <c r="H1952" s="545">
        <v>1.3333333333333333</v>
      </c>
      <c r="I1952" s="545">
        <v>1.3333333333333333</v>
      </c>
      <c r="J1952" s="545">
        <v>2.8452380952380949</v>
      </c>
    </row>
    <row r="1953" spans="1:10">
      <c r="A1953" s="441">
        <v>3041</v>
      </c>
      <c r="B1953" s="441" t="s">
        <v>2622</v>
      </c>
      <c r="C1953" s="545">
        <v>15</v>
      </c>
      <c r="D1953" s="545">
        <v>11.333333333333332</v>
      </c>
      <c r="E1953" s="545">
        <v>9.3333333333333321</v>
      </c>
      <c r="F1953" s="545">
        <v>13.666666666666666</v>
      </c>
      <c r="G1953" s="545">
        <v>11.5</v>
      </c>
      <c r="H1953" s="545">
        <v>8.6666666666666661</v>
      </c>
      <c r="I1953" s="545">
        <v>6.333333333333333</v>
      </c>
      <c r="J1953" s="545">
        <v>10.357142857142858</v>
      </c>
    </row>
    <row r="1954" spans="1:10">
      <c r="A1954" s="441">
        <v>3059</v>
      </c>
      <c r="B1954" s="441" t="s">
        <v>2622</v>
      </c>
      <c r="C1954" s="545">
        <v>13.833333333333332</v>
      </c>
      <c r="D1954" s="545">
        <v>7.3333333333333339</v>
      </c>
      <c r="E1954" s="545">
        <v>5.3333333333333339</v>
      </c>
      <c r="F1954" s="545">
        <v>11.690476190476188</v>
      </c>
      <c r="G1954" s="545">
        <v>12.8</v>
      </c>
      <c r="H1954" s="545">
        <v>7.333333333333333</v>
      </c>
      <c r="I1954" s="545">
        <v>8.3333333333333339</v>
      </c>
      <c r="J1954" s="545">
        <v>11.38095238095238</v>
      </c>
    </row>
    <row r="1955" spans="1:10">
      <c r="A1955" s="441">
        <v>4320</v>
      </c>
      <c r="B1955" s="441" t="s">
        <v>2623</v>
      </c>
      <c r="C1955" s="545">
        <v>22.166666666666664</v>
      </c>
      <c r="D1955" s="545">
        <v>18.333333333333336</v>
      </c>
      <c r="E1955" s="545">
        <v>10.666666666666666</v>
      </c>
      <c r="F1955" s="545">
        <v>19.976190476190474</v>
      </c>
      <c r="G1955" s="545">
        <v>10.7</v>
      </c>
      <c r="H1955" s="545">
        <v>10</v>
      </c>
      <c r="I1955" s="545">
        <v>6.333333333333333</v>
      </c>
      <c r="J1955" s="545">
        <v>9.9761904761904763</v>
      </c>
    </row>
    <row r="1956" spans="1:10">
      <c r="A1956" s="441">
        <v>4267</v>
      </c>
      <c r="B1956" s="441" t="s">
        <v>2624</v>
      </c>
      <c r="C1956" s="545">
        <v>1.1666666666666667</v>
      </c>
      <c r="D1956" s="545">
        <v>3</v>
      </c>
      <c r="E1956" s="545">
        <v>0.66666666666666663</v>
      </c>
      <c r="F1956" s="545">
        <v>1.3571428571428572</v>
      </c>
      <c r="G1956" s="545">
        <v>2</v>
      </c>
      <c r="H1956" s="545">
        <v>1.3333333333333333</v>
      </c>
      <c r="I1956" s="545">
        <v>0.66666666666666663</v>
      </c>
      <c r="J1956" s="545">
        <v>1.7142857142857142</v>
      </c>
    </row>
    <row r="1957" spans="1:10">
      <c r="A1957" s="441">
        <v>1905</v>
      </c>
      <c r="B1957" s="441" t="s">
        <v>2625</v>
      </c>
      <c r="C1957" s="545">
        <v>25</v>
      </c>
      <c r="D1957" s="545">
        <v>18.666666666666668</v>
      </c>
      <c r="E1957" s="545">
        <v>8</v>
      </c>
      <c r="F1957" s="545">
        <v>21.666666666666664</v>
      </c>
      <c r="G1957" s="545">
        <v>18.05</v>
      </c>
      <c r="H1957" s="545">
        <v>13</v>
      </c>
      <c r="I1957" s="545">
        <v>11.333333333333334</v>
      </c>
      <c r="J1957" s="545">
        <v>16.369047619047617</v>
      </c>
    </row>
    <row r="1958" spans="1:10">
      <c r="A1958" s="441">
        <v>1910</v>
      </c>
      <c r="B1958" s="441" t="s">
        <v>2625</v>
      </c>
      <c r="C1958" s="545">
        <v>46.833333333333336</v>
      </c>
      <c r="D1958" s="545">
        <v>24</v>
      </c>
      <c r="E1958" s="545">
        <v>20.333333333333336</v>
      </c>
      <c r="F1958" s="545">
        <v>39.785714285714285</v>
      </c>
      <c r="G1958" s="545">
        <v>21.45</v>
      </c>
      <c r="H1958" s="545">
        <v>12</v>
      </c>
      <c r="I1958" s="545">
        <v>9.6666666666666661</v>
      </c>
      <c r="J1958" s="545">
        <v>18.416666666666664</v>
      </c>
    </row>
    <row r="1959" spans="1:10">
      <c r="A1959" s="441">
        <v>3042</v>
      </c>
      <c r="B1959" s="441" t="s">
        <v>2626</v>
      </c>
      <c r="C1959" s="545">
        <v>17.166666666666668</v>
      </c>
      <c r="D1959" s="545">
        <v>12.333333333333332</v>
      </c>
      <c r="E1959" s="545">
        <v>16.333333333333336</v>
      </c>
      <c r="F1959" s="545">
        <v>16.357142857142858</v>
      </c>
      <c r="G1959" s="545">
        <v>11.9</v>
      </c>
      <c r="H1959" s="545">
        <v>10.333333333333334</v>
      </c>
      <c r="I1959" s="545">
        <v>6</v>
      </c>
      <c r="J1959" s="545">
        <v>10.833333333333332</v>
      </c>
    </row>
    <row r="1960" spans="1:10">
      <c r="A1960" s="441">
        <v>3058</v>
      </c>
      <c r="B1960" s="441" t="s">
        <v>2626</v>
      </c>
      <c r="C1960" s="545">
        <v>13</v>
      </c>
      <c r="D1960" s="545">
        <v>15</v>
      </c>
      <c r="E1960" s="545">
        <v>12.333333333333332</v>
      </c>
      <c r="F1960" s="545">
        <v>13.19047619047619</v>
      </c>
      <c r="G1960" s="545">
        <v>12</v>
      </c>
      <c r="H1960" s="545">
        <v>9.6666666666666661</v>
      </c>
      <c r="I1960" s="545">
        <v>7.333333333333333</v>
      </c>
      <c r="J1960" s="545">
        <v>11</v>
      </c>
    </row>
    <row r="1961" spans="1:10">
      <c r="A1961" s="441">
        <v>4285</v>
      </c>
      <c r="B1961" s="441" t="s">
        <v>2627</v>
      </c>
      <c r="C1961" s="545">
        <v>10.666666666666668</v>
      </c>
      <c r="D1961" s="545">
        <v>10.666666666666666</v>
      </c>
      <c r="E1961" s="545">
        <v>4.666666666666667</v>
      </c>
      <c r="F1961" s="545">
        <v>9.809523809523812</v>
      </c>
      <c r="G1961" s="545">
        <v>4.95</v>
      </c>
      <c r="H1961" s="545">
        <v>2</v>
      </c>
      <c r="I1961" s="545">
        <v>5.333333333333333</v>
      </c>
      <c r="J1961" s="545">
        <v>4.5833333333333339</v>
      </c>
    </row>
    <row r="1962" spans="1:10">
      <c r="A1962" s="441">
        <v>4303</v>
      </c>
      <c r="B1962" s="441" t="s">
        <v>2627</v>
      </c>
      <c r="C1962" s="545">
        <v>12</v>
      </c>
      <c r="D1962" s="545">
        <v>11.666666666666668</v>
      </c>
      <c r="E1962" s="545">
        <v>8.3333333333333339</v>
      </c>
      <c r="F1962" s="545">
        <v>11.428571428571429</v>
      </c>
      <c r="G1962" s="545">
        <v>8.85</v>
      </c>
      <c r="H1962" s="545">
        <v>5.333333333333333</v>
      </c>
      <c r="I1962" s="545">
        <v>5.666666666666667</v>
      </c>
      <c r="J1962" s="545">
        <v>7.8928571428571432</v>
      </c>
    </row>
    <row r="1963" spans="1:10">
      <c r="A1963" s="441">
        <v>3049</v>
      </c>
      <c r="B1963" s="441" t="s">
        <v>2628</v>
      </c>
      <c r="C1963" s="545">
        <v>64</v>
      </c>
      <c r="D1963" s="545">
        <v>43.666666666666664</v>
      </c>
      <c r="E1963" s="545">
        <v>21.333333333333332</v>
      </c>
      <c r="F1963" s="545">
        <v>55</v>
      </c>
      <c r="G1963" s="545">
        <v>35</v>
      </c>
      <c r="H1963" s="545">
        <v>35</v>
      </c>
      <c r="I1963" s="545">
        <v>18</v>
      </c>
      <c r="J1963" s="545">
        <v>32.571428571428569</v>
      </c>
    </row>
    <row r="1964" spans="1:10">
      <c r="A1964" s="441">
        <v>3050</v>
      </c>
      <c r="B1964" s="441" t="s">
        <v>2628</v>
      </c>
      <c r="C1964" s="545">
        <v>59.666666666666664</v>
      </c>
      <c r="D1964" s="545">
        <v>64</v>
      </c>
      <c r="E1964" s="545">
        <v>24.666666666666668</v>
      </c>
      <c r="F1964" s="545">
        <v>55.285714285714285</v>
      </c>
      <c r="G1964" s="545">
        <v>38.1</v>
      </c>
      <c r="H1964" s="545">
        <v>30</v>
      </c>
      <c r="I1964" s="545">
        <v>19.333333333333332</v>
      </c>
      <c r="J1964" s="545">
        <v>34.261904761904766</v>
      </c>
    </row>
    <row r="1965" spans="1:10">
      <c r="A1965" s="441">
        <v>4272</v>
      </c>
      <c r="B1965" s="441" t="s">
        <v>2629</v>
      </c>
      <c r="C1965" s="545">
        <v>29.666666666666668</v>
      </c>
      <c r="D1965" s="545">
        <v>18.333333333333332</v>
      </c>
      <c r="E1965" s="545">
        <v>18.333333333333332</v>
      </c>
      <c r="F1965" s="545">
        <v>26.428571428571434</v>
      </c>
      <c r="G1965" s="545">
        <v>18.899999999999999</v>
      </c>
      <c r="H1965" s="545">
        <v>12.333333333333334</v>
      </c>
      <c r="I1965" s="545">
        <v>9.3333333333333339</v>
      </c>
      <c r="J1965" s="545">
        <v>16.595238095238095</v>
      </c>
    </row>
    <row r="1966" spans="1:10">
      <c r="A1966" s="441">
        <v>4314</v>
      </c>
      <c r="B1966" s="441" t="s">
        <v>2629</v>
      </c>
      <c r="C1966" s="545">
        <v>18.166666666666664</v>
      </c>
      <c r="D1966" s="545">
        <v>17.666666666666668</v>
      </c>
      <c r="E1966" s="545">
        <v>12</v>
      </c>
      <c r="F1966" s="545">
        <v>17.214285714285712</v>
      </c>
      <c r="G1966" s="545">
        <v>13.35</v>
      </c>
      <c r="H1966" s="545">
        <v>15</v>
      </c>
      <c r="I1966" s="545">
        <v>7.333333333333333</v>
      </c>
      <c r="J1966" s="545">
        <v>12.726190476190476</v>
      </c>
    </row>
    <row r="1967" spans="1:10">
      <c r="A1967" s="441">
        <v>4275</v>
      </c>
      <c r="B1967" s="441" t="s">
        <v>2630</v>
      </c>
      <c r="C1967" s="545">
        <v>14.833333333333332</v>
      </c>
      <c r="D1967" s="545">
        <v>10</v>
      </c>
      <c r="E1967" s="545">
        <v>6.3333333333333339</v>
      </c>
      <c r="F1967" s="545">
        <v>12.928571428571427</v>
      </c>
      <c r="G1967" s="545">
        <v>9.3000000000000007</v>
      </c>
      <c r="H1967" s="545">
        <v>10</v>
      </c>
      <c r="I1967" s="545">
        <v>3.6666666666666665</v>
      </c>
      <c r="J1967" s="545">
        <v>8.5952380952380949</v>
      </c>
    </row>
    <row r="1968" spans="1:10">
      <c r="A1968" s="441">
        <v>4311</v>
      </c>
      <c r="B1968" s="441" t="s">
        <v>2630</v>
      </c>
      <c r="C1968" s="545">
        <v>19.5</v>
      </c>
      <c r="D1968" s="545">
        <v>13.666666666666668</v>
      </c>
      <c r="E1968" s="545">
        <v>11.666666666666668</v>
      </c>
      <c r="F1968" s="545">
        <v>17.547619047619047</v>
      </c>
      <c r="G1968" s="545">
        <v>15.5</v>
      </c>
      <c r="H1968" s="545">
        <v>16.333333333333332</v>
      </c>
      <c r="I1968" s="545">
        <v>13.333333333333334</v>
      </c>
      <c r="J1968" s="545">
        <v>15.309523809523808</v>
      </c>
    </row>
    <row r="1969" spans="1:10">
      <c r="A1969" s="441">
        <v>1903</v>
      </c>
      <c r="B1969" s="441" t="s">
        <v>2631</v>
      </c>
      <c r="C1969" s="545">
        <v>60.666666666666671</v>
      </c>
      <c r="D1969" s="545">
        <v>16</v>
      </c>
      <c r="E1969" s="545">
        <v>16.333333333333332</v>
      </c>
      <c r="F1969" s="545">
        <v>47.952380952380956</v>
      </c>
      <c r="G1969" s="545">
        <v>22.3</v>
      </c>
      <c r="H1969" s="545">
        <v>10.333333333333334</v>
      </c>
      <c r="I1969" s="545">
        <v>6.666666666666667</v>
      </c>
      <c r="J1969" s="545">
        <v>18.357142857142858</v>
      </c>
    </row>
    <row r="1970" spans="1:10">
      <c r="A1970" s="441">
        <v>1911</v>
      </c>
      <c r="B1970" s="441" t="s">
        <v>2631</v>
      </c>
      <c r="C1970" s="545">
        <v>58</v>
      </c>
      <c r="D1970" s="545">
        <v>9</v>
      </c>
      <c r="E1970" s="545">
        <v>7</v>
      </c>
      <c r="F1970" s="545">
        <v>43.714285714285715</v>
      </c>
      <c r="G1970" s="545">
        <v>6.85</v>
      </c>
      <c r="H1970" s="545">
        <v>1.6666666666666667</v>
      </c>
      <c r="I1970" s="545">
        <v>0</v>
      </c>
      <c r="J1970" s="545">
        <v>5.1309523809523805</v>
      </c>
    </row>
    <row r="1971" spans="1:10">
      <c r="A1971" s="441">
        <v>3040</v>
      </c>
      <c r="B1971" s="441" t="s">
        <v>2632</v>
      </c>
      <c r="C1971" s="545">
        <v>2.6666666666666665</v>
      </c>
      <c r="D1971" s="545">
        <v>2</v>
      </c>
      <c r="E1971" s="545">
        <v>1.6666666666666667</v>
      </c>
      <c r="F1971" s="545">
        <v>2.4285714285714284</v>
      </c>
      <c r="G1971" s="545">
        <v>2</v>
      </c>
      <c r="H1971" s="545">
        <v>1</v>
      </c>
      <c r="I1971" s="545">
        <v>4.333333333333333</v>
      </c>
      <c r="J1971" s="545">
        <v>2.1904761904761902</v>
      </c>
    </row>
    <row r="1972" spans="1:10">
      <c r="A1972" s="441">
        <v>3060</v>
      </c>
      <c r="B1972" s="441" t="s">
        <v>2632</v>
      </c>
      <c r="C1972" s="545">
        <v>4.8333333333333339</v>
      </c>
      <c r="D1972" s="545">
        <v>0.66666666666666663</v>
      </c>
      <c r="E1972" s="545">
        <v>2.333333333333333</v>
      </c>
      <c r="F1972" s="545">
        <v>3.8809523809523818</v>
      </c>
      <c r="G1972" s="545">
        <v>1.45</v>
      </c>
      <c r="H1972" s="545">
        <v>1</v>
      </c>
      <c r="I1972" s="545">
        <v>1.3333333333333333</v>
      </c>
      <c r="J1972" s="545">
        <v>1.3690476190476191</v>
      </c>
    </row>
    <row r="1973" spans="1:10">
      <c r="A1973" s="441">
        <v>4271</v>
      </c>
      <c r="B1973" s="441" t="s">
        <v>2633</v>
      </c>
      <c r="C1973" s="545">
        <v>8.8333333333333339</v>
      </c>
      <c r="D1973" s="545">
        <v>2.6666666666666665</v>
      </c>
      <c r="E1973" s="545">
        <v>3</v>
      </c>
      <c r="F1973" s="545">
        <v>7.1190476190476195</v>
      </c>
      <c r="G1973" s="545">
        <v>3.3</v>
      </c>
      <c r="H1973" s="545">
        <v>5</v>
      </c>
      <c r="I1973" s="545">
        <v>2.3333333333333335</v>
      </c>
      <c r="J1973" s="545">
        <v>3.4047619047619047</v>
      </c>
    </row>
    <row r="1974" spans="1:10">
      <c r="A1974" s="441">
        <v>4315</v>
      </c>
      <c r="B1974" s="441" t="s">
        <v>2633</v>
      </c>
      <c r="C1974" s="545">
        <v>17</v>
      </c>
      <c r="D1974" s="545">
        <v>8.3333333333333321</v>
      </c>
      <c r="E1974" s="545">
        <v>11</v>
      </c>
      <c r="F1974" s="545">
        <v>14.904761904761903</v>
      </c>
      <c r="G1974" s="545">
        <v>9.15</v>
      </c>
      <c r="H1974" s="545">
        <v>7</v>
      </c>
      <c r="I1974" s="545">
        <v>7.333333333333333</v>
      </c>
      <c r="J1974" s="545">
        <v>8.5833333333333339</v>
      </c>
    </row>
    <row r="1975" spans="1:10">
      <c r="A1975" s="441">
        <v>3057</v>
      </c>
      <c r="B1975" s="441" t="s">
        <v>2634</v>
      </c>
      <c r="C1975" s="545">
        <v>23</v>
      </c>
      <c r="D1975" s="545">
        <v>14.666666666666668</v>
      </c>
      <c r="E1975" s="545">
        <v>18.666666666666664</v>
      </c>
      <c r="F1975" s="545">
        <v>21.190476190476186</v>
      </c>
      <c r="G1975" s="545">
        <v>17.5</v>
      </c>
      <c r="H1975" s="545">
        <v>13</v>
      </c>
      <c r="I1975" s="545">
        <v>12</v>
      </c>
      <c r="J1975" s="545">
        <v>16.071428571428573</v>
      </c>
    </row>
    <row r="1976" spans="1:10">
      <c r="A1976" s="441">
        <v>10188</v>
      </c>
      <c r="B1976" s="441" t="s">
        <v>2634</v>
      </c>
      <c r="C1976" s="545">
        <v>25.666666666666664</v>
      </c>
      <c r="D1976" s="545">
        <v>23.333333333333336</v>
      </c>
      <c r="E1976" s="545">
        <v>14.666666666666668</v>
      </c>
      <c r="F1976" s="545">
        <v>23.761904761904759</v>
      </c>
      <c r="G1976" s="545">
        <v>21.2</v>
      </c>
      <c r="H1976" s="545">
        <v>18</v>
      </c>
      <c r="I1976" s="545">
        <v>16</v>
      </c>
      <c r="J1976" s="545">
        <v>20</v>
      </c>
    </row>
    <row r="1977" spans="1:10">
      <c r="A1977" s="441">
        <v>4269</v>
      </c>
      <c r="B1977" s="441" t="s">
        <v>2635</v>
      </c>
      <c r="C1977" s="545">
        <v>34.666666666666664</v>
      </c>
      <c r="D1977" s="545">
        <v>19.666666666666668</v>
      </c>
      <c r="E1977" s="545">
        <v>11.666666666666666</v>
      </c>
      <c r="F1977" s="545">
        <v>29.238095238095234</v>
      </c>
      <c r="G1977" s="545">
        <v>16.7</v>
      </c>
      <c r="H1977" s="545">
        <v>19</v>
      </c>
      <c r="I1977" s="545">
        <v>7.333333333333333</v>
      </c>
      <c r="J1977" s="545">
        <v>15.69047619047619</v>
      </c>
    </row>
    <row r="1978" spans="1:10">
      <c r="A1978" s="441">
        <v>4317</v>
      </c>
      <c r="B1978" s="441" t="s">
        <v>2635</v>
      </c>
      <c r="C1978" s="545">
        <v>25.166666666666668</v>
      </c>
      <c r="D1978" s="545">
        <v>11.666666666666668</v>
      </c>
      <c r="E1978" s="545">
        <v>10</v>
      </c>
      <c r="F1978" s="545">
        <v>21.071428571428573</v>
      </c>
      <c r="G1978" s="545">
        <v>12.95</v>
      </c>
      <c r="H1978" s="545">
        <v>9.3333333333333339</v>
      </c>
      <c r="I1978" s="545">
        <v>3.6666666666666665</v>
      </c>
      <c r="J1978" s="545">
        <v>11.107142857142858</v>
      </c>
    </row>
    <row r="1979" spans="1:10">
      <c r="A1979" s="441">
        <v>3047</v>
      </c>
      <c r="B1979" s="441" t="s">
        <v>2636</v>
      </c>
      <c r="C1979" s="545">
        <v>4.5</v>
      </c>
      <c r="D1979" s="545">
        <v>5</v>
      </c>
      <c r="E1979" s="545">
        <v>5.333333333333333</v>
      </c>
      <c r="F1979" s="545">
        <v>4.6904761904761907</v>
      </c>
      <c r="G1979" s="545">
        <v>2.15</v>
      </c>
      <c r="H1979" s="545">
        <v>2</v>
      </c>
      <c r="I1979" s="545">
        <v>1</v>
      </c>
      <c r="J1979" s="545">
        <v>1.9642857142857142</v>
      </c>
    </row>
    <row r="1980" spans="1:10">
      <c r="A1980" s="441">
        <v>3052</v>
      </c>
      <c r="B1980" s="441" t="s">
        <v>2636</v>
      </c>
      <c r="C1980" s="545">
        <v>8.6666666666666661</v>
      </c>
      <c r="D1980" s="545">
        <v>7</v>
      </c>
      <c r="E1980" s="545">
        <v>4</v>
      </c>
      <c r="F1980" s="545">
        <v>7.761904761904761</v>
      </c>
      <c r="G1980" s="545">
        <v>2.95</v>
      </c>
      <c r="H1980" s="545">
        <v>2.3333333333333335</v>
      </c>
      <c r="I1980" s="545">
        <v>0.66666666666666663</v>
      </c>
      <c r="J1980" s="545">
        <v>2.5357142857142856</v>
      </c>
    </row>
    <row r="1981" spans="1:10">
      <c r="A1981" s="441">
        <v>4283</v>
      </c>
      <c r="B1981" s="441" t="s">
        <v>2637</v>
      </c>
      <c r="C1981" s="545">
        <v>17</v>
      </c>
      <c r="D1981" s="545">
        <v>11.666666666666668</v>
      </c>
      <c r="E1981" s="545">
        <v>14</v>
      </c>
      <c r="F1981" s="545">
        <v>15.80952380952381</v>
      </c>
      <c r="G1981" s="545">
        <v>9.6</v>
      </c>
      <c r="H1981" s="545">
        <v>8</v>
      </c>
      <c r="I1981" s="545">
        <v>4</v>
      </c>
      <c r="J1981" s="545">
        <v>8.5714285714285712</v>
      </c>
    </row>
    <row r="1982" spans="1:10">
      <c r="A1982" s="441">
        <v>4305</v>
      </c>
      <c r="B1982" s="441" t="s">
        <v>2637</v>
      </c>
      <c r="C1982" s="545">
        <v>27.333333333333336</v>
      </c>
      <c r="D1982" s="545">
        <v>23.666666666666668</v>
      </c>
      <c r="E1982" s="545">
        <v>21</v>
      </c>
      <c r="F1982" s="545">
        <v>25.904761904761905</v>
      </c>
      <c r="G1982" s="545">
        <v>16.149999999999999</v>
      </c>
      <c r="H1982" s="545">
        <v>11.333333333333334</v>
      </c>
      <c r="I1982" s="545">
        <v>8.3333333333333339</v>
      </c>
      <c r="J1982" s="545">
        <v>14.345238095238093</v>
      </c>
    </row>
    <row r="1983" spans="1:10">
      <c r="A1983" s="441">
        <v>11478</v>
      </c>
      <c r="B1983" s="441" t="s">
        <v>2638</v>
      </c>
      <c r="C1983" s="545">
        <v>0.33333333333333331</v>
      </c>
      <c r="D1983" s="545">
        <v>1</v>
      </c>
      <c r="E1983" s="545">
        <v>0.33333333333333331</v>
      </c>
      <c r="F1983" s="545">
        <v>0.42857142857142855</v>
      </c>
      <c r="G1983" s="545">
        <v>2.1</v>
      </c>
      <c r="H1983" s="545">
        <v>4</v>
      </c>
      <c r="I1983" s="545">
        <v>2</v>
      </c>
      <c r="J1983" s="545">
        <v>2.3571428571428572</v>
      </c>
    </row>
    <row r="1984" spans="1:10">
      <c r="A1984" s="441">
        <v>4282</v>
      </c>
      <c r="B1984" s="441" t="s">
        <v>2639</v>
      </c>
      <c r="C1984" s="545">
        <v>4.5</v>
      </c>
      <c r="D1984" s="545">
        <v>3.666666666666667</v>
      </c>
      <c r="E1984" s="545">
        <v>3.666666666666667</v>
      </c>
      <c r="F1984" s="545">
        <v>4.2619047619047619</v>
      </c>
      <c r="G1984" s="545">
        <v>9.25</v>
      </c>
      <c r="H1984" s="545">
        <v>2.6666666666666665</v>
      </c>
      <c r="I1984" s="545">
        <v>4.333333333333333</v>
      </c>
      <c r="J1984" s="545">
        <v>7.6071428571428568</v>
      </c>
    </row>
    <row r="1985" spans="1:10">
      <c r="A1985" s="441">
        <v>4306</v>
      </c>
      <c r="B1985" s="441" t="s">
        <v>2639</v>
      </c>
      <c r="C1985" s="545">
        <v>10.166666666666668</v>
      </c>
      <c r="D1985" s="545">
        <v>4.666666666666667</v>
      </c>
      <c r="E1985" s="545">
        <v>5.333333333333333</v>
      </c>
      <c r="F1985" s="545">
        <v>8.6904761904761916</v>
      </c>
      <c r="G1985" s="545">
        <v>9.1</v>
      </c>
      <c r="H1985" s="545">
        <v>5.333333333333333</v>
      </c>
      <c r="I1985" s="545">
        <v>0.66666666666666663</v>
      </c>
      <c r="J1985" s="545">
        <v>7.3571428571428568</v>
      </c>
    </row>
    <row r="1986" spans="1:10">
      <c r="A1986" s="441">
        <v>4292</v>
      </c>
      <c r="B1986" s="441" t="s">
        <v>2640</v>
      </c>
      <c r="C1986" s="545">
        <v>10.833333333333332</v>
      </c>
      <c r="D1986" s="545">
        <v>5.3333333333333339</v>
      </c>
      <c r="E1986" s="545">
        <v>3</v>
      </c>
      <c r="F1986" s="545">
        <v>8.928571428571427</v>
      </c>
      <c r="G1986" s="545">
        <v>13.15</v>
      </c>
      <c r="H1986" s="545">
        <v>12</v>
      </c>
      <c r="I1986" s="545">
        <v>5.333333333333333</v>
      </c>
      <c r="J1986" s="545">
        <v>11.869047619047619</v>
      </c>
    </row>
    <row r="1987" spans="1:10">
      <c r="A1987" s="441">
        <v>4293</v>
      </c>
      <c r="B1987" s="441" t="s">
        <v>2640</v>
      </c>
      <c r="C1987" s="545">
        <v>12.833333333333332</v>
      </c>
      <c r="D1987" s="545">
        <v>8.6666666666666661</v>
      </c>
      <c r="E1987" s="545">
        <v>10.666666666666668</v>
      </c>
      <c r="F1987" s="545">
        <v>11.928571428571429</v>
      </c>
      <c r="G1987" s="545">
        <v>7.85</v>
      </c>
      <c r="H1987" s="545">
        <v>10</v>
      </c>
      <c r="I1987" s="545">
        <v>5</v>
      </c>
      <c r="J1987" s="545">
        <v>7.75</v>
      </c>
    </row>
    <row r="1988" spans="1:10">
      <c r="A1988" s="441">
        <v>4296</v>
      </c>
      <c r="B1988" s="441" t="s">
        <v>2640</v>
      </c>
      <c r="C1988" s="545">
        <v>15.5</v>
      </c>
      <c r="D1988" s="545">
        <v>13.333333333333332</v>
      </c>
      <c r="E1988" s="545">
        <v>9</v>
      </c>
      <c r="F1988" s="545">
        <v>14.261904761904761</v>
      </c>
      <c r="G1988" s="545">
        <v>11.2</v>
      </c>
      <c r="H1988" s="545">
        <v>7</v>
      </c>
      <c r="I1988" s="545">
        <v>9.3333333333333339</v>
      </c>
      <c r="J1988" s="545">
        <v>10.333333333333332</v>
      </c>
    </row>
    <row r="1989" spans="1:10">
      <c r="A1989" s="441">
        <v>4276</v>
      </c>
      <c r="B1989" s="441" t="s">
        <v>2641</v>
      </c>
      <c r="C1989" s="545">
        <v>12.333333333333332</v>
      </c>
      <c r="D1989" s="545">
        <v>12</v>
      </c>
      <c r="E1989" s="545">
        <v>5.333333333333333</v>
      </c>
      <c r="F1989" s="545">
        <v>11.285714285714283</v>
      </c>
      <c r="G1989" s="545">
        <v>7.2</v>
      </c>
      <c r="H1989" s="545">
        <v>5.333333333333333</v>
      </c>
      <c r="I1989" s="545">
        <v>4.333333333333333</v>
      </c>
      <c r="J1989" s="545">
        <v>6.5238095238095246</v>
      </c>
    </row>
    <row r="1990" spans="1:10">
      <c r="A1990" s="441">
        <v>4310</v>
      </c>
      <c r="B1990" s="441" t="s">
        <v>2641</v>
      </c>
      <c r="C1990" s="545">
        <v>28.333333333333336</v>
      </c>
      <c r="D1990" s="545">
        <v>19.333333333333332</v>
      </c>
      <c r="E1990" s="545">
        <v>17.333333333333332</v>
      </c>
      <c r="F1990" s="545">
        <v>25.476190476190482</v>
      </c>
      <c r="G1990" s="545">
        <v>16.850000000000001</v>
      </c>
      <c r="H1990" s="545">
        <v>17.666666666666668</v>
      </c>
      <c r="I1990" s="545">
        <v>13</v>
      </c>
      <c r="J1990" s="545">
        <v>16.416666666666668</v>
      </c>
    </row>
    <row r="1991" spans="1:10">
      <c r="A1991" s="441">
        <v>4270</v>
      </c>
      <c r="B1991" s="441" t="s">
        <v>2642</v>
      </c>
      <c r="C1991" s="545">
        <v>10.666666666666668</v>
      </c>
      <c r="D1991" s="545">
        <v>4</v>
      </c>
      <c r="E1991" s="545">
        <v>4</v>
      </c>
      <c r="F1991" s="545">
        <v>8.7619047619047628</v>
      </c>
      <c r="G1991" s="545">
        <v>4.5</v>
      </c>
      <c r="H1991" s="545">
        <v>3.6666666666666665</v>
      </c>
      <c r="I1991" s="545">
        <v>3.6666666666666665</v>
      </c>
      <c r="J1991" s="545">
        <v>4.2619047619047619</v>
      </c>
    </row>
    <row r="1992" spans="1:10">
      <c r="A1992" s="441">
        <v>4316</v>
      </c>
      <c r="B1992" s="441" t="s">
        <v>2642</v>
      </c>
      <c r="C1992" s="545">
        <v>3.333333333333333</v>
      </c>
      <c r="D1992" s="545">
        <v>2</v>
      </c>
      <c r="E1992" s="545">
        <v>3.3333333333333335</v>
      </c>
      <c r="F1992" s="545">
        <v>3.1428571428571423</v>
      </c>
      <c r="G1992" s="545">
        <v>5.55</v>
      </c>
      <c r="H1992" s="545">
        <v>5.666666666666667</v>
      </c>
      <c r="I1992" s="545">
        <v>2</v>
      </c>
      <c r="J1992" s="545">
        <v>5.0595238095238093</v>
      </c>
    </row>
    <row r="1993" spans="1:10">
      <c r="A1993" s="441">
        <v>10283</v>
      </c>
      <c r="B1993" s="441" t="s">
        <v>2643</v>
      </c>
      <c r="C1993" s="545">
        <v>1.3333333333333335</v>
      </c>
      <c r="D1993" s="545">
        <v>1</v>
      </c>
      <c r="E1993" s="545">
        <v>1</v>
      </c>
      <c r="F1993" s="545">
        <v>1.2380952380952384</v>
      </c>
      <c r="G1993" s="545">
        <v>2.2000000000000002</v>
      </c>
      <c r="H1993" s="545">
        <v>1.6666666666666667</v>
      </c>
      <c r="I1993" s="545">
        <v>0.33333333333333331</v>
      </c>
      <c r="J1993" s="545">
        <v>1.8571428571428572</v>
      </c>
    </row>
    <row r="1994" spans="1:10">
      <c r="A1994" s="441">
        <v>4279</v>
      </c>
      <c r="B1994" s="441" t="s">
        <v>2644</v>
      </c>
      <c r="C1994" s="545">
        <v>74.166666666666671</v>
      </c>
      <c r="D1994" s="545">
        <v>44.333333333333329</v>
      </c>
      <c r="E1994" s="545">
        <v>24.666666666666664</v>
      </c>
      <c r="F1994" s="545">
        <v>62.833333333333336</v>
      </c>
      <c r="G1994" s="545">
        <v>50.65</v>
      </c>
      <c r="H1994" s="545">
        <v>41</v>
      </c>
      <c r="I1994" s="545">
        <v>22.333333333333332</v>
      </c>
      <c r="J1994" s="545">
        <v>45.226190476190474</v>
      </c>
    </row>
    <row r="1995" spans="1:10">
      <c r="A1995" s="441">
        <v>4308</v>
      </c>
      <c r="B1995" s="441" t="s">
        <v>2644</v>
      </c>
      <c r="C1995" s="545">
        <v>83.333333333333343</v>
      </c>
      <c r="D1995" s="545">
        <v>57.666666666666664</v>
      </c>
      <c r="E1995" s="545">
        <v>34</v>
      </c>
      <c r="F1995" s="545">
        <v>72.619047619047635</v>
      </c>
      <c r="G1995" s="545">
        <v>51.65</v>
      </c>
      <c r="H1995" s="545">
        <v>44</v>
      </c>
      <c r="I1995" s="545">
        <v>28.333333333333332</v>
      </c>
      <c r="J1995" s="545">
        <v>47.226190476190474</v>
      </c>
    </row>
    <row r="1996" spans="1:10">
      <c r="A1996" s="441">
        <v>3046</v>
      </c>
      <c r="B1996" s="441" t="s">
        <v>2645</v>
      </c>
      <c r="C1996" s="545">
        <v>55</v>
      </c>
      <c r="D1996" s="545">
        <v>33.666666666666671</v>
      </c>
      <c r="E1996" s="545">
        <v>31.333333333333332</v>
      </c>
      <c r="F1996" s="545">
        <v>48.571428571428569</v>
      </c>
      <c r="G1996" s="545">
        <v>39.049999999999997</v>
      </c>
      <c r="H1996" s="545">
        <v>27.333333333333332</v>
      </c>
      <c r="I1996" s="545">
        <v>16.666666666666668</v>
      </c>
      <c r="J1996" s="545">
        <v>34.178571428571431</v>
      </c>
    </row>
    <row r="1997" spans="1:10">
      <c r="A1997" s="441">
        <v>3053</v>
      </c>
      <c r="B1997" s="441" t="s">
        <v>2645</v>
      </c>
      <c r="C1997" s="545">
        <v>58.333333333333336</v>
      </c>
      <c r="D1997" s="545">
        <v>37.666666666666664</v>
      </c>
      <c r="E1997" s="545">
        <v>27.333333333333332</v>
      </c>
      <c r="F1997" s="545">
        <v>50.952380952380956</v>
      </c>
      <c r="G1997" s="545">
        <v>35.9</v>
      </c>
      <c r="H1997" s="545">
        <v>30</v>
      </c>
      <c r="I1997" s="545">
        <v>18.333333333333332</v>
      </c>
      <c r="J1997" s="545">
        <v>32.547619047619051</v>
      </c>
    </row>
    <row r="1998" spans="1:10">
      <c r="A1998" s="441">
        <v>4290</v>
      </c>
      <c r="B1998" s="441" t="s">
        <v>2646</v>
      </c>
      <c r="C1998" s="545">
        <v>3.5</v>
      </c>
      <c r="D1998" s="545">
        <v>3.3333333333333335</v>
      </c>
      <c r="E1998" s="545">
        <v>3</v>
      </c>
      <c r="F1998" s="545">
        <v>3.4047619047619047</v>
      </c>
      <c r="G1998" s="545">
        <v>4.25</v>
      </c>
      <c r="H1998" s="545">
        <v>2.6666666666666665</v>
      </c>
      <c r="I1998" s="545">
        <v>1</v>
      </c>
      <c r="J1998" s="545">
        <v>3.5595238095238098</v>
      </c>
    </row>
    <row r="1999" spans="1:10">
      <c r="A1999" s="441">
        <v>4298</v>
      </c>
      <c r="B1999" s="441" t="s">
        <v>2646</v>
      </c>
      <c r="C1999" s="545">
        <v>5.166666666666667</v>
      </c>
      <c r="D1999" s="545">
        <v>3</v>
      </c>
      <c r="E1999" s="545">
        <v>3.666666666666667</v>
      </c>
      <c r="F1999" s="545">
        <v>4.6428571428571432</v>
      </c>
      <c r="G1999" s="545">
        <v>3.25</v>
      </c>
      <c r="H1999" s="545">
        <v>3</v>
      </c>
      <c r="I1999" s="545">
        <v>2.3333333333333335</v>
      </c>
      <c r="J1999" s="545">
        <v>3.083333333333333</v>
      </c>
    </row>
    <row r="2000" spans="1:10">
      <c r="A2000" s="441">
        <v>4281</v>
      </c>
      <c r="B2000" s="441" t="s">
        <v>2647</v>
      </c>
      <c r="C2000" s="545">
        <v>90.666666666666657</v>
      </c>
      <c r="D2000" s="545">
        <v>58</v>
      </c>
      <c r="E2000" s="545">
        <v>40</v>
      </c>
      <c r="F2000" s="545">
        <v>78.761904761904745</v>
      </c>
      <c r="G2000" s="545">
        <v>42.55</v>
      </c>
      <c r="H2000" s="545">
        <v>32.333333333333336</v>
      </c>
      <c r="I2000" s="545">
        <v>28.666666666666668</v>
      </c>
      <c r="J2000" s="545">
        <v>39.107142857142854</v>
      </c>
    </row>
    <row r="2001" spans="1:10">
      <c r="A2001" s="441">
        <v>10031</v>
      </c>
      <c r="B2001" s="441" t="s">
        <v>2647</v>
      </c>
      <c r="C2001" s="545">
        <v>85.333333333333329</v>
      </c>
      <c r="D2001" s="545">
        <v>47.666666666666664</v>
      </c>
      <c r="E2001" s="545">
        <v>41</v>
      </c>
      <c r="F2001" s="545">
        <v>73.619047619047606</v>
      </c>
      <c r="G2001" s="545">
        <v>53.2</v>
      </c>
      <c r="H2001" s="545">
        <v>39.333333333333336</v>
      </c>
      <c r="I2001" s="545">
        <v>27</v>
      </c>
      <c r="J2001" s="545">
        <v>47.476190476190474</v>
      </c>
    </row>
    <row r="2002" spans="1:10">
      <c r="A2002" s="441">
        <v>4294</v>
      </c>
      <c r="B2002" s="441" t="s">
        <v>2648</v>
      </c>
      <c r="C2002" s="545">
        <v>80.666666666666671</v>
      </c>
      <c r="D2002" s="545">
        <v>55.666666666666664</v>
      </c>
      <c r="E2002" s="545">
        <v>44</v>
      </c>
      <c r="F2002" s="545">
        <v>71.857142857142861</v>
      </c>
      <c r="G2002" s="545">
        <v>46.3</v>
      </c>
      <c r="H2002" s="545">
        <v>27.333333333333332</v>
      </c>
      <c r="I2002" s="545">
        <v>22.333333333333332</v>
      </c>
      <c r="J2002" s="545">
        <v>40.166666666666664</v>
      </c>
    </row>
    <row r="2003" spans="1:10">
      <c r="A2003" s="441">
        <v>4295</v>
      </c>
      <c r="B2003" s="441" t="s">
        <v>2648</v>
      </c>
      <c r="C2003" s="545">
        <v>70.833333333333329</v>
      </c>
      <c r="D2003" s="545">
        <v>57.666666666666671</v>
      </c>
      <c r="E2003" s="545">
        <v>50.333333333333329</v>
      </c>
      <c r="F2003" s="545">
        <v>66.023809523809518</v>
      </c>
      <c r="G2003" s="545">
        <v>35.25</v>
      </c>
      <c r="H2003" s="545">
        <v>29.333333333333332</v>
      </c>
      <c r="I2003" s="545">
        <v>22.333333333333332</v>
      </c>
      <c r="J2003" s="545">
        <v>32.55952380952381</v>
      </c>
    </row>
    <row r="2004" spans="1:10">
      <c r="A2004" s="441">
        <v>4274</v>
      </c>
      <c r="B2004" s="441" t="s">
        <v>2649</v>
      </c>
      <c r="C2004" s="545">
        <v>2.8333333333333335</v>
      </c>
      <c r="D2004" s="545">
        <v>2.3333333333333335</v>
      </c>
      <c r="E2004" s="545">
        <v>1.3333333333333333</v>
      </c>
      <c r="F2004" s="545">
        <v>2.5476190476190474</v>
      </c>
      <c r="G2004" s="545">
        <v>0.5</v>
      </c>
      <c r="H2004" s="545">
        <v>0.66666666666666663</v>
      </c>
      <c r="I2004" s="545">
        <v>0</v>
      </c>
      <c r="J2004" s="545">
        <v>0.45238095238095238</v>
      </c>
    </row>
    <row r="2005" spans="1:10">
      <c r="A2005" s="441">
        <v>4312</v>
      </c>
      <c r="B2005" s="441" t="s">
        <v>2649</v>
      </c>
      <c r="C2005" s="545">
        <v>3.3333333333333335</v>
      </c>
      <c r="D2005" s="545">
        <v>1.6666666666666665</v>
      </c>
      <c r="E2005" s="545">
        <v>1</v>
      </c>
      <c r="F2005" s="545">
        <v>2.7619047619047623</v>
      </c>
      <c r="G2005" s="545">
        <v>1.95</v>
      </c>
      <c r="H2005" s="545">
        <v>1.3333333333333333</v>
      </c>
      <c r="I2005" s="545">
        <v>0</v>
      </c>
      <c r="J2005" s="545">
        <v>1.5833333333333335</v>
      </c>
    </row>
    <row r="2006" spans="1:10">
      <c r="A2006" s="441">
        <v>4278</v>
      </c>
      <c r="B2006" s="441" t="s">
        <v>2650</v>
      </c>
      <c r="C2006" s="545">
        <v>38.5</v>
      </c>
      <c r="D2006" s="545">
        <v>23</v>
      </c>
      <c r="E2006" s="545">
        <v>18</v>
      </c>
      <c r="F2006" s="545">
        <v>33.357142857142854</v>
      </c>
      <c r="G2006" s="545">
        <v>28</v>
      </c>
      <c r="H2006" s="545">
        <v>15.666666666666666</v>
      </c>
      <c r="I2006" s="545">
        <v>17.666666666666668</v>
      </c>
      <c r="J2006" s="545">
        <v>24.761904761904759</v>
      </c>
    </row>
    <row r="2007" spans="1:10">
      <c r="A2007" s="441">
        <v>10032</v>
      </c>
      <c r="B2007" s="441" t="s">
        <v>2650</v>
      </c>
      <c r="C2007" s="545">
        <v>38.5</v>
      </c>
      <c r="D2007" s="545">
        <v>15.666666666666668</v>
      </c>
      <c r="E2007" s="545">
        <v>11.333333333333334</v>
      </c>
      <c r="F2007" s="545">
        <v>31.357142857142858</v>
      </c>
      <c r="G2007" s="545">
        <v>32.450000000000003</v>
      </c>
      <c r="H2007" s="545">
        <v>24.666666666666668</v>
      </c>
      <c r="I2007" s="545">
        <v>17.333333333333332</v>
      </c>
      <c r="J2007" s="545">
        <v>29.178571428571427</v>
      </c>
    </row>
    <row r="2008" spans="1:10">
      <c r="A2008" s="441">
        <v>4288</v>
      </c>
      <c r="B2008" s="441" t="s">
        <v>2651</v>
      </c>
      <c r="C2008" s="545">
        <v>96.666666666666671</v>
      </c>
      <c r="D2008" s="545">
        <v>55.666666666666664</v>
      </c>
      <c r="E2008" s="545">
        <v>45.666666666666671</v>
      </c>
      <c r="F2008" s="545">
        <v>83.523809523809518</v>
      </c>
      <c r="G2008" s="545">
        <v>77.5</v>
      </c>
      <c r="H2008" s="545">
        <v>54.666666666666664</v>
      </c>
      <c r="I2008" s="545">
        <v>31.333333333333332</v>
      </c>
      <c r="J2008" s="545">
        <v>67.642857142857139</v>
      </c>
    </row>
    <row r="2009" spans="1:10">
      <c r="A2009" s="441">
        <v>4300</v>
      </c>
      <c r="B2009" s="441" t="s">
        <v>2651</v>
      </c>
      <c r="C2009" s="545">
        <v>19.833333333333336</v>
      </c>
      <c r="D2009" s="545">
        <v>14</v>
      </c>
      <c r="E2009" s="545">
        <v>8</v>
      </c>
      <c r="F2009" s="545">
        <v>17.309523809523814</v>
      </c>
      <c r="G2009" s="545">
        <v>10.15</v>
      </c>
      <c r="H2009" s="545">
        <v>5.666666666666667</v>
      </c>
      <c r="I2009" s="545">
        <v>6</v>
      </c>
      <c r="J2009" s="545">
        <v>8.9166666666666661</v>
      </c>
    </row>
    <row r="2010" spans="1:10">
      <c r="A2010" s="441">
        <v>4291</v>
      </c>
      <c r="B2010" s="441" t="s">
        <v>2652</v>
      </c>
      <c r="C2010" s="545">
        <v>6.1666666666666661</v>
      </c>
      <c r="D2010" s="545">
        <v>7.333333333333333</v>
      </c>
      <c r="E2010" s="545">
        <v>2.6666666666666665</v>
      </c>
      <c r="F2010" s="545">
        <v>5.833333333333333</v>
      </c>
      <c r="G2010" s="545">
        <v>4</v>
      </c>
      <c r="H2010" s="545">
        <v>4</v>
      </c>
      <c r="I2010" s="545">
        <v>3.3333333333333335</v>
      </c>
      <c r="J2010" s="545">
        <v>3.9047619047619047</v>
      </c>
    </row>
    <row r="2011" spans="1:10">
      <c r="A2011" s="441">
        <v>4297</v>
      </c>
      <c r="B2011" s="441" t="s">
        <v>2652</v>
      </c>
      <c r="C2011" s="545">
        <v>12</v>
      </c>
      <c r="D2011" s="545">
        <v>9.6666666666666661</v>
      </c>
      <c r="E2011" s="545">
        <v>6.3333333333333339</v>
      </c>
      <c r="F2011" s="545">
        <v>10.857142857142858</v>
      </c>
      <c r="G2011" s="545">
        <v>7.05</v>
      </c>
      <c r="H2011" s="545">
        <v>5</v>
      </c>
      <c r="I2011" s="545">
        <v>6</v>
      </c>
      <c r="J2011" s="545">
        <v>6.6071428571428568</v>
      </c>
    </row>
    <row r="2012" spans="1:10">
      <c r="A2012" s="441">
        <v>1912</v>
      </c>
      <c r="B2012" s="441" t="s">
        <v>2653</v>
      </c>
      <c r="C2012" s="545">
        <v>502.5</v>
      </c>
      <c r="D2012" s="545">
        <v>147.66666666666666</v>
      </c>
      <c r="E2012" s="545">
        <v>100.33333333333333</v>
      </c>
      <c r="F2012" s="545">
        <v>394.35714285714283</v>
      </c>
      <c r="G2012" s="545">
        <v>422.25</v>
      </c>
      <c r="H2012" s="545">
        <v>95.666666666666671</v>
      </c>
      <c r="I2012" s="545">
        <v>54</v>
      </c>
      <c r="J2012" s="545">
        <v>322.98809523809524</v>
      </c>
    </row>
    <row r="2013" spans="1:10">
      <c r="A2013" s="441">
        <v>1914</v>
      </c>
      <c r="B2013" s="441" t="s">
        <v>2654</v>
      </c>
      <c r="C2013" s="545">
        <v>14</v>
      </c>
      <c r="D2013" s="545">
        <v>3.666666666666667</v>
      </c>
      <c r="E2013" s="545">
        <v>5.333333333333333</v>
      </c>
      <c r="F2013" s="545">
        <v>11.285714285714286</v>
      </c>
      <c r="G2013" s="545">
        <v>6.35</v>
      </c>
      <c r="H2013" s="545">
        <v>1</v>
      </c>
      <c r="I2013" s="545">
        <v>4</v>
      </c>
      <c r="J2013" s="545">
        <v>5.25</v>
      </c>
    </row>
    <row r="2014" spans="1:10">
      <c r="A2014" s="441">
        <v>1904</v>
      </c>
      <c r="B2014" s="441" t="s">
        <v>2655</v>
      </c>
      <c r="C2014" s="545">
        <v>89</v>
      </c>
      <c r="D2014" s="545">
        <v>18.333333333333332</v>
      </c>
      <c r="E2014" s="545">
        <v>13</v>
      </c>
      <c r="F2014" s="545">
        <v>68.047619047619051</v>
      </c>
      <c r="G2014" s="545">
        <v>10.3</v>
      </c>
      <c r="H2014" s="545">
        <v>5</v>
      </c>
      <c r="I2014" s="545">
        <v>3.3333333333333335</v>
      </c>
      <c r="J2014" s="545">
        <v>8.5476190476190474</v>
      </c>
    </row>
    <row r="2015" spans="1:10">
      <c r="A2015" s="441">
        <v>3043</v>
      </c>
      <c r="B2015" s="441" t="s">
        <v>2656</v>
      </c>
      <c r="C2015" s="545">
        <v>15.333333333333332</v>
      </c>
      <c r="D2015" s="545">
        <v>8.6666666666666661</v>
      </c>
      <c r="E2015" s="545">
        <v>7</v>
      </c>
      <c r="F2015" s="545">
        <v>13.19047619047619</v>
      </c>
      <c r="G2015" s="545">
        <v>7.55</v>
      </c>
      <c r="H2015" s="545">
        <v>7</v>
      </c>
      <c r="I2015" s="545">
        <v>1.6666666666666667</v>
      </c>
      <c r="J2015" s="545">
        <v>6.6309523809523805</v>
      </c>
    </row>
    <row r="2016" spans="1:10">
      <c r="A2016" s="441">
        <v>3056</v>
      </c>
      <c r="B2016" s="441" t="s">
        <v>2656</v>
      </c>
      <c r="C2016" s="545">
        <v>25</v>
      </c>
      <c r="D2016" s="545">
        <v>16</v>
      </c>
      <c r="E2016" s="545">
        <v>14</v>
      </c>
      <c r="F2016" s="545">
        <v>22.142857142857142</v>
      </c>
      <c r="G2016" s="545">
        <v>25.85</v>
      </c>
      <c r="H2016" s="545">
        <v>19</v>
      </c>
      <c r="I2016" s="545">
        <v>5</v>
      </c>
      <c r="J2016" s="545">
        <v>21.892857142857142</v>
      </c>
    </row>
    <row r="2017" spans="1:10">
      <c r="A2017" s="441">
        <v>1900</v>
      </c>
      <c r="B2017" s="441" t="s">
        <v>2657</v>
      </c>
      <c r="C2017" s="545">
        <v>8.8333333333333321</v>
      </c>
      <c r="D2017" s="545">
        <v>8.6666666666666661</v>
      </c>
      <c r="E2017" s="545">
        <v>3</v>
      </c>
      <c r="F2017" s="545">
        <v>7.9761904761904745</v>
      </c>
      <c r="G2017" s="545">
        <v>5.3</v>
      </c>
      <c r="H2017" s="545">
        <v>1.3333333333333333</v>
      </c>
      <c r="I2017" s="545">
        <v>1</v>
      </c>
      <c r="J2017" s="545">
        <v>4.1190476190476186</v>
      </c>
    </row>
    <row r="2018" spans="1:10">
      <c r="A2018" s="441">
        <v>1915</v>
      </c>
      <c r="B2018" s="441" t="s">
        <v>2657</v>
      </c>
      <c r="C2018" s="545">
        <v>7.8333333333333339</v>
      </c>
      <c r="D2018" s="545">
        <v>2.6666666666666665</v>
      </c>
      <c r="E2018" s="545">
        <v>3</v>
      </c>
      <c r="F2018" s="545">
        <v>6.4047619047619051</v>
      </c>
      <c r="G2018" s="545">
        <v>7.75</v>
      </c>
      <c r="H2018" s="545">
        <v>4</v>
      </c>
      <c r="I2018" s="545">
        <v>7.333333333333333</v>
      </c>
      <c r="J2018" s="545">
        <v>7.1547619047619051</v>
      </c>
    </row>
    <row r="2019" spans="1:10">
      <c r="A2019" s="441">
        <v>11480</v>
      </c>
      <c r="B2019" s="441" t="s">
        <v>2657</v>
      </c>
      <c r="C2019" s="545">
        <v>17.333333333333332</v>
      </c>
      <c r="D2019" s="545">
        <v>12.666666666666668</v>
      </c>
      <c r="E2019" s="545">
        <v>9</v>
      </c>
      <c r="F2019" s="545">
        <v>15.476190476190476</v>
      </c>
      <c r="G2019" s="545">
        <v>8.4499999999999993</v>
      </c>
      <c r="H2019" s="545">
        <v>4.666666666666667</v>
      </c>
      <c r="I2019" s="545">
        <v>5</v>
      </c>
      <c r="J2019" s="545">
        <v>7.4166666666666661</v>
      </c>
    </row>
    <row r="2020" spans="1:10">
      <c r="A2020" s="441">
        <v>12992</v>
      </c>
      <c r="B2020" s="441" t="s">
        <v>2657</v>
      </c>
      <c r="C2020" s="545">
        <v>17.333333333333332</v>
      </c>
      <c r="D2020" s="545">
        <v>15.666666666666666</v>
      </c>
      <c r="E2020" s="545">
        <v>5.666666666666667</v>
      </c>
      <c r="F2020" s="545">
        <v>15.428571428571429</v>
      </c>
      <c r="G2020" s="545">
        <v>7.65</v>
      </c>
      <c r="H2020" s="545">
        <v>7</v>
      </c>
      <c r="I2020" s="545">
        <v>3.3333333333333335</v>
      </c>
      <c r="J2020" s="545">
        <v>6.9404761904761907</v>
      </c>
    </row>
    <row r="2021" spans="1:10">
      <c r="A2021" s="441">
        <v>11479</v>
      </c>
      <c r="B2021" s="441" t="s">
        <v>2658</v>
      </c>
      <c r="C2021" s="545">
        <v>0.83333333333333326</v>
      </c>
      <c r="D2021" s="545">
        <v>2.333333333333333</v>
      </c>
      <c r="E2021" s="545">
        <v>1.6666666666666667</v>
      </c>
      <c r="F2021" s="545">
        <v>1.1666666666666665</v>
      </c>
      <c r="G2021" s="545">
        <v>2.8</v>
      </c>
      <c r="H2021" s="545">
        <v>1.6666666666666667</v>
      </c>
      <c r="I2021" s="545">
        <v>2.6666666666666665</v>
      </c>
      <c r="J2021" s="545">
        <v>2.6190476190476191</v>
      </c>
    </row>
    <row r="2022" spans="1:10">
      <c r="A2022" s="441">
        <v>4280</v>
      </c>
      <c r="B2022" s="441" t="s">
        <v>2659</v>
      </c>
      <c r="C2022" s="545">
        <v>131.16666666666666</v>
      </c>
      <c r="D2022" s="545">
        <v>68.666666666666657</v>
      </c>
      <c r="E2022" s="545">
        <v>47.333333333333336</v>
      </c>
      <c r="F2022" s="545">
        <v>110.26190476190474</v>
      </c>
      <c r="G2022" s="545">
        <v>81.55</v>
      </c>
      <c r="H2022" s="545">
        <v>62.666666666666664</v>
      </c>
      <c r="I2022" s="545">
        <v>44.666666666666664</v>
      </c>
      <c r="J2022" s="545">
        <v>73.583333333333343</v>
      </c>
    </row>
    <row r="2023" spans="1:10">
      <c r="A2023" s="441">
        <v>4307</v>
      </c>
      <c r="B2023" s="441" t="s">
        <v>2659</v>
      </c>
      <c r="C2023" s="545">
        <v>115.5</v>
      </c>
      <c r="D2023" s="545">
        <v>63.666666666666671</v>
      </c>
      <c r="E2023" s="545">
        <v>46.666666666666664</v>
      </c>
      <c r="F2023" s="545">
        <v>98.261904761904745</v>
      </c>
      <c r="G2023" s="545">
        <v>80.55</v>
      </c>
      <c r="H2023" s="545">
        <v>56.666666666666664</v>
      </c>
      <c r="I2023" s="545">
        <v>44.333333333333336</v>
      </c>
      <c r="J2023" s="545">
        <v>71.964285714285708</v>
      </c>
    </row>
    <row r="2024" spans="1:10">
      <c r="A2024" s="441">
        <v>3044</v>
      </c>
      <c r="B2024" s="441" t="s">
        <v>2660</v>
      </c>
      <c r="C2024" s="545">
        <v>71</v>
      </c>
      <c r="D2024" s="545">
        <v>58.333333333333336</v>
      </c>
      <c r="E2024" s="545">
        <v>43</v>
      </c>
      <c r="F2024" s="545">
        <v>65.19047619047619</v>
      </c>
      <c r="G2024" s="545">
        <v>52.6</v>
      </c>
      <c r="H2024" s="545">
        <v>43.666666666666664</v>
      </c>
      <c r="I2024" s="545">
        <v>43.333333333333336</v>
      </c>
      <c r="J2024" s="545">
        <v>50</v>
      </c>
    </row>
    <row r="2025" spans="1:10">
      <c r="A2025" s="441">
        <v>3055</v>
      </c>
      <c r="B2025" s="441" t="s">
        <v>2660</v>
      </c>
      <c r="C2025" s="545">
        <v>67.666666666666657</v>
      </c>
      <c r="D2025" s="545">
        <v>52.333333333333336</v>
      </c>
      <c r="E2025" s="545">
        <v>32.666666666666664</v>
      </c>
      <c r="F2025" s="545">
        <v>60.476190476190467</v>
      </c>
      <c r="G2025" s="545">
        <v>44.15</v>
      </c>
      <c r="H2025" s="545">
        <v>32</v>
      </c>
      <c r="I2025" s="545">
        <v>35.333333333333336</v>
      </c>
      <c r="J2025" s="545">
        <v>41.154761904761905</v>
      </c>
    </row>
    <row r="2026" spans="1:10">
      <c r="A2026" s="441">
        <v>163</v>
      </c>
      <c r="B2026" s="441" t="s">
        <v>2661</v>
      </c>
      <c r="C2026" s="545">
        <v>2.8333333333333335</v>
      </c>
      <c r="D2026" s="545">
        <v>0</v>
      </c>
      <c r="E2026" s="545">
        <v>0</v>
      </c>
      <c r="F2026" s="545">
        <v>2.0238095238095242</v>
      </c>
      <c r="G2026" s="545">
        <v>2.2000000000000002</v>
      </c>
      <c r="H2026" s="545">
        <v>2</v>
      </c>
      <c r="I2026" s="545">
        <v>1.6666666666666667</v>
      </c>
      <c r="J2026" s="545">
        <v>2.0952380952380953</v>
      </c>
    </row>
    <row r="2027" spans="1:10">
      <c r="A2027" s="441">
        <v>13053</v>
      </c>
      <c r="B2027" s="441" t="s">
        <v>2662</v>
      </c>
      <c r="C2027" s="545">
        <v>3.6666666666666665</v>
      </c>
      <c r="D2027" s="545">
        <v>2</v>
      </c>
      <c r="E2027" s="545">
        <v>3.6666666666666665</v>
      </c>
      <c r="F2027" s="545">
        <v>3.4285714285714284</v>
      </c>
      <c r="G2027" s="545">
        <v>4</v>
      </c>
      <c r="H2027" s="545">
        <v>0.66666666666666663</v>
      </c>
      <c r="I2027" s="545">
        <v>3</v>
      </c>
      <c r="J2027" s="545">
        <v>3.3809523809523809</v>
      </c>
    </row>
    <row r="2028" spans="1:10">
      <c r="A2028" s="441">
        <v>11257</v>
      </c>
      <c r="B2028" s="441" t="s">
        <v>2663</v>
      </c>
      <c r="C2028" s="545">
        <v>2616.666666666667</v>
      </c>
      <c r="D2028" s="545">
        <v>0</v>
      </c>
      <c r="E2028" s="545">
        <v>0</v>
      </c>
      <c r="F2028" s="545">
        <v>1869.0476190476195</v>
      </c>
      <c r="G2028" s="545">
        <v>1123.8</v>
      </c>
      <c r="H2028" s="545"/>
      <c r="I2028" s="545"/>
      <c r="J2028" s="545">
        <v>802.71428571428567</v>
      </c>
    </row>
    <row r="2029" spans="1:10">
      <c r="A2029" s="441">
        <v>10119</v>
      </c>
      <c r="B2029" s="441" t="s">
        <v>2664</v>
      </c>
      <c r="C2029" s="545">
        <v>1.8333333333333335</v>
      </c>
      <c r="D2029" s="545">
        <v>0.66666666666666663</v>
      </c>
      <c r="E2029" s="545">
        <v>0</v>
      </c>
      <c r="F2029" s="545">
        <v>1.4047619047619049</v>
      </c>
      <c r="G2029" s="545">
        <v>1.6666666666666667</v>
      </c>
      <c r="H2029" s="545">
        <v>1.6666666666666667</v>
      </c>
      <c r="I2029" s="545">
        <v>0.33333333333333331</v>
      </c>
      <c r="J2029" s="545">
        <v>1.4761904761904763</v>
      </c>
    </row>
    <row r="2030" spans="1:10">
      <c r="A2030" s="441">
        <v>8419</v>
      </c>
      <c r="B2030" s="441" t="s">
        <v>2665</v>
      </c>
      <c r="C2030" s="545">
        <v>2</v>
      </c>
      <c r="D2030" s="545">
        <v>0</v>
      </c>
      <c r="E2030" s="545">
        <v>0</v>
      </c>
      <c r="F2030" s="545">
        <v>1.4285714285714286</v>
      </c>
      <c r="G2030" s="545">
        <v>2.1333333333333333</v>
      </c>
      <c r="H2030" s="545">
        <v>0.33333333333333331</v>
      </c>
      <c r="I2030" s="545">
        <v>0.66666666666666663</v>
      </c>
      <c r="J2030" s="545">
        <v>1.6666666666666665</v>
      </c>
    </row>
    <row r="2031" spans="1:10">
      <c r="A2031" s="441">
        <v>9074</v>
      </c>
      <c r="B2031" s="441" t="s">
        <v>2665</v>
      </c>
      <c r="C2031" s="545">
        <v>56</v>
      </c>
      <c r="D2031" s="545">
        <v>0.33333333333333331</v>
      </c>
      <c r="E2031" s="545">
        <v>0</v>
      </c>
      <c r="F2031" s="545">
        <v>40.047619047619044</v>
      </c>
      <c r="G2031" s="545">
        <v>32.06666666666667</v>
      </c>
      <c r="H2031" s="545">
        <v>0.66666666666666663</v>
      </c>
      <c r="I2031" s="545">
        <v>2</v>
      </c>
      <c r="J2031" s="545">
        <v>23.285714285714285</v>
      </c>
    </row>
    <row r="2032" spans="1:10">
      <c r="A2032" s="441">
        <v>7876</v>
      </c>
      <c r="B2032" s="441" t="s">
        <v>2666</v>
      </c>
      <c r="C2032" s="545">
        <v>5.3333333333333339</v>
      </c>
      <c r="D2032" s="545">
        <v>1</v>
      </c>
      <c r="E2032" s="545">
        <v>1</v>
      </c>
      <c r="F2032" s="545">
        <v>4.0952380952380958</v>
      </c>
      <c r="G2032" s="545">
        <v>1.45</v>
      </c>
      <c r="H2032" s="545">
        <v>0.33333333333333331</v>
      </c>
      <c r="I2032" s="545">
        <v>0</v>
      </c>
      <c r="J2032" s="545">
        <v>1.0833333333333333</v>
      </c>
    </row>
    <row r="2033" spans="1:10">
      <c r="A2033" s="441">
        <v>11496</v>
      </c>
      <c r="B2033" s="441" t="s">
        <v>2666</v>
      </c>
      <c r="C2033" s="545">
        <v>4.3333333333333339</v>
      </c>
      <c r="D2033" s="545">
        <v>4.6666666666666661</v>
      </c>
      <c r="E2033" s="545">
        <v>0.66666666666666663</v>
      </c>
      <c r="F2033" s="545">
        <v>3.8571428571428577</v>
      </c>
      <c r="G2033" s="545">
        <v>0.65</v>
      </c>
      <c r="H2033" s="545">
        <v>0.33333333333333331</v>
      </c>
      <c r="I2033" s="545">
        <v>0.33333333333333331</v>
      </c>
      <c r="J2033" s="545">
        <v>0.55952380952380953</v>
      </c>
    </row>
    <row r="2034" spans="1:10">
      <c r="A2034" s="441">
        <v>8093</v>
      </c>
      <c r="B2034" s="441" t="s">
        <v>2667</v>
      </c>
      <c r="C2034" s="545">
        <v>7.5</v>
      </c>
      <c r="D2034" s="545">
        <v>8.6666666666666661</v>
      </c>
      <c r="E2034" s="545">
        <v>5</v>
      </c>
      <c r="F2034" s="545">
        <v>7.3095238095238093</v>
      </c>
      <c r="G2034" s="545">
        <v>9.5500000000000007</v>
      </c>
      <c r="H2034" s="545">
        <v>6.333333333333333</v>
      </c>
      <c r="I2034" s="545">
        <v>5.333333333333333</v>
      </c>
      <c r="J2034" s="545">
        <v>8.488095238095239</v>
      </c>
    </row>
    <row r="2035" spans="1:10">
      <c r="A2035" s="441">
        <v>8996</v>
      </c>
      <c r="B2035" s="441" t="s">
        <v>2667</v>
      </c>
      <c r="C2035" s="545">
        <v>5.1666666666666661</v>
      </c>
      <c r="D2035" s="545">
        <v>1</v>
      </c>
      <c r="E2035" s="545">
        <v>2</v>
      </c>
      <c r="F2035" s="545">
        <v>4.1190476190476186</v>
      </c>
      <c r="G2035" s="545">
        <v>4.3499999999999996</v>
      </c>
      <c r="H2035" s="545">
        <v>2.6666666666666665</v>
      </c>
      <c r="I2035" s="545">
        <v>3</v>
      </c>
      <c r="J2035" s="545">
        <v>3.916666666666667</v>
      </c>
    </row>
    <row r="2036" spans="1:10">
      <c r="A2036" s="441">
        <v>7843</v>
      </c>
      <c r="B2036" s="441" t="s">
        <v>2668</v>
      </c>
      <c r="C2036" s="545">
        <v>22.333333333333336</v>
      </c>
      <c r="D2036" s="545">
        <v>12.333333333333334</v>
      </c>
      <c r="E2036" s="545">
        <v>10.666666666666668</v>
      </c>
      <c r="F2036" s="545">
        <v>19.238095238095241</v>
      </c>
      <c r="G2036" s="545">
        <v>12.2</v>
      </c>
      <c r="H2036" s="545">
        <v>9.6666666666666661</v>
      </c>
      <c r="I2036" s="545">
        <v>4.333333333333333</v>
      </c>
      <c r="J2036" s="545">
        <v>10.714285714285714</v>
      </c>
    </row>
    <row r="2037" spans="1:10">
      <c r="A2037" s="441">
        <v>7882</v>
      </c>
      <c r="B2037" s="441" t="s">
        <v>2668</v>
      </c>
      <c r="C2037" s="545">
        <v>14.833333333333334</v>
      </c>
      <c r="D2037" s="545">
        <v>11</v>
      </c>
      <c r="E2037" s="545">
        <v>4</v>
      </c>
      <c r="F2037" s="545">
        <v>12.738095238095239</v>
      </c>
      <c r="G2037" s="545">
        <v>6.05</v>
      </c>
      <c r="H2037" s="545">
        <v>2.6666666666666665</v>
      </c>
      <c r="I2037" s="545">
        <v>3.6666666666666665</v>
      </c>
      <c r="J2037" s="545">
        <v>5.2261904761904754</v>
      </c>
    </row>
    <row r="2038" spans="1:10">
      <c r="A2038" s="441">
        <v>8234</v>
      </c>
      <c r="B2038" s="441" t="s">
        <v>2669</v>
      </c>
      <c r="C2038" s="545">
        <v>1.1666666666666667</v>
      </c>
      <c r="D2038" s="545">
        <v>0</v>
      </c>
      <c r="E2038" s="545">
        <v>0.33333333333333331</v>
      </c>
      <c r="F2038" s="545">
        <v>0.88095238095238104</v>
      </c>
      <c r="G2038" s="545">
        <v>0.65</v>
      </c>
      <c r="H2038" s="545">
        <v>0.66666666666666663</v>
      </c>
      <c r="I2038" s="545">
        <v>0</v>
      </c>
      <c r="J2038" s="545">
        <v>0.55952380952380953</v>
      </c>
    </row>
    <row r="2039" spans="1:10">
      <c r="A2039" s="441">
        <v>8913</v>
      </c>
      <c r="B2039" s="441" t="s">
        <v>2669</v>
      </c>
      <c r="C2039" s="545">
        <v>2.666666666666667</v>
      </c>
      <c r="D2039" s="545">
        <v>1</v>
      </c>
      <c r="E2039" s="545">
        <v>0.33333333333333331</v>
      </c>
      <c r="F2039" s="545">
        <v>2.0952380952380958</v>
      </c>
      <c r="G2039" s="545">
        <v>1.75</v>
      </c>
      <c r="H2039" s="545">
        <v>1.6666666666666667</v>
      </c>
      <c r="I2039" s="545">
        <v>2</v>
      </c>
      <c r="J2039" s="545">
        <v>1.7738095238095237</v>
      </c>
    </row>
    <row r="2040" spans="1:10">
      <c r="A2040" s="441">
        <v>7847</v>
      </c>
      <c r="B2040" s="441" t="s">
        <v>2670</v>
      </c>
      <c r="C2040" s="545">
        <v>44</v>
      </c>
      <c r="D2040" s="545">
        <v>33.666666666666664</v>
      </c>
      <c r="E2040" s="545">
        <v>25.333333333333332</v>
      </c>
      <c r="F2040" s="545">
        <v>39.857142857142854</v>
      </c>
      <c r="G2040" s="545">
        <v>31.5</v>
      </c>
      <c r="H2040" s="545">
        <v>29.333333333333332</v>
      </c>
      <c r="I2040" s="545">
        <v>20.666666666666668</v>
      </c>
      <c r="J2040" s="545">
        <v>29.642857142857142</v>
      </c>
    </row>
    <row r="2041" spans="1:10">
      <c r="A2041" s="441">
        <v>7878</v>
      </c>
      <c r="B2041" s="441" t="s">
        <v>2670</v>
      </c>
      <c r="C2041" s="545">
        <v>10.166666666666668</v>
      </c>
      <c r="D2041" s="545">
        <v>8.3333333333333339</v>
      </c>
      <c r="E2041" s="545">
        <v>5.666666666666667</v>
      </c>
      <c r="F2041" s="545">
        <v>9.2619047619047628</v>
      </c>
      <c r="G2041" s="545">
        <v>9.35</v>
      </c>
      <c r="H2041" s="545">
        <v>5.666666666666667</v>
      </c>
      <c r="I2041" s="545">
        <v>6.666666666666667</v>
      </c>
      <c r="J2041" s="545">
        <v>8.4404761904761898</v>
      </c>
    </row>
    <row r="2042" spans="1:10">
      <c r="A2042" s="441">
        <v>8084</v>
      </c>
      <c r="B2042" s="441" t="s">
        <v>2671</v>
      </c>
      <c r="C2042" s="545">
        <v>3.666666666666667</v>
      </c>
      <c r="D2042" s="545">
        <v>1</v>
      </c>
      <c r="E2042" s="545">
        <v>4</v>
      </c>
      <c r="F2042" s="545">
        <v>3.3333333333333335</v>
      </c>
      <c r="G2042" s="545">
        <v>5.0999999999999996</v>
      </c>
      <c r="H2042" s="545">
        <v>1.6666666666666667</v>
      </c>
      <c r="I2042" s="545">
        <v>4</v>
      </c>
      <c r="J2042" s="545">
        <v>4.4523809523809526</v>
      </c>
    </row>
    <row r="2043" spans="1:10">
      <c r="A2043" s="441">
        <v>7857</v>
      </c>
      <c r="B2043" s="441" t="s">
        <v>2672</v>
      </c>
      <c r="C2043" s="545">
        <v>32</v>
      </c>
      <c r="D2043" s="545">
        <v>17</v>
      </c>
      <c r="E2043" s="545">
        <v>12.333333333333334</v>
      </c>
      <c r="F2043" s="545">
        <v>27.047619047619047</v>
      </c>
      <c r="G2043" s="545">
        <v>23.3</v>
      </c>
      <c r="H2043" s="545">
        <v>14.666666666666666</v>
      </c>
      <c r="I2043" s="545">
        <v>6.666666666666667</v>
      </c>
      <c r="J2043" s="545">
        <v>19.690476190476186</v>
      </c>
    </row>
    <row r="2044" spans="1:10">
      <c r="A2044" s="441">
        <v>7870</v>
      </c>
      <c r="B2044" s="441" t="s">
        <v>2672</v>
      </c>
      <c r="C2044" s="545">
        <v>28.333333333333332</v>
      </c>
      <c r="D2044" s="545">
        <v>19.333333333333332</v>
      </c>
      <c r="E2044" s="545">
        <v>14.333333333333332</v>
      </c>
      <c r="F2044" s="545">
        <v>25.047619047619047</v>
      </c>
      <c r="G2044" s="545">
        <v>20.75</v>
      </c>
      <c r="H2044" s="545">
        <v>14.666666666666666</v>
      </c>
      <c r="I2044" s="545">
        <v>12</v>
      </c>
      <c r="J2044" s="545">
        <v>18.630952380952383</v>
      </c>
    </row>
    <row r="2045" spans="1:10">
      <c r="A2045" s="441">
        <v>7852</v>
      </c>
      <c r="B2045" s="441" t="s">
        <v>2673</v>
      </c>
      <c r="C2045" s="545">
        <v>30.5</v>
      </c>
      <c r="D2045" s="545">
        <v>14.333333333333334</v>
      </c>
      <c r="E2045" s="545">
        <v>11.666666666666668</v>
      </c>
      <c r="F2045" s="545">
        <v>25.5</v>
      </c>
      <c r="G2045" s="545">
        <v>17.05</v>
      </c>
      <c r="H2045" s="545">
        <v>11.666666666666666</v>
      </c>
      <c r="I2045" s="545">
        <v>8</v>
      </c>
      <c r="J2045" s="545">
        <v>14.988095238095239</v>
      </c>
    </row>
    <row r="2046" spans="1:10">
      <c r="A2046" s="441">
        <v>7873</v>
      </c>
      <c r="B2046" s="441" t="s">
        <v>2673</v>
      </c>
      <c r="C2046" s="545">
        <v>20.166666666666668</v>
      </c>
      <c r="D2046" s="545">
        <v>7.666666666666667</v>
      </c>
      <c r="E2046" s="545">
        <v>6</v>
      </c>
      <c r="F2046" s="545">
        <v>16.357142857142858</v>
      </c>
      <c r="G2046" s="545">
        <v>11.15</v>
      </c>
      <c r="H2046" s="545">
        <v>7.333333333333333</v>
      </c>
      <c r="I2046" s="545">
        <v>3.3333333333333335</v>
      </c>
      <c r="J2046" s="545">
        <v>9.488095238095239</v>
      </c>
    </row>
    <row r="2047" spans="1:10">
      <c r="A2047" s="441">
        <v>11633</v>
      </c>
      <c r="B2047" s="441" t="s">
        <v>2673</v>
      </c>
      <c r="C2047" s="545">
        <v>16.833333333333336</v>
      </c>
      <c r="D2047" s="545">
        <v>12.333333333333334</v>
      </c>
      <c r="E2047" s="545">
        <v>9</v>
      </c>
      <c r="F2047" s="545">
        <v>15.071428571428573</v>
      </c>
      <c r="G2047" s="545">
        <v>14.65</v>
      </c>
      <c r="H2047" s="545">
        <v>7</v>
      </c>
      <c r="I2047" s="545">
        <v>4.666666666666667</v>
      </c>
      <c r="J2047" s="545">
        <v>12.130952380952381</v>
      </c>
    </row>
    <row r="2048" spans="1:10">
      <c r="A2048" s="441">
        <v>7855</v>
      </c>
      <c r="B2048" s="441" t="s">
        <v>2674</v>
      </c>
      <c r="C2048" s="545">
        <v>1.3333333333333335</v>
      </c>
      <c r="D2048" s="545">
        <v>0.33333333333333331</v>
      </c>
      <c r="E2048" s="545">
        <v>0.66666666666666663</v>
      </c>
      <c r="F2048" s="545">
        <v>1.0952380952380953</v>
      </c>
      <c r="G2048" s="545">
        <v>1.8</v>
      </c>
      <c r="H2048" s="545">
        <v>0.33333333333333331</v>
      </c>
      <c r="I2048" s="545">
        <v>1.3333333333333333</v>
      </c>
      <c r="J2048" s="545">
        <v>1.5238095238095239</v>
      </c>
    </row>
    <row r="2049" spans="1:10">
      <c r="A2049" s="441">
        <v>8090</v>
      </c>
      <c r="B2049" s="441" t="s">
        <v>2675</v>
      </c>
      <c r="C2049" s="545">
        <v>1.1666666666666667</v>
      </c>
      <c r="D2049" s="545">
        <v>1.6666666666666667</v>
      </c>
      <c r="E2049" s="545">
        <v>0</v>
      </c>
      <c r="F2049" s="545">
        <v>1.0714285714285716</v>
      </c>
      <c r="G2049" s="545">
        <v>0.35</v>
      </c>
      <c r="H2049" s="545">
        <v>0.33333333333333331</v>
      </c>
      <c r="I2049" s="545">
        <v>0.33333333333333331</v>
      </c>
      <c r="J2049" s="545">
        <v>0.34523809523809529</v>
      </c>
    </row>
    <row r="2050" spans="1:10">
      <c r="A2050" s="441">
        <v>7848</v>
      </c>
      <c r="B2050" s="441" t="s">
        <v>2676</v>
      </c>
      <c r="C2050" s="545">
        <v>26.166666666666664</v>
      </c>
      <c r="D2050" s="545">
        <v>18.666666666666668</v>
      </c>
      <c r="E2050" s="545">
        <v>13</v>
      </c>
      <c r="F2050" s="545">
        <v>23.214285714285712</v>
      </c>
      <c r="G2050" s="545">
        <v>12.9</v>
      </c>
      <c r="H2050" s="545">
        <v>10.333333333333334</v>
      </c>
      <c r="I2050" s="545">
        <v>7</v>
      </c>
      <c r="J2050" s="545">
        <v>11.69047619047619</v>
      </c>
    </row>
    <row r="2051" spans="1:10">
      <c r="A2051" s="441">
        <v>7877</v>
      </c>
      <c r="B2051" s="441" t="s">
        <v>2676</v>
      </c>
      <c r="C2051" s="545">
        <v>20.666666666666668</v>
      </c>
      <c r="D2051" s="545">
        <v>15</v>
      </c>
      <c r="E2051" s="545">
        <v>10.666666666666668</v>
      </c>
      <c r="F2051" s="545">
        <v>18.428571428571427</v>
      </c>
      <c r="G2051" s="545">
        <v>14.15</v>
      </c>
      <c r="H2051" s="545">
        <v>10.666666666666666</v>
      </c>
      <c r="I2051" s="545">
        <v>5</v>
      </c>
      <c r="J2051" s="545">
        <v>12.345238095238097</v>
      </c>
    </row>
    <row r="2052" spans="1:10">
      <c r="A2052" s="441">
        <v>8092</v>
      </c>
      <c r="B2052" s="441" t="s">
        <v>2677</v>
      </c>
      <c r="C2052" s="545">
        <v>11.166666666666668</v>
      </c>
      <c r="D2052" s="545">
        <v>3</v>
      </c>
      <c r="E2052" s="545">
        <v>3.333333333333333</v>
      </c>
      <c r="F2052" s="545">
        <v>8.8809523809523832</v>
      </c>
      <c r="G2052" s="545">
        <v>7.1</v>
      </c>
      <c r="H2052" s="545">
        <v>6.333333333333333</v>
      </c>
      <c r="I2052" s="545">
        <v>3</v>
      </c>
      <c r="J2052" s="545">
        <v>6.4047619047619051</v>
      </c>
    </row>
    <row r="2053" spans="1:10">
      <c r="A2053" s="441">
        <v>8103</v>
      </c>
      <c r="B2053" s="441" t="s">
        <v>2677</v>
      </c>
      <c r="C2053" s="545">
        <v>66</v>
      </c>
      <c r="D2053" s="545">
        <v>36.333333333333336</v>
      </c>
      <c r="E2053" s="545">
        <v>25</v>
      </c>
      <c r="F2053" s="545">
        <v>55.904761904761905</v>
      </c>
      <c r="G2053" s="545">
        <v>35.200000000000003</v>
      </c>
      <c r="H2053" s="545">
        <v>30.666666666666668</v>
      </c>
      <c r="I2053" s="545">
        <v>20.333333333333332</v>
      </c>
      <c r="J2053" s="545">
        <v>32.428571428571431</v>
      </c>
    </row>
    <row r="2054" spans="1:10">
      <c r="A2054" s="441">
        <v>8091</v>
      </c>
      <c r="B2054" s="441" t="s">
        <v>2678</v>
      </c>
      <c r="C2054" s="545">
        <v>3.666666666666667</v>
      </c>
      <c r="D2054" s="545">
        <v>0.33333333333333331</v>
      </c>
      <c r="E2054" s="545">
        <v>0.33333333333333331</v>
      </c>
      <c r="F2054" s="545">
        <v>2.7142857142857144</v>
      </c>
      <c r="G2054" s="545">
        <v>1.1000000000000001</v>
      </c>
      <c r="H2054" s="545">
        <v>1.6666666666666667</v>
      </c>
      <c r="I2054" s="545">
        <v>1.6666666666666667</v>
      </c>
      <c r="J2054" s="545">
        <v>1.2619047619047621</v>
      </c>
    </row>
    <row r="2055" spans="1:10">
      <c r="A2055" s="441">
        <v>8236</v>
      </c>
      <c r="B2055" s="441" t="s">
        <v>2679</v>
      </c>
      <c r="C2055" s="545">
        <v>3</v>
      </c>
      <c r="D2055" s="545">
        <v>2.6666666666666665</v>
      </c>
      <c r="E2055" s="545">
        <v>3.666666666666667</v>
      </c>
      <c r="F2055" s="545">
        <v>3.0476190476190479</v>
      </c>
      <c r="G2055" s="545">
        <v>0.35</v>
      </c>
      <c r="H2055" s="545">
        <v>1</v>
      </c>
      <c r="I2055" s="545">
        <v>0</v>
      </c>
      <c r="J2055" s="545">
        <v>0.39285714285714285</v>
      </c>
    </row>
    <row r="2056" spans="1:10">
      <c r="A2056" s="441">
        <v>8995</v>
      </c>
      <c r="B2056" s="441" t="s">
        <v>2679</v>
      </c>
      <c r="C2056" s="545">
        <v>3.6666666666666665</v>
      </c>
      <c r="D2056" s="545">
        <v>0.66666666666666663</v>
      </c>
      <c r="E2056" s="545">
        <v>0.33333333333333331</v>
      </c>
      <c r="F2056" s="545">
        <v>2.7619047619047619</v>
      </c>
      <c r="G2056" s="545">
        <v>2</v>
      </c>
      <c r="H2056" s="545">
        <v>0.33333333333333331</v>
      </c>
      <c r="I2056" s="545">
        <v>0.33333333333333331</v>
      </c>
      <c r="J2056" s="545">
        <v>1.5238095238095239</v>
      </c>
    </row>
    <row r="2057" spans="1:10">
      <c r="A2057" s="441">
        <v>7868</v>
      </c>
      <c r="B2057" s="441" t="s">
        <v>2680</v>
      </c>
      <c r="C2057" s="545">
        <v>20.5</v>
      </c>
      <c r="D2057" s="545">
        <v>7.333333333333333</v>
      </c>
      <c r="E2057" s="545">
        <v>8.3333333333333339</v>
      </c>
      <c r="F2057" s="545">
        <v>16.88095238095238</v>
      </c>
      <c r="G2057" s="545">
        <v>14.2</v>
      </c>
      <c r="H2057" s="545">
        <v>13.333333333333334</v>
      </c>
      <c r="I2057" s="545">
        <v>9.3333333333333339</v>
      </c>
      <c r="J2057" s="545">
        <v>13.38095238095238</v>
      </c>
    </row>
    <row r="2058" spans="1:10">
      <c r="A2058" s="441">
        <v>8088</v>
      </c>
      <c r="B2058" s="441" t="s">
        <v>2681</v>
      </c>
      <c r="C2058" s="545">
        <v>1</v>
      </c>
      <c r="D2058" s="545">
        <v>0.33333333333333331</v>
      </c>
      <c r="E2058" s="545">
        <v>0</v>
      </c>
      <c r="F2058" s="545">
        <v>0.76190476190476186</v>
      </c>
      <c r="G2058" s="545">
        <v>0.25</v>
      </c>
      <c r="H2058" s="545">
        <v>1.3333333333333333</v>
      </c>
      <c r="I2058" s="545">
        <v>0.33333333333333331</v>
      </c>
      <c r="J2058" s="545">
        <v>0.41666666666666663</v>
      </c>
    </row>
    <row r="2059" spans="1:10">
      <c r="A2059" s="441">
        <v>8235</v>
      </c>
      <c r="B2059" s="441" t="s">
        <v>2681</v>
      </c>
      <c r="C2059" s="545">
        <v>0.33333333333333331</v>
      </c>
      <c r="D2059" s="545">
        <v>1.3333333333333333</v>
      </c>
      <c r="E2059" s="545">
        <v>0</v>
      </c>
      <c r="F2059" s="545">
        <v>0.42857142857142855</v>
      </c>
      <c r="G2059" s="545">
        <v>0.15</v>
      </c>
      <c r="H2059" s="545">
        <v>0</v>
      </c>
      <c r="I2059" s="545">
        <v>0</v>
      </c>
      <c r="J2059" s="545">
        <v>0.10714285714285714</v>
      </c>
    </row>
    <row r="2060" spans="1:10">
      <c r="A2060" s="441">
        <v>8998</v>
      </c>
      <c r="B2060" s="441" t="s">
        <v>2682</v>
      </c>
      <c r="C2060" s="545">
        <v>1</v>
      </c>
      <c r="D2060" s="545">
        <v>0.66666666666666663</v>
      </c>
      <c r="E2060" s="545">
        <v>0.66666666666666663</v>
      </c>
      <c r="F2060" s="545">
        <v>0.90476190476190488</v>
      </c>
      <c r="G2060" s="545">
        <v>0.45</v>
      </c>
      <c r="H2060" s="545">
        <v>0</v>
      </c>
      <c r="I2060" s="545">
        <v>0</v>
      </c>
      <c r="J2060" s="545">
        <v>0.32142857142857145</v>
      </c>
    </row>
    <row r="2061" spans="1:10">
      <c r="A2061" s="441">
        <v>11580</v>
      </c>
      <c r="B2061" s="441" t="s">
        <v>2683</v>
      </c>
      <c r="C2061" s="545">
        <v>5.8333333333333339</v>
      </c>
      <c r="D2061" s="545">
        <v>1.6666666666666665</v>
      </c>
      <c r="E2061" s="545">
        <v>2</v>
      </c>
      <c r="F2061" s="545">
        <v>4.6904761904761916</v>
      </c>
      <c r="G2061" s="545">
        <v>4.0999999999999996</v>
      </c>
      <c r="H2061" s="545">
        <v>1.3333333333333333</v>
      </c>
      <c r="I2061" s="545">
        <v>0.66666666666666663</v>
      </c>
      <c r="J2061" s="545">
        <v>3.2142857142857144</v>
      </c>
    </row>
    <row r="2062" spans="1:10">
      <c r="A2062" s="441">
        <v>11581</v>
      </c>
      <c r="B2062" s="441" t="s">
        <v>2683</v>
      </c>
      <c r="C2062" s="545">
        <v>6.8333333333333339</v>
      </c>
      <c r="D2062" s="545">
        <v>5</v>
      </c>
      <c r="E2062" s="545">
        <v>5.6666666666666661</v>
      </c>
      <c r="F2062" s="545">
        <v>6.4047619047619051</v>
      </c>
      <c r="G2062" s="545">
        <v>4.7</v>
      </c>
      <c r="H2062" s="545">
        <v>3</v>
      </c>
      <c r="I2062" s="545">
        <v>0.66666666666666663</v>
      </c>
      <c r="J2062" s="545">
        <v>3.8809523809523809</v>
      </c>
    </row>
    <row r="2063" spans="1:10">
      <c r="A2063" s="441">
        <v>7856</v>
      </c>
      <c r="B2063" s="441" t="s">
        <v>2684</v>
      </c>
      <c r="C2063" s="545">
        <v>5.1666666666666661</v>
      </c>
      <c r="D2063" s="545">
        <v>2.333333333333333</v>
      </c>
      <c r="E2063" s="545">
        <v>1.6666666666666665</v>
      </c>
      <c r="F2063" s="545">
        <v>4.261904761904761</v>
      </c>
      <c r="G2063" s="545">
        <v>1.35</v>
      </c>
      <c r="H2063" s="545">
        <v>2</v>
      </c>
      <c r="I2063" s="545">
        <v>0</v>
      </c>
      <c r="J2063" s="545">
        <v>1.25</v>
      </c>
    </row>
    <row r="2064" spans="1:10">
      <c r="A2064" s="441">
        <v>10414</v>
      </c>
      <c r="B2064" s="441" t="s">
        <v>2684</v>
      </c>
      <c r="C2064" s="545">
        <v>8.6666666666666661</v>
      </c>
      <c r="D2064" s="545">
        <v>1.3333333333333333</v>
      </c>
      <c r="E2064" s="545">
        <v>2.3333333333333335</v>
      </c>
      <c r="F2064" s="545">
        <v>6.7142857142857144</v>
      </c>
      <c r="G2064" s="545">
        <v>4.7</v>
      </c>
      <c r="H2064" s="545">
        <v>2</v>
      </c>
      <c r="I2064" s="545">
        <v>0.33333333333333331</v>
      </c>
      <c r="J2064" s="545">
        <v>3.6904761904761902</v>
      </c>
    </row>
    <row r="2065" spans="1:10">
      <c r="A2065" s="441">
        <v>7850</v>
      </c>
      <c r="B2065" s="441" t="s">
        <v>2685</v>
      </c>
      <c r="C2065" s="545">
        <v>14.833333333333332</v>
      </c>
      <c r="D2065" s="545">
        <v>2.666666666666667</v>
      </c>
      <c r="E2065" s="545">
        <v>2.333333333333333</v>
      </c>
      <c r="F2065" s="545">
        <v>11.309523809523808</v>
      </c>
      <c r="G2065" s="545">
        <v>6.75</v>
      </c>
      <c r="H2065" s="545">
        <v>1.6666666666666667</v>
      </c>
      <c r="I2065" s="545">
        <v>1</v>
      </c>
      <c r="J2065" s="545">
        <v>5.2023809523809517</v>
      </c>
    </row>
    <row r="2066" spans="1:10">
      <c r="A2066" s="441">
        <v>7875</v>
      </c>
      <c r="B2066" s="441" t="s">
        <v>2685</v>
      </c>
      <c r="C2066" s="545">
        <v>14.833333333333332</v>
      </c>
      <c r="D2066" s="545">
        <v>4.6666666666666661</v>
      </c>
      <c r="E2066" s="545">
        <v>2</v>
      </c>
      <c r="F2066" s="545">
        <v>11.547619047619047</v>
      </c>
      <c r="G2066" s="545">
        <v>8.4</v>
      </c>
      <c r="H2066" s="545">
        <v>4.333333333333333</v>
      </c>
      <c r="I2066" s="545">
        <v>2.3333333333333335</v>
      </c>
      <c r="J2066" s="545">
        <v>6.9523809523809534</v>
      </c>
    </row>
    <row r="2067" spans="1:10">
      <c r="A2067" s="441">
        <v>7853</v>
      </c>
      <c r="B2067" s="441" t="s">
        <v>2686</v>
      </c>
      <c r="C2067" s="545">
        <v>1</v>
      </c>
      <c r="D2067" s="545">
        <v>0.33333333333333331</v>
      </c>
      <c r="E2067" s="545">
        <v>0</v>
      </c>
      <c r="F2067" s="545">
        <v>0.76190476190476186</v>
      </c>
      <c r="G2067" s="545">
        <v>0.95</v>
      </c>
      <c r="H2067" s="545">
        <v>1</v>
      </c>
      <c r="I2067" s="545">
        <v>0</v>
      </c>
      <c r="J2067" s="545">
        <v>0.8214285714285714</v>
      </c>
    </row>
    <row r="2068" spans="1:10">
      <c r="A2068" s="441">
        <v>7872</v>
      </c>
      <c r="B2068" s="441" t="s">
        <v>2686</v>
      </c>
      <c r="C2068" s="545">
        <v>6.3333333333333339</v>
      </c>
      <c r="D2068" s="545">
        <v>1</v>
      </c>
      <c r="E2068" s="545">
        <v>1.3333333333333333</v>
      </c>
      <c r="F2068" s="545">
        <v>4.8571428571428585</v>
      </c>
      <c r="G2068" s="545">
        <v>1.75</v>
      </c>
      <c r="H2068" s="545">
        <v>0.33333333333333331</v>
      </c>
      <c r="I2068" s="545">
        <v>0</v>
      </c>
      <c r="J2068" s="545">
        <v>1.2976190476190477</v>
      </c>
    </row>
    <row r="2069" spans="1:10">
      <c r="A2069" s="441">
        <v>8087</v>
      </c>
      <c r="B2069" s="441" t="s">
        <v>2687</v>
      </c>
      <c r="C2069" s="545">
        <v>30</v>
      </c>
      <c r="D2069" s="545">
        <v>20.333333333333336</v>
      </c>
      <c r="E2069" s="545">
        <v>16.666666666666664</v>
      </c>
      <c r="F2069" s="545">
        <v>26.714285714285715</v>
      </c>
      <c r="G2069" s="545">
        <v>21.25</v>
      </c>
      <c r="H2069" s="545">
        <v>22.333333333333332</v>
      </c>
      <c r="I2069" s="545">
        <v>13.666666666666666</v>
      </c>
      <c r="J2069" s="545">
        <v>20.321428571428573</v>
      </c>
    </row>
    <row r="2070" spans="1:10">
      <c r="A2070" s="441">
        <v>8915</v>
      </c>
      <c r="B2070" s="441" t="s">
        <v>2687</v>
      </c>
      <c r="C2070" s="545">
        <v>27.333333333333332</v>
      </c>
      <c r="D2070" s="545">
        <v>18.333333333333332</v>
      </c>
      <c r="E2070" s="545">
        <v>16</v>
      </c>
      <c r="F2070" s="545">
        <v>24.428571428571427</v>
      </c>
      <c r="G2070" s="545">
        <v>20.85</v>
      </c>
      <c r="H2070" s="545">
        <v>19.333333333333332</v>
      </c>
      <c r="I2070" s="545">
        <v>14.666666666666666</v>
      </c>
      <c r="J2070" s="545">
        <v>19.75</v>
      </c>
    </row>
    <row r="2071" spans="1:10">
      <c r="A2071" s="441">
        <v>7859</v>
      </c>
      <c r="B2071" s="441" t="s">
        <v>2688</v>
      </c>
      <c r="C2071" s="545">
        <v>3.833333333333333</v>
      </c>
      <c r="D2071" s="545">
        <v>0.66666666666666663</v>
      </c>
      <c r="E2071" s="545">
        <v>0</v>
      </c>
      <c r="F2071" s="545">
        <v>2.833333333333333</v>
      </c>
      <c r="G2071" s="545">
        <v>2.5</v>
      </c>
      <c r="H2071" s="545">
        <v>1.3333333333333333</v>
      </c>
      <c r="I2071" s="545">
        <v>2.3333333333333335</v>
      </c>
      <c r="J2071" s="545">
        <v>2.3095238095238098</v>
      </c>
    </row>
    <row r="2072" spans="1:10">
      <c r="A2072" s="441">
        <v>9065</v>
      </c>
      <c r="B2072" s="441" t="s">
        <v>2688</v>
      </c>
      <c r="C2072" s="545">
        <v>5.166666666666667</v>
      </c>
      <c r="D2072" s="545">
        <v>3.6666666666666665</v>
      </c>
      <c r="E2072" s="545">
        <v>0.66666666666666663</v>
      </c>
      <c r="F2072" s="545">
        <v>4.3095238095238102</v>
      </c>
      <c r="G2072" s="545">
        <v>2.85</v>
      </c>
      <c r="H2072" s="545">
        <v>2</v>
      </c>
      <c r="I2072" s="545">
        <v>3</v>
      </c>
      <c r="J2072" s="545">
        <v>2.75</v>
      </c>
    </row>
    <row r="2073" spans="1:10">
      <c r="A2073" s="441">
        <v>8097</v>
      </c>
      <c r="B2073" s="441" t="s">
        <v>2689</v>
      </c>
      <c r="C2073" s="545">
        <v>2.5</v>
      </c>
      <c r="D2073" s="545">
        <v>0.33333333333333331</v>
      </c>
      <c r="E2073" s="545">
        <v>1</v>
      </c>
      <c r="F2073" s="545">
        <v>1.9761904761904763</v>
      </c>
      <c r="G2073" s="545">
        <v>1.85</v>
      </c>
      <c r="H2073" s="545">
        <v>1.3333333333333333</v>
      </c>
      <c r="I2073" s="545">
        <v>6</v>
      </c>
      <c r="J2073" s="545">
        <v>2.3690476190476195</v>
      </c>
    </row>
    <row r="2074" spans="1:10">
      <c r="A2074" s="441">
        <v>8099</v>
      </c>
      <c r="B2074" s="441" t="s">
        <v>2689</v>
      </c>
      <c r="C2074" s="545">
        <v>14.666666666666666</v>
      </c>
      <c r="D2074" s="545">
        <v>10.333333333333332</v>
      </c>
      <c r="E2074" s="545">
        <v>9.3333333333333339</v>
      </c>
      <c r="F2074" s="545">
        <v>13.285714285714283</v>
      </c>
      <c r="G2074" s="545">
        <v>8.6</v>
      </c>
      <c r="H2074" s="545">
        <v>8.6666666666666661</v>
      </c>
      <c r="I2074" s="545">
        <v>5.666666666666667</v>
      </c>
      <c r="J2074" s="545">
        <v>8.1904761904761898</v>
      </c>
    </row>
    <row r="2075" spans="1:10">
      <c r="A2075" s="441">
        <v>8086</v>
      </c>
      <c r="B2075" s="441" t="s">
        <v>2690</v>
      </c>
      <c r="C2075" s="545">
        <v>7.5</v>
      </c>
      <c r="D2075" s="545">
        <v>1.6666666666666667</v>
      </c>
      <c r="E2075" s="545">
        <v>3</v>
      </c>
      <c r="F2075" s="545">
        <v>6.0238095238095237</v>
      </c>
      <c r="G2075" s="545">
        <v>2.8</v>
      </c>
      <c r="H2075" s="545">
        <v>4</v>
      </c>
      <c r="I2075" s="545">
        <v>0</v>
      </c>
      <c r="J2075" s="545">
        <v>2.5714285714285716</v>
      </c>
    </row>
    <row r="2076" spans="1:10">
      <c r="A2076" s="441">
        <v>8916</v>
      </c>
      <c r="B2076" s="441" t="s">
        <v>2690</v>
      </c>
      <c r="C2076" s="545">
        <v>5.166666666666667</v>
      </c>
      <c r="D2076" s="545">
        <v>1</v>
      </c>
      <c r="E2076" s="545">
        <v>0.33333333333333331</v>
      </c>
      <c r="F2076" s="545">
        <v>3.8809523809523809</v>
      </c>
      <c r="G2076" s="545">
        <v>3.1</v>
      </c>
      <c r="H2076" s="545">
        <v>2</v>
      </c>
      <c r="I2076" s="545">
        <v>1.3333333333333333</v>
      </c>
      <c r="J2076" s="545">
        <v>2.6904761904761902</v>
      </c>
    </row>
    <row r="2077" spans="1:10">
      <c r="A2077" s="441">
        <v>8096</v>
      </c>
      <c r="B2077" s="441" t="s">
        <v>2691</v>
      </c>
      <c r="C2077" s="545">
        <v>3.1666666666666665</v>
      </c>
      <c r="D2077" s="545">
        <v>2.333333333333333</v>
      </c>
      <c r="E2077" s="545">
        <v>0.33333333333333331</v>
      </c>
      <c r="F2077" s="545">
        <v>2.6428571428571423</v>
      </c>
      <c r="G2077" s="545">
        <v>3</v>
      </c>
      <c r="H2077" s="545">
        <v>0.66666666666666663</v>
      </c>
      <c r="I2077" s="545">
        <v>0</v>
      </c>
      <c r="J2077" s="545">
        <v>2.2380952380952381</v>
      </c>
    </row>
    <row r="2078" spans="1:10">
      <c r="A2078" s="441">
        <v>8100</v>
      </c>
      <c r="B2078" s="441" t="s">
        <v>2691</v>
      </c>
      <c r="C2078" s="545">
        <v>1.5</v>
      </c>
      <c r="D2078" s="545">
        <v>0.33333333333333331</v>
      </c>
      <c r="E2078" s="545">
        <v>2.3333333333333335</v>
      </c>
      <c r="F2078" s="545">
        <v>1.4523809523809523</v>
      </c>
      <c r="G2078" s="545">
        <v>1.3</v>
      </c>
      <c r="H2078" s="545">
        <v>0.33333333333333331</v>
      </c>
      <c r="I2078" s="545">
        <v>0.33333333333333331</v>
      </c>
      <c r="J2078" s="545">
        <v>1.0238095238095237</v>
      </c>
    </row>
    <row r="2079" spans="1:10">
      <c r="A2079" s="441">
        <v>7844</v>
      </c>
      <c r="B2079" s="441" t="s">
        <v>2692</v>
      </c>
      <c r="C2079" s="545">
        <v>8</v>
      </c>
      <c r="D2079" s="545">
        <v>4.3333333333333339</v>
      </c>
      <c r="E2079" s="545">
        <v>3.3333333333333335</v>
      </c>
      <c r="F2079" s="545">
        <v>6.8095238095238102</v>
      </c>
      <c r="G2079" s="545">
        <v>6.6</v>
      </c>
      <c r="H2079" s="545">
        <v>1</v>
      </c>
      <c r="I2079" s="545">
        <v>3</v>
      </c>
      <c r="J2079" s="545">
        <v>5.2857142857142856</v>
      </c>
    </row>
    <row r="2080" spans="1:10">
      <c r="A2080" s="441">
        <v>7881</v>
      </c>
      <c r="B2080" s="441" t="s">
        <v>2692</v>
      </c>
      <c r="C2080" s="545">
        <v>73</v>
      </c>
      <c r="D2080" s="545">
        <v>38</v>
      </c>
      <c r="E2080" s="545">
        <v>31.333333333333336</v>
      </c>
      <c r="F2080" s="545">
        <v>62.047619047619044</v>
      </c>
      <c r="G2080" s="545">
        <v>37.75</v>
      </c>
      <c r="H2080" s="545">
        <v>26.333333333333332</v>
      </c>
      <c r="I2080" s="545">
        <v>18.333333333333332</v>
      </c>
      <c r="J2080" s="545">
        <v>33.345238095238095</v>
      </c>
    </row>
    <row r="2081" spans="1:10">
      <c r="A2081" s="441">
        <v>8089</v>
      </c>
      <c r="B2081" s="441" t="s">
        <v>2693</v>
      </c>
      <c r="C2081" s="545">
        <v>0.16666666666666666</v>
      </c>
      <c r="D2081" s="545">
        <v>0</v>
      </c>
      <c r="E2081" s="545">
        <v>14.333333333333334</v>
      </c>
      <c r="F2081" s="545">
        <v>2.166666666666667</v>
      </c>
      <c r="G2081" s="545">
        <v>0.45</v>
      </c>
      <c r="H2081" s="545">
        <v>0.33333333333333331</v>
      </c>
      <c r="I2081" s="545">
        <v>0</v>
      </c>
      <c r="J2081" s="545">
        <v>0.36904761904761907</v>
      </c>
    </row>
    <row r="2082" spans="1:10">
      <c r="A2082" s="441">
        <v>8914</v>
      </c>
      <c r="B2082" s="441" t="s">
        <v>2693</v>
      </c>
      <c r="C2082" s="545">
        <v>0.33333333333333331</v>
      </c>
      <c r="D2082" s="545">
        <v>0</v>
      </c>
      <c r="E2082" s="545">
        <v>0.33333333333333331</v>
      </c>
      <c r="F2082" s="545">
        <v>0.2857142857142857</v>
      </c>
      <c r="G2082" s="545">
        <v>0.75</v>
      </c>
      <c r="H2082" s="545">
        <v>0</v>
      </c>
      <c r="I2082" s="545">
        <v>0</v>
      </c>
      <c r="J2082" s="545">
        <v>0.5357142857142857</v>
      </c>
    </row>
    <row r="2083" spans="1:10">
      <c r="A2083" s="441">
        <v>7851</v>
      </c>
      <c r="B2083" s="441" t="s">
        <v>2694</v>
      </c>
      <c r="C2083" s="545">
        <v>14.333333333333332</v>
      </c>
      <c r="D2083" s="545">
        <v>3</v>
      </c>
      <c r="E2083" s="545">
        <v>0.33333333333333331</v>
      </c>
      <c r="F2083" s="545">
        <v>10.714285714285712</v>
      </c>
      <c r="G2083" s="545">
        <v>5.25</v>
      </c>
      <c r="H2083" s="545">
        <v>3.3333333333333335</v>
      </c>
      <c r="I2083" s="545">
        <v>1</v>
      </c>
      <c r="J2083" s="545">
        <v>4.3690476190476186</v>
      </c>
    </row>
    <row r="2084" spans="1:10">
      <c r="A2084" s="441">
        <v>7874</v>
      </c>
      <c r="B2084" s="441" t="s">
        <v>2694</v>
      </c>
      <c r="C2084" s="545">
        <v>15.333333333333332</v>
      </c>
      <c r="D2084" s="545">
        <v>4.3333333333333339</v>
      </c>
      <c r="E2084" s="545">
        <v>1.6666666666666667</v>
      </c>
      <c r="F2084" s="545">
        <v>11.809523809523808</v>
      </c>
      <c r="G2084" s="545">
        <v>6.65</v>
      </c>
      <c r="H2084" s="545">
        <v>0</v>
      </c>
      <c r="I2084" s="545">
        <v>1.6666666666666667</v>
      </c>
      <c r="J2084" s="545">
        <v>4.9880952380952381</v>
      </c>
    </row>
    <row r="2085" spans="1:10">
      <c r="A2085" s="441">
        <v>7860</v>
      </c>
      <c r="B2085" s="441" t="s">
        <v>2695</v>
      </c>
      <c r="C2085" s="545">
        <v>4</v>
      </c>
      <c r="D2085" s="545">
        <v>1.6666666666666667</v>
      </c>
      <c r="E2085" s="545">
        <v>3</v>
      </c>
      <c r="F2085" s="545">
        <v>3.5238095238095242</v>
      </c>
      <c r="G2085" s="545">
        <v>3.75</v>
      </c>
      <c r="H2085" s="545">
        <v>3.6666666666666665</v>
      </c>
      <c r="I2085" s="545">
        <v>2.6666666666666665</v>
      </c>
      <c r="J2085" s="545">
        <v>3.5833333333333335</v>
      </c>
    </row>
    <row r="2086" spans="1:10">
      <c r="A2086" s="441">
        <v>8997</v>
      </c>
      <c r="B2086" s="441" t="s">
        <v>2695</v>
      </c>
      <c r="C2086" s="545">
        <v>4.5</v>
      </c>
      <c r="D2086" s="545">
        <v>1</v>
      </c>
      <c r="E2086" s="545">
        <v>1.6666666666666667</v>
      </c>
      <c r="F2086" s="545">
        <v>3.5952380952380953</v>
      </c>
      <c r="G2086" s="545">
        <v>7.2</v>
      </c>
      <c r="H2086" s="545">
        <v>3.6666666666666665</v>
      </c>
      <c r="I2086" s="545">
        <v>4.666666666666667</v>
      </c>
      <c r="J2086" s="545">
        <v>6.333333333333333</v>
      </c>
    </row>
    <row r="2087" spans="1:10">
      <c r="A2087" s="441">
        <v>7845</v>
      </c>
      <c r="B2087" s="441" t="s">
        <v>2696</v>
      </c>
      <c r="C2087" s="545">
        <v>34</v>
      </c>
      <c r="D2087" s="545">
        <v>23</v>
      </c>
      <c r="E2087" s="545">
        <v>13</v>
      </c>
      <c r="F2087" s="545">
        <v>29.428571428571427</v>
      </c>
      <c r="G2087" s="545">
        <v>20.9</v>
      </c>
      <c r="H2087" s="545">
        <v>16</v>
      </c>
      <c r="I2087" s="545">
        <v>8</v>
      </c>
      <c r="J2087" s="545">
        <v>18.357142857142858</v>
      </c>
    </row>
    <row r="2088" spans="1:10">
      <c r="A2088" s="441">
        <v>7880</v>
      </c>
      <c r="B2088" s="441" t="s">
        <v>2696</v>
      </c>
      <c r="C2088" s="545">
        <v>15.333333333333334</v>
      </c>
      <c r="D2088" s="545">
        <v>9</v>
      </c>
      <c r="E2088" s="545">
        <v>9</v>
      </c>
      <c r="F2088" s="545">
        <v>13.523809523809524</v>
      </c>
      <c r="G2088" s="545">
        <v>10.95</v>
      </c>
      <c r="H2088" s="545">
        <v>4</v>
      </c>
      <c r="I2088" s="545">
        <v>2.6666666666666665</v>
      </c>
      <c r="J2088" s="545">
        <v>8.7738095238095237</v>
      </c>
    </row>
    <row r="2089" spans="1:10">
      <c r="A2089" s="441">
        <v>7858</v>
      </c>
      <c r="B2089" s="441" t="s">
        <v>2697</v>
      </c>
      <c r="C2089" s="545">
        <v>6.5</v>
      </c>
      <c r="D2089" s="545">
        <v>1.6666666666666665</v>
      </c>
      <c r="E2089" s="545">
        <v>1</v>
      </c>
      <c r="F2089" s="545">
        <v>5.0238095238095237</v>
      </c>
      <c r="G2089" s="545">
        <v>2.7</v>
      </c>
      <c r="H2089" s="545">
        <v>1.3333333333333333</v>
      </c>
      <c r="I2089" s="545">
        <v>0.66666666666666663</v>
      </c>
      <c r="J2089" s="545">
        <v>2.2142857142857144</v>
      </c>
    </row>
    <row r="2090" spans="1:10">
      <c r="A2090" s="441">
        <v>7869</v>
      </c>
      <c r="B2090" s="441" t="s">
        <v>2697</v>
      </c>
      <c r="C2090" s="545">
        <v>6.166666666666667</v>
      </c>
      <c r="D2090" s="545">
        <v>1.6666666666666667</v>
      </c>
      <c r="E2090" s="545">
        <v>2.333333333333333</v>
      </c>
      <c r="F2090" s="545">
        <v>4.9761904761904763</v>
      </c>
      <c r="G2090" s="545">
        <v>3.55</v>
      </c>
      <c r="H2090" s="545">
        <v>1.3333333333333333</v>
      </c>
      <c r="I2090" s="545">
        <v>0.66666666666666663</v>
      </c>
      <c r="J2090" s="545">
        <v>2.8214285714285716</v>
      </c>
    </row>
    <row r="2091" spans="1:10">
      <c r="A2091" s="441">
        <v>8094</v>
      </c>
      <c r="B2091" s="441" t="s">
        <v>2698</v>
      </c>
      <c r="C2091" s="545">
        <v>8.5</v>
      </c>
      <c r="D2091" s="545">
        <v>7.666666666666667</v>
      </c>
      <c r="E2091" s="545">
        <v>3.6666666666666665</v>
      </c>
      <c r="F2091" s="545">
        <v>7.6904761904761898</v>
      </c>
      <c r="G2091" s="545">
        <v>7.6</v>
      </c>
      <c r="H2091" s="545">
        <v>8.6666666666666661</v>
      </c>
      <c r="I2091" s="545">
        <v>4</v>
      </c>
      <c r="J2091" s="545">
        <v>7.2380952380952381</v>
      </c>
    </row>
    <row r="2092" spans="1:10">
      <c r="A2092" s="441">
        <v>8102</v>
      </c>
      <c r="B2092" s="441" t="s">
        <v>2698</v>
      </c>
      <c r="C2092" s="545">
        <v>20.833333333333336</v>
      </c>
      <c r="D2092" s="545">
        <v>15</v>
      </c>
      <c r="E2092" s="545">
        <v>8</v>
      </c>
      <c r="F2092" s="545">
        <v>18.166666666666668</v>
      </c>
      <c r="G2092" s="545">
        <v>15.7</v>
      </c>
      <c r="H2092" s="545">
        <v>8.3333333333333339</v>
      </c>
      <c r="I2092" s="545">
        <v>9</v>
      </c>
      <c r="J2092" s="545">
        <v>13.69047619047619</v>
      </c>
    </row>
    <row r="2093" spans="1:10">
      <c r="A2093" s="441">
        <v>7883</v>
      </c>
      <c r="B2093" s="441" t="s">
        <v>2699</v>
      </c>
      <c r="C2093" s="545">
        <v>94.5</v>
      </c>
      <c r="D2093" s="545">
        <v>54</v>
      </c>
      <c r="E2093" s="545">
        <v>50.333333333333336</v>
      </c>
      <c r="F2093" s="545">
        <v>82.404761904761912</v>
      </c>
      <c r="G2093" s="545">
        <v>55.25</v>
      </c>
      <c r="H2093" s="545">
        <v>44</v>
      </c>
      <c r="I2093" s="545">
        <v>29.666666666666668</v>
      </c>
      <c r="J2093" s="545">
        <v>49.988095238095241</v>
      </c>
    </row>
    <row r="2094" spans="1:10">
      <c r="A2094" s="441">
        <v>8098</v>
      </c>
      <c r="B2094" s="441" t="s">
        <v>2699</v>
      </c>
      <c r="C2094" s="545">
        <v>81.666666666666671</v>
      </c>
      <c r="D2094" s="545">
        <v>48.333333333333336</v>
      </c>
      <c r="E2094" s="545">
        <v>39.333333333333336</v>
      </c>
      <c r="F2094" s="545">
        <v>70.857142857142861</v>
      </c>
      <c r="G2094" s="545">
        <v>45.35</v>
      </c>
      <c r="H2094" s="545">
        <v>37</v>
      </c>
      <c r="I2094" s="545">
        <v>27.333333333333332</v>
      </c>
      <c r="J2094" s="545">
        <v>41.583333333333329</v>
      </c>
    </row>
    <row r="2095" spans="1:10">
      <c r="A2095" s="441">
        <v>7846</v>
      </c>
      <c r="B2095" s="441" t="s">
        <v>2700</v>
      </c>
      <c r="C2095" s="545">
        <v>28</v>
      </c>
      <c r="D2095" s="545">
        <v>16.333333333333336</v>
      </c>
      <c r="E2095" s="545">
        <v>11.333333333333334</v>
      </c>
      <c r="F2095" s="545">
        <v>23.952380952380956</v>
      </c>
      <c r="G2095" s="545">
        <v>17.2</v>
      </c>
      <c r="H2095" s="545">
        <v>12</v>
      </c>
      <c r="I2095" s="545">
        <v>9.6666666666666661</v>
      </c>
      <c r="J2095" s="545">
        <v>15.380952380952381</v>
      </c>
    </row>
    <row r="2096" spans="1:10">
      <c r="A2096" s="441">
        <v>7879</v>
      </c>
      <c r="B2096" s="441" t="s">
        <v>2700</v>
      </c>
      <c r="C2096" s="545">
        <v>21.166666666666664</v>
      </c>
      <c r="D2096" s="545">
        <v>17</v>
      </c>
      <c r="E2096" s="545">
        <v>9</v>
      </c>
      <c r="F2096" s="545">
        <v>18.833333333333332</v>
      </c>
      <c r="G2096" s="545">
        <v>14.8</v>
      </c>
      <c r="H2096" s="545">
        <v>9</v>
      </c>
      <c r="I2096" s="545">
        <v>13.666666666666666</v>
      </c>
      <c r="J2096" s="545">
        <v>13.80952380952381</v>
      </c>
    </row>
    <row r="2097" spans="1:10">
      <c r="A2097" s="441">
        <v>8095</v>
      </c>
      <c r="B2097" s="441" t="s">
        <v>2701</v>
      </c>
      <c r="C2097" s="545">
        <v>44.666666666666671</v>
      </c>
      <c r="D2097" s="545">
        <v>17.666666666666664</v>
      </c>
      <c r="E2097" s="545">
        <v>19.333333333333332</v>
      </c>
      <c r="F2097" s="545">
        <v>37.190476190476197</v>
      </c>
      <c r="G2097" s="545">
        <v>23.7</v>
      </c>
      <c r="H2097" s="545">
        <v>12</v>
      </c>
      <c r="I2097" s="545">
        <v>7</v>
      </c>
      <c r="J2097" s="545">
        <v>19.642857142857142</v>
      </c>
    </row>
    <row r="2098" spans="1:10">
      <c r="A2098" s="441">
        <v>8101</v>
      </c>
      <c r="B2098" s="441" t="s">
        <v>2701</v>
      </c>
      <c r="C2098" s="545">
        <v>12.666666666666668</v>
      </c>
      <c r="D2098" s="545">
        <v>5.3333333333333339</v>
      </c>
      <c r="E2098" s="545">
        <v>2</v>
      </c>
      <c r="F2098" s="545">
        <v>10.095238095238097</v>
      </c>
      <c r="G2098" s="545">
        <v>7.7</v>
      </c>
      <c r="H2098" s="545">
        <v>3.6666666666666665</v>
      </c>
      <c r="I2098" s="545">
        <v>2.3333333333333335</v>
      </c>
      <c r="J2098" s="545">
        <v>6.3571428571428568</v>
      </c>
    </row>
    <row r="2099" spans="1:10">
      <c r="A2099" s="441">
        <v>7854</v>
      </c>
      <c r="B2099" s="441" t="s">
        <v>2702</v>
      </c>
      <c r="C2099" s="545">
        <v>3</v>
      </c>
      <c r="D2099" s="545">
        <v>2</v>
      </c>
      <c r="E2099" s="545">
        <v>0.66666666666666663</v>
      </c>
      <c r="F2099" s="545">
        <v>2.5238095238095242</v>
      </c>
      <c r="G2099" s="545">
        <v>1.2</v>
      </c>
      <c r="H2099" s="545">
        <v>0.33333333333333331</v>
      </c>
      <c r="I2099" s="545">
        <v>0.33333333333333331</v>
      </c>
      <c r="J2099" s="545">
        <v>0.95238095238095233</v>
      </c>
    </row>
    <row r="2100" spans="1:10">
      <c r="A2100" s="441">
        <v>7871</v>
      </c>
      <c r="B2100" s="441" t="s">
        <v>2702</v>
      </c>
      <c r="C2100" s="545">
        <v>3.833333333333333</v>
      </c>
      <c r="D2100" s="545">
        <v>1</v>
      </c>
      <c r="E2100" s="545">
        <v>1.3333333333333333</v>
      </c>
      <c r="F2100" s="545">
        <v>3.0714285714285707</v>
      </c>
      <c r="G2100" s="545">
        <v>1.45</v>
      </c>
      <c r="H2100" s="545">
        <v>2</v>
      </c>
      <c r="I2100" s="545">
        <v>0.66666666666666663</v>
      </c>
      <c r="J2100" s="545">
        <v>1.4166666666666665</v>
      </c>
    </row>
    <row r="2101" spans="1:10">
      <c r="A2101" s="441">
        <v>8211</v>
      </c>
      <c r="B2101" s="441" t="s">
        <v>2703</v>
      </c>
      <c r="C2101" s="545">
        <v>108.5</v>
      </c>
      <c r="D2101" s="545">
        <v>78.333333333333329</v>
      </c>
      <c r="E2101" s="545">
        <v>71.666666666666657</v>
      </c>
      <c r="F2101" s="545">
        <v>98.928571428571431</v>
      </c>
      <c r="G2101" s="545">
        <v>101</v>
      </c>
      <c r="H2101" s="545">
        <v>45.666666666666664</v>
      </c>
      <c r="I2101" s="545">
        <v>32.666666666666664</v>
      </c>
      <c r="J2101" s="545">
        <v>83.333333333333329</v>
      </c>
    </row>
    <row r="2102" spans="1:10">
      <c r="A2102" s="441">
        <v>10978</v>
      </c>
      <c r="B2102" s="441" t="s">
        <v>2704</v>
      </c>
      <c r="C2102" s="545">
        <v>14.5</v>
      </c>
      <c r="D2102" s="545">
        <v>6.6666666666666661</v>
      </c>
      <c r="E2102" s="545">
        <v>3.6666666666666665</v>
      </c>
      <c r="F2102" s="545">
        <v>11.833333333333334</v>
      </c>
      <c r="G2102" s="545">
        <v>4.8499999999999996</v>
      </c>
      <c r="H2102" s="545">
        <v>1</v>
      </c>
      <c r="I2102" s="545">
        <v>5</v>
      </c>
      <c r="J2102" s="545">
        <v>4.3214285714285712</v>
      </c>
    </row>
    <row r="2103" spans="1:10">
      <c r="A2103" s="441">
        <v>2858</v>
      </c>
      <c r="B2103" s="441" t="s">
        <v>2705</v>
      </c>
      <c r="C2103" s="545">
        <v>0.83333333333333337</v>
      </c>
      <c r="D2103" s="545">
        <v>0.33333333333333331</v>
      </c>
      <c r="E2103" s="545">
        <v>0</v>
      </c>
      <c r="F2103" s="545">
        <v>0.6428571428571429</v>
      </c>
      <c r="G2103" s="545">
        <v>0.05</v>
      </c>
      <c r="H2103" s="545">
        <v>0.33333333333333331</v>
      </c>
      <c r="I2103" s="545">
        <v>0</v>
      </c>
      <c r="J2103" s="545">
        <v>8.3333333333333329E-2</v>
      </c>
    </row>
    <row r="2104" spans="1:10">
      <c r="A2104" s="441">
        <v>2886</v>
      </c>
      <c r="B2104" s="441" t="s">
        <v>2706</v>
      </c>
      <c r="C2104" s="545">
        <v>0.5</v>
      </c>
      <c r="D2104" s="545">
        <v>0.33333333333333331</v>
      </c>
      <c r="E2104" s="545">
        <v>0</v>
      </c>
      <c r="F2104" s="545">
        <v>0.40476190476190477</v>
      </c>
      <c r="G2104" s="545">
        <v>0.3</v>
      </c>
      <c r="H2104" s="545">
        <v>0</v>
      </c>
      <c r="I2104" s="545">
        <v>0</v>
      </c>
      <c r="J2104" s="545">
        <v>0.21428571428571427</v>
      </c>
    </row>
    <row r="2105" spans="1:10">
      <c r="A2105" s="441">
        <v>2896</v>
      </c>
      <c r="B2105" s="441" t="s">
        <v>2706</v>
      </c>
      <c r="C2105" s="545">
        <v>0.5</v>
      </c>
      <c r="D2105" s="545">
        <v>1</v>
      </c>
      <c r="E2105" s="545">
        <v>0</v>
      </c>
      <c r="F2105" s="545">
        <v>0.5</v>
      </c>
      <c r="G2105" s="545">
        <v>1.45</v>
      </c>
      <c r="H2105" s="545">
        <v>0</v>
      </c>
      <c r="I2105" s="545">
        <v>0.33333333333333331</v>
      </c>
      <c r="J2105" s="545">
        <v>1.0833333333333333</v>
      </c>
    </row>
    <row r="2106" spans="1:10">
      <c r="A2106" s="441">
        <v>2897</v>
      </c>
      <c r="B2106" s="441" t="s">
        <v>2706</v>
      </c>
      <c r="C2106" s="545">
        <v>0</v>
      </c>
      <c r="D2106" s="545">
        <v>0</v>
      </c>
      <c r="E2106" s="545">
        <v>0</v>
      </c>
      <c r="F2106" s="545">
        <v>0</v>
      </c>
      <c r="G2106" s="545">
        <v>2.25</v>
      </c>
      <c r="H2106" s="545">
        <v>0</v>
      </c>
      <c r="I2106" s="545">
        <v>0</v>
      </c>
      <c r="J2106" s="545">
        <v>1.6071428571428572</v>
      </c>
    </row>
    <row r="2107" spans="1:10">
      <c r="A2107" s="441">
        <v>2885</v>
      </c>
      <c r="B2107" s="441" t="s">
        <v>2707</v>
      </c>
      <c r="C2107" s="545">
        <v>0</v>
      </c>
      <c r="D2107" s="545">
        <v>0</v>
      </c>
      <c r="E2107" s="545">
        <v>0.33333333333333331</v>
      </c>
      <c r="F2107" s="545">
        <v>4.7619047619047616E-2</v>
      </c>
      <c r="G2107" s="545">
        <v>0.05</v>
      </c>
      <c r="H2107" s="545">
        <v>0</v>
      </c>
      <c r="I2107" s="545">
        <v>0.33333333333333331</v>
      </c>
      <c r="J2107" s="545">
        <v>8.3333333333333329E-2</v>
      </c>
    </row>
    <row r="2108" spans="1:10">
      <c r="A2108" s="441">
        <v>2898</v>
      </c>
      <c r="B2108" s="441" t="s">
        <v>2707</v>
      </c>
      <c r="C2108" s="545">
        <v>0</v>
      </c>
      <c r="D2108" s="545">
        <v>0</v>
      </c>
      <c r="E2108" s="545">
        <v>0</v>
      </c>
      <c r="F2108" s="545">
        <v>0</v>
      </c>
      <c r="G2108" s="545">
        <v>0</v>
      </c>
      <c r="H2108" s="545">
        <v>0</v>
      </c>
      <c r="I2108" s="545">
        <v>0</v>
      </c>
      <c r="J2108" s="545">
        <v>0</v>
      </c>
    </row>
    <row r="2109" spans="1:10">
      <c r="A2109" s="441">
        <v>2887</v>
      </c>
      <c r="B2109" s="441" t="s">
        <v>2708</v>
      </c>
      <c r="C2109" s="545">
        <v>2</v>
      </c>
      <c r="D2109" s="545">
        <v>12.666666666666666</v>
      </c>
      <c r="E2109" s="545">
        <v>1</v>
      </c>
      <c r="F2109" s="545">
        <v>3.3809523809523805</v>
      </c>
      <c r="G2109" s="545">
        <v>0.8</v>
      </c>
      <c r="H2109" s="545">
        <v>0.66666666666666663</v>
      </c>
      <c r="I2109" s="545">
        <v>2</v>
      </c>
      <c r="J2109" s="545">
        <v>0.95238095238095244</v>
      </c>
    </row>
    <row r="2110" spans="1:10">
      <c r="A2110" s="441">
        <v>2895</v>
      </c>
      <c r="B2110" s="441" t="s">
        <v>2708</v>
      </c>
      <c r="C2110" s="545">
        <v>1.5</v>
      </c>
      <c r="D2110" s="545">
        <v>0</v>
      </c>
      <c r="E2110" s="545">
        <v>0.33333333333333331</v>
      </c>
      <c r="F2110" s="545">
        <v>1.1190476190476191</v>
      </c>
      <c r="G2110" s="545">
        <v>1.45</v>
      </c>
      <c r="H2110" s="545">
        <v>0</v>
      </c>
      <c r="I2110" s="545">
        <v>3</v>
      </c>
      <c r="J2110" s="545">
        <v>1.4642857142857142</v>
      </c>
    </row>
    <row r="2111" spans="1:10">
      <c r="A2111" s="441">
        <v>2889</v>
      </c>
      <c r="B2111" s="441" t="s">
        <v>2709</v>
      </c>
      <c r="C2111" s="545">
        <v>2.8333333333333335</v>
      </c>
      <c r="D2111" s="545">
        <v>2</v>
      </c>
      <c r="E2111" s="545">
        <v>2</v>
      </c>
      <c r="F2111" s="545">
        <v>2.5952380952380953</v>
      </c>
      <c r="G2111" s="545">
        <v>0.3</v>
      </c>
      <c r="H2111" s="545">
        <v>0.66666666666666663</v>
      </c>
      <c r="I2111" s="545">
        <v>0</v>
      </c>
      <c r="J2111" s="545">
        <v>0.30952380952380948</v>
      </c>
    </row>
    <row r="2112" spans="1:10">
      <c r="A2112" s="441">
        <v>2888</v>
      </c>
      <c r="B2112" s="441" t="s">
        <v>2710</v>
      </c>
      <c r="C2112" s="545">
        <v>1.6666666666666667</v>
      </c>
      <c r="D2112" s="545">
        <v>0.33333333333333331</v>
      </c>
      <c r="E2112" s="545">
        <v>1.6666666666666665</v>
      </c>
      <c r="F2112" s="545">
        <v>1.4761904761904763</v>
      </c>
      <c r="G2112" s="545">
        <v>2</v>
      </c>
      <c r="H2112" s="545">
        <v>0.66666666666666663</v>
      </c>
      <c r="I2112" s="545">
        <v>0.33333333333333331</v>
      </c>
      <c r="J2112" s="545">
        <v>1.5714285714285714</v>
      </c>
    </row>
    <row r="2113" spans="1:10">
      <c r="A2113" s="441">
        <v>2894</v>
      </c>
      <c r="B2113" s="441" t="s">
        <v>2710</v>
      </c>
      <c r="C2113" s="545">
        <v>1.1666666666666667</v>
      </c>
      <c r="D2113" s="545">
        <v>0.33333333333333331</v>
      </c>
      <c r="E2113" s="545">
        <v>1</v>
      </c>
      <c r="F2113" s="545">
        <v>1.0238095238095239</v>
      </c>
      <c r="G2113" s="545">
        <v>1.75</v>
      </c>
      <c r="H2113" s="545">
        <v>0</v>
      </c>
      <c r="I2113" s="545">
        <v>0</v>
      </c>
      <c r="J2113" s="545">
        <v>1.25</v>
      </c>
    </row>
    <row r="2114" spans="1:10">
      <c r="A2114" s="441">
        <v>2633</v>
      </c>
      <c r="B2114" s="441" t="s">
        <v>2711</v>
      </c>
      <c r="C2114" s="545">
        <v>2.5</v>
      </c>
      <c r="D2114" s="545">
        <v>0.33333333333333331</v>
      </c>
      <c r="E2114" s="545">
        <v>3</v>
      </c>
      <c r="F2114" s="545">
        <v>2.2619047619047619</v>
      </c>
      <c r="G2114" s="545">
        <v>1.45</v>
      </c>
      <c r="H2114" s="545">
        <v>0.66666666666666663</v>
      </c>
      <c r="I2114" s="545">
        <v>0.33333333333333331</v>
      </c>
      <c r="J2114" s="545">
        <v>1.1785714285714286</v>
      </c>
    </row>
    <row r="2115" spans="1:10">
      <c r="A2115" s="441">
        <v>12230</v>
      </c>
      <c r="B2115" s="441" t="s">
        <v>2712</v>
      </c>
      <c r="C2115" s="545">
        <v>0.33333333333333331</v>
      </c>
      <c r="D2115" s="545">
        <v>0.66666666666666663</v>
      </c>
      <c r="E2115" s="545">
        <v>0.66666666666666663</v>
      </c>
      <c r="F2115" s="545">
        <v>0.42857142857142849</v>
      </c>
      <c r="G2115" s="545">
        <v>0.6</v>
      </c>
      <c r="H2115" s="545">
        <v>0</v>
      </c>
      <c r="I2115" s="545">
        <v>1</v>
      </c>
      <c r="J2115" s="545">
        <v>0.5714285714285714</v>
      </c>
    </row>
    <row r="2116" spans="1:10">
      <c r="A2116" s="441">
        <v>22</v>
      </c>
      <c r="B2116" s="441" t="s">
        <v>2713</v>
      </c>
      <c r="C2116" s="545">
        <v>2.8333333333333335</v>
      </c>
      <c r="D2116" s="545">
        <v>1.6666666666666665</v>
      </c>
      <c r="E2116" s="545">
        <v>0</v>
      </c>
      <c r="F2116" s="545">
        <v>2.2619047619047619</v>
      </c>
      <c r="G2116" s="545">
        <v>0.9</v>
      </c>
      <c r="H2116" s="545">
        <v>0</v>
      </c>
      <c r="I2116" s="545">
        <v>0</v>
      </c>
      <c r="J2116" s="545">
        <v>0.6428571428571429</v>
      </c>
    </row>
    <row r="2117" spans="1:10">
      <c r="A2117" s="441">
        <v>12</v>
      </c>
      <c r="B2117" s="441" t="s">
        <v>2714</v>
      </c>
      <c r="C2117" s="545">
        <v>0.66666666666666663</v>
      </c>
      <c r="D2117" s="545">
        <v>0</v>
      </c>
      <c r="E2117" s="545">
        <v>0</v>
      </c>
      <c r="F2117" s="545">
        <v>0.47619047619047616</v>
      </c>
      <c r="G2117" s="545">
        <v>0.15</v>
      </c>
      <c r="H2117" s="545">
        <v>0</v>
      </c>
      <c r="I2117" s="545">
        <v>0</v>
      </c>
      <c r="J2117" s="545">
        <v>0.10714285714285714</v>
      </c>
    </row>
    <row r="2118" spans="1:10">
      <c r="A2118" s="441">
        <v>7080</v>
      </c>
      <c r="B2118" s="441" t="s">
        <v>2714</v>
      </c>
      <c r="C2118" s="545">
        <v>1.6666666666666667</v>
      </c>
      <c r="D2118" s="545">
        <v>0</v>
      </c>
      <c r="E2118" s="545">
        <v>0</v>
      </c>
      <c r="F2118" s="545">
        <v>1.1904761904761905</v>
      </c>
      <c r="G2118" s="545">
        <v>5.55</v>
      </c>
      <c r="H2118" s="545">
        <v>0</v>
      </c>
      <c r="I2118" s="545">
        <v>0</v>
      </c>
      <c r="J2118" s="545">
        <v>3.9642857142857144</v>
      </c>
    </row>
    <row r="2119" spans="1:10">
      <c r="A2119" s="441">
        <v>20</v>
      </c>
      <c r="B2119" s="441" t="s">
        <v>2715</v>
      </c>
      <c r="C2119" s="545">
        <v>2.6666666666666665</v>
      </c>
      <c r="D2119" s="545">
        <v>1.3333333333333333</v>
      </c>
      <c r="E2119" s="545">
        <v>0</v>
      </c>
      <c r="F2119" s="545">
        <v>2.0952380952380953</v>
      </c>
      <c r="G2119" s="545">
        <v>1.1000000000000001</v>
      </c>
      <c r="H2119" s="545">
        <v>0.33333333333333331</v>
      </c>
      <c r="I2119" s="545">
        <v>1</v>
      </c>
      <c r="J2119" s="545">
        <v>0.97619047619047616</v>
      </c>
    </row>
    <row r="2120" spans="1:10">
      <c r="A2120" s="441">
        <v>7396</v>
      </c>
      <c r="B2120" s="441" t="s">
        <v>2715</v>
      </c>
      <c r="C2120" s="545">
        <v>2</v>
      </c>
      <c r="D2120" s="545">
        <v>1.6666666666666665</v>
      </c>
      <c r="E2120" s="545">
        <v>0.33333333333333331</v>
      </c>
      <c r="F2120" s="545">
        <v>1.7142857142857142</v>
      </c>
      <c r="G2120" s="545">
        <v>1.35</v>
      </c>
      <c r="H2120" s="545">
        <v>0.33333333333333331</v>
      </c>
      <c r="I2120" s="545">
        <v>0.33333333333333331</v>
      </c>
      <c r="J2120" s="545">
        <v>1.0595238095238095</v>
      </c>
    </row>
    <row r="2121" spans="1:10">
      <c r="A2121" s="441">
        <v>7401</v>
      </c>
      <c r="B2121" s="441" t="s">
        <v>2716</v>
      </c>
      <c r="C2121" s="545">
        <v>1.5</v>
      </c>
      <c r="D2121" s="545">
        <v>0</v>
      </c>
      <c r="E2121" s="545">
        <v>0.33333333333333331</v>
      </c>
      <c r="F2121" s="545">
        <v>1.1190476190476191</v>
      </c>
      <c r="G2121" s="545">
        <v>1</v>
      </c>
      <c r="H2121" s="545">
        <v>0.66666666666666663</v>
      </c>
      <c r="I2121" s="545">
        <v>1</v>
      </c>
      <c r="J2121" s="545">
        <v>0.95238095238095244</v>
      </c>
    </row>
    <row r="2122" spans="1:10">
      <c r="A2122" s="441">
        <v>21</v>
      </c>
      <c r="B2122" s="441" t="s">
        <v>2717</v>
      </c>
      <c r="C2122" s="545">
        <v>0.33333333333333331</v>
      </c>
      <c r="D2122" s="545">
        <v>0</v>
      </c>
      <c r="E2122" s="545">
        <v>0</v>
      </c>
      <c r="F2122" s="545">
        <v>0.23809523809523808</v>
      </c>
      <c r="G2122" s="545">
        <v>1.1000000000000001</v>
      </c>
      <c r="H2122" s="545">
        <v>0</v>
      </c>
      <c r="I2122" s="545">
        <v>0</v>
      </c>
      <c r="J2122" s="545">
        <v>0.7857142857142857</v>
      </c>
    </row>
    <row r="2123" spans="1:10">
      <c r="A2123" s="441">
        <v>7395</v>
      </c>
      <c r="B2123" s="441" t="s">
        <v>2717</v>
      </c>
      <c r="C2123" s="545">
        <v>1</v>
      </c>
      <c r="D2123" s="545">
        <v>0.66666666666666663</v>
      </c>
      <c r="E2123" s="545">
        <v>0.33333333333333331</v>
      </c>
      <c r="F2123" s="545">
        <v>0.8571428571428571</v>
      </c>
      <c r="G2123" s="545">
        <v>2.15</v>
      </c>
      <c r="H2123" s="545">
        <v>1</v>
      </c>
      <c r="I2123" s="545">
        <v>0</v>
      </c>
      <c r="J2123" s="545">
        <v>1.6785714285714286</v>
      </c>
    </row>
    <row r="2124" spans="1:10">
      <c r="A2124" s="441">
        <v>12406</v>
      </c>
      <c r="B2124" s="441" t="s">
        <v>2718</v>
      </c>
      <c r="C2124" s="545">
        <v>0.66666666666666663</v>
      </c>
      <c r="D2124" s="545">
        <v>0.66666666666666663</v>
      </c>
      <c r="E2124" s="545">
        <v>0</v>
      </c>
      <c r="F2124" s="545">
        <v>0.5714285714285714</v>
      </c>
      <c r="G2124" s="545">
        <v>1.6</v>
      </c>
      <c r="H2124" s="545">
        <v>0.66666666666666663</v>
      </c>
      <c r="I2124" s="545">
        <v>0.66666666666666663</v>
      </c>
      <c r="J2124" s="545">
        <v>1.3333333333333333</v>
      </c>
    </row>
    <row r="2125" spans="1:10">
      <c r="A2125" s="441">
        <v>12405</v>
      </c>
      <c r="B2125" s="441" t="s">
        <v>2719</v>
      </c>
      <c r="C2125" s="545">
        <v>2.6666666666666665</v>
      </c>
      <c r="D2125" s="545">
        <v>0.33333333333333331</v>
      </c>
      <c r="E2125" s="545">
        <v>0.66666666666666663</v>
      </c>
      <c r="F2125" s="545">
        <v>2.0476190476190474</v>
      </c>
      <c r="G2125" s="545">
        <v>2.1</v>
      </c>
      <c r="H2125" s="545">
        <v>2.6666666666666665</v>
      </c>
      <c r="I2125" s="545">
        <v>0.33333333333333331</v>
      </c>
      <c r="J2125" s="545">
        <v>1.9285714285714286</v>
      </c>
    </row>
    <row r="2126" spans="1:10">
      <c r="A2126" s="441">
        <v>7397</v>
      </c>
      <c r="B2126" s="441" t="s">
        <v>2720</v>
      </c>
      <c r="C2126" s="545">
        <v>0.5</v>
      </c>
      <c r="D2126" s="545">
        <v>0</v>
      </c>
      <c r="E2126" s="545">
        <v>0</v>
      </c>
      <c r="F2126" s="545">
        <v>0.35714285714285715</v>
      </c>
      <c r="G2126" s="545">
        <v>0.15</v>
      </c>
      <c r="H2126" s="545">
        <v>0.66666666666666663</v>
      </c>
      <c r="I2126" s="545">
        <v>0</v>
      </c>
      <c r="J2126" s="545">
        <v>0.20238095238095236</v>
      </c>
    </row>
    <row r="2127" spans="1:10">
      <c r="A2127" s="441">
        <v>12407</v>
      </c>
      <c r="B2127" s="441" t="s">
        <v>2720</v>
      </c>
      <c r="C2127" s="545">
        <v>2.666666666666667</v>
      </c>
      <c r="D2127" s="545">
        <v>5</v>
      </c>
      <c r="E2127" s="545">
        <v>2</v>
      </c>
      <c r="F2127" s="545">
        <v>2.9047619047619051</v>
      </c>
      <c r="G2127" s="545">
        <v>2.35</v>
      </c>
      <c r="H2127" s="545">
        <v>4.333333333333333</v>
      </c>
      <c r="I2127" s="545">
        <v>2</v>
      </c>
      <c r="J2127" s="545">
        <v>2.583333333333333</v>
      </c>
    </row>
    <row r="2128" spans="1:10">
      <c r="A2128" s="441">
        <v>10</v>
      </c>
      <c r="B2128" s="441" t="s">
        <v>2721</v>
      </c>
      <c r="C2128" s="545">
        <v>0.33333333333333331</v>
      </c>
      <c r="D2128" s="545">
        <v>0.33333333333333331</v>
      </c>
      <c r="E2128" s="545">
        <v>0</v>
      </c>
      <c r="F2128" s="545">
        <v>0.2857142857142857</v>
      </c>
      <c r="G2128" s="545">
        <v>1.1000000000000001</v>
      </c>
      <c r="H2128" s="545">
        <v>0.33333333333333331</v>
      </c>
      <c r="I2128" s="545">
        <v>0</v>
      </c>
      <c r="J2128" s="545">
        <v>0.83333333333333326</v>
      </c>
    </row>
    <row r="2129" spans="1:10">
      <c r="A2129" s="441">
        <v>7081</v>
      </c>
      <c r="B2129" s="441" t="s">
        <v>2721</v>
      </c>
      <c r="C2129" s="545">
        <v>0.5</v>
      </c>
      <c r="D2129" s="545">
        <v>1</v>
      </c>
      <c r="E2129" s="545">
        <v>0</v>
      </c>
      <c r="F2129" s="545">
        <v>0.5</v>
      </c>
      <c r="G2129" s="545">
        <v>0.3</v>
      </c>
      <c r="H2129" s="545">
        <v>0</v>
      </c>
      <c r="I2129" s="545">
        <v>0.66666666666666663</v>
      </c>
      <c r="J2129" s="545">
        <v>0.30952380952380948</v>
      </c>
    </row>
    <row r="2130" spans="1:10">
      <c r="A2130" s="441">
        <v>15</v>
      </c>
      <c r="B2130" s="441" t="s">
        <v>2722</v>
      </c>
      <c r="C2130" s="545">
        <v>1.6666666666666665</v>
      </c>
      <c r="D2130" s="545">
        <v>0</v>
      </c>
      <c r="E2130" s="545">
        <v>1</v>
      </c>
      <c r="F2130" s="545">
        <v>1.3333333333333333</v>
      </c>
      <c r="G2130" s="545">
        <v>0.2</v>
      </c>
      <c r="H2130" s="545">
        <v>0</v>
      </c>
      <c r="I2130" s="545">
        <v>0.33333333333333331</v>
      </c>
      <c r="J2130" s="545">
        <v>0.19047619047619047</v>
      </c>
    </row>
    <row r="2131" spans="1:10">
      <c r="A2131" s="441">
        <v>14</v>
      </c>
      <c r="B2131" s="441" t="s">
        <v>2723</v>
      </c>
      <c r="C2131" s="545">
        <v>2.6666666666666665</v>
      </c>
      <c r="D2131" s="545">
        <v>0.33333333333333331</v>
      </c>
      <c r="E2131" s="545">
        <v>0</v>
      </c>
      <c r="F2131" s="545">
        <v>1.9523809523809523</v>
      </c>
      <c r="G2131" s="545">
        <v>0.55000000000000004</v>
      </c>
      <c r="H2131" s="545">
        <v>0.66666666666666663</v>
      </c>
      <c r="I2131" s="545">
        <v>0.66666666666666663</v>
      </c>
      <c r="J2131" s="545">
        <v>0.58333333333333326</v>
      </c>
    </row>
    <row r="2132" spans="1:10">
      <c r="A2132" s="441">
        <v>7402</v>
      </c>
      <c r="B2132" s="441" t="s">
        <v>2723</v>
      </c>
      <c r="C2132" s="545">
        <v>1.5</v>
      </c>
      <c r="D2132" s="545">
        <v>0.33333333333333331</v>
      </c>
      <c r="E2132" s="545">
        <v>0</v>
      </c>
      <c r="F2132" s="545">
        <v>1.1190476190476191</v>
      </c>
      <c r="G2132" s="545">
        <v>2.25</v>
      </c>
      <c r="H2132" s="545">
        <v>0</v>
      </c>
      <c r="I2132" s="545">
        <v>0.33333333333333331</v>
      </c>
      <c r="J2132" s="545">
        <v>1.6547619047619049</v>
      </c>
    </row>
    <row r="2133" spans="1:10">
      <c r="A2133" s="441">
        <v>11</v>
      </c>
      <c r="B2133" s="441" t="s">
        <v>2724</v>
      </c>
      <c r="C2133" s="545">
        <v>1</v>
      </c>
      <c r="D2133" s="545">
        <v>0.33333333333333331</v>
      </c>
      <c r="E2133" s="545">
        <v>0.66666666666666663</v>
      </c>
      <c r="F2133" s="545">
        <v>0.8571428571428571</v>
      </c>
      <c r="G2133" s="545">
        <v>0.25</v>
      </c>
      <c r="H2133" s="545">
        <v>0</v>
      </c>
      <c r="I2133" s="545">
        <v>0</v>
      </c>
      <c r="J2133" s="545">
        <v>0.17857142857142858</v>
      </c>
    </row>
    <row r="2134" spans="1:10">
      <c r="A2134" s="441">
        <v>11308</v>
      </c>
      <c r="B2134" s="441" t="s">
        <v>2724</v>
      </c>
      <c r="C2134" s="545">
        <v>0.5</v>
      </c>
      <c r="D2134" s="545">
        <v>0</v>
      </c>
      <c r="E2134" s="545">
        <v>0</v>
      </c>
      <c r="F2134" s="545">
        <v>0.35714285714285715</v>
      </c>
      <c r="G2134" s="545">
        <v>0.4</v>
      </c>
      <c r="H2134" s="545">
        <v>0</v>
      </c>
      <c r="I2134" s="545">
        <v>0</v>
      </c>
      <c r="J2134" s="545">
        <v>0.2857142857142857</v>
      </c>
    </row>
    <row r="2135" spans="1:10">
      <c r="A2135" s="441">
        <v>13</v>
      </c>
      <c r="B2135" s="441" t="s">
        <v>2725</v>
      </c>
      <c r="C2135" s="545">
        <v>0.33333333333333331</v>
      </c>
      <c r="D2135" s="545">
        <v>1.3333333333333333</v>
      </c>
      <c r="E2135" s="545">
        <v>0</v>
      </c>
      <c r="F2135" s="545">
        <v>0.42857142857142855</v>
      </c>
      <c r="G2135" s="545">
        <v>0</v>
      </c>
      <c r="H2135" s="545">
        <v>0</v>
      </c>
      <c r="I2135" s="545">
        <v>0.66666666666666663</v>
      </c>
      <c r="J2135" s="545">
        <v>9.5238095238095233E-2</v>
      </c>
    </row>
    <row r="2136" spans="1:10">
      <c r="A2136" s="441">
        <v>7079</v>
      </c>
      <c r="B2136" s="441" t="s">
        <v>2725</v>
      </c>
      <c r="C2136" s="545">
        <v>0.66666666666666663</v>
      </c>
      <c r="D2136" s="545">
        <v>0.66666666666666663</v>
      </c>
      <c r="E2136" s="545">
        <v>0</v>
      </c>
      <c r="F2136" s="545">
        <v>0.5714285714285714</v>
      </c>
      <c r="G2136" s="545">
        <v>0.05</v>
      </c>
      <c r="H2136" s="545">
        <v>0</v>
      </c>
      <c r="I2136" s="545">
        <v>0</v>
      </c>
      <c r="J2136" s="545">
        <v>3.5714285714285712E-2</v>
      </c>
    </row>
    <row r="2137" spans="1:10">
      <c r="A2137" s="441">
        <v>7362</v>
      </c>
      <c r="B2137" s="441" t="s">
        <v>2726</v>
      </c>
      <c r="C2137" s="545">
        <v>0.66666666666666663</v>
      </c>
      <c r="D2137" s="545">
        <v>0</v>
      </c>
      <c r="E2137" s="545">
        <v>0</v>
      </c>
      <c r="F2137" s="545">
        <v>0.47619047619047616</v>
      </c>
      <c r="G2137" s="545">
        <v>0.5</v>
      </c>
      <c r="H2137" s="545">
        <v>0</v>
      </c>
      <c r="I2137" s="545">
        <v>0</v>
      </c>
      <c r="J2137" s="545">
        <v>0.35714285714285715</v>
      </c>
    </row>
    <row r="2138" spans="1:10">
      <c r="A2138" s="441">
        <v>10016</v>
      </c>
      <c r="B2138" s="441" t="s">
        <v>2726</v>
      </c>
      <c r="C2138" s="545">
        <v>2.666666666666667</v>
      </c>
      <c r="D2138" s="545">
        <v>2.3333333333333335</v>
      </c>
      <c r="E2138" s="545">
        <v>4</v>
      </c>
      <c r="F2138" s="545">
        <v>2.8095238095238102</v>
      </c>
      <c r="G2138" s="545">
        <v>8.1999999999999993</v>
      </c>
      <c r="H2138" s="545">
        <v>2</v>
      </c>
      <c r="I2138" s="545">
        <v>4</v>
      </c>
      <c r="J2138" s="545">
        <v>6.7142857142857144</v>
      </c>
    </row>
    <row r="2139" spans="1:10">
      <c r="A2139" s="441">
        <v>7361</v>
      </c>
      <c r="B2139" s="441" t="s">
        <v>2727</v>
      </c>
      <c r="C2139" s="545">
        <v>2.166666666666667</v>
      </c>
      <c r="D2139" s="545">
        <v>3.666666666666667</v>
      </c>
      <c r="E2139" s="545">
        <v>7.6666666666666661</v>
      </c>
      <c r="F2139" s="545">
        <v>3.1666666666666674</v>
      </c>
      <c r="G2139" s="545">
        <v>2.65</v>
      </c>
      <c r="H2139" s="545">
        <v>0.33333333333333331</v>
      </c>
      <c r="I2139" s="545">
        <v>4</v>
      </c>
      <c r="J2139" s="545">
        <v>2.5119047619047623</v>
      </c>
    </row>
    <row r="2140" spans="1:10">
      <c r="A2140" s="441">
        <v>7354</v>
      </c>
      <c r="B2140" s="441" t="s">
        <v>2728</v>
      </c>
      <c r="C2140" s="545">
        <v>5.3333333333333339</v>
      </c>
      <c r="D2140" s="545">
        <v>1</v>
      </c>
      <c r="E2140" s="545">
        <v>1.3333333333333333</v>
      </c>
      <c r="F2140" s="545">
        <v>4.1428571428571432</v>
      </c>
      <c r="G2140" s="545">
        <v>4.7</v>
      </c>
      <c r="H2140" s="545">
        <v>2.3333333333333335</v>
      </c>
      <c r="I2140" s="545">
        <v>1.6666666666666667</v>
      </c>
      <c r="J2140" s="545">
        <v>3.9285714285714284</v>
      </c>
    </row>
    <row r="2141" spans="1:10">
      <c r="A2141" s="441">
        <v>7360</v>
      </c>
      <c r="B2141" s="441" t="s">
        <v>2728</v>
      </c>
      <c r="C2141" s="545">
        <v>1.8333333333333335</v>
      </c>
      <c r="D2141" s="545">
        <v>2.3333333333333335</v>
      </c>
      <c r="E2141" s="545">
        <v>1.3333333333333333</v>
      </c>
      <c r="F2141" s="545">
        <v>1.8333333333333337</v>
      </c>
      <c r="G2141" s="545">
        <v>3.7</v>
      </c>
      <c r="H2141" s="545">
        <v>4</v>
      </c>
      <c r="I2141" s="545">
        <v>3.3333333333333335</v>
      </c>
      <c r="J2141" s="545">
        <v>3.6904761904761902</v>
      </c>
    </row>
    <row r="2142" spans="1:10">
      <c r="A2142" s="441">
        <v>1790</v>
      </c>
      <c r="B2142" s="441" t="s">
        <v>2729</v>
      </c>
      <c r="C2142" s="545">
        <v>2.833333333333333</v>
      </c>
      <c r="D2142" s="545">
        <v>1.6666666666666665</v>
      </c>
      <c r="E2142" s="545">
        <v>0.66666666666666663</v>
      </c>
      <c r="F2142" s="545">
        <v>2.3571428571428568</v>
      </c>
      <c r="G2142" s="545">
        <v>1.65</v>
      </c>
      <c r="H2142" s="545">
        <v>1</v>
      </c>
      <c r="I2142" s="545">
        <v>0.66666666666666663</v>
      </c>
      <c r="J2142" s="545">
        <v>1.4166666666666665</v>
      </c>
    </row>
    <row r="2143" spans="1:10">
      <c r="A2143" s="441">
        <v>1789</v>
      </c>
      <c r="B2143" s="441" t="s">
        <v>2730</v>
      </c>
      <c r="C2143" s="545">
        <v>2.5</v>
      </c>
      <c r="D2143" s="545">
        <v>1</v>
      </c>
      <c r="E2143" s="545">
        <v>0</v>
      </c>
      <c r="F2143" s="545">
        <v>1.9285714285714286</v>
      </c>
      <c r="G2143" s="545">
        <v>1.65</v>
      </c>
      <c r="H2143" s="545">
        <v>2.6666666666666665</v>
      </c>
      <c r="I2143" s="545">
        <v>0.66666666666666663</v>
      </c>
      <c r="J2143" s="545">
        <v>1.6547619047619047</v>
      </c>
    </row>
    <row r="2144" spans="1:10">
      <c r="A2144" s="441">
        <v>1791</v>
      </c>
      <c r="B2144" s="441" t="s">
        <v>2731</v>
      </c>
      <c r="C2144" s="545">
        <v>2</v>
      </c>
      <c r="D2144" s="545">
        <v>1.3333333333333333</v>
      </c>
      <c r="E2144" s="545">
        <v>0</v>
      </c>
      <c r="F2144" s="545">
        <v>1.6190476190476191</v>
      </c>
      <c r="G2144" s="545">
        <v>1.95</v>
      </c>
      <c r="H2144" s="545">
        <v>3.3333333333333335</v>
      </c>
      <c r="I2144" s="545">
        <v>1.6666666666666667</v>
      </c>
      <c r="J2144" s="545">
        <v>2.1071428571428572</v>
      </c>
    </row>
    <row r="2145" spans="1:10">
      <c r="A2145" s="441">
        <v>1788</v>
      </c>
      <c r="B2145" s="441" t="s">
        <v>2732</v>
      </c>
      <c r="C2145" s="545">
        <v>1</v>
      </c>
      <c r="D2145" s="545">
        <v>0</v>
      </c>
      <c r="E2145" s="545">
        <v>0</v>
      </c>
      <c r="F2145" s="545">
        <v>0.7142857142857143</v>
      </c>
      <c r="G2145" s="545">
        <v>3.6</v>
      </c>
      <c r="H2145" s="545">
        <v>1.3333333333333333</v>
      </c>
      <c r="I2145" s="545">
        <v>0</v>
      </c>
      <c r="J2145" s="545">
        <v>2.7619047619047619</v>
      </c>
    </row>
    <row r="2146" spans="1:10">
      <c r="A2146" s="441">
        <v>29</v>
      </c>
      <c r="B2146" s="441" t="s">
        <v>2733</v>
      </c>
      <c r="C2146" s="545">
        <v>1.3333333333333335</v>
      </c>
      <c r="D2146" s="545">
        <v>0.66666666666666663</v>
      </c>
      <c r="E2146" s="545">
        <v>0.33333333333333331</v>
      </c>
      <c r="F2146" s="545">
        <v>1.0952380952380953</v>
      </c>
      <c r="G2146" s="545">
        <v>0.7</v>
      </c>
      <c r="H2146" s="545">
        <v>0</v>
      </c>
      <c r="I2146" s="545">
        <v>0</v>
      </c>
      <c r="J2146" s="545">
        <v>0.5</v>
      </c>
    </row>
    <row r="2147" spans="1:10">
      <c r="A2147" s="441">
        <v>30</v>
      </c>
      <c r="B2147" s="441" t="s">
        <v>2733</v>
      </c>
      <c r="C2147" s="545">
        <v>0.16666666666666666</v>
      </c>
      <c r="D2147" s="545">
        <v>0</v>
      </c>
      <c r="E2147" s="545">
        <v>0</v>
      </c>
      <c r="F2147" s="545">
        <v>0.11904761904761904</v>
      </c>
      <c r="G2147" s="545">
        <v>0.25</v>
      </c>
      <c r="H2147" s="545">
        <v>0.33333333333333331</v>
      </c>
      <c r="I2147" s="545">
        <v>0</v>
      </c>
      <c r="J2147" s="545">
        <v>0.22619047619047619</v>
      </c>
    </row>
    <row r="2148" spans="1:10">
      <c r="A2148" s="441">
        <v>31</v>
      </c>
      <c r="B2148" s="441" t="s">
        <v>2733</v>
      </c>
      <c r="C2148" s="545">
        <v>0.33333333333333331</v>
      </c>
      <c r="D2148" s="545">
        <v>0</v>
      </c>
      <c r="E2148" s="545">
        <v>0</v>
      </c>
      <c r="F2148" s="545">
        <v>0.23809523809523808</v>
      </c>
      <c r="G2148" s="545">
        <v>0.15</v>
      </c>
      <c r="H2148" s="545">
        <v>0</v>
      </c>
      <c r="I2148" s="545">
        <v>0</v>
      </c>
      <c r="J2148" s="545">
        <v>0.10714285714285714</v>
      </c>
    </row>
    <row r="2149" spans="1:10">
      <c r="A2149" s="441">
        <v>7387</v>
      </c>
      <c r="B2149" s="441" t="s">
        <v>2733</v>
      </c>
      <c r="C2149" s="545">
        <v>1.5</v>
      </c>
      <c r="D2149" s="545">
        <v>1</v>
      </c>
      <c r="E2149" s="545">
        <v>1.3333333333333333</v>
      </c>
      <c r="F2149" s="545">
        <v>1.4047619047619049</v>
      </c>
      <c r="G2149" s="545">
        <v>0.2</v>
      </c>
      <c r="H2149" s="545">
        <v>0.33333333333333331</v>
      </c>
      <c r="I2149" s="545">
        <v>1</v>
      </c>
      <c r="J2149" s="545">
        <v>0.33333333333333331</v>
      </c>
    </row>
    <row r="2150" spans="1:10">
      <c r="A2150" s="441">
        <v>7394</v>
      </c>
      <c r="B2150" s="441" t="s">
        <v>2734</v>
      </c>
      <c r="C2150" s="545">
        <v>2.3333333333333335</v>
      </c>
      <c r="D2150" s="545">
        <v>0.33333333333333331</v>
      </c>
      <c r="E2150" s="545">
        <v>0</v>
      </c>
      <c r="F2150" s="545">
        <v>1.7142857142857146</v>
      </c>
      <c r="G2150" s="545">
        <v>1.75</v>
      </c>
      <c r="H2150" s="545">
        <v>0</v>
      </c>
      <c r="I2150" s="545">
        <v>0</v>
      </c>
      <c r="J2150" s="545">
        <v>1.25</v>
      </c>
    </row>
    <row r="2151" spans="1:10">
      <c r="A2151" s="441">
        <v>27</v>
      </c>
      <c r="B2151" s="441" t="s">
        <v>2735</v>
      </c>
      <c r="C2151" s="545">
        <v>2.3333333333333335</v>
      </c>
      <c r="D2151" s="545">
        <v>3</v>
      </c>
      <c r="E2151" s="545">
        <v>1.3333333333333333</v>
      </c>
      <c r="F2151" s="545">
        <v>2.2857142857142856</v>
      </c>
      <c r="G2151" s="545">
        <v>0.75</v>
      </c>
      <c r="H2151" s="545">
        <v>1</v>
      </c>
      <c r="I2151" s="545">
        <v>0.33333333333333331</v>
      </c>
      <c r="J2151" s="545">
        <v>0.72619047619047616</v>
      </c>
    </row>
    <row r="2152" spans="1:10">
      <c r="A2152" s="441">
        <v>7389</v>
      </c>
      <c r="B2152" s="441" t="s">
        <v>2735</v>
      </c>
      <c r="C2152" s="545">
        <v>1.5</v>
      </c>
      <c r="D2152" s="545">
        <v>1</v>
      </c>
      <c r="E2152" s="545">
        <v>0</v>
      </c>
      <c r="F2152" s="545">
        <v>1.2142857142857142</v>
      </c>
      <c r="G2152" s="545">
        <v>0.55000000000000004</v>
      </c>
      <c r="H2152" s="545">
        <v>0.33333333333333331</v>
      </c>
      <c r="I2152" s="545">
        <v>0.33333333333333331</v>
      </c>
      <c r="J2152" s="545">
        <v>0.48809523809523814</v>
      </c>
    </row>
    <row r="2153" spans="1:10">
      <c r="A2153" s="441">
        <v>7385</v>
      </c>
      <c r="B2153" s="441" t="s">
        <v>2736</v>
      </c>
      <c r="C2153" s="545">
        <v>0</v>
      </c>
      <c r="D2153" s="545">
        <v>0.33333333333333331</v>
      </c>
      <c r="E2153" s="545">
        <v>0</v>
      </c>
      <c r="F2153" s="545">
        <v>4.7619047619047616E-2</v>
      </c>
      <c r="G2153" s="545">
        <v>0.1</v>
      </c>
      <c r="H2153" s="545">
        <v>0</v>
      </c>
      <c r="I2153" s="545">
        <v>0</v>
      </c>
      <c r="J2153" s="545">
        <v>7.1428571428571425E-2</v>
      </c>
    </row>
    <row r="2154" spans="1:10">
      <c r="A2154" s="441">
        <v>7386</v>
      </c>
      <c r="B2154" s="441" t="s">
        <v>2736</v>
      </c>
      <c r="C2154" s="545">
        <v>1.1666666666666667</v>
      </c>
      <c r="D2154" s="545">
        <v>0</v>
      </c>
      <c r="E2154" s="545">
        <v>0</v>
      </c>
      <c r="F2154" s="545">
        <v>0.83333333333333337</v>
      </c>
      <c r="G2154" s="545">
        <v>0.15</v>
      </c>
      <c r="H2154" s="545">
        <v>0</v>
      </c>
      <c r="I2154" s="545">
        <v>0.33333333333333331</v>
      </c>
      <c r="J2154" s="545">
        <v>0.15476190476190474</v>
      </c>
    </row>
    <row r="2155" spans="1:10">
      <c r="A2155" s="441">
        <v>23</v>
      </c>
      <c r="B2155" s="441" t="s">
        <v>2737</v>
      </c>
      <c r="C2155" s="545">
        <v>0.16666666666666666</v>
      </c>
      <c r="D2155" s="545">
        <v>0</v>
      </c>
      <c r="E2155" s="545">
        <v>0</v>
      </c>
      <c r="F2155" s="545">
        <v>0.11904761904761904</v>
      </c>
      <c r="G2155" s="545">
        <v>0</v>
      </c>
      <c r="H2155" s="545">
        <v>0</v>
      </c>
      <c r="I2155" s="545">
        <v>0</v>
      </c>
      <c r="J2155" s="545">
        <v>0</v>
      </c>
    </row>
    <row r="2156" spans="1:10">
      <c r="A2156" s="441">
        <v>24</v>
      </c>
      <c r="B2156" s="441" t="s">
        <v>2737</v>
      </c>
      <c r="C2156" s="545">
        <v>0.33333333333333331</v>
      </c>
      <c r="D2156" s="545">
        <v>0</v>
      </c>
      <c r="E2156" s="545">
        <v>0.33333333333333331</v>
      </c>
      <c r="F2156" s="545">
        <v>0.2857142857142857</v>
      </c>
      <c r="G2156" s="545">
        <v>0.65</v>
      </c>
      <c r="H2156" s="545">
        <v>0.66666666666666663</v>
      </c>
      <c r="I2156" s="545">
        <v>1</v>
      </c>
      <c r="J2156" s="545">
        <v>0.70238095238095233</v>
      </c>
    </row>
    <row r="2157" spans="1:10">
      <c r="A2157" s="441">
        <v>7393</v>
      </c>
      <c r="B2157" s="441" t="s">
        <v>2737</v>
      </c>
      <c r="C2157" s="545">
        <v>0</v>
      </c>
      <c r="D2157" s="545">
        <v>0</v>
      </c>
      <c r="E2157" s="545">
        <v>0</v>
      </c>
      <c r="F2157" s="545">
        <v>0</v>
      </c>
      <c r="G2157" s="545">
        <v>0.05</v>
      </c>
      <c r="H2157" s="545">
        <v>0</v>
      </c>
      <c r="I2157" s="545">
        <v>0</v>
      </c>
      <c r="J2157" s="545">
        <v>3.5714285714285712E-2</v>
      </c>
    </row>
    <row r="2158" spans="1:10">
      <c r="A2158" s="441">
        <v>25</v>
      </c>
      <c r="B2158" s="441" t="s">
        <v>2738</v>
      </c>
      <c r="C2158" s="545">
        <v>1.1666666666666667</v>
      </c>
      <c r="D2158" s="545">
        <v>0.66666666666666663</v>
      </c>
      <c r="E2158" s="545">
        <v>0</v>
      </c>
      <c r="F2158" s="545">
        <v>0.92857142857142871</v>
      </c>
      <c r="G2158" s="545">
        <v>2.7</v>
      </c>
      <c r="H2158" s="545">
        <v>0.33333333333333331</v>
      </c>
      <c r="I2158" s="545">
        <v>0.66666666666666663</v>
      </c>
      <c r="J2158" s="545">
        <v>2.0714285714285716</v>
      </c>
    </row>
    <row r="2159" spans="1:10">
      <c r="A2159" s="441">
        <v>7391</v>
      </c>
      <c r="B2159" s="441" t="s">
        <v>2738</v>
      </c>
      <c r="C2159" s="545">
        <v>0.5</v>
      </c>
      <c r="D2159" s="545">
        <v>0</v>
      </c>
      <c r="E2159" s="545">
        <v>0</v>
      </c>
      <c r="F2159" s="545">
        <v>0.35714285714285715</v>
      </c>
      <c r="G2159" s="545">
        <v>3.2</v>
      </c>
      <c r="H2159" s="545">
        <v>0.33333333333333331</v>
      </c>
      <c r="I2159" s="545">
        <v>1</v>
      </c>
      <c r="J2159" s="545">
        <v>2.4761904761904758</v>
      </c>
    </row>
    <row r="2160" spans="1:10">
      <c r="A2160" s="441">
        <v>7392</v>
      </c>
      <c r="B2160" s="441" t="s">
        <v>2738</v>
      </c>
      <c r="C2160" s="545">
        <v>0</v>
      </c>
      <c r="D2160" s="545">
        <v>0</v>
      </c>
      <c r="E2160" s="545">
        <v>0</v>
      </c>
      <c r="F2160" s="545">
        <v>0</v>
      </c>
      <c r="G2160" s="545">
        <v>2.15</v>
      </c>
      <c r="H2160" s="545">
        <v>0.33333333333333331</v>
      </c>
      <c r="I2160" s="545">
        <v>0.66666666666666663</v>
      </c>
      <c r="J2160" s="545">
        <v>1.6785714285714286</v>
      </c>
    </row>
    <row r="2161" spans="1:10">
      <c r="A2161" s="441">
        <v>28</v>
      </c>
      <c r="B2161" s="441" t="s">
        <v>2739</v>
      </c>
      <c r="C2161" s="545">
        <v>2.1666666666666665</v>
      </c>
      <c r="D2161" s="545">
        <v>0.33333333333333331</v>
      </c>
      <c r="E2161" s="545">
        <v>0.33333333333333331</v>
      </c>
      <c r="F2161" s="545">
        <v>1.6428571428571428</v>
      </c>
      <c r="G2161" s="545">
        <v>0.1</v>
      </c>
      <c r="H2161" s="545">
        <v>0</v>
      </c>
      <c r="I2161" s="545">
        <v>0.66666666666666663</v>
      </c>
      <c r="J2161" s="545">
        <v>0.16666666666666666</v>
      </c>
    </row>
    <row r="2162" spans="1:10">
      <c r="A2162" s="441">
        <v>7388</v>
      </c>
      <c r="B2162" s="441" t="s">
        <v>2739</v>
      </c>
      <c r="C2162" s="545">
        <v>1.3333333333333335</v>
      </c>
      <c r="D2162" s="545">
        <v>1</v>
      </c>
      <c r="E2162" s="545">
        <v>2</v>
      </c>
      <c r="F2162" s="545">
        <v>1.3809523809523812</v>
      </c>
      <c r="G2162" s="545">
        <v>0.35</v>
      </c>
      <c r="H2162" s="545">
        <v>0</v>
      </c>
      <c r="I2162" s="545">
        <v>0</v>
      </c>
      <c r="J2162" s="545">
        <v>0.25</v>
      </c>
    </row>
    <row r="2163" spans="1:10">
      <c r="A2163" s="441">
        <v>32</v>
      </c>
      <c r="B2163" s="441" t="s">
        <v>2740</v>
      </c>
      <c r="C2163" s="545">
        <v>1.3333333333333333</v>
      </c>
      <c r="D2163" s="545">
        <v>1</v>
      </c>
      <c r="E2163" s="545">
        <v>0</v>
      </c>
      <c r="F2163" s="545">
        <v>1.0952380952380951</v>
      </c>
      <c r="G2163" s="545">
        <v>0.6</v>
      </c>
      <c r="H2163" s="545">
        <v>0.33333333333333331</v>
      </c>
      <c r="I2163" s="545">
        <v>0.33333333333333331</v>
      </c>
      <c r="J2163" s="545">
        <v>0.52380952380952384</v>
      </c>
    </row>
    <row r="2164" spans="1:10">
      <c r="A2164" s="441">
        <v>10698</v>
      </c>
      <c r="B2164" s="441" t="s">
        <v>2740</v>
      </c>
      <c r="C2164" s="545">
        <v>0.33333333333333331</v>
      </c>
      <c r="D2164" s="545">
        <v>0.66666666666666663</v>
      </c>
      <c r="E2164" s="545">
        <v>0</v>
      </c>
      <c r="F2164" s="545">
        <v>0.33333333333333331</v>
      </c>
      <c r="G2164" s="545">
        <v>0.95</v>
      </c>
      <c r="H2164" s="545">
        <v>2.3333333333333335</v>
      </c>
      <c r="I2164" s="545">
        <v>0.66666666666666663</v>
      </c>
      <c r="J2164" s="545">
        <v>1.1071428571428572</v>
      </c>
    </row>
    <row r="2165" spans="1:10">
      <c r="A2165" s="441">
        <v>26</v>
      </c>
      <c r="B2165" s="441" t="s">
        <v>2741</v>
      </c>
      <c r="C2165" s="545">
        <v>0.16666666666666666</v>
      </c>
      <c r="D2165" s="545">
        <v>0</v>
      </c>
      <c r="E2165" s="545">
        <v>0.33333333333333331</v>
      </c>
      <c r="F2165" s="545">
        <v>0.16666666666666666</v>
      </c>
      <c r="G2165" s="545">
        <v>0.7</v>
      </c>
      <c r="H2165" s="545">
        <v>1</v>
      </c>
      <c r="I2165" s="545">
        <v>0.33333333333333331</v>
      </c>
      <c r="J2165" s="545">
        <v>0.69047619047619047</v>
      </c>
    </row>
    <row r="2166" spans="1:10">
      <c r="A2166" s="441">
        <v>7390</v>
      </c>
      <c r="B2166" s="441" t="s">
        <v>2741</v>
      </c>
      <c r="C2166" s="545">
        <v>0.83333333333333326</v>
      </c>
      <c r="D2166" s="545">
        <v>0.66666666666666663</v>
      </c>
      <c r="E2166" s="545">
        <v>0.33333333333333331</v>
      </c>
      <c r="F2166" s="545">
        <v>0.73809523809523803</v>
      </c>
      <c r="G2166" s="545">
        <v>0.35</v>
      </c>
      <c r="H2166" s="545">
        <v>0.66666666666666663</v>
      </c>
      <c r="I2166" s="545">
        <v>0</v>
      </c>
      <c r="J2166" s="545">
        <v>0.34523809523809523</v>
      </c>
    </row>
    <row r="2167" spans="1:10">
      <c r="A2167" s="441">
        <v>162</v>
      </c>
      <c r="B2167" s="441" t="s">
        <v>2742</v>
      </c>
      <c r="C2167" s="545">
        <v>186.5</v>
      </c>
      <c r="D2167" s="545">
        <v>53</v>
      </c>
      <c r="E2167" s="545">
        <v>98.333333333333343</v>
      </c>
      <c r="F2167" s="545">
        <v>154.83333333333331</v>
      </c>
      <c r="G2167" s="545">
        <v>118.75</v>
      </c>
      <c r="H2167" s="545">
        <v>117</v>
      </c>
      <c r="I2167" s="545">
        <v>86</v>
      </c>
      <c r="J2167" s="545">
        <v>113.82142857142857</v>
      </c>
    </row>
    <row r="2168" spans="1:10">
      <c r="A2168" s="441">
        <v>11031</v>
      </c>
      <c r="B2168" s="441" t="s">
        <v>2743</v>
      </c>
      <c r="C2168" s="545">
        <v>5092.333333333333</v>
      </c>
      <c r="D2168" s="545">
        <v>3687.3333333333335</v>
      </c>
      <c r="E2168" s="545">
        <v>3172</v>
      </c>
      <c r="F2168" s="545">
        <v>4617.2857142857138</v>
      </c>
      <c r="G2168" s="545">
        <v>3055.45</v>
      </c>
      <c r="H2168" s="545">
        <v>2573.3333333333335</v>
      </c>
      <c r="I2168" s="545">
        <v>2270.6666666666665</v>
      </c>
      <c r="J2168" s="545">
        <v>2874.4642857142858</v>
      </c>
    </row>
    <row r="2169" spans="1:10">
      <c r="A2169" s="441">
        <v>6386</v>
      </c>
      <c r="B2169" s="441" t="s">
        <v>2744</v>
      </c>
      <c r="C2169" s="545">
        <v>9.5</v>
      </c>
      <c r="D2169" s="545">
        <v>12.333333333333332</v>
      </c>
      <c r="E2169" s="545">
        <v>4</v>
      </c>
      <c r="F2169" s="545">
        <v>9.1190476190476186</v>
      </c>
      <c r="G2169" s="545">
        <v>4.8499999999999996</v>
      </c>
      <c r="H2169" s="545">
        <v>1.6666666666666667</v>
      </c>
      <c r="I2169" s="545">
        <v>1</v>
      </c>
      <c r="J2169" s="545">
        <v>3.8452380952380953</v>
      </c>
    </row>
    <row r="2170" spans="1:10">
      <c r="A2170" s="441">
        <v>6387</v>
      </c>
      <c r="B2170" s="441" t="s">
        <v>2745</v>
      </c>
      <c r="C2170" s="545">
        <v>35.333333333333336</v>
      </c>
      <c r="D2170" s="545">
        <v>6</v>
      </c>
      <c r="E2170" s="545">
        <v>6</v>
      </c>
      <c r="F2170" s="545">
        <v>26.952380952380956</v>
      </c>
      <c r="G2170" s="545">
        <v>5.4</v>
      </c>
      <c r="H2170" s="545">
        <v>1.6666666666666667</v>
      </c>
      <c r="I2170" s="545">
        <v>2.6666666666666665</v>
      </c>
      <c r="J2170" s="545">
        <v>4.4761904761904763</v>
      </c>
    </row>
    <row r="2171" spans="1:10">
      <c r="A2171" s="441">
        <v>6331</v>
      </c>
      <c r="B2171" s="441" t="s">
        <v>2746</v>
      </c>
      <c r="C2171" s="545">
        <v>39.833333333333329</v>
      </c>
      <c r="D2171" s="545">
        <v>29</v>
      </c>
      <c r="E2171" s="545">
        <v>32.666666666666664</v>
      </c>
      <c r="F2171" s="545">
        <v>37.261904761904759</v>
      </c>
      <c r="G2171" s="545">
        <v>18.600000000000001</v>
      </c>
      <c r="H2171" s="545">
        <v>11.666666666666666</v>
      </c>
      <c r="I2171" s="545">
        <v>11.666666666666666</v>
      </c>
      <c r="J2171" s="545">
        <v>16.61904761904762</v>
      </c>
    </row>
    <row r="2172" spans="1:10">
      <c r="A2172" s="441">
        <v>6332</v>
      </c>
      <c r="B2172" s="441" t="s">
        <v>2747</v>
      </c>
      <c r="C2172" s="545">
        <v>38</v>
      </c>
      <c r="D2172" s="545">
        <v>35.333333333333336</v>
      </c>
      <c r="E2172" s="545">
        <v>34.333333333333329</v>
      </c>
      <c r="F2172" s="545">
        <v>37.095238095238095</v>
      </c>
      <c r="G2172" s="545">
        <v>24.85</v>
      </c>
      <c r="H2172" s="545">
        <v>14.666666666666666</v>
      </c>
      <c r="I2172" s="545">
        <v>15.666666666666666</v>
      </c>
      <c r="J2172" s="545">
        <v>22.083333333333332</v>
      </c>
    </row>
    <row r="2173" spans="1:10">
      <c r="A2173" s="441">
        <v>6560</v>
      </c>
      <c r="B2173" s="441" t="s">
        <v>2748</v>
      </c>
      <c r="C2173" s="545">
        <v>10</v>
      </c>
      <c r="D2173" s="545">
        <v>10.666666666666668</v>
      </c>
      <c r="E2173" s="545">
        <v>9.3333333333333339</v>
      </c>
      <c r="F2173" s="545">
        <v>10</v>
      </c>
      <c r="G2173" s="545">
        <v>9.9499999999999993</v>
      </c>
      <c r="H2173" s="545">
        <v>9.6666666666666661</v>
      </c>
      <c r="I2173" s="545">
        <v>3</v>
      </c>
      <c r="J2173" s="545">
        <v>8.9166666666666661</v>
      </c>
    </row>
    <row r="2174" spans="1:10">
      <c r="A2174" s="441">
        <v>6564</v>
      </c>
      <c r="B2174" s="441" t="s">
        <v>2749</v>
      </c>
      <c r="C2174" s="545">
        <v>8.1666666666666679</v>
      </c>
      <c r="D2174" s="545">
        <v>4.666666666666667</v>
      </c>
      <c r="E2174" s="545">
        <v>2.3333333333333335</v>
      </c>
      <c r="F2174" s="545">
        <v>6.8333333333333348</v>
      </c>
      <c r="G2174" s="545">
        <v>12.4</v>
      </c>
      <c r="H2174" s="545">
        <v>8.6666666666666661</v>
      </c>
      <c r="I2174" s="545">
        <v>5</v>
      </c>
      <c r="J2174" s="545">
        <v>10.80952380952381</v>
      </c>
    </row>
    <row r="2175" spans="1:10">
      <c r="A2175" s="441">
        <v>6559</v>
      </c>
      <c r="B2175" s="441" t="s">
        <v>2750</v>
      </c>
      <c r="C2175" s="545">
        <v>24</v>
      </c>
      <c r="D2175" s="545">
        <v>19.666666666666664</v>
      </c>
      <c r="E2175" s="545">
        <v>16.666666666666668</v>
      </c>
      <c r="F2175" s="545">
        <v>22.333333333333332</v>
      </c>
      <c r="G2175" s="545">
        <v>15.2</v>
      </c>
      <c r="H2175" s="545">
        <v>13</v>
      </c>
      <c r="I2175" s="545">
        <v>8</v>
      </c>
      <c r="J2175" s="545">
        <v>13.857142857142858</v>
      </c>
    </row>
    <row r="2176" spans="1:10">
      <c r="A2176" s="441">
        <v>6565</v>
      </c>
      <c r="B2176" s="441" t="s">
        <v>2751</v>
      </c>
      <c r="C2176" s="545">
        <v>15</v>
      </c>
      <c r="D2176" s="545">
        <v>10</v>
      </c>
      <c r="E2176" s="545">
        <v>6</v>
      </c>
      <c r="F2176" s="545">
        <v>13</v>
      </c>
      <c r="G2176" s="545">
        <v>1.05</v>
      </c>
      <c r="H2176" s="545">
        <v>20.666666666666668</v>
      </c>
      <c r="I2176" s="545">
        <v>2</v>
      </c>
      <c r="J2176" s="545">
        <v>3.9880952380952381</v>
      </c>
    </row>
    <row r="2177" spans="1:10">
      <c r="A2177" s="441">
        <v>6558</v>
      </c>
      <c r="B2177" s="441" t="s">
        <v>2752</v>
      </c>
      <c r="C2177" s="545">
        <v>28.833333333333336</v>
      </c>
      <c r="D2177" s="545">
        <v>23.666666666666664</v>
      </c>
      <c r="E2177" s="545">
        <v>19</v>
      </c>
      <c r="F2177" s="545">
        <v>26.690476190476193</v>
      </c>
      <c r="G2177" s="545">
        <v>16.95</v>
      </c>
      <c r="H2177" s="545">
        <v>16.666666666666668</v>
      </c>
      <c r="I2177" s="545">
        <v>10.666666666666666</v>
      </c>
      <c r="J2177" s="545">
        <v>16.011904761904763</v>
      </c>
    </row>
    <row r="2178" spans="1:10">
      <c r="A2178" s="441">
        <v>6563</v>
      </c>
      <c r="B2178" s="441" t="s">
        <v>2753</v>
      </c>
      <c r="C2178" s="545">
        <v>20.5</v>
      </c>
      <c r="D2178" s="545">
        <v>8.3333333333333339</v>
      </c>
      <c r="E2178" s="545">
        <v>7.666666666666667</v>
      </c>
      <c r="F2178" s="545">
        <v>16.928571428571427</v>
      </c>
      <c r="G2178" s="545">
        <v>5.85</v>
      </c>
      <c r="H2178" s="545">
        <v>6.333333333333333</v>
      </c>
      <c r="I2178" s="545">
        <v>1.6666666666666667</v>
      </c>
      <c r="J2178" s="545">
        <v>5.3214285714285712</v>
      </c>
    </row>
    <row r="2179" spans="1:10">
      <c r="A2179" s="441">
        <v>6561</v>
      </c>
      <c r="B2179" s="441" t="s">
        <v>2754</v>
      </c>
      <c r="C2179" s="545">
        <v>14.166666666666668</v>
      </c>
      <c r="D2179" s="545">
        <v>9.6666666666666661</v>
      </c>
      <c r="E2179" s="545">
        <v>6</v>
      </c>
      <c r="F2179" s="545">
        <v>12.357142857142859</v>
      </c>
      <c r="G2179" s="545">
        <v>73.150000000000006</v>
      </c>
      <c r="H2179" s="545">
        <v>51</v>
      </c>
      <c r="I2179" s="545">
        <v>38.666666666666664</v>
      </c>
      <c r="J2179" s="545">
        <v>65.05952380952381</v>
      </c>
    </row>
    <row r="2180" spans="1:10">
      <c r="A2180" s="441">
        <v>6562</v>
      </c>
      <c r="B2180" s="441" t="s">
        <v>2755</v>
      </c>
      <c r="C2180" s="545">
        <v>93.333333333333343</v>
      </c>
      <c r="D2180" s="545">
        <v>75.666666666666657</v>
      </c>
      <c r="E2180" s="545">
        <v>80</v>
      </c>
      <c r="F2180" s="545">
        <v>88.904761904761912</v>
      </c>
      <c r="G2180" s="545">
        <v>14.25</v>
      </c>
      <c r="H2180" s="545">
        <v>14.666666666666666</v>
      </c>
      <c r="I2180" s="545">
        <v>13.666666666666666</v>
      </c>
      <c r="J2180" s="545">
        <v>14.226190476190478</v>
      </c>
    </row>
    <row r="2181" spans="1:10">
      <c r="A2181" s="441">
        <v>5516</v>
      </c>
      <c r="B2181" s="441" t="s">
        <v>2756</v>
      </c>
      <c r="C2181" s="545">
        <v>1.5</v>
      </c>
      <c r="D2181" s="545">
        <v>1.6666666666666667</v>
      </c>
      <c r="E2181" s="545">
        <v>1.6666666666666665</v>
      </c>
      <c r="F2181" s="545">
        <v>1.5476190476190474</v>
      </c>
      <c r="G2181" s="545">
        <v>1.3</v>
      </c>
      <c r="H2181" s="545">
        <v>1</v>
      </c>
      <c r="I2181" s="545">
        <v>0</v>
      </c>
      <c r="J2181" s="545">
        <v>1.0714285714285714</v>
      </c>
    </row>
    <row r="2182" spans="1:10">
      <c r="A2182" s="441">
        <v>6102</v>
      </c>
      <c r="B2182" s="441" t="s">
        <v>2756</v>
      </c>
      <c r="C2182" s="545">
        <v>1.3333333333333335</v>
      </c>
      <c r="D2182" s="545">
        <v>2.6666666666666665</v>
      </c>
      <c r="E2182" s="545">
        <v>1.3333333333333333</v>
      </c>
      <c r="F2182" s="545">
        <v>1.5238095238095239</v>
      </c>
      <c r="G2182" s="545">
        <v>2.5499999999999998</v>
      </c>
      <c r="H2182" s="545">
        <v>0.66666666666666663</v>
      </c>
      <c r="I2182" s="545">
        <v>1.6666666666666667</v>
      </c>
      <c r="J2182" s="545">
        <v>2.1547619047619047</v>
      </c>
    </row>
    <row r="2183" spans="1:10">
      <c r="A2183" s="441">
        <v>5514</v>
      </c>
      <c r="B2183" s="441" t="s">
        <v>2757</v>
      </c>
      <c r="C2183" s="545">
        <v>1.6666666666666667</v>
      </c>
      <c r="D2183" s="545">
        <v>0.66666666666666663</v>
      </c>
      <c r="E2183" s="545">
        <v>2</v>
      </c>
      <c r="F2183" s="545">
        <v>1.5714285714285714</v>
      </c>
      <c r="G2183" s="545">
        <v>1.4</v>
      </c>
      <c r="H2183" s="545">
        <v>0.33333333333333331</v>
      </c>
      <c r="I2183" s="545">
        <v>0</v>
      </c>
      <c r="J2183" s="545">
        <v>1.0476190476190477</v>
      </c>
    </row>
    <row r="2184" spans="1:10">
      <c r="A2184" s="441">
        <v>6104</v>
      </c>
      <c r="B2184" s="441" t="s">
        <v>2757</v>
      </c>
      <c r="C2184" s="545">
        <v>3</v>
      </c>
      <c r="D2184" s="545">
        <v>2.3333333333333335</v>
      </c>
      <c r="E2184" s="545">
        <v>1.3333333333333333</v>
      </c>
      <c r="F2184" s="545">
        <v>2.6666666666666665</v>
      </c>
      <c r="G2184" s="545">
        <v>1.35</v>
      </c>
      <c r="H2184" s="545">
        <v>1</v>
      </c>
      <c r="I2184" s="545">
        <v>1</v>
      </c>
      <c r="J2184" s="545">
        <v>1.25</v>
      </c>
    </row>
    <row r="2185" spans="1:10">
      <c r="A2185" s="441">
        <v>5518</v>
      </c>
      <c r="B2185" s="441" t="s">
        <v>2758</v>
      </c>
      <c r="C2185" s="545">
        <v>20</v>
      </c>
      <c r="D2185" s="545">
        <v>6.666666666666667</v>
      </c>
      <c r="E2185" s="545">
        <v>4.666666666666667</v>
      </c>
      <c r="F2185" s="545">
        <v>15.904761904761907</v>
      </c>
      <c r="G2185" s="545">
        <v>8.65</v>
      </c>
      <c r="H2185" s="545">
        <v>6.333333333333333</v>
      </c>
      <c r="I2185" s="545">
        <v>5.666666666666667</v>
      </c>
      <c r="J2185" s="545">
        <v>7.8928571428571432</v>
      </c>
    </row>
    <row r="2186" spans="1:10">
      <c r="A2186" s="441">
        <v>5490</v>
      </c>
      <c r="B2186" s="441" t="s">
        <v>2759</v>
      </c>
      <c r="C2186" s="545">
        <v>1.1666666666666667</v>
      </c>
      <c r="D2186" s="545">
        <v>0.66666666666666663</v>
      </c>
      <c r="E2186" s="545">
        <v>0</v>
      </c>
      <c r="F2186" s="545">
        <v>0.92857142857142871</v>
      </c>
      <c r="G2186" s="545">
        <v>1.35</v>
      </c>
      <c r="H2186" s="545">
        <v>2</v>
      </c>
      <c r="I2186" s="545">
        <v>2.3333333333333335</v>
      </c>
      <c r="J2186" s="545">
        <v>1.5833333333333335</v>
      </c>
    </row>
    <row r="2187" spans="1:10">
      <c r="A2187" s="441">
        <v>5512</v>
      </c>
      <c r="B2187" s="441" t="s">
        <v>2760</v>
      </c>
      <c r="C2187" s="545">
        <v>3.833333333333333</v>
      </c>
      <c r="D2187" s="545">
        <v>1.6666666666666665</v>
      </c>
      <c r="E2187" s="545">
        <v>3</v>
      </c>
      <c r="F2187" s="545">
        <v>3.4047619047619047</v>
      </c>
      <c r="G2187" s="545">
        <v>1.8</v>
      </c>
      <c r="H2187" s="545">
        <v>3</v>
      </c>
      <c r="I2187" s="545">
        <v>4.666666666666667</v>
      </c>
      <c r="J2187" s="545">
        <v>2.3809523809523809</v>
      </c>
    </row>
    <row r="2188" spans="1:10">
      <c r="A2188" s="441">
        <v>6106</v>
      </c>
      <c r="B2188" s="441" t="s">
        <v>2760</v>
      </c>
      <c r="C2188" s="545">
        <v>3.8333333333333335</v>
      </c>
      <c r="D2188" s="545">
        <v>0.33333333333333331</v>
      </c>
      <c r="E2188" s="545">
        <v>1</v>
      </c>
      <c r="F2188" s="545">
        <v>2.9285714285714284</v>
      </c>
      <c r="G2188" s="545">
        <v>1.1000000000000001</v>
      </c>
      <c r="H2188" s="545">
        <v>0.66666666666666663</v>
      </c>
      <c r="I2188" s="545">
        <v>1</v>
      </c>
      <c r="J2188" s="545">
        <v>1.0238095238095239</v>
      </c>
    </row>
    <row r="2189" spans="1:10">
      <c r="A2189" s="441">
        <v>5515</v>
      </c>
      <c r="B2189" s="441" t="s">
        <v>2761</v>
      </c>
      <c r="C2189" s="545">
        <v>3.666666666666667</v>
      </c>
      <c r="D2189" s="545">
        <v>0.33333333333333331</v>
      </c>
      <c r="E2189" s="545">
        <v>1</v>
      </c>
      <c r="F2189" s="545">
        <v>2.8095238095238098</v>
      </c>
      <c r="G2189" s="545">
        <v>2</v>
      </c>
      <c r="H2189" s="545">
        <v>0.33333333333333331</v>
      </c>
      <c r="I2189" s="545">
        <v>0</v>
      </c>
      <c r="J2189" s="545">
        <v>1.4761904761904763</v>
      </c>
    </row>
    <row r="2190" spans="1:10">
      <c r="A2190" s="441">
        <v>6103</v>
      </c>
      <c r="B2190" s="441" t="s">
        <v>2761</v>
      </c>
      <c r="C2190" s="545">
        <v>5.1666666666666661</v>
      </c>
      <c r="D2190" s="545">
        <v>1</v>
      </c>
      <c r="E2190" s="545">
        <v>0.66666666666666663</v>
      </c>
      <c r="F2190" s="545">
        <v>3.9285714285714279</v>
      </c>
      <c r="G2190" s="545">
        <v>2.2999999999999998</v>
      </c>
      <c r="H2190" s="545">
        <v>1.6666666666666667</v>
      </c>
      <c r="I2190" s="545">
        <v>0.33333333333333331</v>
      </c>
      <c r="J2190" s="545">
        <v>1.9285714285714286</v>
      </c>
    </row>
    <row r="2191" spans="1:10">
      <c r="A2191" s="441">
        <v>5513</v>
      </c>
      <c r="B2191" s="441" t="s">
        <v>2762</v>
      </c>
      <c r="C2191" s="545">
        <v>16.333333333333332</v>
      </c>
      <c r="D2191" s="545">
        <v>9</v>
      </c>
      <c r="E2191" s="545">
        <v>7</v>
      </c>
      <c r="F2191" s="545">
        <v>13.952380952380951</v>
      </c>
      <c r="G2191" s="545">
        <v>6.2</v>
      </c>
      <c r="H2191" s="545">
        <v>10.333333333333334</v>
      </c>
      <c r="I2191" s="545">
        <v>4</v>
      </c>
      <c r="J2191" s="545">
        <v>6.4761904761904763</v>
      </c>
    </row>
    <row r="2192" spans="1:10">
      <c r="A2192" s="441">
        <v>6105</v>
      </c>
      <c r="B2192" s="441" t="s">
        <v>2762</v>
      </c>
      <c r="C2192" s="545">
        <v>19.666666666666664</v>
      </c>
      <c r="D2192" s="545">
        <v>9.3333333333333339</v>
      </c>
      <c r="E2192" s="545">
        <v>9.3333333333333339</v>
      </c>
      <c r="F2192" s="545">
        <v>16.714285714285712</v>
      </c>
      <c r="G2192" s="545">
        <v>8.3000000000000007</v>
      </c>
      <c r="H2192" s="545">
        <v>6</v>
      </c>
      <c r="I2192" s="545">
        <v>2.3333333333333335</v>
      </c>
      <c r="J2192" s="545">
        <v>7.1190476190476195</v>
      </c>
    </row>
    <row r="2193" spans="1:10">
      <c r="A2193" s="441">
        <v>6064</v>
      </c>
      <c r="B2193" s="441" t="s">
        <v>2763</v>
      </c>
      <c r="C2193" s="545">
        <v>5.166666666666667</v>
      </c>
      <c r="D2193" s="545">
        <v>1.3333333333333333</v>
      </c>
      <c r="E2193" s="545">
        <v>1.3333333333333333</v>
      </c>
      <c r="F2193" s="545">
        <v>4.0714285714285712</v>
      </c>
      <c r="G2193" s="545">
        <v>3.05</v>
      </c>
      <c r="H2193" s="545">
        <v>0</v>
      </c>
      <c r="I2193" s="545">
        <v>0.33333333333333331</v>
      </c>
      <c r="J2193" s="545">
        <v>2.2261904761904763</v>
      </c>
    </row>
    <row r="2194" spans="1:10">
      <c r="A2194" s="441">
        <v>6074</v>
      </c>
      <c r="B2194" s="441" t="s">
        <v>2763</v>
      </c>
      <c r="C2194" s="545">
        <v>6.5</v>
      </c>
      <c r="D2194" s="545">
        <v>3</v>
      </c>
      <c r="E2194" s="545">
        <v>1</v>
      </c>
      <c r="F2194" s="545">
        <v>5.2142857142857144</v>
      </c>
      <c r="G2194" s="545">
        <v>3.65</v>
      </c>
      <c r="H2194" s="545">
        <v>1</v>
      </c>
      <c r="I2194" s="545">
        <v>2.3333333333333335</v>
      </c>
      <c r="J2194" s="545">
        <v>3.083333333333333</v>
      </c>
    </row>
    <row r="2195" spans="1:10">
      <c r="A2195" s="441">
        <v>6076</v>
      </c>
      <c r="B2195" s="441" t="s">
        <v>2764</v>
      </c>
      <c r="C2195" s="545">
        <v>3.833333333333333</v>
      </c>
      <c r="D2195" s="545">
        <v>1.6666666666666665</v>
      </c>
      <c r="E2195" s="545">
        <v>2</v>
      </c>
      <c r="F2195" s="545">
        <v>3.2619047619047619</v>
      </c>
      <c r="G2195" s="545">
        <v>1.85</v>
      </c>
      <c r="H2195" s="545">
        <v>0.33333333333333331</v>
      </c>
      <c r="I2195" s="545">
        <v>10.666666666666666</v>
      </c>
      <c r="J2195" s="545">
        <v>2.8928571428571428</v>
      </c>
    </row>
    <row r="2196" spans="1:10">
      <c r="A2196" s="441">
        <v>6062</v>
      </c>
      <c r="B2196" s="441" t="s">
        <v>2765</v>
      </c>
      <c r="C2196" s="545">
        <v>5.333333333333333</v>
      </c>
      <c r="D2196" s="545">
        <v>4</v>
      </c>
      <c r="E2196" s="545">
        <v>1</v>
      </c>
      <c r="F2196" s="545">
        <v>4.5238095238095237</v>
      </c>
      <c r="G2196" s="545">
        <v>0.3</v>
      </c>
      <c r="H2196" s="545">
        <v>0.33333333333333331</v>
      </c>
      <c r="I2196" s="545">
        <v>0</v>
      </c>
      <c r="J2196" s="545">
        <v>0.26190476190476192</v>
      </c>
    </row>
    <row r="2197" spans="1:10">
      <c r="A2197" s="441">
        <v>6065</v>
      </c>
      <c r="B2197" s="441" t="s">
        <v>2766</v>
      </c>
      <c r="C2197" s="545">
        <v>31.666666666666668</v>
      </c>
      <c r="D2197" s="545">
        <v>20.333333333333332</v>
      </c>
      <c r="E2197" s="545">
        <v>8.6666666666666661</v>
      </c>
      <c r="F2197" s="545">
        <v>26.761904761904763</v>
      </c>
      <c r="G2197" s="545">
        <v>18.7</v>
      </c>
      <c r="H2197" s="545">
        <v>12.666666666666666</v>
      </c>
      <c r="I2197" s="545">
        <v>11</v>
      </c>
      <c r="J2197" s="545">
        <v>16.738095238095237</v>
      </c>
    </row>
    <row r="2198" spans="1:10">
      <c r="A2198" s="441">
        <v>6063</v>
      </c>
      <c r="B2198" s="441" t="s">
        <v>2767</v>
      </c>
      <c r="C2198" s="545">
        <v>4.5</v>
      </c>
      <c r="D2198" s="545">
        <v>4.333333333333333</v>
      </c>
      <c r="E2198" s="545">
        <v>2.666666666666667</v>
      </c>
      <c r="F2198" s="545">
        <v>4.2142857142857144</v>
      </c>
      <c r="G2198" s="545">
        <v>2.0499999999999998</v>
      </c>
      <c r="H2198" s="545">
        <v>2</v>
      </c>
      <c r="I2198" s="545">
        <v>1</v>
      </c>
      <c r="J2198" s="545">
        <v>1.8928571428571428</v>
      </c>
    </row>
    <row r="2199" spans="1:10">
      <c r="A2199" s="441">
        <v>6075</v>
      </c>
      <c r="B2199" s="441" t="s">
        <v>2767</v>
      </c>
      <c r="C2199" s="545">
        <v>4.166666666666667</v>
      </c>
      <c r="D2199" s="545">
        <v>3.6666666666666665</v>
      </c>
      <c r="E2199" s="545">
        <v>2.6666666666666665</v>
      </c>
      <c r="F2199" s="545">
        <v>3.8809523809523818</v>
      </c>
      <c r="G2199" s="545">
        <v>3.3</v>
      </c>
      <c r="H2199" s="545">
        <v>0.66666666666666663</v>
      </c>
      <c r="I2199" s="545">
        <v>2.3333333333333335</v>
      </c>
      <c r="J2199" s="545">
        <v>2.7857142857142856</v>
      </c>
    </row>
    <row r="2200" spans="1:10">
      <c r="A2200" s="441">
        <v>6061</v>
      </c>
      <c r="B2200" s="441" t="s">
        <v>2768</v>
      </c>
      <c r="C2200" s="545">
        <v>2.666666666666667</v>
      </c>
      <c r="D2200" s="545">
        <v>3</v>
      </c>
      <c r="E2200" s="545">
        <v>1.3333333333333333</v>
      </c>
      <c r="F2200" s="545">
        <v>2.5238095238095242</v>
      </c>
      <c r="G2200" s="545">
        <v>1.3</v>
      </c>
      <c r="H2200" s="545">
        <v>0.33333333333333331</v>
      </c>
      <c r="I2200" s="545">
        <v>1.3333333333333333</v>
      </c>
      <c r="J2200" s="545">
        <v>1.1666666666666665</v>
      </c>
    </row>
    <row r="2201" spans="1:10">
      <c r="A2201" s="441">
        <v>1361</v>
      </c>
      <c r="B2201" s="441" t="s">
        <v>2769</v>
      </c>
      <c r="C2201" s="545">
        <v>0</v>
      </c>
      <c r="D2201" s="545">
        <v>0.33333333333333331</v>
      </c>
      <c r="E2201" s="545">
        <v>0</v>
      </c>
      <c r="F2201" s="545">
        <v>4.7619047619047616E-2</v>
      </c>
      <c r="G2201" s="545">
        <v>0</v>
      </c>
      <c r="H2201" s="545">
        <v>0.33333333333333331</v>
      </c>
      <c r="I2201" s="545">
        <v>0</v>
      </c>
      <c r="J2201" s="545">
        <v>4.7619047619047616E-2</v>
      </c>
    </row>
    <row r="2202" spans="1:10">
      <c r="A2202" s="441">
        <v>1362</v>
      </c>
      <c r="B2202" s="441" t="s">
        <v>2769</v>
      </c>
      <c r="C2202" s="545">
        <v>0</v>
      </c>
      <c r="D2202" s="545">
        <v>0.33333333333333331</v>
      </c>
      <c r="E2202" s="545">
        <v>0</v>
      </c>
      <c r="F2202" s="545">
        <v>4.7619047619047616E-2</v>
      </c>
      <c r="G2202" s="545">
        <v>0.55000000000000004</v>
      </c>
      <c r="H2202" s="545">
        <v>0</v>
      </c>
      <c r="I2202" s="545">
        <v>0.33333333333333331</v>
      </c>
      <c r="J2202" s="545">
        <v>0.44047619047619052</v>
      </c>
    </row>
    <row r="2203" spans="1:10">
      <c r="A2203" s="441">
        <v>1379</v>
      </c>
      <c r="B2203" s="441" t="s">
        <v>2769</v>
      </c>
      <c r="C2203" s="545">
        <v>0</v>
      </c>
      <c r="D2203" s="545">
        <v>0.33333333333333331</v>
      </c>
      <c r="E2203" s="545">
        <v>0</v>
      </c>
      <c r="F2203" s="545">
        <v>4.7619047619047616E-2</v>
      </c>
      <c r="G2203" s="545">
        <v>0</v>
      </c>
      <c r="H2203" s="545">
        <v>0</v>
      </c>
      <c r="I2203" s="545">
        <v>0</v>
      </c>
      <c r="J2203" s="545">
        <v>0</v>
      </c>
    </row>
    <row r="2204" spans="1:10">
      <c r="A2204" s="441">
        <v>1363</v>
      </c>
      <c r="B2204" s="441" t="s">
        <v>2770</v>
      </c>
      <c r="C2204" s="545">
        <v>0.33333333333333331</v>
      </c>
      <c r="D2204" s="545">
        <v>0</v>
      </c>
      <c r="E2204" s="545">
        <v>0</v>
      </c>
      <c r="F2204" s="545">
        <v>0.23809523809523808</v>
      </c>
      <c r="G2204" s="545">
        <v>0.25</v>
      </c>
      <c r="H2204" s="545">
        <v>0</v>
      </c>
      <c r="I2204" s="545">
        <v>0</v>
      </c>
      <c r="J2204" s="545">
        <v>0.17857142857142858</v>
      </c>
    </row>
    <row r="2205" spans="1:10">
      <c r="A2205" s="441">
        <v>1377</v>
      </c>
      <c r="B2205" s="441" t="s">
        <v>2770</v>
      </c>
      <c r="C2205" s="545">
        <v>0</v>
      </c>
      <c r="D2205" s="545">
        <v>0</v>
      </c>
      <c r="E2205" s="545">
        <v>0</v>
      </c>
      <c r="F2205" s="545">
        <v>0</v>
      </c>
      <c r="G2205" s="545">
        <v>1.85</v>
      </c>
      <c r="H2205" s="545">
        <v>1</v>
      </c>
      <c r="I2205" s="545">
        <v>1.6666666666666667</v>
      </c>
      <c r="J2205" s="545">
        <v>1.7023809523809523</v>
      </c>
    </row>
    <row r="2206" spans="1:10">
      <c r="A2206" s="441">
        <v>1356</v>
      </c>
      <c r="B2206" s="441" t="s">
        <v>2771</v>
      </c>
      <c r="C2206" s="545">
        <v>0.5</v>
      </c>
      <c r="D2206" s="545">
        <v>0</v>
      </c>
      <c r="E2206" s="545">
        <v>0</v>
      </c>
      <c r="F2206" s="545">
        <v>0.35714285714285715</v>
      </c>
      <c r="G2206" s="545">
        <v>1.05</v>
      </c>
      <c r="H2206" s="545">
        <v>0</v>
      </c>
      <c r="I2206" s="545">
        <v>0</v>
      </c>
      <c r="J2206" s="545">
        <v>0.75</v>
      </c>
    </row>
    <row r="2207" spans="1:10">
      <c r="A2207" s="441">
        <v>1384</v>
      </c>
      <c r="B2207" s="441" t="s">
        <v>2771</v>
      </c>
      <c r="C2207" s="545">
        <v>0.16666666666666666</v>
      </c>
      <c r="D2207" s="545">
        <v>0</v>
      </c>
      <c r="E2207" s="545">
        <v>0</v>
      </c>
      <c r="F2207" s="545">
        <v>0.11904761904761904</v>
      </c>
      <c r="G2207" s="545">
        <v>1.5</v>
      </c>
      <c r="H2207" s="545">
        <v>0</v>
      </c>
      <c r="I2207" s="545">
        <v>0</v>
      </c>
      <c r="J2207" s="545">
        <v>1.0714285714285714</v>
      </c>
    </row>
    <row r="2208" spans="1:10">
      <c r="A2208" s="441">
        <v>1357</v>
      </c>
      <c r="B2208" s="441" t="s">
        <v>2772</v>
      </c>
      <c r="C2208" s="545">
        <v>1.1666666666666667</v>
      </c>
      <c r="D2208" s="545">
        <v>0.33333333333333331</v>
      </c>
      <c r="E2208" s="545">
        <v>0</v>
      </c>
      <c r="F2208" s="545">
        <v>0.88095238095238104</v>
      </c>
      <c r="G2208" s="545">
        <v>0.85</v>
      </c>
      <c r="H2208" s="545">
        <v>1</v>
      </c>
      <c r="I2208" s="545">
        <v>0</v>
      </c>
      <c r="J2208" s="545">
        <v>0.75</v>
      </c>
    </row>
    <row r="2209" spans="1:10">
      <c r="A2209" s="441">
        <v>1383</v>
      </c>
      <c r="B2209" s="441" t="s">
        <v>2772</v>
      </c>
      <c r="C2209" s="545">
        <v>2</v>
      </c>
      <c r="D2209" s="545">
        <v>1.6666666666666665</v>
      </c>
      <c r="E2209" s="545">
        <v>0</v>
      </c>
      <c r="F2209" s="545">
        <v>1.6666666666666665</v>
      </c>
      <c r="G2209" s="545">
        <v>0.4</v>
      </c>
      <c r="H2209" s="545">
        <v>1.6666666666666667</v>
      </c>
      <c r="I2209" s="545">
        <v>0</v>
      </c>
      <c r="J2209" s="545">
        <v>0.52380952380952384</v>
      </c>
    </row>
    <row r="2210" spans="1:10">
      <c r="A2210" s="441">
        <v>1360</v>
      </c>
      <c r="B2210" s="441" t="s">
        <v>2773</v>
      </c>
      <c r="C2210" s="545">
        <v>0.33333333333333331</v>
      </c>
      <c r="D2210" s="545">
        <v>0.33333333333333331</v>
      </c>
      <c r="E2210" s="545">
        <v>0</v>
      </c>
      <c r="F2210" s="545">
        <v>0.2857142857142857</v>
      </c>
      <c r="G2210" s="545">
        <v>0.4</v>
      </c>
      <c r="H2210" s="545">
        <v>1</v>
      </c>
      <c r="I2210" s="545">
        <v>2</v>
      </c>
      <c r="J2210" s="545">
        <v>0.7142857142857143</v>
      </c>
    </row>
    <row r="2211" spans="1:10">
      <c r="A2211" s="441">
        <v>1380</v>
      </c>
      <c r="B2211" s="441" t="s">
        <v>2773</v>
      </c>
      <c r="C2211" s="545">
        <v>0.16666666666666666</v>
      </c>
      <c r="D2211" s="545">
        <v>0</v>
      </c>
      <c r="E2211" s="545">
        <v>0</v>
      </c>
      <c r="F2211" s="545">
        <v>0.11904761904761904</v>
      </c>
      <c r="G2211" s="545">
        <v>0.25</v>
      </c>
      <c r="H2211" s="545">
        <v>0</v>
      </c>
      <c r="I2211" s="545">
        <v>0.33333333333333331</v>
      </c>
      <c r="J2211" s="545">
        <v>0.22619047619047619</v>
      </c>
    </row>
    <row r="2212" spans="1:10">
      <c r="A2212" s="441">
        <v>1358</v>
      </c>
      <c r="B2212" s="441" t="s">
        <v>2774</v>
      </c>
      <c r="C2212" s="545">
        <v>0.5</v>
      </c>
      <c r="D2212" s="545">
        <v>0.66666666666666663</v>
      </c>
      <c r="E2212" s="545">
        <v>0</v>
      </c>
      <c r="F2212" s="545">
        <v>0.45238095238095238</v>
      </c>
      <c r="G2212" s="545">
        <v>0.2</v>
      </c>
      <c r="H2212" s="545">
        <v>0</v>
      </c>
      <c r="I2212" s="545">
        <v>0</v>
      </c>
      <c r="J2212" s="545">
        <v>0.14285714285714285</v>
      </c>
    </row>
    <row r="2213" spans="1:10">
      <c r="A2213" s="441">
        <v>1382</v>
      </c>
      <c r="B2213" s="441" t="s">
        <v>2774</v>
      </c>
      <c r="C2213" s="545">
        <v>2.3333333333333335</v>
      </c>
      <c r="D2213" s="545">
        <v>1.3333333333333333</v>
      </c>
      <c r="E2213" s="545">
        <v>1.6666666666666667</v>
      </c>
      <c r="F2213" s="545">
        <v>2.0952380952380953</v>
      </c>
      <c r="G2213" s="545">
        <v>0.9</v>
      </c>
      <c r="H2213" s="545">
        <v>0.66666666666666663</v>
      </c>
      <c r="I2213" s="545">
        <v>0.66666666666666663</v>
      </c>
      <c r="J2213" s="545">
        <v>0.83333333333333337</v>
      </c>
    </row>
    <row r="2214" spans="1:10">
      <c r="A2214" s="441">
        <v>1364</v>
      </c>
      <c r="B2214" s="441" t="s">
        <v>2775</v>
      </c>
      <c r="C2214" s="545">
        <v>0.33333333333333331</v>
      </c>
      <c r="D2214" s="545">
        <v>0.66666666666666663</v>
      </c>
      <c r="E2214" s="545">
        <v>0</v>
      </c>
      <c r="F2214" s="545">
        <v>0.33333333333333331</v>
      </c>
      <c r="G2214" s="545">
        <v>0.6</v>
      </c>
      <c r="H2214" s="545">
        <v>2</v>
      </c>
      <c r="I2214" s="545">
        <v>1.3333333333333333</v>
      </c>
      <c r="J2214" s="545">
        <v>0.90476190476190477</v>
      </c>
    </row>
    <row r="2215" spans="1:10">
      <c r="A2215" s="441">
        <v>1375</v>
      </c>
      <c r="B2215" s="441" t="s">
        <v>2775</v>
      </c>
      <c r="C2215" s="545">
        <v>0</v>
      </c>
      <c r="D2215" s="545">
        <v>0</v>
      </c>
      <c r="E2215" s="545">
        <v>0</v>
      </c>
      <c r="F2215" s="545">
        <v>0</v>
      </c>
      <c r="G2215" s="545">
        <v>0.8</v>
      </c>
      <c r="H2215" s="545">
        <v>0.33333333333333331</v>
      </c>
      <c r="I2215" s="545">
        <v>1.6666666666666667</v>
      </c>
      <c r="J2215" s="545">
        <v>0.8571428571428571</v>
      </c>
    </row>
    <row r="2216" spans="1:10">
      <c r="A2216" s="441">
        <v>1359</v>
      </c>
      <c r="B2216" s="441" t="s">
        <v>2776</v>
      </c>
      <c r="C2216" s="545">
        <v>6</v>
      </c>
      <c r="D2216" s="545">
        <v>8.6666666666666661</v>
      </c>
      <c r="E2216" s="545">
        <v>0.66666666666666663</v>
      </c>
      <c r="F2216" s="545">
        <v>5.6190476190476186</v>
      </c>
      <c r="G2216" s="545">
        <v>3.65</v>
      </c>
      <c r="H2216" s="545">
        <v>1.3333333333333333</v>
      </c>
      <c r="I2216" s="545">
        <v>5.666666666666667</v>
      </c>
      <c r="J2216" s="545">
        <v>3.6071428571428572</v>
      </c>
    </row>
    <row r="2217" spans="1:10">
      <c r="A2217" s="441">
        <v>1381</v>
      </c>
      <c r="B2217" s="441" t="s">
        <v>2776</v>
      </c>
      <c r="C2217" s="545">
        <v>11.5</v>
      </c>
      <c r="D2217" s="545">
        <v>1.6666666666666665</v>
      </c>
      <c r="E2217" s="545">
        <v>1</v>
      </c>
      <c r="F2217" s="545">
        <v>8.5952380952380949</v>
      </c>
      <c r="G2217" s="545">
        <v>4.2</v>
      </c>
      <c r="H2217" s="545">
        <v>1</v>
      </c>
      <c r="I2217" s="545">
        <v>2.6666666666666665</v>
      </c>
      <c r="J2217" s="545">
        <v>3.5238095238095242</v>
      </c>
    </row>
    <row r="2218" spans="1:10">
      <c r="A2218" s="441">
        <v>1378</v>
      </c>
      <c r="B2218" s="441" t="s">
        <v>2777</v>
      </c>
      <c r="C2218" s="545">
        <v>0.33333333333333331</v>
      </c>
      <c r="D2218" s="545">
        <v>0</v>
      </c>
      <c r="E2218" s="545">
        <v>0</v>
      </c>
      <c r="F2218" s="545">
        <v>0.23809523809523808</v>
      </c>
      <c r="G2218" s="545">
        <v>0</v>
      </c>
      <c r="H2218" s="545">
        <v>0.33333333333333331</v>
      </c>
      <c r="I2218" s="545">
        <v>0</v>
      </c>
      <c r="J2218" s="545">
        <v>4.7619047619047616E-2</v>
      </c>
    </row>
    <row r="2219" spans="1:10">
      <c r="A2219" s="441">
        <v>1376</v>
      </c>
      <c r="B2219" s="441" t="s">
        <v>2778</v>
      </c>
      <c r="C2219" s="545">
        <v>3.5</v>
      </c>
      <c r="D2219" s="545">
        <v>5</v>
      </c>
      <c r="E2219" s="545">
        <v>4.333333333333333</v>
      </c>
      <c r="F2219" s="545">
        <v>3.833333333333333</v>
      </c>
      <c r="G2219" s="545">
        <v>0.6</v>
      </c>
      <c r="H2219" s="545">
        <v>0.33333333333333331</v>
      </c>
      <c r="I2219" s="545">
        <v>2</v>
      </c>
      <c r="J2219" s="545">
        <v>0.76190476190476197</v>
      </c>
    </row>
    <row r="2220" spans="1:10">
      <c r="A2220" s="441">
        <v>10234</v>
      </c>
      <c r="B2220" s="441" t="s">
        <v>2778</v>
      </c>
      <c r="C2220" s="545">
        <v>5.5</v>
      </c>
      <c r="D2220" s="545">
        <v>5.333333333333333</v>
      </c>
      <c r="E2220" s="545">
        <v>2.3333333333333335</v>
      </c>
      <c r="F2220" s="545">
        <v>5.0238095238095246</v>
      </c>
      <c r="G2220" s="545">
        <v>2.65</v>
      </c>
      <c r="H2220" s="545">
        <v>3</v>
      </c>
      <c r="I2220" s="545">
        <v>3.3333333333333335</v>
      </c>
      <c r="J2220" s="545">
        <v>2.7976190476190474</v>
      </c>
    </row>
    <row r="2221" spans="1:10">
      <c r="A2221" s="441">
        <v>4253</v>
      </c>
      <c r="B2221" s="441" t="s">
        <v>2779</v>
      </c>
      <c r="C2221" s="545">
        <v>2</v>
      </c>
      <c r="D2221" s="545">
        <v>0.66666666666666663</v>
      </c>
      <c r="E2221" s="545">
        <v>0.33333333333333331</v>
      </c>
      <c r="F2221" s="545">
        <v>1.5714285714285714</v>
      </c>
      <c r="G2221" s="545">
        <v>1.1499999999999999</v>
      </c>
      <c r="H2221" s="545">
        <v>0</v>
      </c>
      <c r="I2221" s="545">
        <v>0.66666666666666663</v>
      </c>
      <c r="J2221" s="545">
        <v>0.91666666666666674</v>
      </c>
    </row>
    <row r="2222" spans="1:10">
      <c r="A2222" s="441">
        <v>4265</v>
      </c>
      <c r="B2222" s="441" t="s">
        <v>2779</v>
      </c>
      <c r="C2222" s="545">
        <v>1.8333333333333333</v>
      </c>
      <c r="D2222" s="545">
        <v>1.3333333333333333</v>
      </c>
      <c r="E2222" s="545">
        <v>1</v>
      </c>
      <c r="F2222" s="545">
        <v>1.6428571428571428</v>
      </c>
      <c r="G2222" s="545">
        <v>1</v>
      </c>
      <c r="H2222" s="545">
        <v>1.6666666666666667</v>
      </c>
      <c r="I2222" s="545">
        <v>0.66666666666666663</v>
      </c>
      <c r="J2222" s="545">
        <v>1.0476190476190477</v>
      </c>
    </row>
    <row r="2223" spans="1:10">
      <c r="A2223" s="441">
        <v>4266</v>
      </c>
      <c r="B2223" s="441" t="s">
        <v>2780</v>
      </c>
      <c r="C2223" s="545">
        <v>36.666666666666671</v>
      </c>
      <c r="D2223" s="545">
        <v>30.666666666666664</v>
      </c>
      <c r="E2223" s="545">
        <v>25.666666666666664</v>
      </c>
      <c r="F2223" s="545">
        <v>34.238095238095241</v>
      </c>
      <c r="G2223" s="545">
        <v>24.75</v>
      </c>
      <c r="H2223" s="545">
        <v>28</v>
      </c>
      <c r="I2223" s="545">
        <v>15</v>
      </c>
      <c r="J2223" s="545">
        <v>23.821428571428573</v>
      </c>
    </row>
    <row r="2224" spans="1:10">
      <c r="A2224" s="441">
        <v>11863</v>
      </c>
      <c r="B2224" s="441" t="s">
        <v>2780</v>
      </c>
      <c r="C2224" s="545">
        <v>17.333333333333336</v>
      </c>
      <c r="D2224" s="545">
        <v>10</v>
      </c>
      <c r="E2224" s="545">
        <v>7.333333333333333</v>
      </c>
      <c r="F2224" s="545">
        <v>14.857142857142859</v>
      </c>
      <c r="G2224" s="545">
        <v>10.45</v>
      </c>
      <c r="H2224" s="545">
        <v>6.666666666666667</v>
      </c>
      <c r="I2224" s="545">
        <v>5.666666666666667</v>
      </c>
      <c r="J2224" s="545">
        <v>9.2261904761904763</v>
      </c>
    </row>
    <row r="2225" spans="1:10">
      <c r="A2225" s="441">
        <v>4259</v>
      </c>
      <c r="B2225" s="441" t="s">
        <v>2781</v>
      </c>
      <c r="C2225" s="545">
        <v>11.833333333333334</v>
      </c>
      <c r="D2225" s="545">
        <v>7</v>
      </c>
      <c r="E2225" s="545">
        <v>10</v>
      </c>
      <c r="F2225" s="545">
        <v>10.880952380952381</v>
      </c>
      <c r="G2225" s="545">
        <v>13.55</v>
      </c>
      <c r="H2225" s="545">
        <v>9</v>
      </c>
      <c r="I2225" s="545">
        <v>8</v>
      </c>
      <c r="J2225" s="545">
        <v>12.107142857142858</v>
      </c>
    </row>
    <row r="2226" spans="1:10">
      <c r="A2226" s="441">
        <v>4255</v>
      </c>
      <c r="B2226" s="441" t="s">
        <v>2782</v>
      </c>
      <c r="C2226" s="545">
        <v>11.833333333333334</v>
      </c>
      <c r="D2226" s="545">
        <v>10</v>
      </c>
      <c r="E2226" s="545">
        <v>5.666666666666667</v>
      </c>
      <c r="F2226" s="545">
        <v>10.690476190476192</v>
      </c>
      <c r="G2226" s="545">
        <v>9.1999999999999993</v>
      </c>
      <c r="H2226" s="545">
        <v>6.333333333333333</v>
      </c>
      <c r="I2226" s="545">
        <v>7.666666666666667</v>
      </c>
      <c r="J2226" s="545">
        <v>8.5714285714285712</v>
      </c>
    </row>
    <row r="2227" spans="1:10">
      <c r="A2227" s="441">
        <v>4263</v>
      </c>
      <c r="B2227" s="441" t="s">
        <v>2782</v>
      </c>
      <c r="C2227" s="545">
        <v>9.5</v>
      </c>
      <c r="D2227" s="545">
        <v>8.6666666666666679</v>
      </c>
      <c r="E2227" s="545">
        <v>6.3333333333333339</v>
      </c>
      <c r="F2227" s="545">
        <v>8.9285714285714288</v>
      </c>
      <c r="G2227" s="545">
        <v>22.65</v>
      </c>
      <c r="H2227" s="545">
        <v>7</v>
      </c>
      <c r="I2227" s="545">
        <v>4.333333333333333</v>
      </c>
      <c r="J2227" s="545">
        <v>17.797619047619047</v>
      </c>
    </row>
    <row r="2228" spans="1:10">
      <c r="A2228" s="441">
        <v>4256</v>
      </c>
      <c r="B2228" s="441" t="s">
        <v>2783</v>
      </c>
      <c r="C2228" s="545">
        <v>1.3333333333333335</v>
      </c>
      <c r="D2228" s="545">
        <v>1</v>
      </c>
      <c r="E2228" s="545">
        <v>1.6666666666666667</v>
      </c>
      <c r="F2228" s="545">
        <v>1.3333333333333335</v>
      </c>
      <c r="G2228" s="545">
        <v>0.5</v>
      </c>
      <c r="H2228" s="545">
        <v>1</v>
      </c>
      <c r="I2228" s="545">
        <v>1</v>
      </c>
      <c r="J2228" s="545">
        <v>0.6428571428571429</v>
      </c>
    </row>
    <row r="2229" spans="1:10">
      <c r="A2229" s="441">
        <v>4262</v>
      </c>
      <c r="B2229" s="441" t="s">
        <v>2783</v>
      </c>
      <c r="C2229" s="545">
        <v>0.66666666666666663</v>
      </c>
      <c r="D2229" s="545">
        <v>1.6666666666666665</v>
      </c>
      <c r="E2229" s="545">
        <v>2.3333333333333335</v>
      </c>
      <c r="F2229" s="545">
        <v>1.0476190476190477</v>
      </c>
      <c r="G2229" s="545">
        <v>1.1499999999999999</v>
      </c>
      <c r="H2229" s="545">
        <v>1.3333333333333333</v>
      </c>
      <c r="I2229" s="545">
        <v>0.66666666666666663</v>
      </c>
      <c r="J2229" s="545">
        <v>1.1071428571428572</v>
      </c>
    </row>
    <row r="2230" spans="1:10">
      <c r="A2230" s="441">
        <v>4254</v>
      </c>
      <c r="B2230" s="441" t="s">
        <v>2784</v>
      </c>
      <c r="C2230" s="545">
        <v>2.333333333333333</v>
      </c>
      <c r="D2230" s="545">
        <v>0.66666666666666663</v>
      </c>
      <c r="E2230" s="545">
        <v>0.33333333333333331</v>
      </c>
      <c r="F2230" s="545">
        <v>1.8095238095238091</v>
      </c>
      <c r="G2230" s="545">
        <v>1.3</v>
      </c>
      <c r="H2230" s="545">
        <v>2.6666666666666665</v>
      </c>
      <c r="I2230" s="545">
        <v>0.66666666666666663</v>
      </c>
      <c r="J2230" s="545">
        <v>1.4047619047619047</v>
      </c>
    </row>
    <row r="2231" spans="1:10">
      <c r="A2231" s="441">
        <v>4264</v>
      </c>
      <c r="B2231" s="441" t="s">
        <v>2784</v>
      </c>
      <c r="C2231" s="545">
        <v>1.1666666666666665</v>
      </c>
      <c r="D2231" s="545">
        <v>1.3333333333333333</v>
      </c>
      <c r="E2231" s="545">
        <v>2.666666666666667</v>
      </c>
      <c r="F2231" s="545">
        <v>1.4047619047619047</v>
      </c>
      <c r="G2231" s="545">
        <v>0.85</v>
      </c>
      <c r="H2231" s="545">
        <v>0</v>
      </c>
      <c r="I2231" s="545">
        <v>0.66666666666666663</v>
      </c>
      <c r="J2231" s="545">
        <v>0.70238095238095244</v>
      </c>
    </row>
    <row r="2232" spans="1:10">
      <c r="A2232" s="441">
        <v>4258</v>
      </c>
      <c r="B2232" s="441" t="s">
        <v>2785</v>
      </c>
      <c r="C2232" s="545">
        <v>2.5</v>
      </c>
      <c r="D2232" s="545">
        <v>1.6666666666666665</v>
      </c>
      <c r="E2232" s="545">
        <v>0.66666666666666663</v>
      </c>
      <c r="F2232" s="545">
        <v>2.1190476190476191</v>
      </c>
      <c r="G2232" s="545">
        <v>1.4</v>
      </c>
      <c r="H2232" s="545">
        <v>2</v>
      </c>
      <c r="I2232" s="545">
        <v>1</v>
      </c>
      <c r="J2232" s="545">
        <v>1.4285714285714286</v>
      </c>
    </row>
    <row r="2233" spans="1:10">
      <c r="A2233" s="441">
        <v>4260</v>
      </c>
      <c r="B2233" s="441" t="s">
        <v>2785</v>
      </c>
      <c r="C2233" s="545">
        <v>9</v>
      </c>
      <c r="D2233" s="545">
        <v>2</v>
      </c>
      <c r="E2233" s="545">
        <v>0.66666666666666663</v>
      </c>
      <c r="F2233" s="545">
        <v>6.8095238095238093</v>
      </c>
      <c r="G2233" s="545">
        <v>3.25</v>
      </c>
      <c r="H2233" s="545">
        <v>2.3333333333333335</v>
      </c>
      <c r="I2233" s="545">
        <v>2.6666666666666665</v>
      </c>
      <c r="J2233" s="545">
        <v>3.0357142857142856</v>
      </c>
    </row>
    <row r="2234" spans="1:10">
      <c r="A2234" s="441">
        <v>4257</v>
      </c>
      <c r="B2234" s="441" t="s">
        <v>2786</v>
      </c>
      <c r="C2234" s="545">
        <v>18</v>
      </c>
      <c r="D2234" s="545">
        <v>14.333333333333332</v>
      </c>
      <c r="E2234" s="545">
        <v>8.3333333333333339</v>
      </c>
      <c r="F2234" s="545">
        <v>16.095238095238095</v>
      </c>
      <c r="G2234" s="545">
        <v>10.95</v>
      </c>
      <c r="H2234" s="545">
        <v>8.3333333333333339</v>
      </c>
      <c r="I2234" s="545">
        <v>6</v>
      </c>
      <c r="J2234" s="545">
        <v>9.8690476190476204</v>
      </c>
    </row>
    <row r="2235" spans="1:10">
      <c r="A2235" s="441">
        <v>4261</v>
      </c>
      <c r="B2235" s="441" t="s">
        <v>2786</v>
      </c>
      <c r="C2235" s="545">
        <v>18</v>
      </c>
      <c r="D2235" s="545">
        <v>8.3333333333333339</v>
      </c>
      <c r="E2235" s="545">
        <v>12.333333333333332</v>
      </c>
      <c r="F2235" s="545">
        <v>15.809523809523808</v>
      </c>
      <c r="G2235" s="545">
        <v>13.15</v>
      </c>
      <c r="H2235" s="545">
        <v>11</v>
      </c>
      <c r="I2235" s="545">
        <v>5.333333333333333</v>
      </c>
      <c r="J2235" s="545">
        <v>11.726190476190476</v>
      </c>
    </row>
    <row r="2236" spans="1:10">
      <c r="A2236" s="441">
        <v>4944</v>
      </c>
      <c r="B2236" s="441" t="s">
        <v>2787</v>
      </c>
      <c r="C2236" s="545">
        <v>0.66666666666666663</v>
      </c>
      <c r="D2236" s="545">
        <v>0</v>
      </c>
      <c r="E2236" s="545">
        <v>0</v>
      </c>
      <c r="F2236" s="545">
        <v>0.47619047619047616</v>
      </c>
      <c r="G2236" s="545">
        <v>1</v>
      </c>
      <c r="H2236" s="545">
        <v>1.3333333333333333</v>
      </c>
      <c r="I2236" s="545">
        <v>0.33333333333333331</v>
      </c>
      <c r="J2236" s="545">
        <v>0.95238095238095233</v>
      </c>
    </row>
    <row r="2237" spans="1:10">
      <c r="A2237" s="441">
        <v>4952</v>
      </c>
      <c r="B2237" s="441" t="s">
        <v>2787</v>
      </c>
      <c r="C2237" s="545">
        <v>1.3333333333333335</v>
      </c>
      <c r="D2237" s="545">
        <v>0.33333333333333331</v>
      </c>
      <c r="E2237" s="545">
        <v>0</v>
      </c>
      <c r="F2237" s="545">
        <v>1.0000000000000002</v>
      </c>
      <c r="G2237" s="545">
        <v>1.05</v>
      </c>
      <c r="H2237" s="545">
        <v>0.33333333333333331</v>
      </c>
      <c r="I2237" s="545">
        <v>0</v>
      </c>
      <c r="J2237" s="545">
        <v>0.79761904761904756</v>
      </c>
    </row>
    <row r="2238" spans="1:10">
      <c r="A2238" s="441">
        <v>4951</v>
      </c>
      <c r="B2238" s="441" t="s">
        <v>2788</v>
      </c>
      <c r="C2238" s="545">
        <v>14.166666666666666</v>
      </c>
      <c r="D2238" s="545">
        <v>11</v>
      </c>
      <c r="E2238" s="545">
        <v>7</v>
      </c>
      <c r="F2238" s="545">
        <v>12.69047619047619</v>
      </c>
      <c r="G2238" s="545">
        <v>17.7</v>
      </c>
      <c r="H2238" s="545">
        <v>10</v>
      </c>
      <c r="I2238" s="545">
        <v>14</v>
      </c>
      <c r="J2238" s="545">
        <v>16.071428571428573</v>
      </c>
    </row>
    <row r="2239" spans="1:10">
      <c r="A2239" s="441">
        <v>10044</v>
      </c>
      <c r="B2239" s="441" t="s">
        <v>2789</v>
      </c>
      <c r="C2239" s="545">
        <v>2.5</v>
      </c>
      <c r="D2239" s="545">
        <v>2.6666666666666665</v>
      </c>
      <c r="E2239" s="545">
        <v>1</v>
      </c>
      <c r="F2239" s="545">
        <v>2.3095238095238093</v>
      </c>
      <c r="G2239" s="545">
        <v>2.5</v>
      </c>
      <c r="H2239" s="545">
        <v>3.6666666666666665</v>
      </c>
      <c r="I2239" s="545">
        <v>1.3333333333333333</v>
      </c>
      <c r="J2239" s="545">
        <v>2.5</v>
      </c>
    </row>
    <row r="2240" spans="1:10">
      <c r="A2240" s="441">
        <v>11450</v>
      </c>
      <c r="B2240" s="441" t="s">
        <v>2789</v>
      </c>
      <c r="C2240" s="545">
        <v>3.8333333333333335</v>
      </c>
      <c r="D2240" s="545">
        <v>2.666666666666667</v>
      </c>
      <c r="E2240" s="545">
        <v>1.3333333333333333</v>
      </c>
      <c r="F2240" s="545">
        <v>3.3095238095238098</v>
      </c>
      <c r="G2240" s="545">
        <v>3.6</v>
      </c>
      <c r="H2240" s="545">
        <v>2</v>
      </c>
      <c r="I2240" s="545">
        <v>2</v>
      </c>
      <c r="J2240" s="545">
        <v>3.1428571428571428</v>
      </c>
    </row>
    <row r="2241" spans="1:10">
      <c r="A2241" s="441">
        <v>10043</v>
      </c>
      <c r="B2241" s="441" t="s">
        <v>2790</v>
      </c>
      <c r="C2241" s="545">
        <v>19</v>
      </c>
      <c r="D2241" s="545">
        <v>8.3333333333333321</v>
      </c>
      <c r="E2241" s="545">
        <v>6.3333333333333339</v>
      </c>
      <c r="F2241" s="545">
        <v>15.666666666666666</v>
      </c>
      <c r="G2241" s="545">
        <v>13.7</v>
      </c>
      <c r="H2241" s="545">
        <v>10.333333333333334</v>
      </c>
      <c r="I2241" s="545">
        <v>10.666666666666666</v>
      </c>
      <c r="J2241" s="545">
        <v>12.785714285714286</v>
      </c>
    </row>
    <row r="2242" spans="1:10">
      <c r="A2242" s="441">
        <v>4955</v>
      </c>
      <c r="B2242" s="441" t="s">
        <v>2791</v>
      </c>
      <c r="C2242" s="545">
        <v>154.83333333333334</v>
      </c>
      <c r="D2242" s="545">
        <v>124.33333333333334</v>
      </c>
      <c r="E2242" s="545">
        <v>97</v>
      </c>
      <c r="F2242" s="545">
        <v>142.21428571428572</v>
      </c>
      <c r="G2242" s="545">
        <v>94.85</v>
      </c>
      <c r="H2242" s="545">
        <v>73.666666666666671</v>
      </c>
      <c r="I2242" s="545">
        <v>49.666666666666664</v>
      </c>
      <c r="J2242" s="545">
        <v>85.369047619047606</v>
      </c>
    </row>
    <row r="2243" spans="1:10">
      <c r="A2243" s="441">
        <v>4954</v>
      </c>
      <c r="B2243" s="441" t="s">
        <v>2792</v>
      </c>
      <c r="C2243" s="545">
        <v>9.1666666666666661</v>
      </c>
      <c r="D2243" s="545">
        <v>4.333333333333333</v>
      </c>
      <c r="E2243" s="545">
        <v>3.666666666666667</v>
      </c>
      <c r="F2243" s="545">
        <v>7.6904761904761898</v>
      </c>
      <c r="G2243" s="545">
        <v>5.75</v>
      </c>
      <c r="H2243" s="545">
        <v>3</v>
      </c>
      <c r="I2243" s="545">
        <v>0.66666666666666663</v>
      </c>
      <c r="J2243" s="545">
        <v>4.6309523809523805</v>
      </c>
    </row>
    <row r="2244" spans="1:10">
      <c r="A2244" s="441">
        <v>4970</v>
      </c>
      <c r="B2244" s="441" t="s">
        <v>2792</v>
      </c>
      <c r="C2244" s="545">
        <v>20.5</v>
      </c>
      <c r="D2244" s="545">
        <v>18.333333333333336</v>
      </c>
      <c r="E2244" s="545">
        <v>13</v>
      </c>
      <c r="F2244" s="545">
        <v>19.11904761904762</v>
      </c>
      <c r="G2244" s="545">
        <v>12.8</v>
      </c>
      <c r="H2244" s="545">
        <v>12.666666666666666</v>
      </c>
      <c r="I2244" s="545">
        <v>6.666666666666667</v>
      </c>
      <c r="J2244" s="545">
        <v>11.904761904761907</v>
      </c>
    </row>
    <row r="2245" spans="1:10">
      <c r="A2245" s="441">
        <v>7090</v>
      </c>
      <c r="B2245" s="441" t="s">
        <v>2793</v>
      </c>
      <c r="C2245" s="545">
        <v>10.333333333333334</v>
      </c>
      <c r="D2245" s="545">
        <v>6.3333333333333339</v>
      </c>
      <c r="E2245" s="545">
        <v>3.3333333333333335</v>
      </c>
      <c r="F2245" s="545">
        <v>8.7619047619047628</v>
      </c>
      <c r="G2245" s="545">
        <v>3.95</v>
      </c>
      <c r="H2245" s="545">
        <v>4.333333333333333</v>
      </c>
      <c r="I2245" s="545">
        <v>1.3333333333333333</v>
      </c>
      <c r="J2245" s="545">
        <v>3.6309523809523805</v>
      </c>
    </row>
    <row r="2246" spans="1:10">
      <c r="A2246" s="441">
        <v>7099</v>
      </c>
      <c r="B2246" s="441" t="s">
        <v>2793</v>
      </c>
      <c r="C2246" s="545">
        <v>5.833333333333333</v>
      </c>
      <c r="D2246" s="545">
        <v>5.333333333333333</v>
      </c>
      <c r="E2246" s="545">
        <v>3</v>
      </c>
      <c r="F2246" s="545">
        <v>5.3571428571428568</v>
      </c>
      <c r="G2246" s="545">
        <v>4.8</v>
      </c>
      <c r="H2246" s="545">
        <v>2.3333333333333335</v>
      </c>
      <c r="I2246" s="545">
        <v>2.3333333333333335</v>
      </c>
      <c r="J2246" s="545">
        <v>4.0952380952380949</v>
      </c>
    </row>
    <row r="2247" spans="1:10">
      <c r="A2247" s="441">
        <v>4953</v>
      </c>
      <c r="B2247" s="441" t="s">
        <v>2794</v>
      </c>
      <c r="C2247" s="545">
        <v>124.5</v>
      </c>
      <c r="D2247" s="545">
        <v>117</v>
      </c>
      <c r="E2247" s="545">
        <v>89</v>
      </c>
      <c r="F2247" s="545">
        <v>118.35714285714286</v>
      </c>
      <c r="G2247" s="545">
        <v>72.599999999999994</v>
      </c>
      <c r="H2247" s="545">
        <v>61</v>
      </c>
      <c r="I2247" s="545">
        <v>44.666666666666664</v>
      </c>
      <c r="J2247" s="545">
        <v>66.952380952380949</v>
      </c>
    </row>
    <row r="2248" spans="1:10">
      <c r="A2248" s="441">
        <v>4971</v>
      </c>
      <c r="B2248" s="441" t="s">
        <v>2794</v>
      </c>
      <c r="C2248" s="545">
        <v>139.5</v>
      </c>
      <c r="D2248" s="545">
        <v>105.66666666666667</v>
      </c>
      <c r="E2248" s="545">
        <v>90.666666666666657</v>
      </c>
      <c r="F2248" s="545">
        <v>127.69047619047618</v>
      </c>
      <c r="G2248" s="545">
        <v>77.650000000000006</v>
      </c>
      <c r="H2248" s="545">
        <v>67</v>
      </c>
      <c r="I2248" s="545">
        <v>58</v>
      </c>
      <c r="J2248" s="545">
        <v>73.321428571428569</v>
      </c>
    </row>
    <row r="2249" spans="1:10">
      <c r="A2249" s="441">
        <v>7089</v>
      </c>
      <c r="B2249" s="441" t="s">
        <v>2795</v>
      </c>
      <c r="C2249" s="545">
        <v>45.5</v>
      </c>
      <c r="D2249" s="545">
        <v>31.333333333333336</v>
      </c>
      <c r="E2249" s="545">
        <v>24.666666666666668</v>
      </c>
      <c r="F2249" s="545">
        <v>40.5</v>
      </c>
      <c r="G2249" s="545">
        <v>24.6</v>
      </c>
      <c r="H2249" s="545">
        <v>14.333333333333334</v>
      </c>
      <c r="I2249" s="545">
        <v>17</v>
      </c>
      <c r="J2249" s="545">
        <v>22.047619047619047</v>
      </c>
    </row>
    <row r="2250" spans="1:10">
      <c r="A2250" s="441">
        <v>7100</v>
      </c>
      <c r="B2250" s="441" t="s">
        <v>2795</v>
      </c>
      <c r="C2250" s="545">
        <v>47.5</v>
      </c>
      <c r="D2250" s="545">
        <v>25.666666666666668</v>
      </c>
      <c r="E2250" s="545">
        <v>18.666666666666668</v>
      </c>
      <c r="F2250" s="545">
        <v>40.261904761904766</v>
      </c>
      <c r="G2250" s="545">
        <v>22.25</v>
      </c>
      <c r="H2250" s="545">
        <v>14</v>
      </c>
      <c r="I2250" s="545">
        <v>16.666666666666668</v>
      </c>
      <c r="J2250" s="545">
        <v>20.273809523809522</v>
      </c>
    </row>
    <row r="2251" spans="1:10">
      <c r="A2251" s="441">
        <v>1566</v>
      </c>
      <c r="B2251" s="441" t="s">
        <v>2796</v>
      </c>
      <c r="C2251" s="545">
        <v>3</v>
      </c>
      <c r="D2251" s="545">
        <v>2</v>
      </c>
      <c r="E2251" s="545">
        <v>0.66666666666666663</v>
      </c>
      <c r="F2251" s="545">
        <v>2.5238095238095242</v>
      </c>
      <c r="G2251" s="545">
        <v>2.5499999999999998</v>
      </c>
      <c r="H2251" s="545">
        <v>1.3333333333333333</v>
      </c>
      <c r="I2251" s="545">
        <v>0.66666666666666663</v>
      </c>
      <c r="J2251" s="545">
        <v>2.1071428571428572</v>
      </c>
    </row>
    <row r="2252" spans="1:10">
      <c r="A2252" s="441">
        <v>1418</v>
      </c>
      <c r="B2252" s="441" t="s">
        <v>2797</v>
      </c>
      <c r="C2252" s="545">
        <v>7.833333333333333</v>
      </c>
      <c r="D2252" s="545">
        <v>2.333333333333333</v>
      </c>
      <c r="E2252" s="545">
        <v>3.333333333333333</v>
      </c>
      <c r="F2252" s="545">
        <v>6.4047619047619051</v>
      </c>
      <c r="G2252" s="545">
        <v>2.0499999999999998</v>
      </c>
      <c r="H2252" s="545">
        <v>0.33333333333333331</v>
      </c>
      <c r="I2252" s="545">
        <v>0.33333333333333331</v>
      </c>
      <c r="J2252" s="545">
        <v>1.5595238095238098</v>
      </c>
    </row>
    <row r="2253" spans="1:10">
      <c r="A2253" s="441">
        <v>1411</v>
      </c>
      <c r="B2253" s="441" t="s">
        <v>2798</v>
      </c>
      <c r="C2253" s="545">
        <v>3.833333333333333</v>
      </c>
      <c r="D2253" s="545">
        <v>0</v>
      </c>
      <c r="E2253" s="545">
        <v>0.33333333333333331</v>
      </c>
      <c r="F2253" s="545">
        <v>2.7857142857142851</v>
      </c>
      <c r="G2253" s="545">
        <v>0.95</v>
      </c>
      <c r="H2253" s="545">
        <v>2.3333333333333335</v>
      </c>
      <c r="I2253" s="545">
        <v>0.66666666666666663</v>
      </c>
      <c r="J2253" s="545">
        <v>1.1071428571428572</v>
      </c>
    </row>
    <row r="2254" spans="1:10">
      <c r="A2254" s="441">
        <v>1563</v>
      </c>
      <c r="B2254" s="441" t="s">
        <v>2799</v>
      </c>
      <c r="C2254" s="545">
        <v>6.166666666666667</v>
      </c>
      <c r="D2254" s="545">
        <v>3</v>
      </c>
      <c r="E2254" s="545">
        <v>2.333333333333333</v>
      </c>
      <c r="F2254" s="545">
        <v>5.166666666666667</v>
      </c>
      <c r="G2254" s="545">
        <v>5.3</v>
      </c>
      <c r="H2254" s="545">
        <v>1.3333333333333333</v>
      </c>
      <c r="I2254" s="545">
        <v>1.6666666666666667</v>
      </c>
      <c r="J2254" s="545">
        <v>4.2142857142857144</v>
      </c>
    </row>
    <row r="2255" spans="1:10">
      <c r="A2255" s="441">
        <v>2004</v>
      </c>
      <c r="B2255" s="441" t="s">
        <v>2800</v>
      </c>
      <c r="C2255" s="545">
        <v>3</v>
      </c>
      <c r="D2255" s="545">
        <v>0.33333333333333331</v>
      </c>
      <c r="E2255" s="545">
        <v>0.66666666666666663</v>
      </c>
      <c r="F2255" s="545">
        <v>2.2857142857142856</v>
      </c>
      <c r="G2255" s="545">
        <v>1.35</v>
      </c>
      <c r="H2255" s="545">
        <v>1.3333333333333333</v>
      </c>
      <c r="I2255" s="545">
        <v>0</v>
      </c>
      <c r="J2255" s="545">
        <v>1.1547619047619049</v>
      </c>
    </row>
    <row r="2256" spans="1:10">
      <c r="A2256" s="441">
        <v>2005</v>
      </c>
      <c r="B2256" s="441" t="s">
        <v>2800</v>
      </c>
      <c r="C2256" s="545">
        <v>0</v>
      </c>
      <c r="D2256" s="545">
        <v>1</v>
      </c>
      <c r="E2256" s="545">
        <v>0.33333333333333331</v>
      </c>
      <c r="F2256" s="545">
        <v>0.19047619047619047</v>
      </c>
      <c r="G2256" s="545">
        <v>0.4</v>
      </c>
      <c r="H2256" s="545">
        <v>2.3333333333333335</v>
      </c>
      <c r="I2256" s="545">
        <v>0</v>
      </c>
      <c r="J2256" s="545">
        <v>0.61904761904761918</v>
      </c>
    </row>
    <row r="2257" spans="1:10">
      <c r="A2257" s="441">
        <v>1564</v>
      </c>
      <c r="B2257" s="441" t="s">
        <v>2801</v>
      </c>
      <c r="C2257" s="545">
        <v>4.666666666666667</v>
      </c>
      <c r="D2257" s="545">
        <v>3</v>
      </c>
      <c r="E2257" s="545">
        <v>4</v>
      </c>
      <c r="F2257" s="545">
        <v>4.3333333333333339</v>
      </c>
      <c r="G2257" s="545">
        <v>2.6</v>
      </c>
      <c r="H2257" s="545">
        <v>4.333333333333333</v>
      </c>
      <c r="I2257" s="545">
        <v>3.3333333333333335</v>
      </c>
      <c r="J2257" s="545">
        <v>2.9523809523809521</v>
      </c>
    </row>
    <row r="2258" spans="1:10">
      <c r="A2258" s="441">
        <v>1416</v>
      </c>
      <c r="B2258" s="441" t="s">
        <v>2802</v>
      </c>
      <c r="C2258" s="545">
        <v>54.5</v>
      </c>
      <c r="D2258" s="545">
        <v>38.333333333333329</v>
      </c>
      <c r="E2258" s="545">
        <v>38.666666666666664</v>
      </c>
      <c r="F2258" s="545">
        <v>49.928571428571431</v>
      </c>
      <c r="G2258" s="545">
        <v>30.1</v>
      </c>
      <c r="H2258" s="545">
        <v>24.666666666666668</v>
      </c>
      <c r="I2258" s="545">
        <v>16</v>
      </c>
      <c r="J2258" s="545">
        <v>27.309523809523807</v>
      </c>
    </row>
    <row r="2259" spans="1:10">
      <c r="A2259" s="441">
        <v>1576</v>
      </c>
      <c r="B2259" s="441" t="s">
        <v>2803</v>
      </c>
      <c r="C2259" s="545">
        <v>19.5</v>
      </c>
      <c r="D2259" s="545">
        <v>18.666666666666668</v>
      </c>
      <c r="E2259" s="545">
        <v>9</v>
      </c>
      <c r="F2259" s="545">
        <v>17.880952380952383</v>
      </c>
      <c r="G2259" s="545">
        <v>14.55</v>
      </c>
      <c r="H2259" s="545">
        <v>11</v>
      </c>
      <c r="I2259" s="545">
        <v>14.333333333333334</v>
      </c>
      <c r="J2259" s="545">
        <v>14.011904761904761</v>
      </c>
    </row>
    <row r="2260" spans="1:10">
      <c r="A2260" s="441">
        <v>2006</v>
      </c>
      <c r="B2260" s="441" t="s">
        <v>2804</v>
      </c>
      <c r="C2260" s="545">
        <v>22.666666666666664</v>
      </c>
      <c r="D2260" s="545">
        <v>12.333333333333334</v>
      </c>
      <c r="E2260" s="545">
        <v>3.6666666666666665</v>
      </c>
      <c r="F2260" s="545">
        <v>18.476190476190474</v>
      </c>
      <c r="G2260" s="545">
        <v>10.9</v>
      </c>
      <c r="H2260" s="545">
        <v>3</v>
      </c>
      <c r="I2260" s="545">
        <v>7</v>
      </c>
      <c r="J2260" s="545">
        <v>9.2142857142857135</v>
      </c>
    </row>
    <row r="2261" spans="1:10">
      <c r="A2261" s="441">
        <v>13114</v>
      </c>
      <c r="B2261" s="441" t="s">
        <v>2805</v>
      </c>
      <c r="C2261" s="545">
        <v>5</v>
      </c>
      <c r="D2261" s="545">
        <v>4</v>
      </c>
      <c r="E2261" s="545">
        <v>4.666666666666667</v>
      </c>
      <c r="F2261" s="545">
        <v>4.8095238095238093</v>
      </c>
      <c r="G2261" s="545">
        <v>4.7</v>
      </c>
      <c r="H2261" s="545">
        <v>3</v>
      </c>
      <c r="I2261" s="545">
        <v>5.333333333333333</v>
      </c>
      <c r="J2261" s="545">
        <v>4.5476190476190474</v>
      </c>
    </row>
    <row r="2262" spans="1:10">
      <c r="A2262" s="441">
        <v>13115</v>
      </c>
      <c r="B2262" s="441" t="s">
        <v>2805</v>
      </c>
      <c r="C2262" s="545">
        <v>4.833333333333333</v>
      </c>
      <c r="D2262" s="545">
        <v>3.6666666666666665</v>
      </c>
      <c r="E2262" s="545">
        <v>1.3333333333333333</v>
      </c>
      <c r="F2262" s="545">
        <v>4.1666666666666661</v>
      </c>
      <c r="G2262" s="545">
        <v>4.3</v>
      </c>
      <c r="H2262" s="545">
        <v>0.33333333333333331</v>
      </c>
      <c r="I2262" s="545">
        <v>3.6666666666666665</v>
      </c>
      <c r="J2262" s="545">
        <v>3.6428571428571428</v>
      </c>
    </row>
    <row r="2263" spans="1:10">
      <c r="A2263" s="441">
        <v>1565</v>
      </c>
      <c r="B2263" s="441" t="s">
        <v>2806</v>
      </c>
      <c r="C2263" s="545">
        <v>2.6666666666666665</v>
      </c>
      <c r="D2263" s="545">
        <v>0</v>
      </c>
      <c r="E2263" s="545">
        <v>2.3333333333333335</v>
      </c>
      <c r="F2263" s="545">
        <v>2.2380952380952381</v>
      </c>
      <c r="G2263" s="545">
        <v>3.85</v>
      </c>
      <c r="H2263" s="545">
        <v>1.3333333333333333</v>
      </c>
      <c r="I2263" s="545">
        <v>1</v>
      </c>
      <c r="J2263" s="545">
        <v>3.083333333333333</v>
      </c>
    </row>
    <row r="2264" spans="1:10">
      <c r="A2264" s="441">
        <v>1421</v>
      </c>
      <c r="B2264" s="441" t="s">
        <v>2807</v>
      </c>
      <c r="C2264" s="545">
        <v>8.5</v>
      </c>
      <c r="D2264" s="545">
        <v>3.3333333333333335</v>
      </c>
      <c r="E2264" s="545">
        <v>6.6666666666666661</v>
      </c>
      <c r="F2264" s="545">
        <v>7.5</v>
      </c>
      <c r="G2264" s="545">
        <v>12.2</v>
      </c>
      <c r="H2264" s="545">
        <v>5.666666666666667</v>
      </c>
      <c r="I2264" s="545">
        <v>8.6666666666666661</v>
      </c>
      <c r="J2264" s="545">
        <v>10.761904761904763</v>
      </c>
    </row>
    <row r="2265" spans="1:10">
      <c r="A2265" s="441">
        <v>1417</v>
      </c>
      <c r="B2265" s="441" t="s">
        <v>2808</v>
      </c>
      <c r="C2265" s="545">
        <v>47</v>
      </c>
      <c r="D2265" s="545">
        <v>47.333333333333336</v>
      </c>
      <c r="E2265" s="545">
        <v>35.666666666666671</v>
      </c>
      <c r="F2265" s="545">
        <v>45.428571428571431</v>
      </c>
      <c r="G2265" s="545">
        <v>26.6</v>
      </c>
      <c r="H2265" s="545">
        <v>16.666666666666668</v>
      </c>
      <c r="I2265" s="545">
        <v>17.333333333333332</v>
      </c>
      <c r="J2265" s="545">
        <v>23.857142857142858</v>
      </c>
    </row>
    <row r="2266" spans="1:10">
      <c r="A2266" s="441">
        <v>1575</v>
      </c>
      <c r="B2266" s="441" t="s">
        <v>2809</v>
      </c>
      <c r="C2266" s="545">
        <v>6.5</v>
      </c>
      <c r="D2266" s="545">
        <v>6.666666666666667</v>
      </c>
      <c r="E2266" s="545">
        <v>5.666666666666667</v>
      </c>
      <c r="F2266" s="545">
        <v>6.4047619047619042</v>
      </c>
      <c r="G2266" s="545">
        <v>2.2999999999999998</v>
      </c>
      <c r="H2266" s="545">
        <v>1</v>
      </c>
      <c r="I2266" s="545">
        <v>1.6666666666666667</v>
      </c>
      <c r="J2266" s="545">
        <v>2.0238095238095237</v>
      </c>
    </row>
    <row r="2267" spans="1:10">
      <c r="A2267" s="441">
        <v>1571</v>
      </c>
      <c r="B2267" s="441" t="s">
        <v>2810</v>
      </c>
      <c r="C2267" s="545">
        <v>8.6666666666666661</v>
      </c>
      <c r="D2267" s="545">
        <v>3</v>
      </c>
      <c r="E2267" s="545">
        <v>6.333333333333333</v>
      </c>
      <c r="F2267" s="545">
        <v>7.5238095238095237</v>
      </c>
      <c r="G2267" s="545">
        <v>3.35</v>
      </c>
      <c r="H2267" s="545">
        <v>5</v>
      </c>
      <c r="I2267" s="545">
        <v>1</v>
      </c>
      <c r="J2267" s="545">
        <v>3.25</v>
      </c>
    </row>
    <row r="2268" spans="1:10">
      <c r="A2268" s="441">
        <v>1414</v>
      </c>
      <c r="B2268" s="441" t="s">
        <v>2811</v>
      </c>
      <c r="C2268" s="545">
        <v>83.166666666666671</v>
      </c>
      <c r="D2268" s="545">
        <v>48.666666666666664</v>
      </c>
      <c r="E2268" s="545">
        <v>41</v>
      </c>
      <c r="F2268" s="545">
        <v>72.214285714285722</v>
      </c>
      <c r="G2268" s="545">
        <v>39.700000000000003</v>
      </c>
      <c r="H2268" s="545">
        <v>41</v>
      </c>
      <c r="I2268" s="545">
        <v>31.666666666666668</v>
      </c>
      <c r="J2268" s="545">
        <v>38.738095238095241</v>
      </c>
    </row>
    <row r="2269" spans="1:10">
      <c r="A2269" s="441">
        <v>1572</v>
      </c>
      <c r="B2269" s="441" t="s">
        <v>2811</v>
      </c>
      <c r="C2269" s="545">
        <v>87.666666666666657</v>
      </c>
      <c r="D2269" s="545">
        <v>61</v>
      </c>
      <c r="E2269" s="545">
        <v>54</v>
      </c>
      <c r="F2269" s="545">
        <v>79.047619047619037</v>
      </c>
      <c r="G2269" s="545">
        <v>43.35</v>
      </c>
      <c r="H2269" s="545">
        <v>40.333333333333336</v>
      </c>
      <c r="I2269" s="545">
        <v>38</v>
      </c>
      <c r="J2269" s="545">
        <v>42.154761904761905</v>
      </c>
    </row>
    <row r="2270" spans="1:10">
      <c r="A2270" s="441">
        <v>1573</v>
      </c>
      <c r="B2270" s="441" t="s">
        <v>2812</v>
      </c>
      <c r="C2270" s="545">
        <v>9</v>
      </c>
      <c r="D2270" s="545">
        <v>7.6666666666666661</v>
      </c>
      <c r="E2270" s="545">
        <v>3</v>
      </c>
      <c r="F2270" s="545">
        <v>7.9523809523809517</v>
      </c>
      <c r="G2270" s="545">
        <v>3.2</v>
      </c>
      <c r="H2270" s="545">
        <v>10.333333333333334</v>
      </c>
      <c r="I2270" s="545">
        <v>3.3333333333333335</v>
      </c>
      <c r="J2270" s="545">
        <v>4.2380952380952381</v>
      </c>
    </row>
    <row r="2271" spans="1:10">
      <c r="A2271" s="441">
        <v>9248</v>
      </c>
      <c r="B2271" s="441" t="s">
        <v>2812</v>
      </c>
      <c r="C2271" s="545">
        <v>8.1666666666666661</v>
      </c>
      <c r="D2271" s="545">
        <v>6.333333333333333</v>
      </c>
      <c r="E2271" s="545">
        <v>6</v>
      </c>
      <c r="F2271" s="545">
        <v>7.5952380952380949</v>
      </c>
      <c r="G2271" s="545">
        <v>3.8</v>
      </c>
      <c r="H2271" s="545">
        <v>4</v>
      </c>
      <c r="I2271" s="545">
        <v>5.333333333333333</v>
      </c>
      <c r="J2271" s="545">
        <v>4.0476190476190474</v>
      </c>
    </row>
    <row r="2272" spans="1:10">
      <c r="A2272" s="441">
        <v>1567</v>
      </c>
      <c r="B2272" s="441" t="s">
        <v>2813</v>
      </c>
      <c r="C2272" s="545">
        <v>66.166666666666671</v>
      </c>
      <c r="D2272" s="545">
        <v>35.333333333333329</v>
      </c>
      <c r="E2272" s="545">
        <v>29.666666666666668</v>
      </c>
      <c r="F2272" s="545">
        <v>56.547619047619051</v>
      </c>
      <c r="G2272" s="545">
        <v>41.25</v>
      </c>
      <c r="H2272" s="545">
        <v>23</v>
      </c>
      <c r="I2272" s="545">
        <v>24</v>
      </c>
      <c r="J2272" s="545">
        <v>36.178571428571431</v>
      </c>
    </row>
    <row r="2273" spans="1:10">
      <c r="A2273" s="441">
        <v>1420</v>
      </c>
      <c r="B2273" s="441" t="s">
        <v>2814</v>
      </c>
      <c r="C2273" s="545">
        <v>130</v>
      </c>
      <c r="D2273" s="545">
        <v>93.666666666666671</v>
      </c>
      <c r="E2273" s="545">
        <v>75.333333333333343</v>
      </c>
      <c r="F2273" s="545">
        <v>117</v>
      </c>
      <c r="G2273" s="545">
        <v>79.849999999999994</v>
      </c>
      <c r="H2273" s="545">
        <v>62.333333333333336</v>
      </c>
      <c r="I2273" s="545">
        <v>58.333333333333336</v>
      </c>
      <c r="J2273" s="545">
        <v>74.273809523809518</v>
      </c>
    </row>
    <row r="2274" spans="1:10">
      <c r="A2274" s="441">
        <v>1568</v>
      </c>
      <c r="B2274" s="441" t="s">
        <v>2815</v>
      </c>
      <c r="C2274" s="545">
        <v>107.33333333333333</v>
      </c>
      <c r="D2274" s="545">
        <v>98.666666666666671</v>
      </c>
      <c r="E2274" s="545">
        <v>66.333333333333343</v>
      </c>
      <c r="F2274" s="545">
        <v>100.23809523809523</v>
      </c>
      <c r="G2274" s="545">
        <v>55.5</v>
      </c>
      <c r="H2274" s="545">
        <v>47.333333333333336</v>
      </c>
      <c r="I2274" s="545">
        <v>50.333333333333336</v>
      </c>
      <c r="J2274" s="545">
        <v>53.595238095238088</v>
      </c>
    </row>
    <row r="2275" spans="1:10">
      <c r="A2275" s="441">
        <v>1569</v>
      </c>
      <c r="B2275" s="441" t="s">
        <v>2815</v>
      </c>
      <c r="C2275" s="545">
        <v>12.5</v>
      </c>
      <c r="D2275" s="545">
        <v>4.6666666666666661</v>
      </c>
      <c r="E2275" s="545">
        <v>4.6666666666666661</v>
      </c>
      <c r="F2275" s="545">
        <v>10.261904761904763</v>
      </c>
      <c r="G2275" s="545">
        <v>5.8</v>
      </c>
      <c r="H2275" s="545">
        <v>5.333333333333333</v>
      </c>
      <c r="I2275" s="545">
        <v>2.6666666666666665</v>
      </c>
      <c r="J2275" s="545">
        <v>5.2857142857142856</v>
      </c>
    </row>
    <row r="2276" spans="1:10">
      <c r="A2276" s="441">
        <v>1570</v>
      </c>
      <c r="B2276" s="441" t="s">
        <v>2815</v>
      </c>
      <c r="C2276" s="545">
        <v>60</v>
      </c>
      <c r="D2276" s="545">
        <v>44.333333333333336</v>
      </c>
      <c r="E2276" s="545">
        <v>37.333333333333336</v>
      </c>
      <c r="F2276" s="545">
        <v>54.523809523809518</v>
      </c>
      <c r="G2276" s="545">
        <v>28.3</v>
      </c>
      <c r="H2276" s="545">
        <v>23.666666666666668</v>
      </c>
      <c r="I2276" s="545">
        <v>18.666666666666668</v>
      </c>
      <c r="J2276" s="545">
        <v>26.261904761904759</v>
      </c>
    </row>
    <row r="2277" spans="1:10">
      <c r="A2277" s="441">
        <v>1415</v>
      </c>
      <c r="B2277" s="441" t="s">
        <v>2816</v>
      </c>
      <c r="C2277" s="545">
        <v>12.5</v>
      </c>
      <c r="D2277" s="545">
        <v>6</v>
      </c>
      <c r="E2277" s="545">
        <v>10.666666666666668</v>
      </c>
      <c r="F2277" s="545">
        <v>11.30952380952381</v>
      </c>
      <c r="G2277" s="545">
        <v>8.65</v>
      </c>
      <c r="H2277" s="545">
        <v>11</v>
      </c>
      <c r="I2277" s="545">
        <v>5.333333333333333</v>
      </c>
      <c r="J2277" s="545">
        <v>8.5119047619047628</v>
      </c>
    </row>
    <row r="2278" spans="1:10">
      <c r="A2278" s="441">
        <v>1422</v>
      </c>
      <c r="B2278" s="441" t="s">
        <v>2817</v>
      </c>
      <c r="C2278" s="545">
        <v>123.83333333333334</v>
      </c>
      <c r="D2278" s="545">
        <v>66.666666666666671</v>
      </c>
      <c r="E2278" s="545">
        <v>56.666666666666671</v>
      </c>
      <c r="F2278" s="545">
        <v>106.07142857142857</v>
      </c>
      <c r="G2278" s="545">
        <v>84.9</v>
      </c>
      <c r="H2278" s="545">
        <v>61.333333333333336</v>
      </c>
      <c r="I2278" s="545">
        <v>52.333333333333336</v>
      </c>
      <c r="J2278" s="545">
        <v>76.88095238095238</v>
      </c>
    </row>
    <row r="2279" spans="1:10">
      <c r="A2279" s="441">
        <v>1562</v>
      </c>
      <c r="B2279" s="441" t="s">
        <v>2817</v>
      </c>
      <c r="C2279" s="545">
        <v>119</v>
      </c>
      <c r="D2279" s="545">
        <v>65</v>
      </c>
      <c r="E2279" s="545">
        <v>53.333333333333336</v>
      </c>
      <c r="F2279" s="545">
        <v>101.90476190476191</v>
      </c>
      <c r="G2279" s="545">
        <v>89.2</v>
      </c>
      <c r="H2279" s="545">
        <v>45</v>
      </c>
      <c r="I2279" s="545">
        <v>52.333333333333336</v>
      </c>
      <c r="J2279" s="545">
        <v>77.61904761904762</v>
      </c>
    </row>
    <row r="2280" spans="1:10">
      <c r="A2280" s="441">
        <v>12366</v>
      </c>
      <c r="B2280" s="441" t="s">
        <v>2818</v>
      </c>
      <c r="C2280" s="545">
        <v>16.166666666666668</v>
      </c>
      <c r="D2280" s="545">
        <v>14</v>
      </c>
      <c r="E2280" s="545">
        <v>11</v>
      </c>
      <c r="F2280" s="545">
        <v>15.11904761904762</v>
      </c>
      <c r="G2280" s="545">
        <v>13.85</v>
      </c>
      <c r="H2280" s="545">
        <v>6</v>
      </c>
      <c r="I2280" s="545">
        <v>4.666666666666667</v>
      </c>
      <c r="J2280" s="545">
        <v>11.416666666666668</v>
      </c>
    </row>
    <row r="2281" spans="1:10">
      <c r="A2281" s="441">
        <v>12372</v>
      </c>
      <c r="B2281" s="441" t="s">
        <v>2818</v>
      </c>
      <c r="C2281" s="545">
        <v>19.5</v>
      </c>
      <c r="D2281" s="545">
        <v>22</v>
      </c>
      <c r="E2281" s="545">
        <v>12.333333333333332</v>
      </c>
      <c r="F2281" s="545">
        <v>18.833333333333336</v>
      </c>
      <c r="G2281" s="545">
        <v>14.75</v>
      </c>
      <c r="H2281" s="545">
        <v>10</v>
      </c>
      <c r="I2281" s="545">
        <v>8.3333333333333339</v>
      </c>
      <c r="J2281" s="545">
        <v>13.154761904761903</v>
      </c>
    </row>
    <row r="2282" spans="1:10">
      <c r="A2282" s="441">
        <v>1412</v>
      </c>
      <c r="B2282" s="441" t="s">
        <v>2819</v>
      </c>
      <c r="C2282" s="545">
        <v>45.333333333333336</v>
      </c>
      <c r="D2282" s="545">
        <v>27</v>
      </c>
      <c r="E2282" s="545">
        <v>20</v>
      </c>
      <c r="F2282" s="545">
        <v>39.095238095238095</v>
      </c>
      <c r="G2282" s="545">
        <v>27.75</v>
      </c>
      <c r="H2282" s="545">
        <v>22.666666666666668</v>
      </c>
      <c r="I2282" s="545">
        <v>22</v>
      </c>
      <c r="J2282" s="545">
        <v>26.202380952380953</v>
      </c>
    </row>
    <row r="2283" spans="1:10">
      <c r="A2283" s="441">
        <v>1574</v>
      </c>
      <c r="B2283" s="441" t="s">
        <v>2819</v>
      </c>
      <c r="C2283" s="545">
        <v>33.666666666666671</v>
      </c>
      <c r="D2283" s="545">
        <v>20.333333333333332</v>
      </c>
      <c r="E2283" s="545">
        <v>13.333333333333332</v>
      </c>
      <c r="F2283" s="545">
        <v>28.857142857142865</v>
      </c>
      <c r="G2283" s="545">
        <v>31.45</v>
      </c>
      <c r="H2283" s="545">
        <v>29</v>
      </c>
      <c r="I2283" s="545">
        <v>21.333333333333332</v>
      </c>
      <c r="J2283" s="545">
        <v>29.654761904761905</v>
      </c>
    </row>
    <row r="2284" spans="1:10">
      <c r="A2284" s="441">
        <v>1409</v>
      </c>
      <c r="B2284" s="441" t="s">
        <v>2820</v>
      </c>
      <c r="C2284" s="545">
        <v>2</v>
      </c>
      <c r="D2284" s="545">
        <v>3.666666666666667</v>
      </c>
      <c r="E2284" s="545">
        <v>1</v>
      </c>
      <c r="F2284" s="545">
        <v>2.0952380952380953</v>
      </c>
      <c r="G2284" s="545">
        <v>6.55</v>
      </c>
      <c r="H2284" s="545">
        <v>4</v>
      </c>
      <c r="I2284" s="545">
        <v>4.333333333333333</v>
      </c>
      <c r="J2284" s="545">
        <v>5.8690476190476195</v>
      </c>
    </row>
    <row r="2285" spans="1:10">
      <c r="A2285" s="441">
        <v>1410</v>
      </c>
      <c r="B2285" s="441" t="s">
        <v>2820</v>
      </c>
      <c r="C2285" s="545">
        <v>6</v>
      </c>
      <c r="D2285" s="545">
        <v>3.6666666666666665</v>
      </c>
      <c r="E2285" s="545">
        <v>2</v>
      </c>
      <c r="F2285" s="545">
        <v>5.0952380952380949</v>
      </c>
      <c r="G2285" s="545">
        <v>1.3</v>
      </c>
      <c r="H2285" s="545">
        <v>0</v>
      </c>
      <c r="I2285" s="545">
        <v>0.66666666666666663</v>
      </c>
      <c r="J2285" s="545">
        <v>1.0238095238095239</v>
      </c>
    </row>
    <row r="2286" spans="1:10">
      <c r="A2286" s="441">
        <v>10238</v>
      </c>
      <c r="B2286" s="441" t="s">
        <v>2821</v>
      </c>
      <c r="C2286" s="545">
        <v>6.3333333333333339</v>
      </c>
      <c r="D2286" s="545">
        <v>4.6666666666666661</v>
      </c>
      <c r="E2286" s="545">
        <v>6.6666666666666661</v>
      </c>
      <c r="F2286" s="545">
        <v>6.1428571428571432</v>
      </c>
      <c r="G2286" s="545">
        <v>10.050000000000001</v>
      </c>
      <c r="H2286" s="545">
        <v>9</v>
      </c>
      <c r="I2286" s="545">
        <v>5</v>
      </c>
      <c r="J2286" s="545">
        <v>9.1785714285714288</v>
      </c>
    </row>
    <row r="2287" spans="1:10">
      <c r="A2287" s="441">
        <v>12368</v>
      </c>
      <c r="B2287" s="441" t="s">
        <v>2822</v>
      </c>
      <c r="C2287" s="545">
        <v>1.1666666666666667</v>
      </c>
      <c r="D2287" s="545">
        <v>0</v>
      </c>
      <c r="E2287" s="545">
        <v>0</v>
      </c>
      <c r="F2287" s="545">
        <v>0.83333333333333337</v>
      </c>
      <c r="G2287" s="545">
        <v>2.65</v>
      </c>
      <c r="H2287" s="545">
        <v>1.6666666666666667</v>
      </c>
      <c r="I2287" s="545">
        <v>3.3333333333333335</v>
      </c>
      <c r="J2287" s="545">
        <v>2.6071428571428572</v>
      </c>
    </row>
    <row r="2288" spans="1:10">
      <c r="A2288" s="441">
        <v>12374</v>
      </c>
      <c r="B2288" s="441" t="s">
        <v>2823</v>
      </c>
      <c r="C2288" s="545">
        <v>2.6666666666666665</v>
      </c>
      <c r="D2288" s="545">
        <v>4.333333333333333</v>
      </c>
      <c r="E2288" s="545">
        <v>2.666666666666667</v>
      </c>
      <c r="F2288" s="545">
        <v>2.9047619047619047</v>
      </c>
      <c r="G2288" s="545">
        <v>2.0499999999999998</v>
      </c>
      <c r="H2288" s="545">
        <v>0.33333333333333331</v>
      </c>
      <c r="I2288" s="545">
        <v>0</v>
      </c>
      <c r="J2288" s="545">
        <v>1.5119047619047621</v>
      </c>
    </row>
    <row r="2289" spans="1:10">
      <c r="A2289" s="441">
        <v>12367</v>
      </c>
      <c r="B2289" s="441" t="s">
        <v>2824</v>
      </c>
      <c r="C2289" s="545">
        <v>20.333333333333332</v>
      </c>
      <c r="D2289" s="545">
        <v>12.666666666666668</v>
      </c>
      <c r="E2289" s="545">
        <v>6.6666666666666661</v>
      </c>
      <c r="F2289" s="545">
        <v>17.285714285714285</v>
      </c>
      <c r="G2289" s="545">
        <v>6.2</v>
      </c>
      <c r="H2289" s="545">
        <v>2.3333333333333335</v>
      </c>
      <c r="I2289" s="545">
        <v>7</v>
      </c>
      <c r="J2289" s="545">
        <v>5.7619047619047619</v>
      </c>
    </row>
    <row r="2290" spans="1:10">
      <c r="A2290" s="441">
        <v>12371</v>
      </c>
      <c r="B2290" s="441" t="s">
        <v>2825</v>
      </c>
      <c r="C2290" s="545">
        <v>10</v>
      </c>
      <c r="D2290" s="545">
        <v>13</v>
      </c>
      <c r="E2290" s="545">
        <v>4.6666666666666661</v>
      </c>
      <c r="F2290" s="545">
        <v>9.6666666666666679</v>
      </c>
      <c r="G2290" s="545">
        <v>5.4</v>
      </c>
      <c r="H2290" s="545">
        <v>2.3333333333333335</v>
      </c>
      <c r="I2290" s="545">
        <v>7.333333333333333</v>
      </c>
      <c r="J2290" s="545">
        <v>5.2380952380952381</v>
      </c>
    </row>
    <row r="2291" spans="1:10">
      <c r="A2291" s="441">
        <v>12365</v>
      </c>
      <c r="B2291" s="441" t="s">
        <v>2826</v>
      </c>
      <c r="C2291" s="545">
        <v>2.8333333333333335</v>
      </c>
      <c r="D2291" s="545">
        <v>0.66666666666666663</v>
      </c>
      <c r="E2291" s="545">
        <v>0.66666666666666663</v>
      </c>
      <c r="F2291" s="545">
        <v>2.2142857142857144</v>
      </c>
      <c r="G2291" s="545">
        <v>4.8499999999999996</v>
      </c>
      <c r="H2291" s="545">
        <v>1</v>
      </c>
      <c r="I2291" s="545">
        <v>1.3333333333333333</v>
      </c>
      <c r="J2291" s="545">
        <v>3.7976190476190474</v>
      </c>
    </row>
    <row r="2292" spans="1:10">
      <c r="A2292" s="441">
        <v>12373</v>
      </c>
      <c r="B2292" s="441" t="s">
        <v>2826</v>
      </c>
      <c r="C2292" s="545">
        <v>5.833333333333333</v>
      </c>
      <c r="D2292" s="545">
        <v>3</v>
      </c>
      <c r="E2292" s="545">
        <v>2.3333333333333335</v>
      </c>
      <c r="F2292" s="545">
        <v>4.9285714285714288</v>
      </c>
      <c r="G2292" s="545">
        <v>4</v>
      </c>
      <c r="H2292" s="545">
        <v>0.33333333333333331</v>
      </c>
      <c r="I2292" s="545">
        <v>3</v>
      </c>
      <c r="J2292" s="545">
        <v>3.333333333333333</v>
      </c>
    </row>
    <row r="2293" spans="1:10">
      <c r="A2293" s="441">
        <v>12125</v>
      </c>
      <c r="B2293" s="441" t="s">
        <v>2827</v>
      </c>
      <c r="C2293" s="545">
        <v>31.666666666666664</v>
      </c>
      <c r="D2293" s="545">
        <v>11</v>
      </c>
      <c r="E2293" s="545">
        <v>1.3333333333333333</v>
      </c>
      <c r="F2293" s="545">
        <v>24.38095238095238</v>
      </c>
      <c r="G2293" s="545">
        <v>18.350000000000001</v>
      </c>
      <c r="H2293" s="545">
        <v>7.333333333333333</v>
      </c>
      <c r="I2293" s="545">
        <v>1.6666666666666667</v>
      </c>
      <c r="J2293" s="545">
        <v>14.392857142857142</v>
      </c>
    </row>
    <row r="2294" spans="1:10">
      <c r="A2294" s="441">
        <v>11276</v>
      </c>
      <c r="B2294" s="441" t="s">
        <v>2828</v>
      </c>
      <c r="C2294" s="545">
        <v>0.16666666666666666</v>
      </c>
      <c r="D2294" s="545">
        <v>0</v>
      </c>
      <c r="E2294" s="545">
        <v>0</v>
      </c>
      <c r="F2294" s="545">
        <v>0.11904761904761904</v>
      </c>
      <c r="G2294" s="545">
        <v>2.4500000000000002</v>
      </c>
      <c r="H2294" s="545">
        <v>2.6666666666666665</v>
      </c>
      <c r="I2294" s="545">
        <v>0</v>
      </c>
      <c r="J2294" s="545">
        <v>2.1309523809523809</v>
      </c>
    </row>
    <row r="2295" spans="1:10">
      <c r="A2295" s="441">
        <v>11275</v>
      </c>
      <c r="B2295" s="441" t="s">
        <v>2829</v>
      </c>
      <c r="C2295" s="545">
        <v>13.5</v>
      </c>
      <c r="D2295" s="545">
        <v>8.6666666666666661</v>
      </c>
      <c r="E2295" s="545">
        <v>12</v>
      </c>
      <c r="F2295" s="545">
        <v>12.595238095238097</v>
      </c>
      <c r="G2295" s="545">
        <v>28.45</v>
      </c>
      <c r="H2295" s="545">
        <v>10.333333333333334</v>
      </c>
      <c r="I2295" s="545">
        <v>6</v>
      </c>
      <c r="J2295" s="545">
        <v>22.654761904761905</v>
      </c>
    </row>
    <row r="2296" spans="1:10">
      <c r="A2296" s="441">
        <v>12091</v>
      </c>
      <c r="B2296" s="441" t="s">
        <v>2830</v>
      </c>
      <c r="C2296" s="545">
        <v>74.333333333333329</v>
      </c>
      <c r="D2296" s="545">
        <v>0</v>
      </c>
      <c r="E2296" s="545">
        <v>0</v>
      </c>
      <c r="F2296" s="545">
        <v>53.095238095238088</v>
      </c>
      <c r="G2296" s="545">
        <v>71.2</v>
      </c>
      <c r="H2296" s="545"/>
      <c r="I2296" s="545"/>
      <c r="J2296" s="545">
        <v>50.857142857142854</v>
      </c>
    </row>
    <row r="2297" spans="1:10">
      <c r="A2297" s="441">
        <v>10674</v>
      </c>
      <c r="B2297" s="441" t="s">
        <v>2831</v>
      </c>
      <c r="C2297" s="545">
        <v>0.66666666666666663</v>
      </c>
      <c r="D2297" s="545">
        <v>0</v>
      </c>
      <c r="E2297" s="545">
        <v>0.33333333333333331</v>
      </c>
      <c r="F2297" s="545">
        <v>0.52380952380952384</v>
      </c>
      <c r="G2297" s="545">
        <v>0.15</v>
      </c>
      <c r="H2297" s="545">
        <v>0</v>
      </c>
      <c r="I2297" s="545">
        <v>0</v>
      </c>
      <c r="J2297" s="545">
        <v>0.10714285714285714</v>
      </c>
    </row>
    <row r="2298" spans="1:10">
      <c r="A2298" s="441">
        <v>4869</v>
      </c>
      <c r="B2298" s="441" t="s">
        <v>2832</v>
      </c>
      <c r="C2298" s="545">
        <v>83.666666666666657</v>
      </c>
      <c r="D2298" s="545">
        <v>52.333333333333336</v>
      </c>
      <c r="E2298" s="545">
        <v>22</v>
      </c>
      <c r="F2298" s="545">
        <v>70.380952380952365</v>
      </c>
      <c r="G2298" s="545">
        <v>66.7</v>
      </c>
      <c r="H2298" s="545">
        <v>53.666666666666664</v>
      </c>
      <c r="I2298" s="545">
        <v>20</v>
      </c>
      <c r="J2298" s="545">
        <v>58.166666666666671</v>
      </c>
    </row>
    <row r="2299" spans="1:10">
      <c r="A2299" s="441">
        <v>3177</v>
      </c>
      <c r="B2299" s="441" t="s">
        <v>2833</v>
      </c>
      <c r="C2299" s="545">
        <v>2.6666666666666665</v>
      </c>
      <c r="D2299" s="545">
        <v>2.3333333333333335</v>
      </c>
      <c r="E2299" s="545">
        <v>4</v>
      </c>
      <c r="F2299" s="545">
        <v>2.8095238095238093</v>
      </c>
      <c r="G2299" s="545">
        <v>3.6</v>
      </c>
      <c r="H2299" s="545">
        <v>1</v>
      </c>
      <c r="I2299" s="545">
        <v>5.333333333333333</v>
      </c>
      <c r="J2299" s="545">
        <v>3.4761904761904758</v>
      </c>
    </row>
    <row r="2300" spans="1:10">
      <c r="A2300" s="441">
        <v>2015</v>
      </c>
      <c r="B2300" s="441" t="s">
        <v>2834</v>
      </c>
      <c r="C2300" s="545">
        <v>2.6666666666666665</v>
      </c>
      <c r="D2300" s="545">
        <v>0.33333333333333331</v>
      </c>
      <c r="E2300" s="545">
        <v>1.3333333333333333</v>
      </c>
      <c r="F2300" s="545">
        <v>2.1428571428571428</v>
      </c>
      <c r="G2300" s="545">
        <v>0.45</v>
      </c>
      <c r="H2300" s="545">
        <v>1</v>
      </c>
      <c r="I2300" s="545">
        <v>0</v>
      </c>
      <c r="J2300" s="545">
        <v>0.4642857142857143</v>
      </c>
    </row>
    <row r="2301" spans="1:10">
      <c r="A2301" s="441">
        <v>2009</v>
      </c>
      <c r="B2301" s="441" t="s">
        <v>2835</v>
      </c>
      <c r="C2301" s="545">
        <v>1.6666666666666665</v>
      </c>
      <c r="D2301" s="545">
        <v>2</v>
      </c>
      <c r="E2301" s="545">
        <v>0.66666666666666663</v>
      </c>
      <c r="F2301" s="545">
        <v>1.5714285714285712</v>
      </c>
      <c r="G2301" s="545">
        <v>1.3</v>
      </c>
      <c r="H2301" s="545">
        <v>1</v>
      </c>
      <c r="I2301" s="545">
        <v>0.66666666666666663</v>
      </c>
      <c r="J2301" s="545">
        <v>1.1666666666666665</v>
      </c>
    </row>
    <row r="2302" spans="1:10">
      <c r="A2302" s="441">
        <v>2689</v>
      </c>
      <c r="B2302" s="441" t="s">
        <v>2836</v>
      </c>
      <c r="C2302" s="545">
        <v>5</v>
      </c>
      <c r="D2302" s="545">
        <v>1.3333333333333333</v>
      </c>
      <c r="E2302" s="545">
        <v>1.3333333333333333</v>
      </c>
      <c r="F2302" s="545">
        <v>3.9523809523809521</v>
      </c>
      <c r="G2302" s="545">
        <v>2.0499999999999998</v>
      </c>
      <c r="H2302" s="545">
        <v>0</v>
      </c>
      <c r="I2302" s="545">
        <v>3</v>
      </c>
      <c r="J2302" s="545">
        <v>1.8928571428571428</v>
      </c>
    </row>
    <row r="2303" spans="1:10">
      <c r="A2303" s="441">
        <v>4879</v>
      </c>
      <c r="B2303" s="441" t="s">
        <v>2836</v>
      </c>
      <c r="C2303" s="545">
        <v>0.66666666666666663</v>
      </c>
      <c r="D2303" s="545">
        <v>0.33333333333333331</v>
      </c>
      <c r="E2303" s="545">
        <v>0.66666666666666663</v>
      </c>
      <c r="F2303" s="545">
        <v>0.61904761904761896</v>
      </c>
      <c r="G2303" s="545">
        <v>1.25</v>
      </c>
      <c r="H2303" s="545">
        <v>2.3333333333333335</v>
      </c>
      <c r="I2303" s="545">
        <v>0.33333333333333331</v>
      </c>
      <c r="J2303" s="545">
        <v>1.2738095238095239</v>
      </c>
    </row>
    <row r="2304" spans="1:10">
      <c r="A2304" s="441">
        <v>10091</v>
      </c>
      <c r="B2304" s="441" t="s">
        <v>2837</v>
      </c>
      <c r="C2304" s="545">
        <v>12.5</v>
      </c>
      <c r="D2304" s="545">
        <v>11.333333333333332</v>
      </c>
      <c r="E2304" s="545">
        <v>7.3333333333333339</v>
      </c>
      <c r="F2304" s="545">
        <v>11.595238095238093</v>
      </c>
      <c r="G2304" s="545">
        <v>8.3000000000000007</v>
      </c>
      <c r="H2304" s="545">
        <v>10.333333333333334</v>
      </c>
      <c r="I2304" s="545">
        <v>5.333333333333333</v>
      </c>
      <c r="J2304" s="545">
        <v>8.1666666666666679</v>
      </c>
    </row>
    <row r="2305" spans="1:10">
      <c r="A2305" s="441">
        <v>3755</v>
      </c>
      <c r="B2305" s="441" t="s">
        <v>2838</v>
      </c>
      <c r="C2305" s="545">
        <v>7.8333333333333339</v>
      </c>
      <c r="D2305" s="545">
        <v>7.6666666666666661</v>
      </c>
      <c r="E2305" s="545">
        <v>9</v>
      </c>
      <c r="F2305" s="545">
        <v>7.9761904761904763</v>
      </c>
      <c r="G2305" s="545">
        <v>5.8</v>
      </c>
      <c r="H2305" s="545">
        <v>24.333333333333332</v>
      </c>
      <c r="I2305" s="545">
        <v>9.6666666666666661</v>
      </c>
      <c r="J2305" s="545">
        <v>8.9999999999999982</v>
      </c>
    </row>
    <row r="2306" spans="1:10">
      <c r="A2306" s="441">
        <v>2693</v>
      </c>
      <c r="B2306" s="441" t="s">
        <v>2839</v>
      </c>
      <c r="C2306" s="545">
        <v>14</v>
      </c>
      <c r="D2306" s="545">
        <v>7.333333333333333</v>
      </c>
      <c r="E2306" s="545">
        <v>11.666666666666668</v>
      </c>
      <c r="F2306" s="545">
        <v>12.714285714285714</v>
      </c>
      <c r="G2306" s="545">
        <v>11</v>
      </c>
      <c r="H2306" s="545">
        <v>8.3333333333333339</v>
      </c>
      <c r="I2306" s="545">
        <v>9.3333333333333339</v>
      </c>
      <c r="J2306" s="545">
        <v>10.380952380952381</v>
      </c>
    </row>
    <row r="2307" spans="1:10">
      <c r="A2307" s="441">
        <v>3756</v>
      </c>
      <c r="B2307" s="441" t="s">
        <v>2840</v>
      </c>
      <c r="C2307" s="545">
        <v>0.16666666666666666</v>
      </c>
      <c r="D2307" s="545">
        <v>0.33333333333333331</v>
      </c>
      <c r="E2307" s="545">
        <v>0</v>
      </c>
      <c r="F2307" s="545">
        <v>0.16666666666666666</v>
      </c>
      <c r="G2307" s="545">
        <v>0.35</v>
      </c>
      <c r="H2307" s="545">
        <v>0</v>
      </c>
      <c r="I2307" s="545">
        <v>0</v>
      </c>
      <c r="J2307" s="545">
        <v>0.25</v>
      </c>
    </row>
    <row r="2308" spans="1:10">
      <c r="A2308" s="441">
        <v>3758</v>
      </c>
      <c r="B2308" s="441" t="s">
        <v>2841</v>
      </c>
      <c r="C2308" s="545">
        <v>1.3333333333333335</v>
      </c>
      <c r="D2308" s="545">
        <v>0.33333333333333331</v>
      </c>
      <c r="E2308" s="545">
        <v>0.33333333333333331</v>
      </c>
      <c r="F2308" s="545">
        <v>1.0476190476190477</v>
      </c>
      <c r="G2308" s="545">
        <v>1.05</v>
      </c>
      <c r="H2308" s="545">
        <v>1.3333333333333333</v>
      </c>
      <c r="I2308" s="545">
        <v>0.33333333333333331</v>
      </c>
      <c r="J2308" s="545">
        <v>0.98809523809523803</v>
      </c>
    </row>
    <row r="2309" spans="1:10">
      <c r="A2309" s="441">
        <v>4873</v>
      </c>
      <c r="B2309" s="441" t="s">
        <v>2842</v>
      </c>
      <c r="C2309" s="545">
        <v>0.83333333333333337</v>
      </c>
      <c r="D2309" s="545">
        <v>0.33333333333333331</v>
      </c>
      <c r="E2309" s="545">
        <v>0.66666666666666663</v>
      </c>
      <c r="F2309" s="545">
        <v>0.73809523809523814</v>
      </c>
      <c r="G2309" s="545">
        <v>2.2000000000000002</v>
      </c>
      <c r="H2309" s="545">
        <v>0.66666666666666663</v>
      </c>
      <c r="I2309" s="545">
        <v>1.3333333333333333</v>
      </c>
      <c r="J2309" s="545">
        <v>1.8571428571428572</v>
      </c>
    </row>
    <row r="2310" spans="1:10">
      <c r="A2310" s="441">
        <v>2690</v>
      </c>
      <c r="B2310" s="441" t="s">
        <v>2843</v>
      </c>
      <c r="C2310" s="545">
        <v>6.6666666666666661</v>
      </c>
      <c r="D2310" s="545">
        <v>5</v>
      </c>
      <c r="E2310" s="545">
        <v>3</v>
      </c>
      <c r="F2310" s="545">
        <v>5.9047619047619042</v>
      </c>
      <c r="G2310" s="545">
        <v>3.9</v>
      </c>
      <c r="H2310" s="545">
        <v>4.666666666666667</v>
      </c>
      <c r="I2310" s="545">
        <v>4.333333333333333</v>
      </c>
      <c r="J2310" s="545">
        <v>4.0714285714285712</v>
      </c>
    </row>
    <row r="2311" spans="1:10">
      <c r="A2311" s="441">
        <v>2691</v>
      </c>
      <c r="B2311" s="441" t="s">
        <v>2844</v>
      </c>
      <c r="C2311" s="545">
        <v>1.1666666666666667</v>
      </c>
      <c r="D2311" s="545">
        <v>0.66666666666666663</v>
      </c>
      <c r="E2311" s="545">
        <v>8.6666666666666661</v>
      </c>
      <c r="F2311" s="545">
        <v>2.166666666666667</v>
      </c>
      <c r="G2311" s="545">
        <v>0.85</v>
      </c>
      <c r="H2311" s="545">
        <v>0.66666666666666663</v>
      </c>
      <c r="I2311" s="545">
        <v>0.66666666666666663</v>
      </c>
      <c r="J2311" s="545">
        <v>0.79761904761904767</v>
      </c>
    </row>
    <row r="2312" spans="1:10">
      <c r="A2312" s="441">
        <v>4875</v>
      </c>
      <c r="B2312" s="441" t="s">
        <v>2844</v>
      </c>
      <c r="C2312" s="545">
        <v>2.166666666666667</v>
      </c>
      <c r="D2312" s="545">
        <v>1.6666666666666667</v>
      </c>
      <c r="E2312" s="545">
        <v>1</v>
      </c>
      <c r="F2312" s="545">
        <v>1.9285714285714288</v>
      </c>
      <c r="G2312" s="545">
        <v>0.2</v>
      </c>
      <c r="H2312" s="545">
        <v>1.3333333333333333</v>
      </c>
      <c r="I2312" s="545">
        <v>0</v>
      </c>
      <c r="J2312" s="545">
        <v>0.33333333333333331</v>
      </c>
    </row>
    <row r="2313" spans="1:10">
      <c r="A2313" s="441">
        <v>3180</v>
      </c>
      <c r="B2313" s="441" t="s">
        <v>2845</v>
      </c>
      <c r="C2313" s="545">
        <v>0.16666666666666666</v>
      </c>
      <c r="D2313" s="545">
        <v>0</v>
      </c>
      <c r="E2313" s="545">
        <v>0</v>
      </c>
      <c r="F2313" s="545">
        <v>0.11904761904761904</v>
      </c>
      <c r="G2313" s="545">
        <v>0.05</v>
      </c>
      <c r="H2313" s="545">
        <v>0</v>
      </c>
      <c r="I2313" s="545">
        <v>0</v>
      </c>
      <c r="J2313" s="545">
        <v>3.5714285714285712E-2</v>
      </c>
    </row>
    <row r="2314" spans="1:10">
      <c r="A2314" s="441">
        <v>4877</v>
      </c>
      <c r="B2314" s="441" t="s">
        <v>2846</v>
      </c>
      <c r="C2314" s="545">
        <v>2.6666666666666665</v>
      </c>
      <c r="D2314" s="545">
        <v>3.3333333333333335</v>
      </c>
      <c r="E2314" s="545">
        <v>1</v>
      </c>
      <c r="F2314" s="545">
        <v>2.5238095238095233</v>
      </c>
      <c r="G2314" s="545">
        <v>1.25</v>
      </c>
      <c r="H2314" s="545">
        <v>2.3333333333333335</v>
      </c>
      <c r="I2314" s="545">
        <v>7.333333333333333</v>
      </c>
      <c r="J2314" s="545">
        <v>2.2738095238095242</v>
      </c>
    </row>
    <row r="2315" spans="1:10">
      <c r="A2315" s="441">
        <v>2013</v>
      </c>
      <c r="B2315" s="441" t="s">
        <v>2847</v>
      </c>
      <c r="C2315" s="545">
        <v>4.166666666666667</v>
      </c>
      <c r="D2315" s="545">
        <v>2.333333333333333</v>
      </c>
      <c r="E2315" s="545">
        <v>0</v>
      </c>
      <c r="F2315" s="545">
        <v>3.3095238095238098</v>
      </c>
      <c r="G2315" s="545">
        <v>1.9</v>
      </c>
      <c r="H2315" s="545">
        <v>2.6666666666666665</v>
      </c>
      <c r="I2315" s="545">
        <v>1</v>
      </c>
      <c r="J2315" s="545">
        <v>1.8809523809523809</v>
      </c>
    </row>
    <row r="2316" spans="1:10">
      <c r="A2316" s="441">
        <v>3757</v>
      </c>
      <c r="B2316" s="441" t="s">
        <v>2847</v>
      </c>
      <c r="C2316" s="545">
        <v>1</v>
      </c>
      <c r="D2316" s="545">
        <v>0.33333333333333331</v>
      </c>
      <c r="E2316" s="545">
        <v>0.66666666666666663</v>
      </c>
      <c r="F2316" s="545">
        <v>0.8571428571428571</v>
      </c>
      <c r="G2316" s="545">
        <v>1.05</v>
      </c>
      <c r="H2316" s="545">
        <v>0.33333333333333331</v>
      </c>
      <c r="I2316" s="545">
        <v>0</v>
      </c>
      <c r="J2316" s="545">
        <v>0.79761904761904756</v>
      </c>
    </row>
    <row r="2317" spans="1:10">
      <c r="A2317" s="441">
        <v>4872</v>
      </c>
      <c r="B2317" s="441" t="s">
        <v>2848</v>
      </c>
      <c r="C2317" s="545">
        <v>15.166666666666668</v>
      </c>
      <c r="D2317" s="545">
        <v>7</v>
      </c>
      <c r="E2317" s="545">
        <v>4.666666666666667</v>
      </c>
      <c r="F2317" s="545">
        <v>12.500000000000002</v>
      </c>
      <c r="G2317" s="545">
        <v>8.6</v>
      </c>
      <c r="H2317" s="545">
        <v>9.3333333333333339</v>
      </c>
      <c r="I2317" s="545">
        <v>7.666666666666667</v>
      </c>
      <c r="J2317" s="545">
        <v>8.5714285714285712</v>
      </c>
    </row>
    <row r="2318" spans="1:10">
      <c r="A2318" s="441">
        <v>4883</v>
      </c>
      <c r="B2318" s="441" t="s">
        <v>2849</v>
      </c>
      <c r="C2318" s="545">
        <v>2.333333333333333</v>
      </c>
      <c r="D2318" s="545">
        <v>0.33333333333333331</v>
      </c>
      <c r="E2318" s="545">
        <v>0</v>
      </c>
      <c r="F2318" s="545">
        <v>1.714285714285714</v>
      </c>
      <c r="G2318" s="545">
        <v>0.45</v>
      </c>
      <c r="H2318" s="545">
        <v>1.6666666666666667</v>
      </c>
      <c r="I2318" s="545">
        <v>0.33333333333333331</v>
      </c>
      <c r="J2318" s="545">
        <v>0.6071428571428571</v>
      </c>
    </row>
    <row r="2319" spans="1:10">
      <c r="A2319" s="441">
        <v>3178</v>
      </c>
      <c r="B2319" s="441" t="s">
        <v>2850</v>
      </c>
      <c r="C2319" s="545">
        <v>2.1666666666666665</v>
      </c>
      <c r="D2319" s="545">
        <v>1.6666666666666667</v>
      </c>
      <c r="E2319" s="545">
        <v>0.33333333333333331</v>
      </c>
      <c r="F2319" s="545">
        <v>1.8333333333333333</v>
      </c>
      <c r="G2319" s="545">
        <v>1.25</v>
      </c>
      <c r="H2319" s="545">
        <v>2.3333333333333335</v>
      </c>
      <c r="I2319" s="545">
        <v>0.33333333333333331</v>
      </c>
      <c r="J2319" s="545">
        <v>1.2738095238095239</v>
      </c>
    </row>
    <row r="2320" spans="1:10">
      <c r="A2320" s="441">
        <v>3759</v>
      </c>
      <c r="B2320" s="441" t="s">
        <v>2851</v>
      </c>
      <c r="C2320" s="545">
        <v>0.66666666666666663</v>
      </c>
      <c r="D2320" s="545">
        <v>0</v>
      </c>
      <c r="E2320" s="545">
        <v>0.33333333333333331</v>
      </c>
      <c r="F2320" s="545">
        <v>0.52380952380952384</v>
      </c>
      <c r="G2320" s="545">
        <v>1.5</v>
      </c>
      <c r="H2320" s="545">
        <v>0.66666666666666663</v>
      </c>
      <c r="I2320" s="545">
        <v>0</v>
      </c>
      <c r="J2320" s="545">
        <v>1.1666666666666665</v>
      </c>
    </row>
    <row r="2321" spans="1:10">
      <c r="A2321" s="441">
        <v>4881</v>
      </c>
      <c r="B2321" s="441" t="s">
        <v>2852</v>
      </c>
      <c r="C2321" s="545">
        <v>16.666666666666668</v>
      </c>
      <c r="D2321" s="545">
        <v>13.333333333333332</v>
      </c>
      <c r="E2321" s="545">
        <v>6</v>
      </c>
      <c r="F2321" s="545">
        <v>14.666666666666668</v>
      </c>
      <c r="G2321" s="545">
        <v>25.95</v>
      </c>
      <c r="H2321" s="545">
        <v>25</v>
      </c>
      <c r="I2321" s="545">
        <v>17.333333333333332</v>
      </c>
      <c r="J2321" s="545">
        <v>24.583333333333336</v>
      </c>
    </row>
    <row r="2322" spans="1:10">
      <c r="A2322" s="441">
        <v>2012</v>
      </c>
      <c r="B2322" s="441" t="s">
        <v>2853</v>
      </c>
      <c r="C2322" s="545">
        <v>1.1666666666666665</v>
      </c>
      <c r="D2322" s="545">
        <v>1.3333333333333333</v>
      </c>
      <c r="E2322" s="545">
        <v>1.3333333333333333</v>
      </c>
      <c r="F2322" s="545">
        <v>1.214285714285714</v>
      </c>
      <c r="G2322" s="545">
        <v>0.7</v>
      </c>
      <c r="H2322" s="545">
        <v>0</v>
      </c>
      <c r="I2322" s="545">
        <v>2.6666666666666665</v>
      </c>
      <c r="J2322" s="545">
        <v>0.88095238095238082</v>
      </c>
    </row>
    <row r="2323" spans="1:10">
      <c r="A2323" s="441">
        <v>4874</v>
      </c>
      <c r="B2323" s="441" t="s">
        <v>2854</v>
      </c>
      <c r="C2323" s="545">
        <v>0</v>
      </c>
      <c r="D2323" s="545">
        <v>0</v>
      </c>
      <c r="E2323" s="545">
        <v>0.33333333333333331</v>
      </c>
      <c r="F2323" s="545">
        <v>4.7619047619047616E-2</v>
      </c>
      <c r="G2323" s="545">
        <v>0.55000000000000004</v>
      </c>
      <c r="H2323" s="545">
        <v>0</v>
      </c>
      <c r="I2323" s="545">
        <v>0</v>
      </c>
      <c r="J2323" s="545">
        <v>0.39285714285714285</v>
      </c>
    </row>
    <row r="2324" spans="1:10">
      <c r="A2324" s="441">
        <v>4876</v>
      </c>
      <c r="B2324" s="441" t="s">
        <v>2855</v>
      </c>
      <c r="C2324" s="545">
        <v>0.33333333333333331</v>
      </c>
      <c r="D2324" s="545">
        <v>1</v>
      </c>
      <c r="E2324" s="545">
        <v>0.33333333333333331</v>
      </c>
      <c r="F2324" s="545">
        <v>0.42857142857142855</v>
      </c>
      <c r="G2324" s="545">
        <v>1.35</v>
      </c>
      <c r="H2324" s="545">
        <v>2</v>
      </c>
      <c r="I2324" s="545">
        <v>1.3333333333333333</v>
      </c>
      <c r="J2324" s="545">
        <v>1.4404761904761905</v>
      </c>
    </row>
    <row r="2325" spans="1:10">
      <c r="A2325" s="441">
        <v>10046</v>
      </c>
      <c r="B2325" s="441" t="s">
        <v>2856</v>
      </c>
      <c r="C2325" s="545">
        <v>17</v>
      </c>
      <c r="D2325" s="545">
        <v>14.666666666666668</v>
      </c>
      <c r="E2325" s="545">
        <v>12</v>
      </c>
      <c r="F2325" s="545">
        <v>15.952380952380953</v>
      </c>
      <c r="G2325" s="545">
        <v>9.1999999999999993</v>
      </c>
      <c r="H2325" s="545">
        <v>9.6666666666666661</v>
      </c>
      <c r="I2325" s="545">
        <v>6</v>
      </c>
      <c r="J2325" s="545">
        <v>8.8095238095238084</v>
      </c>
    </row>
    <row r="2326" spans="1:10">
      <c r="A2326" s="441">
        <v>2008</v>
      </c>
      <c r="B2326" s="441" t="s">
        <v>2857</v>
      </c>
      <c r="C2326" s="545">
        <v>2.166666666666667</v>
      </c>
      <c r="D2326" s="545">
        <v>1.6666666666666665</v>
      </c>
      <c r="E2326" s="545">
        <v>0.33333333333333331</v>
      </c>
      <c r="F2326" s="545">
        <v>1.8333333333333337</v>
      </c>
      <c r="G2326" s="545">
        <v>2.6</v>
      </c>
      <c r="H2326" s="545">
        <v>1.6666666666666667</v>
      </c>
      <c r="I2326" s="545">
        <v>0.66666666666666663</v>
      </c>
      <c r="J2326" s="545">
        <v>2.1904761904761902</v>
      </c>
    </row>
    <row r="2327" spans="1:10">
      <c r="A2327" s="441">
        <v>3179</v>
      </c>
      <c r="B2327" s="441" t="s">
        <v>2858</v>
      </c>
      <c r="C2327" s="545">
        <v>0.16666666666666666</v>
      </c>
      <c r="D2327" s="545">
        <v>0</v>
      </c>
      <c r="E2327" s="545">
        <v>0</v>
      </c>
      <c r="F2327" s="545">
        <v>0.11904761904761904</v>
      </c>
      <c r="G2327" s="545">
        <v>0.1</v>
      </c>
      <c r="H2327" s="545">
        <v>0.66666666666666663</v>
      </c>
      <c r="I2327" s="545">
        <v>0</v>
      </c>
      <c r="J2327" s="545">
        <v>0.16666666666666666</v>
      </c>
    </row>
    <row r="2328" spans="1:10">
      <c r="A2328" s="441">
        <v>4880</v>
      </c>
      <c r="B2328" s="441" t="s">
        <v>2859</v>
      </c>
      <c r="C2328" s="545">
        <v>0.5</v>
      </c>
      <c r="D2328" s="545">
        <v>1</v>
      </c>
      <c r="E2328" s="545">
        <v>0</v>
      </c>
      <c r="F2328" s="545">
        <v>0.5</v>
      </c>
      <c r="G2328" s="545">
        <v>1.4</v>
      </c>
      <c r="H2328" s="545">
        <v>3</v>
      </c>
      <c r="I2328" s="545">
        <v>1</v>
      </c>
      <c r="J2328" s="545">
        <v>1.5714285714285714</v>
      </c>
    </row>
    <row r="2329" spans="1:10">
      <c r="A2329" s="441">
        <v>4871</v>
      </c>
      <c r="B2329" s="441" t="s">
        <v>2860</v>
      </c>
      <c r="C2329" s="545">
        <v>1.8333333333333335</v>
      </c>
      <c r="D2329" s="545">
        <v>0.66666666666666663</v>
      </c>
      <c r="E2329" s="545">
        <v>0.33333333333333331</v>
      </c>
      <c r="F2329" s="545">
        <v>1.4523809523809526</v>
      </c>
      <c r="G2329" s="545">
        <v>2.35</v>
      </c>
      <c r="H2329" s="545">
        <v>5.333333333333333</v>
      </c>
      <c r="I2329" s="545">
        <v>1.6666666666666667</v>
      </c>
      <c r="J2329" s="545">
        <v>2.6785714285714284</v>
      </c>
    </row>
    <row r="2330" spans="1:10">
      <c r="A2330" s="441">
        <v>4884</v>
      </c>
      <c r="B2330" s="441" t="s">
        <v>2861</v>
      </c>
      <c r="C2330" s="545">
        <v>37.333333333333329</v>
      </c>
      <c r="D2330" s="545">
        <v>27.666666666666664</v>
      </c>
      <c r="E2330" s="545">
        <v>20</v>
      </c>
      <c r="F2330" s="545">
        <v>33.476190476190467</v>
      </c>
      <c r="G2330" s="545">
        <v>29.75</v>
      </c>
      <c r="H2330" s="545">
        <v>26.666666666666668</v>
      </c>
      <c r="I2330" s="545">
        <v>15.333333333333334</v>
      </c>
      <c r="J2330" s="545">
        <v>27.25</v>
      </c>
    </row>
    <row r="2331" spans="1:10">
      <c r="A2331" s="441">
        <v>4432</v>
      </c>
      <c r="B2331" s="441" t="s">
        <v>2862</v>
      </c>
      <c r="C2331" s="545">
        <v>3.8333333333333335</v>
      </c>
      <c r="D2331" s="545">
        <v>1.3333333333333333</v>
      </c>
      <c r="E2331" s="545">
        <v>1.3333333333333333</v>
      </c>
      <c r="F2331" s="545">
        <v>3.1190476190476191</v>
      </c>
      <c r="G2331" s="545">
        <v>1.1499999999999999</v>
      </c>
      <c r="H2331" s="545">
        <v>0.33333333333333331</v>
      </c>
      <c r="I2331" s="545">
        <v>0.66666666666666663</v>
      </c>
      <c r="J2331" s="545">
        <v>0.9642857142857143</v>
      </c>
    </row>
    <row r="2332" spans="1:10">
      <c r="A2332" s="441">
        <v>10064</v>
      </c>
      <c r="B2332" s="441" t="s">
        <v>2862</v>
      </c>
      <c r="C2332" s="545">
        <v>2.5</v>
      </c>
      <c r="D2332" s="545">
        <v>0.66666666666666663</v>
      </c>
      <c r="E2332" s="545">
        <v>1</v>
      </c>
      <c r="F2332" s="545">
        <v>2.0238095238095237</v>
      </c>
      <c r="G2332" s="545">
        <v>3.25</v>
      </c>
      <c r="H2332" s="545">
        <v>1.3333333333333333</v>
      </c>
      <c r="I2332" s="545">
        <v>0.33333333333333331</v>
      </c>
      <c r="J2332" s="545">
        <v>2.5595238095238093</v>
      </c>
    </row>
    <row r="2333" spans="1:10">
      <c r="A2333" s="441">
        <v>2011</v>
      </c>
      <c r="B2333" s="441" t="s">
        <v>2863</v>
      </c>
      <c r="C2333" s="545">
        <v>0.33333333333333331</v>
      </c>
      <c r="D2333" s="545">
        <v>0</v>
      </c>
      <c r="E2333" s="545">
        <v>0</v>
      </c>
      <c r="F2333" s="545">
        <v>0.23809523809523808</v>
      </c>
      <c r="G2333" s="545">
        <v>0.65</v>
      </c>
      <c r="H2333" s="545">
        <v>0</v>
      </c>
      <c r="I2333" s="545">
        <v>0</v>
      </c>
      <c r="J2333" s="545">
        <v>0.4642857142857143</v>
      </c>
    </row>
    <row r="2334" spans="1:10">
      <c r="A2334" s="441">
        <v>4431</v>
      </c>
      <c r="B2334" s="441" t="s">
        <v>2864</v>
      </c>
      <c r="C2334" s="545">
        <v>2.8333333333333335</v>
      </c>
      <c r="D2334" s="545">
        <v>1.6666666666666665</v>
      </c>
      <c r="E2334" s="545">
        <v>0.66666666666666663</v>
      </c>
      <c r="F2334" s="545">
        <v>2.3571428571428572</v>
      </c>
      <c r="G2334" s="545">
        <v>1.65</v>
      </c>
      <c r="H2334" s="545">
        <v>0.66666666666666663</v>
      </c>
      <c r="I2334" s="545">
        <v>0</v>
      </c>
      <c r="J2334" s="545">
        <v>1.2738095238095237</v>
      </c>
    </row>
    <row r="2335" spans="1:10">
      <c r="A2335" s="441">
        <v>2014</v>
      </c>
      <c r="B2335" s="441" t="s">
        <v>2865</v>
      </c>
      <c r="C2335" s="545">
        <v>4.666666666666667</v>
      </c>
      <c r="D2335" s="545">
        <v>0.66666666666666663</v>
      </c>
      <c r="E2335" s="545">
        <v>0</v>
      </c>
      <c r="F2335" s="545">
        <v>3.4285714285714293</v>
      </c>
      <c r="G2335" s="545">
        <v>0.55000000000000004</v>
      </c>
      <c r="H2335" s="545">
        <v>0.33333333333333331</v>
      </c>
      <c r="I2335" s="545">
        <v>0</v>
      </c>
      <c r="J2335" s="545">
        <v>0.44047619047619052</v>
      </c>
    </row>
    <row r="2336" spans="1:10">
      <c r="A2336" s="441">
        <v>4882</v>
      </c>
      <c r="B2336" s="441" t="s">
        <v>2866</v>
      </c>
      <c r="C2336" s="545">
        <v>55</v>
      </c>
      <c r="D2336" s="545">
        <v>48</v>
      </c>
      <c r="E2336" s="545">
        <v>41</v>
      </c>
      <c r="F2336" s="545">
        <v>52</v>
      </c>
      <c r="G2336" s="545">
        <v>58.3</v>
      </c>
      <c r="H2336" s="545">
        <v>47.666666666666664</v>
      </c>
      <c r="I2336" s="545">
        <v>54.333333333333336</v>
      </c>
      <c r="J2336" s="545">
        <v>56.214285714285715</v>
      </c>
    </row>
    <row r="2337" spans="1:10">
      <c r="A2337" s="441">
        <v>2007</v>
      </c>
      <c r="B2337" s="441" t="s">
        <v>2867</v>
      </c>
      <c r="C2337" s="545">
        <v>2.6666666666666665</v>
      </c>
      <c r="D2337" s="545">
        <v>3.3333333333333335</v>
      </c>
      <c r="E2337" s="545">
        <v>2.3333333333333335</v>
      </c>
      <c r="F2337" s="545">
        <v>2.714285714285714</v>
      </c>
      <c r="G2337" s="545">
        <v>5.9</v>
      </c>
      <c r="H2337" s="545">
        <v>1.6666666666666667</v>
      </c>
      <c r="I2337" s="545">
        <v>3.3333333333333335</v>
      </c>
      <c r="J2337" s="545">
        <v>4.9285714285714288</v>
      </c>
    </row>
    <row r="2338" spans="1:10">
      <c r="A2338" s="441">
        <v>4870</v>
      </c>
      <c r="B2338" s="441" t="s">
        <v>2868</v>
      </c>
      <c r="C2338" s="545">
        <v>4.833333333333333</v>
      </c>
      <c r="D2338" s="545">
        <v>3.333333333333333</v>
      </c>
      <c r="E2338" s="545">
        <v>0.66666666666666663</v>
      </c>
      <c r="F2338" s="545">
        <v>4.0238095238095237</v>
      </c>
      <c r="G2338" s="545">
        <v>2.85</v>
      </c>
      <c r="H2338" s="545">
        <v>6</v>
      </c>
      <c r="I2338" s="545">
        <v>5.333333333333333</v>
      </c>
      <c r="J2338" s="545">
        <v>3.6547619047619047</v>
      </c>
    </row>
    <row r="2339" spans="1:10">
      <c r="A2339" s="441">
        <v>10094</v>
      </c>
      <c r="B2339" s="441" t="s">
        <v>2869</v>
      </c>
      <c r="C2339" s="545">
        <v>1.5</v>
      </c>
      <c r="D2339" s="545">
        <v>0</v>
      </c>
      <c r="E2339" s="545">
        <v>0</v>
      </c>
      <c r="F2339" s="545">
        <v>1.0714285714285714</v>
      </c>
      <c r="G2339" s="545">
        <v>1.65</v>
      </c>
      <c r="H2339" s="545">
        <v>0</v>
      </c>
      <c r="I2339" s="545">
        <v>0.66666666666666663</v>
      </c>
      <c r="J2339" s="545">
        <v>1.2738095238095237</v>
      </c>
    </row>
    <row r="2340" spans="1:10">
      <c r="A2340" s="441">
        <v>2692</v>
      </c>
      <c r="B2340" s="441" t="s">
        <v>2870</v>
      </c>
      <c r="C2340" s="545">
        <v>0.83333333333333326</v>
      </c>
      <c r="D2340" s="545">
        <v>1</v>
      </c>
      <c r="E2340" s="545">
        <v>0</v>
      </c>
      <c r="F2340" s="545">
        <v>0.73809523809523803</v>
      </c>
      <c r="G2340" s="545">
        <v>0.7</v>
      </c>
      <c r="H2340" s="545">
        <v>0.33333333333333331</v>
      </c>
      <c r="I2340" s="545">
        <v>1</v>
      </c>
      <c r="J2340" s="545">
        <v>0.69047619047619058</v>
      </c>
    </row>
    <row r="2341" spans="1:10">
      <c r="A2341" s="441">
        <v>2688</v>
      </c>
      <c r="B2341" s="441" t="s">
        <v>2871</v>
      </c>
      <c r="C2341" s="545">
        <v>1.8333333333333335</v>
      </c>
      <c r="D2341" s="545">
        <v>0</v>
      </c>
      <c r="E2341" s="545">
        <v>0.33333333333333331</v>
      </c>
      <c r="F2341" s="545">
        <v>1.3571428571428574</v>
      </c>
      <c r="G2341" s="545">
        <v>0.55000000000000004</v>
      </c>
      <c r="H2341" s="545">
        <v>0.66666666666666663</v>
      </c>
      <c r="I2341" s="545">
        <v>0.66666666666666663</v>
      </c>
      <c r="J2341" s="545">
        <v>0.58333333333333326</v>
      </c>
    </row>
    <row r="2342" spans="1:10">
      <c r="A2342" s="441">
        <v>4430</v>
      </c>
      <c r="B2342" s="441" t="s">
        <v>2872</v>
      </c>
      <c r="C2342" s="545">
        <v>8.1666666666666679</v>
      </c>
      <c r="D2342" s="545">
        <v>6</v>
      </c>
      <c r="E2342" s="545">
        <v>6</v>
      </c>
      <c r="F2342" s="545">
        <v>7.5476190476190492</v>
      </c>
      <c r="G2342" s="545">
        <v>4.25</v>
      </c>
      <c r="H2342" s="545">
        <v>2</v>
      </c>
      <c r="I2342" s="545">
        <v>3.6666666666666665</v>
      </c>
      <c r="J2342" s="545">
        <v>3.8452380952380953</v>
      </c>
    </row>
    <row r="2343" spans="1:10">
      <c r="A2343" s="441">
        <v>10242</v>
      </c>
      <c r="B2343" s="441" t="s">
        <v>2873</v>
      </c>
      <c r="C2343" s="545">
        <v>50.166666666666671</v>
      </c>
      <c r="D2343" s="545">
        <v>29.666666666666668</v>
      </c>
      <c r="E2343" s="545">
        <v>22.666666666666664</v>
      </c>
      <c r="F2343" s="545">
        <v>43.309523809523817</v>
      </c>
      <c r="G2343" s="545">
        <v>31.85</v>
      </c>
      <c r="H2343" s="545">
        <v>12.666666666666666</v>
      </c>
      <c r="I2343" s="545">
        <v>10</v>
      </c>
      <c r="J2343" s="545">
        <v>25.988095238095237</v>
      </c>
    </row>
    <row r="2344" spans="1:10">
      <c r="A2344" s="441">
        <v>10092</v>
      </c>
      <c r="B2344" s="441" t="s">
        <v>2874</v>
      </c>
      <c r="C2344" s="545">
        <v>3.5</v>
      </c>
      <c r="D2344" s="545">
        <v>3.6666666666666665</v>
      </c>
      <c r="E2344" s="545">
        <v>4</v>
      </c>
      <c r="F2344" s="545">
        <v>3.5952380952380953</v>
      </c>
      <c r="G2344" s="545">
        <v>4.5</v>
      </c>
      <c r="H2344" s="545">
        <v>4</v>
      </c>
      <c r="I2344" s="545">
        <v>4.666666666666667</v>
      </c>
      <c r="J2344" s="545">
        <v>4.4523809523809526</v>
      </c>
    </row>
    <row r="2345" spans="1:10">
      <c r="A2345" s="441">
        <v>2685</v>
      </c>
      <c r="B2345" s="441" t="s">
        <v>2875</v>
      </c>
      <c r="C2345" s="545">
        <v>8.5</v>
      </c>
      <c r="D2345" s="545">
        <v>9</v>
      </c>
      <c r="E2345" s="545">
        <v>5.333333333333333</v>
      </c>
      <c r="F2345" s="545">
        <v>8.1190476190476186</v>
      </c>
      <c r="G2345" s="545">
        <v>7.55</v>
      </c>
      <c r="H2345" s="545">
        <v>7</v>
      </c>
      <c r="I2345" s="545">
        <v>9.3333333333333339</v>
      </c>
      <c r="J2345" s="545">
        <v>7.7261904761904763</v>
      </c>
    </row>
    <row r="2346" spans="1:10">
      <c r="A2346" s="441">
        <v>2686</v>
      </c>
      <c r="B2346" s="441" t="s">
        <v>2876</v>
      </c>
      <c r="C2346" s="545">
        <v>48.833333333333336</v>
      </c>
      <c r="D2346" s="545">
        <v>41.666666666666671</v>
      </c>
      <c r="E2346" s="545">
        <v>27.333333333333332</v>
      </c>
      <c r="F2346" s="545">
        <v>44.738095238095241</v>
      </c>
      <c r="G2346" s="545">
        <v>51.4</v>
      </c>
      <c r="H2346" s="545">
        <v>44</v>
      </c>
      <c r="I2346" s="545">
        <v>43</v>
      </c>
      <c r="J2346" s="545">
        <v>49.142857142857146</v>
      </c>
    </row>
    <row r="2347" spans="1:10">
      <c r="A2347" s="441">
        <v>2687</v>
      </c>
      <c r="B2347" s="441" t="s">
        <v>2877</v>
      </c>
      <c r="C2347" s="545">
        <v>17.5</v>
      </c>
      <c r="D2347" s="545">
        <v>15.333333333333332</v>
      </c>
      <c r="E2347" s="545">
        <v>12</v>
      </c>
      <c r="F2347" s="545">
        <v>16.404761904761905</v>
      </c>
      <c r="G2347" s="545">
        <v>27.6</v>
      </c>
      <c r="H2347" s="545">
        <v>22.333333333333332</v>
      </c>
      <c r="I2347" s="545">
        <v>16.666666666666668</v>
      </c>
      <c r="J2347" s="545">
        <v>25.285714285714285</v>
      </c>
    </row>
    <row r="2348" spans="1:10">
      <c r="A2348" s="441">
        <v>4878</v>
      </c>
      <c r="B2348" s="441" t="s">
        <v>2878</v>
      </c>
      <c r="C2348" s="545">
        <v>7.3333333333333339</v>
      </c>
      <c r="D2348" s="545">
        <v>5.6666666666666661</v>
      </c>
      <c r="E2348" s="545">
        <v>3.3333333333333335</v>
      </c>
      <c r="F2348" s="545">
        <v>6.5238095238095246</v>
      </c>
      <c r="G2348" s="545">
        <v>8.1999999999999993</v>
      </c>
      <c r="H2348" s="545">
        <v>4.666666666666667</v>
      </c>
      <c r="I2348" s="545">
        <v>9.6666666666666661</v>
      </c>
      <c r="J2348" s="545">
        <v>7.9047619047619042</v>
      </c>
    </row>
    <row r="2349" spans="1:10">
      <c r="A2349" s="441">
        <v>10093</v>
      </c>
      <c r="B2349" s="441" t="s">
        <v>2879</v>
      </c>
      <c r="C2349" s="545">
        <v>16.5</v>
      </c>
      <c r="D2349" s="545">
        <v>12.666666666666668</v>
      </c>
      <c r="E2349" s="545">
        <v>5.6666666666666661</v>
      </c>
      <c r="F2349" s="545">
        <v>14.404761904761907</v>
      </c>
      <c r="G2349" s="545">
        <v>8.8000000000000007</v>
      </c>
      <c r="H2349" s="545">
        <v>5.333333333333333</v>
      </c>
      <c r="I2349" s="545">
        <v>4.333333333333333</v>
      </c>
      <c r="J2349" s="545">
        <v>7.666666666666667</v>
      </c>
    </row>
    <row r="2350" spans="1:10">
      <c r="A2350" s="441">
        <v>2010</v>
      </c>
      <c r="B2350" s="441" t="s">
        <v>2880</v>
      </c>
      <c r="C2350" s="545">
        <v>6.666666666666667</v>
      </c>
      <c r="D2350" s="545">
        <v>6</v>
      </c>
      <c r="E2350" s="545">
        <v>2.6666666666666665</v>
      </c>
      <c r="F2350" s="545">
        <v>6</v>
      </c>
      <c r="G2350" s="545">
        <v>8.25</v>
      </c>
      <c r="H2350" s="545">
        <v>10.666666666666666</v>
      </c>
      <c r="I2350" s="545">
        <v>2</v>
      </c>
      <c r="J2350" s="545">
        <v>7.7023809523809517</v>
      </c>
    </row>
    <row r="2351" spans="1:10">
      <c r="A2351" s="441">
        <v>10095</v>
      </c>
      <c r="B2351" s="441" t="s">
        <v>2881</v>
      </c>
      <c r="C2351" s="545">
        <v>3.6666666666666665</v>
      </c>
      <c r="D2351" s="545">
        <v>2.3333333333333335</v>
      </c>
      <c r="E2351" s="545">
        <v>3.666666666666667</v>
      </c>
      <c r="F2351" s="545">
        <v>3.4761904761904758</v>
      </c>
      <c r="G2351" s="545">
        <v>1.75</v>
      </c>
      <c r="H2351" s="545">
        <v>0.33333333333333331</v>
      </c>
      <c r="I2351" s="545">
        <v>0.33333333333333331</v>
      </c>
      <c r="J2351" s="545">
        <v>1.3452380952380953</v>
      </c>
    </row>
    <row r="2352" spans="1:10">
      <c r="A2352" s="441">
        <v>90</v>
      </c>
      <c r="B2352" s="441" t="s">
        <v>2882</v>
      </c>
      <c r="C2352" s="545">
        <v>946.5</v>
      </c>
      <c r="D2352" s="545">
        <v>16.666666666666664</v>
      </c>
      <c r="E2352" s="545">
        <v>3.333333333333333</v>
      </c>
      <c r="F2352" s="545">
        <v>678.92857142857144</v>
      </c>
      <c r="G2352" s="545">
        <v>5</v>
      </c>
      <c r="H2352" s="545">
        <v>8</v>
      </c>
      <c r="I2352" s="545">
        <v>7</v>
      </c>
      <c r="J2352" s="545">
        <v>5.7142857142857144</v>
      </c>
    </row>
    <row r="2353" spans="1:10">
      <c r="A2353" s="441">
        <v>9103</v>
      </c>
      <c r="B2353" s="441" t="s">
        <v>2883</v>
      </c>
      <c r="C2353" s="545">
        <v>4.1666666666666661</v>
      </c>
      <c r="D2353" s="545">
        <v>1.3333333333333333</v>
      </c>
      <c r="E2353" s="545">
        <v>2</v>
      </c>
      <c r="F2353" s="545">
        <v>3.4523809523809517</v>
      </c>
      <c r="G2353" s="545">
        <v>1.25</v>
      </c>
      <c r="H2353" s="545">
        <v>0.33333333333333331</v>
      </c>
      <c r="I2353" s="545">
        <v>1</v>
      </c>
      <c r="J2353" s="545">
        <v>1.0833333333333333</v>
      </c>
    </row>
    <row r="2354" spans="1:10">
      <c r="A2354" s="441">
        <v>9117</v>
      </c>
      <c r="B2354" s="441" t="s">
        <v>2884</v>
      </c>
      <c r="C2354" s="545">
        <v>1.6666666666666667</v>
      </c>
      <c r="D2354" s="545">
        <v>1.3333333333333333</v>
      </c>
      <c r="E2354" s="545">
        <v>1</v>
      </c>
      <c r="F2354" s="545">
        <v>1.5238095238095239</v>
      </c>
      <c r="G2354" s="545">
        <v>7.6</v>
      </c>
      <c r="H2354" s="545">
        <v>3.3333333333333335</v>
      </c>
      <c r="I2354" s="545">
        <v>4</v>
      </c>
      <c r="J2354" s="545">
        <v>6.4761904761904763</v>
      </c>
    </row>
    <row r="2355" spans="1:10">
      <c r="A2355" s="441">
        <v>1283</v>
      </c>
      <c r="B2355" s="441" t="s">
        <v>2885</v>
      </c>
      <c r="C2355" s="545">
        <v>9.1666666666666661</v>
      </c>
      <c r="D2355" s="545">
        <v>6.333333333333333</v>
      </c>
      <c r="E2355" s="545">
        <v>5</v>
      </c>
      <c r="F2355" s="545">
        <v>8.1666666666666661</v>
      </c>
      <c r="G2355" s="545">
        <v>12.1</v>
      </c>
      <c r="H2355" s="545">
        <v>8.3333333333333339</v>
      </c>
      <c r="I2355" s="545">
        <v>3.6666666666666665</v>
      </c>
      <c r="J2355" s="545">
        <v>10.357142857142858</v>
      </c>
    </row>
    <row r="2356" spans="1:10">
      <c r="A2356" s="441">
        <v>1268</v>
      </c>
      <c r="B2356" s="441" t="s">
        <v>2886</v>
      </c>
      <c r="C2356" s="545">
        <v>4.166666666666667</v>
      </c>
      <c r="D2356" s="545">
        <v>2</v>
      </c>
      <c r="E2356" s="545">
        <v>2</v>
      </c>
      <c r="F2356" s="545">
        <v>3.5476190476190479</v>
      </c>
      <c r="G2356" s="545">
        <v>2.15</v>
      </c>
      <c r="H2356" s="545">
        <v>0.66666666666666663</v>
      </c>
      <c r="I2356" s="545">
        <v>1</v>
      </c>
      <c r="J2356" s="545">
        <v>1.7738095238095237</v>
      </c>
    </row>
    <row r="2357" spans="1:10">
      <c r="A2357" s="441">
        <v>1289</v>
      </c>
      <c r="B2357" s="441" t="s">
        <v>2886</v>
      </c>
      <c r="C2357" s="545">
        <v>3.6666666666666665</v>
      </c>
      <c r="D2357" s="545">
        <v>0.66666666666666663</v>
      </c>
      <c r="E2357" s="545">
        <v>0.66666666666666663</v>
      </c>
      <c r="F2357" s="545">
        <v>2.8095238095238098</v>
      </c>
      <c r="G2357" s="545">
        <v>0.6</v>
      </c>
      <c r="H2357" s="545">
        <v>0.66666666666666663</v>
      </c>
      <c r="I2357" s="545">
        <v>0.66666666666666663</v>
      </c>
      <c r="J2357" s="545">
        <v>0.61904761904761896</v>
      </c>
    </row>
    <row r="2358" spans="1:10">
      <c r="A2358" s="441">
        <v>1269</v>
      </c>
      <c r="B2358" s="441" t="s">
        <v>2887</v>
      </c>
      <c r="C2358" s="545">
        <v>1.3333333333333335</v>
      </c>
      <c r="D2358" s="545">
        <v>1</v>
      </c>
      <c r="E2358" s="545">
        <v>1.6666666666666665</v>
      </c>
      <c r="F2358" s="545">
        <v>1.3333333333333335</v>
      </c>
      <c r="G2358" s="545">
        <v>0.5</v>
      </c>
      <c r="H2358" s="545">
        <v>1</v>
      </c>
      <c r="I2358" s="545">
        <v>0.33333333333333331</v>
      </c>
      <c r="J2358" s="545">
        <v>0.54761904761904767</v>
      </c>
    </row>
    <row r="2359" spans="1:10">
      <c r="A2359" s="441">
        <v>1288</v>
      </c>
      <c r="B2359" s="441" t="s">
        <v>2887</v>
      </c>
      <c r="C2359" s="545">
        <v>1.8333333333333335</v>
      </c>
      <c r="D2359" s="545">
        <v>1</v>
      </c>
      <c r="E2359" s="545">
        <v>1.3333333333333333</v>
      </c>
      <c r="F2359" s="545">
        <v>1.642857142857143</v>
      </c>
      <c r="G2359" s="545">
        <v>0.85</v>
      </c>
      <c r="H2359" s="545">
        <v>0.66666666666666663</v>
      </c>
      <c r="I2359" s="545">
        <v>0</v>
      </c>
      <c r="J2359" s="545">
        <v>0.70238095238095244</v>
      </c>
    </row>
    <row r="2360" spans="1:10">
      <c r="A2360" s="441">
        <v>1275</v>
      </c>
      <c r="B2360" s="441" t="s">
        <v>2888</v>
      </c>
      <c r="C2360" s="545">
        <v>3.6666666666666665</v>
      </c>
      <c r="D2360" s="545">
        <v>1.3333333333333333</v>
      </c>
      <c r="E2360" s="545">
        <v>0.66666666666666663</v>
      </c>
      <c r="F2360" s="545">
        <v>2.9047619047619047</v>
      </c>
      <c r="G2360" s="545">
        <v>1.9</v>
      </c>
      <c r="H2360" s="545">
        <v>2</v>
      </c>
      <c r="I2360" s="545">
        <v>1</v>
      </c>
      <c r="J2360" s="545">
        <v>1.7857142857142858</v>
      </c>
    </row>
    <row r="2361" spans="1:10">
      <c r="A2361" s="441">
        <v>1282</v>
      </c>
      <c r="B2361" s="441" t="s">
        <v>2888</v>
      </c>
      <c r="C2361" s="545">
        <v>1.6666666666666665</v>
      </c>
      <c r="D2361" s="545">
        <v>1.3333333333333333</v>
      </c>
      <c r="E2361" s="545">
        <v>0.33333333333333331</v>
      </c>
      <c r="F2361" s="545">
        <v>1.4285714285714286</v>
      </c>
      <c r="G2361" s="545">
        <v>1</v>
      </c>
      <c r="H2361" s="545">
        <v>0.33333333333333331</v>
      </c>
      <c r="I2361" s="545">
        <v>0</v>
      </c>
      <c r="J2361" s="545">
        <v>0.76190476190476186</v>
      </c>
    </row>
    <row r="2362" spans="1:10">
      <c r="A2362" s="441">
        <v>1273</v>
      </c>
      <c r="B2362" s="441" t="s">
        <v>2889</v>
      </c>
      <c r="C2362" s="545">
        <v>2.8333333333333335</v>
      </c>
      <c r="D2362" s="545">
        <v>3</v>
      </c>
      <c r="E2362" s="545">
        <v>3</v>
      </c>
      <c r="F2362" s="545">
        <v>2.8809523809523809</v>
      </c>
      <c r="G2362" s="545">
        <v>7.7</v>
      </c>
      <c r="H2362" s="545">
        <v>7</v>
      </c>
      <c r="I2362" s="545">
        <v>4</v>
      </c>
      <c r="J2362" s="545">
        <v>7.0714285714285712</v>
      </c>
    </row>
    <row r="2363" spans="1:10">
      <c r="A2363" s="441">
        <v>1284</v>
      </c>
      <c r="B2363" s="441" t="s">
        <v>2889</v>
      </c>
      <c r="C2363" s="545">
        <v>1.8333333333333335</v>
      </c>
      <c r="D2363" s="545">
        <v>1.6666666666666665</v>
      </c>
      <c r="E2363" s="545">
        <v>2</v>
      </c>
      <c r="F2363" s="545">
        <v>1.8333333333333335</v>
      </c>
      <c r="G2363" s="545">
        <v>3.55</v>
      </c>
      <c r="H2363" s="545">
        <v>2.3333333333333335</v>
      </c>
      <c r="I2363" s="545">
        <v>1</v>
      </c>
      <c r="J2363" s="545">
        <v>3.0119047619047619</v>
      </c>
    </row>
    <row r="2364" spans="1:10">
      <c r="A2364" s="441">
        <v>1270</v>
      </c>
      <c r="B2364" s="441" t="s">
        <v>2890</v>
      </c>
      <c r="C2364" s="545">
        <v>1.1666666666666667</v>
      </c>
      <c r="D2364" s="545">
        <v>1</v>
      </c>
      <c r="E2364" s="545">
        <v>0.66666666666666663</v>
      </c>
      <c r="F2364" s="545">
        <v>1.0714285714285716</v>
      </c>
      <c r="G2364" s="545">
        <v>2.5</v>
      </c>
      <c r="H2364" s="545">
        <v>1.3333333333333333</v>
      </c>
      <c r="I2364" s="545">
        <v>0</v>
      </c>
      <c r="J2364" s="545">
        <v>1.9761904761904763</v>
      </c>
    </row>
    <row r="2365" spans="1:10">
      <c r="A2365" s="441">
        <v>1287</v>
      </c>
      <c r="B2365" s="441" t="s">
        <v>2890</v>
      </c>
      <c r="C2365" s="545">
        <v>1.6666666666666665</v>
      </c>
      <c r="D2365" s="545">
        <v>2</v>
      </c>
      <c r="E2365" s="545">
        <v>1.3333333333333333</v>
      </c>
      <c r="F2365" s="545">
        <v>1.6666666666666665</v>
      </c>
      <c r="G2365" s="545">
        <v>2.6</v>
      </c>
      <c r="H2365" s="545">
        <v>1.6666666666666667</v>
      </c>
      <c r="I2365" s="545">
        <v>1.3333333333333333</v>
      </c>
      <c r="J2365" s="545">
        <v>2.2857142857142856</v>
      </c>
    </row>
    <row r="2366" spans="1:10">
      <c r="A2366" s="441">
        <v>1271</v>
      </c>
      <c r="B2366" s="441" t="s">
        <v>2891</v>
      </c>
      <c r="C2366" s="545">
        <v>2</v>
      </c>
      <c r="D2366" s="545">
        <v>0.66666666666666663</v>
      </c>
      <c r="E2366" s="545">
        <v>1</v>
      </c>
      <c r="F2366" s="545">
        <v>1.6666666666666665</v>
      </c>
      <c r="G2366" s="545">
        <v>3.65</v>
      </c>
      <c r="H2366" s="545">
        <v>2</v>
      </c>
      <c r="I2366" s="545">
        <v>1.3333333333333333</v>
      </c>
      <c r="J2366" s="545">
        <v>3.083333333333333</v>
      </c>
    </row>
    <row r="2367" spans="1:10">
      <c r="A2367" s="441">
        <v>1286</v>
      </c>
      <c r="B2367" s="441" t="s">
        <v>2891</v>
      </c>
      <c r="C2367" s="545">
        <v>3</v>
      </c>
      <c r="D2367" s="545">
        <v>3</v>
      </c>
      <c r="E2367" s="545">
        <v>0.33333333333333331</v>
      </c>
      <c r="F2367" s="545">
        <v>2.6190476190476191</v>
      </c>
      <c r="G2367" s="545">
        <v>5.65</v>
      </c>
      <c r="H2367" s="545">
        <v>1.6666666666666667</v>
      </c>
      <c r="I2367" s="545">
        <v>0.66666666666666663</v>
      </c>
      <c r="J2367" s="545">
        <v>4.3690476190476195</v>
      </c>
    </row>
    <row r="2368" spans="1:10">
      <c r="A2368" s="441">
        <v>1272</v>
      </c>
      <c r="B2368" s="441" t="s">
        <v>2892</v>
      </c>
      <c r="C2368" s="545">
        <v>2.6666666666666665</v>
      </c>
      <c r="D2368" s="545">
        <v>2.3333333333333335</v>
      </c>
      <c r="E2368" s="545">
        <v>3</v>
      </c>
      <c r="F2368" s="545">
        <v>2.6666666666666665</v>
      </c>
      <c r="G2368" s="545">
        <v>2.5</v>
      </c>
      <c r="H2368" s="545">
        <v>2.3333333333333335</v>
      </c>
      <c r="I2368" s="545">
        <v>2.3333333333333335</v>
      </c>
      <c r="J2368" s="545">
        <v>2.4523809523809526</v>
      </c>
    </row>
    <row r="2369" spans="1:10">
      <c r="A2369" s="441">
        <v>1285</v>
      </c>
      <c r="B2369" s="441" t="s">
        <v>2892</v>
      </c>
      <c r="C2369" s="545">
        <v>3</v>
      </c>
      <c r="D2369" s="545">
        <v>3.3333333333333335</v>
      </c>
      <c r="E2369" s="545">
        <v>3</v>
      </c>
      <c r="F2369" s="545">
        <v>3.0476190476190474</v>
      </c>
      <c r="G2369" s="545">
        <v>0.65</v>
      </c>
      <c r="H2369" s="545">
        <v>0.33333333333333331</v>
      </c>
      <c r="I2369" s="545">
        <v>0.33333333333333331</v>
      </c>
      <c r="J2369" s="545">
        <v>0.55952380952380953</v>
      </c>
    </row>
    <row r="2370" spans="1:10">
      <c r="A2370" s="441">
        <v>1274</v>
      </c>
      <c r="B2370" s="441" t="s">
        <v>2893</v>
      </c>
      <c r="C2370" s="545">
        <v>7.6666666666666661</v>
      </c>
      <c r="D2370" s="545">
        <v>10.666666666666668</v>
      </c>
      <c r="E2370" s="545">
        <v>6</v>
      </c>
      <c r="F2370" s="545">
        <v>7.8571428571428568</v>
      </c>
      <c r="G2370" s="545">
        <v>7.5</v>
      </c>
      <c r="H2370" s="545">
        <v>6.666666666666667</v>
      </c>
      <c r="I2370" s="545">
        <v>3.3333333333333335</v>
      </c>
      <c r="J2370" s="545">
        <v>6.7857142857142856</v>
      </c>
    </row>
    <row r="2371" spans="1:10">
      <c r="A2371" s="441">
        <v>1267</v>
      </c>
      <c r="B2371" s="441" t="s">
        <v>2894</v>
      </c>
      <c r="C2371" s="545">
        <v>9.5</v>
      </c>
      <c r="D2371" s="545">
        <v>4.333333333333333</v>
      </c>
      <c r="E2371" s="545">
        <v>3.666666666666667</v>
      </c>
      <c r="F2371" s="545">
        <v>7.9285714285714288</v>
      </c>
      <c r="G2371" s="545">
        <v>2.8</v>
      </c>
      <c r="H2371" s="545">
        <v>0.66666666666666663</v>
      </c>
      <c r="I2371" s="545">
        <v>2.6666666666666665</v>
      </c>
      <c r="J2371" s="545">
        <v>2.4761904761904758</v>
      </c>
    </row>
    <row r="2372" spans="1:10">
      <c r="A2372" s="441">
        <v>1290</v>
      </c>
      <c r="B2372" s="441" t="s">
        <v>2894</v>
      </c>
      <c r="C2372" s="545">
        <v>11.333333333333332</v>
      </c>
      <c r="D2372" s="545">
        <v>6.3333333333333339</v>
      </c>
      <c r="E2372" s="545">
        <v>3.3333333333333335</v>
      </c>
      <c r="F2372" s="545">
        <v>9.4761904761904763</v>
      </c>
      <c r="G2372" s="545">
        <v>5.95</v>
      </c>
      <c r="H2372" s="545">
        <v>4.333333333333333</v>
      </c>
      <c r="I2372" s="545">
        <v>3.6666666666666665</v>
      </c>
      <c r="J2372" s="545">
        <v>5.3928571428571432</v>
      </c>
    </row>
    <row r="2373" spans="1:10">
      <c r="A2373" s="441">
        <v>75</v>
      </c>
      <c r="B2373" s="441" t="s">
        <v>2895</v>
      </c>
      <c r="C2373" s="545">
        <v>4456.333333333333</v>
      </c>
      <c r="D2373" s="545">
        <v>2732</v>
      </c>
      <c r="E2373" s="545">
        <v>2484.333333333333</v>
      </c>
      <c r="F2373" s="545">
        <v>3928.2857142857138</v>
      </c>
      <c r="G2373" s="545">
        <v>2778.75</v>
      </c>
      <c r="H2373" s="545">
        <v>2065.3333333333335</v>
      </c>
      <c r="I2373" s="545">
        <v>1634.3333333333333</v>
      </c>
      <c r="J2373" s="545">
        <v>2513.3452380952381</v>
      </c>
    </row>
    <row r="2374" spans="1:10">
      <c r="A2374" s="441">
        <v>9104</v>
      </c>
      <c r="B2374" s="441" t="s">
        <v>2896</v>
      </c>
      <c r="C2374" s="545">
        <v>56.166666666666664</v>
      </c>
      <c r="D2374" s="545">
        <v>29.333333333333332</v>
      </c>
      <c r="E2374" s="545">
        <v>33.666666666666664</v>
      </c>
      <c r="F2374" s="545">
        <v>49.119047619047613</v>
      </c>
      <c r="G2374" s="545">
        <v>66.900000000000006</v>
      </c>
      <c r="H2374" s="545">
        <v>52</v>
      </c>
      <c r="I2374" s="545">
        <v>45.666666666666664</v>
      </c>
      <c r="J2374" s="545">
        <v>61.738095238095241</v>
      </c>
    </row>
    <row r="2375" spans="1:10">
      <c r="A2375" s="441">
        <v>9115</v>
      </c>
      <c r="B2375" s="441" t="s">
        <v>2896</v>
      </c>
      <c r="C2375" s="545">
        <v>57</v>
      </c>
      <c r="D2375" s="545">
        <v>42.333333333333329</v>
      </c>
      <c r="E2375" s="545">
        <v>28.666666666666668</v>
      </c>
      <c r="F2375" s="545">
        <v>50.857142857142854</v>
      </c>
      <c r="G2375" s="545">
        <v>64</v>
      </c>
      <c r="H2375" s="545">
        <v>57.666666666666664</v>
      </c>
      <c r="I2375" s="545">
        <v>44.666666666666664</v>
      </c>
      <c r="J2375" s="545">
        <v>60.333333333333336</v>
      </c>
    </row>
    <row r="2376" spans="1:10">
      <c r="A2376" s="441">
        <v>9116</v>
      </c>
      <c r="B2376" s="441" t="s">
        <v>2897</v>
      </c>
      <c r="C2376" s="545">
        <v>2.1666666666666665</v>
      </c>
      <c r="D2376" s="545">
        <v>2</v>
      </c>
      <c r="E2376" s="545">
        <v>1</v>
      </c>
      <c r="F2376" s="545">
        <v>1.9761904761904761</v>
      </c>
      <c r="G2376" s="545">
        <v>0.9</v>
      </c>
      <c r="H2376" s="545">
        <v>0.33333333333333331</v>
      </c>
      <c r="I2376" s="545">
        <v>0</v>
      </c>
      <c r="J2376" s="545">
        <v>0.69047619047619047</v>
      </c>
    </row>
    <row r="2377" spans="1:10">
      <c r="A2377" s="441">
        <v>11577</v>
      </c>
      <c r="B2377" s="441" t="s">
        <v>2898</v>
      </c>
      <c r="C2377" s="545">
        <v>4.8333333333333339</v>
      </c>
      <c r="D2377" s="545">
        <v>1</v>
      </c>
      <c r="E2377" s="545">
        <v>1</v>
      </c>
      <c r="F2377" s="545">
        <v>3.7380952380952386</v>
      </c>
      <c r="G2377" s="545">
        <v>3.25</v>
      </c>
      <c r="H2377" s="545">
        <v>4</v>
      </c>
      <c r="I2377" s="545">
        <v>0.33333333333333331</v>
      </c>
      <c r="J2377" s="545">
        <v>2.9404761904761902</v>
      </c>
    </row>
    <row r="2378" spans="1:10">
      <c r="A2378" s="441">
        <v>868</v>
      </c>
      <c r="B2378" s="441" t="s">
        <v>2899</v>
      </c>
      <c r="C2378" s="545">
        <v>2</v>
      </c>
      <c r="D2378" s="545">
        <v>2.333333333333333</v>
      </c>
      <c r="E2378" s="545">
        <v>1.6666666666666667</v>
      </c>
      <c r="F2378" s="545">
        <v>1.9999999999999998</v>
      </c>
      <c r="G2378" s="545">
        <v>2.35</v>
      </c>
      <c r="H2378" s="545">
        <v>1.3333333333333333</v>
      </c>
      <c r="I2378" s="545">
        <v>1</v>
      </c>
      <c r="J2378" s="545">
        <v>2.0119047619047619</v>
      </c>
    </row>
    <row r="2379" spans="1:10">
      <c r="A2379" s="441">
        <v>10202</v>
      </c>
      <c r="B2379" s="441" t="s">
        <v>2900</v>
      </c>
      <c r="C2379" s="545">
        <v>111.33333333333334</v>
      </c>
      <c r="D2379" s="545">
        <v>83.666666666666657</v>
      </c>
      <c r="E2379" s="545">
        <v>53.333333333333336</v>
      </c>
      <c r="F2379" s="545">
        <v>99.095238095238102</v>
      </c>
      <c r="G2379" s="545">
        <v>155.15</v>
      </c>
      <c r="H2379" s="545">
        <v>49.666666666666664</v>
      </c>
      <c r="I2379" s="545">
        <v>58.333333333333336</v>
      </c>
      <c r="J2379" s="545">
        <v>126.25</v>
      </c>
    </row>
    <row r="2380" spans="1:10">
      <c r="A2380" s="441">
        <v>87</v>
      </c>
      <c r="B2380" s="441" t="s">
        <v>2901</v>
      </c>
      <c r="C2380" s="545">
        <v>91</v>
      </c>
      <c r="D2380" s="545">
        <v>0</v>
      </c>
      <c r="E2380" s="545">
        <v>0</v>
      </c>
      <c r="F2380" s="545">
        <v>65</v>
      </c>
      <c r="G2380" s="545">
        <v>53.25</v>
      </c>
      <c r="H2380" s="545"/>
      <c r="I2380" s="545"/>
      <c r="J2380" s="545">
        <v>38.035714285714285</v>
      </c>
    </row>
    <row r="2381" spans="1:10">
      <c r="A2381" s="441">
        <v>12168</v>
      </c>
      <c r="B2381" s="441" t="s">
        <v>2902</v>
      </c>
      <c r="C2381" s="545">
        <v>67</v>
      </c>
      <c r="D2381" s="545">
        <v>0</v>
      </c>
      <c r="E2381" s="545">
        <v>0</v>
      </c>
      <c r="F2381" s="545">
        <v>47.857142857142854</v>
      </c>
      <c r="G2381" s="545">
        <v>33.15</v>
      </c>
      <c r="H2381" s="545"/>
      <c r="I2381" s="545"/>
      <c r="J2381" s="545">
        <v>23.678571428571427</v>
      </c>
    </row>
    <row r="2382" spans="1:10">
      <c r="A2382" s="441">
        <v>12170</v>
      </c>
      <c r="B2382" s="441" t="s">
        <v>2903</v>
      </c>
      <c r="C2382" s="545">
        <v>85.166666666666671</v>
      </c>
      <c r="D2382" s="545">
        <v>18.333333333333332</v>
      </c>
      <c r="E2382" s="545">
        <v>24.333333333333332</v>
      </c>
      <c r="F2382" s="545">
        <v>66.928571428571431</v>
      </c>
      <c r="G2382" s="545">
        <v>127.75</v>
      </c>
      <c r="H2382" s="545">
        <v>28.333333333333332</v>
      </c>
      <c r="I2382" s="545">
        <v>18.666666666666668</v>
      </c>
      <c r="J2382" s="545">
        <v>97.964285714285708</v>
      </c>
    </row>
    <row r="2383" spans="1:10">
      <c r="A2383" s="441">
        <v>9400</v>
      </c>
      <c r="B2383" s="441" t="s">
        <v>2904</v>
      </c>
      <c r="C2383" s="545">
        <v>110.83333333333333</v>
      </c>
      <c r="D2383" s="545">
        <v>27.333333333333332</v>
      </c>
      <c r="E2383" s="545">
        <v>24.666666666666664</v>
      </c>
      <c r="F2383" s="545">
        <v>86.595238095238088</v>
      </c>
      <c r="G2383" s="545">
        <v>159.69999999999999</v>
      </c>
      <c r="H2383" s="545">
        <v>30</v>
      </c>
      <c r="I2383" s="545">
        <v>26</v>
      </c>
      <c r="J2383" s="545">
        <v>122.07142857142857</v>
      </c>
    </row>
    <row r="2384" spans="1:10">
      <c r="A2384" s="441">
        <v>10010</v>
      </c>
      <c r="B2384" s="441" t="s">
        <v>2905</v>
      </c>
      <c r="C2384" s="545">
        <v>5.166666666666667</v>
      </c>
      <c r="D2384" s="545">
        <v>0</v>
      </c>
      <c r="E2384" s="545">
        <v>0</v>
      </c>
      <c r="F2384" s="545">
        <v>3.6904761904761907</v>
      </c>
      <c r="G2384" s="545">
        <v>3.3</v>
      </c>
      <c r="H2384" s="545">
        <v>1.3333333333333333</v>
      </c>
      <c r="I2384" s="545">
        <v>0</v>
      </c>
      <c r="J2384" s="545">
        <v>2.5476190476190474</v>
      </c>
    </row>
    <row r="2385" spans="1:10">
      <c r="A2385" s="441">
        <v>9647</v>
      </c>
      <c r="B2385" s="441" t="s">
        <v>2906</v>
      </c>
      <c r="C2385" s="545">
        <v>36.166666666666671</v>
      </c>
      <c r="D2385" s="545">
        <v>2.3333333333333335</v>
      </c>
      <c r="E2385" s="545">
        <v>2.6666666666666665</v>
      </c>
      <c r="F2385" s="545">
        <v>26.547619047619055</v>
      </c>
      <c r="G2385" s="545">
        <v>42.9</v>
      </c>
      <c r="H2385" s="545">
        <v>4.333333333333333</v>
      </c>
      <c r="I2385" s="545">
        <v>2</v>
      </c>
      <c r="J2385" s="545">
        <v>31.547619047619047</v>
      </c>
    </row>
    <row r="2386" spans="1:10">
      <c r="A2386" s="441">
        <v>2630</v>
      </c>
      <c r="B2386" s="441" t="s">
        <v>2907</v>
      </c>
      <c r="C2386" s="545">
        <v>14.166666666666668</v>
      </c>
      <c r="D2386" s="545">
        <v>7</v>
      </c>
      <c r="E2386" s="545">
        <v>9</v>
      </c>
      <c r="F2386" s="545">
        <v>12.404761904761907</v>
      </c>
      <c r="G2386" s="545">
        <v>5.8</v>
      </c>
      <c r="H2386" s="545">
        <v>3.3333333333333335</v>
      </c>
      <c r="I2386" s="545">
        <v>2.3333333333333335</v>
      </c>
      <c r="J2386" s="545">
        <v>4.9523809523809534</v>
      </c>
    </row>
    <row r="2387" spans="1:10">
      <c r="A2387" s="441">
        <v>2629</v>
      </c>
      <c r="B2387" s="441" t="s">
        <v>2908</v>
      </c>
      <c r="C2387" s="545">
        <v>6.333333333333333</v>
      </c>
      <c r="D2387" s="545">
        <v>1.3333333333333333</v>
      </c>
      <c r="E2387" s="545">
        <v>2.3333333333333335</v>
      </c>
      <c r="F2387" s="545">
        <v>5.0476190476190483</v>
      </c>
      <c r="G2387" s="545">
        <v>3.4</v>
      </c>
      <c r="H2387" s="545">
        <v>1.3333333333333333</v>
      </c>
      <c r="I2387" s="545">
        <v>1.3333333333333333</v>
      </c>
      <c r="J2387" s="545">
        <v>2.8095238095238093</v>
      </c>
    </row>
    <row r="2388" spans="1:10">
      <c r="A2388" s="441">
        <v>11933</v>
      </c>
      <c r="B2388" s="441" t="s">
        <v>2909</v>
      </c>
      <c r="C2388" s="545">
        <v>4.6666666666666661</v>
      </c>
      <c r="D2388" s="545">
        <v>1</v>
      </c>
      <c r="E2388" s="545">
        <v>3</v>
      </c>
      <c r="F2388" s="545">
        <v>3.9047619047619042</v>
      </c>
      <c r="G2388" s="545">
        <v>2</v>
      </c>
      <c r="H2388" s="545">
        <v>1</v>
      </c>
      <c r="I2388" s="545">
        <v>0.66666666666666663</v>
      </c>
      <c r="J2388" s="545">
        <v>1.6666666666666665</v>
      </c>
    </row>
    <row r="2389" spans="1:10">
      <c r="A2389" s="441">
        <v>11934</v>
      </c>
      <c r="B2389" s="441" t="s">
        <v>2909</v>
      </c>
      <c r="C2389" s="545">
        <v>9</v>
      </c>
      <c r="D2389" s="545">
        <v>5.333333333333333</v>
      </c>
      <c r="E2389" s="545">
        <v>2.6666666666666665</v>
      </c>
      <c r="F2389" s="545">
        <v>7.5714285714285712</v>
      </c>
      <c r="G2389" s="545">
        <v>3.75</v>
      </c>
      <c r="H2389" s="545">
        <v>0.66666666666666663</v>
      </c>
      <c r="I2389" s="545">
        <v>25.333333333333332</v>
      </c>
      <c r="J2389" s="545">
        <v>6.3928571428571432</v>
      </c>
    </row>
    <row r="2390" spans="1:10">
      <c r="A2390" s="441">
        <v>10630</v>
      </c>
      <c r="B2390" s="441" t="s">
        <v>2910</v>
      </c>
      <c r="C2390" s="545">
        <v>66.166666666666657</v>
      </c>
      <c r="D2390" s="545">
        <v>43</v>
      </c>
      <c r="E2390" s="545">
        <v>14.666666666666668</v>
      </c>
      <c r="F2390" s="545">
        <v>55.499999999999993</v>
      </c>
      <c r="G2390" s="545">
        <v>42.85</v>
      </c>
      <c r="H2390" s="545">
        <v>20.666666666666668</v>
      </c>
      <c r="I2390" s="545">
        <v>13.333333333333334</v>
      </c>
      <c r="J2390" s="545">
        <v>35.464285714285715</v>
      </c>
    </row>
    <row r="2391" spans="1:10">
      <c r="A2391" s="441">
        <v>10631</v>
      </c>
      <c r="B2391" s="441" t="s">
        <v>2910</v>
      </c>
      <c r="C2391" s="545">
        <v>72.333333333333329</v>
      </c>
      <c r="D2391" s="545">
        <v>38.333333333333329</v>
      </c>
      <c r="E2391" s="545">
        <v>20.333333333333332</v>
      </c>
      <c r="F2391" s="545">
        <v>60.047619047619037</v>
      </c>
      <c r="G2391" s="545">
        <v>65.650000000000006</v>
      </c>
      <c r="H2391" s="545">
        <v>19.666666666666668</v>
      </c>
      <c r="I2391" s="545">
        <v>21</v>
      </c>
      <c r="J2391" s="545">
        <v>52.702380952380956</v>
      </c>
    </row>
    <row r="2392" spans="1:10">
      <c r="A2392" s="441">
        <v>11823</v>
      </c>
      <c r="B2392" s="441" t="s">
        <v>2911</v>
      </c>
      <c r="C2392" s="545">
        <v>7</v>
      </c>
      <c r="D2392" s="545">
        <v>1.3333333333333333</v>
      </c>
      <c r="E2392" s="545">
        <v>1.3333333333333333</v>
      </c>
      <c r="F2392" s="545">
        <v>5.3809523809523814</v>
      </c>
      <c r="G2392" s="545">
        <v>3.85</v>
      </c>
      <c r="H2392" s="545">
        <v>0.33333333333333331</v>
      </c>
      <c r="I2392" s="545">
        <v>2</v>
      </c>
      <c r="J2392" s="545">
        <v>3.083333333333333</v>
      </c>
    </row>
    <row r="2393" spans="1:10">
      <c r="A2393" s="441">
        <v>11824</v>
      </c>
      <c r="B2393" s="441" t="s">
        <v>2911</v>
      </c>
      <c r="C2393" s="545">
        <v>4</v>
      </c>
      <c r="D2393" s="545">
        <v>0.66666666666666663</v>
      </c>
      <c r="E2393" s="545">
        <v>0.33333333333333331</v>
      </c>
      <c r="F2393" s="545">
        <v>3</v>
      </c>
      <c r="G2393" s="545">
        <v>2.5499999999999998</v>
      </c>
      <c r="H2393" s="545">
        <v>0.66666666666666663</v>
      </c>
      <c r="I2393" s="545">
        <v>0.33333333333333331</v>
      </c>
      <c r="J2393" s="545">
        <v>1.9642857142857142</v>
      </c>
    </row>
    <row r="2394" spans="1:10">
      <c r="A2394" s="441">
        <v>8973</v>
      </c>
      <c r="B2394" s="441" t="s">
        <v>2912</v>
      </c>
      <c r="C2394" s="545">
        <v>31.166666666666664</v>
      </c>
      <c r="D2394" s="545">
        <v>13.666666666666668</v>
      </c>
      <c r="E2394" s="545">
        <v>7</v>
      </c>
      <c r="F2394" s="545">
        <v>25.214285714285712</v>
      </c>
      <c r="G2394" s="545">
        <v>12.95</v>
      </c>
      <c r="H2394" s="545">
        <v>5</v>
      </c>
      <c r="I2394" s="545">
        <v>2.3333333333333335</v>
      </c>
      <c r="J2394" s="545">
        <v>10.297619047619047</v>
      </c>
    </row>
    <row r="2395" spans="1:10">
      <c r="A2395" s="441">
        <v>10628</v>
      </c>
      <c r="B2395" s="441" t="s">
        <v>2912</v>
      </c>
      <c r="C2395" s="545">
        <v>26.166666666666668</v>
      </c>
      <c r="D2395" s="545">
        <v>10</v>
      </c>
      <c r="E2395" s="545">
        <v>5.6666666666666661</v>
      </c>
      <c r="F2395" s="545">
        <v>20.928571428571427</v>
      </c>
      <c r="G2395" s="545">
        <v>12.45</v>
      </c>
      <c r="H2395" s="545">
        <v>3.3333333333333335</v>
      </c>
      <c r="I2395" s="545">
        <v>3.6666666666666665</v>
      </c>
      <c r="J2395" s="545">
        <v>9.8928571428571423</v>
      </c>
    </row>
    <row r="2396" spans="1:10">
      <c r="A2396" s="441">
        <v>11818</v>
      </c>
      <c r="B2396" s="441" t="s">
        <v>2913</v>
      </c>
      <c r="C2396" s="545">
        <v>1.1666666666666667</v>
      </c>
      <c r="D2396" s="545">
        <v>0.33333333333333331</v>
      </c>
      <c r="E2396" s="545">
        <v>0</v>
      </c>
      <c r="F2396" s="545">
        <v>0.88095238095238104</v>
      </c>
      <c r="G2396" s="545">
        <v>0.2</v>
      </c>
      <c r="H2396" s="545">
        <v>0.33333333333333331</v>
      </c>
      <c r="I2396" s="545">
        <v>0</v>
      </c>
      <c r="J2396" s="545">
        <v>0.19047619047619047</v>
      </c>
    </row>
    <row r="2397" spans="1:10">
      <c r="A2397" s="441">
        <v>11838</v>
      </c>
      <c r="B2397" s="441" t="s">
        <v>2914</v>
      </c>
      <c r="C2397" s="545">
        <v>5.1666666666666661</v>
      </c>
      <c r="D2397" s="545">
        <v>0.33333333333333331</v>
      </c>
      <c r="E2397" s="545">
        <v>0.33333333333333331</v>
      </c>
      <c r="F2397" s="545">
        <v>3.7857142857142847</v>
      </c>
      <c r="G2397" s="545">
        <v>0.15</v>
      </c>
      <c r="H2397" s="545">
        <v>0</v>
      </c>
      <c r="I2397" s="545">
        <v>0</v>
      </c>
      <c r="J2397" s="545">
        <v>0.10714285714285714</v>
      </c>
    </row>
    <row r="2398" spans="1:10">
      <c r="A2398" s="441">
        <v>11931</v>
      </c>
      <c r="B2398" s="441" t="s">
        <v>2915</v>
      </c>
      <c r="C2398" s="545">
        <v>0.33333333333333331</v>
      </c>
      <c r="D2398" s="545">
        <v>0.33333333333333331</v>
      </c>
      <c r="E2398" s="545">
        <v>0</v>
      </c>
      <c r="F2398" s="545">
        <v>0.2857142857142857</v>
      </c>
      <c r="G2398" s="545">
        <v>0.35</v>
      </c>
      <c r="H2398" s="545">
        <v>0</v>
      </c>
      <c r="I2398" s="545">
        <v>0.33333333333333331</v>
      </c>
      <c r="J2398" s="545">
        <v>0.29761904761904762</v>
      </c>
    </row>
    <row r="2399" spans="1:10">
      <c r="A2399" s="441">
        <v>11932</v>
      </c>
      <c r="B2399" s="441" t="s">
        <v>2915</v>
      </c>
      <c r="C2399" s="545">
        <v>0.83333333333333326</v>
      </c>
      <c r="D2399" s="545">
        <v>0</v>
      </c>
      <c r="E2399" s="545">
        <v>0.33333333333333331</v>
      </c>
      <c r="F2399" s="545">
        <v>0.64285714285714268</v>
      </c>
      <c r="G2399" s="545">
        <v>0.85</v>
      </c>
      <c r="H2399" s="545">
        <v>0.66666666666666663</v>
      </c>
      <c r="I2399" s="545">
        <v>0</v>
      </c>
      <c r="J2399" s="545">
        <v>0.70238095238095244</v>
      </c>
    </row>
    <row r="2400" spans="1:10">
      <c r="A2400" s="441">
        <v>11821</v>
      </c>
      <c r="B2400" s="441" t="s">
        <v>2916</v>
      </c>
      <c r="C2400" s="545">
        <v>5.5</v>
      </c>
      <c r="D2400" s="545">
        <v>1.3333333333333333</v>
      </c>
      <c r="E2400" s="545">
        <v>0.33333333333333331</v>
      </c>
      <c r="F2400" s="545">
        <v>4.1666666666666661</v>
      </c>
      <c r="G2400" s="545">
        <v>3.8</v>
      </c>
      <c r="H2400" s="545">
        <v>2</v>
      </c>
      <c r="I2400" s="545">
        <v>1.3333333333333333</v>
      </c>
      <c r="J2400" s="545">
        <v>3.1904761904761902</v>
      </c>
    </row>
    <row r="2401" spans="1:10">
      <c r="A2401" s="441">
        <v>11836</v>
      </c>
      <c r="B2401" s="441" t="s">
        <v>2916</v>
      </c>
      <c r="C2401" s="545">
        <v>10.166666666666666</v>
      </c>
      <c r="D2401" s="545">
        <v>2.3333333333333335</v>
      </c>
      <c r="E2401" s="545">
        <v>1.6666666666666665</v>
      </c>
      <c r="F2401" s="545">
        <v>7.833333333333333</v>
      </c>
      <c r="G2401" s="545">
        <v>5.15</v>
      </c>
      <c r="H2401" s="545">
        <v>1.6666666666666667</v>
      </c>
      <c r="I2401" s="545">
        <v>0.66666666666666663</v>
      </c>
      <c r="J2401" s="545">
        <v>4.0119047619047619</v>
      </c>
    </row>
    <row r="2402" spans="1:10">
      <c r="A2402" s="441">
        <v>11822</v>
      </c>
      <c r="B2402" s="441" t="s">
        <v>2917</v>
      </c>
      <c r="C2402" s="545">
        <v>5</v>
      </c>
      <c r="D2402" s="545">
        <v>2.333333333333333</v>
      </c>
      <c r="E2402" s="545">
        <v>2.6666666666666665</v>
      </c>
      <c r="F2402" s="545">
        <v>4.2857142857142856</v>
      </c>
      <c r="G2402" s="545">
        <v>3</v>
      </c>
      <c r="H2402" s="545">
        <v>0.66666666666666663</v>
      </c>
      <c r="I2402" s="545">
        <v>0.33333333333333331</v>
      </c>
      <c r="J2402" s="545">
        <v>2.2857142857142856</v>
      </c>
    </row>
    <row r="2403" spans="1:10">
      <c r="A2403" s="441">
        <v>11835</v>
      </c>
      <c r="B2403" s="441" t="s">
        <v>2917</v>
      </c>
      <c r="C2403" s="545">
        <v>5.1666666666666661</v>
      </c>
      <c r="D2403" s="545">
        <v>2</v>
      </c>
      <c r="E2403" s="545">
        <v>1</v>
      </c>
      <c r="F2403" s="545">
        <v>4.1190476190476186</v>
      </c>
      <c r="G2403" s="545">
        <v>3.05</v>
      </c>
      <c r="H2403" s="545">
        <v>3.3333333333333335</v>
      </c>
      <c r="I2403" s="545">
        <v>1</v>
      </c>
      <c r="J2403" s="545">
        <v>2.7976190476190474</v>
      </c>
    </row>
    <row r="2404" spans="1:10">
      <c r="A2404" s="441">
        <v>11819</v>
      </c>
      <c r="B2404" s="441" t="s">
        <v>2918</v>
      </c>
      <c r="C2404" s="545">
        <v>4.6666666666666661</v>
      </c>
      <c r="D2404" s="545">
        <v>0.33333333333333331</v>
      </c>
      <c r="E2404" s="545">
        <v>0</v>
      </c>
      <c r="F2404" s="545">
        <v>3.38095238095238</v>
      </c>
      <c r="G2404" s="545">
        <v>0.7</v>
      </c>
      <c r="H2404" s="545">
        <v>0</v>
      </c>
      <c r="I2404" s="545">
        <v>0</v>
      </c>
      <c r="J2404" s="545">
        <v>0.5</v>
      </c>
    </row>
    <row r="2405" spans="1:10">
      <c r="A2405" s="441">
        <v>11820</v>
      </c>
      <c r="B2405" s="441" t="s">
        <v>2918</v>
      </c>
      <c r="C2405" s="545">
        <v>5.333333333333333</v>
      </c>
      <c r="D2405" s="545">
        <v>2.3333333333333335</v>
      </c>
      <c r="E2405" s="545">
        <v>0.66666666666666663</v>
      </c>
      <c r="F2405" s="545">
        <v>4.2380952380952381</v>
      </c>
      <c r="G2405" s="545">
        <v>2.85</v>
      </c>
      <c r="H2405" s="545">
        <v>0.33333333333333331</v>
      </c>
      <c r="I2405" s="545">
        <v>1</v>
      </c>
      <c r="J2405" s="545">
        <v>2.2261904761904763</v>
      </c>
    </row>
    <row r="2406" spans="1:10">
      <c r="A2406" s="441">
        <v>11837</v>
      </c>
      <c r="B2406" s="441" t="s">
        <v>2918</v>
      </c>
      <c r="C2406" s="545">
        <v>5.6666666666666661</v>
      </c>
      <c r="D2406" s="545">
        <v>2</v>
      </c>
      <c r="E2406" s="545">
        <v>2</v>
      </c>
      <c r="F2406" s="545">
        <v>4.6190476190476186</v>
      </c>
      <c r="G2406" s="545">
        <v>2.7</v>
      </c>
      <c r="H2406" s="545">
        <v>1.3333333333333333</v>
      </c>
      <c r="I2406" s="545">
        <v>2.6666666666666665</v>
      </c>
      <c r="J2406" s="545">
        <v>2.5</v>
      </c>
    </row>
    <row r="2407" spans="1:10">
      <c r="A2407" s="441">
        <v>11828</v>
      </c>
      <c r="B2407" s="441" t="s">
        <v>2919</v>
      </c>
      <c r="C2407" s="545">
        <v>6.833333333333333</v>
      </c>
      <c r="D2407" s="545">
        <v>7</v>
      </c>
      <c r="E2407" s="545">
        <v>2.6666666666666665</v>
      </c>
      <c r="F2407" s="545">
        <v>6.261904761904761</v>
      </c>
      <c r="G2407" s="545">
        <v>2.1</v>
      </c>
      <c r="H2407" s="545">
        <v>2</v>
      </c>
      <c r="I2407" s="545">
        <v>1.6666666666666667</v>
      </c>
      <c r="J2407" s="545">
        <v>2.0238095238095237</v>
      </c>
    </row>
    <row r="2408" spans="1:10">
      <c r="A2408" s="441">
        <v>11839</v>
      </c>
      <c r="B2408" s="441" t="s">
        <v>2920</v>
      </c>
      <c r="C2408" s="545">
        <v>3.5</v>
      </c>
      <c r="D2408" s="545">
        <v>1</v>
      </c>
      <c r="E2408" s="545">
        <v>2.6666666666666665</v>
      </c>
      <c r="F2408" s="545">
        <v>3.0238095238095242</v>
      </c>
      <c r="G2408" s="545">
        <v>1.1000000000000001</v>
      </c>
      <c r="H2408" s="545">
        <v>0</v>
      </c>
      <c r="I2408" s="545">
        <v>0</v>
      </c>
      <c r="J2408" s="545">
        <v>0.7857142857142857</v>
      </c>
    </row>
    <row r="2409" spans="1:10">
      <c r="A2409" s="441">
        <v>11817</v>
      </c>
      <c r="B2409" s="441" t="s">
        <v>2921</v>
      </c>
      <c r="C2409" s="545">
        <v>9</v>
      </c>
      <c r="D2409" s="545">
        <v>0.66666666666666663</v>
      </c>
      <c r="E2409" s="545">
        <v>1.3333333333333333</v>
      </c>
      <c r="F2409" s="545">
        <v>6.7142857142857144</v>
      </c>
      <c r="G2409" s="545">
        <v>0.75</v>
      </c>
      <c r="H2409" s="545">
        <v>0.33333333333333331</v>
      </c>
      <c r="I2409" s="545">
        <v>0</v>
      </c>
      <c r="J2409" s="545">
        <v>0.58333333333333326</v>
      </c>
    </row>
    <row r="2410" spans="1:10">
      <c r="A2410" s="441">
        <v>8972</v>
      </c>
      <c r="B2410" s="441" t="s">
        <v>2922</v>
      </c>
      <c r="C2410" s="545">
        <v>32.166666666666664</v>
      </c>
      <c r="D2410" s="545">
        <v>17</v>
      </c>
      <c r="E2410" s="545">
        <v>11.333333333333334</v>
      </c>
      <c r="F2410" s="545">
        <v>27.023809523809522</v>
      </c>
      <c r="G2410" s="545">
        <v>17.95</v>
      </c>
      <c r="H2410" s="545">
        <v>9.6666666666666661</v>
      </c>
      <c r="I2410" s="545">
        <v>7.666666666666667</v>
      </c>
      <c r="J2410" s="545">
        <v>15.297619047619049</v>
      </c>
    </row>
    <row r="2411" spans="1:10">
      <c r="A2411" s="441">
        <v>11830</v>
      </c>
      <c r="B2411" s="441" t="s">
        <v>2923</v>
      </c>
      <c r="C2411" s="545">
        <v>15.333333333333334</v>
      </c>
      <c r="D2411" s="545">
        <v>18.333333333333336</v>
      </c>
      <c r="E2411" s="545">
        <v>10.666666666666668</v>
      </c>
      <c r="F2411" s="545">
        <v>15.095238095238097</v>
      </c>
      <c r="G2411" s="545">
        <v>10.65</v>
      </c>
      <c r="H2411" s="545">
        <v>8</v>
      </c>
      <c r="I2411" s="545">
        <v>3.3333333333333335</v>
      </c>
      <c r="J2411" s="545">
        <v>9.2261904761904763</v>
      </c>
    </row>
    <row r="2412" spans="1:10">
      <c r="A2412" s="441">
        <v>11928</v>
      </c>
      <c r="B2412" s="441" t="s">
        <v>2923</v>
      </c>
      <c r="C2412" s="545">
        <v>12</v>
      </c>
      <c r="D2412" s="545">
        <v>9.6666666666666679</v>
      </c>
      <c r="E2412" s="545">
        <v>5.6666666666666661</v>
      </c>
      <c r="F2412" s="545">
        <v>10.761904761904763</v>
      </c>
      <c r="G2412" s="545">
        <v>6.1</v>
      </c>
      <c r="H2412" s="545">
        <v>3.6666666666666665</v>
      </c>
      <c r="I2412" s="545">
        <v>1.3333333333333333</v>
      </c>
      <c r="J2412" s="545">
        <v>5.0714285714285712</v>
      </c>
    </row>
    <row r="2413" spans="1:10">
      <c r="A2413" s="441">
        <v>11825</v>
      </c>
      <c r="B2413" s="441" t="s">
        <v>2924</v>
      </c>
      <c r="C2413" s="545">
        <v>3.6666666666666665</v>
      </c>
      <c r="D2413" s="545">
        <v>1</v>
      </c>
      <c r="E2413" s="545">
        <v>0.66666666666666663</v>
      </c>
      <c r="F2413" s="545">
        <v>2.8571428571428572</v>
      </c>
      <c r="G2413" s="545">
        <v>6.15</v>
      </c>
      <c r="H2413" s="545">
        <v>1</v>
      </c>
      <c r="I2413" s="545">
        <v>1.3333333333333333</v>
      </c>
      <c r="J2413" s="545">
        <v>4.7261904761904763</v>
      </c>
    </row>
    <row r="2414" spans="1:10">
      <c r="A2414" s="441">
        <v>11833</v>
      </c>
      <c r="B2414" s="441" t="s">
        <v>2924</v>
      </c>
      <c r="C2414" s="545">
        <v>8.1666666666666661</v>
      </c>
      <c r="D2414" s="545">
        <v>1.6666666666666667</v>
      </c>
      <c r="E2414" s="545">
        <v>1.6666666666666665</v>
      </c>
      <c r="F2414" s="545">
        <v>6.3095238095238084</v>
      </c>
      <c r="G2414" s="545">
        <v>5.2</v>
      </c>
      <c r="H2414" s="545">
        <v>1</v>
      </c>
      <c r="I2414" s="545">
        <v>0.66666666666666663</v>
      </c>
      <c r="J2414" s="545">
        <v>3.9523809523809526</v>
      </c>
    </row>
    <row r="2415" spans="1:10">
      <c r="A2415" s="441">
        <v>10629</v>
      </c>
      <c r="B2415" s="441" t="s">
        <v>2925</v>
      </c>
      <c r="C2415" s="545">
        <v>26</v>
      </c>
      <c r="D2415" s="545">
        <v>20</v>
      </c>
      <c r="E2415" s="545">
        <v>8</v>
      </c>
      <c r="F2415" s="545">
        <v>22.571428571428573</v>
      </c>
      <c r="G2415" s="545">
        <v>18.75</v>
      </c>
      <c r="H2415" s="545">
        <v>9.6666666666666661</v>
      </c>
      <c r="I2415" s="545">
        <v>6</v>
      </c>
      <c r="J2415" s="545">
        <v>15.630952380952381</v>
      </c>
    </row>
    <row r="2416" spans="1:10">
      <c r="A2416" s="441">
        <v>8974</v>
      </c>
      <c r="B2416" s="441" t="s">
        <v>2926</v>
      </c>
      <c r="C2416" s="545">
        <v>77.833333333333329</v>
      </c>
      <c r="D2416" s="545">
        <v>43</v>
      </c>
      <c r="E2416" s="545">
        <v>41.666666666666664</v>
      </c>
      <c r="F2416" s="545">
        <v>67.69047619047619</v>
      </c>
      <c r="G2416" s="545">
        <v>57.95</v>
      </c>
      <c r="H2416" s="545">
        <v>31</v>
      </c>
      <c r="I2416" s="545">
        <v>33.666666666666664</v>
      </c>
      <c r="J2416" s="545">
        <v>50.630952380952387</v>
      </c>
    </row>
    <row r="2417" spans="1:10">
      <c r="A2417" s="441">
        <v>10632</v>
      </c>
      <c r="B2417" s="441" t="s">
        <v>2926</v>
      </c>
      <c r="C2417" s="545">
        <v>64.833333333333343</v>
      </c>
      <c r="D2417" s="545">
        <v>34</v>
      </c>
      <c r="E2417" s="545">
        <v>24</v>
      </c>
      <c r="F2417" s="545">
        <v>54.595238095238109</v>
      </c>
      <c r="G2417" s="545">
        <v>46.1</v>
      </c>
      <c r="H2417" s="545">
        <v>19.666666666666668</v>
      </c>
      <c r="I2417" s="545">
        <v>14.333333333333334</v>
      </c>
      <c r="J2417" s="545">
        <v>37.785714285714285</v>
      </c>
    </row>
    <row r="2418" spans="1:10">
      <c r="A2418" s="441">
        <v>11826</v>
      </c>
      <c r="B2418" s="441" t="s">
        <v>2927</v>
      </c>
      <c r="C2418" s="545">
        <v>65.666666666666671</v>
      </c>
      <c r="D2418" s="545">
        <v>34.666666666666664</v>
      </c>
      <c r="E2418" s="545">
        <v>31.333333333333332</v>
      </c>
      <c r="F2418" s="545">
        <v>56.333333333333336</v>
      </c>
      <c r="G2418" s="545">
        <v>46.5</v>
      </c>
      <c r="H2418" s="545">
        <v>24.666666666666668</v>
      </c>
      <c r="I2418" s="545">
        <v>21</v>
      </c>
      <c r="J2418" s="545">
        <v>39.738095238095241</v>
      </c>
    </row>
    <row r="2419" spans="1:10">
      <c r="A2419" s="441">
        <v>11827</v>
      </c>
      <c r="B2419" s="441" t="s">
        <v>2927</v>
      </c>
      <c r="C2419" s="545">
        <v>10.333333333333334</v>
      </c>
      <c r="D2419" s="545">
        <v>8</v>
      </c>
      <c r="E2419" s="545">
        <v>7.6666666666666661</v>
      </c>
      <c r="F2419" s="545">
        <v>9.6190476190476204</v>
      </c>
      <c r="G2419" s="545">
        <v>7.7</v>
      </c>
      <c r="H2419" s="545">
        <v>2.6666666666666665</v>
      </c>
      <c r="I2419" s="545">
        <v>1.3333333333333333</v>
      </c>
      <c r="J2419" s="545">
        <v>6.0714285714285712</v>
      </c>
    </row>
    <row r="2420" spans="1:10">
      <c r="A2420" s="441">
        <v>11831</v>
      </c>
      <c r="B2420" s="441" t="s">
        <v>2927</v>
      </c>
      <c r="C2420" s="545">
        <v>56.5</v>
      </c>
      <c r="D2420" s="545">
        <v>32</v>
      </c>
      <c r="E2420" s="545">
        <v>26</v>
      </c>
      <c r="F2420" s="545">
        <v>48.642857142857146</v>
      </c>
      <c r="G2420" s="545">
        <v>24.55</v>
      </c>
      <c r="H2420" s="545">
        <v>24</v>
      </c>
      <c r="I2420" s="545">
        <v>15</v>
      </c>
      <c r="J2420" s="545">
        <v>23.107142857142858</v>
      </c>
    </row>
    <row r="2421" spans="1:10">
      <c r="A2421" s="441">
        <v>11832</v>
      </c>
      <c r="B2421" s="441" t="s">
        <v>2927</v>
      </c>
      <c r="C2421" s="545">
        <v>35.333333333333329</v>
      </c>
      <c r="D2421" s="545">
        <v>16</v>
      </c>
      <c r="E2421" s="545">
        <v>16</v>
      </c>
      <c r="F2421" s="545">
        <v>29.809523809523803</v>
      </c>
      <c r="G2421" s="545">
        <v>22.2</v>
      </c>
      <c r="H2421" s="545">
        <v>14.333333333333334</v>
      </c>
      <c r="I2421" s="545">
        <v>8.3333333333333339</v>
      </c>
      <c r="J2421" s="545">
        <v>19.095238095238095</v>
      </c>
    </row>
    <row r="2422" spans="1:10">
      <c r="A2422" s="441">
        <v>11929</v>
      </c>
      <c r="B2422" s="441" t="s">
        <v>2928</v>
      </c>
      <c r="C2422" s="545">
        <v>5</v>
      </c>
      <c r="D2422" s="545">
        <v>2.6666666666666665</v>
      </c>
      <c r="E2422" s="545">
        <v>2</v>
      </c>
      <c r="F2422" s="545">
        <v>4.2380952380952381</v>
      </c>
      <c r="G2422" s="545">
        <v>1.45</v>
      </c>
      <c r="H2422" s="545">
        <v>1</v>
      </c>
      <c r="I2422" s="545">
        <v>2</v>
      </c>
      <c r="J2422" s="545">
        <v>1.4642857142857142</v>
      </c>
    </row>
    <row r="2423" spans="1:10">
      <c r="A2423" s="441">
        <v>11930</v>
      </c>
      <c r="B2423" s="441" t="s">
        <v>2928</v>
      </c>
      <c r="C2423" s="545">
        <v>4.166666666666667</v>
      </c>
      <c r="D2423" s="545">
        <v>0</v>
      </c>
      <c r="E2423" s="545">
        <v>1.6666666666666665</v>
      </c>
      <c r="F2423" s="545">
        <v>3.2142857142857149</v>
      </c>
      <c r="G2423" s="545">
        <v>2.4</v>
      </c>
      <c r="H2423" s="545">
        <v>1.3333333333333333</v>
      </c>
      <c r="I2423" s="545">
        <v>1</v>
      </c>
      <c r="J2423" s="545">
        <v>2.0476190476190479</v>
      </c>
    </row>
    <row r="2424" spans="1:10">
      <c r="A2424" s="441">
        <v>11834</v>
      </c>
      <c r="B2424" s="441" t="s">
        <v>2929</v>
      </c>
      <c r="C2424" s="545">
        <v>6.8333333333333339</v>
      </c>
      <c r="D2424" s="545">
        <v>3.3333333333333335</v>
      </c>
      <c r="E2424" s="545">
        <v>3</v>
      </c>
      <c r="F2424" s="545">
        <v>5.7857142857142865</v>
      </c>
      <c r="G2424" s="545">
        <v>3.25</v>
      </c>
      <c r="H2424" s="545">
        <v>1</v>
      </c>
      <c r="I2424" s="545">
        <v>1.3333333333333333</v>
      </c>
      <c r="J2424" s="545">
        <v>2.6547619047619047</v>
      </c>
    </row>
    <row r="2425" spans="1:10">
      <c r="A2425" s="441">
        <v>1660</v>
      </c>
      <c r="B2425" s="441" t="s">
        <v>2930</v>
      </c>
      <c r="C2425" s="545">
        <v>8.1666666666666679</v>
      </c>
      <c r="D2425" s="545">
        <v>4</v>
      </c>
      <c r="E2425" s="545">
        <v>5.6666666666666661</v>
      </c>
      <c r="F2425" s="545">
        <v>7.2142857142857153</v>
      </c>
      <c r="G2425" s="545">
        <v>8.6999999999999993</v>
      </c>
      <c r="H2425" s="545">
        <v>9</v>
      </c>
      <c r="I2425" s="545">
        <v>8</v>
      </c>
      <c r="J2425" s="545">
        <v>8.6428571428571423</v>
      </c>
    </row>
    <row r="2426" spans="1:10">
      <c r="A2426" s="441">
        <v>1663</v>
      </c>
      <c r="B2426" s="441" t="s">
        <v>2930</v>
      </c>
      <c r="C2426" s="545">
        <v>5.333333333333333</v>
      </c>
      <c r="D2426" s="545">
        <v>2</v>
      </c>
      <c r="E2426" s="545">
        <v>3.666666666666667</v>
      </c>
      <c r="F2426" s="545">
        <v>4.6190476190476186</v>
      </c>
      <c r="G2426" s="545">
        <v>2.35</v>
      </c>
      <c r="H2426" s="545">
        <v>5</v>
      </c>
      <c r="I2426" s="545">
        <v>1.3333333333333333</v>
      </c>
      <c r="J2426" s="545">
        <v>2.583333333333333</v>
      </c>
    </row>
    <row r="2427" spans="1:10">
      <c r="A2427" s="441">
        <v>9576</v>
      </c>
      <c r="B2427" s="441" t="s">
        <v>2931</v>
      </c>
      <c r="C2427" s="545">
        <v>7.666666666666667</v>
      </c>
      <c r="D2427" s="545">
        <v>1.3333333333333333</v>
      </c>
      <c r="E2427" s="545">
        <v>2</v>
      </c>
      <c r="F2427" s="545">
        <v>5.9523809523809534</v>
      </c>
      <c r="G2427" s="545">
        <v>6.45</v>
      </c>
      <c r="H2427" s="545">
        <v>4</v>
      </c>
      <c r="I2427" s="545">
        <v>1.6666666666666667</v>
      </c>
      <c r="J2427" s="545">
        <v>5.4166666666666661</v>
      </c>
    </row>
    <row r="2428" spans="1:10">
      <c r="A2428" s="441">
        <v>9577</v>
      </c>
      <c r="B2428" s="441" t="s">
        <v>2931</v>
      </c>
      <c r="C2428" s="545">
        <v>8.6666666666666661</v>
      </c>
      <c r="D2428" s="545">
        <v>2.6666666666666665</v>
      </c>
      <c r="E2428" s="545">
        <v>0.66666666666666663</v>
      </c>
      <c r="F2428" s="545">
        <v>6.6666666666666652</v>
      </c>
      <c r="G2428" s="545">
        <v>5.85</v>
      </c>
      <c r="H2428" s="545">
        <v>3.3333333333333335</v>
      </c>
      <c r="I2428" s="545">
        <v>2</v>
      </c>
      <c r="J2428" s="545">
        <v>4.9404761904761907</v>
      </c>
    </row>
    <row r="2429" spans="1:10">
      <c r="A2429" s="441">
        <v>9578</v>
      </c>
      <c r="B2429" s="441" t="s">
        <v>2932</v>
      </c>
      <c r="C2429" s="545">
        <v>12.5</v>
      </c>
      <c r="D2429" s="545">
        <v>6</v>
      </c>
      <c r="E2429" s="545">
        <v>2.333333333333333</v>
      </c>
      <c r="F2429" s="545">
        <v>10.119047619047619</v>
      </c>
      <c r="G2429" s="545">
        <v>7.25</v>
      </c>
      <c r="H2429" s="545">
        <v>2.6666666666666665</v>
      </c>
      <c r="I2429" s="545">
        <v>3.6666666666666665</v>
      </c>
      <c r="J2429" s="545">
        <v>6.083333333333333</v>
      </c>
    </row>
    <row r="2430" spans="1:10">
      <c r="A2430" s="441">
        <v>1658</v>
      </c>
      <c r="B2430" s="441" t="s">
        <v>2933</v>
      </c>
      <c r="C2430" s="545">
        <v>72.333333333333329</v>
      </c>
      <c r="D2430" s="545">
        <v>31.666666666666668</v>
      </c>
      <c r="E2430" s="545">
        <v>7.3333333333333339</v>
      </c>
      <c r="F2430" s="545">
        <v>57.238095238095234</v>
      </c>
      <c r="G2430" s="545">
        <v>82.35</v>
      </c>
      <c r="H2430" s="545">
        <v>16</v>
      </c>
      <c r="I2430" s="545">
        <v>9.3333333333333339</v>
      </c>
      <c r="J2430" s="545">
        <v>62.44047619047619</v>
      </c>
    </row>
    <row r="2431" spans="1:10">
      <c r="A2431" s="441">
        <v>1665</v>
      </c>
      <c r="B2431" s="441" t="s">
        <v>2934</v>
      </c>
      <c r="C2431" s="545">
        <v>77.333333333333343</v>
      </c>
      <c r="D2431" s="545">
        <v>38.666666666666664</v>
      </c>
      <c r="E2431" s="545">
        <v>14</v>
      </c>
      <c r="F2431" s="545">
        <v>62.761904761904773</v>
      </c>
      <c r="G2431" s="545">
        <v>79.400000000000006</v>
      </c>
      <c r="H2431" s="545">
        <v>19.333333333333332</v>
      </c>
      <c r="I2431" s="545">
        <v>13.333333333333334</v>
      </c>
      <c r="J2431" s="545">
        <v>61.380952380952372</v>
      </c>
    </row>
    <row r="2432" spans="1:10">
      <c r="A2432" s="441">
        <v>1596</v>
      </c>
      <c r="B2432" s="441" t="s">
        <v>2935</v>
      </c>
      <c r="C2432" s="545">
        <v>10.333333333333334</v>
      </c>
      <c r="D2432" s="545">
        <v>1.3333333333333333</v>
      </c>
      <c r="E2432" s="545">
        <v>5.333333333333333</v>
      </c>
      <c r="F2432" s="545">
        <v>8.3333333333333339</v>
      </c>
      <c r="G2432" s="545">
        <v>8.65</v>
      </c>
      <c r="H2432" s="545">
        <v>5</v>
      </c>
      <c r="I2432" s="545">
        <v>2.6666666666666665</v>
      </c>
      <c r="J2432" s="545">
        <v>7.2738095238095237</v>
      </c>
    </row>
    <row r="2433" spans="1:10">
      <c r="A2433" s="441">
        <v>10452</v>
      </c>
      <c r="B2433" s="441" t="s">
        <v>2936</v>
      </c>
      <c r="C2433" s="545">
        <v>123.33333333333334</v>
      </c>
      <c r="D2433" s="545">
        <v>52.666666666666664</v>
      </c>
      <c r="E2433" s="545">
        <v>34</v>
      </c>
      <c r="F2433" s="545">
        <v>100.47619047619048</v>
      </c>
      <c r="G2433" s="545">
        <v>61.55</v>
      </c>
      <c r="H2433" s="545">
        <v>33.666666666666664</v>
      </c>
      <c r="I2433" s="545">
        <v>32.666666666666664</v>
      </c>
      <c r="J2433" s="545">
        <v>53.440476190476197</v>
      </c>
    </row>
    <row r="2434" spans="1:10">
      <c r="A2434" s="441">
        <v>11367</v>
      </c>
      <c r="B2434" s="441" t="s">
        <v>2937</v>
      </c>
      <c r="C2434" s="545">
        <v>13.5</v>
      </c>
      <c r="D2434" s="545">
        <v>6.333333333333333</v>
      </c>
      <c r="E2434" s="545">
        <v>7.666666666666667</v>
      </c>
      <c r="F2434" s="545">
        <v>11.642857142857142</v>
      </c>
      <c r="G2434" s="545">
        <v>18</v>
      </c>
      <c r="H2434" s="545">
        <v>11.333333333333334</v>
      </c>
      <c r="I2434" s="545">
        <v>9.3333333333333339</v>
      </c>
      <c r="J2434" s="545">
        <v>15.809523809523808</v>
      </c>
    </row>
    <row r="2435" spans="1:10">
      <c r="A2435" s="441">
        <v>12969</v>
      </c>
      <c r="B2435" s="441" t="s">
        <v>2937</v>
      </c>
      <c r="C2435" s="545">
        <v>85.833333333333329</v>
      </c>
      <c r="D2435" s="545">
        <v>32.666666666666664</v>
      </c>
      <c r="E2435" s="545">
        <v>23.333333333333332</v>
      </c>
      <c r="F2435" s="545">
        <v>69.30952380952381</v>
      </c>
      <c r="G2435" s="545">
        <v>55.85</v>
      </c>
      <c r="H2435" s="545">
        <v>38.333333333333336</v>
      </c>
      <c r="I2435" s="545">
        <v>21</v>
      </c>
      <c r="J2435" s="545">
        <v>48.369047619047613</v>
      </c>
    </row>
    <row r="2436" spans="1:10">
      <c r="A2436" s="441">
        <v>1661</v>
      </c>
      <c r="B2436" s="441" t="s">
        <v>2938</v>
      </c>
      <c r="C2436" s="545">
        <v>32.666666666666664</v>
      </c>
      <c r="D2436" s="545">
        <v>32.333333333333336</v>
      </c>
      <c r="E2436" s="545">
        <v>22.333333333333336</v>
      </c>
      <c r="F2436" s="545">
        <v>31.142857142857142</v>
      </c>
      <c r="G2436" s="545">
        <v>21.75</v>
      </c>
      <c r="H2436" s="545">
        <v>11</v>
      </c>
      <c r="I2436" s="545">
        <v>10.333333333333334</v>
      </c>
      <c r="J2436" s="545">
        <v>18.583333333333336</v>
      </c>
    </row>
    <row r="2437" spans="1:10">
      <c r="A2437" s="441">
        <v>1662</v>
      </c>
      <c r="B2437" s="441" t="s">
        <v>2938</v>
      </c>
      <c r="C2437" s="545">
        <v>40.666666666666664</v>
      </c>
      <c r="D2437" s="545">
        <v>35</v>
      </c>
      <c r="E2437" s="545">
        <v>43.333333333333336</v>
      </c>
      <c r="F2437" s="545">
        <v>40.238095238095234</v>
      </c>
      <c r="G2437" s="545">
        <v>27.25</v>
      </c>
      <c r="H2437" s="545">
        <v>24</v>
      </c>
      <c r="I2437" s="545">
        <v>24.666666666666668</v>
      </c>
      <c r="J2437" s="545">
        <v>26.416666666666664</v>
      </c>
    </row>
    <row r="2438" spans="1:10">
      <c r="A2438" s="441">
        <v>9573</v>
      </c>
      <c r="B2438" s="441" t="s">
        <v>2939</v>
      </c>
      <c r="C2438" s="545">
        <v>38.5</v>
      </c>
      <c r="D2438" s="545">
        <v>26.666666666666664</v>
      </c>
      <c r="E2438" s="545">
        <v>14.666666666666668</v>
      </c>
      <c r="F2438" s="545">
        <v>33.404761904761905</v>
      </c>
      <c r="G2438" s="545">
        <v>34.35</v>
      </c>
      <c r="H2438" s="545">
        <v>23.666666666666668</v>
      </c>
      <c r="I2438" s="545">
        <v>22.333333333333332</v>
      </c>
      <c r="J2438" s="545">
        <v>31.107142857142858</v>
      </c>
    </row>
    <row r="2439" spans="1:10">
      <c r="A2439" s="441">
        <v>9580</v>
      </c>
      <c r="B2439" s="441" t="s">
        <v>2939</v>
      </c>
      <c r="C2439" s="545">
        <v>65.666666666666657</v>
      </c>
      <c r="D2439" s="545">
        <v>28</v>
      </c>
      <c r="E2439" s="545">
        <v>18.333333333333332</v>
      </c>
      <c r="F2439" s="545">
        <v>53.523809523809511</v>
      </c>
      <c r="G2439" s="545">
        <v>48.5</v>
      </c>
      <c r="H2439" s="545">
        <v>25.666666666666668</v>
      </c>
      <c r="I2439" s="545">
        <v>22.666666666666668</v>
      </c>
      <c r="J2439" s="545">
        <v>41.547619047619051</v>
      </c>
    </row>
    <row r="2440" spans="1:10">
      <c r="A2440" s="441">
        <v>1595</v>
      </c>
      <c r="B2440" s="441" t="s">
        <v>2940</v>
      </c>
      <c r="C2440" s="545">
        <v>2.3333333333333335</v>
      </c>
      <c r="D2440" s="545">
        <v>2.666666666666667</v>
      </c>
      <c r="E2440" s="545">
        <v>3.3333333333333335</v>
      </c>
      <c r="F2440" s="545">
        <v>2.5238095238095242</v>
      </c>
      <c r="G2440" s="545">
        <v>2.25</v>
      </c>
      <c r="H2440" s="545">
        <v>1.3333333333333333</v>
      </c>
      <c r="I2440" s="545">
        <v>1.3333333333333333</v>
      </c>
      <c r="J2440" s="545">
        <v>1.9880952380952384</v>
      </c>
    </row>
    <row r="2441" spans="1:10">
      <c r="A2441" s="441">
        <v>1945</v>
      </c>
      <c r="B2441" s="441" t="s">
        <v>2940</v>
      </c>
      <c r="C2441" s="545">
        <v>9.5</v>
      </c>
      <c r="D2441" s="545">
        <v>3.3333333333333335</v>
      </c>
      <c r="E2441" s="545">
        <v>7.333333333333333</v>
      </c>
      <c r="F2441" s="545">
        <v>8.3095238095238102</v>
      </c>
      <c r="G2441" s="545">
        <v>7.5</v>
      </c>
      <c r="H2441" s="545">
        <v>6</v>
      </c>
      <c r="I2441" s="545">
        <v>2</v>
      </c>
      <c r="J2441" s="545">
        <v>6.5</v>
      </c>
    </row>
    <row r="2442" spans="1:10">
      <c r="A2442" s="441">
        <v>10497</v>
      </c>
      <c r="B2442" s="441" t="s">
        <v>2941</v>
      </c>
      <c r="C2442" s="545">
        <v>50.166666666666671</v>
      </c>
      <c r="D2442" s="545">
        <v>35.666666666666671</v>
      </c>
      <c r="E2442" s="545">
        <v>25.333333333333336</v>
      </c>
      <c r="F2442" s="545">
        <v>44.547619047619051</v>
      </c>
      <c r="G2442" s="545">
        <v>29.2</v>
      </c>
      <c r="H2442" s="545">
        <v>23.666666666666668</v>
      </c>
      <c r="I2442" s="545">
        <v>12.666666666666666</v>
      </c>
      <c r="J2442" s="545">
        <v>26.047619047619044</v>
      </c>
    </row>
    <row r="2443" spans="1:10">
      <c r="A2443" s="441">
        <v>10498</v>
      </c>
      <c r="B2443" s="441" t="s">
        <v>2941</v>
      </c>
      <c r="C2443" s="545">
        <v>50</v>
      </c>
      <c r="D2443" s="545">
        <v>32</v>
      </c>
      <c r="E2443" s="545">
        <v>22.666666666666664</v>
      </c>
      <c r="F2443" s="545">
        <v>43.523809523809526</v>
      </c>
      <c r="G2443" s="545">
        <v>28.35</v>
      </c>
      <c r="H2443" s="545">
        <v>15.666666666666666</v>
      </c>
      <c r="I2443" s="545">
        <v>12.333333333333334</v>
      </c>
      <c r="J2443" s="545">
        <v>24.25</v>
      </c>
    </row>
    <row r="2444" spans="1:10">
      <c r="A2444" s="441">
        <v>7049</v>
      </c>
      <c r="B2444" s="441" t="s">
        <v>2942</v>
      </c>
      <c r="C2444" s="545">
        <v>1.5</v>
      </c>
      <c r="D2444" s="545">
        <v>1.3333333333333333</v>
      </c>
      <c r="E2444" s="545">
        <v>0.33333333333333331</v>
      </c>
      <c r="F2444" s="545">
        <v>1.3095238095238098</v>
      </c>
      <c r="G2444" s="545">
        <v>2.0499999999999998</v>
      </c>
      <c r="H2444" s="545">
        <v>0.66666666666666663</v>
      </c>
      <c r="I2444" s="545">
        <v>0.33333333333333331</v>
      </c>
      <c r="J2444" s="545">
        <v>1.6071428571428572</v>
      </c>
    </row>
    <row r="2445" spans="1:10">
      <c r="A2445" s="441">
        <v>7752</v>
      </c>
      <c r="B2445" s="441" t="s">
        <v>2942</v>
      </c>
      <c r="C2445" s="545">
        <v>0.83333333333333337</v>
      </c>
      <c r="D2445" s="545">
        <v>1.3333333333333333</v>
      </c>
      <c r="E2445" s="545">
        <v>1</v>
      </c>
      <c r="F2445" s="545">
        <v>0.9285714285714286</v>
      </c>
      <c r="G2445" s="545">
        <v>0.8</v>
      </c>
      <c r="H2445" s="545">
        <v>0.66666666666666663</v>
      </c>
      <c r="I2445" s="545">
        <v>0.33333333333333331</v>
      </c>
      <c r="J2445" s="545">
        <v>0.7142857142857143</v>
      </c>
    </row>
    <row r="2446" spans="1:10">
      <c r="A2446" s="441">
        <v>7312</v>
      </c>
      <c r="B2446" s="441" t="s">
        <v>2943</v>
      </c>
      <c r="C2446" s="545">
        <v>4.1666666666666661</v>
      </c>
      <c r="D2446" s="545">
        <v>1</v>
      </c>
      <c r="E2446" s="545">
        <v>1</v>
      </c>
      <c r="F2446" s="545">
        <v>3.2619047619047614</v>
      </c>
      <c r="G2446" s="545">
        <v>3.9</v>
      </c>
      <c r="H2446" s="545">
        <v>1.6666666666666667</v>
      </c>
      <c r="I2446" s="545">
        <v>2.6666666666666665</v>
      </c>
      <c r="J2446" s="545">
        <v>3.4047619047619051</v>
      </c>
    </row>
    <row r="2447" spans="1:10">
      <c r="A2447" s="441">
        <v>7757</v>
      </c>
      <c r="B2447" s="441" t="s">
        <v>2943</v>
      </c>
      <c r="C2447" s="545">
        <v>6.666666666666667</v>
      </c>
      <c r="D2447" s="545">
        <v>1.6666666666666665</v>
      </c>
      <c r="E2447" s="545">
        <v>2</v>
      </c>
      <c r="F2447" s="545">
        <v>5.2857142857142856</v>
      </c>
      <c r="G2447" s="545">
        <v>4.6500000000000004</v>
      </c>
      <c r="H2447" s="545">
        <v>2.3333333333333335</v>
      </c>
      <c r="I2447" s="545">
        <v>0.66666666666666663</v>
      </c>
      <c r="J2447" s="545">
        <v>3.75</v>
      </c>
    </row>
    <row r="2448" spans="1:10">
      <c r="A2448" s="441">
        <v>2338</v>
      </c>
      <c r="B2448" s="441" t="s">
        <v>2944</v>
      </c>
      <c r="C2448" s="545">
        <v>82.666666666666671</v>
      </c>
      <c r="D2448" s="545">
        <v>54</v>
      </c>
      <c r="E2448" s="545">
        <v>38.666666666666664</v>
      </c>
      <c r="F2448" s="545">
        <v>72.285714285714292</v>
      </c>
      <c r="G2448" s="545">
        <v>31.4</v>
      </c>
      <c r="H2448" s="545">
        <v>20.333333333333332</v>
      </c>
      <c r="I2448" s="545">
        <v>16</v>
      </c>
      <c r="J2448" s="545">
        <v>27.61904761904762</v>
      </c>
    </row>
    <row r="2449" spans="1:10">
      <c r="A2449" s="441">
        <v>6636</v>
      </c>
      <c r="B2449" s="441" t="s">
        <v>2944</v>
      </c>
      <c r="C2449" s="545">
        <v>84.833333333333343</v>
      </c>
      <c r="D2449" s="545">
        <v>52.333333333333329</v>
      </c>
      <c r="E2449" s="545">
        <v>41.666666666666664</v>
      </c>
      <c r="F2449" s="545">
        <v>74.023809523809533</v>
      </c>
      <c r="G2449" s="545">
        <v>33.9</v>
      </c>
      <c r="H2449" s="545">
        <v>22</v>
      </c>
      <c r="I2449" s="545">
        <v>20</v>
      </c>
      <c r="J2449" s="545">
        <v>30.214285714285715</v>
      </c>
    </row>
    <row r="2450" spans="1:10">
      <c r="A2450" s="441">
        <v>7055</v>
      </c>
      <c r="B2450" s="441" t="s">
        <v>2945</v>
      </c>
      <c r="C2450" s="545">
        <v>0.5</v>
      </c>
      <c r="D2450" s="545">
        <v>0</v>
      </c>
      <c r="E2450" s="545">
        <v>0</v>
      </c>
      <c r="F2450" s="545">
        <v>0.35714285714285715</v>
      </c>
      <c r="G2450" s="545">
        <v>1</v>
      </c>
      <c r="H2450" s="545">
        <v>0.66666666666666663</v>
      </c>
      <c r="I2450" s="545">
        <v>0</v>
      </c>
      <c r="J2450" s="545">
        <v>0.80952380952380953</v>
      </c>
    </row>
    <row r="2451" spans="1:10">
      <c r="A2451" s="441">
        <v>7746</v>
      </c>
      <c r="B2451" s="441" t="s">
        <v>2945</v>
      </c>
      <c r="C2451" s="545">
        <v>0.83333333333333326</v>
      </c>
      <c r="D2451" s="545">
        <v>0.66666666666666663</v>
      </c>
      <c r="E2451" s="545">
        <v>1.6666666666666667</v>
      </c>
      <c r="F2451" s="545">
        <v>0.9285714285714286</v>
      </c>
      <c r="G2451" s="545">
        <v>1</v>
      </c>
      <c r="H2451" s="545">
        <v>1</v>
      </c>
      <c r="I2451" s="545">
        <v>2</v>
      </c>
      <c r="J2451" s="545">
        <v>1.1428571428571428</v>
      </c>
    </row>
    <row r="2452" spans="1:10">
      <c r="A2452" s="441">
        <v>2337</v>
      </c>
      <c r="B2452" s="441" t="s">
        <v>2946</v>
      </c>
      <c r="C2452" s="545">
        <v>37.166666666666671</v>
      </c>
      <c r="D2452" s="545">
        <v>27</v>
      </c>
      <c r="E2452" s="545">
        <v>26.666666666666664</v>
      </c>
      <c r="F2452" s="545">
        <v>34.214285714285715</v>
      </c>
      <c r="G2452" s="545">
        <v>16.3</v>
      </c>
      <c r="H2452" s="545">
        <v>13.666666666666666</v>
      </c>
      <c r="I2452" s="545">
        <v>7.666666666666667</v>
      </c>
      <c r="J2452" s="545">
        <v>14.690476190476192</v>
      </c>
    </row>
    <row r="2453" spans="1:10">
      <c r="A2453" s="441">
        <v>6637</v>
      </c>
      <c r="B2453" s="441" t="s">
        <v>2946</v>
      </c>
      <c r="C2453" s="545">
        <v>48.833333333333329</v>
      </c>
      <c r="D2453" s="545">
        <v>32.333333333333336</v>
      </c>
      <c r="E2453" s="545">
        <v>25</v>
      </c>
      <c r="F2453" s="545">
        <v>43.071428571428562</v>
      </c>
      <c r="G2453" s="545">
        <v>19.350000000000001</v>
      </c>
      <c r="H2453" s="545">
        <v>11.333333333333334</v>
      </c>
      <c r="I2453" s="545">
        <v>11.666666666666666</v>
      </c>
      <c r="J2453" s="545">
        <v>17.107142857142858</v>
      </c>
    </row>
    <row r="2454" spans="1:10">
      <c r="A2454" s="441">
        <v>7051</v>
      </c>
      <c r="B2454" s="441" t="s">
        <v>2947</v>
      </c>
      <c r="C2454" s="545">
        <v>2.666666666666667</v>
      </c>
      <c r="D2454" s="545">
        <v>0.33333333333333331</v>
      </c>
      <c r="E2454" s="545">
        <v>1.6666666666666665</v>
      </c>
      <c r="F2454" s="545">
        <v>2.1904761904761907</v>
      </c>
      <c r="G2454" s="545">
        <v>0.95</v>
      </c>
      <c r="H2454" s="545">
        <v>1</v>
      </c>
      <c r="I2454" s="545">
        <v>0.33333333333333331</v>
      </c>
      <c r="J2454" s="545">
        <v>0.86904761904761896</v>
      </c>
    </row>
    <row r="2455" spans="1:10">
      <c r="A2455" s="441">
        <v>7750</v>
      </c>
      <c r="B2455" s="441" t="s">
        <v>2947</v>
      </c>
      <c r="C2455" s="545">
        <v>0.33333333333333331</v>
      </c>
      <c r="D2455" s="545">
        <v>0</v>
      </c>
      <c r="E2455" s="545">
        <v>0</v>
      </c>
      <c r="F2455" s="545">
        <v>0.23809523809523808</v>
      </c>
      <c r="G2455" s="545">
        <v>0.65</v>
      </c>
      <c r="H2455" s="545">
        <v>0</v>
      </c>
      <c r="I2455" s="545">
        <v>0</v>
      </c>
      <c r="J2455" s="545">
        <v>0.4642857142857143</v>
      </c>
    </row>
    <row r="2456" spans="1:10">
      <c r="A2456" s="441">
        <v>7053</v>
      </c>
      <c r="B2456" s="441" t="s">
        <v>2948</v>
      </c>
      <c r="C2456" s="545">
        <v>1.6666666666666667</v>
      </c>
      <c r="D2456" s="545">
        <v>0.33333333333333331</v>
      </c>
      <c r="E2456" s="545">
        <v>0.66666666666666663</v>
      </c>
      <c r="F2456" s="545">
        <v>1.3333333333333335</v>
      </c>
      <c r="G2456" s="545">
        <v>1.2</v>
      </c>
      <c r="H2456" s="545">
        <v>1</v>
      </c>
      <c r="I2456" s="545">
        <v>0.66666666666666663</v>
      </c>
      <c r="J2456" s="545">
        <v>1.0952380952380953</v>
      </c>
    </row>
    <row r="2457" spans="1:10">
      <c r="A2457" s="441">
        <v>7748</v>
      </c>
      <c r="B2457" s="441" t="s">
        <v>2948</v>
      </c>
      <c r="C2457" s="545">
        <v>2.1666666666666665</v>
      </c>
      <c r="D2457" s="545">
        <v>1.3333333333333333</v>
      </c>
      <c r="E2457" s="545">
        <v>1</v>
      </c>
      <c r="F2457" s="545">
        <v>1.8809523809523809</v>
      </c>
      <c r="G2457" s="545">
        <v>0.35</v>
      </c>
      <c r="H2457" s="545">
        <v>1.3333333333333333</v>
      </c>
      <c r="I2457" s="545">
        <v>0.66666666666666663</v>
      </c>
      <c r="J2457" s="545">
        <v>0.5357142857142857</v>
      </c>
    </row>
    <row r="2458" spans="1:10">
      <c r="A2458" s="441">
        <v>6681</v>
      </c>
      <c r="B2458" s="441" t="s">
        <v>2949</v>
      </c>
      <c r="C2458" s="545">
        <v>0.83333333333333326</v>
      </c>
      <c r="D2458" s="545">
        <v>0.33333333333333331</v>
      </c>
      <c r="E2458" s="545">
        <v>0</v>
      </c>
      <c r="F2458" s="545">
        <v>0.64285714285714268</v>
      </c>
      <c r="G2458" s="545">
        <v>0.65</v>
      </c>
      <c r="H2458" s="545">
        <v>1.3333333333333333</v>
      </c>
      <c r="I2458" s="545">
        <v>0.33333333333333331</v>
      </c>
      <c r="J2458" s="545">
        <v>0.70238095238095233</v>
      </c>
    </row>
    <row r="2459" spans="1:10">
      <c r="A2459" s="441">
        <v>6699</v>
      </c>
      <c r="B2459" s="441" t="s">
        <v>2949</v>
      </c>
      <c r="C2459" s="545">
        <v>0.16666666666666666</v>
      </c>
      <c r="D2459" s="545">
        <v>0</v>
      </c>
      <c r="E2459" s="545">
        <v>0.33333333333333331</v>
      </c>
      <c r="F2459" s="545">
        <v>0.16666666666666666</v>
      </c>
      <c r="G2459" s="545">
        <v>0.1</v>
      </c>
      <c r="H2459" s="545">
        <v>2.6666666666666665</v>
      </c>
      <c r="I2459" s="545">
        <v>0</v>
      </c>
      <c r="J2459" s="545">
        <v>0.45238095238095238</v>
      </c>
    </row>
    <row r="2460" spans="1:10">
      <c r="A2460" s="441">
        <v>2334</v>
      </c>
      <c r="B2460" s="441" t="s">
        <v>2950</v>
      </c>
      <c r="C2460" s="545">
        <v>26.166666666666664</v>
      </c>
      <c r="D2460" s="545">
        <v>26.333333333333336</v>
      </c>
      <c r="E2460" s="545">
        <v>21.333333333333332</v>
      </c>
      <c r="F2460" s="545">
        <v>25.5</v>
      </c>
      <c r="G2460" s="545">
        <v>19.45</v>
      </c>
      <c r="H2460" s="545">
        <v>13</v>
      </c>
      <c r="I2460" s="545">
        <v>11</v>
      </c>
      <c r="J2460" s="545">
        <v>17.321428571428573</v>
      </c>
    </row>
    <row r="2461" spans="1:10">
      <c r="A2461" s="441">
        <v>6640</v>
      </c>
      <c r="B2461" s="441" t="s">
        <v>2950</v>
      </c>
      <c r="C2461" s="545">
        <v>33.666666666666664</v>
      </c>
      <c r="D2461" s="545">
        <v>23.333333333333336</v>
      </c>
      <c r="E2461" s="545">
        <v>17.666666666666668</v>
      </c>
      <c r="F2461" s="545">
        <v>29.904761904761902</v>
      </c>
      <c r="G2461" s="545">
        <v>24.85</v>
      </c>
      <c r="H2461" s="545">
        <v>17.666666666666668</v>
      </c>
      <c r="I2461" s="545">
        <v>16.333333333333332</v>
      </c>
      <c r="J2461" s="545">
        <v>22.607142857142858</v>
      </c>
    </row>
    <row r="2462" spans="1:10">
      <c r="A2462" s="441">
        <v>6641</v>
      </c>
      <c r="B2462" s="441" t="s">
        <v>2950</v>
      </c>
      <c r="C2462" s="545">
        <v>40.833333333333336</v>
      </c>
      <c r="D2462" s="545">
        <v>44.333333333333336</v>
      </c>
      <c r="E2462" s="545">
        <v>24.666666666666664</v>
      </c>
      <c r="F2462" s="545">
        <v>39.023809523809526</v>
      </c>
      <c r="G2462" s="545">
        <v>15.6</v>
      </c>
      <c r="H2462" s="545">
        <v>11.333333333333334</v>
      </c>
      <c r="I2462" s="545">
        <v>6</v>
      </c>
      <c r="J2462" s="545">
        <v>13.619047619047619</v>
      </c>
    </row>
    <row r="2463" spans="1:10">
      <c r="A2463" s="441">
        <v>10716</v>
      </c>
      <c r="B2463" s="441" t="s">
        <v>2951</v>
      </c>
      <c r="C2463" s="545">
        <v>26</v>
      </c>
      <c r="D2463" s="545">
        <v>15.666666666666668</v>
      </c>
      <c r="E2463" s="545">
        <v>11</v>
      </c>
      <c r="F2463" s="545">
        <v>22.38095238095238</v>
      </c>
      <c r="G2463" s="545">
        <v>14.8</v>
      </c>
      <c r="H2463" s="545">
        <v>12</v>
      </c>
      <c r="I2463" s="545">
        <v>10</v>
      </c>
      <c r="J2463" s="545">
        <v>13.714285714285714</v>
      </c>
    </row>
    <row r="2464" spans="1:10">
      <c r="A2464" s="441">
        <v>11869</v>
      </c>
      <c r="B2464" s="441" t="s">
        <v>2952</v>
      </c>
      <c r="C2464" s="545">
        <v>14.833333333333334</v>
      </c>
      <c r="D2464" s="545">
        <v>6</v>
      </c>
      <c r="E2464" s="545">
        <v>4</v>
      </c>
      <c r="F2464" s="545">
        <v>12.023809523809524</v>
      </c>
      <c r="G2464" s="545">
        <v>8.0500000000000007</v>
      </c>
      <c r="H2464" s="545">
        <v>1.6666666666666667</v>
      </c>
      <c r="I2464" s="545">
        <v>2.3333333333333335</v>
      </c>
      <c r="J2464" s="545">
        <v>6.3214285714285712</v>
      </c>
    </row>
    <row r="2465" spans="1:10">
      <c r="A2465" s="441">
        <v>12912</v>
      </c>
      <c r="B2465" s="441" t="s">
        <v>2953</v>
      </c>
      <c r="C2465" s="545">
        <v>187.66666666666666</v>
      </c>
      <c r="D2465" s="545">
        <v>164.33333333333331</v>
      </c>
      <c r="E2465" s="545">
        <v>135</v>
      </c>
      <c r="F2465" s="545">
        <v>176.8095238095238</v>
      </c>
      <c r="G2465" s="545">
        <v>114.1</v>
      </c>
      <c r="H2465" s="545">
        <v>85</v>
      </c>
      <c r="I2465" s="545">
        <v>66.333333333333329</v>
      </c>
      <c r="J2465" s="545">
        <v>103.11904761904762</v>
      </c>
    </row>
    <row r="2466" spans="1:10">
      <c r="A2466" s="441">
        <v>12913</v>
      </c>
      <c r="B2466" s="441" t="s">
        <v>2953</v>
      </c>
      <c r="C2466" s="545">
        <v>205.16666666666666</v>
      </c>
      <c r="D2466" s="545">
        <v>160.66666666666666</v>
      </c>
      <c r="E2466" s="545">
        <v>129.66666666666669</v>
      </c>
      <c r="F2466" s="545">
        <v>188.02380952380955</v>
      </c>
      <c r="G2466" s="545">
        <v>125.15</v>
      </c>
      <c r="H2466" s="545">
        <v>92.666666666666671</v>
      </c>
      <c r="I2466" s="545">
        <v>71.666666666666671</v>
      </c>
      <c r="J2466" s="545">
        <v>112.86904761904761</v>
      </c>
    </row>
    <row r="2467" spans="1:10">
      <c r="A2467" s="441">
        <v>10717</v>
      </c>
      <c r="B2467" s="441" t="s">
        <v>2954</v>
      </c>
      <c r="C2467" s="545">
        <v>22.833333333333332</v>
      </c>
      <c r="D2467" s="545">
        <v>17</v>
      </c>
      <c r="E2467" s="545">
        <v>10.666666666666668</v>
      </c>
      <c r="F2467" s="545">
        <v>20.261904761904759</v>
      </c>
      <c r="G2467" s="545">
        <v>17.3</v>
      </c>
      <c r="H2467" s="545">
        <v>17.333333333333332</v>
      </c>
      <c r="I2467" s="545">
        <v>6.666666666666667</v>
      </c>
      <c r="J2467" s="545">
        <v>15.785714285714286</v>
      </c>
    </row>
    <row r="2468" spans="1:10">
      <c r="A2468" s="441">
        <v>11912</v>
      </c>
      <c r="B2468" s="441" t="s">
        <v>2955</v>
      </c>
      <c r="C2468" s="545">
        <v>3.5</v>
      </c>
      <c r="D2468" s="545">
        <v>2.6666666666666665</v>
      </c>
      <c r="E2468" s="545">
        <v>5</v>
      </c>
      <c r="F2468" s="545">
        <v>3.5952380952380953</v>
      </c>
      <c r="G2468" s="545">
        <v>4.5999999999999996</v>
      </c>
      <c r="H2468" s="545">
        <v>1</v>
      </c>
      <c r="I2468" s="545">
        <v>3</v>
      </c>
      <c r="J2468" s="545">
        <v>3.8571428571428572</v>
      </c>
    </row>
    <row r="2469" spans="1:10">
      <c r="A2469" s="441">
        <v>11913</v>
      </c>
      <c r="B2469" s="441" t="s">
        <v>2955</v>
      </c>
      <c r="C2469" s="545">
        <v>2.5</v>
      </c>
      <c r="D2469" s="545">
        <v>1</v>
      </c>
      <c r="E2469" s="545">
        <v>1.6666666666666665</v>
      </c>
      <c r="F2469" s="545">
        <v>2.1666666666666665</v>
      </c>
      <c r="G2469" s="545">
        <v>3.4</v>
      </c>
      <c r="H2469" s="545">
        <v>1</v>
      </c>
      <c r="I2469" s="545">
        <v>1.3333333333333333</v>
      </c>
      <c r="J2469" s="545">
        <v>2.7619047619047619</v>
      </c>
    </row>
    <row r="2470" spans="1:10">
      <c r="A2470" s="441">
        <v>2336</v>
      </c>
      <c r="B2470" s="441" t="s">
        <v>2956</v>
      </c>
      <c r="C2470" s="545">
        <v>36.666666666666671</v>
      </c>
      <c r="D2470" s="545">
        <v>29.666666666666664</v>
      </c>
      <c r="E2470" s="545">
        <v>23.333333333333336</v>
      </c>
      <c r="F2470" s="545">
        <v>33.761904761904766</v>
      </c>
      <c r="G2470" s="545">
        <v>27.65</v>
      </c>
      <c r="H2470" s="545">
        <v>19.333333333333332</v>
      </c>
      <c r="I2470" s="545">
        <v>11</v>
      </c>
      <c r="J2470" s="545">
        <v>24.083333333333336</v>
      </c>
    </row>
    <row r="2471" spans="1:10">
      <c r="A2471" s="441">
        <v>6638</v>
      </c>
      <c r="B2471" s="441" t="s">
        <v>2956</v>
      </c>
      <c r="C2471" s="545">
        <v>31.5</v>
      </c>
      <c r="D2471" s="545">
        <v>25.666666666666668</v>
      </c>
      <c r="E2471" s="545">
        <v>28.666666666666664</v>
      </c>
      <c r="F2471" s="545">
        <v>30.261904761904759</v>
      </c>
      <c r="G2471" s="545">
        <v>27.65</v>
      </c>
      <c r="H2471" s="545">
        <v>21.333333333333332</v>
      </c>
      <c r="I2471" s="545">
        <v>10.333333333333334</v>
      </c>
      <c r="J2471" s="545">
        <v>24.273809523809526</v>
      </c>
    </row>
    <row r="2472" spans="1:10">
      <c r="A2472" s="441">
        <v>6680</v>
      </c>
      <c r="B2472" s="441" t="s">
        <v>2957</v>
      </c>
      <c r="C2472" s="545">
        <v>5.166666666666667</v>
      </c>
      <c r="D2472" s="545">
        <v>0</v>
      </c>
      <c r="E2472" s="545">
        <v>0</v>
      </c>
      <c r="F2472" s="545">
        <v>3.6904761904761907</v>
      </c>
      <c r="G2472" s="545">
        <v>1.45</v>
      </c>
      <c r="H2472" s="545">
        <v>0</v>
      </c>
      <c r="I2472" s="545">
        <v>0</v>
      </c>
      <c r="J2472" s="545">
        <v>1.0357142857142858</v>
      </c>
    </row>
    <row r="2473" spans="1:10">
      <c r="A2473" s="441">
        <v>6700</v>
      </c>
      <c r="B2473" s="441" t="s">
        <v>2957</v>
      </c>
      <c r="C2473" s="545">
        <v>7.1666666666666661</v>
      </c>
      <c r="D2473" s="545">
        <v>0</v>
      </c>
      <c r="E2473" s="545">
        <v>0</v>
      </c>
      <c r="F2473" s="545">
        <v>5.1190476190476186</v>
      </c>
      <c r="G2473" s="545">
        <v>1.05</v>
      </c>
      <c r="H2473" s="545">
        <v>0</v>
      </c>
      <c r="I2473" s="545">
        <v>0</v>
      </c>
      <c r="J2473" s="545">
        <v>0.75</v>
      </c>
    </row>
    <row r="2474" spans="1:10">
      <c r="A2474" s="441">
        <v>7315</v>
      </c>
      <c r="B2474" s="441" t="s">
        <v>2958</v>
      </c>
      <c r="C2474" s="545">
        <v>5</v>
      </c>
      <c r="D2474" s="545">
        <v>1.3333333333333333</v>
      </c>
      <c r="E2474" s="545">
        <v>0.66666666666666663</v>
      </c>
      <c r="F2474" s="545">
        <v>3.8571428571428572</v>
      </c>
      <c r="G2474" s="545">
        <v>1.8</v>
      </c>
      <c r="H2474" s="545">
        <v>1.3333333333333333</v>
      </c>
      <c r="I2474" s="545">
        <v>0.66666666666666663</v>
      </c>
      <c r="J2474" s="545">
        <v>1.5714285714285714</v>
      </c>
    </row>
    <row r="2475" spans="1:10">
      <c r="A2475" s="441">
        <v>7754</v>
      </c>
      <c r="B2475" s="441" t="s">
        <v>2958</v>
      </c>
      <c r="C2475" s="545">
        <v>5.6666666666666661</v>
      </c>
      <c r="D2475" s="545">
        <v>2</v>
      </c>
      <c r="E2475" s="545">
        <v>0</v>
      </c>
      <c r="F2475" s="545">
        <v>4.333333333333333</v>
      </c>
      <c r="G2475" s="545">
        <v>0.85</v>
      </c>
      <c r="H2475" s="545">
        <v>0</v>
      </c>
      <c r="I2475" s="545">
        <v>0.33333333333333331</v>
      </c>
      <c r="J2475" s="545">
        <v>0.65476190476190477</v>
      </c>
    </row>
    <row r="2476" spans="1:10">
      <c r="A2476" s="441">
        <v>6682</v>
      </c>
      <c r="B2476" s="441" t="s">
        <v>2959</v>
      </c>
      <c r="C2476" s="545">
        <v>1.5</v>
      </c>
      <c r="D2476" s="545">
        <v>0</v>
      </c>
      <c r="E2476" s="545">
        <v>0.33333333333333331</v>
      </c>
      <c r="F2476" s="545">
        <v>1.1190476190476191</v>
      </c>
      <c r="G2476" s="545">
        <v>0.35</v>
      </c>
      <c r="H2476" s="545">
        <v>0</v>
      </c>
      <c r="I2476" s="545">
        <v>0.33333333333333331</v>
      </c>
      <c r="J2476" s="545">
        <v>0.29761904761904762</v>
      </c>
    </row>
    <row r="2477" spans="1:10">
      <c r="A2477" s="441">
        <v>6698</v>
      </c>
      <c r="B2477" s="441" t="s">
        <v>2959</v>
      </c>
      <c r="C2477" s="545">
        <v>1.5</v>
      </c>
      <c r="D2477" s="545">
        <v>0.33333333333333331</v>
      </c>
      <c r="E2477" s="545">
        <v>0</v>
      </c>
      <c r="F2477" s="545">
        <v>1.1190476190476191</v>
      </c>
      <c r="G2477" s="545">
        <v>0.6</v>
      </c>
      <c r="H2477" s="545">
        <v>0</v>
      </c>
      <c r="I2477" s="545">
        <v>0</v>
      </c>
      <c r="J2477" s="545">
        <v>0.42857142857142855</v>
      </c>
    </row>
    <row r="2478" spans="1:10">
      <c r="A2478" s="441">
        <v>12902</v>
      </c>
      <c r="B2478" s="441" t="s">
        <v>2960</v>
      </c>
      <c r="C2478" s="545">
        <v>13.666666666666668</v>
      </c>
      <c r="D2478" s="545">
        <v>10.333333333333332</v>
      </c>
      <c r="E2478" s="545">
        <v>9.3333333333333321</v>
      </c>
      <c r="F2478" s="545">
        <v>12.571428571428571</v>
      </c>
      <c r="G2478" s="545">
        <v>13.45</v>
      </c>
      <c r="H2478" s="545">
        <v>11</v>
      </c>
      <c r="I2478" s="545">
        <v>5</v>
      </c>
      <c r="J2478" s="545">
        <v>11.892857142857142</v>
      </c>
    </row>
    <row r="2479" spans="1:10">
      <c r="A2479" s="441">
        <v>12903</v>
      </c>
      <c r="B2479" s="441" t="s">
        <v>2960</v>
      </c>
      <c r="C2479" s="545">
        <v>21.833333333333336</v>
      </c>
      <c r="D2479" s="545">
        <v>12.666666666666668</v>
      </c>
      <c r="E2479" s="545">
        <v>13</v>
      </c>
      <c r="F2479" s="545">
        <v>19.261904761904766</v>
      </c>
      <c r="G2479" s="545">
        <v>17.5</v>
      </c>
      <c r="H2479" s="545">
        <v>11</v>
      </c>
      <c r="I2479" s="545">
        <v>8.6666666666666661</v>
      </c>
      <c r="J2479" s="545">
        <v>15.30952380952381</v>
      </c>
    </row>
    <row r="2480" spans="1:10">
      <c r="A2480" s="441">
        <v>7056</v>
      </c>
      <c r="B2480" s="441" t="s">
        <v>2961</v>
      </c>
      <c r="C2480" s="545">
        <v>0.16666666666666666</v>
      </c>
      <c r="D2480" s="545">
        <v>0</v>
      </c>
      <c r="E2480" s="545">
        <v>0</v>
      </c>
      <c r="F2480" s="545">
        <v>0.11904761904761904</v>
      </c>
      <c r="G2480" s="545">
        <v>0.5</v>
      </c>
      <c r="H2480" s="545">
        <v>1</v>
      </c>
      <c r="I2480" s="545">
        <v>1</v>
      </c>
      <c r="J2480" s="545">
        <v>0.6428571428571429</v>
      </c>
    </row>
    <row r="2481" spans="1:10">
      <c r="A2481" s="441">
        <v>6690</v>
      </c>
      <c r="B2481" s="441" t="s">
        <v>2962</v>
      </c>
      <c r="C2481" s="545">
        <v>58.333333333333336</v>
      </c>
      <c r="D2481" s="545">
        <v>16</v>
      </c>
      <c r="E2481" s="545">
        <v>19.333333333333336</v>
      </c>
      <c r="F2481" s="545">
        <v>46.714285714285715</v>
      </c>
      <c r="G2481" s="545">
        <v>26.55</v>
      </c>
      <c r="H2481" s="545">
        <v>19.333333333333332</v>
      </c>
      <c r="I2481" s="545">
        <v>9.3333333333333339</v>
      </c>
      <c r="J2481" s="545">
        <v>23.059523809523814</v>
      </c>
    </row>
    <row r="2482" spans="1:10">
      <c r="A2482" s="441">
        <v>6691</v>
      </c>
      <c r="B2482" s="441" t="s">
        <v>2962</v>
      </c>
      <c r="C2482" s="545">
        <v>60</v>
      </c>
      <c r="D2482" s="545">
        <v>18.333333333333332</v>
      </c>
      <c r="E2482" s="545">
        <v>17</v>
      </c>
      <c r="F2482" s="545">
        <v>47.904761904761905</v>
      </c>
      <c r="G2482" s="545">
        <v>24</v>
      </c>
      <c r="H2482" s="545">
        <v>13.666666666666666</v>
      </c>
      <c r="I2482" s="545">
        <v>9</v>
      </c>
      <c r="J2482" s="545">
        <v>20.38095238095238</v>
      </c>
    </row>
    <row r="2483" spans="1:10">
      <c r="A2483" s="441">
        <v>11884</v>
      </c>
      <c r="B2483" s="441" t="s">
        <v>2963</v>
      </c>
      <c r="C2483" s="545">
        <v>9.6666666666666679</v>
      </c>
      <c r="D2483" s="545">
        <v>7.333333333333333</v>
      </c>
      <c r="E2483" s="545">
        <v>1</v>
      </c>
      <c r="F2483" s="545">
        <v>8.0952380952380967</v>
      </c>
      <c r="G2483" s="545">
        <v>9.6</v>
      </c>
      <c r="H2483" s="545">
        <v>3.6666666666666665</v>
      </c>
      <c r="I2483" s="545">
        <v>1.3333333333333333</v>
      </c>
      <c r="J2483" s="545">
        <v>7.5714285714285712</v>
      </c>
    </row>
    <row r="2484" spans="1:10">
      <c r="A2484" s="441">
        <v>2341</v>
      </c>
      <c r="B2484" s="441" t="s">
        <v>2964</v>
      </c>
      <c r="C2484" s="545">
        <v>7</v>
      </c>
      <c r="D2484" s="545">
        <v>5.3333333333333339</v>
      </c>
      <c r="E2484" s="545">
        <v>3.666666666666667</v>
      </c>
      <c r="F2484" s="545">
        <v>6.2857142857142856</v>
      </c>
      <c r="G2484" s="545">
        <v>6.6</v>
      </c>
      <c r="H2484" s="545">
        <v>1.3333333333333333</v>
      </c>
      <c r="I2484" s="545">
        <v>4</v>
      </c>
      <c r="J2484" s="545">
        <v>5.4761904761904763</v>
      </c>
    </row>
    <row r="2485" spans="1:10">
      <c r="A2485" s="441">
        <v>6633</v>
      </c>
      <c r="B2485" s="441" t="s">
        <v>2964</v>
      </c>
      <c r="C2485" s="545">
        <v>5.3333333333333339</v>
      </c>
      <c r="D2485" s="545">
        <v>4</v>
      </c>
      <c r="E2485" s="545">
        <v>5</v>
      </c>
      <c r="F2485" s="545">
        <v>5.0952380952380958</v>
      </c>
      <c r="G2485" s="545">
        <v>6.6</v>
      </c>
      <c r="H2485" s="545">
        <v>1.3333333333333333</v>
      </c>
      <c r="I2485" s="545">
        <v>2.6666666666666665</v>
      </c>
      <c r="J2485" s="545">
        <v>5.2857142857142856</v>
      </c>
    </row>
    <row r="2486" spans="1:10">
      <c r="A2486" s="441">
        <v>2339</v>
      </c>
      <c r="B2486" s="441" t="s">
        <v>2965</v>
      </c>
      <c r="C2486" s="545">
        <v>33.833333333333336</v>
      </c>
      <c r="D2486" s="545">
        <v>25</v>
      </c>
      <c r="E2486" s="545">
        <v>18</v>
      </c>
      <c r="F2486" s="545">
        <v>30.309523809523814</v>
      </c>
      <c r="G2486" s="545">
        <v>33.799999999999997</v>
      </c>
      <c r="H2486" s="545">
        <v>17.666666666666668</v>
      </c>
      <c r="I2486" s="545">
        <v>25</v>
      </c>
      <c r="J2486" s="545">
        <v>30.238095238095237</v>
      </c>
    </row>
    <row r="2487" spans="1:10">
      <c r="A2487" s="441">
        <v>6635</v>
      </c>
      <c r="B2487" s="441" t="s">
        <v>2965</v>
      </c>
      <c r="C2487" s="545">
        <v>43.333333333333329</v>
      </c>
      <c r="D2487" s="545">
        <v>40.333333333333329</v>
      </c>
      <c r="E2487" s="545">
        <v>26</v>
      </c>
      <c r="F2487" s="545">
        <v>40.428571428571423</v>
      </c>
      <c r="G2487" s="545">
        <v>30.4</v>
      </c>
      <c r="H2487" s="545">
        <v>18</v>
      </c>
      <c r="I2487" s="545">
        <v>11.666666666666666</v>
      </c>
      <c r="J2487" s="545">
        <v>25.952380952380953</v>
      </c>
    </row>
    <row r="2488" spans="1:10">
      <c r="A2488" s="441">
        <v>6678</v>
      </c>
      <c r="B2488" s="441" t="s">
        <v>2966</v>
      </c>
      <c r="C2488" s="545">
        <v>1</v>
      </c>
      <c r="D2488" s="545">
        <v>0</v>
      </c>
      <c r="E2488" s="545">
        <v>0</v>
      </c>
      <c r="F2488" s="545">
        <v>0.7142857142857143</v>
      </c>
      <c r="G2488" s="545">
        <v>0.95</v>
      </c>
      <c r="H2488" s="545">
        <v>2.3333333333333335</v>
      </c>
      <c r="I2488" s="545">
        <v>0</v>
      </c>
      <c r="J2488" s="545">
        <v>1.0119047619047621</v>
      </c>
    </row>
    <row r="2489" spans="1:10">
      <c r="A2489" s="441">
        <v>6702</v>
      </c>
      <c r="B2489" s="441" t="s">
        <v>2966</v>
      </c>
      <c r="C2489" s="545">
        <v>2</v>
      </c>
      <c r="D2489" s="545">
        <v>0</v>
      </c>
      <c r="E2489" s="545">
        <v>0</v>
      </c>
      <c r="F2489" s="545">
        <v>1.4285714285714286</v>
      </c>
      <c r="G2489" s="545">
        <v>1.25</v>
      </c>
      <c r="H2489" s="545">
        <v>1.3333333333333333</v>
      </c>
      <c r="I2489" s="545">
        <v>0</v>
      </c>
      <c r="J2489" s="545">
        <v>1.0833333333333333</v>
      </c>
    </row>
    <row r="2490" spans="1:10">
      <c r="A2490" s="441">
        <v>2333</v>
      </c>
      <c r="B2490" s="441" t="s">
        <v>2967</v>
      </c>
      <c r="C2490" s="545">
        <v>35.5</v>
      </c>
      <c r="D2490" s="545">
        <v>37</v>
      </c>
      <c r="E2490" s="545">
        <v>21</v>
      </c>
      <c r="F2490" s="545">
        <v>33.642857142857146</v>
      </c>
      <c r="G2490" s="545">
        <v>22.25</v>
      </c>
      <c r="H2490" s="545">
        <v>14</v>
      </c>
      <c r="I2490" s="545">
        <v>11</v>
      </c>
      <c r="J2490" s="545">
        <v>19.464285714285715</v>
      </c>
    </row>
    <row r="2491" spans="1:10">
      <c r="A2491" s="441">
        <v>11910</v>
      </c>
      <c r="B2491" s="441" t="s">
        <v>2967</v>
      </c>
      <c r="C2491" s="545">
        <v>25.5</v>
      </c>
      <c r="D2491" s="545">
        <v>24.666666666666668</v>
      </c>
      <c r="E2491" s="545">
        <v>18</v>
      </c>
      <c r="F2491" s="545">
        <v>24.309523809523807</v>
      </c>
      <c r="G2491" s="545">
        <v>16.2</v>
      </c>
      <c r="H2491" s="545">
        <v>11.333333333333334</v>
      </c>
      <c r="I2491" s="545">
        <v>8.3333333333333339</v>
      </c>
      <c r="J2491" s="545">
        <v>14.38095238095238</v>
      </c>
    </row>
    <row r="2492" spans="1:10">
      <c r="A2492" s="441">
        <v>11911</v>
      </c>
      <c r="B2492" s="441" t="s">
        <v>2967</v>
      </c>
      <c r="C2492" s="545">
        <v>20.833333333333332</v>
      </c>
      <c r="D2492" s="545">
        <v>16.333333333333336</v>
      </c>
      <c r="E2492" s="545">
        <v>12.666666666666668</v>
      </c>
      <c r="F2492" s="545">
        <v>19.023809523809522</v>
      </c>
      <c r="G2492" s="545">
        <v>14.5</v>
      </c>
      <c r="H2492" s="545">
        <v>11.333333333333334</v>
      </c>
      <c r="I2492" s="545">
        <v>9.3333333333333339</v>
      </c>
      <c r="J2492" s="545">
        <v>13.309523809523808</v>
      </c>
    </row>
    <row r="2493" spans="1:10">
      <c r="A2493" s="441">
        <v>7054</v>
      </c>
      <c r="B2493" s="441" t="s">
        <v>2968</v>
      </c>
      <c r="C2493" s="545">
        <v>0.66666666666666663</v>
      </c>
      <c r="D2493" s="545">
        <v>0</v>
      </c>
      <c r="E2493" s="545">
        <v>0</v>
      </c>
      <c r="F2493" s="545">
        <v>0.47619047619047616</v>
      </c>
      <c r="G2493" s="545">
        <v>1.35</v>
      </c>
      <c r="H2493" s="545">
        <v>0</v>
      </c>
      <c r="I2493" s="545">
        <v>0</v>
      </c>
      <c r="J2493" s="545">
        <v>0.9642857142857143</v>
      </c>
    </row>
    <row r="2494" spans="1:10">
      <c r="A2494" s="441">
        <v>7747</v>
      </c>
      <c r="B2494" s="441" t="s">
        <v>2968</v>
      </c>
      <c r="C2494" s="545">
        <v>1</v>
      </c>
      <c r="D2494" s="545">
        <v>0.33333333333333331</v>
      </c>
      <c r="E2494" s="545">
        <v>0.33333333333333331</v>
      </c>
      <c r="F2494" s="545">
        <v>0.80952380952380942</v>
      </c>
      <c r="G2494" s="545">
        <v>3.1</v>
      </c>
      <c r="H2494" s="545">
        <v>0.66666666666666663</v>
      </c>
      <c r="I2494" s="545">
        <v>0</v>
      </c>
      <c r="J2494" s="545">
        <v>2.3095238095238098</v>
      </c>
    </row>
    <row r="2495" spans="1:10">
      <c r="A2495" s="441">
        <v>2340</v>
      </c>
      <c r="B2495" s="441" t="s">
        <v>2969</v>
      </c>
      <c r="C2495" s="545">
        <v>9.5</v>
      </c>
      <c r="D2495" s="545">
        <v>12.333333333333332</v>
      </c>
      <c r="E2495" s="545">
        <v>9.6666666666666679</v>
      </c>
      <c r="F2495" s="545">
        <v>9.9285714285714288</v>
      </c>
      <c r="G2495" s="545">
        <v>9.85</v>
      </c>
      <c r="H2495" s="545">
        <v>9</v>
      </c>
      <c r="I2495" s="545">
        <v>8</v>
      </c>
      <c r="J2495" s="545">
        <v>9.4642857142857135</v>
      </c>
    </row>
    <row r="2496" spans="1:10">
      <c r="A2496" s="441">
        <v>6634</v>
      </c>
      <c r="B2496" s="441" t="s">
        <v>2969</v>
      </c>
      <c r="C2496" s="545">
        <v>6.6666666666666661</v>
      </c>
      <c r="D2496" s="545">
        <v>4.333333333333333</v>
      </c>
      <c r="E2496" s="545">
        <v>5.6666666666666661</v>
      </c>
      <c r="F2496" s="545">
        <v>6.1904761904761898</v>
      </c>
      <c r="G2496" s="545">
        <v>10.45</v>
      </c>
      <c r="H2496" s="545">
        <v>7.666666666666667</v>
      </c>
      <c r="I2496" s="545">
        <v>9</v>
      </c>
      <c r="J2496" s="545">
        <v>9.8452380952380931</v>
      </c>
    </row>
    <row r="2497" spans="1:10">
      <c r="A2497" s="441">
        <v>2335</v>
      </c>
      <c r="B2497" s="441" t="s">
        <v>2970</v>
      </c>
      <c r="C2497" s="545">
        <v>26.833333333333336</v>
      </c>
      <c r="D2497" s="545">
        <v>13.333333333333334</v>
      </c>
      <c r="E2497" s="545">
        <v>9.3333333333333339</v>
      </c>
      <c r="F2497" s="545">
        <v>22.404761904761909</v>
      </c>
      <c r="G2497" s="545">
        <v>14.25</v>
      </c>
      <c r="H2497" s="545">
        <v>8.3333333333333339</v>
      </c>
      <c r="I2497" s="545">
        <v>7.333333333333333</v>
      </c>
      <c r="J2497" s="545">
        <v>12.416666666666666</v>
      </c>
    </row>
    <row r="2498" spans="1:10">
      <c r="A2498" s="441">
        <v>6639</v>
      </c>
      <c r="B2498" s="441" t="s">
        <v>2970</v>
      </c>
      <c r="C2498" s="545">
        <v>34.5</v>
      </c>
      <c r="D2498" s="545">
        <v>17.333333333333336</v>
      </c>
      <c r="E2498" s="545">
        <v>11</v>
      </c>
      <c r="F2498" s="545">
        <v>28.690476190476193</v>
      </c>
      <c r="G2498" s="545">
        <v>14.1</v>
      </c>
      <c r="H2498" s="545">
        <v>7</v>
      </c>
      <c r="I2498" s="545">
        <v>5.333333333333333</v>
      </c>
      <c r="J2498" s="545">
        <v>11.833333333333332</v>
      </c>
    </row>
    <row r="2499" spans="1:10">
      <c r="A2499" s="441">
        <v>11883</v>
      </c>
      <c r="B2499" s="441" t="s">
        <v>2971</v>
      </c>
      <c r="C2499" s="545">
        <v>14.166666666666666</v>
      </c>
      <c r="D2499" s="545">
        <v>6.6666666666666661</v>
      </c>
      <c r="E2499" s="545">
        <v>5</v>
      </c>
      <c r="F2499" s="545">
        <v>11.785714285714286</v>
      </c>
      <c r="G2499" s="545">
        <v>10.85</v>
      </c>
      <c r="H2499" s="545">
        <v>3.6666666666666665</v>
      </c>
      <c r="I2499" s="545">
        <v>1.3333333333333333</v>
      </c>
      <c r="J2499" s="545">
        <v>8.4642857142857135</v>
      </c>
    </row>
    <row r="2500" spans="1:10">
      <c r="A2500" s="441">
        <v>11870</v>
      </c>
      <c r="B2500" s="441" t="s">
        <v>2972</v>
      </c>
      <c r="C2500" s="545">
        <v>16.166666666666668</v>
      </c>
      <c r="D2500" s="545">
        <v>2.3333333333333335</v>
      </c>
      <c r="E2500" s="545">
        <v>4.666666666666667</v>
      </c>
      <c r="F2500" s="545">
        <v>12.547619047619049</v>
      </c>
      <c r="G2500" s="545">
        <v>4.2</v>
      </c>
      <c r="H2500" s="545">
        <v>2.6666666666666665</v>
      </c>
      <c r="I2500" s="545">
        <v>1.3333333333333333</v>
      </c>
      <c r="J2500" s="545">
        <v>3.5714285714285716</v>
      </c>
    </row>
    <row r="2501" spans="1:10">
      <c r="A2501" s="441">
        <v>6683</v>
      </c>
      <c r="B2501" s="441" t="s">
        <v>2973</v>
      </c>
      <c r="C2501" s="545">
        <v>0.83333333333333326</v>
      </c>
      <c r="D2501" s="545">
        <v>0.33333333333333331</v>
      </c>
      <c r="E2501" s="545">
        <v>0.33333333333333331</v>
      </c>
      <c r="F2501" s="545">
        <v>0.69047619047619035</v>
      </c>
      <c r="G2501" s="545">
        <v>0.1</v>
      </c>
      <c r="H2501" s="545">
        <v>0.33333333333333331</v>
      </c>
      <c r="I2501" s="545">
        <v>0</v>
      </c>
      <c r="J2501" s="545">
        <v>0.11904761904761904</v>
      </c>
    </row>
    <row r="2502" spans="1:10">
      <c r="A2502" s="441">
        <v>6697</v>
      </c>
      <c r="B2502" s="441" t="s">
        <v>2973</v>
      </c>
      <c r="C2502" s="545">
        <v>1.5</v>
      </c>
      <c r="D2502" s="545">
        <v>0.66666666666666663</v>
      </c>
      <c r="E2502" s="545">
        <v>0</v>
      </c>
      <c r="F2502" s="545">
        <v>1.1666666666666665</v>
      </c>
      <c r="G2502" s="545">
        <v>0</v>
      </c>
      <c r="H2502" s="545">
        <v>0</v>
      </c>
      <c r="I2502" s="545">
        <v>0</v>
      </c>
      <c r="J2502" s="545">
        <v>0</v>
      </c>
    </row>
    <row r="2503" spans="1:10">
      <c r="A2503" s="441">
        <v>2342</v>
      </c>
      <c r="B2503" s="441" t="s">
        <v>2974</v>
      </c>
      <c r="C2503" s="545">
        <v>12.333333333333332</v>
      </c>
      <c r="D2503" s="545">
        <v>5</v>
      </c>
      <c r="E2503" s="545">
        <v>2.3333333333333335</v>
      </c>
      <c r="F2503" s="545">
        <v>9.8571428571428559</v>
      </c>
      <c r="G2503" s="545">
        <v>3.5</v>
      </c>
      <c r="H2503" s="545">
        <v>1.3333333333333333</v>
      </c>
      <c r="I2503" s="545">
        <v>1.6666666666666667</v>
      </c>
      <c r="J2503" s="545">
        <v>2.9285714285714284</v>
      </c>
    </row>
    <row r="2504" spans="1:10">
      <c r="A2504" s="441">
        <v>6632</v>
      </c>
      <c r="B2504" s="441" t="s">
        <v>2974</v>
      </c>
      <c r="C2504" s="545">
        <v>10</v>
      </c>
      <c r="D2504" s="545">
        <v>4.6666666666666661</v>
      </c>
      <c r="E2504" s="545">
        <v>2.3333333333333335</v>
      </c>
      <c r="F2504" s="545">
        <v>8.1428571428571423</v>
      </c>
      <c r="G2504" s="545">
        <v>3.6</v>
      </c>
      <c r="H2504" s="545">
        <v>1.3333333333333333</v>
      </c>
      <c r="I2504" s="545">
        <v>0.33333333333333331</v>
      </c>
      <c r="J2504" s="545">
        <v>2.8095238095238093</v>
      </c>
    </row>
    <row r="2505" spans="1:10">
      <c r="A2505" s="441">
        <v>7052</v>
      </c>
      <c r="B2505" s="441" t="s">
        <v>2975</v>
      </c>
      <c r="C2505" s="545">
        <v>1</v>
      </c>
      <c r="D2505" s="545">
        <v>0.33333333333333331</v>
      </c>
      <c r="E2505" s="545">
        <v>0</v>
      </c>
      <c r="F2505" s="545">
        <v>0.76190476190476186</v>
      </c>
      <c r="G2505" s="545">
        <v>0.4</v>
      </c>
      <c r="H2505" s="545">
        <v>0</v>
      </c>
      <c r="I2505" s="545">
        <v>0.33333333333333331</v>
      </c>
      <c r="J2505" s="545">
        <v>0.33333333333333337</v>
      </c>
    </row>
    <row r="2506" spans="1:10">
      <c r="A2506" s="441">
        <v>7749</v>
      </c>
      <c r="B2506" s="441" t="s">
        <v>2975</v>
      </c>
      <c r="C2506" s="545">
        <v>1.8333333333333333</v>
      </c>
      <c r="D2506" s="545">
        <v>0</v>
      </c>
      <c r="E2506" s="545">
        <v>0</v>
      </c>
      <c r="F2506" s="545">
        <v>1.3095238095238095</v>
      </c>
      <c r="G2506" s="545">
        <v>0.3</v>
      </c>
      <c r="H2506" s="545">
        <v>0</v>
      </c>
      <c r="I2506" s="545">
        <v>0</v>
      </c>
      <c r="J2506" s="545">
        <v>0.21428571428571427</v>
      </c>
    </row>
    <row r="2507" spans="1:10">
      <c r="A2507" s="441">
        <v>6679</v>
      </c>
      <c r="B2507" s="441" t="s">
        <v>2976</v>
      </c>
      <c r="C2507" s="545">
        <v>1.1666666666666667</v>
      </c>
      <c r="D2507" s="545">
        <v>0</v>
      </c>
      <c r="E2507" s="545">
        <v>0.33333333333333331</v>
      </c>
      <c r="F2507" s="545">
        <v>0.88095238095238104</v>
      </c>
      <c r="G2507" s="545">
        <v>0.85</v>
      </c>
      <c r="H2507" s="545">
        <v>0</v>
      </c>
      <c r="I2507" s="545">
        <v>0.33333333333333331</v>
      </c>
      <c r="J2507" s="545">
        <v>0.65476190476190477</v>
      </c>
    </row>
    <row r="2508" spans="1:10">
      <c r="A2508" s="441">
        <v>6701</v>
      </c>
      <c r="B2508" s="441" t="s">
        <v>2976</v>
      </c>
      <c r="C2508" s="545">
        <v>0</v>
      </c>
      <c r="D2508" s="545">
        <v>0.33333333333333331</v>
      </c>
      <c r="E2508" s="545">
        <v>0</v>
      </c>
      <c r="F2508" s="545">
        <v>4.7619047619047616E-2</v>
      </c>
      <c r="G2508" s="545">
        <v>1.35</v>
      </c>
      <c r="H2508" s="545">
        <v>0.33333333333333331</v>
      </c>
      <c r="I2508" s="545">
        <v>0</v>
      </c>
      <c r="J2508" s="545">
        <v>1.0119047619047619</v>
      </c>
    </row>
    <row r="2509" spans="1:10">
      <c r="A2509" s="441">
        <v>6696</v>
      </c>
      <c r="B2509" s="441" t="s">
        <v>2977</v>
      </c>
      <c r="C2509" s="545">
        <v>12.333333333333334</v>
      </c>
      <c r="D2509" s="545">
        <v>4</v>
      </c>
      <c r="E2509" s="545">
        <v>2.666666666666667</v>
      </c>
      <c r="F2509" s="545">
        <v>9.7619047619047628</v>
      </c>
      <c r="G2509" s="545">
        <v>8.5</v>
      </c>
      <c r="H2509" s="545">
        <v>4.333333333333333</v>
      </c>
      <c r="I2509" s="545">
        <v>3.6666666666666665</v>
      </c>
      <c r="J2509" s="545">
        <v>7.2142857142857144</v>
      </c>
    </row>
    <row r="2510" spans="1:10">
      <c r="A2510" s="441">
        <v>6686</v>
      </c>
      <c r="B2510" s="441" t="s">
        <v>2978</v>
      </c>
      <c r="C2510" s="545">
        <v>1</v>
      </c>
      <c r="D2510" s="545">
        <v>0</v>
      </c>
      <c r="E2510" s="545">
        <v>0</v>
      </c>
      <c r="F2510" s="545">
        <v>0.7142857142857143</v>
      </c>
      <c r="G2510" s="545">
        <v>3.1</v>
      </c>
      <c r="H2510" s="545">
        <v>1.3333333333333333</v>
      </c>
      <c r="I2510" s="545">
        <v>0</v>
      </c>
      <c r="J2510" s="545">
        <v>2.4047619047619047</v>
      </c>
    </row>
    <row r="2511" spans="1:10">
      <c r="A2511" s="441">
        <v>6694</v>
      </c>
      <c r="B2511" s="441" t="s">
        <v>2978</v>
      </c>
      <c r="C2511" s="545">
        <v>2.8333333333333335</v>
      </c>
      <c r="D2511" s="545">
        <v>1</v>
      </c>
      <c r="E2511" s="545">
        <v>1.3333333333333333</v>
      </c>
      <c r="F2511" s="545">
        <v>2.3571428571428572</v>
      </c>
      <c r="G2511" s="545">
        <v>1.55</v>
      </c>
      <c r="H2511" s="545">
        <v>0.66666666666666663</v>
      </c>
      <c r="I2511" s="545">
        <v>0.33333333333333331</v>
      </c>
      <c r="J2511" s="545">
        <v>1.25</v>
      </c>
    </row>
    <row r="2512" spans="1:10">
      <c r="A2512" s="441">
        <v>6687</v>
      </c>
      <c r="B2512" s="441" t="s">
        <v>2979</v>
      </c>
      <c r="C2512" s="545">
        <v>2.3333333333333335</v>
      </c>
      <c r="D2512" s="545">
        <v>0</v>
      </c>
      <c r="E2512" s="545">
        <v>0</v>
      </c>
      <c r="F2512" s="545">
        <v>1.6666666666666667</v>
      </c>
      <c r="G2512" s="545">
        <v>1.2</v>
      </c>
      <c r="H2512" s="545">
        <v>2</v>
      </c>
      <c r="I2512" s="545">
        <v>0.33333333333333331</v>
      </c>
      <c r="J2512" s="545">
        <v>1.1904761904761905</v>
      </c>
    </row>
    <row r="2513" spans="1:10">
      <c r="A2513" s="441">
        <v>6693</v>
      </c>
      <c r="B2513" s="441" t="s">
        <v>2979</v>
      </c>
      <c r="C2513" s="545">
        <v>1.8333333333333333</v>
      </c>
      <c r="D2513" s="545">
        <v>2.333333333333333</v>
      </c>
      <c r="E2513" s="545">
        <v>0.66666666666666663</v>
      </c>
      <c r="F2513" s="545">
        <v>1.7380952380952379</v>
      </c>
      <c r="G2513" s="545">
        <v>1.2</v>
      </c>
      <c r="H2513" s="545">
        <v>0</v>
      </c>
      <c r="I2513" s="545">
        <v>0.33333333333333331</v>
      </c>
      <c r="J2513" s="545">
        <v>0.90476190476190477</v>
      </c>
    </row>
    <row r="2514" spans="1:10">
      <c r="A2514" s="441">
        <v>6688</v>
      </c>
      <c r="B2514" s="441" t="s">
        <v>2980</v>
      </c>
      <c r="C2514" s="545">
        <v>7.833333333333333</v>
      </c>
      <c r="D2514" s="545">
        <v>2</v>
      </c>
      <c r="E2514" s="545">
        <v>2</v>
      </c>
      <c r="F2514" s="545">
        <v>6.1666666666666661</v>
      </c>
      <c r="G2514" s="545">
        <v>1.6</v>
      </c>
      <c r="H2514" s="545">
        <v>1</v>
      </c>
      <c r="I2514" s="545">
        <v>0.33333333333333331</v>
      </c>
      <c r="J2514" s="545">
        <v>1.3333333333333335</v>
      </c>
    </row>
    <row r="2515" spans="1:10">
      <c r="A2515" s="441">
        <v>6692</v>
      </c>
      <c r="B2515" s="441" t="s">
        <v>2980</v>
      </c>
      <c r="C2515" s="545">
        <v>6.5</v>
      </c>
      <c r="D2515" s="545">
        <v>2.6666666666666665</v>
      </c>
      <c r="E2515" s="545">
        <v>3</v>
      </c>
      <c r="F2515" s="545">
        <v>5.4523809523809517</v>
      </c>
      <c r="G2515" s="545">
        <v>1.4</v>
      </c>
      <c r="H2515" s="545">
        <v>0.33333333333333331</v>
      </c>
      <c r="I2515" s="545">
        <v>0.33333333333333331</v>
      </c>
      <c r="J2515" s="545">
        <v>1.0952380952380951</v>
      </c>
    </row>
    <row r="2516" spans="1:10">
      <c r="A2516" s="441">
        <v>7314</v>
      </c>
      <c r="B2516" s="441" t="s">
        <v>2981</v>
      </c>
      <c r="C2516" s="545">
        <v>30.166666666666664</v>
      </c>
      <c r="D2516" s="545">
        <v>11.666666666666668</v>
      </c>
      <c r="E2516" s="545">
        <v>8.6666666666666661</v>
      </c>
      <c r="F2516" s="545">
        <v>24.452380952380945</v>
      </c>
      <c r="G2516" s="545">
        <v>18.149999999999999</v>
      </c>
      <c r="H2516" s="545">
        <v>11</v>
      </c>
      <c r="I2516" s="545">
        <v>9</v>
      </c>
      <c r="J2516" s="545">
        <v>15.821428571428571</v>
      </c>
    </row>
    <row r="2517" spans="1:10">
      <c r="A2517" s="441">
        <v>7756</v>
      </c>
      <c r="B2517" s="441" t="s">
        <v>2981</v>
      </c>
      <c r="C2517" s="545">
        <v>33.166666666666664</v>
      </c>
      <c r="D2517" s="545">
        <v>15.333333333333332</v>
      </c>
      <c r="E2517" s="545">
        <v>8.6666666666666679</v>
      </c>
      <c r="F2517" s="545">
        <v>27.119047619047617</v>
      </c>
      <c r="G2517" s="545">
        <v>20.2</v>
      </c>
      <c r="H2517" s="545">
        <v>7.666666666666667</v>
      </c>
      <c r="I2517" s="545">
        <v>6</v>
      </c>
      <c r="J2517" s="545">
        <v>16.380952380952383</v>
      </c>
    </row>
    <row r="2518" spans="1:10">
      <c r="A2518" s="441">
        <v>7050</v>
      </c>
      <c r="B2518" s="441" t="s">
        <v>2982</v>
      </c>
      <c r="C2518" s="545">
        <v>40.5</v>
      </c>
      <c r="D2518" s="545">
        <v>18.333333333333332</v>
      </c>
      <c r="E2518" s="545">
        <v>18</v>
      </c>
      <c r="F2518" s="545">
        <v>34.11904761904762</v>
      </c>
      <c r="G2518" s="545">
        <v>20.5</v>
      </c>
      <c r="H2518" s="545">
        <v>15.666666666666666</v>
      </c>
      <c r="I2518" s="545">
        <v>10.333333333333334</v>
      </c>
      <c r="J2518" s="545">
        <v>18.357142857142858</v>
      </c>
    </row>
    <row r="2519" spans="1:10">
      <c r="A2519" s="441">
        <v>7751</v>
      </c>
      <c r="B2519" s="441" t="s">
        <v>2982</v>
      </c>
      <c r="C2519" s="545">
        <v>39.333333333333336</v>
      </c>
      <c r="D2519" s="545">
        <v>24</v>
      </c>
      <c r="E2519" s="545">
        <v>20.666666666666668</v>
      </c>
      <c r="F2519" s="545">
        <v>34.476190476190474</v>
      </c>
      <c r="G2519" s="545">
        <v>21.25</v>
      </c>
      <c r="H2519" s="545">
        <v>16.666666666666668</v>
      </c>
      <c r="I2519" s="545">
        <v>16.333333333333332</v>
      </c>
      <c r="J2519" s="545">
        <v>19.892857142857142</v>
      </c>
    </row>
    <row r="2520" spans="1:10">
      <c r="A2520" s="441">
        <v>6685</v>
      </c>
      <c r="B2520" s="441" t="s">
        <v>2983</v>
      </c>
      <c r="C2520" s="545">
        <v>26.333333333333336</v>
      </c>
      <c r="D2520" s="545">
        <v>9.6666666666666679</v>
      </c>
      <c r="E2520" s="545">
        <v>6.333333333333333</v>
      </c>
      <c r="F2520" s="545">
        <v>21.095238095238098</v>
      </c>
      <c r="G2520" s="545">
        <v>12.65</v>
      </c>
      <c r="H2520" s="545">
        <v>9.3333333333333339</v>
      </c>
      <c r="I2520" s="545">
        <v>7</v>
      </c>
      <c r="J2520" s="545">
        <v>11.369047619047619</v>
      </c>
    </row>
    <row r="2521" spans="1:10">
      <c r="A2521" s="441">
        <v>6695</v>
      </c>
      <c r="B2521" s="441" t="s">
        <v>2983</v>
      </c>
      <c r="C2521" s="545">
        <v>18.166666666666668</v>
      </c>
      <c r="D2521" s="545">
        <v>9</v>
      </c>
      <c r="E2521" s="545">
        <v>5</v>
      </c>
      <c r="F2521" s="545">
        <v>14.976190476190478</v>
      </c>
      <c r="G2521" s="545">
        <v>11.1</v>
      </c>
      <c r="H2521" s="545">
        <v>4.333333333333333</v>
      </c>
      <c r="I2521" s="545">
        <v>4.666666666666667</v>
      </c>
      <c r="J2521" s="545">
        <v>9.2142857142857135</v>
      </c>
    </row>
    <row r="2522" spans="1:10">
      <c r="A2522" s="441">
        <v>7316</v>
      </c>
      <c r="B2522" s="441" t="s">
        <v>2984</v>
      </c>
      <c r="C2522" s="545">
        <v>1.3333333333333333</v>
      </c>
      <c r="D2522" s="545">
        <v>0.66666666666666663</v>
      </c>
      <c r="E2522" s="545">
        <v>0</v>
      </c>
      <c r="F2522" s="545">
        <v>1.0476190476190477</v>
      </c>
      <c r="G2522" s="545">
        <v>0.65</v>
      </c>
      <c r="H2522" s="545">
        <v>0.33333333333333331</v>
      </c>
      <c r="I2522" s="545">
        <v>0</v>
      </c>
      <c r="J2522" s="545">
        <v>0.51190476190476197</v>
      </c>
    </row>
    <row r="2523" spans="1:10">
      <c r="A2523" s="441">
        <v>7753</v>
      </c>
      <c r="B2523" s="441" t="s">
        <v>2984</v>
      </c>
      <c r="C2523" s="545">
        <v>0.66666666666666663</v>
      </c>
      <c r="D2523" s="545">
        <v>0.66666666666666663</v>
      </c>
      <c r="E2523" s="545">
        <v>0</v>
      </c>
      <c r="F2523" s="545">
        <v>0.5714285714285714</v>
      </c>
      <c r="G2523" s="545">
        <v>0.45</v>
      </c>
      <c r="H2523" s="545">
        <v>0</v>
      </c>
      <c r="I2523" s="545">
        <v>0.33333333333333331</v>
      </c>
      <c r="J2523" s="545">
        <v>0.36904761904761907</v>
      </c>
    </row>
    <row r="2524" spans="1:10">
      <c r="A2524" s="441">
        <v>7313</v>
      </c>
      <c r="B2524" s="441" t="s">
        <v>2985</v>
      </c>
      <c r="C2524" s="545">
        <v>11.333333333333334</v>
      </c>
      <c r="D2524" s="545">
        <v>6.333333333333333</v>
      </c>
      <c r="E2524" s="545">
        <v>3.666666666666667</v>
      </c>
      <c r="F2524" s="545">
        <v>9.5238095238095237</v>
      </c>
      <c r="G2524" s="545">
        <v>4.8</v>
      </c>
      <c r="H2524" s="545">
        <v>2.3333333333333335</v>
      </c>
      <c r="I2524" s="545">
        <v>1.6666666666666667</v>
      </c>
      <c r="J2524" s="545">
        <v>4</v>
      </c>
    </row>
    <row r="2525" spans="1:10">
      <c r="A2525" s="441">
        <v>7755</v>
      </c>
      <c r="B2525" s="441" t="s">
        <v>2985</v>
      </c>
      <c r="C2525" s="545">
        <v>14.166666666666666</v>
      </c>
      <c r="D2525" s="545">
        <v>7.6666666666666661</v>
      </c>
      <c r="E2525" s="545">
        <v>7.333333333333333</v>
      </c>
      <c r="F2525" s="545">
        <v>12.261904761904761</v>
      </c>
      <c r="G2525" s="545">
        <v>7.45</v>
      </c>
      <c r="H2525" s="545">
        <v>5.666666666666667</v>
      </c>
      <c r="I2525" s="545">
        <v>3.3333333333333335</v>
      </c>
      <c r="J2525" s="545">
        <v>6.6071428571428568</v>
      </c>
    </row>
    <row r="2526" spans="1:10">
      <c r="A2526" s="441">
        <v>6684</v>
      </c>
      <c r="B2526" s="441" t="s">
        <v>2986</v>
      </c>
      <c r="C2526" s="545">
        <v>4.6666666666666661</v>
      </c>
      <c r="D2526" s="545">
        <v>1</v>
      </c>
      <c r="E2526" s="545">
        <v>1.6666666666666665</v>
      </c>
      <c r="F2526" s="545">
        <v>3.714285714285714</v>
      </c>
      <c r="G2526" s="545">
        <v>4.95</v>
      </c>
      <c r="H2526" s="545">
        <v>2.3333333333333335</v>
      </c>
      <c r="I2526" s="545">
        <v>1</v>
      </c>
      <c r="J2526" s="545">
        <v>4.0119047619047619</v>
      </c>
    </row>
    <row r="2527" spans="1:10">
      <c r="A2527" s="441">
        <v>10725</v>
      </c>
      <c r="B2527" s="441" t="s">
        <v>2987</v>
      </c>
      <c r="C2527" s="545">
        <v>23.166666666666664</v>
      </c>
      <c r="D2527" s="545">
        <v>18.333333333333336</v>
      </c>
      <c r="E2527" s="545">
        <v>14.666666666666668</v>
      </c>
      <c r="F2527" s="545">
        <v>21.261904761904759</v>
      </c>
      <c r="G2527" s="545">
        <v>19.600000000000001</v>
      </c>
      <c r="H2527" s="545">
        <v>15</v>
      </c>
      <c r="I2527" s="545">
        <v>12.666666666666666</v>
      </c>
      <c r="J2527" s="545">
        <v>17.952380952380953</v>
      </c>
    </row>
    <row r="2528" spans="1:10">
      <c r="A2528" s="441">
        <v>10726</v>
      </c>
      <c r="B2528" s="441" t="s">
        <v>2987</v>
      </c>
      <c r="C2528" s="545">
        <v>18.333333333333332</v>
      </c>
      <c r="D2528" s="545">
        <v>12.333333333333332</v>
      </c>
      <c r="E2528" s="545">
        <v>9.6666666666666661</v>
      </c>
      <c r="F2528" s="545">
        <v>16.238095238095237</v>
      </c>
      <c r="G2528" s="545">
        <v>14.3</v>
      </c>
      <c r="H2528" s="545">
        <v>8.6666666666666661</v>
      </c>
      <c r="I2528" s="545">
        <v>7.666666666666667</v>
      </c>
      <c r="J2528" s="545">
        <v>12.547619047619049</v>
      </c>
    </row>
    <row r="2529" spans="1:10">
      <c r="A2529" s="441">
        <v>12891</v>
      </c>
      <c r="B2529" s="441" t="s">
        <v>2988</v>
      </c>
      <c r="C2529" s="545">
        <v>185.83333333333334</v>
      </c>
      <c r="D2529" s="545">
        <v>171.66666666666669</v>
      </c>
      <c r="E2529" s="545">
        <v>133</v>
      </c>
      <c r="F2529" s="545">
        <v>176.26190476190479</v>
      </c>
      <c r="G2529" s="545">
        <v>108.4</v>
      </c>
      <c r="H2529" s="545">
        <v>160.66666666666666</v>
      </c>
      <c r="I2529" s="545">
        <v>169.66666666666666</v>
      </c>
      <c r="J2529" s="545">
        <v>124.61904761904761</v>
      </c>
    </row>
    <row r="2530" spans="1:10">
      <c r="A2530" s="441">
        <v>3703</v>
      </c>
      <c r="B2530" s="441" t="s">
        <v>2989</v>
      </c>
      <c r="C2530" s="545">
        <v>14</v>
      </c>
      <c r="D2530" s="545">
        <v>7.666666666666667</v>
      </c>
      <c r="E2530" s="545">
        <v>6</v>
      </c>
      <c r="F2530" s="545">
        <v>11.952380952380953</v>
      </c>
      <c r="G2530" s="545">
        <v>5.5</v>
      </c>
      <c r="H2530" s="545">
        <v>1.6666666666666667</v>
      </c>
      <c r="I2530" s="545">
        <v>4</v>
      </c>
      <c r="J2530" s="545">
        <v>4.738095238095239</v>
      </c>
    </row>
    <row r="2531" spans="1:10">
      <c r="A2531" s="441">
        <v>3701</v>
      </c>
      <c r="B2531" s="441" t="s">
        <v>2990</v>
      </c>
      <c r="C2531" s="545">
        <v>41.333333333333329</v>
      </c>
      <c r="D2531" s="545">
        <v>10.666666666666666</v>
      </c>
      <c r="E2531" s="545">
        <v>8.6666666666666661</v>
      </c>
      <c r="F2531" s="545">
        <v>32.285714285714278</v>
      </c>
      <c r="G2531" s="545">
        <v>16.45</v>
      </c>
      <c r="H2531" s="545">
        <v>2.6666666666666665</v>
      </c>
      <c r="I2531" s="545">
        <v>2.3333333333333335</v>
      </c>
      <c r="J2531" s="545">
        <v>12.464285714285714</v>
      </c>
    </row>
    <row r="2532" spans="1:10">
      <c r="A2532" s="441">
        <v>3708</v>
      </c>
      <c r="B2532" s="441" t="s">
        <v>2991</v>
      </c>
      <c r="C2532" s="545">
        <v>30.166666666666664</v>
      </c>
      <c r="D2532" s="545">
        <v>24.333333333333332</v>
      </c>
      <c r="E2532" s="545">
        <v>10</v>
      </c>
      <c r="F2532" s="545">
        <v>26.452380952380953</v>
      </c>
      <c r="G2532" s="545">
        <v>14.45</v>
      </c>
      <c r="H2532" s="545">
        <v>7</v>
      </c>
      <c r="I2532" s="545">
        <v>8</v>
      </c>
      <c r="J2532" s="545">
        <v>12.464285714285714</v>
      </c>
    </row>
    <row r="2533" spans="1:10">
      <c r="A2533" s="441">
        <v>3702</v>
      </c>
      <c r="B2533" s="441" t="s">
        <v>2992</v>
      </c>
      <c r="C2533" s="545">
        <v>200.33333333333334</v>
      </c>
      <c r="D2533" s="545">
        <v>116</v>
      </c>
      <c r="E2533" s="545">
        <v>104.33333333333333</v>
      </c>
      <c r="F2533" s="545">
        <v>174.57142857142858</v>
      </c>
      <c r="G2533" s="545">
        <v>130.5</v>
      </c>
      <c r="H2533" s="545">
        <v>54.333333333333336</v>
      </c>
      <c r="I2533" s="545">
        <v>71.333333333333329</v>
      </c>
      <c r="J2533" s="545">
        <v>111.16666666666667</v>
      </c>
    </row>
    <row r="2534" spans="1:10">
      <c r="A2534" s="441">
        <v>3705</v>
      </c>
      <c r="B2534" s="441" t="s">
        <v>2993</v>
      </c>
      <c r="C2534" s="545">
        <v>7.8333333333333339</v>
      </c>
      <c r="D2534" s="545">
        <v>4</v>
      </c>
      <c r="E2534" s="545">
        <v>5.6666666666666661</v>
      </c>
      <c r="F2534" s="545">
        <v>6.9761904761904763</v>
      </c>
      <c r="G2534" s="545">
        <v>5.55</v>
      </c>
      <c r="H2534" s="545">
        <v>4.666666666666667</v>
      </c>
      <c r="I2534" s="545">
        <v>4.666666666666667</v>
      </c>
      <c r="J2534" s="545">
        <v>5.2976190476190466</v>
      </c>
    </row>
    <row r="2535" spans="1:10">
      <c r="A2535" s="441">
        <v>3704</v>
      </c>
      <c r="B2535" s="441" t="s">
        <v>2994</v>
      </c>
      <c r="C2535" s="545">
        <v>9</v>
      </c>
      <c r="D2535" s="545">
        <v>3.3333333333333335</v>
      </c>
      <c r="E2535" s="545">
        <v>6.666666666666667</v>
      </c>
      <c r="F2535" s="545">
        <v>7.8571428571428568</v>
      </c>
      <c r="G2535" s="545">
        <v>3.65</v>
      </c>
      <c r="H2535" s="545">
        <v>2</v>
      </c>
      <c r="I2535" s="545">
        <v>1.6666666666666667</v>
      </c>
      <c r="J2535" s="545">
        <v>3.1309523809523809</v>
      </c>
    </row>
    <row r="2536" spans="1:10">
      <c r="A2536" s="441">
        <v>3713</v>
      </c>
      <c r="B2536" s="441" t="s">
        <v>2995</v>
      </c>
      <c r="C2536" s="545">
        <v>13</v>
      </c>
      <c r="D2536" s="545">
        <v>7.333333333333333</v>
      </c>
      <c r="E2536" s="545">
        <v>7.333333333333333</v>
      </c>
      <c r="F2536" s="545">
        <v>11.38095238095238</v>
      </c>
      <c r="G2536" s="545">
        <v>7.1</v>
      </c>
      <c r="H2536" s="545">
        <v>2</v>
      </c>
      <c r="I2536" s="545">
        <v>2.3333333333333335</v>
      </c>
      <c r="J2536" s="545">
        <v>5.6904761904761907</v>
      </c>
    </row>
    <row r="2537" spans="1:10">
      <c r="A2537" s="441">
        <v>3712</v>
      </c>
      <c r="B2537" s="441" t="s">
        <v>2996</v>
      </c>
      <c r="C2537" s="545">
        <v>7</v>
      </c>
      <c r="D2537" s="545">
        <v>5.333333333333333</v>
      </c>
      <c r="E2537" s="545">
        <v>3</v>
      </c>
      <c r="F2537" s="545">
        <v>6.1904761904761907</v>
      </c>
      <c r="G2537" s="545">
        <v>3.85</v>
      </c>
      <c r="H2537" s="545">
        <v>4.333333333333333</v>
      </c>
      <c r="I2537" s="545">
        <v>1.6666666666666667</v>
      </c>
      <c r="J2537" s="545">
        <v>3.6071428571428572</v>
      </c>
    </row>
    <row r="2538" spans="1:10">
      <c r="A2538" s="441">
        <v>3707</v>
      </c>
      <c r="B2538" s="441" t="s">
        <v>2997</v>
      </c>
      <c r="C2538" s="545">
        <v>6.5</v>
      </c>
      <c r="D2538" s="545">
        <v>2.666666666666667</v>
      </c>
      <c r="E2538" s="545">
        <v>2</v>
      </c>
      <c r="F2538" s="545">
        <v>5.3095238095238093</v>
      </c>
      <c r="G2538" s="545">
        <v>3.35</v>
      </c>
      <c r="H2538" s="545">
        <v>1</v>
      </c>
      <c r="I2538" s="545">
        <v>2.6666666666666665</v>
      </c>
      <c r="J2538" s="545">
        <v>2.916666666666667</v>
      </c>
    </row>
    <row r="2539" spans="1:10">
      <c r="A2539" s="441">
        <v>3709</v>
      </c>
      <c r="B2539" s="441" t="s">
        <v>2998</v>
      </c>
      <c r="C2539" s="545">
        <v>4.5</v>
      </c>
      <c r="D2539" s="545">
        <v>3</v>
      </c>
      <c r="E2539" s="545">
        <v>0.33333333333333331</v>
      </c>
      <c r="F2539" s="545">
        <v>3.6904761904761902</v>
      </c>
      <c r="G2539" s="545">
        <v>1.05</v>
      </c>
      <c r="H2539" s="545">
        <v>0.33333333333333331</v>
      </c>
      <c r="I2539" s="545">
        <v>1</v>
      </c>
      <c r="J2539" s="545">
        <v>0.94047619047619047</v>
      </c>
    </row>
    <row r="2540" spans="1:10">
      <c r="A2540" s="441">
        <v>3711</v>
      </c>
      <c r="B2540" s="441" t="s">
        <v>2999</v>
      </c>
      <c r="C2540" s="545">
        <v>3</v>
      </c>
      <c r="D2540" s="545">
        <v>3.333333333333333</v>
      </c>
      <c r="E2540" s="545">
        <v>1.3333333333333333</v>
      </c>
      <c r="F2540" s="545">
        <v>2.8095238095238093</v>
      </c>
      <c r="G2540" s="545">
        <v>2.1</v>
      </c>
      <c r="H2540" s="545">
        <v>2</v>
      </c>
      <c r="I2540" s="545">
        <v>1.6666666666666667</v>
      </c>
      <c r="J2540" s="545">
        <v>2.0238095238095237</v>
      </c>
    </row>
    <row r="2541" spans="1:10">
      <c r="A2541" s="441">
        <v>3699</v>
      </c>
      <c r="B2541" s="441" t="s">
        <v>3000</v>
      </c>
      <c r="C2541" s="545">
        <v>8</v>
      </c>
      <c r="D2541" s="545">
        <v>6</v>
      </c>
      <c r="E2541" s="545">
        <v>4.6666666666666661</v>
      </c>
      <c r="F2541" s="545">
        <v>7.2380952380952381</v>
      </c>
      <c r="G2541" s="545">
        <v>5.3</v>
      </c>
      <c r="H2541" s="545">
        <v>4</v>
      </c>
      <c r="I2541" s="545">
        <v>5.666666666666667</v>
      </c>
      <c r="J2541" s="545">
        <v>5.1666666666666661</v>
      </c>
    </row>
    <row r="2542" spans="1:10">
      <c r="A2542" s="441">
        <v>3710</v>
      </c>
      <c r="B2542" s="441" t="s">
        <v>3001</v>
      </c>
      <c r="C2542" s="545">
        <v>4.333333333333333</v>
      </c>
      <c r="D2542" s="545">
        <v>3.3333333333333335</v>
      </c>
      <c r="E2542" s="545">
        <v>1.3333333333333333</v>
      </c>
      <c r="F2542" s="545">
        <v>3.7619047619047614</v>
      </c>
      <c r="G2542" s="545">
        <v>5.4</v>
      </c>
      <c r="H2542" s="545">
        <v>1.3333333333333333</v>
      </c>
      <c r="I2542" s="545">
        <v>2.3333333333333335</v>
      </c>
      <c r="J2542" s="545">
        <v>4.3809523809523805</v>
      </c>
    </row>
    <row r="2543" spans="1:10">
      <c r="A2543" s="441">
        <v>3700</v>
      </c>
      <c r="B2543" s="441" t="s">
        <v>3002</v>
      </c>
      <c r="C2543" s="545">
        <v>13.5</v>
      </c>
      <c r="D2543" s="545">
        <v>8.6666666666666661</v>
      </c>
      <c r="E2543" s="545">
        <v>4</v>
      </c>
      <c r="F2543" s="545">
        <v>11.452380952380953</v>
      </c>
      <c r="G2543" s="545">
        <v>3.7</v>
      </c>
      <c r="H2543" s="545">
        <v>2.3333333333333335</v>
      </c>
      <c r="I2543" s="545">
        <v>3.3333333333333335</v>
      </c>
      <c r="J2543" s="545">
        <v>3.4523809523809521</v>
      </c>
    </row>
    <row r="2544" spans="1:10">
      <c r="A2544" s="441">
        <v>3697</v>
      </c>
      <c r="B2544" s="441" t="s">
        <v>3003</v>
      </c>
      <c r="C2544" s="545">
        <v>6.5</v>
      </c>
      <c r="D2544" s="545">
        <v>4.6666666666666661</v>
      </c>
      <c r="E2544" s="545">
        <v>1.3333333333333333</v>
      </c>
      <c r="F2544" s="545">
        <v>5.5</v>
      </c>
      <c r="G2544" s="545">
        <v>3.6</v>
      </c>
      <c r="H2544" s="545">
        <v>3.3333333333333335</v>
      </c>
      <c r="I2544" s="545">
        <v>4.333333333333333</v>
      </c>
      <c r="J2544" s="545">
        <v>3.6666666666666665</v>
      </c>
    </row>
    <row r="2545" spans="1:10">
      <c r="A2545" s="441">
        <v>3698</v>
      </c>
      <c r="B2545" s="441" t="s">
        <v>3004</v>
      </c>
      <c r="C2545" s="545">
        <v>6.5</v>
      </c>
      <c r="D2545" s="545">
        <v>5.3333333333333339</v>
      </c>
      <c r="E2545" s="545">
        <v>3</v>
      </c>
      <c r="F2545" s="545">
        <v>5.8333333333333339</v>
      </c>
      <c r="G2545" s="545">
        <v>4.25</v>
      </c>
      <c r="H2545" s="545">
        <v>3</v>
      </c>
      <c r="I2545" s="545">
        <v>2.6666666666666665</v>
      </c>
      <c r="J2545" s="545">
        <v>3.8452380952380953</v>
      </c>
    </row>
    <row r="2546" spans="1:10">
      <c r="A2546" s="441">
        <v>3694</v>
      </c>
      <c r="B2546" s="441" t="s">
        <v>3005</v>
      </c>
      <c r="C2546" s="545">
        <v>10.833333333333332</v>
      </c>
      <c r="D2546" s="545">
        <v>9</v>
      </c>
      <c r="E2546" s="545">
        <v>8</v>
      </c>
      <c r="F2546" s="545">
        <v>10.166666666666666</v>
      </c>
      <c r="G2546" s="545">
        <v>13.75</v>
      </c>
      <c r="H2546" s="545">
        <v>10.333333333333334</v>
      </c>
      <c r="I2546" s="545">
        <v>8.3333333333333339</v>
      </c>
      <c r="J2546" s="545">
        <v>12.488095238095237</v>
      </c>
    </row>
    <row r="2547" spans="1:10">
      <c r="A2547" s="441">
        <v>3696</v>
      </c>
      <c r="B2547" s="441" t="s">
        <v>3006</v>
      </c>
      <c r="C2547" s="545">
        <v>30.833333333333332</v>
      </c>
      <c r="D2547" s="545">
        <v>25.333333333333332</v>
      </c>
      <c r="E2547" s="545">
        <v>21.666666666666664</v>
      </c>
      <c r="F2547" s="545">
        <v>28.738095238095237</v>
      </c>
      <c r="G2547" s="545">
        <v>22.45</v>
      </c>
      <c r="H2547" s="545">
        <v>12.333333333333334</v>
      </c>
      <c r="I2547" s="545">
        <v>20</v>
      </c>
      <c r="J2547" s="545">
        <v>20.654761904761902</v>
      </c>
    </row>
    <row r="2548" spans="1:10">
      <c r="A2548" s="441">
        <v>3706</v>
      </c>
      <c r="B2548" s="441" t="s">
        <v>3007</v>
      </c>
      <c r="C2548" s="545">
        <v>3.8333333333333335</v>
      </c>
      <c r="D2548" s="545">
        <v>2.3333333333333335</v>
      </c>
      <c r="E2548" s="545">
        <v>2.666666666666667</v>
      </c>
      <c r="F2548" s="545">
        <v>3.4523809523809526</v>
      </c>
      <c r="G2548" s="545">
        <v>2.5</v>
      </c>
      <c r="H2548" s="545">
        <v>1</v>
      </c>
      <c r="I2548" s="545">
        <v>2</v>
      </c>
      <c r="J2548" s="545">
        <v>2.2142857142857144</v>
      </c>
    </row>
    <row r="2549" spans="1:10">
      <c r="A2549" s="441">
        <v>1622</v>
      </c>
      <c r="B2549" s="441" t="s">
        <v>3008</v>
      </c>
      <c r="C2549" s="545">
        <v>9.6666666666666661</v>
      </c>
      <c r="D2549" s="545">
        <v>14</v>
      </c>
      <c r="E2549" s="545">
        <v>9</v>
      </c>
      <c r="F2549" s="545">
        <v>10.19047619047619</v>
      </c>
      <c r="G2549" s="545">
        <v>9.85</v>
      </c>
      <c r="H2549" s="545">
        <v>12.666666666666666</v>
      </c>
      <c r="I2549" s="545">
        <v>6</v>
      </c>
      <c r="J2549" s="545">
        <v>9.7023809523809508</v>
      </c>
    </row>
    <row r="2550" spans="1:10">
      <c r="A2550" s="441">
        <v>1639</v>
      </c>
      <c r="B2550" s="441" t="s">
        <v>3009</v>
      </c>
      <c r="C2550" s="545">
        <v>17</v>
      </c>
      <c r="D2550" s="545">
        <v>9.6666666666666661</v>
      </c>
      <c r="E2550" s="545">
        <v>12</v>
      </c>
      <c r="F2550" s="545">
        <v>15.238095238095239</v>
      </c>
      <c r="G2550" s="545">
        <v>12.05</v>
      </c>
      <c r="H2550" s="545">
        <v>13.666666666666666</v>
      </c>
      <c r="I2550" s="545">
        <v>5</v>
      </c>
      <c r="J2550" s="545">
        <v>11.273809523809524</v>
      </c>
    </row>
    <row r="2551" spans="1:10">
      <c r="A2551" s="441">
        <v>8739</v>
      </c>
      <c r="B2551" s="441" t="s">
        <v>3010</v>
      </c>
      <c r="C2551" s="545">
        <v>20.333333333333336</v>
      </c>
      <c r="D2551" s="545">
        <v>10.666666666666668</v>
      </c>
      <c r="E2551" s="545">
        <v>5.3333333333333339</v>
      </c>
      <c r="F2551" s="545">
        <v>16.809523809523814</v>
      </c>
      <c r="G2551" s="545">
        <v>19.100000000000001</v>
      </c>
      <c r="H2551" s="545">
        <v>7.666666666666667</v>
      </c>
      <c r="I2551" s="545">
        <v>6.333333333333333</v>
      </c>
      <c r="J2551" s="545">
        <v>15.642857142857142</v>
      </c>
    </row>
    <row r="2552" spans="1:10">
      <c r="A2552" s="441">
        <v>8967</v>
      </c>
      <c r="B2552" s="441" t="s">
        <v>3010</v>
      </c>
      <c r="C2552" s="545">
        <v>25.166666666666664</v>
      </c>
      <c r="D2552" s="545">
        <v>11.666666666666668</v>
      </c>
      <c r="E2552" s="545">
        <v>5</v>
      </c>
      <c r="F2552" s="545">
        <v>20.357142857142854</v>
      </c>
      <c r="G2552" s="545">
        <v>22.65</v>
      </c>
      <c r="H2552" s="545">
        <v>9</v>
      </c>
      <c r="I2552" s="545">
        <v>6</v>
      </c>
      <c r="J2552" s="545">
        <v>18.321428571428573</v>
      </c>
    </row>
    <row r="2553" spans="1:10">
      <c r="A2553" s="441">
        <v>8740</v>
      </c>
      <c r="B2553" s="441" t="s">
        <v>3011</v>
      </c>
      <c r="C2553" s="545">
        <v>38.5</v>
      </c>
      <c r="D2553" s="545">
        <v>19</v>
      </c>
      <c r="E2553" s="545">
        <v>9</v>
      </c>
      <c r="F2553" s="545">
        <v>31.5</v>
      </c>
      <c r="G2553" s="545">
        <v>21.8</v>
      </c>
      <c r="H2553" s="545">
        <v>15</v>
      </c>
      <c r="I2553" s="545">
        <v>8.6666666666666661</v>
      </c>
      <c r="J2553" s="545">
        <v>18.952380952380953</v>
      </c>
    </row>
    <row r="2554" spans="1:10">
      <c r="A2554" s="441">
        <v>8966</v>
      </c>
      <c r="B2554" s="441" t="s">
        <v>3011</v>
      </c>
      <c r="C2554" s="545">
        <v>29.166666666666668</v>
      </c>
      <c r="D2554" s="545">
        <v>12.666666666666666</v>
      </c>
      <c r="E2554" s="545">
        <v>8</v>
      </c>
      <c r="F2554" s="545">
        <v>23.785714285714285</v>
      </c>
      <c r="G2554" s="545">
        <v>16.7</v>
      </c>
      <c r="H2554" s="545">
        <v>9</v>
      </c>
      <c r="I2554" s="545">
        <v>5</v>
      </c>
      <c r="J2554" s="545">
        <v>13.928571428571429</v>
      </c>
    </row>
    <row r="2555" spans="1:10">
      <c r="A2555" s="441">
        <v>8737</v>
      </c>
      <c r="B2555" s="441" t="s">
        <v>3012</v>
      </c>
      <c r="C2555" s="545">
        <v>3</v>
      </c>
      <c r="D2555" s="545">
        <v>0.66666666666666663</v>
      </c>
      <c r="E2555" s="545">
        <v>0</v>
      </c>
      <c r="F2555" s="545">
        <v>2.2380952380952381</v>
      </c>
      <c r="G2555" s="545">
        <v>3.6</v>
      </c>
      <c r="H2555" s="545">
        <v>1.6666666666666667</v>
      </c>
      <c r="I2555" s="545">
        <v>2.6666666666666665</v>
      </c>
      <c r="J2555" s="545">
        <v>3.1904761904761907</v>
      </c>
    </row>
    <row r="2556" spans="1:10">
      <c r="A2556" s="441">
        <v>8969</v>
      </c>
      <c r="B2556" s="441" t="s">
        <v>3012</v>
      </c>
      <c r="C2556" s="545">
        <v>4.333333333333333</v>
      </c>
      <c r="D2556" s="545">
        <v>1</v>
      </c>
      <c r="E2556" s="545">
        <v>1</v>
      </c>
      <c r="F2556" s="545">
        <v>3.3809523809523805</v>
      </c>
      <c r="G2556" s="545">
        <v>3.55</v>
      </c>
      <c r="H2556" s="545">
        <v>2.3333333333333335</v>
      </c>
      <c r="I2556" s="545">
        <v>2.3333333333333335</v>
      </c>
      <c r="J2556" s="545">
        <v>3.2023809523809521</v>
      </c>
    </row>
    <row r="2557" spans="1:10">
      <c r="A2557" s="441">
        <v>8970</v>
      </c>
      <c r="B2557" s="441" t="s">
        <v>3012</v>
      </c>
      <c r="C2557" s="545">
        <v>7</v>
      </c>
      <c r="D2557" s="545">
        <v>0.33333333333333331</v>
      </c>
      <c r="E2557" s="545">
        <v>1</v>
      </c>
      <c r="F2557" s="545">
        <v>5.1904761904761907</v>
      </c>
      <c r="G2557" s="545">
        <v>1.65</v>
      </c>
      <c r="H2557" s="545">
        <v>0.33333333333333331</v>
      </c>
      <c r="I2557" s="545">
        <v>0.66666666666666663</v>
      </c>
      <c r="J2557" s="545">
        <v>1.3214285714285714</v>
      </c>
    </row>
    <row r="2558" spans="1:10">
      <c r="A2558" s="441">
        <v>8738</v>
      </c>
      <c r="B2558" s="441" t="s">
        <v>3013</v>
      </c>
      <c r="C2558" s="545">
        <v>2</v>
      </c>
      <c r="D2558" s="545">
        <v>3.6666666666666665</v>
      </c>
      <c r="E2558" s="545">
        <v>1</v>
      </c>
      <c r="F2558" s="545">
        <v>2.0952380952380953</v>
      </c>
      <c r="G2558" s="545">
        <v>0.85</v>
      </c>
      <c r="H2558" s="545">
        <v>0.66666666666666663</v>
      </c>
      <c r="I2558" s="545">
        <v>0</v>
      </c>
      <c r="J2558" s="545">
        <v>0.70238095238095244</v>
      </c>
    </row>
    <row r="2559" spans="1:10">
      <c r="A2559" s="441">
        <v>8968</v>
      </c>
      <c r="B2559" s="441" t="s">
        <v>3013</v>
      </c>
      <c r="C2559" s="545">
        <v>2.5</v>
      </c>
      <c r="D2559" s="545">
        <v>0.66666666666666663</v>
      </c>
      <c r="E2559" s="545">
        <v>1.3333333333333333</v>
      </c>
      <c r="F2559" s="545">
        <v>2.0714285714285716</v>
      </c>
      <c r="G2559" s="545">
        <v>1.1499999999999999</v>
      </c>
      <c r="H2559" s="545">
        <v>0</v>
      </c>
      <c r="I2559" s="545">
        <v>0.33333333333333331</v>
      </c>
      <c r="J2559" s="545">
        <v>0.86904761904761896</v>
      </c>
    </row>
    <row r="2560" spans="1:10">
      <c r="A2560" s="441">
        <v>8736</v>
      </c>
      <c r="B2560" s="441" t="s">
        <v>3014</v>
      </c>
      <c r="C2560" s="545">
        <v>6.666666666666667</v>
      </c>
      <c r="D2560" s="545">
        <v>0.33333333333333331</v>
      </c>
      <c r="E2560" s="545">
        <v>0</v>
      </c>
      <c r="F2560" s="545">
        <v>4.8095238095238102</v>
      </c>
      <c r="G2560" s="545">
        <v>1.4</v>
      </c>
      <c r="H2560" s="545">
        <v>0.66666666666666663</v>
      </c>
      <c r="I2560" s="545">
        <v>0</v>
      </c>
      <c r="J2560" s="545">
        <v>1.0952380952380953</v>
      </c>
    </row>
    <row r="2561" spans="1:10">
      <c r="A2561" s="441">
        <v>8741</v>
      </c>
      <c r="B2561" s="441" t="s">
        <v>3015</v>
      </c>
      <c r="C2561" s="545">
        <v>15.5</v>
      </c>
      <c r="D2561" s="545">
        <v>9</v>
      </c>
      <c r="E2561" s="545">
        <v>9.6666666666666661</v>
      </c>
      <c r="F2561" s="545">
        <v>13.738095238095239</v>
      </c>
      <c r="G2561" s="545">
        <v>13.4</v>
      </c>
      <c r="H2561" s="545">
        <v>6.333333333333333</v>
      </c>
      <c r="I2561" s="545">
        <v>4.666666666666667</v>
      </c>
      <c r="J2561" s="545">
        <v>11.142857142857142</v>
      </c>
    </row>
    <row r="2562" spans="1:10">
      <c r="A2562" s="441">
        <v>8965</v>
      </c>
      <c r="B2562" s="441" t="s">
        <v>3015</v>
      </c>
      <c r="C2562" s="545">
        <v>14.166666666666668</v>
      </c>
      <c r="D2562" s="545">
        <v>8</v>
      </c>
      <c r="E2562" s="545">
        <v>7.666666666666667</v>
      </c>
      <c r="F2562" s="545">
        <v>12.357142857142859</v>
      </c>
      <c r="G2562" s="545">
        <v>13.4</v>
      </c>
      <c r="H2562" s="545">
        <v>5</v>
      </c>
      <c r="I2562" s="545">
        <v>6.333333333333333</v>
      </c>
      <c r="J2562" s="545">
        <v>11.19047619047619</v>
      </c>
    </row>
    <row r="2563" spans="1:10">
      <c r="A2563" s="441">
        <v>2142</v>
      </c>
      <c r="B2563" s="441" t="s">
        <v>3016</v>
      </c>
      <c r="C2563" s="545">
        <v>55.833333333333329</v>
      </c>
      <c r="D2563" s="545">
        <v>17.333333333333332</v>
      </c>
      <c r="E2563" s="545">
        <v>17.666666666666668</v>
      </c>
      <c r="F2563" s="545">
        <v>44.880952380952372</v>
      </c>
      <c r="G2563" s="545">
        <v>33.1</v>
      </c>
      <c r="H2563" s="545">
        <v>14</v>
      </c>
      <c r="I2563" s="545">
        <v>7.333333333333333</v>
      </c>
      <c r="J2563" s="545">
        <v>26.690476190476193</v>
      </c>
    </row>
    <row r="2564" spans="1:10">
      <c r="A2564" s="441">
        <v>11491</v>
      </c>
      <c r="B2564" s="441" t="s">
        <v>3016</v>
      </c>
      <c r="C2564" s="545">
        <v>31.166666666666664</v>
      </c>
      <c r="D2564" s="545">
        <v>28.333333333333336</v>
      </c>
      <c r="E2564" s="545">
        <v>11.333333333333332</v>
      </c>
      <c r="F2564" s="545">
        <v>27.928571428571427</v>
      </c>
      <c r="G2564" s="545">
        <v>22.75</v>
      </c>
      <c r="H2564" s="545">
        <v>7.333333333333333</v>
      </c>
      <c r="I2564" s="545">
        <v>4.666666666666667</v>
      </c>
      <c r="J2564" s="545">
        <v>17.964285714285715</v>
      </c>
    </row>
    <row r="2565" spans="1:10">
      <c r="A2565" s="441">
        <v>2130</v>
      </c>
      <c r="B2565" s="441" t="s">
        <v>3017</v>
      </c>
      <c r="C2565" s="545">
        <v>22.5</v>
      </c>
      <c r="D2565" s="545">
        <v>18</v>
      </c>
      <c r="E2565" s="545">
        <v>9.3333333333333339</v>
      </c>
      <c r="F2565" s="545">
        <v>19.976190476190478</v>
      </c>
      <c r="G2565" s="545">
        <v>11.5</v>
      </c>
      <c r="H2565" s="545">
        <v>15</v>
      </c>
      <c r="I2565" s="545">
        <v>7.333333333333333</v>
      </c>
      <c r="J2565" s="545">
        <v>11.404761904761903</v>
      </c>
    </row>
    <row r="2566" spans="1:10">
      <c r="A2566" s="441">
        <v>2166</v>
      </c>
      <c r="B2566" s="441" t="s">
        <v>3017</v>
      </c>
      <c r="C2566" s="545">
        <v>15.166666666666666</v>
      </c>
      <c r="D2566" s="545">
        <v>8</v>
      </c>
      <c r="E2566" s="545">
        <v>9</v>
      </c>
      <c r="F2566" s="545">
        <v>13.261904761904761</v>
      </c>
      <c r="G2566" s="545">
        <v>12.4</v>
      </c>
      <c r="H2566" s="545">
        <v>7.333333333333333</v>
      </c>
      <c r="I2566" s="545">
        <v>7.666666666666667</v>
      </c>
      <c r="J2566" s="545">
        <v>11</v>
      </c>
    </row>
    <row r="2567" spans="1:10">
      <c r="A2567" s="441">
        <v>2137</v>
      </c>
      <c r="B2567" s="441" t="s">
        <v>3018</v>
      </c>
      <c r="C2567" s="545">
        <v>13.166666666666666</v>
      </c>
      <c r="D2567" s="545">
        <v>4.6666666666666661</v>
      </c>
      <c r="E2567" s="545">
        <v>3.6666666666666665</v>
      </c>
      <c r="F2567" s="545">
        <v>10.595238095238097</v>
      </c>
      <c r="G2567" s="545">
        <v>7.8</v>
      </c>
      <c r="H2567" s="545">
        <v>3.3333333333333335</v>
      </c>
      <c r="I2567" s="545">
        <v>1.6666666666666667</v>
      </c>
      <c r="J2567" s="545">
        <v>6.2857142857142856</v>
      </c>
    </row>
    <row r="2568" spans="1:10">
      <c r="A2568" s="441">
        <v>2140</v>
      </c>
      <c r="B2568" s="441" t="s">
        <v>3018</v>
      </c>
      <c r="C2568" s="545">
        <v>8.6666666666666679</v>
      </c>
      <c r="D2568" s="545">
        <v>2</v>
      </c>
      <c r="E2568" s="545">
        <v>4.333333333333333</v>
      </c>
      <c r="F2568" s="545">
        <v>7.0952380952380967</v>
      </c>
      <c r="G2568" s="545">
        <v>10.35</v>
      </c>
      <c r="H2568" s="545">
        <v>3.3333333333333335</v>
      </c>
      <c r="I2568" s="545">
        <v>2</v>
      </c>
      <c r="J2568" s="545">
        <v>8.1547619047619051</v>
      </c>
    </row>
    <row r="2569" spans="1:10">
      <c r="A2569" s="441">
        <v>2167</v>
      </c>
      <c r="B2569" s="441" t="s">
        <v>3019</v>
      </c>
      <c r="C2569" s="545">
        <v>35.833333333333336</v>
      </c>
      <c r="D2569" s="545">
        <v>25.333333333333332</v>
      </c>
      <c r="E2569" s="545">
        <v>17.333333333333336</v>
      </c>
      <c r="F2569" s="545">
        <v>31.690476190476197</v>
      </c>
      <c r="G2569" s="545">
        <v>14.75</v>
      </c>
      <c r="H2569" s="545">
        <v>15</v>
      </c>
      <c r="I2569" s="545">
        <v>11.666666666666666</v>
      </c>
      <c r="J2569" s="545">
        <v>14.345238095238097</v>
      </c>
    </row>
    <row r="2570" spans="1:10">
      <c r="A2570" s="441">
        <v>2165</v>
      </c>
      <c r="B2570" s="441" t="s">
        <v>3020</v>
      </c>
      <c r="C2570" s="545">
        <v>25.333333333333332</v>
      </c>
      <c r="D2570" s="545">
        <v>28</v>
      </c>
      <c r="E2570" s="545">
        <v>15.666666666666668</v>
      </c>
      <c r="F2570" s="545">
        <v>24.333333333333332</v>
      </c>
      <c r="G2570" s="545">
        <v>22.85</v>
      </c>
      <c r="H2570" s="545">
        <v>13</v>
      </c>
      <c r="I2570" s="545">
        <v>12.333333333333334</v>
      </c>
      <c r="J2570" s="545">
        <v>19.940476190476193</v>
      </c>
    </row>
    <row r="2571" spans="1:10">
      <c r="A2571" s="441">
        <v>2133</v>
      </c>
      <c r="B2571" s="441" t="s">
        <v>3021</v>
      </c>
      <c r="C2571" s="545">
        <v>26.5</v>
      </c>
      <c r="D2571" s="545">
        <v>7</v>
      </c>
      <c r="E2571" s="545">
        <v>6.3333333333333339</v>
      </c>
      <c r="F2571" s="545">
        <v>20.833333333333336</v>
      </c>
      <c r="G2571" s="545">
        <v>20.75</v>
      </c>
      <c r="H2571" s="545">
        <v>11</v>
      </c>
      <c r="I2571" s="545">
        <v>9</v>
      </c>
      <c r="J2571" s="545">
        <v>17.678571428571427</v>
      </c>
    </row>
    <row r="2572" spans="1:10">
      <c r="A2572" s="441">
        <v>2164</v>
      </c>
      <c r="B2572" s="441" t="s">
        <v>3021</v>
      </c>
      <c r="C2572" s="545">
        <v>27.5</v>
      </c>
      <c r="D2572" s="545">
        <v>6</v>
      </c>
      <c r="E2572" s="545">
        <v>6</v>
      </c>
      <c r="F2572" s="545">
        <v>21.357142857142858</v>
      </c>
      <c r="G2572" s="545">
        <v>26.9</v>
      </c>
      <c r="H2572" s="545">
        <v>11.666666666666666</v>
      </c>
      <c r="I2572" s="545">
        <v>6</v>
      </c>
      <c r="J2572" s="545">
        <v>21.738095238095237</v>
      </c>
    </row>
    <row r="2573" spans="1:10">
      <c r="A2573" s="441">
        <v>2131</v>
      </c>
      <c r="B2573" s="441" t="s">
        <v>3022</v>
      </c>
      <c r="C2573" s="545">
        <v>33.166666666666664</v>
      </c>
      <c r="D2573" s="545">
        <v>20.333333333333336</v>
      </c>
      <c r="E2573" s="545">
        <v>19</v>
      </c>
      <c r="F2573" s="545">
        <v>29.309523809523807</v>
      </c>
      <c r="G2573" s="545">
        <v>21.7</v>
      </c>
      <c r="H2573" s="545">
        <v>17</v>
      </c>
      <c r="I2573" s="545">
        <v>9</v>
      </c>
      <c r="J2573" s="545">
        <v>19.214285714285715</v>
      </c>
    </row>
    <row r="2574" spans="1:10">
      <c r="A2574" s="441">
        <v>2134</v>
      </c>
      <c r="B2574" s="441" t="s">
        <v>3023</v>
      </c>
      <c r="C2574" s="545">
        <v>2.8333333333333335</v>
      </c>
      <c r="D2574" s="545">
        <v>0.66666666666666663</v>
      </c>
      <c r="E2574" s="545">
        <v>3.6666666666666665</v>
      </c>
      <c r="F2574" s="545">
        <v>2.6428571428571428</v>
      </c>
      <c r="G2574" s="545">
        <v>4</v>
      </c>
      <c r="H2574" s="545">
        <v>2.6666666666666665</v>
      </c>
      <c r="I2574" s="545">
        <v>0.66666666666666663</v>
      </c>
      <c r="J2574" s="545">
        <v>3.3333333333333335</v>
      </c>
    </row>
    <row r="2575" spans="1:10">
      <c r="A2575" s="441">
        <v>2163</v>
      </c>
      <c r="B2575" s="441" t="s">
        <v>3023</v>
      </c>
      <c r="C2575" s="545">
        <v>3</v>
      </c>
      <c r="D2575" s="545">
        <v>1.3333333333333333</v>
      </c>
      <c r="E2575" s="545">
        <v>1.3333333333333333</v>
      </c>
      <c r="F2575" s="545">
        <v>2.5238095238095233</v>
      </c>
      <c r="G2575" s="545">
        <v>3.2</v>
      </c>
      <c r="H2575" s="545">
        <v>0.33333333333333331</v>
      </c>
      <c r="I2575" s="545">
        <v>1.3333333333333333</v>
      </c>
      <c r="J2575" s="545">
        <v>2.5238095238095233</v>
      </c>
    </row>
    <row r="2576" spans="1:10">
      <c r="A2576" s="441">
        <v>2136</v>
      </c>
      <c r="B2576" s="441" t="s">
        <v>3024</v>
      </c>
      <c r="C2576" s="545">
        <v>40.166666666666671</v>
      </c>
      <c r="D2576" s="545">
        <v>11</v>
      </c>
      <c r="E2576" s="545">
        <v>2.666666666666667</v>
      </c>
      <c r="F2576" s="545">
        <v>30.642857142857146</v>
      </c>
      <c r="G2576" s="545">
        <v>14.85</v>
      </c>
      <c r="H2576" s="545">
        <v>4.666666666666667</v>
      </c>
      <c r="I2576" s="545">
        <v>2.3333333333333335</v>
      </c>
      <c r="J2576" s="545">
        <v>11.607142857142858</v>
      </c>
    </row>
    <row r="2577" spans="1:10">
      <c r="A2577" s="441">
        <v>2141</v>
      </c>
      <c r="B2577" s="441" t="s">
        <v>3024</v>
      </c>
      <c r="C2577" s="545">
        <v>41.166666666666664</v>
      </c>
      <c r="D2577" s="545">
        <v>8</v>
      </c>
      <c r="E2577" s="545">
        <v>6.333333333333333</v>
      </c>
      <c r="F2577" s="545">
        <v>31.452380952380953</v>
      </c>
      <c r="G2577" s="545">
        <v>12.8</v>
      </c>
      <c r="H2577" s="545">
        <v>3.3333333333333335</v>
      </c>
      <c r="I2577" s="545">
        <v>9.3333333333333339</v>
      </c>
      <c r="J2577" s="545">
        <v>10.952380952380951</v>
      </c>
    </row>
    <row r="2578" spans="1:10">
      <c r="A2578" s="441">
        <v>2132</v>
      </c>
      <c r="B2578" s="441" t="s">
        <v>3025</v>
      </c>
      <c r="C2578" s="545">
        <v>5.3333333333333339</v>
      </c>
      <c r="D2578" s="545">
        <v>6</v>
      </c>
      <c r="E2578" s="545">
        <v>6</v>
      </c>
      <c r="F2578" s="545">
        <v>5.5238095238095246</v>
      </c>
      <c r="G2578" s="545">
        <v>3.6</v>
      </c>
      <c r="H2578" s="545">
        <v>1.6666666666666667</v>
      </c>
      <c r="I2578" s="545">
        <v>1</v>
      </c>
      <c r="J2578" s="545">
        <v>2.9523809523809526</v>
      </c>
    </row>
    <row r="2579" spans="1:10">
      <c r="A2579" s="441">
        <v>10159</v>
      </c>
      <c r="B2579" s="441" t="s">
        <v>3025</v>
      </c>
      <c r="C2579" s="545">
        <v>11.5</v>
      </c>
      <c r="D2579" s="545">
        <v>9.6666666666666679</v>
      </c>
      <c r="E2579" s="545">
        <v>5.333333333333333</v>
      </c>
      <c r="F2579" s="545">
        <v>10.357142857142858</v>
      </c>
      <c r="G2579" s="545">
        <v>6.25</v>
      </c>
      <c r="H2579" s="545">
        <v>3</v>
      </c>
      <c r="I2579" s="545">
        <v>2</v>
      </c>
      <c r="J2579" s="545">
        <v>5.1785714285714288</v>
      </c>
    </row>
    <row r="2580" spans="1:10">
      <c r="A2580" s="441">
        <v>1112</v>
      </c>
      <c r="B2580" s="441" t="s">
        <v>3026</v>
      </c>
      <c r="C2580" s="545">
        <v>27</v>
      </c>
      <c r="D2580" s="545">
        <v>21.333333333333332</v>
      </c>
      <c r="E2580" s="545">
        <v>12.666666666666666</v>
      </c>
      <c r="F2580" s="545">
        <v>24.142857142857142</v>
      </c>
      <c r="G2580" s="545">
        <v>32.35</v>
      </c>
      <c r="H2580" s="545">
        <v>24.666666666666668</v>
      </c>
      <c r="I2580" s="545">
        <v>11.666666666666666</v>
      </c>
      <c r="J2580" s="545">
        <v>28.297619047619044</v>
      </c>
    </row>
    <row r="2581" spans="1:10">
      <c r="A2581" s="441">
        <v>1114</v>
      </c>
      <c r="B2581" s="441" t="s">
        <v>3027</v>
      </c>
      <c r="C2581" s="545">
        <v>58.666666666666671</v>
      </c>
      <c r="D2581" s="545">
        <v>14.333333333333334</v>
      </c>
      <c r="E2581" s="545">
        <v>12.666666666666668</v>
      </c>
      <c r="F2581" s="545">
        <v>45.761904761904766</v>
      </c>
      <c r="G2581" s="545">
        <v>13.65</v>
      </c>
      <c r="H2581" s="545">
        <v>9</v>
      </c>
      <c r="I2581" s="545">
        <v>3.3333333333333335</v>
      </c>
      <c r="J2581" s="545">
        <v>11.511904761904761</v>
      </c>
    </row>
    <row r="2582" spans="1:10">
      <c r="A2582" s="441">
        <v>1115</v>
      </c>
      <c r="B2582" s="441" t="s">
        <v>3028</v>
      </c>
      <c r="C2582" s="545">
        <v>29.333333333333336</v>
      </c>
      <c r="D2582" s="545">
        <v>4.666666666666667</v>
      </c>
      <c r="E2582" s="545">
        <v>5.666666666666667</v>
      </c>
      <c r="F2582" s="545">
        <v>22.428571428571427</v>
      </c>
      <c r="G2582" s="545">
        <v>18.100000000000001</v>
      </c>
      <c r="H2582" s="545">
        <v>7.666666666666667</v>
      </c>
      <c r="I2582" s="545">
        <v>1</v>
      </c>
      <c r="J2582" s="545">
        <v>14.166666666666668</v>
      </c>
    </row>
    <row r="2583" spans="1:10">
      <c r="A2583" s="441">
        <v>1113</v>
      </c>
      <c r="B2583" s="441" t="s">
        <v>3029</v>
      </c>
      <c r="C2583" s="545">
        <v>35.333333333333336</v>
      </c>
      <c r="D2583" s="545">
        <v>8.6666666666666661</v>
      </c>
      <c r="E2583" s="545">
        <v>15</v>
      </c>
      <c r="F2583" s="545">
        <v>28.61904761904762</v>
      </c>
      <c r="G2583" s="545">
        <v>27.3</v>
      </c>
      <c r="H2583" s="545">
        <v>16</v>
      </c>
      <c r="I2583" s="545">
        <v>8.6666666666666661</v>
      </c>
      <c r="J2583" s="545">
        <v>23.023809523809522</v>
      </c>
    </row>
    <row r="2584" spans="1:10">
      <c r="A2584" s="441">
        <v>1074</v>
      </c>
      <c r="B2584" s="441" t="s">
        <v>3030</v>
      </c>
      <c r="C2584" s="545">
        <v>6.333333333333333</v>
      </c>
      <c r="D2584" s="545">
        <v>2.3333333333333335</v>
      </c>
      <c r="E2584" s="545">
        <v>0.66666666666666663</v>
      </c>
      <c r="F2584" s="545">
        <v>4.9523809523809517</v>
      </c>
      <c r="G2584" s="545">
        <v>2.2000000000000002</v>
      </c>
      <c r="H2584" s="545">
        <v>3</v>
      </c>
      <c r="I2584" s="545">
        <v>1.3333333333333333</v>
      </c>
      <c r="J2584" s="545">
        <v>2.1904761904761907</v>
      </c>
    </row>
    <row r="2585" spans="1:10">
      <c r="A2585" s="441">
        <v>1092</v>
      </c>
      <c r="B2585" s="441" t="s">
        <v>3030</v>
      </c>
      <c r="C2585" s="545">
        <v>5.5</v>
      </c>
      <c r="D2585" s="545">
        <v>0.66666666666666663</v>
      </c>
      <c r="E2585" s="545">
        <v>1.6666666666666665</v>
      </c>
      <c r="F2585" s="545">
        <v>4.2619047619047619</v>
      </c>
      <c r="G2585" s="545">
        <v>1.6</v>
      </c>
      <c r="H2585" s="545">
        <v>4</v>
      </c>
      <c r="I2585" s="545">
        <v>1</v>
      </c>
      <c r="J2585" s="545">
        <v>1.8571428571428572</v>
      </c>
    </row>
    <row r="2586" spans="1:10">
      <c r="A2586" s="441">
        <v>1091</v>
      </c>
      <c r="B2586" s="441" t="s">
        <v>3031</v>
      </c>
      <c r="C2586" s="545">
        <v>2.833333333333333</v>
      </c>
      <c r="D2586" s="545">
        <v>1.3333333333333333</v>
      </c>
      <c r="E2586" s="545">
        <v>0.66666666666666663</v>
      </c>
      <c r="F2586" s="545">
        <v>2.3095238095238093</v>
      </c>
      <c r="G2586" s="545">
        <v>2.2000000000000002</v>
      </c>
      <c r="H2586" s="545">
        <v>1</v>
      </c>
      <c r="I2586" s="545">
        <v>0</v>
      </c>
      <c r="J2586" s="545">
        <v>1.7142857142857142</v>
      </c>
    </row>
    <row r="2587" spans="1:10">
      <c r="A2587" s="441">
        <v>1076</v>
      </c>
      <c r="B2587" s="441" t="s">
        <v>3032</v>
      </c>
      <c r="C2587" s="545">
        <v>11.666666666666666</v>
      </c>
      <c r="D2587" s="545">
        <v>6</v>
      </c>
      <c r="E2587" s="545">
        <v>5.6666666666666661</v>
      </c>
      <c r="F2587" s="545">
        <v>10</v>
      </c>
      <c r="G2587" s="545">
        <v>6.7</v>
      </c>
      <c r="H2587" s="545">
        <v>3.6666666666666665</v>
      </c>
      <c r="I2587" s="545">
        <v>2</v>
      </c>
      <c r="J2587" s="545">
        <v>5.5952380952380949</v>
      </c>
    </row>
    <row r="2588" spans="1:10">
      <c r="A2588" s="441">
        <v>1077</v>
      </c>
      <c r="B2588" s="441" t="s">
        <v>3033</v>
      </c>
      <c r="C2588" s="545">
        <v>1.3333333333333335</v>
      </c>
      <c r="D2588" s="545">
        <v>0.66666666666666663</v>
      </c>
      <c r="E2588" s="545">
        <v>0.33333333333333331</v>
      </c>
      <c r="F2588" s="545">
        <v>1.0952380952380953</v>
      </c>
      <c r="G2588" s="545">
        <v>1.75</v>
      </c>
      <c r="H2588" s="545">
        <v>1.6666666666666667</v>
      </c>
      <c r="I2588" s="545">
        <v>1</v>
      </c>
      <c r="J2588" s="545">
        <v>1.6309523809523809</v>
      </c>
    </row>
    <row r="2589" spans="1:10">
      <c r="A2589" s="441">
        <v>1090</v>
      </c>
      <c r="B2589" s="441" t="s">
        <v>3033</v>
      </c>
      <c r="C2589" s="545">
        <v>2.833333333333333</v>
      </c>
      <c r="D2589" s="545">
        <v>1.3333333333333333</v>
      </c>
      <c r="E2589" s="545">
        <v>1</v>
      </c>
      <c r="F2589" s="545">
        <v>2.3571428571428572</v>
      </c>
      <c r="G2589" s="545">
        <v>1.05</v>
      </c>
      <c r="H2589" s="545">
        <v>0.33333333333333331</v>
      </c>
      <c r="I2589" s="545">
        <v>1.6666666666666667</v>
      </c>
      <c r="J2589" s="545">
        <v>1.0357142857142858</v>
      </c>
    </row>
    <row r="2590" spans="1:10">
      <c r="A2590" s="441">
        <v>1078</v>
      </c>
      <c r="B2590" s="441" t="s">
        <v>3034</v>
      </c>
      <c r="C2590" s="545">
        <v>3.5</v>
      </c>
      <c r="D2590" s="545">
        <v>2.6666666666666665</v>
      </c>
      <c r="E2590" s="545">
        <v>1.3333333333333333</v>
      </c>
      <c r="F2590" s="545">
        <v>3.0714285714285716</v>
      </c>
      <c r="G2590" s="545">
        <v>3.65</v>
      </c>
      <c r="H2590" s="545">
        <v>1.6666666666666667</v>
      </c>
      <c r="I2590" s="545">
        <v>0</v>
      </c>
      <c r="J2590" s="545">
        <v>2.8452380952380953</v>
      </c>
    </row>
    <row r="2591" spans="1:10">
      <c r="A2591" s="441">
        <v>1089</v>
      </c>
      <c r="B2591" s="441" t="s">
        <v>3034</v>
      </c>
      <c r="C2591" s="545">
        <v>2.6666666666666665</v>
      </c>
      <c r="D2591" s="545">
        <v>0.66666666666666663</v>
      </c>
      <c r="E2591" s="545">
        <v>1</v>
      </c>
      <c r="F2591" s="545">
        <v>2.1428571428571428</v>
      </c>
      <c r="G2591" s="545">
        <v>3.7</v>
      </c>
      <c r="H2591" s="545">
        <v>1.6666666666666667</v>
      </c>
      <c r="I2591" s="545">
        <v>1.3333333333333333</v>
      </c>
      <c r="J2591" s="545">
        <v>3.0714285714285716</v>
      </c>
    </row>
    <row r="2592" spans="1:10">
      <c r="A2592" s="441">
        <v>1079</v>
      </c>
      <c r="B2592" s="441" t="s">
        <v>3035</v>
      </c>
      <c r="C2592" s="545">
        <v>10</v>
      </c>
      <c r="D2592" s="545">
        <v>6</v>
      </c>
      <c r="E2592" s="545">
        <v>6</v>
      </c>
      <c r="F2592" s="545">
        <v>8.8571428571428577</v>
      </c>
      <c r="G2592" s="545">
        <v>6.9</v>
      </c>
      <c r="H2592" s="545">
        <v>7</v>
      </c>
      <c r="I2592" s="545">
        <v>2</v>
      </c>
      <c r="J2592" s="545">
        <v>6.2142857142857144</v>
      </c>
    </row>
    <row r="2593" spans="1:10">
      <c r="A2593" s="441">
        <v>1088</v>
      </c>
      <c r="B2593" s="441" t="s">
        <v>3035</v>
      </c>
      <c r="C2593" s="545">
        <v>17.5</v>
      </c>
      <c r="D2593" s="545">
        <v>7.6666666666666661</v>
      </c>
      <c r="E2593" s="545">
        <v>6.6666666666666661</v>
      </c>
      <c r="F2593" s="545">
        <v>14.547619047619049</v>
      </c>
      <c r="G2593" s="545">
        <v>5.2</v>
      </c>
      <c r="H2593" s="545">
        <v>3</v>
      </c>
      <c r="I2593" s="545">
        <v>3.6666666666666665</v>
      </c>
      <c r="J2593" s="545">
        <v>4.6666666666666661</v>
      </c>
    </row>
    <row r="2594" spans="1:10">
      <c r="A2594" s="441">
        <v>1080</v>
      </c>
      <c r="B2594" s="441" t="s">
        <v>3036</v>
      </c>
      <c r="C2594" s="545">
        <v>15.5</v>
      </c>
      <c r="D2594" s="545">
        <v>5.333333333333333</v>
      </c>
      <c r="E2594" s="545">
        <v>6</v>
      </c>
      <c r="F2594" s="545">
        <v>12.69047619047619</v>
      </c>
      <c r="G2594" s="545">
        <v>11.7</v>
      </c>
      <c r="H2594" s="545">
        <v>5.333333333333333</v>
      </c>
      <c r="I2594" s="545">
        <v>7.333333333333333</v>
      </c>
      <c r="J2594" s="545">
        <v>10.166666666666668</v>
      </c>
    </row>
    <row r="2595" spans="1:10">
      <c r="A2595" s="441">
        <v>1087</v>
      </c>
      <c r="B2595" s="441" t="s">
        <v>3036</v>
      </c>
      <c r="C2595" s="545">
        <v>10.833333333333332</v>
      </c>
      <c r="D2595" s="545">
        <v>6.3333333333333339</v>
      </c>
      <c r="E2595" s="545">
        <v>7.3333333333333339</v>
      </c>
      <c r="F2595" s="545">
        <v>9.6904761904761898</v>
      </c>
      <c r="G2595" s="545">
        <v>12.35</v>
      </c>
      <c r="H2595" s="545">
        <v>7.333333333333333</v>
      </c>
      <c r="I2595" s="545">
        <v>6.666666666666667</v>
      </c>
      <c r="J2595" s="545">
        <v>10.821428571428571</v>
      </c>
    </row>
    <row r="2596" spans="1:10">
      <c r="A2596" s="441">
        <v>9978</v>
      </c>
      <c r="B2596" s="441" t="s">
        <v>3037</v>
      </c>
      <c r="C2596" s="545">
        <v>16.666666666666668</v>
      </c>
      <c r="D2596" s="545">
        <v>6.3333333333333339</v>
      </c>
      <c r="E2596" s="545">
        <v>6.6666666666666661</v>
      </c>
      <c r="F2596" s="545">
        <v>13.761904761904763</v>
      </c>
      <c r="G2596" s="545">
        <v>6.3</v>
      </c>
      <c r="H2596" s="545">
        <v>7.333333333333333</v>
      </c>
      <c r="I2596" s="545">
        <v>3.6666666666666665</v>
      </c>
      <c r="J2596" s="545">
        <v>6.0714285714285712</v>
      </c>
    </row>
    <row r="2597" spans="1:10">
      <c r="A2597" s="441">
        <v>1075</v>
      </c>
      <c r="B2597" s="441" t="s">
        <v>3038</v>
      </c>
      <c r="C2597" s="545">
        <v>3.833333333333333</v>
      </c>
      <c r="D2597" s="545">
        <v>2</v>
      </c>
      <c r="E2597" s="545">
        <v>0.66666666666666663</v>
      </c>
      <c r="F2597" s="545">
        <v>3.1190476190476191</v>
      </c>
      <c r="G2597" s="545">
        <v>1.75</v>
      </c>
      <c r="H2597" s="545">
        <v>2.3333333333333335</v>
      </c>
      <c r="I2597" s="545">
        <v>1</v>
      </c>
      <c r="J2597" s="545">
        <v>1.7261904761904763</v>
      </c>
    </row>
    <row r="2598" spans="1:10">
      <c r="A2598" s="441">
        <v>11029</v>
      </c>
      <c r="B2598" s="441" t="s">
        <v>3039</v>
      </c>
      <c r="C2598" s="545">
        <v>4710.5</v>
      </c>
      <c r="D2598" s="545">
        <v>2882.6666666666665</v>
      </c>
      <c r="E2598" s="545">
        <v>2414.666666666667</v>
      </c>
      <c r="F2598" s="545">
        <v>4121.4047619047624</v>
      </c>
      <c r="G2598" s="545">
        <v>3517.95</v>
      </c>
      <c r="H2598" s="545">
        <v>2272.3333333333335</v>
      </c>
      <c r="I2598" s="545">
        <v>2024.6666666666667</v>
      </c>
      <c r="J2598" s="545">
        <v>3126.6785714285716</v>
      </c>
    </row>
    <row r="2599" spans="1:10">
      <c r="A2599" s="441">
        <v>217</v>
      </c>
      <c r="B2599" s="441" t="s">
        <v>3040</v>
      </c>
      <c r="C2599" s="545">
        <v>3</v>
      </c>
      <c r="D2599" s="545">
        <v>2</v>
      </c>
      <c r="E2599" s="545">
        <v>2.3333333333333335</v>
      </c>
      <c r="F2599" s="545">
        <v>2.7619047619047619</v>
      </c>
      <c r="G2599" s="545">
        <v>5.15</v>
      </c>
      <c r="H2599" s="545">
        <v>4.666666666666667</v>
      </c>
      <c r="I2599" s="545">
        <v>5</v>
      </c>
      <c r="J2599" s="545">
        <v>5.0595238095238102</v>
      </c>
    </row>
    <row r="2600" spans="1:10">
      <c r="A2600" s="441">
        <v>9907</v>
      </c>
      <c r="B2600" s="441" t="s">
        <v>3041</v>
      </c>
      <c r="C2600" s="545">
        <v>11</v>
      </c>
      <c r="D2600" s="545">
        <v>6.333333333333333</v>
      </c>
      <c r="E2600" s="545">
        <v>3</v>
      </c>
      <c r="F2600" s="545">
        <v>9.1904761904761916</v>
      </c>
      <c r="G2600" s="545">
        <v>5.7</v>
      </c>
      <c r="H2600" s="545">
        <v>0</v>
      </c>
      <c r="I2600" s="545">
        <v>1.3333333333333333</v>
      </c>
      <c r="J2600" s="545">
        <v>4.2619047619047619</v>
      </c>
    </row>
    <row r="2601" spans="1:10">
      <c r="A2601" s="441">
        <v>9909</v>
      </c>
      <c r="B2601" s="441" t="s">
        <v>3041</v>
      </c>
      <c r="C2601" s="545">
        <v>7.3333333333333339</v>
      </c>
      <c r="D2601" s="545">
        <v>3.6666666666666665</v>
      </c>
      <c r="E2601" s="545">
        <v>4.333333333333333</v>
      </c>
      <c r="F2601" s="545">
        <v>6.3809523809523814</v>
      </c>
      <c r="G2601" s="545">
        <v>3.8</v>
      </c>
      <c r="H2601" s="545">
        <v>1</v>
      </c>
      <c r="I2601" s="545">
        <v>1.3333333333333333</v>
      </c>
      <c r="J2601" s="545">
        <v>3.0476190476190474</v>
      </c>
    </row>
    <row r="2602" spans="1:10">
      <c r="A2602" s="441">
        <v>243</v>
      </c>
      <c r="B2602" s="441" t="s">
        <v>3042</v>
      </c>
      <c r="C2602" s="545">
        <v>26</v>
      </c>
      <c r="D2602" s="545">
        <v>12.333333333333334</v>
      </c>
      <c r="E2602" s="545">
        <v>10</v>
      </c>
      <c r="F2602" s="545">
        <v>21.761904761904763</v>
      </c>
      <c r="G2602" s="545">
        <v>21.35</v>
      </c>
      <c r="H2602" s="545">
        <v>14</v>
      </c>
      <c r="I2602" s="545">
        <v>18.666666666666668</v>
      </c>
      <c r="J2602" s="545">
        <v>19.916666666666664</v>
      </c>
    </row>
    <row r="2603" spans="1:10">
      <c r="A2603" s="441">
        <v>250</v>
      </c>
      <c r="B2603" s="441" t="s">
        <v>3043</v>
      </c>
      <c r="C2603" s="545">
        <v>26.666666666666664</v>
      </c>
      <c r="D2603" s="545">
        <v>13.666666666666666</v>
      </c>
      <c r="E2603" s="545">
        <v>10.666666666666666</v>
      </c>
      <c r="F2603" s="545">
        <v>22.523809523809518</v>
      </c>
      <c r="G2603" s="545">
        <v>21.55</v>
      </c>
      <c r="H2603" s="545">
        <v>14.666666666666666</v>
      </c>
      <c r="I2603" s="545">
        <v>9.6666666666666661</v>
      </c>
      <c r="J2603" s="545">
        <v>18.86904761904762</v>
      </c>
    </row>
    <row r="2604" spans="1:10">
      <c r="A2604" s="441">
        <v>248</v>
      </c>
      <c r="B2604" s="441" t="s">
        <v>3044</v>
      </c>
      <c r="C2604" s="545">
        <v>141</v>
      </c>
      <c r="D2604" s="545">
        <v>104</v>
      </c>
      <c r="E2604" s="545">
        <v>74.666666666666671</v>
      </c>
      <c r="F2604" s="545">
        <v>126.23809523809523</v>
      </c>
      <c r="G2604" s="545">
        <v>53.75</v>
      </c>
      <c r="H2604" s="545">
        <v>43.666666666666664</v>
      </c>
      <c r="I2604" s="545">
        <v>33</v>
      </c>
      <c r="J2604" s="545">
        <v>49.345238095238095</v>
      </c>
    </row>
    <row r="2605" spans="1:10">
      <c r="A2605" s="441">
        <v>9904</v>
      </c>
      <c r="B2605" s="441" t="s">
        <v>3045</v>
      </c>
      <c r="C2605" s="545">
        <v>12.333333333333332</v>
      </c>
      <c r="D2605" s="545">
        <v>6</v>
      </c>
      <c r="E2605" s="545">
        <v>3</v>
      </c>
      <c r="F2605" s="545">
        <v>10.095238095238093</v>
      </c>
      <c r="G2605" s="545">
        <v>7</v>
      </c>
      <c r="H2605" s="545">
        <v>5.333333333333333</v>
      </c>
      <c r="I2605" s="545">
        <v>5.666666666666667</v>
      </c>
      <c r="J2605" s="545">
        <v>6.5714285714285712</v>
      </c>
    </row>
    <row r="2606" spans="1:10">
      <c r="A2606" s="441">
        <v>9912</v>
      </c>
      <c r="B2606" s="441" t="s">
        <v>3045</v>
      </c>
      <c r="C2606" s="545">
        <v>3</v>
      </c>
      <c r="D2606" s="545">
        <v>0</v>
      </c>
      <c r="E2606" s="545">
        <v>0</v>
      </c>
      <c r="F2606" s="545">
        <v>2.1428571428571428</v>
      </c>
      <c r="G2606" s="545">
        <v>2.65</v>
      </c>
      <c r="H2606" s="545">
        <v>2</v>
      </c>
      <c r="I2606" s="545">
        <v>0.66666666666666663</v>
      </c>
      <c r="J2606" s="545">
        <v>2.2738095238095237</v>
      </c>
    </row>
    <row r="2607" spans="1:10">
      <c r="A2607" s="441">
        <v>214</v>
      </c>
      <c r="B2607" s="441" t="s">
        <v>3046</v>
      </c>
      <c r="C2607" s="545">
        <v>89.666666666666671</v>
      </c>
      <c r="D2607" s="545">
        <v>40.666666666666664</v>
      </c>
      <c r="E2607" s="545">
        <v>33.333333333333329</v>
      </c>
      <c r="F2607" s="545">
        <v>74.61904761904762</v>
      </c>
      <c r="G2607" s="545">
        <v>53.15</v>
      </c>
      <c r="H2607" s="545">
        <v>23.666666666666668</v>
      </c>
      <c r="I2607" s="545">
        <v>27.666666666666668</v>
      </c>
      <c r="J2607" s="545">
        <v>45.297619047619051</v>
      </c>
    </row>
    <row r="2608" spans="1:10">
      <c r="A2608" s="441">
        <v>9520</v>
      </c>
      <c r="B2608" s="441" t="s">
        <v>3047</v>
      </c>
      <c r="C2608" s="545" t="e">
        <v>#N/A</v>
      </c>
      <c r="D2608" s="545" t="e">
        <v>#N/A</v>
      </c>
      <c r="E2608" s="545" t="e">
        <v>#N/A</v>
      </c>
      <c r="F2608" s="545" t="e">
        <v>#N/A</v>
      </c>
      <c r="G2608" s="545">
        <v>2.2000000000000002</v>
      </c>
      <c r="H2608" s="545"/>
      <c r="I2608" s="545"/>
      <c r="J2608" s="545">
        <v>1.5714285714285714</v>
      </c>
    </row>
    <row r="2609" spans="1:10">
      <c r="A2609" s="441">
        <v>219</v>
      </c>
      <c r="B2609" s="441" t="s">
        <v>3048</v>
      </c>
      <c r="C2609" s="545">
        <v>39.666666666666671</v>
      </c>
      <c r="D2609" s="545">
        <v>21</v>
      </c>
      <c r="E2609" s="545">
        <v>19.333333333333332</v>
      </c>
      <c r="F2609" s="545">
        <v>34.095238095238102</v>
      </c>
      <c r="G2609" s="545">
        <v>31.45</v>
      </c>
      <c r="H2609" s="545">
        <v>28</v>
      </c>
      <c r="I2609" s="545">
        <v>20.333333333333332</v>
      </c>
      <c r="J2609" s="545">
        <v>29.36904761904762</v>
      </c>
    </row>
    <row r="2610" spans="1:10">
      <c r="A2610" s="441">
        <v>247</v>
      </c>
      <c r="B2610" s="441" t="s">
        <v>3049</v>
      </c>
      <c r="C2610" s="545">
        <v>35.333333333333336</v>
      </c>
      <c r="D2610" s="545">
        <v>19.666666666666668</v>
      </c>
      <c r="E2610" s="545">
        <v>19.333333333333332</v>
      </c>
      <c r="F2610" s="545">
        <v>30.809523809523814</v>
      </c>
      <c r="G2610" s="545">
        <v>26.15</v>
      </c>
      <c r="H2610" s="545">
        <v>12.666666666666666</v>
      </c>
      <c r="I2610" s="545">
        <v>11.666666666666666</v>
      </c>
      <c r="J2610" s="545">
        <v>22.154761904761902</v>
      </c>
    </row>
    <row r="2611" spans="1:10">
      <c r="A2611" s="441">
        <v>218</v>
      </c>
      <c r="B2611" s="441" t="s">
        <v>3050</v>
      </c>
      <c r="C2611" s="545">
        <v>20.166666666666668</v>
      </c>
      <c r="D2611" s="545">
        <v>13.666666666666668</v>
      </c>
      <c r="E2611" s="545">
        <v>6.3333333333333339</v>
      </c>
      <c r="F2611" s="545">
        <v>17.261904761904763</v>
      </c>
      <c r="G2611" s="545">
        <v>14.05</v>
      </c>
      <c r="H2611" s="545">
        <v>7.333333333333333</v>
      </c>
      <c r="I2611" s="545">
        <v>7.333333333333333</v>
      </c>
      <c r="J2611" s="545">
        <v>12.13095238095238</v>
      </c>
    </row>
    <row r="2612" spans="1:10">
      <c r="A2612" s="441">
        <v>9906</v>
      </c>
      <c r="B2612" s="441" t="s">
        <v>3051</v>
      </c>
      <c r="C2612" s="545">
        <v>3</v>
      </c>
      <c r="D2612" s="545">
        <v>0.33333333333333331</v>
      </c>
      <c r="E2612" s="545">
        <v>0</v>
      </c>
      <c r="F2612" s="545">
        <v>2.1904761904761907</v>
      </c>
      <c r="G2612" s="545">
        <v>2.4500000000000002</v>
      </c>
      <c r="H2612" s="545">
        <v>1</v>
      </c>
      <c r="I2612" s="545">
        <v>0.33333333333333331</v>
      </c>
      <c r="J2612" s="545">
        <v>1.9404761904761905</v>
      </c>
    </row>
    <row r="2613" spans="1:10">
      <c r="A2613" s="441">
        <v>9910</v>
      </c>
      <c r="B2613" s="441" t="s">
        <v>3051</v>
      </c>
      <c r="C2613" s="545">
        <v>4.3333333333333339</v>
      </c>
      <c r="D2613" s="545">
        <v>2.666666666666667</v>
      </c>
      <c r="E2613" s="545">
        <v>1</v>
      </c>
      <c r="F2613" s="545">
        <v>3.61904761904762</v>
      </c>
      <c r="G2613" s="545">
        <v>1.3</v>
      </c>
      <c r="H2613" s="545">
        <v>0.66666666666666663</v>
      </c>
      <c r="I2613" s="545">
        <v>0.66666666666666663</v>
      </c>
      <c r="J2613" s="545">
        <v>1.1190476190476191</v>
      </c>
    </row>
    <row r="2614" spans="1:10">
      <c r="A2614" s="441">
        <v>9516</v>
      </c>
      <c r="B2614" s="441" t="s">
        <v>3052</v>
      </c>
      <c r="C2614" s="545">
        <v>13.333333333333332</v>
      </c>
      <c r="D2614" s="545">
        <v>17.666666666666668</v>
      </c>
      <c r="E2614" s="545">
        <v>5.333333333333333</v>
      </c>
      <c r="F2614" s="545">
        <v>12.809523809523808</v>
      </c>
      <c r="G2614" s="545">
        <v>7.65</v>
      </c>
      <c r="H2614" s="545">
        <v>8</v>
      </c>
      <c r="I2614" s="545">
        <v>10.333333333333334</v>
      </c>
      <c r="J2614" s="545">
        <v>8.0833333333333339</v>
      </c>
    </row>
    <row r="2615" spans="1:10">
      <c r="A2615" s="441">
        <v>246</v>
      </c>
      <c r="B2615" s="441" t="s">
        <v>3053</v>
      </c>
      <c r="C2615" s="545">
        <v>209.83333333333331</v>
      </c>
      <c r="D2615" s="545">
        <v>102.33333333333333</v>
      </c>
      <c r="E2615" s="545">
        <v>66</v>
      </c>
      <c r="F2615" s="545">
        <v>173.92857142857139</v>
      </c>
      <c r="G2615" s="545">
        <v>100.55</v>
      </c>
      <c r="H2615" s="545">
        <v>49.666666666666664</v>
      </c>
      <c r="I2615" s="545">
        <v>44</v>
      </c>
      <c r="J2615" s="545">
        <v>85.202380952380949</v>
      </c>
    </row>
    <row r="2616" spans="1:10">
      <c r="A2616" s="441">
        <v>9913</v>
      </c>
      <c r="B2616" s="441" t="s">
        <v>3054</v>
      </c>
      <c r="C2616" s="545">
        <v>20.666666666666664</v>
      </c>
      <c r="D2616" s="545">
        <v>12.666666666666668</v>
      </c>
      <c r="E2616" s="545">
        <v>4.666666666666667</v>
      </c>
      <c r="F2616" s="545">
        <v>17.238095238095237</v>
      </c>
      <c r="G2616" s="545">
        <v>8.4</v>
      </c>
      <c r="H2616" s="545">
        <v>3</v>
      </c>
      <c r="I2616" s="545">
        <v>7.333333333333333</v>
      </c>
      <c r="J2616" s="545">
        <v>7.4761904761904763</v>
      </c>
    </row>
    <row r="2617" spans="1:10">
      <c r="A2617" s="441">
        <v>251</v>
      </c>
      <c r="B2617" s="441" t="s">
        <v>3055</v>
      </c>
      <c r="C2617" s="545">
        <v>2.5</v>
      </c>
      <c r="D2617" s="545">
        <v>1.3333333333333333</v>
      </c>
      <c r="E2617" s="545">
        <v>0.66666666666666663</v>
      </c>
      <c r="F2617" s="545">
        <v>2.0714285714285716</v>
      </c>
      <c r="G2617" s="545">
        <v>15.3</v>
      </c>
      <c r="H2617" s="545">
        <v>4.333333333333333</v>
      </c>
      <c r="I2617" s="545">
        <v>11.666666666666666</v>
      </c>
      <c r="J2617" s="545">
        <v>13.214285714285714</v>
      </c>
    </row>
    <row r="2618" spans="1:10">
      <c r="A2618" s="441">
        <v>249</v>
      </c>
      <c r="B2618" s="441" t="s">
        <v>3056</v>
      </c>
      <c r="C2618" s="545">
        <v>8.1666666666666661</v>
      </c>
      <c r="D2618" s="545">
        <v>4</v>
      </c>
      <c r="E2618" s="545">
        <v>5.666666666666667</v>
      </c>
      <c r="F2618" s="545">
        <v>7.2142857142857135</v>
      </c>
      <c r="G2618" s="545">
        <v>8.8000000000000007</v>
      </c>
      <c r="H2618" s="545">
        <v>9.6666666666666661</v>
      </c>
      <c r="I2618" s="545">
        <v>7</v>
      </c>
      <c r="J2618" s="545">
        <v>8.6666666666666661</v>
      </c>
    </row>
    <row r="2619" spans="1:10">
      <c r="A2619" s="441">
        <v>216</v>
      </c>
      <c r="B2619" s="441" t="s">
        <v>3057</v>
      </c>
      <c r="C2619" s="545">
        <v>95.5</v>
      </c>
      <c r="D2619" s="545">
        <v>87.333333333333343</v>
      </c>
      <c r="E2619" s="545">
        <v>48</v>
      </c>
      <c r="F2619" s="545">
        <v>87.547619047619051</v>
      </c>
      <c r="G2619" s="545">
        <v>64.400000000000006</v>
      </c>
      <c r="H2619" s="545">
        <v>42</v>
      </c>
      <c r="I2619" s="545">
        <v>40.333333333333336</v>
      </c>
      <c r="J2619" s="545">
        <v>57.761904761904759</v>
      </c>
    </row>
    <row r="2620" spans="1:10">
      <c r="A2620" s="441">
        <v>215</v>
      </c>
      <c r="B2620" s="441" t="s">
        <v>3058</v>
      </c>
      <c r="C2620" s="545">
        <v>439.33333333333331</v>
      </c>
      <c r="D2620" s="545">
        <v>240.66666666666669</v>
      </c>
      <c r="E2620" s="545">
        <v>168.33333333333334</v>
      </c>
      <c r="F2620" s="545">
        <v>372.23809523809524</v>
      </c>
      <c r="G2620" s="545">
        <v>228.45</v>
      </c>
      <c r="H2620" s="545">
        <v>136.33333333333334</v>
      </c>
      <c r="I2620" s="545">
        <v>103.33333333333333</v>
      </c>
      <c r="J2620" s="545">
        <v>197.41666666666666</v>
      </c>
    </row>
    <row r="2621" spans="1:10">
      <c r="A2621" s="441">
        <v>9920</v>
      </c>
      <c r="B2621" s="441" t="s">
        <v>3059</v>
      </c>
      <c r="C2621" s="545">
        <v>0</v>
      </c>
      <c r="D2621" s="545">
        <v>0</v>
      </c>
      <c r="E2621" s="545">
        <v>0.33333333333333331</v>
      </c>
      <c r="F2621" s="545">
        <v>4.7619047619047616E-2</v>
      </c>
      <c r="G2621" s="545">
        <v>0.35</v>
      </c>
      <c r="H2621" s="545">
        <v>0</v>
      </c>
      <c r="I2621" s="545">
        <v>0</v>
      </c>
      <c r="J2621" s="545">
        <v>0.25</v>
      </c>
    </row>
    <row r="2622" spans="1:10">
      <c r="A2622" s="441">
        <v>9918</v>
      </c>
      <c r="B2622" s="441" t="s">
        <v>3060</v>
      </c>
      <c r="C2622" s="545">
        <v>3.5</v>
      </c>
      <c r="D2622" s="545">
        <v>2.6666666666666665</v>
      </c>
      <c r="E2622" s="545">
        <v>3.3333333333333335</v>
      </c>
      <c r="F2622" s="545">
        <v>3.3571428571428572</v>
      </c>
      <c r="G2622" s="545">
        <v>0.75</v>
      </c>
      <c r="H2622" s="545">
        <v>0.33333333333333331</v>
      </c>
      <c r="I2622" s="545">
        <v>5.666666666666667</v>
      </c>
      <c r="J2622" s="545">
        <v>1.3928571428571428</v>
      </c>
    </row>
    <row r="2623" spans="1:10">
      <c r="A2623" s="441">
        <v>244</v>
      </c>
      <c r="B2623" s="441" t="s">
        <v>3061</v>
      </c>
      <c r="C2623" s="545">
        <v>175.16666666666669</v>
      </c>
      <c r="D2623" s="545">
        <v>113</v>
      </c>
      <c r="E2623" s="545">
        <v>79.666666666666671</v>
      </c>
      <c r="F2623" s="545">
        <v>152.64285714285717</v>
      </c>
      <c r="G2623" s="545">
        <v>102.3</v>
      </c>
      <c r="H2623" s="545">
        <v>62.666666666666664</v>
      </c>
      <c r="I2623" s="545">
        <v>45.333333333333336</v>
      </c>
      <c r="J2623" s="545">
        <v>88.5</v>
      </c>
    </row>
    <row r="2624" spans="1:10">
      <c r="A2624" s="441">
        <v>9919</v>
      </c>
      <c r="B2624" s="441" t="s">
        <v>3062</v>
      </c>
      <c r="C2624" s="545">
        <v>0.83333333333333326</v>
      </c>
      <c r="D2624" s="545">
        <v>0</v>
      </c>
      <c r="E2624" s="545">
        <v>1.3333333333333333</v>
      </c>
      <c r="F2624" s="545">
        <v>0.78571428571428559</v>
      </c>
      <c r="G2624" s="545">
        <v>0.85</v>
      </c>
      <c r="H2624" s="545">
        <v>0.33333333333333331</v>
      </c>
      <c r="I2624" s="545">
        <v>1.3333333333333333</v>
      </c>
      <c r="J2624" s="545">
        <v>0.84523809523809512</v>
      </c>
    </row>
    <row r="2625" spans="1:10">
      <c r="A2625" s="441">
        <v>9905</v>
      </c>
      <c r="B2625" s="441" t="s">
        <v>3063</v>
      </c>
      <c r="C2625" s="545">
        <v>5.8333333333333339</v>
      </c>
      <c r="D2625" s="545">
        <v>0.33333333333333331</v>
      </c>
      <c r="E2625" s="545">
        <v>1</v>
      </c>
      <c r="F2625" s="545">
        <v>4.3571428571428577</v>
      </c>
      <c r="G2625" s="545">
        <v>2.9</v>
      </c>
      <c r="H2625" s="545">
        <v>0</v>
      </c>
      <c r="I2625" s="545">
        <v>0.33333333333333331</v>
      </c>
      <c r="J2625" s="545">
        <v>2.1190476190476191</v>
      </c>
    </row>
    <row r="2626" spans="1:10">
      <c r="A2626" s="441">
        <v>9911</v>
      </c>
      <c r="B2626" s="441" t="s">
        <v>3063</v>
      </c>
      <c r="C2626" s="545">
        <v>1.6666666666666665</v>
      </c>
      <c r="D2626" s="545">
        <v>1</v>
      </c>
      <c r="E2626" s="545">
        <v>0.33333333333333331</v>
      </c>
      <c r="F2626" s="545">
        <v>1.3809523809523809</v>
      </c>
      <c r="G2626" s="545">
        <v>1.55</v>
      </c>
      <c r="H2626" s="545">
        <v>0.66666666666666663</v>
      </c>
      <c r="I2626" s="545">
        <v>0</v>
      </c>
      <c r="J2626" s="545">
        <v>1.2023809523809523</v>
      </c>
    </row>
    <row r="2627" spans="1:10">
      <c r="A2627" s="441">
        <v>242</v>
      </c>
      <c r="B2627" s="441" t="s">
        <v>3064</v>
      </c>
      <c r="C2627" s="545">
        <v>68.666666666666671</v>
      </c>
      <c r="D2627" s="545">
        <v>55</v>
      </c>
      <c r="E2627" s="545">
        <v>36.333333333333329</v>
      </c>
      <c r="F2627" s="545">
        <v>62.095238095238095</v>
      </c>
      <c r="G2627" s="545">
        <v>51.4</v>
      </c>
      <c r="H2627" s="545">
        <v>27.666666666666668</v>
      </c>
      <c r="I2627" s="545">
        <v>38</v>
      </c>
      <c r="J2627" s="545">
        <v>46.095238095238095</v>
      </c>
    </row>
    <row r="2628" spans="1:10">
      <c r="A2628" s="441">
        <v>245</v>
      </c>
      <c r="B2628" s="441" t="s">
        <v>3065</v>
      </c>
      <c r="C2628" s="545">
        <v>49.166666666666664</v>
      </c>
      <c r="D2628" s="545">
        <v>24.333333333333336</v>
      </c>
      <c r="E2628" s="545">
        <v>18.333333333333336</v>
      </c>
      <c r="F2628" s="545">
        <v>41.214285714285708</v>
      </c>
      <c r="G2628" s="545">
        <v>21.3</v>
      </c>
      <c r="H2628" s="545">
        <v>11</v>
      </c>
      <c r="I2628" s="545">
        <v>19</v>
      </c>
      <c r="J2628" s="545">
        <v>19.5</v>
      </c>
    </row>
    <row r="2629" spans="1:10">
      <c r="A2629" s="441">
        <v>12229</v>
      </c>
      <c r="B2629" s="441" t="s">
        <v>3066</v>
      </c>
      <c r="C2629" s="545">
        <v>143</v>
      </c>
      <c r="D2629" s="545">
        <v>72</v>
      </c>
      <c r="E2629" s="545">
        <v>71.333333333333343</v>
      </c>
      <c r="F2629" s="545">
        <v>122.61904761904762</v>
      </c>
      <c r="G2629" s="545">
        <v>81.599999999999994</v>
      </c>
      <c r="H2629" s="545">
        <v>74.333333333333329</v>
      </c>
      <c r="I2629" s="545">
        <v>45.333333333333336</v>
      </c>
      <c r="J2629" s="545">
        <v>75.38095238095238</v>
      </c>
    </row>
    <row r="2630" spans="1:10">
      <c r="A2630" s="441">
        <v>11016</v>
      </c>
      <c r="B2630" s="441" t="s">
        <v>3067</v>
      </c>
      <c r="C2630" s="545">
        <v>324.66666666666663</v>
      </c>
      <c r="D2630" s="545">
        <v>191.33333333333331</v>
      </c>
      <c r="E2630" s="545">
        <v>217.66666666666666</v>
      </c>
      <c r="F2630" s="545">
        <v>290.33333333333331</v>
      </c>
      <c r="G2630" s="545">
        <v>193.65</v>
      </c>
      <c r="H2630" s="545">
        <v>132.66666666666666</v>
      </c>
      <c r="I2630" s="545">
        <v>143.66666666666666</v>
      </c>
      <c r="J2630" s="545">
        <v>177.79761904761907</v>
      </c>
    </row>
    <row r="2631" spans="1:10">
      <c r="A2631" s="441">
        <v>6594</v>
      </c>
      <c r="B2631" s="441" t="s">
        <v>3068</v>
      </c>
      <c r="C2631" s="545">
        <v>16.833333333333332</v>
      </c>
      <c r="D2631" s="545">
        <v>17.333333333333332</v>
      </c>
      <c r="E2631" s="545">
        <v>7.666666666666667</v>
      </c>
      <c r="F2631" s="545">
        <v>15.595238095238093</v>
      </c>
      <c r="G2631" s="545">
        <v>21.65</v>
      </c>
      <c r="H2631" s="545">
        <v>18</v>
      </c>
      <c r="I2631" s="545">
        <v>27</v>
      </c>
      <c r="J2631" s="545">
        <v>21.892857142857142</v>
      </c>
    </row>
    <row r="2632" spans="1:10">
      <c r="A2632" s="441">
        <v>1779</v>
      </c>
      <c r="B2632" s="441" t="s">
        <v>3069</v>
      </c>
      <c r="C2632" s="545">
        <v>38.166666666666664</v>
      </c>
      <c r="D2632" s="545">
        <v>15</v>
      </c>
      <c r="E2632" s="545">
        <v>11</v>
      </c>
      <c r="F2632" s="545">
        <v>30.976190476190474</v>
      </c>
      <c r="G2632" s="545">
        <v>5.95</v>
      </c>
      <c r="H2632" s="545">
        <v>5</v>
      </c>
      <c r="I2632" s="545">
        <v>2</v>
      </c>
      <c r="J2632" s="545">
        <v>5.25</v>
      </c>
    </row>
    <row r="2633" spans="1:10">
      <c r="A2633" s="441">
        <v>1782</v>
      </c>
      <c r="B2633" s="441" t="s">
        <v>3070</v>
      </c>
      <c r="C2633" s="545">
        <v>3</v>
      </c>
      <c r="D2633" s="545">
        <v>1</v>
      </c>
      <c r="E2633" s="545">
        <v>0.33333333333333331</v>
      </c>
      <c r="F2633" s="545">
        <v>2.333333333333333</v>
      </c>
      <c r="G2633" s="545">
        <v>1.1000000000000001</v>
      </c>
      <c r="H2633" s="545">
        <v>1.3333333333333333</v>
      </c>
      <c r="I2633" s="545">
        <v>1.3333333333333333</v>
      </c>
      <c r="J2633" s="545">
        <v>1.1666666666666665</v>
      </c>
    </row>
    <row r="2634" spans="1:10">
      <c r="A2634" s="441">
        <v>1781</v>
      </c>
      <c r="B2634" s="441" t="s">
        <v>3071</v>
      </c>
      <c r="C2634" s="545">
        <v>1</v>
      </c>
      <c r="D2634" s="545">
        <v>1.6666666666666665</v>
      </c>
      <c r="E2634" s="545">
        <v>1.6666666666666665</v>
      </c>
      <c r="F2634" s="545">
        <v>1.1904761904761902</v>
      </c>
      <c r="G2634" s="545">
        <v>1.3</v>
      </c>
      <c r="H2634" s="545">
        <v>2</v>
      </c>
      <c r="I2634" s="545">
        <v>0</v>
      </c>
      <c r="J2634" s="545">
        <v>1.2142857142857142</v>
      </c>
    </row>
    <row r="2635" spans="1:10">
      <c r="A2635" s="441">
        <v>1777</v>
      </c>
      <c r="B2635" s="441" t="s">
        <v>3072</v>
      </c>
      <c r="C2635" s="545">
        <v>5.666666666666667</v>
      </c>
      <c r="D2635" s="545">
        <v>0</v>
      </c>
      <c r="E2635" s="545">
        <v>0.66666666666666663</v>
      </c>
      <c r="F2635" s="545">
        <v>4.1428571428571432</v>
      </c>
      <c r="G2635" s="545">
        <v>1.35</v>
      </c>
      <c r="H2635" s="545">
        <v>1</v>
      </c>
      <c r="I2635" s="545">
        <v>0.33333333333333331</v>
      </c>
      <c r="J2635" s="545">
        <v>1.1547619047619049</v>
      </c>
    </row>
    <row r="2636" spans="1:10">
      <c r="A2636" s="441">
        <v>1775</v>
      </c>
      <c r="B2636" s="441" t="s">
        <v>3073</v>
      </c>
      <c r="C2636" s="545">
        <v>40.333333333333329</v>
      </c>
      <c r="D2636" s="545">
        <v>19.333333333333336</v>
      </c>
      <c r="E2636" s="545">
        <v>22.666666666666668</v>
      </c>
      <c r="F2636" s="545">
        <v>34.809523809523803</v>
      </c>
      <c r="G2636" s="545">
        <v>6.1</v>
      </c>
      <c r="H2636" s="545">
        <v>6.666666666666667</v>
      </c>
      <c r="I2636" s="545">
        <v>3.6666666666666665</v>
      </c>
      <c r="J2636" s="545">
        <v>5.833333333333333</v>
      </c>
    </row>
    <row r="2637" spans="1:10">
      <c r="A2637" s="441">
        <v>1778</v>
      </c>
      <c r="B2637" s="441" t="s">
        <v>3074</v>
      </c>
      <c r="C2637" s="545">
        <v>4</v>
      </c>
      <c r="D2637" s="545">
        <v>2.3333333333333335</v>
      </c>
      <c r="E2637" s="545">
        <v>1</v>
      </c>
      <c r="F2637" s="545">
        <v>3.333333333333333</v>
      </c>
      <c r="G2637" s="545">
        <v>2.95</v>
      </c>
      <c r="H2637" s="545">
        <v>3.6666666666666665</v>
      </c>
      <c r="I2637" s="545">
        <v>2.6666666666666665</v>
      </c>
      <c r="J2637" s="545">
        <v>3.0119047619047623</v>
      </c>
    </row>
    <row r="2638" spans="1:10">
      <c r="A2638" s="441">
        <v>1776</v>
      </c>
      <c r="B2638" s="441" t="s">
        <v>3075</v>
      </c>
      <c r="C2638" s="545">
        <v>7.1666666666666661</v>
      </c>
      <c r="D2638" s="545">
        <v>4.3333333333333339</v>
      </c>
      <c r="E2638" s="545">
        <v>3</v>
      </c>
      <c r="F2638" s="545">
        <v>6.1666666666666661</v>
      </c>
      <c r="G2638" s="545">
        <v>4.75</v>
      </c>
      <c r="H2638" s="545">
        <v>5.333333333333333</v>
      </c>
      <c r="I2638" s="545">
        <v>4</v>
      </c>
      <c r="J2638" s="545">
        <v>4.7261904761904754</v>
      </c>
    </row>
    <row r="2639" spans="1:10">
      <c r="A2639" s="441">
        <v>1780</v>
      </c>
      <c r="B2639" s="441" t="s">
        <v>3076</v>
      </c>
      <c r="C2639" s="545">
        <v>4</v>
      </c>
      <c r="D2639" s="545">
        <v>4</v>
      </c>
      <c r="E2639" s="545">
        <v>2.333333333333333</v>
      </c>
      <c r="F2639" s="545">
        <v>3.7619047619047619</v>
      </c>
      <c r="G2639" s="545">
        <v>1.8</v>
      </c>
      <c r="H2639" s="545">
        <v>1.6666666666666667</v>
      </c>
      <c r="I2639" s="545">
        <v>0.66666666666666663</v>
      </c>
      <c r="J2639" s="545">
        <v>1.6190476190476188</v>
      </c>
    </row>
    <row r="2640" spans="1:10">
      <c r="A2640" s="441">
        <v>69</v>
      </c>
      <c r="B2640" s="441" t="s">
        <v>3077</v>
      </c>
      <c r="C2640" s="545">
        <v>3073.833333333333</v>
      </c>
      <c r="D2640" s="545">
        <v>2048</v>
      </c>
      <c r="E2640" s="545">
        <v>1601.3333333333335</v>
      </c>
      <c r="F2640" s="545">
        <v>2716.9285714285711</v>
      </c>
      <c r="G2640" s="545">
        <v>2064.0500000000002</v>
      </c>
      <c r="H2640" s="545">
        <v>1432.6666666666667</v>
      </c>
      <c r="I2640" s="545">
        <v>1113</v>
      </c>
      <c r="J2640" s="545">
        <v>1837.9880952380952</v>
      </c>
    </row>
    <row r="2641" spans="1:10">
      <c r="A2641" s="441">
        <v>904</v>
      </c>
      <c r="B2641" s="441" t="s">
        <v>3078</v>
      </c>
      <c r="C2641" s="545">
        <v>28.5</v>
      </c>
      <c r="D2641" s="545">
        <v>16.333333333333336</v>
      </c>
      <c r="E2641" s="545">
        <v>12.666666666666668</v>
      </c>
      <c r="F2641" s="545">
        <v>24.5</v>
      </c>
      <c r="G2641" s="545">
        <v>12.8</v>
      </c>
      <c r="H2641" s="545">
        <v>12.333333333333334</v>
      </c>
      <c r="I2641" s="545">
        <v>3</v>
      </c>
      <c r="J2641" s="545">
        <v>11.333333333333332</v>
      </c>
    </row>
    <row r="2642" spans="1:10">
      <c r="A2642" s="441">
        <v>902</v>
      </c>
      <c r="B2642" s="441" t="s">
        <v>3079</v>
      </c>
      <c r="C2642" s="545">
        <v>3.3333333333333335</v>
      </c>
      <c r="D2642" s="545">
        <v>2</v>
      </c>
      <c r="E2642" s="545">
        <v>4.333333333333333</v>
      </c>
      <c r="F2642" s="545">
        <v>3.2857142857142856</v>
      </c>
      <c r="G2642" s="545">
        <v>2.75</v>
      </c>
      <c r="H2642" s="545">
        <v>2</v>
      </c>
      <c r="I2642" s="545">
        <v>2.6666666666666665</v>
      </c>
      <c r="J2642" s="545">
        <v>2.6309523809523809</v>
      </c>
    </row>
    <row r="2643" spans="1:10">
      <c r="A2643" s="441">
        <v>12908</v>
      </c>
      <c r="B2643" s="441" t="s">
        <v>3080</v>
      </c>
      <c r="C2643" s="545">
        <v>1.5</v>
      </c>
      <c r="D2643" s="545">
        <v>1.3333333333333333</v>
      </c>
      <c r="E2643" s="545">
        <v>2.6666666666666665</v>
      </c>
      <c r="F2643" s="545">
        <v>1.6428571428571428</v>
      </c>
      <c r="G2643" s="545">
        <v>0.9</v>
      </c>
      <c r="H2643" s="545">
        <v>2.6666666666666665</v>
      </c>
      <c r="I2643" s="545">
        <v>0</v>
      </c>
      <c r="J2643" s="545">
        <v>1.0238095238095237</v>
      </c>
    </row>
    <row r="2644" spans="1:10">
      <c r="A2644" s="441">
        <v>900</v>
      </c>
      <c r="B2644" s="441" t="s">
        <v>3081</v>
      </c>
      <c r="C2644" s="545">
        <v>77.333333333333329</v>
      </c>
      <c r="D2644" s="545">
        <v>37.666666666666664</v>
      </c>
      <c r="E2644" s="545">
        <v>48</v>
      </c>
      <c r="F2644" s="545">
        <v>67.476190476190467</v>
      </c>
      <c r="G2644" s="545">
        <v>86.6</v>
      </c>
      <c r="H2644" s="545">
        <v>33.666666666666664</v>
      </c>
      <c r="I2644" s="545">
        <v>63.333333333333336</v>
      </c>
      <c r="J2644" s="545">
        <v>75.714285714285708</v>
      </c>
    </row>
    <row r="2645" spans="1:10">
      <c r="A2645" s="441">
        <v>12910</v>
      </c>
      <c r="B2645" s="441" t="s">
        <v>3081</v>
      </c>
      <c r="C2645" s="545">
        <v>10.5</v>
      </c>
      <c r="D2645" s="545">
        <v>4.333333333333333</v>
      </c>
      <c r="E2645" s="545">
        <v>4</v>
      </c>
      <c r="F2645" s="545">
        <v>8.6904761904761916</v>
      </c>
      <c r="G2645" s="545">
        <v>10</v>
      </c>
      <c r="H2645" s="545">
        <v>6.333333333333333</v>
      </c>
      <c r="I2645" s="545">
        <v>5.666666666666667</v>
      </c>
      <c r="J2645" s="545">
        <v>8.8571428571428577</v>
      </c>
    </row>
    <row r="2646" spans="1:10">
      <c r="A2646" s="441">
        <v>903</v>
      </c>
      <c r="B2646" s="441" t="s">
        <v>3082</v>
      </c>
      <c r="C2646" s="545">
        <v>1.3333333333333335</v>
      </c>
      <c r="D2646" s="545">
        <v>0.66666666666666663</v>
      </c>
      <c r="E2646" s="545">
        <v>2.3333333333333335</v>
      </c>
      <c r="F2646" s="545">
        <v>1.3809523809523812</v>
      </c>
      <c r="G2646" s="545">
        <v>0.65</v>
      </c>
      <c r="H2646" s="545">
        <v>1</v>
      </c>
      <c r="I2646" s="545">
        <v>1</v>
      </c>
      <c r="J2646" s="545">
        <v>0.75</v>
      </c>
    </row>
    <row r="2647" spans="1:10">
      <c r="A2647" s="441">
        <v>12907</v>
      </c>
      <c r="B2647" s="441" t="s">
        <v>3083</v>
      </c>
      <c r="C2647" s="545">
        <v>1</v>
      </c>
      <c r="D2647" s="545">
        <v>0.33333333333333331</v>
      </c>
      <c r="E2647" s="545">
        <v>0.66666666666666663</v>
      </c>
      <c r="F2647" s="545">
        <v>0.8571428571428571</v>
      </c>
      <c r="G2647" s="545">
        <v>0.45</v>
      </c>
      <c r="H2647" s="545">
        <v>0.66666666666666663</v>
      </c>
      <c r="I2647" s="545">
        <v>0.66666666666666663</v>
      </c>
      <c r="J2647" s="545">
        <v>0.51190476190476186</v>
      </c>
    </row>
    <row r="2648" spans="1:10">
      <c r="A2648" s="441">
        <v>901</v>
      </c>
      <c r="B2648" s="441" t="s">
        <v>3084</v>
      </c>
      <c r="C2648" s="545">
        <v>1.8333333333333333</v>
      </c>
      <c r="D2648" s="545">
        <v>0.33333333333333331</v>
      </c>
      <c r="E2648" s="545">
        <v>0.66666666666666663</v>
      </c>
      <c r="F2648" s="545">
        <v>1.4523809523809523</v>
      </c>
      <c r="G2648" s="545">
        <v>0.7</v>
      </c>
      <c r="H2648" s="545">
        <v>3</v>
      </c>
      <c r="I2648" s="545">
        <v>2</v>
      </c>
      <c r="J2648" s="545">
        <v>1.2142857142857142</v>
      </c>
    </row>
    <row r="2649" spans="1:10">
      <c r="A2649" s="441">
        <v>12909</v>
      </c>
      <c r="B2649" s="441" t="s">
        <v>3085</v>
      </c>
      <c r="C2649" s="545">
        <v>1</v>
      </c>
      <c r="D2649" s="545">
        <v>0</v>
      </c>
      <c r="E2649" s="545">
        <v>0</v>
      </c>
      <c r="F2649" s="545">
        <v>0.7142857142857143</v>
      </c>
      <c r="G2649" s="545">
        <v>0.35</v>
      </c>
      <c r="H2649" s="545">
        <v>1.6666666666666667</v>
      </c>
      <c r="I2649" s="545">
        <v>2.3333333333333335</v>
      </c>
      <c r="J2649" s="545">
        <v>0.8214285714285714</v>
      </c>
    </row>
    <row r="2650" spans="1:10">
      <c r="A2650" s="441">
        <v>2352</v>
      </c>
      <c r="B2650" s="441" t="s">
        <v>3086</v>
      </c>
      <c r="C2650" s="545">
        <v>29.833333333333332</v>
      </c>
      <c r="D2650" s="545">
        <v>19.333333333333332</v>
      </c>
      <c r="E2650" s="545">
        <v>20.333333333333332</v>
      </c>
      <c r="F2650" s="545">
        <v>26.976190476190478</v>
      </c>
      <c r="G2650" s="545">
        <v>16.899999999999999</v>
      </c>
      <c r="H2650" s="545">
        <v>16.666666666666668</v>
      </c>
      <c r="I2650" s="545">
        <v>11.333333333333334</v>
      </c>
      <c r="J2650" s="545">
        <v>16.071428571428573</v>
      </c>
    </row>
    <row r="2651" spans="1:10">
      <c r="A2651" s="441">
        <v>2356</v>
      </c>
      <c r="B2651" s="441" t="s">
        <v>3086</v>
      </c>
      <c r="C2651" s="545">
        <v>23.166666666666668</v>
      </c>
      <c r="D2651" s="545">
        <v>23</v>
      </c>
      <c r="E2651" s="545">
        <v>12.666666666666666</v>
      </c>
      <c r="F2651" s="545">
        <v>21.642857142857142</v>
      </c>
      <c r="G2651" s="545">
        <v>13.65</v>
      </c>
      <c r="H2651" s="545">
        <v>10.333333333333334</v>
      </c>
      <c r="I2651" s="545">
        <v>12.666666666666666</v>
      </c>
      <c r="J2651" s="545">
        <v>13.035714285714286</v>
      </c>
    </row>
    <row r="2652" spans="1:10">
      <c r="A2652" s="441">
        <v>6609</v>
      </c>
      <c r="B2652" s="441" t="s">
        <v>3087</v>
      </c>
      <c r="C2652" s="545">
        <v>145.33333333333331</v>
      </c>
      <c r="D2652" s="545">
        <v>108.66666666666667</v>
      </c>
      <c r="E2652" s="545">
        <v>83.666666666666657</v>
      </c>
      <c r="F2652" s="545">
        <v>131.28571428571425</v>
      </c>
      <c r="G2652" s="545">
        <v>84.3</v>
      </c>
      <c r="H2652" s="545">
        <v>60</v>
      </c>
      <c r="I2652" s="545">
        <v>40</v>
      </c>
      <c r="J2652" s="545">
        <v>74.5</v>
      </c>
    </row>
    <row r="2653" spans="1:10">
      <c r="A2653" s="441">
        <v>6840</v>
      </c>
      <c r="B2653" s="441" t="s">
        <v>3087</v>
      </c>
      <c r="C2653" s="545">
        <v>164.83333333333334</v>
      </c>
      <c r="D2653" s="545">
        <v>115</v>
      </c>
      <c r="E2653" s="545">
        <v>97.333333333333343</v>
      </c>
      <c r="F2653" s="545">
        <v>148.07142857142858</v>
      </c>
      <c r="G2653" s="545">
        <v>98.15</v>
      </c>
      <c r="H2653" s="545">
        <v>62</v>
      </c>
      <c r="I2653" s="545">
        <v>42</v>
      </c>
      <c r="J2653" s="545">
        <v>84.964285714285708</v>
      </c>
    </row>
    <row r="2654" spans="1:10">
      <c r="A2654" s="441">
        <v>11469</v>
      </c>
      <c r="B2654" s="441" t="s">
        <v>3088</v>
      </c>
      <c r="C2654" s="545">
        <v>34.666666666666671</v>
      </c>
      <c r="D2654" s="545">
        <v>22</v>
      </c>
      <c r="E2654" s="545">
        <v>17.333333333333336</v>
      </c>
      <c r="F2654" s="545">
        <v>30.380952380952387</v>
      </c>
      <c r="G2654" s="545">
        <v>24.1</v>
      </c>
      <c r="H2654" s="545">
        <v>15.333333333333334</v>
      </c>
      <c r="I2654" s="545">
        <v>12.333333333333334</v>
      </c>
      <c r="J2654" s="545">
        <v>21.166666666666668</v>
      </c>
    </row>
    <row r="2655" spans="1:10">
      <c r="A2655" s="441">
        <v>11804</v>
      </c>
      <c r="B2655" s="441" t="s">
        <v>3088</v>
      </c>
      <c r="C2655" s="545">
        <v>19.666666666666668</v>
      </c>
      <c r="D2655" s="545">
        <v>17</v>
      </c>
      <c r="E2655" s="545">
        <v>14.333333333333332</v>
      </c>
      <c r="F2655" s="545">
        <v>18.523809523809526</v>
      </c>
      <c r="G2655" s="545">
        <v>15.15</v>
      </c>
      <c r="H2655" s="545">
        <v>7.333333333333333</v>
      </c>
      <c r="I2655" s="545">
        <v>9.6666666666666661</v>
      </c>
      <c r="J2655" s="545">
        <v>13.25</v>
      </c>
    </row>
    <row r="2656" spans="1:10">
      <c r="A2656" s="441">
        <v>6619</v>
      </c>
      <c r="B2656" s="441" t="s">
        <v>3089</v>
      </c>
      <c r="C2656" s="545">
        <v>22.166666666666664</v>
      </c>
      <c r="D2656" s="545">
        <v>23.333333333333332</v>
      </c>
      <c r="E2656" s="545">
        <v>12.333333333333334</v>
      </c>
      <c r="F2656" s="545">
        <v>20.928571428571427</v>
      </c>
      <c r="G2656" s="545">
        <v>27.4</v>
      </c>
      <c r="H2656" s="545">
        <v>18.666666666666668</v>
      </c>
      <c r="I2656" s="545">
        <v>9.6666666666666661</v>
      </c>
      <c r="J2656" s="545">
        <v>23.619047619047617</v>
      </c>
    </row>
    <row r="2657" spans="1:10">
      <c r="A2657" s="441">
        <v>6828</v>
      </c>
      <c r="B2657" s="441" t="s">
        <v>3089</v>
      </c>
      <c r="C2657" s="545">
        <v>22.166666666666668</v>
      </c>
      <c r="D2657" s="545">
        <v>22.666666666666664</v>
      </c>
      <c r="E2657" s="545">
        <v>12.666666666666668</v>
      </c>
      <c r="F2657" s="545">
        <v>20.88095238095238</v>
      </c>
      <c r="G2657" s="545">
        <v>22.25</v>
      </c>
      <c r="H2657" s="545">
        <v>14.333333333333334</v>
      </c>
      <c r="I2657" s="545">
        <v>8.3333333333333339</v>
      </c>
      <c r="J2657" s="545">
        <v>19.13095238095238</v>
      </c>
    </row>
    <row r="2658" spans="1:10">
      <c r="A2658" s="441">
        <v>6629</v>
      </c>
      <c r="B2658" s="441" t="s">
        <v>3090</v>
      </c>
      <c r="C2658" s="545">
        <v>82.333333333333329</v>
      </c>
      <c r="D2658" s="545">
        <v>70</v>
      </c>
      <c r="E2658" s="545">
        <v>42.666666666666664</v>
      </c>
      <c r="F2658" s="545">
        <v>74.904761904761898</v>
      </c>
      <c r="G2658" s="545">
        <v>47.9</v>
      </c>
      <c r="H2658" s="545">
        <v>24.666666666666668</v>
      </c>
      <c r="I2658" s="545">
        <v>18.333333333333332</v>
      </c>
      <c r="J2658" s="545">
        <v>40.357142857142854</v>
      </c>
    </row>
    <row r="2659" spans="1:10">
      <c r="A2659" s="441">
        <v>6630</v>
      </c>
      <c r="B2659" s="441" t="s">
        <v>3090</v>
      </c>
      <c r="C2659" s="545">
        <v>60.5</v>
      </c>
      <c r="D2659" s="545">
        <v>72.333333333333329</v>
      </c>
      <c r="E2659" s="545">
        <v>53.333333333333329</v>
      </c>
      <c r="F2659" s="545">
        <v>61.166666666666664</v>
      </c>
      <c r="G2659" s="545">
        <v>47.4</v>
      </c>
      <c r="H2659" s="545">
        <v>42.333333333333336</v>
      </c>
      <c r="I2659" s="545">
        <v>25.333333333333332</v>
      </c>
      <c r="J2659" s="545">
        <v>43.523809523809518</v>
      </c>
    </row>
    <row r="2660" spans="1:10">
      <c r="A2660" s="441">
        <v>10245</v>
      </c>
      <c r="B2660" s="441" t="s">
        <v>3091</v>
      </c>
      <c r="C2660" s="545">
        <v>7</v>
      </c>
      <c r="D2660" s="545">
        <v>4</v>
      </c>
      <c r="E2660" s="545">
        <v>20.333333333333332</v>
      </c>
      <c r="F2660" s="545">
        <v>8.4761904761904763</v>
      </c>
      <c r="G2660" s="545">
        <v>3.9</v>
      </c>
      <c r="H2660" s="545">
        <v>1</v>
      </c>
      <c r="I2660" s="545">
        <v>0.33333333333333331</v>
      </c>
      <c r="J2660" s="545">
        <v>2.9761904761904758</v>
      </c>
    </row>
    <row r="2661" spans="1:10">
      <c r="A2661" s="441">
        <v>10415</v>
      </c>
      <c r="B2661" s="441" t="s">
        <v>3091</v>
      </c>
      <c r="C2661" s="545">
        <v>9.3333333333333321</v>
      </c>
      <c r="D2661" s="545">
        <v>4</v>
      </c>
      <c r="E2661" s="545">
        <v>2.3333333333333335</v>
      </c>
      <c r="F2661" s="545">
        <v>7.5714285714285703</v>
      </c>
      <c r="G2661" s="545">
        <v>3.95</v>
      </c>
      <c r="H2661" s="545">
        <v>2</v>
      </c>
      <c r="I2661" s="545">
        <v>1.3333333333333333</v>
      </c>
      <c r="J2661" s="545">
        <v>3.2976190476190474</v>
      </c>
    </row>
    <row r="2662" spans="1:10">
      <c r="A2662" s="441">
        <v>6606</v>
      </c>
      <c r="B2662" s="441" t="s">
        <v>3092</v>
      </c>
      <c r="C2662" s="545">
        <v>16.833333333333332</v>
      </c>
      <c r="D2662" s="545">
        <v>17</v>
      </c>
      <c r="E2662" s="545">
        <v>8</v>
      </c>
      <c r="F2662" s="545">
        <v>15.595238095238093</v>
      </c>
      <c r="G2662" s="545">
        <v>18.2</v>
      </c>
      <c r="H2662" s="545">
        <v>5</v>
      </c>
      <c r="I2662" s="545">
        <v>3.3333333333333335</v>
      </c>
      <c r="J2662" s="545">
        <v>14.19047619047619</v>
      </c>
    </row>
    <row r="2663" spans="1:10">
      <c r="A2663" s="441">
        <v>11683</v>
      </c>
      <c r="B2663" s="441" t="s">
        <v>3092</v>
      </c>
      <c r="C2663" s="545">
        <v>14.666666666666666</v>
      </c>
      <c r="D2663" s="545">
        <v>13.666666666666668</v>
      </c>
      <c r="E2663" s="545">
        <v>7</v>
      </c>
      <c r="F2663" s="545">
        <v>13.428571428571429</v>
      </c>
      <c r="G2663" s="545">
        <v>10.15</v>
      </c>
      <c r="H2663" s="545">
        <v>4</v>
      </c>
      <c r="I2663" s="545">
        <v>4.666666666666667</v>
      </c>
      <c r="J2663" s="545">
        <v>8.4880952380952372</v>
      </c>
    </row>
    <row r="2664" spans="1:10">
      <c r="A2664" s="441">
        <v>2359</v>
      </c>
      <c r="B2664" s="441" t="s">
        <v>3093</v>
      </c>
      <c r="C2664" s="545">
        <v>51.666666666666671</v>
      </c>
      <c r="D2664" s="545">
        <v>43.333333333333329</v>
      </c>
      <c r="E2664" s="545">
        <v>21.666666666666668</v>
      </c>
      <c r="F2664" s="545">
        <v>46.190476190476197</v>
      </c>
      <c r="G2664" s="545">
        <v>40.85</v>
      </c>
      <c r="H2664" s="545">
        <v>32.333333333333336</v>
      </c>
      <c r="I2664" s="545">
        <v>17.666666666666668</v>
      </c>
      <c r="J2664" s="545">
        <v>36.321428571428569</v>
      </c>
    </row>
    <row r="2665" spans="1:10">
      <c r="A2665" s="441">
        <v>6631</v>
      </c>
      <c r="B2665" s="441" t="s">
        <v>3094</v>
      </c>
      <c r="C2665" s="545">
        <v>47.166666666666671</v>
      </c>
      <c r="D2665" s="545">
        <v>37</v>
      </c>
      <c r="E2665" s="545">
        <v>22.333333333333332</v>
      </c>
      <c r="F2665" s="545">
        <v>42.166666666666671</v>
      </c>
      <c r="G2665" s="545">
        <v>40</v>
      </c>
      <c r="H2665" s="545">
        <v>30.666666666666668</v>
      </c>
      <c r="I2665" s="545">
        <v>22</v>
      </c>
      <c r="J2665" s="545">
        <v>36.095238095238095</v>
      </c>
    </row>
    <row r="2666" spans="1:10">
      <c r="A2666" s="441">
        <v>6622</v>
      </c>
      <c r="B2666" s="441" t="s">
        <v>3095</v>
      </c>
      <c r="C2666" s="545">
        <v>28</v>
      </c>
      <c r="D2666" s="545">
        <v>23.666666666666668</v>
      </c>
      <c r="E2666" s="545">
        <v>16.333333333333332</v>
      </c>
      <c r="F2666" s="545">
        <v>25.714285714285715</v>
      </c>
      <c r="G2666" s="545">
        <v>18.55</v>
      </c>
      <c r="H2666" s="545">
        <v>17.666666666666668</v>
      </c>
      <c r="I2666" s="545">
        <v>8</v>
      </c>
      <c r="J2666" s="545">
        <v>16.916666666666668</v>
      </c>
    </row>
    <row r="2667" spans="1:10">
      <c r="A2667" s="441">
        <v>6825</v>
      </c>
      <c r="B2667" s="441" t="s">
        <v>3095</v>
      </c>
      <c r="C2667" s="545">
        <v>33.5</v>
      </c>
      <c r="D2667" s="545">
        <v>30.333333333333332</v>
      </c>
      <c r="E2667" s="545">
        <v>15.333333333333334</v>
      </c>
      <c r="F2667" s="545">
        <v>30.452380952380956</v>
      </c>
      <c r="G2667" s="545">
        <v>21.6</v>
      </c>
      <c r="H2667" s="545">
        <v>16.666666666666668</v>
      </c>
      <c r="I2667" s="545">
        <v>8.6666666666666661</v>
      </c>
      <c r="J2667" s="545">
        <v>19.047619047619047</v>
      </c>
    </row>
    <row r="2668" spans="1:10">
      <c r="A2668" s="441">
        <v>6624</v>
      </c>
      <c r="B2668" s="441" t="s">
        <v>3096</v>
      </c>
      <c r="C2668" s="545">
        <v>8.1666666666666679</v>
      </c>
      <c r="D2668" s="545">
        <v>5.666666666666667</v>
      </c>
      <c r="E2668" s="545">
        <v>3.333333333333333</v>
      </c>
      <c r="F2668" s="545">
        <v>7.1190476190476204</v>
      </c>
      <c r="G2668" s="545">
        <v>5.5</v>
      </c>
      <c r="H2668" s="545">
        <v>5</v>
      </c>
      <c r="I2668" s="545">
        <v>2.6666666666666665</v>
      </c>
      <c r="J2668" s="545">
        <v>5.0238095238095237</v>
      </c>
    </row>
    <row r="2669" spans="1:10">
      <c r="A2669" s="441">
        <v>6823</v>
      </c>
      <c r="B2669" s="441" t="s">
        <v>3096</v>
      </c>
      <c r="C2669" s="545">
        <v>20.166666666666668</v>
      </c>
      <c r="D2669" s="545">
        <v>6.666666666666667</v>
      </c>
      <c r="E2669" s="545">
        <v>7</v>
      </c>
      <c r="F2669" s="545">
        <v>16.357142857142858</v>
      </c>
      <c r="G2669" s="545">
        <v>6.65</v>
      </c>
      <c r="H2669" s="545">
        <v>4</v>
      </c>
      <c r="I2669" s="545">
        <v>3</v>
      </c>
      <c r="J2669" s="545">
        <v>5.75</v>
      </c>
    </row>
    <row r="2670" spans="1:10">
      <c r="A2670" s="441">
        <v>6626</v>
      </c>
      <c r="B2670" s="441" t="s">
        <v>3097</v>
      </c>
      <c r="C2670" s="545">
        <v>23.833333333333332</v>
      </c>
      <c r="D2670" s="545">
        <v>12.666666666666666</v>
      </c>
      <c r="E2670" s="545">
        <v>9</v>
      </c>
      <c r="F2670" s="545">
        <v>20.119047619047617</v>
      </c>
      <c r="G2670" s="545">
        <v>11.7</v>
      </c>
      <c r="H2670" s="545">
        <v>7.666666666666667</v>
      </c>
      <c r="I2670" s="545">
        <v>3.6666666666666665</v>
      </c>
      <c r="J2670" s="545">
        <v>9.9761904761904781</v>
      </c>
    </row>
    <row r="2671" spans="1:10">
      <c r="A2671" s="441">
        <v>6627</v>
      </c>
      <c r="B2671" s="441" t="s">
        <v>3098</v>
      </c>
      <c r="C2671" s="545">
        <v>26.5</v>
      </c>
      <c r="D2671" s="545">
        <v>16.666666666666668</v>
      </c>
      <c r="E2671" s="545">
        <v>11</v>
      </c>
      <c r="F2671" s="545">
        <v>22.88095238095238</v>
      </c>
      <c r="G2671" s="545">
        <v>17.899999999999999</v>
      </c>
      <c r="H2671" s="545">
        <v>12</v>
      </c>
      <c r="I2671" s="545">
        <v>6.666666666666667</v>
      </c>
      <c r="J2671" s="545">
        <v>15.452380952380953</v>
      </c>
    </row>
    <row r="2672" spans="1:10">
      <c r="A2672" s="441">
        <v>6820</v>
      </c>
      <c r="B2672" s="441" t="s">
        <v>3098</v>
      </c>
      <c r="C2672" s="545">
        <v>20.833333333333332</v>
      </c>
      <c r="D2672" s="545">
        <v>18</v>
      </c>
      <c r="E2672" s="545">
        <v>6.666666666666667</v>
      </c>
      <c r="F2672" s="545">
        <v>18.404761904761902</v>
      </c>
      <c r="G2672" s="545">
        <v>13.7</v>
      </c>
      <c r="H2672" s="545">
        <v>2</v>
      </c>
      <c r="I2672" s="545">
        <v>6</v>
      </c>
      <c r="J2672" s="545">
        <v>10.928571428571429</v>
      </c>
    </row>
    <row r="2673" spans="1:10">
      <c r="A2673" s="441">
        <v>6821</v>
      </c>
      <c r="B2673" s="441" t="s">
        <v>3099</v>
      </c>
      <c r="C2673" s="545">
        <v>33.666666666666671</v>
      </c>
      <c r="D2673" s="545">
        <v>29</v>
      </c>
      <c r="E2673" s="545">
        <v>18</v>
      </c>
      <c r="F2673" s="545">
        <v>30.761904761904766</v>
      </c>
      <c r="G2673" s="545">
        <v>19.350000000000001</v>
      </c>
      <c r="H2673" s="545">
        <v>15</v>
      </c>
      <c r="I2673" s="545">
        <v>7.333333333333333</v>
      </c>
      <c r="J2673" s="545">
        <v>17.011904761904763</v>
      </c>
    </row>
    <row r="2674" spans="1:10">
      <c r="A2674" s="441">
        <v>2347</v>
      </c>
      <c r="B2674" s="441" t="s">
        <v>3100</v>
      </c>
      <c r="C2674" s="545">
        <v>63.166666666666671</v>
      </c>
      <c r="D2674" s="545">
        <v>46</v>
      </c>
      <c r="E2674" s="545">
        <v>35.333333333333329</v>
      </c>
      <c r="F2674" s="545">
        <v>56.738095238095241</v>
      </c>
      <c r="G2674" s="545">
        <v>47.6</v>
      </c>
      <c r="H2674" s="545">
        <v>35.333333333333336</v>
      </c>
      <c r="I2674" s="545">
        <v>26.666666666666668</v>
      </c>
      <c r="J2674" s="545">
        <v>42.857142857142854</v>
      </c>
    </row>
    <row r="2675" spans="1:10">
      <c r="A2675" s="441">
        <v>2358</v>
      </c>
      <c r="B2675" s="441" t="s">
        <v>3100</v>
      </c>
      <c r="C2675" s="545">
        <v>97</v>
      </c>
      <c r="D2675" s="545">
        <v>61</v>
      </c>
      <c r="E2675" s="545">
        <v>64.666666666666671</v>
      </c>
      <c r="F2675" s="545">
        <v>87.238095238095227</v>
      </c>
      <c r="G2675" s="545">
        <v>65.95</v>
      </c>
      <c r="H2675" s="545">
        <v>40.333333333333336</v>
      </c>
      <c r="I2675" s="545">
        <v>30.666666666666668</v>
      </c>
      <c r="J2675" s="545">
        <v>57.25</v>
      </c>
    </row>
    <row r="2676" spans="1:10">
      <c r="A2676" s="441">
        <v>6838</v>
      </c>
      <c r="B2676" s="441" t="s">
        <v>3101</v>
      </c>
      <c r="C2676" s="545">
        <v>4.6666666666666661</v>
      </c>
      <c r="D2676" s="545">
        <v>6</v>
      </c>
      <c r="E2676" s="545">
        <v>3.666666666666667</v>
      </c>
      <c r="F2676" s="545">
        <v>4.7142857142857135</v>
      </c>
      <c r="G2676" s="545">
        <v>5.85</v>
      </c>
      <c r="H2676" s="545">
        <v>6.333333333333333</v>
      </c>
      <c r="I2676" s="545">
        <v>1.3333333333333333</v>
      </c>
      <c r="J2676" s="545">
        <v>5.2738095238095246</v>
      </c>
    </row>
    <row r="2677" spans="1:10">
      <c r="A2677" s="441">
        <v>10107</v>
      </c>
      <c r="B2677" s="441" t="s">
        <v>3102</v>
      </c>
      <c r="C2677" s="545">
        <v>6.8333333333333339</v>
      </c>
      <c r="D2677" s="545">
        <v>3.666666666666667</v>
      </c>
      <c r="E2677" s="545">
        <v>2.3333333333333335</v>
      </c>
      <c r="F2677" s="545">
        <v>5.738095238095239</v>
      </c>
      <c r="G2677" s="545">
        <v>7.3</v>
      </c>
      <c r="H2677" s="545">
        <v>3.6666666666666665</v>
      </c>
      <c r="I2677" s="545">
        <v>3.3333333333333335</v>
      </c>
      <c r="J2677" s="545">
        <v>6.2142857142857144</v>
      </c>
    </row>
    <row r="2678" spans="1:10">
      <c r="A2678" s="441">
        <v>6844</v>
      </c>
      <c r="B2678" s="441" t="s">
        <v>3103</v>
      </c>
      <c r="C2678" s="545">
        <v>177</v>
      </c>
      <c r="D2678" s="545">
        <v>131</v>
      </c>
      <c r="E2678" s="545">
        <v>116.33333333333334</v>
      </c>
      <c r="F2678" s="545">
        <v>161.76190476190476</v>
      </c>
      <c r="G2678" s="545">
        <v>117.5</v>
      </c>
      <c r="H2678" s="545">
        <v>81.333333333333329</v>
      </c>
      <c r="I2678" s="545">
        <v>43</v>
      </c>
      <c r="J2678" s="545">
        <v>101.69047619047619</v>
      </c>
    </row>
    <row r="2679" spans="1:10">
      <c r="A2679" s="441">
        <v>6845</v>
      </c>
      <c r="B2679" s="441" t="s">
        <v>3103</v>
      </c>
      <c r="C2679" s="545">
        <v>175.16666666666666</v>
      </c>
      <c r="D2679" s="545">
        <v>131.66666666666666</v>
      </c>
      <c r="E2679" s="545">
        <v>94.333333333333343</v>
      </c>
      <c r="F2679" s="545">
        <v>157.4047619047619</v>
      </c>
      <c r="G2679" s="545">
        <v>124.2</v>
      </c>
      <c r="H2679" s="545">
        <v>77.666666666666671</v>
      </c>
      <c r="I2679" s="545">
        <v>51</v>
      </c>
      <c r="J2679" s="545">
        <v>107.09523809523809</v>
      </c>
    </row>
    <row r="2680" spans="1:10">
      <c r="A2680" s="441">
        <v>6614</v>
      </c>
      <c r="B2680" s="441" t="s">
        <v>3104</v>
      </c>
      <c r="C2680" s="545">
        <v>33.166666666666664</v>
      </c>
      <c r="D2680" s="545">
        <v>15.666666666666666</v>
      </c>
      <c r="E2680" s="545">
        <v>16</v>
      </c>
      <c r="F2680" s="545">
        <v>28.214285714285712</v>
      </c>
      <c r="G2680" s="545">
        <v>14</v>
      </c>
      <c r="H2680" s="545">
        <v>6.666666666666667</v>
      </c>
      <c r="I2680" s="545">
        <v>4.666666666666667</v>
      </c>
      <c r="J2680" s="545">
        <v>11.61904761904762</v>
      </c>
    </row>
    <row r="2681" spans="1:10">
      <c r="A2681" s="441">
        <v>6833</v>
      </c>
      <c r="B2681" s="441" t="s">
        <v>3104</v>
      </c>
      <c r="C2681" s="545">
        <v>29.833333333333336</v>
      </c>
      <c r="D2681" s="545">
        <v>20</v>
      </c>
      <c r="E2681" s="545">
        <v>13.666666666666666</v>
      </c>
      <c r="F2681" s="545">
        <v>26.11904761904762</v>
      </c>
      <c r="G2681" s="545">
        <v>16.45</v>
      </c>
      <c r="H2681" s="545">
        <v>10</v>
      </c>
      <c r="I2681" s="545">
        <v>9</v>
      </c>
      <c r="J2681" s="545">
        <v>14.464285714285714</v>
      </c>
    </row>
    <row r="2682" spans="1:10">
      <c r="A2682" s="441">
        <v>6617</v>
      </c>
      <c r="B2682" s="441" t="s">
        <v>3105</v>
      </c>
      <c r="C2682" s="545">
        <v>16.166666666666668</v>
      </c>
      <c r="D2682" s="545">
        <v>13</v>
      </c>
      <c r="E2682" s="545">
        <v>4.333333333333333</v>
      </c>
      <c r="F2682" s="545">
        <v>14.023809523809524</v>
      </c>
      <c r="G2682" s="545">
        <v>6.55</v>
      </c>
      <c r="H2682" s="545">
        <v>3.6666666666666665</v>
      </c>
      <c r="I2682" s="545">
        <v>2.3333333333333335</v>
      </c>
      <c r="J2682" s="545">
        <v>5.5357142857142856</v>
      </c>
    </row>
    <row r="2683" spans="1:10">
      <c r="A2683" s="441">
        <v>6830</v>
      </c>
      <c r="B2683" s="441" t="s">
        <v>3106</v>
      </c>
      <c r="C2683" s="545">
        <v>19.833333333333332</v>
      </c>
      <c r="D2683" s="545">
        <v>14.333333333333334</v>
      </c>
      <c r="E2683" s="545">
        <v>12.666666666666666</v>
      </c>
      <c r="F2683" s="545">
        <v>18.023809523809522</v>
      </c>
      <c r="G2683" s="545">
        <v>9.85</v>
      </c>
      <c r="H2683" s="545">
        <v>7</v>
      </c>
      <c r="I2683" s="545">
        <v>3.3333333333333335</v>
      </c>
      <c r="J2683" s="545">
        <v>8.5119047619047628</v>
      </c>
    </row>
    <row r="2684" spans="1:10">
      <c r="A2684" s="441">
        <v>6610</v>
      </c>
      <c r="B2684" s="441" t="s">
        <v>3107</v>
      </c>
      <c r="C2684" s="545">
        <v>3.5</v>
      </c>
      <c r="D2684" s="545">
        <v>1.3333333333333333</v>
      </c>
      <c r="E2684" s="545">
        <v>3.333333333333333</v>
      </c>
      <c r="F2684" s="545">
        <v>3.1666666666666665</v>
      </c>
      <c r="G2684" s="545">
        <v>4.55</v>
      </c>
      <c r="H2684" s="545">
        <v>5</v>
      </c>
      <c r="I2684" s="545">
        <v>1.3333333333333333</v>
      </c>
      <c r="J2684" s="545">
        <v>4.1547619047619042</v>
      </c>
    </row>
    <row r="2685" spans="1:10">
      <c r="A2685" s="441">
        <v>6839</v>
      </c>
      <c r="B2685" s="441" t="s">
        <v>3107</v>
      </c>
      <c r="C2685" s="545">
        <v>3</v>
      </c>
      <c r="D2685" s="545">
        <v>3.666666666666667</v>
      </c>
      <c r="E2685" s="545">
        <v>0.66666666666666663</v>
      </c>
      <c r="F2685" s="545">
        <v>2.7619047619047623</v>
      </c>
      <c r="G2685" s="545">
        <v>2.0499999999999998</v>
      </c>
      <c r="H2685" s="545">
        <v>3.3333333333333335</v>
      </c>
      <c r="I2685" s="545">
        <v>0.33333333333333331</v>
      </c>
      <c r="J2685" s="545">
        <v>1.9880952380952384</v>
      </c>
    </row>
    <row r="2686" spans="1:10">
      <c r="A2686" s="441">
        <v>6615</v>
      </c>
      <c r="B2686" s="441" t="s">
        <v>3108</v>
      </c>
      <c r="C2686" s="545">
        <v>16.333333333333332</v>
      </c>
      <c r="D2686" s="545">
        <v>7</v>
      </c>
      <c r="E2686" s="545">
        <v>6.666666666666667</v>
      </c>
      <c r="F2686" s="545">
        <v>13.619047619047619</v>
      </c>
      <c r="G2686" s="545">
        <v>11.6</v>
      </c>
      <c r="H2686" s="545">
        <v>7</v>
      </c>
      <c r="I2686" s="545">
        <v>3.3333333333333335</v>
      </c>
      <c r="J2686" s="545">
        <v>9.761904761904761</v>
      </c>
    </row>
    <row r="2687" spans="1:10">
      <c r="A2687" s="441">
        <v>6832</v>
      </c>
      <c r="B2687" s="441" t="s">
        <v>3108</v>
      </c>
      <c r="C2687" s="545">
        <v>20.666666666666668</v>
      </c>
      <c r="D2687" s="545">
        <v>11.666666666666668</v>
      </c>
      <c r="E2687" s="545">
        <v>5.3333333333333339</v>
      </c>
      <c r="F2687" s="545">
        <v>17.190476190476193</v>
      </c>
      <c r="G2687" s="545">
        <v>10.050000000000001</v>
      </c>
      <c r="H2687" s="545">
        <v>7.666666666666667</v>
      </c>
      <c r="I2687" s="545">
        <v>3.3333333333333335</v>
      </c>
      <c r="J2687" s="545">
        <v>8.75</v>
      </c>
    </row>
    <row r="2688" spans="1:10">
      <c r="A2688" s="441">
        <v>6621</v>
      </c>
      <c r="B2688" s="441" t="s">
        <v>3109</v>
      </c>
      <c r="C2688" s="545">
        <v>17.666666666666664</v>
      </c>
      <c r="D2688" s="545">
        <v>17.333333333333332</v>
      </c>
      <c r="E2688" s="545">
        <v>14.333333333333334</v>
      </c>
      <c r="F2688" s="545">
        <v>17.142857142857139</v>
      </c>
      <c r="G2688" s="545">
        <v>10.65</v>
      </c>
      <c r="H2688" s="545">
        <v>10</v>
      </c>
      <c r="I2688" s="545">
        <v>5.666666666666667</v>
      </c>
      <c r="J2688" s="545">
        <v>9.8452380952380967</v>
      </c>
    </row>
    <row r="2689" spans="1:10">
      <c r="A2689" s="441">
        <v>6826</v>
      </c>
      <c r="B2689" s="441" t="s">
        <v>3109</v>
      </c>
      <c r="C2689" s="545">
        <v>31.5</v>
      </c>
      <c r="D2689" s="545">
        <v>21.333333333333332</v>
      </c>
      <c r="E2689" s="545">
        <v>15</v>
      </c>
      <c r="F2689" s="545">
        <v>27.690476190476193</v>
      </c>
      <c r="G2689" s="545">
        <v>19.5</v>
      </c>
      <c r="H2689" s="545">
        <v>14.333333333333334</v>
      </c>
      <c r="I2689" s="545">
        <v>6.666666666666667</v>
      </c>
      <c r="J2689" s="545">
        <v>16.928571428571427</v>
      </c>
    </row>
    <row r="2690" spans="1:10">
      <c r="A2690" s="441">
        <v>2350</v>
      </c>
      <c r="B2690" s="441" t="s">
        <v>3110</v>
      </c>
      <c r="C2690" s="545">
        <v>2.333333333333333</v>
      </c>
      <c r="D2690" s="545">
        <v>2.3333333333333335</v>
      </c>
      <c r="E2690" s="545">
        <v>2.333333333333333</v>
      </c>
      <c r="F2690" s="545">
        <v>2.333333333333333</v>
      </c>
      <c r="G2690" s="545">
        <v>1.6</v>
      </c>
      <c r="H2690" s="545">
        <v>1.3333333333333333</v>
      </c>
      <c r="I2690" s="545">
        <v>1.6666666666666667</v>
      </c>
      <c r="J2690" s="545">
        <v>1.5714285714285714</v>
      </c>
    </row>
    <row r="2691" spans="1:10">
      <c r="A2691" s="441">
        <v>11685</v>
      </c>
      <c r="B2691" s="441" t="s">
        <v>3110</v>
      </c>
      <c r="C2691" s="545">
        <v>1</v>
      </c>
      <c r="D2691" s="545">
        <v>0</v>
      </c>
      <c r="E2691" s="545">
        <v>0.33333333333333331</v>
      </c>
      <c r="F2691" s="545">
        <v>0.76190476190476186</v>
      </c>
      <c r="G2691" s="545">
        <v>0.75</v>
      </c>
      <c r="H2691" s="545">
        <v>0.33333333333333331</v>
      </c>
      <c r="I2691" s="545">
        <v>0.33333333333333331</v>
      </c>
      <c r="J2691" s="545">
        <v>0.63095238095238082</v>
      </c>
    </row>
    <row r="2692" spans="1:10">
      <c r="A2692" s="441">
        <v>6620</v>
      </c>
      <c r="B2692" s="441" t="s">
        <v>3111</v>
      </c>
      <c r="C2692" s="545">
        <v>27.166666666666668</v>
      </c>
      <c r="D2692" s="545">
        <v>27</v>
      </c>
      <c r="E2692" s="545">
        <v>18.333333333333332</v>
      </c>
      <c r="F2692" s="545">
        <v>25.880952380952383</v>
      </c>
      <c r="G2692" s="545">
        <v>22</v>
      </c>
      <c r="H2692" s="545">
        <v>10</v>
      </c>
      <c r="I2692" s="545">
        <v>7</v>
      </c>
      <c r="J2692" s="545">
        <v>18.142857142857142</v>
      </c>
    </row>
    <row r="2693" spans="1:10">
      <c r="A2693" s="441">
        <v>6827</v>
      </c>
      <c r="B2693" s="441" t="s">
        <v>3111</v>
      </c>
      <c r="C2693" s="545">
        <v>31</v>
      </c>
      <c r="D2693" s="545">
        <v>24.333333333333336</v>
      </c>
      <c r="E2693" s="545">
        <v>18.333333333333336</v>
      </c>
      <c r="F2693" s="545">
        <v>28.238095238095241</v>
      </c>
      <c r="G2693" s="545">
        <v>20.350000000000001</v>
      </c>
      <c r="H2693" s="545">
        <v>7.333333333333333</v>
      </c>
      <c r="I2693" s="545">
        <v>7.333333333333333</v>
      </c>
      <c r="J2693" s="545">
        <v>16.63095238095238</v>
      </c>
    </row>
    <row r="2694" spans="1:10">
      <c r="A2694" s="441">
        <v>6822</v>
      </c>
      <c r="B2694" s="441" t="s">
        <v>3112</v>
      </c>
      <c r="C2694" s="545">
        <v>2</v>
      </c>
      <c r="D2694" s="545">
        <v>3.3333333333333335</v>
      </c>
      <c r="E2694" s="545">
        <v>1.6666666666666667</v>
      </c>
      <c r="F2694" s="545">
        <v>2.1428571428571428</v>
      </c>
      <c r="G2694" s="545">
        <v>4.1500000000000004</v>
      </c>
      <c r="H2694" s="545">
        <v>2.3333333333333335</v>
      </c>
      <c r="I2694" s="545">
        <v>1.6666666666666667</v>
      </c>
      <c r="J2694" s="545">
        <v>3.5357142857142856</v>
      </c>
    </row>
    <row r="2695" spans="1:10">
      <c r="A2695" s="441">
        <v>10218</v>
      </c>
      <c r="B2695" s="441" t="s">
        <v>3113</v>
      </c>
      <c r="C2695" s="545">
        <v>4.1666666666666661</v>
      </c>
      <c r="D2695" s="545">
        <v>4.3333333333333339</v>
      </c>
      <c r="E2695" s="545">
        <v>3.3333333333333335</v>
      </c>
      <c r="F2695" s="545">
        <v>4.0714285714285712</v>
      </c>
      <c r="G2695" s="545">
        <v>5.35</v>
      </c>
      <c r="H2695" s="545">
        <v>4</v>
      </c>
      <c r="I2695" s="545">
        <v>2.6666666666666665</v>
      </c>
      <c r="J2695" s="545">
        <v>4.7738095238095237</v>
      </c>
    </row>
    <row r="2696" spans="1:10">
      <c r="A2696" s="441">
        <v>10418</v>
      </c>
      <c r="B2696" s="441" t="s">
        <v>3114</v>
      </c>
      <c r="C2696" s="545">
        <v>16</v>
      </c>
      <c r="D2696" s="545">
        <v>15</v>
      </c>
      <c r="E2696" s="545">
        <v>10.333333333333334</v>
      </c>
      <c r="F2696" s="545">
        <v>15.047619047619047</v>
      </c>
      <c r="G2696" s="545">
        <v>10.4</v>
      </c>
      <c r="H2696" s="545">
        <v>7.666666666666667</v>
      </c>
      <c r="I2696" s="545">
        <v>3</v>
      </c>
      <c r="J2696" s="545">
        <v>8.9523809523809526</v>
      </c>
    </row>
    <row r="2697" spans="1:10">
      <c r="A2697" s="441">
        <v>2349</v>
      </c>
      <c r="B2697" s="441" t="s">
        <v>3115</v>
      </c>
      <c r="C2697" s="545">
        <v>47</v>
      </c>
      <c r="D2697" s="545">
        <v>48.333333333333329</v>
      </c>
      <c r="E2697" s="545">
        <v>25.666666666666668</v>
      </c>
      <c r="F2697" s="545">
        <v>44.142857142857146</v>
      </c>
      <c r="G2697" s="545">
        <v>46.1</v>
      </c>
      <c r="H2697" s="545">
        <v>30</v>
      </c>
      <c r="I2697" s="545">
        <v>22.666666666666668</v>
      </c>
      <c r="J2697" s="545">
        <v>40.452380952380956</v>
      </c>
    </row>
    <row r="2698" spans="1:10">
      <c r="A2698" s="441">
        <v>2367</v>
      </c>
      <c r="B2698" s="441" t="s">
        <v>3115</v>
      </c>
      <c r="C2698" s="545">
        <v>74</v>
      </c>
      <c r="D2698" s="545">
        <v>64.666666666666671</v>
      </c>
      <c r="E2698" s="545">
        <v>30.333333333333336</v>
      </c>
      <c r="F2698" s="545">
        <v>66.428571428571431</v>
      </c>
      <c r="G2698" s="545">
        <v>59.05</v>
      </c>
      <c r="H2698" s="545">
        <v>37.666666666666664</v>
      </c>
      <c r="I2698" s="545">
        <v>27.666666666666668</v>
      </c>
      <c r="J2698" s="545">
        <v>51.511904761904766</v>
      </c>
    </row>
    <row r="2699" spans="1:10">
      <c r="A2699" s="441">
        <v>10244</v>
      </c>
      <c r="B2699" s="441" t="s">
        <v>3116</v>
      </c>
      <c r="C2699" s="545">
        <v>5</v>
      </c>
      <c r="D2699" s="545">
        <v>0.33333333333333331</v>
      </c>
      <c r="E2699" s="545">
        <v>1.6666666666666665</v>
      </c>
      <c r="F2699" s="545">
        <v>3.8571428571428572</v>
      </c>
      <c r="G2699" s="545">
        <v>3.25</v>
      </c>
      <c r="H2699" s="545">
        <v>1.3333333333333333</v>
      </c>
      <c r="I2699" s="545">
        <v>1.3333333333333333</v>
      </c>
      <c r="J2699" s="545">
        <v>2.7023809523809521</v>
      </c>
    </row>
    <row r="2700" spans="1:10">
      <c r="A2700" s="441">
        <v>10246</v>
      </c>
      <c r="B2700" s="441" t="s">
        <v>3116</v>
      </c>
      <c r="C2700" s="545">
        <v>8.5</v>
      </c>
      <c r="D2700" s="545">
        <v>3.6666666666666665</v>
      </c>
      <c r="E2700" s="545">
        <v>3.3333333333333335</v>
      </c>
      <c r="F2700" s="545">
        <v>7.0714285714285712</v>
      </c>
      <c r="G2700" s="545">
        <v>3.25</v>
      </c>
      <c r="H2700" s="545">
        <v>2</v>
      </c>
      <c r="I2700" s="545">
        <v>2.3333333333333335</v>
      </c>
      <c r="J2700" s="545">
        <v>2.9404761904761902</v>
      </c>
    </row>
    <row r="2701" spans="1:10">
      <c r="A2701" s="441">
        <v>6608</v>
      </c>
      <c r="B2701" s="441" t="s">
        <v>3117</v>
      </c>
      <c r="C2701" s="545">
        <v>28</v>
      </c>
      <c r="D2701" s="545">
        <v>24</v>
      </c>
      <c r="E2701" s="545">
        <v>17</v>
      </c>
      <c r="F2701" s="545">
        <v>25.857142857142858</v>
      </c>
      <c r="G2701" s="545">
        <v>22.1</v>
      </c>
      <c r="H2701" s="545">
        <v>14.333333333333334</v>
      </c>
      <c r="I2701" s="545">
        <v>10.666666666666666</v>
      </c>
      <c r="J2701" s="545">
        <v>19.357142857142858</v>
      </c>
    </row>
    <row r="2702" spans="1:10">
      <c r="A2702" s="441">
        <v>6841</v>
      </c>
      <c r="B2702" s="441" t="s">
        <v>3117</v>
      </c>
      <c r="C2702" s="545">
        <v>14</v>
      </c>
      <c r="D2702" s="545">
        <v>10.333333333333334</v>
      </c>
      <c r="E2702" s="545">
        <v>11.666666666666666</v>
      </c>
      <c r="F2702" s="545">
        <v>13.142857142857142</v>
      </c>
      <c r="G2702" s="545">
        <v>13.35</v>
      </c>
      <c r="H2702" s="545">
        <v>10</v>
      </c>
      <c r="I2702" s="545">
        <v>4</v>
      </c>
      <c r="J2702" s="545">
        <v>11.535714285714286</v>
      </c>
    </row>
    <row r="2703" spans="1:10">
      <c r="A2703" s="441">
        <v>10416</v>
      </c>
      <c r="B2703" s="441" t="s">
        <v>3118</v>
      </c>
      <c r="C2703" s="545">
        <v>7.8333333333333339</v>
      </c>
      <c r="D2703" s="545">
        <v>5.333333333333333</v>
      </c>
      <c r="E2703" s="545">
        <v>3.3333333333333335</v>
      </c>
      <c r="F2703" s="545">
        <v>6.8333333333333348</v>
      </c>
      <c r="G2703" s="545">
        <v>4.5</v>
      </c>
      <c r="H2703" s="545">
        <v>3.3333333333333335</v>
      </c>
      <c r="I2703" s="545">
        <v>3.6666666666666665</v>
      </c>
      <c r="J2703" s="545">
        <v>4.2142857142857144</v>
      </c>
    </row>
    <row r="2704" spans="1:10">
      <c r="A2704" s="441">
        <v>10417</v>
      </c>
      <c r="B2704" s="441" t="s">
        <v>3118</v>
      </c>
      <c r="C2704" s="545">
        <v>10.333333333333334</v>
      </c>
      <c r="D2704" s="545">
        <v>8.6666666666666679</v>
      </c>
      <c r="E2704" s="545">
        <v>7.666666666666667</v>
      </c>
      <c r="F2704" s="545">
        <v>9.7142857142857171</v>
      </c>
      <c r="G2704" s="545">
        <v>7.95</v>
      </c>
      <c r="H2704" s="545">
        <v>3.6666666666666665</v>
      </c>
      <c r="I2704" s="545">
        <v>2.6666666666666665</v>
      </c>
      <c r="J2704" s="545">
        <v>6.583333333333333</v>
      </c>
    </row>
    <row r="2705" spans="1:10">
      <c r="A2705" s="441">
        <v>2343</v>
      </c>
      <c r="B2705" s="441" t="s">
        <v>3119</v>
      </c>
      <c r="C2705" s="545">
        <v>27.333333333333332</v>
      </c>
      <c r="D2705" s="545">
        <v>27.666666666666664</v>
      </c>
      <c r="E2705" s="545">
        <v>16</v>
      </c>
      <c r="F2705" s="545">
        <v>25.761904761904759</v>
      </c>
      <c r="G2705" s="545">
        <v>23.3</v>
      </c>
      <c r="H2705" s="545">
        <v>12.666666666666666</v>
      </c>
      <c r="I2705" s="545">
        <v>11.333333333333334</v>
      </c>
      <c r="J2705" s="545">
        <v>20.071428571428573</v>
      </c>
    </row>
    <row r="2706" spans="1:10">
      <c r="A2706" s="441">
        <v>2366</v>
      </c>
      <c r="B2706" s="441" t="s">
        <v>3119</v>
      </c>
      <c r="C2706" s="545">
        <v>27</v>
      </c>
      <c r="D2706" s="545">
        <v>22.333333333333336</v>
      </c>
      <c r="E2706" s="545">
        <v>16.333333333333332</v>
      </c>
      <c r="F2706" s="545">
        <v>24.809523809523814</v>
      </c>
      <c r="G2706" s="545">
        <v>15.25</v>
      </c>
      <c r="H2706" s="545">
        <v>16.666666666666668</v>
      </c>
      <c r="I2706" s="545">
        <v>10</v>
      </c>
      <c r="J2706" s="545">
        <v>14.702380952380953</v>
      </c>
    </row>
    <row r="2707" spans="1:10">
      <c r="A2707" s="441">
        <v>11258</v>
      </c>
      <c r="B2707" s="441" t="s">
        <v>3120</v>
      </c>
      <c r="C2707" s="545">
        <v>18.666666666666668</v>
      </c>
      <c r="D2707" s="545">
        <v>10.666666666666666</v>
      </c>
      <c r="E2707" s="545">
        <v>5</v>
      </c>
      <c r="F2707" s="545">
        <v>15.571428571428573</v>
      </c>
      <c r="G2707" s="545">
        <v>11.45</v>
      </c>
      <c r="H2707" s="545">
        <v>10</v>
      </c>
      <c r="I2707" s="545">
        <v>5</v>
      </c>
      <c r="J2707" s="545">
        <v>10.321428571428571</v>
      </c>
    </row>
    <row r="2708" spans="1:10">
      <c r="A2708" s="441">
        <v>11259</v>
      </c>
      <c r="B2708" s="441" t="s">
        <v>3120</v>
      </c>
      <c r="C2708" s="545">
        <v>9.1666666666666661</v>
      </c>
      <c r="D2708" s="545">
        <v>9.3333333333333321</v>
      </c>
      <c r="E2708" s="545">
        <v>6</v>
      </c>
      <c r="F2708" s="545">
        <v>8.7380952380952372</v>
      </c>
      <c r="G2708" s="545">
        <v>6</v>
      </c>
      <c r="H2708" s="545">
        <v>3.3333333333333335</v>
      </c>
      <c r="I2708" s="545">
        <v>1</v>
      </c>
      <c r="J2708" s="545">
        <v>4.9047619047619051</v>
      </c>
    </row>
    <row r="2709" spans="1:10">
      <c r="A2709" s="441">
        <v>10216</v>
      </c>
      <c r="B2709" s="441" t="s">
        <v>3121</v>
      </c>
      <c r="C2709" s="545">
        <v>5.8333333333333339</v>
      </c>
      <c r="D2709" s="545">
        <v>3.6666666666666665</v>
      </c>
      <c r="E2709" s="545">
        <v>2</v>
      </c>
      <c r="F2709" s="545">
        <v>4.9761904761904763</v>
      </c>
      <c r="G2709" s="545">
        <v>8.4</v>
      </c>
      <c r="H2709" s="545">
        <v>6</v>
      </c>
      <c r="I2709" s="545">
        <v>1.3333333333333333</v>
      </c>
      <c r="J2709" s="545">
        <v>7.0476190476190483</v>
      </c>
    </row>
    <row r="2710" spans="1:10">
      <c r="A2710" s="441">
        <v>6623</v>
      </c>
      <c r="B2710" s="441" t="s">
        <v>3122</v>
      </c>
      <c r="C2710" s="545">
        <v>12</v>
      </c>
      <c r="D2710" s="545">
        <v>9.6666666666666661</v>
      </c>
      <c r="E2710" s="545">
        <v>3.666666666666667</v>
      </c>
      <c r="F2710" s="545">
        <v>10.476190476190478</v>
      </c>
      <c r="G2710" s="545">
        <v>7.45</v>
      </c>
      <c r="H2710" s="545">
        <v>4.666666666666667</v>
      </c>
      <c r="I2710" s="545">
        <v>2.6666666666666665</v>
      </c>
      <c r="J2710" s="545">
        <v>6.3690476190476186</v>
      </c>
    </row>
    <row r="2711" spans="1:10">
      <c r="A2711" s="441">
        <v>6824</v>
      </c>
      <c r="B2711" s="441" t="s">
        <v>3122</v>
      </c>
      <c r="C2711" s="545">
        <v>6.6666666666666661</v>
      </c>
      <c r="D2711" s="545">
        <v>6</v>
      </c>
      <c r="E2711" s="545">
        <v>3.333333333333333</v>
      </c>
      <c r="F2711" s="545">
        <v>6.0952380952380949</v>
      </c>
      <c r="G2711" s="545">
        <v>7.15</v>
      </c>
      <c r="H2711" s="545">
        <v>5.333333333333333</v>
      </c>
      <c r="I2711" s="545">
        <v>2.6666666666666665</v>
      </c>
      <c r="J2711" s="545">
        <v>6.25</v>
      </c>
    </row>
    <row r="2712" spans="1:10">
      <c r="A2712" s="441">
        <v>2365</v>
      </c>
      <c r="B2712" s="441" t="s">
        <v>3123</v>
      </c>
      <c r="C2712" s="545">
        <v>32</v>
      </c>
      <c r="D2712" s="545">
        <v>22.666666666666668</v>
      </c>
      <c r="E2712" s="545">
        <v>13.666666666666668</v>
      </c>
      <c r="F2712" s="545">
        <v>28.047619047619044</v>
      </c>
      <c r="G2712" s="545">
        <v>33.25</v>
      </c>
      <c r="H2712" s="545">
        <v>20</v>
      </c>
      <c r="I2712" s="545">
        <v>14</v>
      </c>
      <c r="J2712" s="545">
        <v>28.607142857142858</v>
      </c>
    </row>
    <row r="2713" spans="1:10">
      <c r="A2713" s="441">
        <v>6625</v>
      </c>
      <c r="B2713" s="441" t="s">
        <v>3124</v>
      </c>
      <c r="C2713" s="545">
        <v>4</v>
      </c>
      <c r="D2713" s="545">
        <v>2.3333333333333335</v>
      </c>
      <c r="E2713" s="545">
        <v>11.333333333333332</v>
      </c>
      <c r="F2713" s="545">
        <v>4.8095238095238093</v>
      </c>
      <c r="G2713" s="545">
        <v>3.55</v>
      </c>
      <c r="H2713" s="545">
        <v>1.6666666666666667</v>
      </c>
      <c r="I2713" s="545">
        <v>2</v>
      </c>
      <c r="J2713" s="545">
        <v>3.0595238095238098</v>
      </c>
    </row>
    <row r="2714" spans="1:10">
      <c r="A2714" s="441">
        <v>6829</v>
      </c>
      <c r="B2714" s="441" t="s">
        <v>3125</v>
      </c>
      <c r="C2714" s="545">
        <v>76.166666666666671</v>
      </c>
      <c r="D2714" s="545">
        <v>64.333333333333329</v>
      </c>
      <c r="E2714" s="545">
        <v>44</v>
      </c>
      <c r="F2714" s="545">
        <v>69.88095238095238</v>
      </c>
      <c r="G2714" s="545">
        <v>48.65</v>
      </c>
      <c r="H2714" s="545">
        <v>38.333333333333336</v>
      </c>
      <c r="I2714" s="545">
        <v>20.333333333333332</v>
      </c>
      <c r="J2714" s="545">
        <v>43.130952380952372</v>
      </c>
    </row>
    <row r="2715" spans="1:10">
      <c r="A2715" s="441">
        <v>6607</v>
      </c>
      <c r="B2715" s="441" t="s">
        <v>3126</v>
      </c>
      <c r="C2715" s="545">
        <v>17.333333333333336</v>
      </c>
      <c r="D2715" s="545">
        <v>9.3333333333333339</v>
      </c>
      <c r="E2715" s="545">
        <v>7</v>
      </c>
      <c r="F2715" s="545">
        <v>14.714285714285717</v>
      </c>
      <c r="G2715" s="545">
        <v>13.45</v>
      </c>
      <c r="H2715" s="545">
        <v>8.3333333333333339</v>
      </c>
      <c r="I2715" s="545">
        <v>8.6666666666666661</v>
      </c>
      <c r="J2715" s="545">
        <v>12.035714285714286</v>
      </c>
    </row>
    <row r="2716" spans="1:10">
      <c r="A2716" s="441">
        <v>6842</v>
      </c>
      <c r="B2716" s="441" t="s">
        <v>3126</v>
      </c>
      <c r="C2716" s="545">
        <v>15.5</v>
      </c>
      <c r="D2716" s="545">
        <v>10.666666666666668</v>
      </c>
      <c r="E2716" s="545">
        <v>9.6666666666666661</v>
      </c>
      <c r="F2716" s="545">
        <v>13.976190476190478</v>
      </c>
      <c r="G2716" s="545">
        <v>15.05</v>
      </c>
      <c r="H2716" s="545">
        <v>10</v>
      </c>
      <c r="I2716" s="545">
        <v>6</v>
      </c>
      <c r="J2716" s="545">
        <v>13.035714285714286</v>
      </c>
    </row>
    <row r="2717" spans="1:10">
      <c r="A2717" s="441">
        <v>6612</v>
      </c>
      <c r="B2717" s="441" t="s">
        <v>3127</v>
      </c>
      <c r="C2717" s="545">
        <v>27.666666666666668</v>
      </c>
      <c r="D2717" s="545">
        <v>16</v>
      </c>
      <c r="E2717" s="545">
        <v>11</v>
      </c>
      <c r="F2717" s="545">
        <v>23.61904761904762</v>
      </c>
      <c r="G2717" s="545">
        <v>17.05</v>
      </c>
      <c r="H2717" s="545">
        <v>13.666666666666666</v>
      </c>
      <c r="I2717" s="545">
        <v>6.666666666666667</v>
      </c>
      <c r="J2717" s="545">
        <v>15.083333333333334</v>
      </c>
    </row>
    <row r="2718" spans="1:10">
      <c r="A2718" s="441">
        <v>6613</v>
      </c>
      <c r="B2718" s="441" t="s">
        <v>3127</v>
      </c>
      <c r="C2718" s="545">
        <v>112</v>
      </c>
      <c r="D2718" s="545">
        <v>102</v>
      </c>
      <c r="E2718" s="545">
        <v>91.666666666666671</v>
      </c>
      <c r="F2718" s="545">
        <v>107.66666666666666</v>
      </c>
      <c r="G2718" s="545">
        <v>70.75</v>
      </c>
      <c r="H2718" s="545">
        <v>51.333333333333336</v>
      </c>
      <c r="I2718" s="545">
        <v>26.666666666666668</v>
      </c>
      <c r="J2718" s="545">
        <v>61.678571428571431</v>
      </c>
    </row>
    <row r="2719" spans="1:10">
      <c r="A2719" s="441">
        <v>6836</v>
      </c>
      <c r="B2719" s="441" t="s">
        <v>3127</v>
      </c>
      <c r="C2719" s="545">
        <v>23.166666666666664</v>
      </c>
      <c r="D2719" s="545">
        <v>13.333333333333334</v>
      </c>
      <c r="E2719" s="545">
        <v>12.333333333333332</v>
      </c>
      <c r="F2719" s="545">
        <v>20.214285714285715</v>
      </c>
      <c r="G2719" s="545">
        <v>14.6</v>
      </c>
      <c r="H2719" s="545">
        <v>10.333333333333334</v>
      </c>
      <c r="I2719" s="545">
        <v>6.333333333333333</v>
      </c>
      <c r="J2719" s="545">
        <v>12.809523809523808</v>
      </c>
    </row>
    <row r="2720" spans="1:10">
      <c r="A2720" s="441">
        <v>6611</v>
      </c>
      <c r="B2720" s="441" t="s">
        <v>3128</v>
      </c>
      <c r="C2720" s="545">
        <v>10</v>
      </c>
      <c r="D2720" s="545">
        <v>4.3333333333333339</v>
      </c>
      <c r="E2720" s="545">
        <v>2</v>
      </c>
      <c r="F2720" s="545">
        <v>8.0476190476190474</v>
      </c>
      <c r="G2720" s="545">
        <v>8.85</v>
      </c>
      <c r="H2720" s="545">
        <v>7.666666666666667</v>
      </c>
      <c r="I2720" s="545">
        <v>1.3333333333333333</v>
      </c>
      <c r="J2720" s="545">
        <v>7.6071428571428568</v>
      </c>
    </row>
    <row r="2721" spans="1:10">
      <c r="A2721" s="441">
        <v>6837</v>
      </c>
      <c r="B2721" s="441" t="s">
        <v>3128</v>
      </c>
      <c r="C2721" s="545">
        <v>4.6666666666666661</v>
      </c>
      <c r="D2721" s="545">
        <v>8</v>
      </c>
      <c r="E2721" s="545">
        <v>3</v>
      </c>
      <c r="F2721" s="545">
        <v>4.9047619047619042</v>
      </c>
      <c r="G2721" s="545">
        <v>4.0999999999999996</v>
      </c>
      <c r="H2721" s="545">
        <v>4.333333333333333</v>
      </c>
      <c r="I2721" s="545">
        <v>3.3333333333333335</v>
      </c>
      <c r="J2721" s="545">
        <v>4.0238095238095237</v>
      </c>
    </row>
    <row r="2722" spans="1:10">
      <c r="A2722" s="441">
        <v>6616</v>
      </c>
      <c r="B2722" s="441" t="s">
        <v>3129</v>
      </c>
      <c r="C2722" s="545">
        <v>40.666666666666671</v>
      </c>
      <c r="D2722" s="545">
        <v>26.666666666666664</v>
      </c>
      <c r="E2722" s="545">
        <v>19</v>
      </c>
      <c r="F2722" s="545">
        <v>35.571428571428577</v>
      </c>
      <c r="G2722" s="545">
        <v>25.85</v>
      </c>
      <c r="H2722" s="545">
        <v>16</v>
      </c>
      <c r="I2722" s="545">
        <v>7.333333333333333</v>
      </c>
      <c r="J2722" s="545">
        <v>21.797619047619047</v>
      </c>
    </row>
    <row r="2723" spans="1:10">
      <c r="A2723" s="441">
        <v>6831</v>
      </c>
      <c r="B2723" s="441" t="s">
        <v>3129</v>
      </c>
      <c r="C2723" s="545">
        <v>52</v>
      </c>
      <c r="D2723" s="545">
        <v>25.333333333333332</v>
      </c>
      <c r="E2723" s="545">
        <v>26</v>
      </c>
      <c r="F2723" s="545">
        <v>44.476190476190474</v>
      </c>
      <c r="G2723" s="545">
        <v>35.549999999999997</v>
      </c>
      <c r="H2723" s="545">
        <v>24.333333333333332</v>
      </c>
      <c r="I2723" s="545">
        <v>17.333333333333332</v>
      </c>
      <c r="J2723" s="545">
        <v>31.345238095238098</v>
      </c>
    </row>
    <row r="2724" spans="1:10">
      <c r="A2724" s="441">
        <v>6618</v>
      </c>
      <c r="B2724" s="441" t="s">
        <v>3130</v>
      </c>
      <c r="C2724" s="545">
        <v>86.833333333333329</v>
      </c>
      <c r="D2724" s="545">
        <v>56.666666666666671</v>
      </c>
      <c r="E2724" s="545">
        <v>41.666666666666671</v>
      </c>
      <c r="F2724" s="545">
        <v>76.071428571428569</v>
      </c>
      <c r="G2724" s="545">
        <v>58.6</v>
      </c>
      <c r="H2724" s="545">
        <v>43.666666666666664</v>
      </c>
      <c r="I2724" s="545">
        <v>29</v>
      </c>
      <c r="J2724" s="545">
        <v>52.238095238095241</v>
      </c>
    </row>
    <row r="2725" spans="1:10">
      <c r="A2725" s="441">
        <v>6834</v>
      </c>
      <c r="B2725" s="441" t="s">
        <v>3131</v>
      </c>
      <c r="C2725" s="545">
        <v>26.833333333333336</v>
      </c>
      <c r="D2725" s="545">
        <v>17</v>
      </c>
      <c r="E2725" s="545">
        <v>16.666666666666668</v>
      </c>
      <c r="F2725" s="545">
        <v>23.976190476190478</v>
      </c>
      <c r="G2725" s="545">
        <v>19.2</v>
      </c>
      <c r="H2725" s="545">
        <v>15</v>
      </c>
      <c r="I2725" s="545">
        <v>9.3333333333333339</v>
      </c>
      <c r="J2725" s="545">
        <v>17.19047619047619</v>
      </c>
    </row>
    <row r="2726" spans="1:10">
      <c r="A2726" s="441">
        <v>10219</v>
      </c>
      <c r="B2726" s="441" t="s">
        <v>3131</v>
      </c>
      <c r="C2726" s="545">
        <v>17</v>
      </c>
      <c r="D2726" s="545">
        <v>13</v>
      </c>
      <c r="E2726" s="545">
        <v>8</v>
      </c>
      <c r="F2726" s="545">
        <v>15.142857142857142</v>
      </c>
      <c r="G2726" s="545">
        <v>10.1</v>
      </c>
      <c r="H2726" s="545">
        <v>7.333333333333333</v>
      </c>
      <c r="I2726" s="545">
        <v>5</v>
      </c>
      <c r="J2726" s="545">
        <v>8.9761904761904763</v>
      </c>
    </row>
    <row r="2727" spans="1:10">
      <c r="A2727" s="441">
        <v>6835</v>
      </c>
      <c r="B2727" s="441" t="s">
        <v>3132</v>
      </c>
      <c r="C2727" s="545">
        <v>115.83333333333334</v>
      </c>
      <c r="D2727" s="545">
        <v>103.66666666666666</v>
      </c>
      <c r="E2727" s="545">
        <v>70.666666666666671</v>
      </c>
      <c r="F2727" s="545">
        <v>107.64285714285714</v>
      </c>
      <c r="G2727" s="545">
        <v>68</v>
      </c>
      <c r="H2727" s="545">
        <v>50</v>
      </c>
      <c r="I2727" s="545">
        <v>33.333333333333336</v>
      </c>
      <c r="J2727" s="545">
        <v>60.476190476190474</v>
      </c>
    </row>
    <row r="2728" spans="1:10">
      <c r="A2728" s="441">
        <v>2348</v>
      </c>
      <c r="B2728" s="441" t="s">
        <v>3133</v>
      </c>
      <c r="C2728" s="545">
        <v>97.333333333333329</v>
      </c>
      <c r="D2728" s="545">
        <v>57.333333333333336</v>
      </c>
      <c r="E2728" s="545">
        <v>38</v>
      </c>
      <c r="F2728" s="545">
        <v>83.142857142857139</v>
      </c>
      <c r="G2728" s="545">
        <v>49.65</v>
      </c>
      <c r="H2728" s="545">
        <v>22</v>
      </c>
      <c r="I2728" s="545">
        <v>18.333333333333332</v>
      </c>
      <c r="J2728" s="545">
        <v>41.226190476190474</v>
      </c>
    </row>
    <row r="2729" spans="1:10">
      <c r="A2729" s="441">
        <v>2357</v>
      </c>
      <c r="B2729" s="441" t="s">
        <v>3133</v>
      </c>
      <c r="C2729" s="545">
        <v>81.166666666666657</v>
      </c>
      <c r="D2729" s="545">
        <v>33.666666666666671</v>
      </c>
      <c r="E2729" s="545">
        <v>29.333333333333332</v>
      </c>
      <c r="F2729" s="545">
        <v>66.976190476190467</v>
      </c>
      <c r="G2729" s="545">
        <v>39.950000000000003</v>
      </c>
      <c r="H2729" s="545">
        <v>17</v>
      </c>
      <c r="I2729" s="545">
        <v>15.666666666666666</v>
      </c>
      <c r="J2729" s="545">
        <v>33.202380952380949</v>
      </c>
    </row>
    <row r="2730" spans="1:10">
      <c r="A2730" s="441">
        <v>6628</v>
      </c>
      <c r="B2730" s="441" t="s">
        <v>3134</v>
      </c>
      <c r="C2730" s="545">
        <v>23.166666666666668</v>
      </c>
      <c r="D2730" s="545">
        <v>15.666666666666666</v>
      </c>
      <c r="E2730" s="545">
        <v>13.333333333333334</v>
      </c>
      <c r="F2730" s="545">
        <v>20.690476190476193</v>
      </c>
      <c r="G2730" s="545">
        <v>11.4</v>
      </c>
      <c r="H2730" s="545">
        <v>9</v>
      </c>
      <c r="I2730" s="545">
        <v>3.6666666666666665</v>
      </c>
      <c r="J2730" s="545">
        <v>9.9523809523809526</v>
      </c>
    </row>
    <row r="2731" spans="1:10">
      <c r="A2731" s="441">
        <v>6819</v>
      </c>
      <c r="B2731" s="441" t="s">
        <v>3134</v>
      </c>
      <c r="C2731" s="545">
        <v>40</v>
      </c>
      <c r="D2731" s="545">
        <v>31</v>
      </c>
      <c r="E2731" s="545">
        <v>22</v>
      </c>
      <c r="F2731" s="545">
        <v>36.142857142857146</v>
      </c>
      <c r="G2731" s="545">
        <v>22.3</v>
      </c>
      <c r="H2731" s="545">
        <v>10.666666666666666</v>
      </c>
      <c r="I2731" s="545">
        <v>9.6666666666666661</v>
      </c>
      <c r="J2731" s="545">
        <v>18.833333333333336</v>
      </c>
    </row>
    <row r="2732" spans="1:10">
      <c r="A2732" s="441">
        <v>11623</v>
      </c>
      <c r="B2732" s="441" t="s">
        <v>3135</v>
      </c>
      <c r="C2732" s="545">
        <v>21.166666666666668</v>
      </c>
      <c r="D2732" s="545">
        <v>17.333333333333336</v>
      </c>
      <c r="E2732" s="545">
        <v>12</v>
      </c>
      <c r="F2732" s="545">
        <v>19.309523809523814</v>
      </c>
      <c r="G2732" s="545">
        <v>10.199999999999999</v>
      </c>
      <c r="H2732" s="545">
        <v>4.666666666666667</v>
      </c>
      <c r="I2732" s="545">
        <v>4.666666666666667</v>
      </c>
      <c r="J2732" s="545">
        <v>8.6190476190476186</v>
      </c>
    </row>
    <row r="2733" spans="1:10">
      <c r="A2733" s="441">
        <v>11624</v>
      </c>
      <c r="B2733" s="441" t="s">
        <v>3135</v>
      </c>
      <c r="C2733" s="545">
        <v>29.5</v>
      </c>
      <c r="D2733" s="545">
        <v>14.333333333333332</v>
      </c>
      <c r="E2733" s="545">
        <v>16</v>
      </c>
      <c r="F2733" s="545">
        <v>25.404761904761905</v>
      </c>
      <c r="G2733" s="545">
        <v>17.3</v>
      </c>
      <c r="H2733" s="545">
        <v>9.3333333333333339</v>
      </c>
      <c r="I2733" s="545">
        <v>8</v>
      </c>
      <c r="J2733" s="545">
        <v>14.833333333333332</v>
      </c>
    </row>
    <row r="2734" spans="1:10">
      <c r="A2734" s="441">
        <v>11684</v>
      </c>
      <c r="B2734" s="441" t="s">
        <v>3136</v>
      </c>
      <c r="C2734" s="545">
        <v>15.333333333333334</v>
      </c>
      <c r="D2734" s="545">
        <v>16</v>
      </c>
      <c r="E2734" s="545">
        <v>10</v>
      </c>
      <c r="F2734" s="545">
        <v>14.666666666666668</v>
      </c>
      <c r="G2734" s="545">
        <v>12.65</v>
      </c>
      <c r="H2734" s="545">
        <v>8.6666666666666661</v>
      </c>
      <c r="I2734" s="545">
        <v>11.666666666666666</v>
      </c>
      <c r="J2734" s="545">
        <v>11.940476190476192</v>
      </c>
    </row>
    <row r="2735" spans="1:10">
      <c r="A2735" s="441">
        <v>12027</v>
      </c>
      <c r="B2735" s="441" t="s">
        <v>3137</v>
      </c>
      <c r="C2735" s="545">
        <v>1</v>
      </c>
      <c r="D2735" s="545">
        <v>0</v>
      </c>
      <c r="E2735" s="545">
        <v>0</v>
      </c>
      <c r="F2735" s="545">
        <v>0.7142857142857143</v>
      </c>
      <c r="G2735" s="545">
        <v>0.1</v>
      </c>
      <c r="H2735" s="545">
        <v>0.33333333333333331</v>
      </c>
      <c r="I2735" s="545">
        <v>1</v>
      </c>
      <c r="J2735" s="545">
        <v>0.26190476190476192</v>
      </c>
    </row>
    <row r="2736" spans="1:10">
      <c r="A2736" s="441">
        <v>11585</v>
      </c>
      <c r="B2736" s="441" t="s">
        <v>3138</v>
      </c>
      <c r="C2736" s="545">
        <v>2.5</v>
      </c>
      <c r="D2736" s="545">
        <v>2.666666666666667</v>
      </c>
      <c r="E2736" s="545">
        <v>1.3333333333333333</v>
      </c>
      <c r="F2736" s="545">
        <v>2.3571428571428572</v>
      </c>
      <c r="G2736" s="545">
        <v>9.6999999999999993</v>
      </c>
      <c r="H2736" s="545">
        <v>3.6666666666666665</v>
      </c>
      <c r="I2736" s="545">
        <v>4.333333333333333</v>
      </c>
      <c r="J2736" s="545">
        <v>8.0714285714285712</v>
      </c>
    </row>
    <row r="2737" spans="1:10">
      <c r="A2737" s="441">
        <v>11601</v>
      </c>
      <c r="B2737" s="441" t="s">
        <v>3138</v>
      </c>
      <c r="C2737" s="545">
        <v>4.333333333333333</v>
      </c>
      <c r="D2737" s="545">
        <v>3</v>
      </c>
      <c r="E2737" s="545">
        <v>1</v>
      </c>
      <c r="F2737" s="545">
        <v>3.6666666666666665</v>
      </c>
      <c r="G2737" s="545">
        <v>7</v>
      </c>
      <c r="H2737" s="545">
        <v>4.333333333333333</v>
      </c>
      <c r="I2737" s="545">
        <v>5.333333333333333</v>
      </c>
      <c r="J2737" s="545">
        <v>6.3809523809523814</v>
      </c>
    </row>
    <row r="2738" spans="1:10">
      <c r="A2738" s="441">
        <v>10175</v>
      </c>
      <c r="B2738" s="441" t="s">
        <v>3139</v>
      </c>
      <c r="C2738" s="545">
        <v>6.8333333333333339</v>
      </c>
      <c r="D2738" s="545">
        <v>7.666666666666667</v>
      </c>
      <c r="E2738" s="545">
        <v>2</v>
      </c>
      <c r="F2738" s="545">
        <v>6.2619047619047619</v>
      </c>
      <c r="G2738" s="545">
        <v>4.0999999999999996</v>
      </c>
      <c r="H2738" s="545">
        <v>2</v>
      </c>
      <c r="I2738" s="545">
        <v>2.3333333333333335</v>
      </c>
      <c r="J2738" s="545">
        <v>3.5476190476190474</v>
      </c>
    </row>
    <row r="2739" spans="1:10">
      <c r="A2739" s="441">
        <v>6932</v>
      </c>
      <c r="B2739" s="441" t="s">
        <v>3140</v>
      </c>
      <c r="C2739" s="545">
        <v>5</v>
      </c>
      <c r="D2739" s="545">
        <v>3.333333333333333</v>
      </c>
      <c r="E2739" s="545">
        <v>3.6666666666666665</v>
      </c>
      <c r="F2739" s="545">
        <v>4.5714285714285712</v>
      </c>
      <c r="G2739" s="545">
        <v>3.9</v>
      </c>
      <c r="H2739" s="545">
        <v>0.33333333333333331</v>
      </c>
      <c r="I2739" s="545">
        <v>1.3333333333333333</v>
      </c>
      <c r="J2739" s="545">
        <v>3.0238095238095233</v>
      </c>
    </row>
    <row r="2740" spans="1:10">
      <c r="A2740" s="441">
        <v>6931</v>
      </c>
      <c r="B2740" s="441" t="s">
        <v>3141</v>
      </c>
      <c r="C2740" s="545">
        <v>5.5</v>
      </c>
      <c r="D2740" s="545">
        <v>1.6666666666666665</v>
      </c>
      <c r="E2740" s="545">
        <v>2</v>
      </c>
      <c r="F2740" s="545">
        <v>4.4523809523809526</v>
      </c>
      <c r="G2740" s="545">
        <v>16.100000000000001</v>
      </c>
      <c r="H2740" s="545">
        <v>4.333333333333333</v>
      </c>
      <c r="I2740" s="545">
        <v>6.333333333333333</v>
      </c>
      <c r="J2740" s="545">
        <v>13.023809523809522</v>
      </c>
    </row>
    <row r="2741" spans="1:10">
      <c r="A2741" s="441">
        <v>6930</v>
      </c>
      <c r="B2741" s="441" t="s">
        <v>3142</v>
      </c>
      <c r="C2741" s="545">
        <v>558.83333333333337</v>
      </c>
      <c r="D2741" s="545">
        <v>410.33333333333337</v>
      </c>
      <c r="E2741" s="545">
        <v>374.33333333333337</v>
      </c>
      <c r="F2741" s="545">
        <v>511.26190476190487</v>
      </c>
      <c r="G2741" s="545">
        <v>365.2</v>
      </c>
      <c r="H2741" s="545">
        <v>300.33333333333331</v>
      </c>
      <c r="I2741" s="545">
        <v>274</v>
      </c>
      <c r="J2741" s="545">
        <v>342.90476190476193</v>
      </c>
    </row>
    <row r="2742" spans="1:10">
      <c r="A2742" s="441">
        <v>6933</v>
      </c>
      <c r="B2742" s="441" t="s">
        <v>3143</v>
      </c>
      <c r="C2742" s="545">
        <v>105.5</v>
      </c>
      <c r="D2742" s="545">
        <v>72.666666666666671</v>
      </c>
      <c r="E2742" s="545">
        <v>47.666666666666671</v>
      </c>
      <c r="F2742" s="545">
        <v>92.547619047619037</v>
      </c>
      <c r="G2742" s="545">
        <v>80.7</v>
      </c>
      <c r="H2742" s="545">
        <v>56.666666666666664</v>
      </c>
      <c r="I2742" s="545">
        <v>49.666666666666664</v>
      </c>
      <c r="J2742" s="545">
        <v>72.833333333333343</v>
      </c>
    </row>
    <row r="2743" spans="1:10">
      <c r="A2743" s="441">
        <v>6374</v>
      </c>
      <c r="B2743" s="441" t="s">
        <v>3144</v>
      </c>
      <c r="C2743" s="545">
        <v>76.5</v>
      </c>
      <c r="D2743" s="545">
        <v>57.666666666666664</v>
      </c>
      <c r="E2743" s="545">
        <v>31.666666666666668</v>
      </c>
      <c r="F2743" s="545">
        <v>67.404761904761912</v>
      </c>
      <c r="G2743" s="545">
        <v>35.299999999999997</v>
      </c>
      <c r="H2743" s="545">
        <v>15.666666666666666</v>
      </c>
      <c r="I2743" s="545">
        <v>38.333333333333336</v>
      </c>
      <c r="J2743" s="545">
        <v>32.928571428571431</v>
      </c>
    </row>
    <row r="2744" spans="1:10">
      <c r="A2744" s="441">
        <v>5120</v>
      </c>
      <c r="B2744" s="441" t="s">
        <v>3145</v>
      </c>
      <c r="C2744" s="545">
        <v>20.833333333333332</v>
      </c>
      <c r="D2744" s="545">
        <v>13.333333333333334</v>
      </c>
      <c r="E2744" s="545">
        <v>8</v>
      </c>
      <c r="F2744" s="545">
        <v>17.928571428571427</v>
      </c>
      <c r="G2744" s="545">
        <v>16.850000000000001</v>
      </c>
      <c r="H2744" s="545">
        <v>8.6666666666666661</v>
      </c>
      <c r="I2744" s="545">
        <v>6</v>
      </c>
      <c r="J2744" s="545">
        <v>14.130952380952381</v>
      </c>
    </row>
    <row r="2745" spans="1:10">
      <c r="A2745" s="441">
        <v>5126</v>
      </c>
      <c r="B2745" s="441" t="s">
        <v>3145</v>
      </c>
      <c r="C2745" s="545">
        <v>30.5</v>
      </c>
      <c r="D2745" s="545">
        <v>17.333333333333336</v>
      </c>
      <c r="E2745" s="545">
        <v>14</v>
      </c>
      <c r="F2745" s="545">
        <v>26.261904761904763</v>
      </c>
      <c r="G2745" s="545">
        <v>15.8</v>
      </c>
      <c r="H2745" s="545">
        <v>10</v>
      </c>
      <c r="I2745" s="545">
        <v>10.333333333333334</v>
      </c>
      <c r="J2745" s="545">
        <v>14.19047619047619</v>
      </c>
    </row>
    <row r="2746" spans="1:10">
      <c r="A2746" s="441">
        <v>6382</v>
      </c>
      <c r="B2746" s="441" t="s">
        <v>3146</v>
      </c>
      <c r="C2746" s="545">
        <v>101</v>
      </c>
      <c r="D2746" s="545">
        <v>79</v>
      </c>
      <c r="E2746" s="545">
        <v>54.333333333333336</v>
      </c>
      <c r="F2746" s="545">
        <v>91.19047619047619</v>
      </c>
      <c r="G2746" s="545">
        <v>63.3</v>
      </c>
      <c r="H2746" s="545">
        <v>46</v>
      </c>
      <c r="I2746" s="545">
        <v>53.666666666666664</v>
      </c>
      <c r="J2746" s="545">
        <v>59.452380952380956</v>
      </c>
    </row>
    <row r="2747" spans="1:10">
      <c r="A2747" s="441">
        <v>6394</v>
      </c>
      <c r="B2747" s="441" t="s">
        <v>3146</v>
      </c>
      <c r="C2747" s="545">
        <v>94.666666666666671</v>
      </c>
      <c r="D2747" s="545">
        <v>77.333333333333329</v>
      </c>
      <c r="E2747" s="545">
        <v>51.333333333333329</v>
      </c>
      <c r="F2747" s="545">
        <v>86.000000000000014</v>
      </c>
      <c r="G2747" s="545">
        <v>50</v>
      </c>
      <c r="H2747" s="545">
        <v>41.666666666666664</v>
      </c>
      <c r="I2747" s="545">
        <v>41.666666666666664</v>
      </c>
      <c r="J2747" s="545">
        <v>47.619047619047628</v>
      </c>
    </row>
    <row r="2748" spans="1:10">
      <c r="A2748" s="441">
        <v>6383</v>
      </c>
      <c r="B2748" s="441" t="s">
        <v>3147</v>
      </c>
      <c r="C2748" s="545">
        <v>53</v>
      </c>
      <c r="D2748" s="545">
        <v>42.666666666666671</v>
      </c>
      <c r="E2748" s="545">
        <v>25.333333333333336</v>
      </c>
      <c r="F2748" s="545">
        <v>47.571428571428569</v>
      </c>
      <c r="G2748" s="545">
        <v>34</v>
      </c>
      <c r="H2748" s="545">
        <v>22</v>
      </c>
      <c r="I2748" s="545">
        <v>18.666666666666668</v>
      </c>
      <c r="J2748" s="545">
        <v>30.095238095238095</v>
      </c>
    </row>
    <row r="2749" spans="1:10">
      <c r="A2749" s="441">
        <v>5117</v>
      </c>
      <c r="B2749" s="441" t="s">
        <v>3148</v>
      </c>
      <c r="C2749" s="545">
        <v>209.33333333333331</v>
      </c>
      <c r="D2749" s="545">
        <v>167</v>
      </c>
      <c r="E2749" s="545">
        <v>102.33333333333333</v>
      </c>
      <c r="F2749" s="545">
        <v>187.99999999999997</v>
      </c>
      <c r="G2749" s="545">
        <v>158.65</v>
      </c>
      <c r="H2749" s="545">
        <v>100.66666666666667</v>
      </c>
      <c r="I2749" s="545">
        <v>88</v>
      </c>
      <c r="J2749" s="545">
        <v>140.27380952380952</v>
      </c>
    </row>
    <row r="2750" spans="1:10">
      <c r="A2750" s="441">
        <v>5130</v>
      </c>
      <c r="B2750" s="441" t="s">
        <v>3148</v>
      </c>
      <c r="C2750" s="545">
        <v>262.83333333333337</v>
      </c>
      <c r="D2750" s="545">
        <v>181.33333333333334</v>
      </c>
      <c r="E2750" s="545">
        <v>118.66666666666666</v>
      </c>
      <c r="F2750" s="545">
        <v>230.59523809523813</v>
      </c>
      <c r="G2750" s="545">
        <v>158.35</v>
      </c>
      <c r="H2750" s="545">
        <v>99.333333333333329</v>
      </c>
      <c r="I2750" s="545">
        <v>100.66666666666667</v>
      </c>
      <c r="J2750" s="545">
        <v>141.67857142857142</v>
      </c>
    </row>
    <row r="2751" spans="1:10">
      <c r="A2751" s="441">
        <v>8510</v>
      </c>
      <c r="B2751" s="441" t="s">
        <v>3149</v>
      </c>
      <c r="C2751" s="545">
        <v>145.83333333333334</v>
      </c>
      <c r="D2751" s="545">
        <v>99.333333333333343</v>
      </c>
      <c r="E2751" s="545">
        <v>80.333333333333343</v>
      </c>
      <c r="F2751" s="545">
        <v>129.83333333333334</v>
      </c>
      <c r="G2751" s="545">
        <v>101.05</v>
      </c>
      <c r="H2751" s="545">
        <v>67.666666666666671</v>
      </c>
      <c r="I2751" s="545">
        <v>71</v>
      </c>
      <c r="J2751" s="545">
        <v>91.988095238095227</v>
      </c>
    </row>
    <row r="2752" spans="1:10">
      <c r="A2752" s="441">
        <v>8511</v>
      </c>
      <c r="B2752" s="441" t="s">
        <v>3149</v>
      </c>
      <c r="C2752" s="545">
        <v>174.16666666666666</v>
      </c>
      <c r="D2752" s="545">
        <v>119.33333333333333</v>
      </c>
      <c r="E2752" s="545">
        <v>90.666666666666671</v>
      </c>
      <c r="F2752" s="545">
        <v>154.4047619047619</v>
      </c>
      <c r="G2752" s="545">
        <v>96.15</v>
      </c>
      <c r="H2752" s="545">
        <v>54.666666666666664</v>
      </c>
      <c r="I2752" s="545">
        <v>64.333333333333329</v>
      </c>
      <c r="J2752" s="545">
        <v>85.678571428571431</v>
      </c>
    </row>
    <row r="2753" spans="1:10">
      <c r="A2753" s="441">
        <v>8516</v>
      </c>
      <c r="B2753" s="441" t="s">
        <v>3149</v>
      </c>
      <c r="C2753" s="545">
        <v>131.66666666666666</v>
      </c>
      <c r="D2753" s="545">
        <v>86</v>
      </c>
      <c r="E2753" s="545">
        <v>52.666666666666671</v>
      </c>
      <c r="F2753" s="545">
        <v>113.85714285714285</v>
      </c>
      <c r="G2753" s="545">
        <v>50.9</v>
      </c>
      <c r="H2753" s="545">
        <v>46.666666666666664</v>
      </c>
      <c r="I2753" s="545">
        <v>38</v>
      </c>
      <c r="J2753" s="545">
        <v>48.452380952380956</v>
      </c>
    </row>
    <row r="2754" spans="1:10">
      <c r="A2754" s="441">
        <v>8517</v>
      </c>
      <c r="B2754" s="441" t="s">
        <v>3149</v>
      </c>
      <c r="C2754" s="545">
        <v>287.66666666666669</v>
      </c>
      <c r="D2754" s="545">
        <v>184.66666666666666</v>
      </c>
      <c r="E2754" s="545">
        <v>152.33333333333334</v>
      </c>
      <c r="F2754" s="545">
        <v>253.61904761904765</v>
      </c>
      <c r="G2754" s="545">
        <v>186.75</v>
      </c>
      <c r="H2754" s="545">
        <v>133.33333333333334</v>
      </c>
      <c r="I2754" s="545">
        <v>124</v>
      </c>
      <c r="J2754" s="545">
        <v>170.1547619047619</v>
      </c>
    </row>
    <row r="2755" spans="1:10">
      <c r="A2755" s="441">
        <v>7688</v>
      </c>
      <c r="B2755" s="441" t="s">
        <v>3150</v>
      </c>
      <c r="C2755" s="545">
        <v>125.5</v>
      </c>
      <c r="D2755" s="545">
        <v>64.666666666666657</v>
      </c>
      <c r="E2755" s="545">
        <v>49</v>
      </c>
      <c r="F2755" s="545">
        <v>105.88095238095238</v>
      </c>
      <c r="G2755" s="545">
        <v>92.65</v>
      </c>
      <c r="H2755" s="545">
        <v>57.333333333333336</v>
      </c>
      <c r="I2755" s="545">
        <v>52.333333333333336</v>
      </c>
      <c r="J2755" s="545">
        <v>81.845238095238102</v>
      </c>
    </row>
    <row r="2756" spans="1:10">
      <c r="A2756" s="441">
        <v>12933</v>
      </c>
      <c r="B2756" s="441" t="s">
        <v>3150</v>
      </c>
      <c r="C2756" s="545">
        <v>87.833333333333329</v>
      </c>
      <c r="D2756" s="545">
        <v>45.333333333333336</v>
      </c>
      <c r="E2756" s="545">
        <v>37</v>
      </c>
      <c r="F2756" s="545">
        <v>74.5</v>
      </c>
      <c r="G2756" s="545">
        <v>59.45</v>
      </c>
      <c r="H2756" s="545">
        <v>33</v>
      </c>
      <c r="I2756" s="545">
        <v>29.666666666666668</v>
      </c>
      <c r="J2756" s="545">
        <v>51.416666666666671</v>
      </c>
    </row>
    <row r="2757" spans="1:10">
      <c r="A2757" s="441">
        <v>6398</v>
      </c>
      <c r="B2757" s="441" t="s">
        <v>3151</v>
      </c>
      <c r="C2757" s="545">
        <v>116.5</v>
      </c>
      <c r="D2757" s="545">
        <v>78.333333333333329</v>
      </c>
      <c r="E2757" s="545">
        <v>75</v>
      </c>
      <c r="F2757" s="545">
        <v>105.11904761904762</v>
      </c>
      <c r="G2757" s="545">
        <v>79.650000000000006</v>
      </c>
      <c r="H2757" s="545">
        <v>57</v>
      </c>
      <c r="I2757" s="545">
        <v>54.666666666666664</v>
      </c>
      <c r="J2757" s="545">
        <v>72.845238095238102</v>
      </c>
    </row>
    <row r="2758" spans="1:10">
      <c r="A2758" s="441">
        <v>5121</v>
      </c>
      <c r="B2758" s="441" t="s">
        <v>3152</v>
      </c>
      <c r="C2758" s="545">
        <v>17.666666666666668</v>
      </c>
      <c r="D2758" s="545">
        <v>16.666666666666668</v>
      </c>
      <c r="E2758" s="545">
        <v>13.333333333333334</v>
      </c>
      <c r="F2758" s="545">
        <v>16.904761904761905</v>
      </c>
      <c r="G2758" s="545">
        <v>18.3</v>
      </c>
      <c r="H2758" s="545">
        <v>14.666666666666666</v>
      </c>
      <c r="I2758" s="545">
        <v>10</v>
      </c>
      <c r="J2758" s="545">
        <v>16.595238095238095</v>
      </c>
    </row>
    <row r="2759" spans="1:10">
      <c r="A2759" s="441">
        <v>5118</v>
      </c>
      <c r="B2759" s="441" t="s">
        <v>3153</v>
      </c>
      <c r="C2759" s="545">
        <v>377.5</v>
      </c>
      <c r="D2759" s="545">
        <v>234.66666666666669</v>
      </c>
      <c r="E2759" s="545">
        <v>180.33333333333331</v>
      </c>
      <c r="F2759" s="545">
        <v>328.92857142857144</v>
      </c>
      <c r="G2759" s="545">
        <v>267.2</v>
      </c>
      <c r="H2759" s="545">
        <v>145.66666666666666</v>
      </c>
      <c r="I2759" s="545">
        <v>137.66666666666666</v>
      </c>
      <c r="J2759" s="545">
        <v>231.33333333333334</v>
      </c>
    </row>
    <row r="2760" spans="1:10">
      <c r="A2760" s="441">
        <v>5128</v>
      </c>
      <c r="B2760" s="441" t="s">
        <v>3153</v>
      </c>
      <c r="C2760" s="545">
        <v>295.33333333333331</v>
      </c>
      <c r="D2760" s="545">
        <v>192</v>
      </c>
      <c r="E2760" s="545">
        <v>128</v>
      </c>
      <c r="F2760" s="545">
        <v>256.66666666666663</v>
      </c>
      <c r="G2760" s="545">
        <v>228.95</v>
      </c>
      <c r="H2760" s="545">
        <v>139.33333333333334</v>
      </c>
      <c r="I2760" s="545">
        <v>120</v>
      </c>
      <c r="J2760" s="545">
        <v>200.58333333333331</v>
      </c>
    </row>
    <row r="2761" spans="1:10">
      <c r="A2761" s="441">
        <v>5123</v>
      </c>
      <c r="B2761" s="441" t="s">
        <v>3154</v>
      </c>
      <c r="C2761" s="545">
        <v>108.33333333333334</v>
      </c>
      <c r="D2761" s="545">
        <v>67.333333333333329</v>
      </c>
      <c r="E2761" s="545">
        <v>32.333333333333329</v>
      </c>
      <c r="F2761" s="545">
        <v>91.619047619047635</v>
      </c>
      <c r="G2761" s="545">
        <v>57.3</v>
      </c>
      <c r="H2761" s="545">
        <v>36</v>
      </c>
      <c r="I2761" s="545">
        <v>30.666666666666668</v>
      </c>
      <c r="J2761" s="545">
        <v>50.452380952380956</v>
      </c>
    </row>
    <row r="2762" spans="1:10">
      <c r="A2762" s="441">
        <v>6390</v>
      </c>
      <c r="B2762" s="441" t="s">
        <v>3154</v>
      </c>
      <c r="C2762" s="545">
        <v>267.5</v>
      </c>
      <c r="D2762" s="545">
        <v>192.33333333333331</v>
      </c>
      <c r="E2762" s="545">
        <v>135</v>
      </c>
      <c r="F2762" s="545">
        <v>237.83333333333331</v>
      </c>
      <c r="G2762" s="545">
        <v>173.25</v>
      </c>
      <c r="H2762" s="545">
        <v>120.33333333333333</v>
      </c>
      <c r="I2762" s="545">
        <v>109.66666666666667</v>
      </c>
      <c r="J2762" s="545">
        <v>156.60714285714286</v>
      </c>
    </row>
    <row r="2763" spans="1:10">
      <c r="A2763" s="441">
        <v>6391</v>
      </c>
      <c r="B2763" s="441" t="s">
        <v>3154</v>
      </c>
      <c r="C2763" s="545">
        <v>180</v>
      </c>
      <c r="D2763" s="545">
        <v>127.33333333333333</v>
      </c>
      <c r="E2763" s="545">
        <v>95.333333333333343</v>
      </c>
      <c r="F2763" s="545">
        <v>160.38095238095235</v>
      </c>
      <c r="G2763" s="545">
        <v>120.6</v>
      </c>
      <c r="H2763" s="545">
        <v>80</v>
      </c>
      <c r="I2763" s="545">
        <v>79.333333333333329</v>
      </c>
      <c r="J2763" s="545">
        <v>108.90476190476191</v>
      </c>
    </row>
    <row r="2764" spans="1:10">
      <c r="A2764" s="441">
        <v>12010</v>
      </c>
      <c r="B2764" s="441" t="s">
        <v>3155</v>
      </c>
      <c r="C2764" s="545">
        <v>1.3333333333333333</v>
      </c>
      <c r="D2764" s="545">
        <v>0</v>
      </c>
      <c r="E2764" s="545">
        <v>0.33333333333333331</v>
      </c>
      <c r="F2764" s="545">
        <v>0.99999999999999989</v>
      </c>
      <c r="G2764" s="545">
        <v>1.95</v>
      </c>
      <c r="H2764" s="545">
        <v>0</v>
      </c>
      <c r="I2764" s="545">
        <v>0.66666666666666663</v>
      </c>
      <c r="J2764" s="545">
        <v>1.4880952380952379</v>
      </c>
    </row>
    <row r="2765" spans="1:10">
      <c r="A2765" s="441">
        <v>12011</v>
      </c>
      <c r="B2765" s="441" t="s">
        <v>3156</v>
      </c>
      <c r="C2765" s="545">
        <v>1</v>
      </c>
      <c r="D2765" s="545">
        <v>0.66666666666666663</v>
      </c>
      <c r="E2765" s="545">
        <v>0</v>
      </c>
      <c r="F2765" s="545">
        <v>0.80952380952380953</v>
      </c>
      <c r="G2765" s="545">
        <v>0.55000000000000004</v>
      </c>
      <c r="H2765" s="545">
        <v>0</v>
      </c>
      <c r="I2765" s="545">
        <v>0</v>
      </c>
      <c r="J2765" s="545">
        <v>0.39285714285714285</v>
      </c>
    </row>
    <row r="2766" spans="1:10">
      <c r="A2766" s="441">
        <v>12028</v>
      </c>
      <c r="B2766" s="441" t="s">
        <v>3156</v>
      </c>
      <c r="C2766" s="545">
        <v>1.3333333333333333</v>
      </c>
      <c r="D2766" s="545">
        <v>1.3333333333333333</v>
      </c>
      <c r="E2766" s="545">
        <v>0</v>
      </c>
      <c r="F2766" s="545">
        <v>1.1428571428571428</v>
      </c>
      <c r="G2766" s="545">
        <v>0</v>
      </c>
      <c r="H2766" s="545">
        <v>0</v>
      </c>
      <c r="I2766" s="545">
        <v>0.66666666666666663</v>
      </c>
      <c r="J2766" s="545">
        <v>9.5238095238095233E-2</v>
      </c>
    </row>
    <row r="2767" spans="1:10">
      <c r="A2767" s="441">
        <v>12017</v>
      </c>
      <c r="B2767" s="441" t="s">
        <v>3157</v>
      </c>
      <c r="C2767" s="545">
        <v>1</v>
      </c>
      <c r="D2767" s="545">
        <v>0.33333333333333331</v>
      </c>
      <c r="E2767" s="545">
        <v>0.33333333333333331</v>
      </c>
      <c r="F2767" s="545">
        <v>0.80952380952380942</v>
      </c>
      <c r="G2767" s="545">
        <v>0.75</v>
      </c>
      <c r="H2767" s="545">
        <v>0</v>
      </c>
      <c r="I2767" s="545">
        <v>1.3333333333333333</v>
      </c>
      <c r="J2767" s="545">
        <v>0.72619047619047616</v>
      </c>
    </row>
    <row r="2768" spans="1:10">
      <c r="A2768" s="441">
        <v>12014</v>
      </c>
      <c r="B2768" s="441" t="s">
        <v>3158</v>
      </c>
      <c r="C2768" s="545">
        <v>2.1666666666666665</v>
      </c>
      <c r="D2768" s="545">
        <v>0.66666666666666663</v>
      </c>
      <c r="E2768" s="545">
        <v>2.666666666666667</v>
      </c>
      <c r="F2768" s="545">
        <v>2.0238095238095233</v>
      </c>
      <c r="G2768" s="545">
        <v>1.25</v>
      </c>
      <c r="H2768" s="545">
        <v>0.33333333333333331</v>
      </c>
      <c r="I2768" s="545">
        <v>1</v>
      </c>
      <c r="J2768" s="545">
        <v>1.0833333333333333</v>
      </c>
    </row>
    <row r="2769" spans="1:10">
      <c r="A2769" s="441">
        <v>12015</v>
      </c>
      <c r="B2769" s="441" t="s">
        <v>3158</v>
      </c>
      <c r="C2769" s="545">
        <v>0.83333333333333337</v>
      </c>
      <c r="D2769" s="545">
        <v>0.33333333333333331</v>
      </c>
      <c r="E2769" s="545">
        <v>0.33333333333333331</v>
      </c>
      <c r="F2769" s="545">
        <v>0.69047619047619047</v>
      </c>
      <c r="G2769" s="545">
        <v>1.1000000000000001</v>
      </c>
      <c r="H2769" s="545">
        <v>1</v>
      </c>
      <c r="I2769" s="545">
        <v>0.33333333333333331</v>
      </c>
      <c r="J2769" s="545">
        <v>0.97619047619047616</v>
      </c>
    </row>
    <row r="2770" spans="1:10">
      <c r="A2770" s="441">
        <v>8519</v>
      </c>
      <c r="B2770" s="441" t="s">
        <v>3159</v>
      </c>
      <c r="C2770" s="545">
        <v>111.16666666666667</v>
      </c>
      <c r="D2770" s="545">
        <v>78</v>
      </c>
      <c r="E2770" s="545">
        <v>55.666666666666664</v>
      </c>
      <c r="F2770" s="545">
        <v>98.5</v>
      </c>
      <c r="G2770" s="545">
        <v>82.85</v>
      </c>
      <c r="H2770" s="545">
        <v>62.333333333333336</v>
      </c>
      <c r="I2770" s="545">
        <v>47</v>
      </c>
      <c r="J2770" s="545">
        <v>74.797619047619037</v>
      </c>
    </row>
    <row r="2771" spans="1:10">
      <c r="A2771" s="441">
        <v>12935</v>
      </c>
      <c r="B2771" s="441" t="s">
        <v>3159</v>
      </c>
      <c r="C2771" s="545">
        <v>65</v>
      </c>
      <c r="D2771" s="545">
        <v>45.333333333333329</v>
      </c>
      <c r="E2771" s="545">
        <v>32.666666666666664</v>
      </c>
      <c r="F2771" s="545">
        <v>57.571428571428569</v>
      </c>
      <c r="G2771" s="545">
        <v>97.7</v>
      </c>
      <c r="H2771" s="545">
        <v>72.333333333333329</v>
      </c>
      <c r="I2771" s="545">
        <v>47.333333333333336</v>
      </c>
      <c r="J2771" s="545">
        <v>86.880952380952394</v>
      </c>
    </row>
    <row r="2772" spans="1:10">
      <c r="A2772" s="441">
        <v>12581</v>
      </c>
      <c r="B2772" s="441" t="s">
        <v>3160</v>
      </c>
      <c r="C2772" s="545">
        <v>9.1666666666666679</v>
      </c>
      <c r="D2772" s="545">
        <v>7</v>
      </c>
      <c r="E2772" s="545">
        <v>1.3333333333333333</v>
      </c>
      <c r="F2772" s="545">
        <v>7.7380952380952399</v>
      </c>
      <c r="G2772" s="545">
        <v>10.3</v>
      </c>
      <c r="H2772" s="545">
        <v>7.666666666666667</v>
      </c>
      <c r="I2772" s="545">
        <v>9</v>
      </c>
      <c r="J2772" s="545">
        <v>9.7380952380952372</v>
      </c>
    </row>
    <row r="2773" spans="1:10">
      <c r="A2773" s="441">
        <v>12582</v>
      </c>
      <c r="B2773" s="441" t="s">
        <v>3160</v>
      </c>
      <c r="C2773" s="545">
        <v>5.333333333333333</v>
      </c>
      <c r="D2773" s="545">
        <v>4</v>
      </c>
      <c r="E2773" s="545">
        <v>4.666666666666667</v>
      </c>
      <c r="F2773" s="545">
        <v>5.0476190476190466</v>
      </c>
      <c r="G2773" s="545">
        <v>6.55</v>
      </c>
      <c r="H2773" s="545">
        <v>3.3333333333333335</v>
      </c>
      <c r="I2773" s="545">
        <v>4.666666666666667</v>
      </c>
      <c r="J2773" s="545">
        <v>5.8214285714285712</v>
      </c>
    </row>
    <row r="2774" spans="1:10">
      <c r="A2774" s="441">
        <v>12016</v>
      </c>
      <c r="B2774" s="441" t="s">
        <v>3161</v>
      </c>
      <c r="C2774" s="545">
        <v>0.16666666666666666</v>
      </c>
      <c r="D2774" s="545">
        <v>0.33333333333333331</v>
      </c>
      <c r="E2774" s="545">
        <v>0</v>
      </c>
      <c r="F2774" s="545">
        <v>0.16666666666666666</v>
      </c>
      <c r="G2774" s="545">
        <v>1.05</v>
      </c>
      <c r="H2774" s="545">
        <v>0.33333333333333331</v>
      </c>
      <c r="I2774" s="545">
        <v>0</v>
      </c>
      <c r="J2774" s="545">
        <v>0.79761904761904756</v>
      </c>
    </row>
    <row r="2775" spans="1:10">
      <c r="A2775" s="441">
        <v>12057</v>
      </c>
      <c r="B2775" s="441" t="s">
        <v>3162</v>
      </c>
      <c r="C2775" s="545">
        <v>41.666666666666671</v>
      </c>
      <c r="D2775" s="545">
        <v>24</v>
      </c>
      <c r="E2775" s="545">
        <v>15.666666666666668</v>
      </c>
      <c r="F2775" s="545">
        <v>35.428571428571431</v>
      </c>
      <c r="G2775" s="545">
        <v>26.6</v>
      </c>
      <c r="H2775" s="545">
        <v>17</v>
      </c>
      <c r="I2775" s="545">
        <v>15.666666666666666</v>
      </c>
      <c r="J2775" s="545">
        <v>23.666666666666664</v>
      </c>
    </row>
    <row r="2776" spans="1:10">
      <c r="A2776" s="441">
        <v>8512</v>
      </c>
      <c r="B2776" s="441" t="s">
        <v>3163</v>
      </c>
      <c r="C2776" s="545">
        <v>11.833333333333332</v>
      </c>
      <c r="D2776" s="545">
        <v>9.6666666666666679</v>
      </c>
      <c r="E2776" s="545">
        <v>7</v>
      </c>
      <c r="F2776" s="545">
        <v>10.833333333333332</v>
      </c>
      <c r="G2776" s="545">
        <v>7.1</v>
      </c>
      <c r="H2776" s="545">
        <v>4.666666666666667</v>
      </c>
      <c r="I2776" s="545">
        <v>6</v>
      </c>
      <c r="J2776" s="545">
        <v>6.5952380952380949</v>
      </c>
    </row>
    <row r="2777" spans="1:10">
      <c r="A2777" s="441">
        <v>8515</v>
      </c>
      <c r="B2777" s="441" t="s">
        <v>3163</v>
      </c>
      <c r="C2777" s="545">
        <v>14.666666666666668</v>
      </c>
      <c r="D2777" s="545">
        <v>12.666666666666668</v>
      </c>
      <c r="E2777" s="545">
        <v>7</v>
      </c>
      <c r="F2777" s="545">
        <v>13.285714285714288</v>
      </c>
      <c r="G2777" s="545">
        <v>11.2</v>
      </c>
      <c r="H2777" s="545">
        <v>9</v>
      </c>
      <c r="I2777" s="545">
        <v>10.333333333333334</v>
      </c>
      <c r="J2777" s="545">
        <v>10.761904761904761</v>
      </c>
    </row>
    <row r="2778" spans="1:10">
      <c r="A2778" s="441">
        <v>8501</v>
      </c>
      <c r="B2778" s="441" t="s">
        <v>3164</v>
      </c>
      <c r="C2778" s="545">
        <v>51.666666666666664</v>
      </c>
      <c r="D2778" s="545">
        <v>27.333333333333332</v>
      </c>
      <c r="E2778" s="545">
        <v>25</v>
      </c>
      <c r="F2778" s="545">
        <v>44.380952380952372</v>
      </c>
      <c r="G2778" s="545">
        <v>22.65</v>
      </c>
      <c r="H2778" s="545">
        <v>13.666666666666666</v>
      </c>
      <c r="I2778" s="545">
        <v>9</v>
      </c>
      <c r="J2778" s="545">
        <v>19.416666666666668</v>
      </c>
    </row>
    <row r="2779" spans="1:10">
      <c r="A2779" s="441">
        <v>8509</v>
      </c>
      <c r="B2779" s="441" t="s">
        <v>3165</v>
      </c>
      <c r="C2779" s="545">
        <v>47.166666666666664</v>
      </c>
      <c r="D2779" s="545">
        <v>33.333333333333336</v>
      </c>
      <c r="E2779" s="545">
        <v>26</v>
      </c>
      <c r="F2779" s="545">
        <v>42.166666666666664</v>
      </c>
      <c r="G2779" s="545">
        <v>22.7</v>
      </c>
      <c r="H2779" s="545">
        <v>17</v>
      </c>
      <c r="I2779" s="545">
        <v>22.333333333333332</v>
      </c>
      <c r="J2779" s="545">
        <v>21.833333333333336</v>
      </c>
    </row>
    <row r="2780" spans="1:10">
      <c r="A2780" s="441">
        <v>8518</v>
      </c>
      <c r="B2780" s="441" t="s">
        <v>3165</v>
      </c>
      <c r="C2780" s="545">
        <v>40.333333333333336</v>
      </c>
      <c r="D2780" s="545">
        <v>28.666666666666668</v>
      </c>
      <c r="E2780" s="545">
        <v>19.333333333333332</v>
      </c>
      <c r="F2780" s="545">
        <v>35.666666666666671</v>
      </c>
      <c r="G2780" s="545">
        <v>32.1</v>
      </c>
      <c r="H2780" s="545">
        <v>18.666666666666668</v>
      </c>
      <c r="I2780" s="545">
        <v>25.333333333333332</v>
      </c>
      <c r="J2780" s="545">
        <v>29.214285714285715</v>
      </c>
    </row>
    <row r="2781" spans="1:10">
      <c r="A2781" s="441">
        <v>6385</v>
      </c>
      <c r="B2781" s="441" t="s">
        <v>3166</v>
      </c>
      <c r="C2781" s="545">
        <v>101</v>
      </c>
      <c r="D2781" s="545">
        <v>49</v>
      </c>
      <c r="E2781" s="545">
        <v>38.333333333333329</v>
      </c>
      <c r="F2781" s="545">
        <v>84.61904761904762</v>
      </c>
      <c r="G2781" s="545">
        <v>59.85</v>
      </c>
      <c r="H2781" s="545">
        <v>29.333333333333332</v>
      </c>
      <c r="I2781" s="545">
        <v>27</v>
      </c>
      <c r="J2781" s="545">
        <v>50.797619047619044</v>
      </c>
    </row>
    <row r="2782" spans="1:10">
      <c r="A2782" s="441">
        <v>6392</v>
      </c>
      <c r="B2782" s="441" t="s">
        <v>3166</v>
      </c>
      <c r="C2782" s="545">
        <v>71.166666666666671</v>
      </c>
      <c r="D2782" s="545">
        <v>46</v>
      </c>
      <c r="E2782" s="545">
        <v>32.333333333333329</v>
      </c>
      <c r="F2782" s="545">
        <v>62.023809523809526</v>
      </c>
      <c r="G2782" s="545">
        <v>54.25</v>
      </c>
      <c r="H2782" s="545">
        <v>20.333333333333332</v>
      </c>
      <c r="I2782" s="545">
        <v>25</v>
      </c>
      <c r="J2782" s="545">
        <v>45.226190476190474</v>
      </c>
    </row>
    <row r="2783" spans="1:10">
      <c r="A2783" s="441">
        <v>6406</v>
      </c>
      <c r="B2783" s="441" t="s">
        <v>3167</v>
      </c>
      <c r="C2783" s="545">
        <v>4.166666666666667</v>
      </c>
      <c r="D2783" s="545">
        <v>2.6666666666666665</v>
      </c>
      <c r="E2783" s="545">
        <v>0.66666666666666663</v>
      </c>
      <c r="F2783" s="545">
        <v>3.452380952380953</v>
      </c>
      <c r="G2783" s="545">
        <v>4.2</v>
      </c>
      <c r="H2783" s="545">
        <v>1.3333333333333333</v>
      </c>
      <c r="I2783" s="545">
        <v>1.6666666666666667</v>
      </c>
      <c r="J2783" s="545">
        <v>3.4285714285714284</v>
      </c>
    </row>
    <row r="2784" spans="1:10">
      <c r="A2784" s="441">
        <v>10935</v>
      </c>
      <c r="B2784" s="441" t="s">
        <v>3167</v>
      </c>
      <c r="C2784" s="545">
        <v>2.1666666666666665</v>
      </c>
      <c r="D2784" s="545">
        <v>0</v>
      </c>
      <c r="E2784" s="545">
        <v>2.6666666666666665</v>
      </c>
      <c r="F2784" s="545">
        <v>1.9285714285714284</v>
      </c>
      <c r="G2784" s="545">
        <v>2.35</v>
      </c>
      <c r="H2784" s="545">
        <v>1</v>
      </c>
      <c r="I2784" s="545">
        <v>0.33333333333333331</v>
      </c>
      <c r="J2784" s="545">
        <v>1.8690476190476191</v>
      </c>
    </row>
    <row r="2785" spans="1:10">
      <c r="A2785" s="441">
        <v>6371</v>
      </c>
      <c r="B2785" s="441" t="s">
        <v>3168</v>
      </c>
      <c r="C2785" s="545">
        <v>102</v>
      </c>
      <c r="D2785" s="545">
        <v>55</v>
      </c>
      <c r="E2785" s="545">
        <v>46.666666666666664</v>
      </c>
      <c r="F2785" s="545">
        <v>87.38095238095238</v>
      </c>
      <c r="G2785" s="545">
        <v>75.95</v>
      </c>
      <c r="H2785" s="545">
        <v>37</v>
      </c>
      <c r="I2785" s="545">
        <v>35.333333333333336</v>
      </c>
      <c r="J2785" s="545">
        <v>64.583333333333329</v>
      </c>
    </row>
    <row r="2786" spans="1:10">
      <c r="A2786" s="441">
        <v>6404</v>
      </c>
      <c r="B2786" s="441" t="s">
        <v>3168</v>
      </c>
      <c r="C2786" s="545">
        <v>91.833333333333343</v>
      </c>
      <c r="D2786" s="545">
        <v>53.666666666666664</v>
      </c>
      <c r="E2786" s="545">
        <v>57.666666666666664</v>
      </c>
      <c r="F2786" s="545">
        <v>81.5</v>
      </c>
      <c r="G2786" s="545">
        <v>72.650000000000006</v>
      </c>
      <c r="H2786" s="545">
        <v>42.333333333333336</v>
      </c>
      <c r="I2786" s="545">
        <v>37.666666666666664</v>
      </c>
      <c r="J2786" s="545">
        <v>63.321428571428569</v>
      </c>
    </row>
    <row r="2787" spans="1:10">
      <c r="A2787" s="441">
        <v>8505</v>
      </c>
      <c r="B2787" s="441" t="s">
        <v>3169</v>
      </c>
      <c r="C2787" s="545">
        <v>8.3333333333333321</v>
      </c>
      <c r="D2787" s="545">
        <v>3.333333333333333</v>
      </c>
      <c r="E2787" s="545">
        <v>3</v>
      </c>
      <c r="F2787" s="545">
        <v>6.8571428571428559</v>
      </c>
      <c r="G2787" s="545">
        <v>4.3499999999999996</v>
      </c>
      <c r="H2787" s="545">
        <v>2.6666666666666665</v>
      </c>
      <c r="I2787" s="545">
        <v>5.666666666666667</v>
      </c>
      <c r="J2787" s="545">
        <v>4.2976190476190483</v>
      </c>
    </row>
    <row r="2788" spans="1:10">
      <c r="A2788" s="441">
        <v>5114</v>
      </c>
      <c r="B2788" s="441" t="s">
        <v>3170</v>
      </c>
      <c r="C2788" s="545">
        <v>19.333333333333332</v>
      </c>
      <c r="D2788" s="545">
        <v>16.666666666666668</v>
      </c>
      <c r="E2788" s="545">
        <v>5</v>
      </c>
      <c r="F2788" s="545">
        <v>16.904761904761905</v>
      </c>
      <c r="G2788" s="545">
        <v>20.05</v>
      </c>
      <c r="H2788" s="545">
        <v>9.3333333333333339</v>
      </c>
      <c r="I2788" s="545">
        <v>9.6666666666666661</v>
      </c>
      <c r="J2788" s="545">
        <v>17.035714285714285</v>
      </c>
    </row>
    <row r="2789" spans="1:10">
      <c r="A2789" s="441">
        <v>5133</v>
      </c>
      <c r="B2789" s="441" t="s">
        <v>3170</v>
      </c>
      <c r="C2789" s="545">
        <v>17.333333333333332</v>
      </c>
      <c r="D2789" s="545">
        <v>9</v>
      </c>
      <c r="E2789" s="545">
        <v>5.3333333333333339</v>
      </c>
      <c r="F2789" s="545">
        <v>14.428571428571427</v>
      </c>
      <c r="G2789" s="545">
        <v>15.8</v>
      </c>
      <c r="H2789" s="545">
        <v>11.666666666666666</v>
      </c>
      <c r="I2789" s="545">
        <v>11.666666666666666</v>
      </c>
      <c r="J2789" s="545">
        <v>14.61904761904762</v>
      </c>
    </row>
    <row r="2790" spans="1:10">
      <c r="A2790" s="441">
        <v>7689</v>
      </c>
      <c r="B2790" s="441" t="s">
        <v>3171</v>
      </c>
      <c r="C2790" s="545">
        <v>13.333333333333334</v>
      </c>
      <c r="D2790" s="545">
        <v>8.3333333333333321</v>
      </c>
      <c r="E2790" s="545">
        <v>6.6666666666666661</v>
      </c>
      <c r="F2790" s="545">
        <v>11.666666666666668</v>
      </c>
      <c r="G2790" s="545">
        <v>10.9</v>
      </c>
      <c r="H2790" s="545">
        <v>3</v>
      </c>
      <c r="I2790" s="545">
        <v>5.333333333333333</v>
      </c>
      <c r="J2790" s="545">
        <v>8.9761904761904763</v>
      </c>
    </row>
    <row r="2791" spans="1:10">
      <c r="A2791" s="441">
        <v>8508</v>
      </c>
      <c r="B2791" s="441" t="s">
        <v>3171</v>
      </c>
      <c r="C2791" s="545">
        <v>20.833333333333336</v>
      </c>
      <c r="D2791" s="545">
        <v>7.666666666666667</v>
      </c>
      <c r="E2791" s="545">
        <v>3.666666666666667</v>
      </c>
      <c r="F2791" s="545">
        <v>16.500000000000004</v>
      </c>
      <c r="G2791" s="545">
        <v>11.7</v>
      </c>
      <c r="H2791" s="545">
        <v>6</v>
      </c>
      <c r="I2791" s="545">
        <v>7.333333333333333</v>
      </c>
      <c r="J2791" s="545">
        <v>10.261904761904761</v>
      </c>
    </row>
    <row r="2792" spans="1:10">
      <c r="A2792" s="441">
        <v>7691</v>
      </c>
      <c r="B2792" s="441" t="s">
        <v>3172</v>
      </c>
      <c r="C2792" s="545">
        <v>134.5</v>
      </c>
      <c r="D2792" s="545">
        <v>104.66666666666666</v>
      </c>
      <c r="E2792" s="545">
        <v>80.333333333333329</v>
      </c>
      <c r="F2792" s="545">
        <v>122.5</v>
      </c>
      <c r="G2792" s="545">
        <v>69.650000000000006</v>
      </c>
      <c r="H2792" s="545">
        <v>61.333333333333336</v>
      </c>
      <c r="I2792" s="545">
        <v>51</v>
      </c>
      <c r="J2792" s="545">
        <v>65.797619047619051</v>
      </c>
    </row>
    <row r="2793" spans="1:10">
      <c r="A2793" s="441">
        <v>8506</v>
      </c>
      <c r="B2793" s="441" t="s">
        <v>3172</v>
      </c>
      <c r="C2793" s="545">
        <v>116.83333333333334</v>
      </c>
      <c r="D2793" s="545">
        <v>89.666666666666657</v>
      </c>
      <c r="E2793" s="545">
        <v>73.666666666666671</v>
      </c>
      <c r="F2793" s="545">
        <v>106.78571428571429</v>
      </c>
      <c r="G2793" s="545">
        <v>78.849999999999994</v>
      </c>
      <c r="H2793" s="545">
        <v>47</v>
      </c>
      <c r="I2793" s="545">
        <v>41.666666666666664</v>
      </c>
      <c r="J2793" s="545">
        <v>68.988095238095241</v>
      </c>
    </row>
    <row r="2794" spans="1:10">
      <c r="A2794" s="441">
        <v>5119</v>
      </c>
      <c r="B2794" s="441" t="s">
        <v>3173</v>
      </c>
      <c r="C2794" s="545">
        <v>15.166666666666666</v>
      </c>
      <c r="D2794" s="545">
        <v>14.333333333333334</v>
      </c>
      <c r="E2794" s="545">
        <v>14.666666666666668</v>
      </c>
      <c r="F2794" s="545">
        <v>14.976190476190476</v>
      </c>
      <c r="G2794" s="545">
        <v>16.649999999999999</v>
      </c>
      <c r="H2794" s="545">
        <v>9</v>
      </c>
      <c r="I2794" s="545">
        <v>8</v>
      </c>
      <c r="J2794" s="545">
        <v>14.321428571428571</v>
      </c>
    </row>
    <row r="2795" spans="1:10">
      <c r="A2795" s="441">
        <v>5127</v>
      </c>
      <c r="B2795" s="441" t="s">
        <v>3173</v>
      </c>
      <c r="C2795" s="545">
        <v>10.5</v>
      </c>
      <c r="D2795" s="545">
        <v>13</v>
      </c>
      <c r="E2795" s="545">
        <v>7</v>
      </c>
      <c r="F2795" s="545">
        <v>10.357142857142858</v>
      </c>
      <c r="G2795" s="545">
        <v>7.7</v>
      </c>
      <c r="H2795" s="545">
        <v>4.666666666666667</v>
      </c>
      <c r="I2795" s="545">
        <v>4.333333333333333</v>
      </c>
      <c r="J2795" s="545">
        <v>6.7857142857142856</v>
      </c>
    </row>
    <row r="2796" spans="1:10">
      <c r="A2796" s="441">
        <v>5129</v>
      </c>
      <c r="B2796" s="441" t="s">
        <v>3174</v>
      </c>
      <c r="C2796" s="545">
        <v>97.833333333333329</v>
      </c>
      <c r="D2796" s="545">
        <v>64.333333333333329</v>
      </c>
      <c r="E2796" s="545">
        <v>34</v>
      </c>
      <c r="F2796" s="545">
        <v>83.928571428571431</v>
      </c>
      <c r="G2796" s="545">
        <v>46.8</v>
      </c>
      <c r="H2796" s="545">
        <v>35.333333333333336</v>
      </c>
      <c r="I2796" s="545">
        <v>32</v>
      </c>
      <c r="J2796" s="545">
        <v>43.047619047619044</v>
      </c>
    </row>
    <row r="2797" spans="1:10">
      <c r="A2797" s="441">
        <v>7694</v>
      </c>
      <c r="B2797" s="441" t="s">
        <v>3175</v>
      </c>
      <c r="C2797" s="545">
        <v>27.166666666666668</v>
      </c>
      <c r="D2797" s="545">
        <v>3.333333333333333</v>
      </c>
      <c r="E2797" s="545">
        <v>3</v>
      </c>
      <c r="F2797" s="545">
        <v>20.309523809523814</v>
      </c>
      <c r="G2797" s="545">
        <v>22.3</v>
      </c>
      <c r="H2797" s="545">
        <v>1.6666666666666667</v>
      </c>
      <c r="I2797" s="545">
        <v>1</v>
      </c>
      <c r="J2797" s="545">
        <v>16.30952380952381</v>
      </c>
    </row>
    <row r="2798" spans="1:10">
      <c r="A2798" s="441">
        <v>8503</v>
      </c>
      <c r="B2798" s="441" t="s">
        <v>3175</v>
      </c>
      <c r="C2798" s="545">
        <v>35.5</v>
      </c>
      <c r="D2798" s="545">
        <v>3</v>
      </c>
      <c r="E2798" s="545">
        <v>1</v>
      </c>
      <c r="F2798" s="545">
        <v>25.928571428571427</v>
      </c>
      <c r="G2798" s="545">
        <v>25.5</v>
      </c>
      <c r="H2798" s="545">
        <v>4</v>
      </c>
      <c r="I2798" s="545">
        <v>2.3333333333333335</v>
      </c>
      <c r="J2798" s="545">
        <v>19.11904761904762</v>
      </c>
    </row>
    <row r="2799" spans="1:10">
      <c r="A2799" s="441">
        <v>6377</v>
      </c>
      <c r="B2799" s="441" t="s">
        <v>3176</v>
      </c>
      <c r="C2799" s="545">
        <v>20.5</v>
      </c>
      <c r="D2799" s="545">
        <v>8</v>
      </c>
      <c r="E2799" s="545">
        <v>6.666666666666667</v>
      </c>
      <c r="F2799" s="545">
        <v>16.738095238095237</v>
      </c>
      <c r="G2799" s="545">
        <v>18</v>
      </c>
      <c r="H2799" s="545">
        <v>9.6666666666666661</v>
      </c>
      <c r="I2799" s="545">
        <v>5.666666666666667</v>
      </c>
      <c r="J2799" s="545">
        <v>15.047619047619049</v>
      </c>
    </row>
    <row r="2800" spans="1:10">
      <c r="A2800" s="441">
        <v>6378</v>
      </c>
      <c r="B2800" s="441" t="s">
        <v>3176</v>
      </c>
      <c r="C2800" s="545">
        <v>72.666666666666671</v>
      </c>
      <c r="D2800" s="545">
        <v>43</v>
      </c>
      <c r="E2800" s="545">
        <v>31.333333333333336</v>
      </c>
      <c r="F2800" s="545">
        <v>62.523809523809526</v>
      </c>
      <c r="G2800" s="545">
        <v>52.65</v>
      </c>
      <c r="H2800" s="545">
        <v>28</v>
      </c>
      <c r="I2800" s="545">
        <v>26</v>
      </c>
      <c r="J2800" s="545">
        <v>45.321428571428569</v>
      </c>
    </row>
    <row r="2801" spans="1:10">
      <c r="A2801" s="441">
        <v>6399</v>
      </c>
      <c r="B2801" s="441" t="s">
        <v>3176</v>
      </c>
      <c r="C2801" s="545">
        <v>28</v>
      </c>
      <c r="D2801" s="545">
        <v>22</v>
      </c>
      <c r="E2801" s="545">
        <v>14.333333333333334</v>
      </c>
      <c r="F2801" s="545">
        <v>25.190476190476193</v>
      </c>
      <c r="G2801" s="545">
        <v>20.65</v>
      </c>
      <c r="H2801" s="545">
        <v>10.666666666666666</v>
      </c>
      <c r="I2801" s="545">
        <v>8</v>
      </c>
      <c r="J2801" s="545">
        <v>17.416666666666668</v>
      </c>
    </row>
    <row r="2802" spans="1:10">
      <c r="A2802" s="441">
        <v>6400</v>
      </c>
      <c r="B2802" s="441" t="s">
        <v>3176</v>
      </c>
      <c r="C2802" s="545">
        <v>46.166666666666664</v>
      </c>
      <c r="D2802" s="545">
        <v>36.333333333333336</v>
      </c>
      <c r="E2802" s="545">
        <v>33.333333333333329</v>
      </c>
      <c r="F2802" s="545">
        <v>42.928571428571423</v>
      </c>
      <c r="G2802" s="545">
        <v>26.45</v>
      </c>
      <c r="H2802" s="545">
        <v>15.333333333333334</v>
      </c>
      <c r="I2802" s="545">
        <v>22.333333333333332</v>
      </c>
      <c r="J2802" s="545">
        <v>24.273809523809526</v>
      </c>
    </row>
    <row r="2803" spans="1:10">
      <c r="A2803" s="441">
        <v>4722</v>
      </c>
      <c r="B2803" s="441" t="s">
        <v>3177</v>
      </c>
      <c r="C2803" s="545">
        <v>3.1666666666666665</v>
      </c>
      <c r="D2803" s="545">
        <v>1</v>
      </c>
      <c r="E2803" s="545">
        <v>1.3333333333333333</v>
      </c>
      <c r="F2803" s="545">
        <v>2.5952380952380949</v>
      </c>
      <c r="G2803" s="545">
        <v>2.4</v>
      </c>
      <c r="H2803" s="545">
        <v>1.6666666666666667</v>
      </c>
      <c r="I2803" s="545">
        <v>1.3333333333333333</v>
      </c>
      <c r="J2803" s="545">
        <v>2.1428571428571428</v>
      </c>
    </row>
    <row r="2804" spans="1:10">
      <c r="A2804" s="441">
        <v>6370</v>
      </c>
      <c r="B2804" s="441" t="s">
        <v>3178</v>
      </c>
      <c r="C2804" s="545">
        <v>14.666666666666666</v>
      </c>
      <c r="D2804" s="545">
        <v>8</v>
      </c>
      <c r="E2804" s="545">
        <v>3.6666666666666665</v>
      </c>
      <c r="F2804" s="545">
        <v>12.142857142857142</v>
      </c>
      <c r="G2804" s="545">
        <v>9.5500000000000007</v>
      </c>
      <c r="H2804" s="545">
        <v>12.333333333333334</v>
      </c>
      <c r="I2804" s="545">
        <v>9</v>
      </c>
      <c r="J2804" s="545">
        <v>9.8690476190476204</v>
      </c>
    </row>
    <row r="2805" spans="1:10">
      <c r="A2805" s="441">
        <v>6405</v>
      </c>
      <c r="B2805" s="441" t="s">
        <v>3178</v>
      </c>
      <c r="C2805" s="545">
        <v>14</v>
      </c>
      <c r="D2805" s="545">
        <v>12.333333333333334</v>
      </c>
      <c r="E2805" s="545">
        <v>7</v>
      </c>
      <c r="F2805" s="545">
        <v>12.761904761904761</v>
      </c>
      <c r="G2805" s="545">
        <v>8.85</v>
      </c>
      <c r="H2805" s="545">
        <v>7</v>
      </c>
      <c r="I2805" s="545">
        <v>5.333333333333333</v>
      </c>
      <c r="J2805" s="545">
        <v>8.0833333333333339</v>
      </c>
    </row>
    <row r="2806" spans="1:10">
      <c r="A2806" s="441">
        <v>10413</v>
      </c>
      <c r="B2806" s="441" t="s">
        <v>3179</v>
      </c>
      <c r="C2806" s="545">
        <v>22.833333333333336</v>
      </c>
      <c r="D2806" s="545">
        <v>5.666666666666667</v>
      </c>
      <c r="E2806" s="545">
        <v>8</v>
      </c>
      <c r="F2806" s="545">
        <v>18.261904761904766</v>
      </c>
      <c r="G2806" s="545">
        <v>15.95</v>
      </c>
      <c r="H2806" s="545">
        <v>10</v>
      </c>
      <c r="I2806" s="545">
        <v>3.6666666666666665</v>
      </c>
      <c r="J2806" s="545">
        <v>13.345238095238097</v>
      </c>
    </row>
    <row r="2807" spans="1:10">
      <c r="A2807" s="441">
        <v>12934</v>
      </c>
      <c r="B2807" s="441" t="s">
        <v>3179</v>
      </c>
      <c r="C2807" s="545">
        <v>14.666666666666668</v>
      </c>
      <c r="D2807" s="545">
        <v>9.6666666666666679</v>
      </c>
      <c r="E2807" s="545">
        <v>6.6666666666666661</v>
      </c>
      <c r="F2807" s="545">
        <v>12.809523809523812</v>
      </c>
      <c r="G2807" s="545">
        <v>16.850000000000001</v>
      </c>
      <c r="H2807" s="545">
        <v>6.333333333333333</v>
      </c>
      <c r="I2807" s="545">
        <v>6.333333333333333</v>
      </c>
      <c r="J2807" s="545">
        <v>13.845238095238093</v>
      </c>
    </row>
    <row r="2808" spans="1:10">
      <c r="A2808" s="441">
        <v>4719</v>
      </c>
      <c r="B2808" s="441" t="s">
        <v>3180</v>
      </c>
      <c r="C2808" s="545">
        <v>3.6666666666666665</v>
      </c>
      <c r="D2808" s="545">
        <v>1.6666666666666667</v>
      </c>
      <c r="E2808" s="545">
        <v>0.66666666666666663</v>
      </c>
      <c r="F2808" s="545">
        <v>2.9523809523809526</v>
      </c>
      <c r="G2808" s="545">
        <v>2.5</v>
      </c>
      <c r="H2808" s="545">
        <v>4.333333333333333</v>
      </c>
      <c r="I2808" s="545">
        <v>1</v>
      </c>
      <c r="J2808" s="545">
        <v>2.5476190476190474</v>
      </c>
    </row>
    <row r="2809" spans="1:10">
      <c r="A2809" s="441">
        <v>7695</v>
      </c>
      <c r="B2809" s="441" t="s">
        <v>3181</v>
      </c>
      <c r="C2809" s="545">
        <v>28.5</v>
      </c>
      <c r="D2809" s="545">
        <v>10.666666666666668</v>
      </c>
      <c r="E2809" s="545">
        <v>11.333333333333334</v>
      </c>
      <c r="F2809" s="545">
        <v>23.5</v>
      </c>
      <c r="G2809" s="545">
        <v>18.25</v>
      </c>
      <c r="H2809" s="545">
        <v>3.3333333333333335</v>
      </c>
      <c r="I2809" s="545">
        <v>7.666666666666667</v>
      </c>
      <c r="J2809" s="545">
        <v>14.607142857142858</v>
      </c>
    </row>
    <row r="2810" spans="1:10">
      <c r="A2810" s="441">
        <v>8502</v>
      </c>
      <c r="B2810" s="441" t="s">
        <v>3181</v>
      </c>
      <c r="C2810" s="545">
        <v>22.5</v>
      </c>
      <c r="D2810" s="545">
        <v>8.3333333333333321</v>
      </c>
      <c r="E2810" s="545">
        <v>9.3333333333333339</v>
      </c>
      <c r="F2810" s="545">
        <v>18.595238095238095</v>
      </c>
      <c r="G2810" s="545">
        <v>17.7</v>
      </c>
      <c r="H2810" s="545">
        <v>6.333333333333333</v>
      </c>
      <c r="I2810" s="545">
        <v>10.333333333333334</v>
      </c>
      <c r="J2810" s="545">
        <v>15.023809523809522</v>
      </c>
    </row>
    <row r="2811" spans="1:10">
      <c r="A2811" s="441">
        <v>6381</v>
      </c>
      <c r="B2811" s="441" t="s">
        <v>3182</v>
      </c>
      <c r="C2811" s="545">
        <v>28.833333333333332</v>
      </c>
      <c r="D2811" s="545">
        <v>13.333333333333332</v>
      </c>
      <c r="E2811" s="545">
        <v>9.6666666666666661</v>
      </c>
      <c r="F2811" s="545">
        <v>23.88095238095238</v>
      </c>
      <c r="G2811" s="545">
        <v>24.1</v>
      </c>
      <c r="H2811" s="545">
        <v>7.666666666666667</v>
      </c>
      <c r="I2811" s="545">
        <v>11.666666666666666</v>
      </c>
      <c r="J2811" s="545">
        <v>19.976190476190474</v>
      </c>
    </row>
    <row r="2812" spans="1:10">
      <c r="A2812" s="441">
        <v>6395</v>
      </c>
      <c r="B2812" s="441" t="s">
        <v>3182</v>
      </c>
      <c r="C2812" s="545">
        <v>24.833333333333332</v>
      </c>
      <c r="D2812" s="545">
        <v>14.666666666666666</v>
      </c>
      <c r="E2812" s="545">
        <v>7.6666666666666661</v>
      </c>
      <c r="F2812" s="545">
        <v>20.928571428571423</v>
      </c>
      <c r="G2812" s="545">
        <v>18.95</v>
      </c>
      <c r="H2812" s="545">
        <v>8.6666666666666661</v>
      </c>
      <c r="I2812" s="545">
        <v>9</v>
      </c>
      <c r="J2812" s="545">
        <v>16.05952380952381</v>
      </c>
    </row>
    <row r="2813" spans="1:10">
      <c r="A2813" s="441">
        <v>7690</v>
      </c>
      <c r="B2813" s="441" t="s">
        <v>3183</v>
      </c>
      <c r="C2813" s="545">
        <v>36.333333333333336</v>
      </c>
      <c r="D2813" s="545">
        <v>33</v>
      </c>
      <c r="E2813" s="545">
        <v>20</v>
      </c>
      <c r="F2813" s="545">
        <v>33.523809523809526</v>
      </c>
      <c r="G2813" s="545">
        <v>33.549999999999997</v>
      </c>
      <c r="H2813" s="545">
        <v>23.333333333333332</v>
      </c>
      <c r="I2813" s="545">
        <v>26.333333333333332</v>
      </c>
      <c r="J2813" s="545">
        <v>31.059523809523814</v>
      </c>
    </row>
    <row r="2814" spans="1:10">
      <c r="A2814" s="441">
        <v>8507</v>
      </c>
      <c r="B2814" s="441" t="s">
        <v>3183</v>
      </c>
      <c r="C2814" s="545">
        <v>36</v>
      </c>
      <c r="D2814" s="545">
        <v>32.333333333333336</v>
      </c>
      <c r="E2814" s="545">
        <v>22.666666666666664</v>
      </c>
      <c r="F2814" s="545">
        <v>33.571428571428569</v>
      </c>
      <c r="G2814" s="545">
        <v>30.8</v>
      </c>
      <c r="H2814" s="545">
        <v>21</v>
      </c>
      <c r="I2814" s="545">
        <v>20.666666666666668</v>
      </c>
      <c r="J2814" s="545">
        <v>27.952380952380953</v>
      </c>
    </row>
    <row r="2815" spans="1:10">
      <c r="A2815" s="441">
        <v>7696</v>
      </c>
      <c r="B2815" s="441" t="s">
        <v>3184</v>
      </c>
      <c r="C2815" s="545">
        <v>178.5</v>
      </c>
      <c r="D2815" s="545">
        <v>132.66666666666669</v>
      </c>
      <c r="E2815" s="545">
        <v>86</v>
      </c>
      <c r="F2815" s="545">
        <v>158.73809523809524</v>
      </c>
      <c r="G2815" s="545">
        <v>113.15</v>
      </c>
      <c r="H2815" s="545">
        <v>75.333333333333329</v>
      </c>
      <c r="I2815" s="545">
        <v>58.333333333333336</v>
      </c>
      <c r="J2815" s="545">
        <v>99.916666666666671</v>
      </c>
    </row>
    <row r="2816" spans="1:10">
      <c r="A2816" s="441">
        <v>12580</v>
      </c>
      <c r="B2816" s="441" t="s">
        <v>3184</v>
      </c>
      <c r="C2816" s="545">
        <v>96</v>
      </c>
      <c r="D2816" s="545">
        <v>88.666666666666657</v>
      </c>
      <c r="E2816" s="545">
        <v>41</v>
      </c>
      <c r="F2816" s="545">
        <v>87.095238095238088</v>
      </c>
      <c r="G2816" s="545">
        <v>99.3</v>
      </c>
      <c r="H2816" s="545">
        <v>45.666666666666664</v>
      </c>
      <c r="I2816" s="545">
        <v>47.666666666666664</v>
      </c>
      <c r="J2816" s="545">
        <v>84.261904761904745</v>
      </c>
    </row>
    <row r="2817" spans="1:10">
      <c r="A2817" s="441">
        <v>4720</v>
      </c>
      <c r="B2817" s="441" t="s">
        <v>3185</v>
      </c>
      <c r="C2817" s="545">
        <v>45.666666666666664</v>
      </c>
      <c r="D2817" s="545">
        <v>35</v>
      </c>
      <c r="E2817" s="545">
        <v>34.333333333333336</v>
      </c>
      <c r="F2817" s="545">
        <v>42.523809523809518</v>
      </c>
      <c r="G2817" s="545">
        <v>39.450000000000003</v>
      </c>
      <c r="H2817" s="545">
        <v>29.666666666666668</v>
      </c>
      <c r="I2817" s="545">
        <v>32</v>
      </c>
      <c r="J2817" s="545">
        <v>36.988095238095234</v>
      </c>
    </row>
    <row r="2818" spans="1:10">
      <c r="A2818" s="441">
        <v>4721</v>
      </c>
      <c r="B2818" s="441" t="s">
        <v>3185</v>
      </c>
      <c r="C2818" s="545">
        <v>52.333333333333336</v>
      </c>
      <c r="D2818" s="545">
        <v>49</v>
      </c>
      <c r="E2818" s="545">
        <v>32.666666666666664</v>
      </c>
      <c r="F2818" s="545">
        <v>49.047619047619051</v>
      </c>
      <c r="G2818" s="545">
        <v>34.799999999999997</v>
      </c>
      <c r="H2818" s="545">
        <v>28</v>
      </c>
      <c r="I2818" s="545">
        <v>43.333333333333336</v>
      </c>
      <c r="J2818" s="545">
        <v>35.047619047619051</v>
      </c>
    </row>
    <row r="2819" spans="1:10">
      <c r="A2819" s="441">
        <v>12008</v>
      </c>
      <c r="B2819" s="441" t="s">
        <v>3186</v>
      </c>
      <c r="C2819" s="545">
        <v>3.833333333333333</v>
      </c>
      <c r="D2819" s="545">
        <v>1</v>
      </c>
      <c r="E2819" s="545">
        <v>1.6666666666666667</v>
      </c>
      <c r="F2819" s="545">
        <v>3.1190476190476191</v>
      </c>
      <c r="G2819" s="545">
        <v>1</v>
      </c>
      <c r="H2819" s="545">
        <v>1</v>
      </c>
      <c r="I2819" s="545">
        <v>1</v>
      </c>
      <c r="J2819" s="545">
        <v>1</v>
      </c>
    </row>
    <row r="2820" spans="1:10">
      <c r="A2820" s="441">
        <v>12009</v>
      </c>
      <c r="B2820" s="441" t="s">
        <v>3187</v>
      </c>
      <c r="C2820" s="545">
        <v>4.833333333333333</v>
      </c>
      <c r="D2820" s="545">
        <v>2.666666666666667</v>
      </c>
      <c r="E2820" s="545">
        <v>0.66666666666666663</v>
      </c>
      <c r="F2820" s="545">
        <v>3.9285714285714284</v>
      </c>
      <c r="G2820" s="545">
        <v>1.35</v>
      </c>
      <c r="H2820" s="545">
        <v>10</v>
      </c>
      <c r="I2820" s="545">
        <v>0.33333333333333331</v>
      </c>
      <c r="J2820" s="545">
        <v>2.4404761904761902</v>
      </c>
    </row>
    <row r="2821" spans="1:10">
      <c r="A2821" s="441">
        <v>6380</v>
      </c>
      <c r="B2821" s="441" t="s">
        <v>3188</v>
      </c>
      <c r="C2821" s="545">
        <v>132.5</v>
      </c>
      <c r="D2821" s="545">
        <v>124.66666666666666</v>
      </c>
      <c r="E2821" s="545">
        <v>99.666666666666657</v>
      </c>
      <c r="F2821" s="545">
        <v>126.69047619047618</v>
      </c>
      <c r="G2821" s="545">
        <v>78.2</v>
      </c>
      <c r="H2821" s="545">
        <v>63.333333333333336</v>
      </c>
      <c r="I2821" s="545">
        <v>59</v>
      </c>
      <c r="J2821" s="545">
        <v>73.333333333333329</v>
      </c>
    </row>
    <row r="2822" spans="1:10">
      <c r="A2822" s="441">
        <v>6396</v>
      </c>
      <c r="B2822" s="441" t="s">
        <v>3188</v>
      </c>
      <c r="C2822" s="545">
        <v>111.33333333333334</v>
      </c>
      <c r="D2822" s="545">
        <v>95.666666666666657</v>
      </c>
      <c r="E2822" s="545">
        <v>72.666666666666657</v>
      </c>
      <c r="F2822" s="545">
        <v>103.57142857142857</v>
      </c>
      <c r="G2822" s="545">
        <v>60.05</v>
      </c>
      <c r="H2822" s="545">
        <v>44</v>
      </c>
      <c r="I2822" s="545">
        <v>43</v>
      </c>
      <c r="J2822" s="545">
        <v>55.321428571428569</v>
      </c>
    </row>
    <row r="2823" spans="1:10">
      <c r="A2823" s="441">
        <v>5116</v>
      </c>
      <c r="B2823" s="441" t="s">
        <v>3189</v>
      </c>
      <c r="C2823" s="545">
        <v>6</v>
      </c>
      <c r="D2823" s="545">
        <v>1.6666666666666665</v>
      </c>
      <c r="E2823" s="545">
        <v>1.3333333333333333</v>
      </c>
      <c r="F2823" s="545">
        <v>4.7142857142857144</v>
      </c>
      <c r="G2823" s="545">
        <v>2.5499999999999998</v>
      </c>
      <c r="H2823" s="545">
        <v>1.6666666666666667</v>
      </c>
      <c r="I2823" s="545">
        <v>0.66666666666666663</v>
      </c>
      <c r="J2823" s="545">
        <v>2.1547619047619047</v>
      </c>
    </row>
    <row r="2824" spans="1:10">
      <c r="A2824" s="441">
        <v>5131</v>
      </c>
      <c r="B2824" s="441" t="s">
        <v>3189</v>
      </c>
      <c r="C2824" s="545">
        <v>7.8333333333333339</v>
      </c>
      <c r="D2824" s="545">
        <v>5.666666666666667</v>
      </c>
      <c r="E2824" s="545">
        <v>3</v>
      </c>
      <c r="F2824" s="545">
        <v>6.8333333333333339</v>
      </c>
      <c r="G2824" s="545">
        <v>7.05</v>
      </c>
      <c r="H2824" s="545">
        <v>5.333333333333333</v>
      </c>
      <c r="I2824" s="545">
        <v>3.3333333333333335</v>
      </c>
      <c r="J2824" s="545">
        <v>6.2738095238095246</v>
      </c>
    </row>
    <row r="2825" spans="1:10">
      <c r="A2825" s="441">
        <v>5115</v>
      </c>
      <c r="B2825" s="441" t="s">
        <v>3190</v>
      </c>
      <c r="C2825" s="545">
        <v>15.666666666666668</v>
      </c>
      <c r="D2825" s="545">
        <v>3.3333333333333335</v>
      </c>
      <c r="E2825" s="545">
        <v>1.3333333333333333</v>
      </c>
      <c r="F2825" s="545">
        <v>11.857142857142858</v>
      </c>
      <c r="G2825" s="545">
        <v>9.35</v>
      </c>
      <c r="H2825" s="545">
        <v>7</v>
      </c>
      <c r="I2825" s="545">
        <v>2.6666666666666665</v>
      </c>
      <c r="J2825" s="545">
        <v>8.0595238095238084</v>
      </c>
    </row>
    <row r="2826" spans="1:10">
      <c r="A2826" s="441">
        <v>5132</v>
      </c>
      <c r="B2826" s="441" t="s">
        <v>3190</v>
      </c>
      <c r="C2826" s="545">
        <v>13.833333333333332</v>
      </c>
      <c r="D2826" s="545">
        <v>3</v>
      </c>
      <c r="E2826" s="545">
        <v>1.3333333333333333</v>
      </c>
      <c r="F2826" s="545">
        <v>10.499999999999998</v>
      </c>
      <c r="G2826" s="545">
        <v>10.35</v>
      </c>
      <c r="H2826" s="545">
        <v>2.6666666666666665</v>
      </c>
      <c r="I2826" s="545">
        <v>0.33333333333333331</v>
      </c>
      <c r="J2826" s="545">
        <v>7.8214285714285712</v>
      </c>
    </row>
    <row r="2827" spans="1:10">
      <c r="A2827" s="441">
        <v>12018</v>
      </c>
      <c r="B2827" s="441" t="s">
        <v>3191</v>
      </c>
      <c r="C2827" s="545">
        <v>5.833333333333333</v>
      </c>
      <c r="D2827" s="545">
        <v>2.6666666666666665</v>
      </c>
      <c r="E2827" s="545">
        <v>2</v>
      </c>
      <c r="F2827" s="545">
        <v>4.833333333333333</v>
      </c>
      <c r="G2827" s="545">
        <v>2.5</v>
      </c>
      <c r="H2827" s="545">
        <v>1.6666666666666667</v>
      </c>
      <c r="I2827" s="545">
        <v>1</v>
      </c>
      <c r="J2827" s="545">
        <v>2.1666666666666665</v>
      </c>
    </row>
    <row r="2828" spans="1:10">
      <c r="A2828" s="441">
        <v>12019</v>
      </c>
      <c r="B2828" s="441" t="s">
        <v>3191</v>
      </c>
      <c r="C2828" s="545">
        <v>5.833333333333333</v>
      </c>
      <c r="D2828" s="545">
        <v>4.333333333333333</v>
      </c>
      <c r="E2828" s="545">
        <v>1.3333333333333333</v>
      </c>
      <c r="F2828" s="545">
        <v>4.9761904761904763</v>
      </c>
      <c r="G2828" s="545">
        <v>1.5</v>
      </c>
      <c r="H2828" s="545">
        <v>1</v>
      </c>
      <c r="I2828" s="545">
        <v>2.3333333333333335</v>
      </c>
      <c r="J2828" s="545">
        <v>1.5476190476190477</v>
      </c>
    </row>
    <row r="2829" spans="1:10">
      <c r="A2829" s="441">
        <v>6375</v>
      </c>
      <c r="B2829" s="441" t="s">
        <v>3192</v>
      </c>
      <c r="C2829" s="545">
        <v>109.33333333333333</v>
      </c>
      <c r="D2829" s="545">
        <v>67.666666666666671</v>
      </c>
      <c r="E2829" s="545">
        <v>55.666666666666664</v>
      </c>
      <c r="F2829" s="545">
        <v>95.714285714285694</v>
      </c>
      <c r="G2829" s="545">
        <v>71.45</v>
      </c>
      <c r="H2829" s="545">
        <v>51.666666666666664</v>
      </c>
      <c r="I2829" s="545">
        <v>50.666666666666664</v>
      </c>
      <c r="J2829" s="545">
        <v>65.654761904761912</v>
      </c>
    </row>
    <row r="2830" spans="1:10">
      <c r="A2830" s="441">
        <v>6401</v>
      </c>
      <c r="B2830" s="441" t="s">
        <v>3192</v>
      </c>
      <c r="C2830" s="545">
        <v>90.666666666666671</v>
      </c>
      <c r="D2830" s="545">
        <v>62.666666666666671</v>
      </c>
      <c r="E2830" s="545">
        <v>54</v>
      </c>
      <c r="F2830" s="545">
        <v>81.428571428571431</v>
      </c>
      <c r="G2830" s="545">
        <v>66.849999999999994</v>
      </c>
      <c r="H2830" s="545">
        <v>37.333333333333336</v>
      </c>
      <c r="I2830" s="545">
        <v>42</v>
      </c>
      <c r="J2830" s="545">
        <v>59.083333333333329</v>
      </c>
    </row>
    <row r="2831" spans="1:10">
      <c r="A2831" s="441">
        <v>6376</v>
      </c>
      <c r="B2831" s="441" t="s">
        <v>3193</v>
      </c>
      <c r="C2831" s="545">
        <v>80.166666666666671</v>
      </c>
      <c r="D2831" s="545">
        <v>48</v>
      </c>
      <c r="E2831" s="545">
        <v>39.666666666666671</v>
      </c>
      <c r="F2831" s="545">
        <v>69.785714285714292</v>
      </c>
      <c r="G2831" s="545">
        <v>37.75</v>
      </c>
      <c r="H2831" s="545">
        <v>21</v>
      </c>
      <c r="I2831" s="545">
        <v>28.333333333333332</v>
      </c>
      <c r="J2831" s="545">
        <v>34.011904761904766</v>
      </c>
    </row>
    <row r="2832" spans="1:10">
      <c r="A2832" s="441">
        <v>8513</v>
      </c>
      <c r="B2832" s="441" t="s">
        <v>3194</v>
      </c>
      <c r="C2832" s="545">
        <v>28.833333333333336</v>
      </c>
      <c r="D2832" s="545">
        <v>17</v>
      </c>
      <c r="E2832" s="545">
        <v>9.6666666666666661</v>
      </c>
      <c r="F2832" s="545">
        <v>24.404761904761905</v>
      </c>
      <c r="G2832" s="545">
        <v>24.15</v>
      </c>
      <c r="H2832" s="545">
        <v>13.666666666666666</v>
      </c>
      <c r="I2832" s="545">
        <v>13.333333333333334</v>
      </c>
      <c r="J2832" s="545">
        <v>21.107142857142858</v>
      </c>
    </row>
    <row r="2833" spans="1:10">
      <c r="A2833" s="441">
        <v>8514</v>
      </c>
      <c r="B2833" s="441" t="s">
        <v>3194</v>
      </c>
      <c r="C2833" s="545">
        <v>31.166666666666664</v>
      </c>
      <c r="D2833" s="545">
        <v>14</v>
      </c>
      <c r="E2833" s="545">
        <v>7.333333333333333</v>
      </c>
      <c r="F2833" s="545">
        <v>25.309523809523807</v>
      </c>
      <c r="G2833" s="545">
        <v>20.7</v>
      </c>
      <c r="H2833" s="545">
        <v>11.666666666666666</v>
      </c>
      <c r="I2833" s="545">
        <v>12</v>
      </c>
      <c r="J2833" s="545">
        <v>18.166666666666668</v>
      </c>
    </row>
    <row r="2834" spans="1:10">
      <c r="A2834" s="441">
        <v>6372</v>
      </c>
      <c r="B2834" s="441" t="s">
        <v>3195</v>
      </c>
      <c r="C2834" s="545">
        <v>29.166666666666668</v>
      </c>
      <c r="D2834" s="545">
        <v>4</v>
      </c>
      <c r="E2834" s="545">
        <v>9</v>
      </c>
      <c r="F2834" s="545">
        <v>22.690476190476193</v>
      </c>
      <c r="G2834" s="545">
        <v>7.9</v>
      </c>
      <c r="H2834" s="545">
        <v>5.333333333333333</v>
      </c>
      <c r="I2834" s="545">
        <v>5</v>
      </c>
      <c r="J2834" s="545">
        <v>7.1190476190476195</v>
      </c>
    </row>
    <row r="2835" spans="1:10">
      <c r="A2835" s="441">
        <v>6403</v>
      </c>
      <c r="B2835" s="441" t="s">
        <v>3195</v>
      </c>
      <c r="C2835" s="545">
        <v>37</v>
      </c>
      <c r="D2835" s="545">
        <v>10</v>
      </c>
      <c r="E2835" s="545">
        <v>11</v>
      </c>
      <c r="F2835" s="545">
        <v>29.428571428571427</v>
      </c>
      <c r="G2835" s="545">
        <v>8.5</v>
      </c>
      <c r="H2835" s="545">
        <v>10.333333333333334</v>
      </c>
      <c r="I2835" s="545">
        <v>4.333333333333333</v>
      </c>
      <c r="J2835" s="545">
        <v>8.1666666666666679</v>
      </c>
    </row>
    <row r="2836" spans="1:10">
      <c r="A2836" s="441">
        <v>6373</v>
      </c>
      <c r="B2836" s="441" t="s">
        <v>3196</v>
      </c>
      <c r="C2836" s="545">
        <v>154.33333333333331</v>
      </c>
      <c r="D2836" s="545">
        <v>90.666666666666657</v>
      </c>
      <c r="E2836" s="545">
        <v>60.333333333333336</v>
      </c>
      <c r="F2836" s="545">
        <v>131.8095238095238</v>
      </c>
      <c r="G2836" s="545">
        <v>89.85</v>
      </c>
      <c r="H2836" s="545">
        <v>70</v>
      </c>
      <c r="I2836" s="545">
        <v>51.666666666666664</v>
      </c>
      <c r="J2836" s="545">
        <v>81.55952380952381</v>
      </c>
    </row>
    <row r="2837" spans="1:10">
      <c r="A2837" s="441">
        <v>6402</v>
      </c>
      <c r="B2837" s="441" t="s">
        <v>3196</v>
      </c>
      <c r="C2837" s="545">
        <v>202</v>
      </c>
      <c r="D2837" s="545">
        <v>137</v>
      </c>
      <c r="E2837" s="545">
        <v>75.333333333333329</v>
      </c>
      <c r="F2837" s="545">
        <v>174.61904761904762</v>
      </c>
      <c r="G2837" s="545">
        <v>131.94999999999999</v>
      </c>
      <c r="H2837" s="545">
        <v>69</v>
      </c>
      <c r="I2837" s="545">
        <v>70.666666666666671</v>
      </c>
      <c r="J2837" s="545">
        <v>114.20238095238095</v>
      </c>
    </row>
    <row r="2838" spans="1:10">
      <c r="A2838" s="441">
        <v>6379</v>
      </c>
      <c r="B2838" s="441" t="s">
        <v>3197</v>
      </c>
      <c r="C2838" s="545">
        <v>354.16666666666663</v>
      </c>
      <c r="D2838" s="545">
        <v>281</v>
      </c>
      <c r="E2838" s="545">
        <v>186</v>
      </c>
      <c r="F2838" s="545">
        <v>319.69047619047615</v>
      </c>
      <c r="G2838" s="545">
        <v>238.55</v>
      </c>
      <c r="H2838" s="545">
        <v>170.33333333333334</v>
      </c>
      <c r="I2838" s="545">
        <v>170</v>
      </c>
      <c r="J2838" s="545">
        <v>219.01190476190476</v>
      </c>
    </row>
    <row r="2839" spans="1:10">
      <c r="A2839" s="441">
        <v>6397</v>
      </c>
      <c r="B2839" s="441" t="s">
        <v>3197</v>
      </c>
      <c r="C2839" s="545">
        <v>339.66666666666669</v>
      </c>
      <c r="D2839" s="545">
        <v>281</v>
      </c>
      <c r="E2839" s="545">
        <v>193</v>
      </c>
      <c r="F2839" s="545">
        <v>310.33333333333337</v>
      </c>
      <c r="G2839" s="545">
        <v>219.25</v>
      </c>
      <c r="H2839" s="545">
        <v>160.33333333333334</v>
      </c>
      <c r="I2839" s="545">
        <v>160</v>
      </c>
      <c r="J2839" s="545">
        <v>202.36904761904762</v>
      </c>
    </row>
    <row r="2840" spans="1:10">
      <c r="A2840" s="441">
        <v>5122</v>
      </c>
      <c r="B2840" s="441" t="s">
        <v>3198</v>
      </c>
      <c r="C2840" s="545">
        <v>32.833333333333336</v>
      </c>
      <c r="D2840" s="545">
        <v>24.333333333333336</v>
      </c>
      <c r="E2840" s="545">
        <v>15.666666666666666</v>
      </c>
      <c r="F2840" s="545">
        <v>29.166666666666668</v>
      </c>
      <c r="G2840" s="545">
        <v>31.05</v>
      </c>
      <c r="H2840" s="545">
        <v>17.333333333333332</v>
      </c>
      <c r="I2840" s="545">
        <v>17.333333333333332</v>
      </c>
      <c r="J2840" s="545">
        <v>27.130952380952383</v>
      </c>
    </row>
    <row r="2841" spans="1:10">
      <c r="A2841" s="441">
        <v>5124</v>
      </c>
      <c r="B2841" s="441" t="s">
        <v>3198</v>
      </c>
      <c r="C2841" s="545">
        <v>43</v>
      </c>
      <c r="D2841" s="545">
        <v>30.666666666666668</v>
      </c>
      <c r="E2841" s="545">
        <v>24.333333333333332</v>
      </c>
      <c r="F2841" s="545">
        <v>38.571428571428569</v>
      </c>
      <c r="G2841" s="545">
        <v>32.25</v>
      </c>
      <c r="H2841" s="545">
        <v>22.666666666666668</v>
      </c>
      <c r="I2841" s="545">
        <v>22.333333333333332</v>
      </c>
      <c r="J2841" s="545">
        <v>29.464285714285715</v>
      </c>
    </row>
    <row r="2842" spans="1:10">
      <c r="A2842" s="441">
        <v>5125</v>
      </c>
      <c r="B2842" s="441" t="s">
        <v>3198</v>
      </c>
      <c r="C2842" s="545">
        <v>17.5</v>
      </c>
      <c r="D2842" s="545">
        <v>21.666666666666664</v>
      </c>
      <c r="E2842" s="545">
        <v>15.333333333333332</v>
      </c>
      <c r="F2842" s="545">
        <v>17.785714285714285</v>
      </c>
      <c r="G2842" s="545">
        <v>15.1</v>
      </c>
      <c r="H2842" s="545">
        <v>10</v>
      </c>
      <c r="I2842" s="545">
        <v>10</v>
      </c>
      <c r="J2842" s="545">
        <v>13.642857142857142</v>
      </c>
    </row>
    <row r="2843" spans="1:10">
      <c r="A2843" s="441">
        <v>12583</v>
      </c>
      <c r="B2843" s="441" t="s">
        <v>3199</v>
      </c>
      <c r="C2843" s="545">
        <v>286.66666666666669</v>
      </c>
      <c r="D2843" s="545">
        <v>254</v>
      </c>
      <c r="E2843" s="545">
        <v>182.33333333333334</v>
      </c>
      <c r="F2843" s="545">
        <v>267.09523809523813</v>
      </c>
      <c r="G2843" s="545">
        <v>219.35</v>
      </c>
      <c r="H2843" s="545">
        <v>141.33333333333334</v>
      </c>
      <c r="I2843" s="545">
        <v>166.33333333333334</v>
      </c>
      <c r="J2843" s="545">
        <v>200.63095238095235</v>
      </c>
    </row>
    <row r="2844" spans="1:10">
      <c r="A2844" s="441">
        <v>12584</v>
      </c>
      <c r="B2844" s="441" t="s">
        <v>3199</v>
      </c>
      <c r="C2844" s="545">
        <v>166.16666666666666</v>
      </c>
      <c r="D2844" s="545">
        <v>131.66666666666666</v>
      </c>
      <c r="E2844" s="545">
        <v>102.66666666666666</v>
      </c>
      <c r="F2844" s="545">
        <v>152.16666666666666</v>
      </c>
      <c r="G2844" s="545">
        <v>119.75</v>
      </c>
      <c r="H2844" s="545">
        <v>82</v>
      </c>
      <c r="I2844" s="545">
        <v>88.333333333333329</v>
      </c>
      <c r="J2844" s="545">
        <v>109.86904761904762</v>
      </c>
    </row>
    <row r="2845" spans="1:10">
      <c r="A2845" s="441">
        <v>7692</v>
      </c>
      <c r="B2845" s="441" t="s">
        <v>3200</v>
      </c>
      <c r="C2845" s="545">
        <v>23</v>
      </c>
      <c r="D2845" s="545">
        <v>29.333333333333336</v>
      </c>
      <c r="E2845" s="545">
        <v>26.333333333333336</v>
      </c>
      <c r="F2845" s="545">
        <v>24.380952380952383</v>
      </c>
      <c r="G2845" s="545">
        <v>6.3</v>
      </c>
      <c r="H2845" s="545">
        <v>3.3333333333333335</v>
      </c>
      <c r="I2845" s="545">
        <v>4</v>
      </c>
      <c r="J2845" s="545">
        <v>5.5476190476190483</v>
      </c>
    </row>
    <row r="2846" spans="1:10">
      <c r="A2846" s="441">
        <v>7693</v>
      </c>
      <c r="B2846" s="441" t="s">
        <v>3200</v>
      </c>
      <c r="C2846" s="545">
        <v>29.666666666666668</v>
      </c>
      <c r="D2846" s="545">
        <v>19</v>
      </c>
      <c r="E2846" s="545">
        <v>9.6666666666666679</v>
      </c>
      <c r="F2846" s="545">
        <v>25.285714285714285</v>
      </c>
      <c r="G2846" s="545">
        <v>16.399999999999999</v>
      </c>
      <c r="H2846" s="545">
        <v>11.333333333333334</v>
      </c>
      <c r="I2846" s="545">
        <v>7.666666666666667</v>
      </c>
      <c r="J2846" s="545">
        <v>14.428571428571429</v>
      </c>
    </row>
    <row r="2847" spans="1:10">
      <c r="A2847" s="441">
        <v>8504</v>
      </c>
      <c r="B2847" s="441" t="s">
        <v>3200</v>
      </c>
      <c r="C2847" s="545">
        <v>47.666666666666671</v>
      </c>
      <c r="D2847" s="545">
        <v>21.333333333333336</v>
      </c>
      <c r="E2847" s="545">
        <v>13</v>
      </c>
      <c r="F2847" s="545">
        <v>38.952380952380956</v>
      </c>
      <c r="G2847" s="545">
        <v>18</v>
      </c>
      <c r="H2847" s="545">
        <v>11.666666666666666</v>
      </c>
      <c r="I2847" s="545">
        <v>10.333333333333334</v>
      </c>
      <c r="J2847" s="545">
        <v>16</v>
      </c>
    </row>
    <row r="2848" spans="1:10">
      <c r="A2848" s="441">
        <v>12012</v>
      </c>
      <c r="B2848" s="441" t="s">
        <v>3201</v>
      </c>
      <c r="C2848" s="545">
        <v>1.6666666666666667</v>
      </c>
      <c r="D2848" s="545">
        <v>0.33333333333333331</v>
      </c>
      <c r="E2848" s="545">
        <v>0.66666666666666663</v>
      </c>
      <c r="F2848" s="545">
        <v>1.3333333333333335</v>
      </c>
      <c r="G2848" s="545">
        <v>3.1</v>
      </c>
      <c r="H2848" s="545">
        <v>1.3333333333333333</v>
      </c>
      <c r="I2848" s="545">
        <v>0</v>
      </c>
      <c r="J2848" s="545">
        <v>2.4047619047619047</v>
      </c>
    </row>
    <row r="2849" spans="1:10">
      <c r="A2849" s="441">
        <v>12013</v>
      </c>
      <c r="B2849" s="441" t="s">
        <v>3201</v>
      </c>
      <c r="C2849" s="545">
        <v>1</v>
      </c>
      <c r="D2849" s="545">
        <v>0</v>
      </c>
      <c r="E2849" s="545">
        <v>0</v>
      </c>
      <c r="F2849" s="545">
        <v>0.7142857142857143</v>
      </c>
      <c r="G2849" s="545">
        <v>0.6</v>
      </c>
      <c r="H2849" s="545">
        <v>0</v>
      </c>
      <c r="I2849" s="545">
        <v>0</v>
      </c>
      <c r="J2849" s="545">
        <v>0.42857142857142855</v>
      </c>
    </row>
    <row r="2850" spans="1:10">
      <c r="A2850" s="441">
        <v>6384</v>
      </c>
      <c r="B2850" s="441" t="s">
        <v>3202</v>
      </c>
      <c r="C2850" s="545">
        <v>120.83333333333333</v>
      </c>
      <c r="D2850" s="545">
        <v>57</v>
      </c>
      <c r="E2850" s="545">
        <v>55</v>
      </c>
      <c r="F2850" s="545">
        <v>102.30952380952381</v>
      </c>
      <c r="G2850" s="545">
        <v>66.45</v>
      </c>
      <c r="H2850" s="545">
        <v>46</v>
      </c>
      <c r="I2850" s="545">
        <v>44.666666666666664</v>
      </c>
      <c r="J2850" s="545">
        <v>60.416666666666671</v>
      </c>
    </row>
    <row r="2851" spans="1:10">
      <c r="A2851" s="441">
        <v>6393</v>
      </c>
      <c r="B2851" s="441" t="s">
        <v>3202</v>
      </c>
      <c r="C2851" s="545">
        <v>94</v>
      </c>
      <c r="D2851" s="545">
        <v>65.333333333333329</v>
      </c>
      <c r="E2851" s="545">
        <v>55.333333333333336</v>
      </c>
      <c r="F2851" s="545">
        <v>84.380952380952394</v>
      </c>
      <c r="G2851" s="545">
        <v>73.099999999999994</v>
      </c>
      <c r="H2851" s="545">
        <v>45.666666666666664</v>
      </c>
      <c r="I2851" s="545">
        <v>45.333333333333336</v>
      </c>
      <c r="J2851" s="545">
        <v>65.214285714285708</v>
      </c>
    </row>
    <row r="2852" spans="1:10">
      <c r="A2852" s="441">
        <v>12585</v>
      </c>
      <c r="B2852" s="441" t="s">
        <v>3203</v>
      </c>
      <c r="C2852" s="545">
        <v>12.166666666666666</v>
      </c>
      <c r="D2852" s="545">
        <v>6.6666666666666661</v>
      </c>
      <c r="E2852" s="545">
        <v>5.3333333333333339</v>
      </c>
      <c r="F2852" s="545">
        <v>10.404761904761903</v>
      </c>
      <c r="G2852" s="545">
        <v>6</v>
      </c>
      <c r="H2852" s="545">
        <v>12</v>
      </c>
      <c r="I2852" s="545">
        <v>4</v>
      </c>
      <c r="J2852" s="545">
        <v>6.5714285714285712</v>
      </c>
    </row>
    <row r="2853" spans="1:10">
      <c r="A2853" s="441">
        <v>12099</v>
      </c>
      <c r="B2853" s="441" t="s">
        <v>3204</v>
      </c>
      <c r="C2853" s="545">
        <v>53.333333333333329</v>
      </c>
      <c r="D2853" s="545">
        <v>31</v>
      </c>
      <c r="E2853" s="545">
        <v>58.666666666666664</v>
      </c>
      <c r="F2853" s="545">
        <v>50.904761904761905</v>
      </c>
      <c r="G2853" s="545">
        <v>33</v>
      </c>
      <c r="H2853" s="545">
        <v>22.333333333333332</v>
      </c>
      <c r="I2853" s="545">
        <v>48.333333333333336</v>
      </c>
      <c r="J2853" s="545">
        <v>33.666666666666671</v>
      </c>
    </row>
    <row r="2854" spans="1:10">
      <c r="A2854" s="441">
        <v>1323</v>
      </c>
      <c r="B2854" s="441" t="s">
        <v>3205</v>
      </c>
      <c r="C2854" s="545">
        <v>15.5</v>
      </c>
      <c r="D2854" s="545">
        <v>10.333333333333334</v>
      </c>
      <c r="E2854" s="545">
        <v>6.666666666666667</v>
      </c>
      <c r="F2854" s="545">
        <v>13.5</v>
      </c>
      <c r="G2854" s="545">
        <v>3.1</v>
      </c>
      <c r="H2854" s="545">
        <v>3</v>
      </c>
      <c r="I2854" s="545">
        <v>1.6666666666666667</v>
      </c>
      <c r="J2854" s="545">
        <v>2.8809523809523809</v>
      </c>
    </row>
    <row r="2855" spans="1:10">
      <c r="A2855" s="441">
        <v>1324</v>
      </c>
      <c r="B2855" s="441" t="s">
        <v>3205</v>
      </c>
      <c r="C2855" s="545">
        <v>111.16666666666667</v>
      </c>
      <c r="D2855" s="545">
        <v>124</v>
      </c>
      <c r="E2855" s="545">
        <v>111.33333333333333</v>
      </c>
      <c r="F2855" s="545">
        <v>113.02380952380953</v>
      </c>
      <c r="G2855" s="545">
        <v>74.5</v>
      </c>
      <c r="H2855" s="545">
        <v>52.666666666666664</v>
      </c>
      <c r="I2855" s="545">
        <v>93</v>
      </c>
      <c r="J2855" s="545">
        <v>74.023809523809533</v>
      </c>
    </row>
    <row r="2856" spans="1:10">
      <c r="A2856" s="441">
        <v>877</v>
      </c>
      <c r="B2856" s="441" t="s">
        <v>3206</v>
      </c>
      <c r="C2856" s="545">
        <v>12.166666666666666</v>
      </c>
      <c r="D2856" s="545">
        <v>3</v>
      </c>
      <c r="E2856" s="545">
        <v>5.666666666666667</v>
      </c>
      <c r="F2856" s="545">
        <v>9.9285714285714288</v>
      </c>
      <c r="G2856" s="545">
        <v>9.9</v>
      </c>
      <c r="H2856" s="545">
        <v>2</v>
      </c>
      <c r="I2856" s="545">
        <v>1.6666666666666667</v>
      </c>
      <c r="J2856" s="545">
        <v>7.5952380952380949</v>
      </c>
    </row>
    <row r="2857" spans="1:10">
      <c r="A2857" s="441">
        <v>90192</v>
      </c>
      <c r="B2857" s="441" t="s">
        <v>3207</v>
      </c>
      <c r="C2857" s="545">
        <v>0</v>
      </c>
      <c r="D2857" s="545">
        <v>0</v>
      </c>
      <c r="E2857" s="545">
        <v>0</v>
      </c>
      <c r="F2857" s="545">
        <v>0</v>
      </c>
      <c r="G2857" s="545">
        <v>0</v>
      </c>
      <c r="H2857" s="545"/>
      <c r="I2857" s="545"/>
      <c r="J2857" s="545">
        <v>0</v>
      </c>
    </row>
    <row r="2858" spans="1:10">
      <c r="A2858" s="441">
        <v>90193</v>
      </c>
      <c r="B2858" s="441" t="s">
        <v>3207</v>
      </c>
      <c r="C2858" s="545">
        <v>0</v>
      </c>
      <c r="D2858" s="545">
        <v>0</v>
      </c>
      <c r="E2858" s="545">
        <v>0</v>
      </c>
      <c r="F2858" s="545">
        <v>0</v>
      </c>
      <c r="G2858" s="545">
        <v>2.4500000000000002</v>
      </c>
      <c r="H2858" s="545"/>
      <c r="I2858" s="545"/>
      <c r="J2858" s="545">
        <v>1.75</v>
      </c>
    </row>
    <row r="2859" spans="1:10">
      <c r="A2859" s="441">
        <v>11749</v>
      </c>
      <c r="B2859" s="441" t="s">
        <v>3208</v>
      </c>
      <c r="C2859" s="545">
        <v>26.5</v>
      </c>
      <c r="D2859" s="545">
        <v>11.333333333333334</v>
      </c>
      <c r="E2859" s="545">
        <v>12.666666666666666</v>
      </c>
      <c r="F2859" s="545">
        <v>22.357142857142858</v>
      </c>
      <c r="G2859" s="545">
        <v>18.45</v>
      </c>
      <c r="H2859" s="545">
        <v>13</v>
      </c>
      <c r="I2859" s="545">
        <v>5.666666666666667</v>
      </c>
      <c r="J2859" s="545">
        <v>15.845238095238097</v>
      </c>
    </row>
    <row r="2860" spans="1:10">
      <c r="A2860" s="441">
        <v>11750</v>
      </c>
      <c r="B2860" s="441" t="s">
        <v>3208</v>
      </c>
      <c r="C2860" s="545">
        <v>22.666666666666668</v>
      </c>
      <c r="D2860" s="545">
        <v>9.6666666666666679</v>
      </c>
      <c r="E2860" s="545">
        <v>15.666666666666666</v>
      </c>
      <c r="F2860" s="545">
        <v>19.809523809523814</v>
      </c>
      <c r="G2860" s="545">
        <v>16.75</v>
      </c>
      <c r="H2860" s="545">
        <v>5.666666666666667</v>
      </c>
      <c r="I2860" s="545">
        <v>7.333333333333333</v>
      </c>
      <c r="J2860" s="545">
        <v>13.821428571428571</v>
      </c>
    </row>
    <row r="2861" spans="1:10">
      <c r="A2861" s="441">
        <v>11751</v>
      </c>
      <c r="B2861" s="441" t="s">
        <v>3209</v>
      </c>
      <c r="C2861" s="545">
        <v>21.833333333333336</v>
      </c>
      <c r="D2861" s="545">
        <v>11.666666666666666</v>
      </c>
      <c r="E2861" s="545">
        <v>11</v>
      </c>
      <c r="F2861" s="545">
        <v>18.833333333333339</v>
      </c>
      <c r="G2861" s="545">
        <v>30.85</v>
      </c>
      <c r="H2861" s="545">
        <v>17.666666666666668</v>
      </c>
      <c r="I2861" s="545">
        <v>8.3333333333333339</v>
      </c>
      <c r="J2861" s="545">
        <v>25.75</v>
      </c>
    </row>
    <row r="2862" spans="1:10">
      <c r="A2862" s="441">
        <v>11752</v>
      </c>
      <c r="B2862" s="441" t="s">
        <v>3209</v>
      </c>
      <c r="C2862" s="545">
        <v>19</v>
      </c>
      <c r="D2862" s="545">
        <v>10.333333333333334</v>
      </c>
      <c r="E2862" s="545">
        <v>15.666666666666666</v>
      </c>
      <c r="F2862" s="545">
        <v>17.285714285714285</v>
      </c>
      <c r="G2862" s="545">
        <v>22.65</v>
      </c>
      <c r="H2862" s="545">
        <v>13.333333333333334</v>
      </c>
      <c r="I2862" s="545">
        <v>7.666666666666667</v>
      </c>
      <c r="J2862" s="545">
        <v>19.178571428571427</v>
      </c>
    </row>
    <row r="2863" spans="1:10">
      <c r="A2863" s="441">
        <v>11743</v>
      </c>
      <c r="B2863" s="441" t="s">
        <v>3210</v>
      </c>
      <c r="C2863" s="545">
        <v>109.16666666666666</v>
      </c>
      <c r="D2863" s="545">
        <v>81</v>
      </c>
      <c r="E2863" s="545">
        <v>62</v>
      </c>
      <c r="F2863" s="545">
        <v>98.404761904761898</v>
      </c>
      <c r="G2863" s="545">
        <v>86.45</v>
      </c>
      <c r="H2863" s="545">
        <v>65.666666666666671</v>
      </c>
      <c r="I2863" s="545">
        <v>27.333333333333332</v>
      </c>
      <c r="J2863" s="545">
        <v>75.035714285714292</v>
      </c>
    </row>
    <row r="2864" spans="1:10">
      <c r="A2864" s="441">
        <v>11744</v>
      </c>
      <c r="B2864" s="441" t="s">
        <v>3210</v>
      </c>
      <c r="C2864" s="545">
        <v>82.333333333333343</v>
      </c>
      <c r="D2864" s="545">
        <v>59.666666666666664</v>
      </c>
      <c r="E2864" s="545">
        <v>51.666666666666671</v>
      </c>
      <c r="F2864" s="545">
        <v>74.714285714285737</v>
      </c>
      <c r="G2864" s="545">
        <v>65.8</v>
      </c>
      <c r="H2864" s="545">
        <v>39.666666666666664</v>
      </c>
      <c r="I2864" s="545">
        <v>19.666666666666668</v>
      </c>
      <c r="J2864" s="545">
        <v>55.476190476190482</v>
      </c>
    </row>
    <row r="2865" spans="1:10">
      <c r="A2865" s="441">
        <v>11753</v>
      </c>
      <c r="B2865" s="441" t="s">
        <v>3211</v>
      </c>
      <c r="C2865" s="545">
        <v>47.666666666666671</v>
      </c>
      <c r="D2865" s="545">
        <v>32.666666666666664</v>
      </c>
      <c r="E2865" s="545">
        <v>28.666666666666664</v>
      </c>
      <c r="F2865" s="545">
        <v>42.809523809523817</v>
      </c>
      <c r="G2865" s="545">
        <v>36.75</v>
      </c>
      <c r="H2865" s="545">
        <v>22.666666666666668</v>
      </c>
      <c r="I2865" s="545">
        <v>9.3333333333333339</v>
      </c>
      <c r="J2865" s="545">
        <v>30.821428571428573</v>
      </c>
    </row>
    <row r="2866" spans="1:10">
      <c r="A2866" s="441">
        <v>11754</v>
      </c>
      <c r="B2866" s="441" t="s">
        <v>3211</v>
      </c>
      <c r="C2866" s="545">
        <v>46.333333333333329</v>
      </c>
      <c r="D2866" s="545">
        <v>35.333333333333329</v>
      </c>
      <c r="E2866" s="545">
        <v>30.666666666666664</v>
      </c>
      <c r="F2866" s="545">
        <v>42.523809523809518</v>
      </c>
      <c r="G2866" s="545">
        <v>38.65</v>
      </c>
      <c r="H2866" s="545">
        <v>25.333333333333332</v>
      </c>
      <c r="I2866" s="545">
        <v>9.3333333333333339</v>
      </c>
      <c r="J2866" s="545">
        <v>32.55952380952381</v>
      </c>
    </row>
    <row r="2867" spans="1:10">
      <c r="A2867" s="441">
        <v>11741</v>
      </c>
      <c r="B2867" s="441" t="s">
        <v>3212</v>
      </c>
      <c r="C2867" s="545">
        <v>13.333333333333334</v>
      </c>
      <c r="D2867" s="545">
        <v>10</v>
      </c>
      <c r="E2867" s="545">
        <v>12.666666666666666</v>
      </c>
      <c r="F2867" s="545">
        <v>12.761904761904763</v>
      </c>
      <c r="G2867" s="545">
        <v>16.399999999999999</v>
      </c>
      <c r="H2867" s="545">
        <v>8</v>
      </c>
      <c r="I2867" s="545">
        <v>8</v>
      </c>
      <c r="J2867" s="545">
        <v>14</v>
      </c>
    </row>
    <row r="2868" spans="1:10">
      <c r="A2868" s="441">
        <v>11742</v>
      </c>
      <c r="B2868" s="441" t="s">
        <v>3212</v>
      </c>
      <c r="C2868" s="545">
        <v>25.666666666666664</v>
      </c>
      <c r="D2868" s="545">
        <v>18.333333333333336</v>
      </c>
      <c r="E2868" s="545">
        <v>20</v>
      </c>
      <c r="F2868" s="545">
        <v>23.809523809523807</v>
      </c>
      <c r="G2868" s="545">
        <v>18.100000000000001</v>
      </c>
      <c r="H2868" s="545">
        <v>14.333333333333334</v>
      </c>
      <c r="I2868" s="545">
        <v>4.333333333333333</v>
      </c>
      <c r="J2868" s="545">
        <v>15.595238095238093</v>
      </c>
    </row>
    <row r="2869" spans="1:10">
      <c r="A2869" s="441">
        <v>11747</v>
      </c>
      <c r="B2869" s="441" t="s">
        <v>3213</v>
      </c>
      <c r="C2869" s="545">
        <v>138.66666666666669</v>
      </c>
      <c r="D2869" s="545">
        <v>114</v>
      </c>
      <c r="E2869" s="545">
        <v>96</v>
      </c>
      <c r="F2869" s="545">
        <v>129.04761904761907</v>
      </c>
      <c r="G2869" s="545">
        <v>113.85</v>
      </c>
      <c r="H2869" s="545">
        <v>72.666666666666671</v>
      </c>
      <c r="I2869" s="545">
        <v>27.333333333333332</v>
      </c>
      <c r="J2869" s="545">
        <v>95.607142857142861</v>
      </c>
    </row>
    <row r="2870" spans="1:10">
      <c r="A2870" s="441">
        <v>11748</v>
      </c>
      <c r="B2870" s="441" t="s">
        <v>3213</v>
      </c>
      <c r="C2870" s="545">
        <v>83.833333333333343</v>
      </c>
      <c r="D2870" s="545">
        <v>82.333333333333329</v>
      </c>
      <c r="E2870" s="545">
        <v>59.333333333333329</v>
      </c>
      <c r="F2870" s="545">
        <v>80.11904761904762</v>
      </c>
      <c r="G2870" s="545">
        <v>76.8</v>
      </c>
      <c r="H2870" s="545">
        <v>42.666666666666664</v>
      </c>
      <c r="I2870" s="545">
        <v>24.333333333333332</v>
      </c>
      <c r="J2870" s="545">
        <v>64.428571428571431</v>
      </c>
    </row>
    <row r="2871" spans="1:10">
      <c r="A2871" s="441">
        <v>11740</v>
      </c>
      <c r="B2871" s="441" t="s">
        <v>3214</v>
      </c>
      <c r="C2871" s="545">
        <v>23.833333333333332</v>
      </c>
      <c r="D2871" s="545">
        <v>14</v>
      </c>
      <c r="E2871" s="545">
        <v>20.333333333333332</v>
      </c>
      <c r="F2871" s="545">
        <v>21.928571428571427</v>
      </c>
      <c r="G2871" s="545">
        <v>16</v>
      </c>
      <c r="H2871" s="545">
        <v>9</v>
      </c>
      <c r="I2871" s="545">
        <v>8</v>
      </c>
      <c r="J2871" s="545">
        <v>13.857142857142858</v>
      </c>
    </row>
    <row r="2872" spans="1:10">
      <c r="A2872" s="441">
        <v>11745</v>
      </c>
      <c r="B2872" s="441" t="s">
        <v>3215</v>
      </c>
      <c r="C2872" s="545">
        <v>14.5</v>
      </c>
      <c r="D2872" s="545">
        <v>8.6666666666666661</v>
      </c>
      <c r="E2872" s="545">
        <v>12.333333333333334</v>
      </c>
      <c r="F2872" s="545">
        <v>13.357142857142858</v>
      </c>
      <c r="G2872" s="545">
        <v>17.55</v>
      </c>
      <c r="H2872" s="545">
        <v>11</v>
      </c>
      <c r="I2872" s="545">
        <v>7.666666666666667</v>
      </c>
      <c r="J2872" s="545">
        <v>15.202380952380953</v>
      </c>
    </row>
    <row r="2873" spans="1:10">
      <c r="A2873" s="441">
        <v>11746</v>
      </c>
      <c r="B2873" s="441" t="s">
        <v>3215</v>
      </c>
      <c r="C2873" s="545">
        <v>47.666666666666664</v>
      </c>
      <c r="D2873" s="545">
        <v>33.666666666666664</v>
      </c>
      <c r="E2873" s="545">
        <v>31.333333333333332</v>
      </c>
      <c r="F2873" s="545">
        <v>43.333333333333329</v>
      </c>
      <c r="G2873" s="545">
        <v>32.9</v>
      </c>
      <c r="H2873" s="545">
        <v>21</v>
      </c>
      <c r="I2873" s="545">
        <v>13.666666666666666</v>
      </c>
      <c r="J2873" s="545">
        <v>28.452380952380953</v>
      </c>
    </row>
    <row r="2874" spans="1:10">
      <c r="A2874" s="441">
        <v>120</v>
      </c>
      <c r="B2874" s="441" t="s">
        <v>3216</v>
      </c>
      <c r="C2874" s="545">
        <v>1.6666666666666665</v>
      </c>
      <c r="D2874" s="545">
        <v>0</v>
      </c>
      <c r="E2874" s="545">
        <v>0.66666666666666663</v>
      </c>
      <c r="F2874" s="545">
        <v>1.2857142857142854</v>
      </c>
      <c r="G2874" s="545">
        <v>4.3</v>
      </c>
      <c r="H2874" s="545">
        <v>0</v>
      </c>
      <c r="I2874" s="545">
        <v>1.6666666666666667</v>
      </c>
      <c r="J2874" s="545">
        <v>3.3095238095238098</v>
      </c>
    </row>
    <row r="2875" spans="1:10">
      <c r="A2875" s="441">
        <v>6159</v>
      </c>
      <c r="B2875" s="441" t="s">
        <v>3216</v>
      </c>
      <c r="C2875" s="545">
        <v>1</v>
      </c>
      <c r="D2875" s="545">
        <v>0.66666666666666663</v>
      </c>
      <c r="E2875" s="545">
        <v>0.33333333333333331</v>
      </c>
      <c r="F2875" s="545">
        <v>0.8571428571428571</v>
      </c>
      <c r="G2875" s="545">
        <v>7.4</v>
      </c>
      <c r="H2875" s="545">
        <v>0.66666666666666663</v>
      </c>
      <c r="I2875" s="545">
        <v>0</v>
      </c>
      <c r="J2875" s="545">
        <v>5.3809523809523805</v>
      </c>
    </row>
    <row r="2876" spans="1:10">
      <c r="A2876" s="441">
        <v>6158</v>
      </c>
      <c r="B2876" s="441" t="s">
        <v>3217</v>
      </c>
      <c r="C2876" s="545">
        <v>64.5</v>
      </c>
      <c r="D2876" s="545">
        <v>42.666666666666664</v>
      </c>
      <c r="E2876" s="545">
        <v>34.333333333333336</v>
      </c>
      <c r="F2876" s="545">
        <v>57.071428571428569</v>
      </c>
      <c r="G2876" s="545">
        <v>36.549999999999997</v>
      </c>
      <c r="H2876" s="545">
        <v>30</v>
      </c>
      <c r="I2876" s="545">
        <v>19.333333333333332</v>
      </c>
      <c r="J2876" s="545">
        <v>33.154761904761905</v>
      </c>
    </row>
    <row r="2877" spans="1:10">
      <c r="A2877" s="441">
        <v>6162</v>
      </c>
      <c r="B2877" s="441" t="s">
        <v>3217</v>
      </c>
      <c r="C2877" s="545">
        <v>37.666666666666671</v>
      </c>
      <c r="D2877" s="545">
        <v>14.333333333333334</v>
      </c>
      <c r="E2877" s="545">
        <v>16.333333333333336</v>
      </c>
      <c r="F2877" s="545">
        <v>31.285714285714295</v>
      </c>
      <c r="G2877" s="545">
        <v>23.75</v>
      </c>
      <c r="H2877" s="545">
        <v>18.333333333333332</v>
      </c>
      <c r="I2877" s="545">
        <v>15</v>
      </c>
      <c r="J2877" s="545">
        <v>21.726190476190478</v>
      </c>
    </row>
    <row r="2878" spans="1:10">
      <c r="A2878" s="441">
        <v>6160</v>
      </c>
      <c r="B2878" s="441" t="s">
        <v>3218</v>
      </c>
      <c r="C2878" s="545">
        <v>3.1666666666666665</v>
      </c>
      <c r="D2878" s="545">
        <v>1</v>
      </c>
      <c r="E2878" s="545">
        <v>0.66666666666666663</v>
      </c>
      <c r="F2878" s="545">
        <v>2.5</v>
      </c>
      <c r="G2878" s="545">
        <v>2.5499999999999998</v>
      </c>
      <c r="H2878" s="545">
        <v>0.33333333333333331</v>
      </c>
      <c r="I2878" s="545">
        <v>0.33333333333333331</v>
      </c>
      <c r="J2878" s="545">
        <v>1.9166666666666667</v>
      </c>
    </row>
    <row r="2879" spans="1:10">
      <c r="A2879" s="441">
        <v>6161</v>
      </c>
      <c r="B2879" s="441" t="s">
        <v>3218</v>
      </c>
      <c r="C2879" s="545">
        <v>45.5</v>
      </c>
      <c r="D2879" s="545">
        <v>5</v>
      </c>
      <c r="E2879" s="545">
        <v>3</v>
      </c>
      <c r="F2879" s="545">
        <v>33.642857142857146</v>
      </c>
      <c r="G2879" s="545">
        <v>28.4</v>
      </c>
      <c r="H2879" s="545">
        <v>7.666666666666667</v>
      </c>
      <c r="I2879" s="545">
        <v>1</v>
      </c>
      <c r="J2879" s="545">
        <v>21.523809523809522</v>
      </c>
    </row>
    <row r="2880" spans="1:10">
      <c r="A2880" s="441">
        <v>9211</v>
      </c>
      <c r="B2880" s="441" t="s">
        <v>3219</v>
      </c>
      <c r="C2880" s="545">
        <v>247.66666666666669</v>
      </c>
      <c r="D2880" s="545">
        <v>54</v>
      </c>
      <c r="E2880" s="545">
        <v>39.333333333333336</v>
      </c>
      <c r="F2880" s="545">
        <v>190.23809523809524</v>
      </c>
      <c r="G2880" s="545">
        <v>89.9</v>
      </c>
      <c r="H2880" s="545">
        <v>35.666666666666664</v>
      </c>
      <c r="I2880" s="545">
        <v>27.333333333333332</v>
      </c>
      <c r="J2880" s="545">
        <v>73.214285714285708</v>
      </c>
    </row>
    <row r="2881" spans="1:10">
      <c r="A2881" s="441">
        <v>9205</v>
      </c>
      <c r="B2881" s="441" t="s">
        <v>3220</v>
      </c>
      <c r="C2881" s="545">
        <v>37</v>
      </c>
      <c r="D2881" s="545">
        <v>22.666666666666664</v>
      </c>
      <c r="E2881" s="545">
        <v>24.666666666666668</v>
      </c>
      <c r="F2881" s="545">
        <v>33.19047619047619</v>
      </c>
      <c r="G2881" s="545">
        <v>32.4</v>
      </c>
      <c r="H2881" s="545">
        <v>25.666666666666668</v>
      </c>
      <c r="I2881" s="545">
        <v>24.333333333333332</v>
      </c>
      <c r="J2881" s="545">
        <v>30.285714285714285</v>
      </c>
    </row>
    <row r="2882" spans="1:10">
      <c r="A2882" s="441">
        <v>9226</v>
      </c>
      <c r="B2882" s="441" t="s">
        <v>3220</v>
      </c>
      <c r="C2882" s="545">
        <v>29.333333333333332</v>
      </c>
      <c r="D2882" s="545">
        <v>24.666666666666664</v>
      </c>
      <c r="E2882" s="545">
        <v>27.666666666666668</v>
      </c>
      <c r="F2882" s="545">
        <v>28.428571428571423</v>
      </c>
      <c r="G2882" s="545">
        <v>18.100000000000001</v>
      </c>
      <c r="H2882" s="545">
        <v>12.333333333333334</v>
      </c>
      <c r="I2882" s="545">
        <v>15.333333333333334</v>
      </c>
      <c r="J2882" s="545">
        <v>16.88095238095238</v>
      </c>
    </row>
    <row r="2883" spans="1:10">
      <c r="A2883" s="441">
        <v>9210</v>
      </c>
      <c r="B2883" s="441" t="s">
        <v>3221</v>
      </c>
      <c r="C2883" s="545">
        <v>169.5</v>
      </c>
      <c r="D2883" s="545">
        <v>0</v>
      </c>
      <c r="E2883" s="545">
        <v>0</v>
      </c>
      <c r="F2883" s="545">
        <v>121.07142857142857</v>
      </c>
      <c r="G2883" s="545">
        <v>42.65</v>
      </c>
      <c r="H2883" s="545"/>
      <c r="I2883" s="545"/>
      <c r="J2883" s="545">
        <v>30.464285714285715</v>
      </c>
    </row>
    <row r="2884" spans="1:10">
      <c r="A2884" s="441">
        <v>1262</v>
      </c>
      <c r="B2884" s="441" t="s">
        <v>3222</v>
      </c>
      <c r="C2884" s="545">
        <v>49.833333333333329</v>
      </c>
      <c r="D2884" s="545">
        <v>69</v>
      </c>
      <c r="E2884" s="545">
        <v>54.333333333333329</v>
      </c>
      <c r="F2884" s="545">
        <v>53.214285714285708</v>
      </c>
      <c r="G2884" s="545">
        <v>33.299999999999997</v>
      </c>
      <c r="H2884" s="545">
        <v>36</v>
      </c>
      <c r="I2884" s="545">
        <v>64</v>
      </c>
      <c r="J2884" s="545">
        <v>38.071428571428569</v>
      </c>
    </row>
    <row r="2885" spans="1:10">
      <c r="A2885" s="441">
        <v>9215</v>
      </c>
      <c r="B2885" s="441" t="s">
        <v>3223</v>
      </c>
      <c r="C2885" s="545">
        <v>134.66666666666669</v>
      </c>
      <c r="D2885" s="545">
        <v>128.33333333333334</v>
      </c>
      <c r="E2885" s="545">
        <v>105</v>
      </c>
      <c r="F2885" s="545">
        <v>129.52380952380955</v>
      </c>
      <c r="G2885" s="545">
        <v>91</v>
      </c>
      <c r="H2885" s="545">
        <v>76.666666666666671</v>
      </c>
      <c r="I2885" s="545">
        <v>73.333333333333329</v>
      </c>
      <c r="J2885" s="545">
        <v>86.428571428571431</v>
      </c>
    </row>
    <row r="2886" spans="1:10">
      <c r="A2886" s="441">
        <v>9206</v>
      </c>
      <c r="B2886" s="441" t="s">
        <v>3224</v>
      </c>
      <c r="C2886" s="545">
        <v>43.166666666666664</v>
      </c>
      <c r="D2886" s="545">
        <v>25</v>
      </c>
      <c r="E2886" s="545">
        <v>14.666666666666666</v>
      </c>
      <c r="F2886" s="545">
        <v>36.499999999999993</v>
      </c>
      <c r="G2886" s="545">
        <v>27.3</v>
      </c>
      <c r="H2886" s="545">
        <v>11.666666666666666</v>
      </c>
      <c r="I2886" s="545">
        <v>13</v>
      </c>
      <c r="J2886" s="545">
        <v>23.023809523809522</v>
      </c>
    </row>
    <row r="2887" spans="1:10">
      <c r="A2887" s="441">
        <v>9225</v>
      </c>
      <c r="B2887" s="441" t="s">
        <v>3224</v>
      </c>
      <c r="C2887" s="545">
        <v>511.66666666666663</v>
      </c>
      <c r="D2887" s="545">
        <v>394.66666666666663</v>
      </c>
      <c r="E2887" s="545">
        <v>309.33333333333337</v>
      </c>
      <c r="F2887" s="545">
        <v>466.04761904761898</v>
      </c>
      <c r="G2887" s="545">
        <v>71</v>
      </c>
      <c r="H2887" s="545">
        <v>40.666666666666664</v>
      </c>
      <c r="I2887" s="545">
        <v>41.666666666666664</v>
      </c>
      <c r="J2887" s="545">
        <v>62.476190476190482</v>
      </c>
    </row>
    <row r="2888" spans="1:10">
      <c r="A2888" s="441">
        <v>9213</v>
      </c>
      <c r="B2888" s="441" t="s">
        <v>3225</v>
      </c>
      <c r="C2888" s="545">
        <v>70.5</v>
      </c>
      <c r="D2888" s="545">
        <v>64.333333333333329</v>
      </c>
      <c r="E2888" s="545">
        <v>48</v>
      </c>
      <c r="F2888" s="545">
        <v>66.404761904761898</v>
      </c>
      <c r="G2888" s="545">
        <v>57.05</v>
      </c>
      <c r="H2888" s="545">
        <v>37.333333333333336</v>
      </c>
      <c r="I2888" s="545">
        <v>38.666666666666664</v>
      </c>
      <c r="J2888" s="545">
        <v>51.607142857142854</v>
      </c>
    </row>
    <row r="2889" spans="1:10">
      <c r="A2889" s="441">
        <v>277</v>
      </c>
      <c r="B2889" s="441" t="s">
        <v>3226</v>
      </c>
      <c r="C2889" s="545">
        <v>134.83333333333334</v>
      </c>
      <c r="D2889" s="545">
        <v>0</v>
      </c>
      <c r="E2889" s="545">
        <v>0</v>
      </c>
      <c r="F2889" s="545">
        <v>96.309523809523824</v>
      </c>
      <c r="G2889" s="545">
        <v>13.3</v>
      </c>
      <c r="H2889" s="545"/>
      <c r="I2889" s="545"/>
      <c r="J2889" s="545">
        <v>9.5</v>
      </c>
    </row>
    <row r="2890" spans="1:10">
      <c r="A2890" s="441">
        <v>9216</v>
      </c>
      <c r="B2890" s="441" t="s">
        <v>3227</v>
      </c>
      <c r="C2890" s="545">
        <v>82.166666666666657</v>
      </c>
      <c r="D2890" s="545">
        <v>81</v>
      </c>
      <c r="E2890" s="545">
        <v>78</v>
      </c>
      <c r="F2890" s="545">
        <v>81.404761904761898</v>
      </c>
      <c r="G2890" s="545">
        <v>53.2</v>
      </c>
      <c r="H2890" s="545">
        <v>55.333333333333336</v>
      </c>
      <c r="I2890" s="545">
        <v>85.666666666666671</v>
      </c>
      <c r="J2890" s="545">
        <v>58.142857142857146</v>
      </c>
    </row>
    <row r="2891" spans="1:10">
      <c r="A2891" s="441">
        <v>9212</v>
      </c>
      <c r="B2891" s="441" t="s">
        <v>3228</v>
      </c>
      <c r="C2891" s="545">
        <v>84.833333333333343</v>
      </c>
      <c r="D2891" s="545">
        <v>0</v>
      </c>
      <c r="E2891" s="545">
        <v>0</v>
      </c>
      <c r="F2891" s="545">
        <v>60.595238095238109</v>
      </c>
      <c r="G2891" s="545">
        <v>9</v>
      </c>
      <c r="H2891" s="545"/>
      <c r="I2891" s="545"/>
      <c r="J2891" s="545">
        <v>6.4285714285714288</v>
      </c>
    </row>
    <row r="2892" spans="1:10">
      <c r="A2892" s="441">
        <v>9208</v>
      </c>
      <c r="B2892" s="441" t="s">
        <v>3229</v>
      </c>
      <c r="C2892" s="545">
        <v>369.83333333333337</v>
      </c>
      <c r="D2892" s="545">
        <v>164.66666666666666</v>
      </c>
      <c r="E2892" s="545">
        <v>139.33333333333331</v>
      </c>
      <c r="F2892" s="545">
        <v>307.59523809523813</v>
      </c>
      <c r="G2892" s="545">
        <v>167.8</v>
      </c>
      <c r="H2892" s="545">
        <v>78.333333333333329</v>
      </c>
      <c r="I2892" s="545">
        <v>98.666666666666671</v>
      </c>
      <c r="J2892" s="545">
        <v>145.14285714285714</v>
      </c>
    </row>
    <row r="2893" spans="1:10">
      <c r="A2893" s="441">
        <v>10860</v>
      </c>
      <c r="B2893" s="441" t="s">
        <v>3230</v>
      </c>
      <c r="C2893" s="545">
        <v>7.833333333333333</v>
      </c>
      <c r="D2893" s="545">
        <v>2.6666666666666665</v>
      </c>
      <c r="E2893" s="545">
        <v>2.333333333333333</v>
      </c>
      <c r="F2893" s="545">
        <v>6.3095238095238093</v>
      </c>
      <c r="G2893" s="545">
        <v>4.45</v>
      </c>
      <c r="H2893" s="545">
        <v>1.3333333333333333</v>
      </c>
      <c r="I2893" s="545">
        <v>3</v>
      </c>
      <c r="J2893" s="545">
        <v>3.7976190476190474</v>
      </c>
    </row>
    <row r="2894" spans="1:10">
      <c r="A2894" s="441">
        <v>9207</v>
      </c>
      <c r="B2894" s="441" t="s">
        <v>3231</v>
      </c>
      <c r="C2894" s="545">
        <v>55.5</v>
      </c>
      <c r="D2894" s="545">
        <v>19</v>
      </c>
      <c r="E2894" s="545">
        <v>25.666666666666664</v>
      </c>
      <c r="F2894" s="545">
        <v>46.023809523809526</v>
      </c>
      <c r="G2894" s="545">
        <v>31.45</v>
      </c>
      <c r="H2894" s="545">
        <v>17.333333333333332</v>
      </c>
      <c r="I2894" s="545">
        <v>11.666666666666666</v>
      </c>
      <c r="J2894" s="545">
        <v>26.607142857142858</v>
      </c>
    </row>
    <row r="2895" spans="1:10">
      <c r="A2895" s="441">
        <v>9209</v>
      </c>
      <c r="B2895" s="441" t="s">
        <v>3232</v>
      </c>
      <c r="C2895" s="545">
        <v>203.33333333333334</v>
      </c>
      <c r="D2895" s="545">
        <v>44.333333333333336</v>
      </c>
      <c r="E2895" s="545">
        <v>27</v>
      </c>
      <c r="F2895" s="545">
        <v>155.42857142857142</v>
      </c>
      <c r="G2895" s="545">
        <v>55.8</v>
      </c>
      <c r="H2895" s="545">
        <v>19</v>
      </c>
      <c r="I2895" s="545">
        <v>22</v>
      </c>
      <c r="J2895" s="545">
        <v>45.714285714285715</v>
      </c>
    </row>
    <row r="2896" spans="1:10">
      <c r="A2896" s="441">
        <v>11202</v>
      </c>
      <c r="B2896" s="441" t="s">
        <v>3233</v>
      </c>
      <c r="C2896" s="545">
        <v>70.5</v>
      </c>
      <c r="D2896" s="545">
        <v>0</v>
      </c>
      <c r="E2896" s="545">
        <v>0</v>
      </c>
      <c r="F2896" s="545">
        <v>50.357142857142854</v>
      </c>
      <c r="G2896" s="545">
        <v>13.6</v>
      </c>
      <c r="H2896" s="545"/>
      <c r="I2896" s="545"/>
      <c r="J2896" s="545">
        <v>9.7142857142857135</v>
      </c>
    </row>
    <row r="2897" spans="1:10">
      <c r="A2897" s="441">
        <v>8360</v>
      </c>
      <c r="B2897" s="441" t="s">
        <v>3234</v>
      </c>
      <c r="C2897" s="545">
        <v>0.16666666666666666</v>
      </c>
      <c r="D2897" s="545">
        <v>1</v>
      </c>
      <c r="E2897" s="545">
        <v>0</v>
      </c>
      <c r="F2897" s="545">
        <v>0.26190476190476192</v>
      </c>
      <c r="G2897" s="545">
        <v>1.05</v>
      </c>
      <c r="H2897" s="545">
        <v>1</v>
      </c>
      <c r="I2897" s="545">
        <v>0.66666666666666663</v>
      </c>
      <c r="J2897" s="545">
        <v>0.98809523809523814</v>
      </c>
    </row>
    <row r="2898" spans="1:10">
      <c r="A2898" s="441">
        <v>8359</v>
      </c>
      <c r="B2898" s="441" t="s">
        <v>3235</v>
      </c>
      <c r="C2898" s="545">
        <v>0.16666666666666666</v>
      </c>
      <c r="D2898" s="545">
        <v>0</v>
      </c>
      <c r="E2898" s="545">
        <v>0</v>
      </c>
      <c r="F2898" s="545">
        <v>0.11904761904761904</v>
      </c>
      <c r="G2898" s="545">
        <v>0.6</v>
      </c>
      <c r="H2898" s="545">
        <v>0</v>
      </c>
      <c r="I2898" s="545">
        <v>0.33333333333333331</v>
      </c>
      <c r="J2898" s="545">
        <v>0.47619047619047622</v>
      </c>
    </row>
    <row r="2899" spans="1:10">
      <c r="A2899" s="441">
        <v>4607</v>
      </c>
      <c r="B2899" s="441" t="s">
        <v>3236</v>
      </c>
      <c r="C2899" s="545">
        <v>16.166666666666668</v>
      </c>
      <c r="D2899" s="545">
        <v>6.6666666666666661</v>
      </c>
      <c r="E2899" s="545">
        <v>6.6666666666666661</v>
      </c>
      <c r="F2899" s="545">
        <v>13.452380952380954</v>
      </c>
      <c r="G2899" s="545">
        <v>6.95</v>
      </c>
      <c r="H2899" s="545">
        <v>3</v>
      </c>
      <c r="I2899" s="545">
        <v>3.6666666666666665</v>
      </c>
      <c r="J2899" s="545">
        <v>5.9166666666666661</v>
      </c>
    </row>
    <row r="2900" spans="1:10">
      <c r="A2900" s="441">
        <v>5019</v>
      </c>
      <c r="B2900" s="441" t="s">
        <v>3236</v>
      </c>
      <c r="C2900" s="545">
        <v>28</v>
      </c>
      <c r="D2900" s="545">
        <v>12.333333333333332</v>
      </c>
      <c r="E2900" s="545">
        <v>8</v>
      </c>
      <c r="F2900" s="545">
        <v>22.904761904761905</v>
      </c>
      <c r="G2900" s="545">
        <v>9.1999999999999993</v>
      </c>
      <c r="H2900" s="545">
        <v>4.333333333333333</v>
      </c>
      <c r="I2900" s="545">
        <v>3.3333333333333335</v>
      </c>
      <c r="J2900" s="545">
        <v>7.666666666666667</v>
      </c>
    </row>
    <row r="2901" spans="1:10">
      <c r="A2901" s="441">
        <v>5022</v>
      </c>
      <c r="B2901" s="441" t="s">
        <v>3237</v>
      </c>
      <c r="C2901" s="545">
        <v>21.666666666666668</v>
      </c>
      <c r="D2901" s="545">
        <v>12.333333333333334</v>
      </c>
      <c r="E2901" s="545">
        <v>7.6666666666666661</v>
      </c>
      <c r="F2901" s="545">
        <v>18.333333333333336</v>
      </c>
      <c r="G2901" s="545">
        <v>11.5</v>
      </c>
      <c r="H2901" s="545">
        <v>5.333333333333333</v>
      </c>
      <c r="I2901" s="545">
        <v>8.3333333333333339</v>
      </c>
      <c r="J2901" s="545">
        <v>10.166666666666668</v>
      </c>
    </row>
    <row r="2902" spans="1:10">
      <c r="A2902" s="441">
        <v>5030</v>
      </c>
      <c r="B2902" s="441" t="s">
        <v>3237</v>
      </c>
      <c r="C2902" s="545">
        <v>41.666666666666664</v>
      </c>
      <c r="D2902" s="545">
        <v>19.333333333333336</v>
      </c>
      <c r="E2902" s="545">
        <v>14.666666666666668</v>
      </c>
      <c r="F2902" s="545">
        <v>34.619047619047613</v>
      </c>
      <c r="G2902" s="545">
        <v>26.5</v>
      </c>
      <c r="H2902" s="545">
        <v>15</v>
      </c>
      <c r="I2902" s="545">
        <v>9.3333333333333339</v>
      </c>
      <c r="J2902" s="545">
        <v>22.404761904761905</v>
      </c>
    </row>
    <row r="2903" spans="1:10">
      <c r="A2903" s="441">
        <v>11346</v>
      </c>
      <c r="B2903" s="441" t="s">
        <v>3237</v>
      </c>
      <c r="C2903" s="545">
        <v>41.833333333333336</v>
      </c>
      <c r="D2903" s="545">
        <v>22.333333333333332</v>
      </c>
      <c r="E2903" s="545">
        <v>17.333333333333332</v>
      </c>
      <c r="F2903" s="545">
        <v>35.547619047619051</v>
      </c>
      <c r="G2903" s="545">
        <v>26.35</v>
      </c>
      <c r="H2903" s="545">
        <v>13</v>
      </c>
      <c r="I2903" s="545">
        <v>16.666666666666668</v>
      </c>
      <c r="J2903" s="545">
        <v>23.059523809523807</v>
      </c>
    </row>
    <row r="2904" spans="1:10">
      <c r="A2904" s="441">
        <v>4173</v>
      </c>
      <c r="B2904" s="441" t="s">
        <v>3238</v>
      </c>
      <c r="C2904" s="545">
        <v>2.166666666666667</v>
      </c>
      <c r="D2904" s="545">
        <v>0.66666666666666663</v>
      </c>
      <c r="E2904" s="545">
        <v>2</v>
      </c>
      <c r="F2904" s="545">
        <v>1.9285714285714288</v>
      </c>
      <c r="G2904" s="545">
        <v>1.2</v>
      </c>
      <c r="H2904" s="545">
        <v>1.3333333333333333</v>
      </c>
      <c r="I2904" s="545">
        <v>2.3333333333333335</v>
      </c>
      <c r="J2904" s="545">
        <v>1.3809523809523809</v>
      </c>
    </row>
    <row r="2905" spans="1:10">
      <c r="A2905" s="441">
        <v>4174</v>
      </c>
      <c r="B2905" s="441" t="s">
        <v>3239</v>
      </c>
      <c r="C2905" s="545">
        <v>6</v>
      </c>
      <c r="D2905" s="545">
        <v>2.666666666666667</v>
      </c>
      <c r="E2905" s="545">
        <v>1</v>
      </c>
      <c r="F2905" s="545">
        <v>4.8095238095238093</v>
      </c>
      <c r="G2905" s="545">
        <v>2.0499999999999998</v>
      </c>
      <c r="H2905" s="545">
        <v>0.66666666666666663</v>
      </c>
      <c r="I2905" s="545">
        <v>0.33333333333333331</v>
      </c>
      <c r="J2905" s="545">
        <v>1.6071428571428572</v>
      </c>
    </row>
    <row r="2906" spans="1:10">
      <c r="A2906" s="441">
        <v>4181</v>
      </c>
      <c r="B2906" s="441" t="s">
        <v>3239</v>
      </c>
      <c r="C2906" s="545">
        <v>11.333333333333332</v>
      </c>
      <c r="D2906" s="545">
        <v>4</v>
      </c>
      <c r="E2906" s="545">
        <v>2.3333333333333335</v>
      </c>
      <c r="F2906" s="545">
        <v>8.9999999999999982</v>
      </c>
      <c r="G2906" s="545">
        <v>4.5</v>
      </c>
      <c r="H2906" s="545">
        <v>4.333333333333333</v>
      </c>
      <c r="I2906" s="545">
        <v>1.6666666666666667</v>
      </c>
      <c r="J2906" s="545">
        <v>4.0714285714285712</v>
      </c>
    </row>
    <row r="2907" spans="1:10">
      <c r="A2907" s="441">
        <v>4606</v>
      </c>
      <c r="B2907" s="441" t="s">
        <v>3240</v>
      </c>
      <c r="C2907" s="545">
        <v>11</v>
      </c>
      <c r="D2907" s="545">
        <v>7</v>
      </c>
      <c r="E2907" s="545">
        <v>8</v>
      </c>
      <c r="F2907" s="545">
        <v>10</v>
      </c>
      <c r="G2907" s="545">
        <v>7.65</v>
      </c>
      <c r="H2907" s="545">
        <v>6.666666666666667</v>
      </c>
      <c r="I2907" s="545">
        <v>2.3333333333333335</v>
      </c>
      <c r="J2907" s="545">
        <v>6.75</v>
      </c>
    </row>
    <row r="2908" spans="1:10">
      <c r="A2908" s="441">
        <v>5026</v>
      </c>
      <c r="B2908" s="441" t="s">
        <v>3241</v>
      </c>
      <c r="C2908" s="545">
        <v>191.33333333333331</v>
      </c>
      <c r="D2908" s="545">
        <v>120.33333333333334</v>
      </c>
      <c r="E2908" s="545">
        <v>98.666666666666657</v>
      </c>
      <c r="F2908" s="545">
        <v>167.95238095238093</v>
      </c>
      <c r="G2908" s="545">
        <v>94.9</v>
      </c>
      <c r="H2908" s="545">
        <v>81</v>
      </c>
      <c r="I2908" s="545">
        <v>68</v>
      </c>
      <c r="J2908" s="545">
        <v>89.071428571428569</v>
      </c>
    </row>
    <row r="2909" spans="1:10">
      <c r="A2909" s="441">
        <v>12945</v>
      </c>
      <c r="B2909" s="441" t="s">
        <v>3242</v>
      </c>
      <c r="C2909" s="545">
        <v>260.66666666666663</v>
      </c>
      <c r="D2909" s="545">
        <v>154</v>
      </c>
      <c r="E2909" s="545">
        <v>116.33333333333333</v>
      </c>
      <c r="F2909" s="545">
        <v>224.80952380952377</v>
      </c>
      <c r="G2909" s="545">
        <v>494</v>
      </c>
      <c r="H2909" s="545">
        <v>429.33333333333331</v>
      </c>
      <c r="I2909" s="545">
        <v>357</v>
      </c>
      <c r="J2909" s="545">
        <v>465.1904761904762</v>
      </c>
    </row>
    <row r="2910" spans="1:10">
      <c r="A2910" s="441">
        <v>12946</v>
      </c>
      <c r="B2910" s="441" t="s">
        <v>3242</v>
      </c>
      <c r="C2910" s="545" t="e">
        <v>#N/A</v>
      </c>
      <c r="D2910" s="545" t="e">
        <v>#N/A</v>
      </c>
      <c r="E2910" s="545" t="e">
        <v>#N/A</v>
      </c>
      <c r="F2910" s="545" t="e">
        <v>#N/A</v>
      </c>
      <c r="G2910" s="545">
        <v>143.44999999999999</v>
      </c>
      <c r="H2910" s="545">
        <v>143</v>
      </c>
      <c r="I2910" s="545">
        <v>120.66666666666667</v>
      </c>
      <c r="J2910" s="545">
        <v>140.13095238095238</v>
      </c>
    </row>
    <row r="2911" spans="1:10">
      <c r="A2911" s="441">
        <v>10953</v>
      </c>
      <c r="B2911" s="441" t="s">
        <v>3243</v>
      </c>
      <c r="C2911" s="545">
        <v>11.833333333333334</v>
      </c>
      <c r="D2911" s="545">
        <v>3</v>
      </c>
      <c r="E2911" s="545">
        <v>4</v>
      </c>
      <c r="F2911" s="545">
        <v>9.4523809523809526</v>
      </c>
      <c r="G2911" s="545">
        <v>8.5500000000000007</v>
      </c>
      <c r="H2911" s="545">
        <v>5.333333333333333</v>
      </c>
      <c r="I2911" s="545">
        <v>5.666666666666667</v>
      </c>
      <c r="J2911" s="545">
        <v>7.6785714285714288</v>
      </c>
    </row>
    <row r="2912" spans="1:10">
      <c r="A2912" s="441">
        <v>4172</v>
      </c>
      <c r="B2912" s="441" t="s">
        <v>3244</v>
      </c>
      <c r="C2912" s="545">
        <v>3.166666666666667</v>
      </c>
      <c r="D2912" s="545">
        <v>0</v>
      </c>
      <c r="E2912" s="545">
        <v>1</v>
      </c>
      <c r="F2912" s="545">
        <v>2.4047619047619051</v>
      </c>
      <c r="G2912" s="545">
        <v>1.85</v>
      </c>
      <c r="H2912" s="545">
        <v>3</v>
      </c>
      <c r="I2912" s="545">
        <v>0.66666666666666663</v>
      </c>
      <c r="J2912" s="545">
        <v>1.8452380952380951</v>
      </c>
    </row>
    <row r="2913" spans="1:10">
      <c r="A2913" s="441">
        <v>4182</v>
      </c>
      <c r="B2913" s="441" t="s">
        <v>3244</v>
      </c>
      <c r="C2913" s="545">
        <v>2.166666666666667</v>
      </c>
      <c r="D2913" s="545">
        <v>1.6666666666666665</v>
      </c>
      <c r="E2913" s="545">
        <v>2</v>
      </c>
      <c r="F2913" s="545">
        <v>2.0714285714285716</v>
      </c>
      <c r="G2913" s="545">
        <v>1.55</v>
      </c>
      <c r="H2913" s="545">
        <v>1</v>
      </c>
      <c r="I2913" s="545">
        <v>0.66666666666666663</v>
      </c>
      <c r="J2913" s="545">
        <v>1.3452380952380951</v>
      </c>
    </row>
    <row r="2914" spans="1:10">
      <c r="A2914" s="441">
        <v>12186</v>
      </c>
      <c r="B2914" s="441" t="s">
        <v>3245</v>
      </c>
      <c r="C2914" s="545">
        <v>15.833333333333334</v>
      </c>
      <c r="D2914" s="545">
        <v>4.333333333333333</v>
      </c>
      <c r="E2914" s="545">
        <v>3.333333333333333</v>
      </c>
      <c r="F2914" s="545">
        <v>12.404761904761903</v>
      </c>
      <c r="G2914" s="545">
        <v>7.85</v>
      </c>
      <c r="H2914" s="545">
        <v>4.333333333333333</v>
      </c>
      <c r="I2914" s="545">
        <v>2</v>
      </c>
      <c r="J2914" s="545">
        <v>6.5119047619047619</v>
      </c>
    </row>
    <row r="2915" spans="1:10">
      <c r="A2915" s="441">
        <v>4171</v>
      </c>
      <c r="B2915" s="441" t="s">
        <v>3246</v>
      </c>
      <c r="C2915" s="545">
        <v>5.5</v>
      </c>
      <c r="D2915" s="545">
        <v>2.3333333333333335</v>
      </c>
      <c r="E2915" s="545">
        <v>1.3333333333333333</v>
      </c>
      <c r="F2915" s="545">
        <v>4.4523809523809517</v>
      </c>
      <c r="G2915" s="545">
        <v>2.1</v>
      </c>
      <c r="H2915" s="545">
        <v>1.6666666666666667</v>
      </c>
      <c r="I2915" s="545">
        <v>3</v>
      </c>
      <c r="J2915" s="545">
        <v>2.1666666666666665</v>
      </c>
    </row>
    <row r="2916" spans="1:10">
      <c r="A2916" s="441">
        <v>4183</v>
      </c>
      <c r="B2916" s="441" t="s">
        <v>3246</v>
      </c>
      <c r="C2916" s="545">
        <v>8</v>
      </c>
      <c r="D2916" s="545">
        <v>4</v>
      </c>
      <c r="E2916" s="545">
        <v>3</v>
      </c>
      <c r="F2916" s="545">
        <v>6.7142857142857144</v>
      </c>
      <c r="G2916" s="545">
        <v>5.65</v>
      </c>
      <c r="H2916" s="545">
        <v>1.6666666666666667</v>
      </c>
      <c r="I2916" s="545">
        <v>2</v>
      </c>
      <c r="J2916" s="545">
        <v>4.5595238095238093</v>
      </c>
    </row>
    <row r="2917" spans="1:10">
      <c r="A2917" s="441">
        <v>4177</v>
      </c>
      <c r="B2917" s="441" t="s">
        <v>3247</v>
      </c>
      <c r="C2917" s="545">
        <v>10</v>
      </c>
      <c r="D2917" s="545">
        <v>0.66666666666666663</v>
      </c>
      <c r="E2917" s="545">
        <v>10.333333333333332</v>
      </c>
      <c r="F2917" s="545">
        <v>8.7142857142857135</v>
      </c>
      <c r="G2917" s="545">
        <v>3.3</v>
      </c>
      <c r="H2917" s="545">
        <v>1.6666666666666667</v>
      </c>
      <c r="I2917" s="545">
        <v>2.6666666666666665</v>
      </c>
      <c r="J2917" s="545">
        <v>2.9761904761904767</v>
      </c>
    </row>
    <row r="2918" spans="1:10">
      <c r="A2918" s="441">
        <v>4178</v>
      </c>
      <c r="B2918" s="441" t="s">
        <v>3247</v>
      </c>
      <c r="C2918" s="545">
        <v>12.166666666666666</v>
      </c>
      <c r="D2918" s="545">
        <v>5.6666666666666661</v>
      </c>
      <c r="E2918" s="545">
        <v>6</v>
      </c>
      <c r="F2918" s="545">
        <v>10.357142857142858</v>
      </c>
      <c r="G2918" s="545">
        <v>5.35</v>
      </c>
      <c r="H2918" s="545">
        <v>6.666666666666667</v>
      </c>
      <c r="I2918" s="545">
        <v>2.3333333333333335</v>
      </c>
      <c r="J2918" s="545">
        <v>5.1071428571428568</v>
      </c>
    </row>
    <row r="2919" spans="1:10">
      <c r="A2919" s="441">
        <v>5028</v>
      </c>
      <c r="B2919" s="441" t="s">
        <v>3248</v>
      </c>
      <c r="C2919" s="545">
        <v>192.66666666666666</v>
      </c>
      <c r="D2919" s="545">
        <v>117.33333333333333</v>
      </c>
      <c r="E2919" s="545">
        <v>90.666666666666671</v>
      </c>
      <c r="F2919" s="545">
        <v>167.33333333333331</v>
      </c>
      <c r="G2919" s="545">
        <v>59.25</v>
      </c>
      <c r="H2919" s="545">
        <v>49.666666666666664</v>
      </c>
      <c r="I2919" s="545">
        <v>31.333333333333332</v>
      </c>
      <c r="J2919" s="545">
        <v>53.892857142857146</v>
      </c>
    </row>
    <row r="2920" spans="1:10">
      <c r="A2920" s="441">
        <v>11347</v>
      </c>
      <c r="B2920" s="441" t="s">
        <v>3249</v>
      </c>
      <c r="C2920" s="545">
        <v>171.83333333333331</v>
      </c>
      <c r="D2920" s="545">
        <v>79</v>
      </c>
      <c r="E2920" s="545">
        <v>68</v>
      </c>
      <c r="F2920" s="545">
        <v>143.73809523809521</v>
      </c>
      <c r="G2920" s="545">
        <v>110.4</v>
      </c>
      <c r="H2920" s="545">
        <v>84.333333333333329</v>
      </c>
      <c r="I2920" s="545">
        <v>56.666666666666664</v>
      </c>
      <c r="J2920" s="545">
        <v>99</v>
      </c>
    </row>
    <row r="2921" spans="1:10">
      <c r="A2921" s="441">
        <v>5029</v>
      </c>
      <c r="B2921" s="441" t="s">
        <v>3250</v>
      </c>
      <c r="C2921" s="545">
        <v>20.166666666666664</v>
      </c>
      <c r="D2921" s="545">
        <v>2.666666666666667</v>
      </c>
      <c r="E2921" s="545">
        <v>4.666666666666667</v>
      </c>
      <c r="F2921" s="545">
        <v>15.452380952380951</v>
      </c>
      <c r="G2921" s="545">
        <v>21.45</v>
      </c>
      <c r="H2921" s="545">
        <v>3.6666666666666665</v>
      </c>
      <c r="I2921" s="545">
        <v>2.6666666666666665</v>
      </c>
      <c r="J2921" s="545">
        <v>16.226190476190478</v>
      </c>
    </row>
    <row r="2922" spans="1:10">
      <c r="A2922" s="441">
        <v>12185</v>
      </c>
      <c r="B2922" s="441" t="s">
        <v>3251</v>
      </c>
      <c r="C2922" s="545">
        <v>24.5</v>
      </c>
      <c r="D2922" s="545">
        <v>4.6666666666666661</v>
      </c>
      <c r="E2922" s="545">
        <v>4.333333333333333</v>
      </c>
      <c r="F2922" s="545">
        <v>18.785714285714285</v>
      </c>
      <c r="G2922" s="545">
        <v>5.6</v>
      </c>
      <c r="H2922" s="545">
        <v>5</v>
      </c>
      <c r="I2922" s="545">
        <v>2</v>
      </c>
      <c r="J2922" s="545">
        <v>5</v>
      </c>
    </row>
    <row r="2923" spans="1:10">
      <c r="A2923" s="441">
        <v>4176</v>
      </c>
      <c r="B2923" s="441" t="s">
        <v>3252</v>
      </c>
      <c r="C2923" s="545">
        <v>2.5</v>
      </c>
      <c r="D2923" s="545">
        <v>1</v>
      </c>
      <c r="E2923" s="545">
        <v>1</v>
      </c>
      <c r="F2923" s="545">
        <v>2.0714285714285716</v>
      </c>
      <c r="G2923" s="545">
        <v>1.9</v>
      </c>
      <c r="H2923" s="545">
        <v>0.66666666666666663</v>
      </c>
      <c r="I2923" s="545">
        <v>3.3333333333333335</v>
      </c>
      <c r="J2923" s="545">
        <v>1.9285714285714286</v>
      </c>
    </row>
    <row r="2924" spans="1:10">
      <c r="A2924" s="441">
        <v>4179</v>
      </c>
      <c r="B2924" s="441" t="s">
        <v>3252</v>
      </c>
      <c r="C2924" s="545">
        <v>0.5</v>
      </c>
      <c r="D2924" s="545">
        <v>0.33333333333333331</v>
      </c>
      <c r="E2924" s="545">
        <v>0.33333333333333331</v>
      </c>
      <c r="F2924" s="545">
        <v>0.45238095238095244</v>
      </c>
      <c r="G2924" s="545">
        <v>2.15</v>
      </c>
      <c r="H2924" s="545">
        <v>1.6666666666666667</v>
      </c>
      <c r="I2924" s="545">
        <v>0.33333333333333331</v>
      </c>
      <c r="J2924" s="545">
        <v>1.8214285714285714</v>
      </c>
    </row>
    <row r="2925" spans="1:10">
      <c r="A2925" s="441">
        <v>4180</v>
      </c>
      <c r="B2925" s="441" t="s">
        <v>3253</v>
      </c>
      <c r="C2925" s="545">
        <v>43.5</v>
      </c>
      <c r="D2925" s="545">
        <v>20</v>
      </c>
      <c r="E2925" s="545">
        <v>13</v>
      </c>
      <c r="F2925" s="545">
        <v>35.785714285714285</v>
      </c>
      <c r="G2925" s="545">
        <v>16.45</v>
      </c>
      <c r="H2925" s="545">
        <v>13</v>
      </c>
      <c r="I2925" s="545">
        <v>12.666666666666666</v>
      </c>
      <c r="J2925" s="545">
        <v>15.416666666666668</v>
      </c>
    </row>
    <row r="2926" spans="1:10">
      <c r="A2926" s="441">
        <v>12197</v>
      </c>
      <c r="B2926" s="441" t="s">
        <v>3253</v>
      </c>
      <c r="C2926" s="545">
        <v>31.333333333333332</v>
      </c>
      <c r="D2926" s="545">
        <v>9.3333333333333339</v>
      </c>
      <c r="E2926" s="545">
        <v>8.6666666666666679</v>
      </c>
      <c r="F2926" s="545">
        <v>24.952380952380953</v>
      </c>
      <c r="G2926" s="545">
        <v>12.55</v>
      </c>
      <c r="H2926" s="545">
        <v>6.666666666666667</v>
      </c>
      <c r="I2926" s="545">
        <v>11.666666666666666</v>
      </c>
      <c r="J2926" s="545">
        <v>11.583333333333334</v>
      </c>
    </row>
    <row r="2927" spans="1:10">
      <c r="A2927" s="441">
        <v>10732</v>
      </c>
      <c r="B2927" s="441" t="s">
        <v>3254</v>
      </c>
      <c r="C2927" s="545">
        <v>28</v>
      </c>
      <c r="D2927" s="545">
        <v>15.333333333333334</v>
      </c>
      <c r="E2927" s="545">
        <v>7.333333333333333</v>
      </c>
      <c r="F2927" s="545">
        <v>23.238095238095241</v>
      </c>
      <c r="G2927" s="545">
        <v>54.95</v>
      </c>
      <c r="H2927" s="545">
        <v>43.333333333333336</v>
      </c>
      <c r="I2927" s="545">
        <v>32</v>
      </c>
      <c r="J2927" s="545">
        <v>50.011904761904759</v>
      </c>
    </row>
    <row r="2928" spans="1:10">
      <c r="A2928" s="441">
        <v>81</v>
      </c>
      <c r="B2928" s="441" t="s">
        <v>3255</v>
      </c>
      <c r="C2928" s="545">
        <v>942.66666666666674</v>
      </c>
      <c r="D2928" s="545">
        <v>0</v>
      </c>
      <c r="E2928" s="545">
        <v>0</v>
      </c>
      <c r="F2928" s="545">
        <v>673.33333333333337</v>
      </c>
      <c r="G2928" s="545">
        <v>29</v>
      </c>
      <c r="H2928" s="545"/>
      <c r="I2928" s="545"/>
      <c r="J2928" s="545">
        <v>20.714285714285715</v>
      </c>
    </row>
    <row r="2929" spans="1:10">
      <c r="A2929" s="441">
        <v>4757</v>
      </c>
      <c r="B2929" s="441" t="s">
        <v>3256</v>
      </c>
      <c r="C2929" s="545">
        <v>24.666666666666668</v>
      </c>
      <c r="D2929" s="545">
        <v>13.333333333333334</v>
      </c>
      <c r="E2929" s="545">
        <v>8.6666666666666661</v>
      </c>
      <c r="F2929" s="545">
        <v>20.761904761904763</v>
      </c>
      <c r="G2929" s="545">
        <v>11.35</v>
      </c>
      <c r="H2929" s="545">
        <v>11.333333333333334</v>
      </c>
      <c r="I2929" s="545">
        <v>6</v>
      </c>
      <c r="J2929" s="545">
        <v>10.583333333333332</v>
      </c>
    </row>
    <row r="2930" spans="1:10">
      <c r="A2930" s="441">
        <v>5351</v>
      </c>
      <c r="B2930" s="441" t="s">
        <v>3256</v>
      </c>
      <c r="C2930" s="545">
        <v>19.833333333333332</v>
      </c>
      <c r="D2930" s="545">
        <v>11.666666666666666</v>
      </c>
      <c r="E2930" s="545">
        <v>15</v>
      </c>
      <c r="F2930" s="545">
        <v>17.976190476190474</v>
      </c>
      <c r="G2930" s="545">
        <v>16.25</v>
      </c>
      <c r="H2930" s="545">
        <v>9</v>
      </c>
      <c r="I2930" s="545">
        <v>3.6666666666666665</v>
      </c>
      <c r="J2930" s="545">
        <v>13.416666666666668</v>
      </c>
    </row>
    <row r="2931" spans="1:10">
      <c r="A2931" s="441">
        <v>5349</v>
      </c>
      <c r="B2931" s="441" t="s">
        <v>3257</v>
      </c>
      <c r="C2931" s="545">
        <v>8.5</v>
      </c>
      <c r="D2931" s="545">
        <v>6.666666666666667</v>
      </c>
      <c r="E2931" s="545">
        <v>5.666666666666667</v>
      </c>
      <c r="F2931" s="545">
        <v>7.833333333333333</v>
      </c>
      <c r="G2931" s="545">
        <v>5.55</v>
      </c>
      <c r="H2931" s="545">
        <v>6</v>
      </c>
      <c r="I2931" s="545">
        <v>1</v>
      </c>
      <c r="J2931" s="545">
        <v>4.9642857142857144</v>
      </c>
    </row>
    <row r="2932" spans="1:10">
      <c r="A2932" s="441">
        <v>10409</v>
      </c>
      <c r="B2932" s="441" t="s">
        <v>3257</v>
      </c>
      <c r="C2932" s="545">
        <v>9.1666666666666661</v>
      </c>
      <c r="D2932" s="545">
        <v>6.3333333333333339</v>
      </c>
      <c r="E2932" s="545">
        <v>20</v>
      </c>
      <c r="F2932" s="545">
        <v>10.309523809523808</v>
      </c>
      <c r="G2932" s="545">
        <v>7.6</v>
      </c>
      <c r="H2932" s="545">
        <v>7.666666666666667</v>
      </c>
      <c r="I2932" s="545">
        <v>2.6666666666666665</v>
      </c>
      <c r="J2932" s="545">
        <v>6.9047619047619042</v>
      </c>
    </row>
    <row r="2933" spans="1:10">
      <c r="A2933" s="441">
        <v>5332</v>
      </c>
      <c r="B2933" s="441" t="s">
        <v>3258</v>
      </c>
      <c r="C2933" s="545">
        <v>0.33333333333333331</v>
      </c>
      <c r="D2933" s="545">
        <v>0.66666666666666663</v>
      </c>
      <c r="E2933" s="545">
        <v>0</v>
      </c>
      <c r="F2933" s="545">
        <v>0.33333333333333331</v>
      </c>
      <c r="G2933" s="545">
        <v>1.4</v>
      </c>
      <c r="H2933" s="545">
        <v>2.3333333333333335</v>
      </c>
      <c r="I2933" s="545">
        <v>0</v>
      </c>
      <c r="J2933" s="545">
        <v>1.3333333333333335</v>
      </c>
    </row>
    <row r="2934" spans="1:10">
      <c r="A2934" s="441">
        <v>5348</v>
      </c>
      <c r="B2934" s="441" t="s">
        <v>3258</v>
      </c>
      <c r="C2934" s="545">
        <v>12.833333333333334</v>
      </c>
      <c r="D2934" s="545">
        <v>3.666666666666667</v>
      </c>
      <c r="E2934" s="545">
        <v>7</v>
      </c>
      <c r="F2934" s="545">
        <v>10.690476190476192</v>
      </c>
      <c r="G2934" s="545">
        <v>8.9499999999999993</v>
      </c>
      <c r="H2934" s="545">
        <v>4</v>
      </c>
      <c r="I2934" s="545">
        <v>1</v>
      </c>
      <c r="J2934" s="545">
        <v>7.1071428571428568</v>
      </c>
    </row>
    <row r="2935" spans="1:10">
      <c r="A2935" s="441">
        <v>785</v>
      </c>
      <c r="B2935" s="441" t="s">
        <v>3259</v>
      </c>
      <c r="C2935" s="545">
        <v>7</v>
      </c>
      <c r="D2935" s="545">
        <v>4</v>
      </c>
      <c r="E2935" s="545">
        <v>3.3333333333333335</v>
      </c>
      <c r="F2935" s="545">
        <v>6.0476190476190483</v>
      </c>
      <c r="G2935" s="545">
        <v>8.0500000000000007</v>
      </c>
      <c r="H2935" s="545">
        <v>7.666666666666667</v>
      </c>
      <c r="I2935" s="545">
        <v>4.333333333333333</v>
      </c>
      <c r="J2935" s="545">
        <v>7.4642857142857144</v>
      </c>
    </row>
    <row r="2936" spans="1:10">
      <c r="A2936" s="441">
        <v>973</v>
      </c>
      <c r="B2936" s="441" t="s">
        <v>3260</v>
      </c>
      <c r="C2936" s="545">
        <v>6.5</v>
      </c>
      <c r="D2936" s="545">
        <v>3.333333333333333</v>
      </c>
      <c r="E2936" s="545">
        <v>4.666666666666667</v>
      </c>
      <c r="F2936" s="545">
        <v>5.7857142857142856</v>
      </c>
      <c r="G2936" s="545">
        <v>6.7</v>
      </c>
      <c r="H2936" s="545">
        <v>8.3333333333333339</v>
      </c>
      <c r="I2936" s="545">
        <v>8.6666666666666661</v>
      </c>
      <c r="J2936" s="545">
        <v>7.2142857142857144</v>
      </c>
    </row>
    <row r="2937" spans="1:10">
      <c r="A2937" s="441">
        <v>5350</v>
      </c>
      <c r="B2937" s="441" t="s">
        <v>3261</v>
      </c>
      <c r="C2937" s="545">
        <v>4.333333333333333</v>
      </c>
      <c r="D2937" s="545">
        <v>2.6666666666666665</v>
      </c>
      <c r="E2937" s="545">
        <v>2</v>
      </c>
      <c r="F2937" s="545">
        <v>3.7619047619047619</v>
      </c>
      <c r="G2937" s="545">
        <v>1.95</v>
      </c>
      <c r="H2937" s="545">
        <v>1.3333333333333333</v>
      </c>
      <c r="I2937" s="545">
        <v>0</v>
      </c>
      <c r="J2937" s="545">
        <v>1.5833333333333335</v>
      </c>
    </row>
    <row r="2938" spans="1:10">
      <c r="A2938" s="441">
        <v>727</v>
      </c>
      <c r="B2938" s="441" t="s">
        <v>3262</v>
      </c>
      <c r="C2938" s="545">
        <v>3.6666666666666665</v>
      </c>
      <c r="D2938" s="545">
        <v>4</v>
      </c>
      <c r="E2938" s="545">
        <v>2.3333333333333335</v>
      </c>
      <c r="F2938" s="545">
        <v>3.5238095238095233</v>
      </c>
      <c r="G2938" s="545">
        <v>3.2</v>
      </c>
      <c r="H2938" s="545">
        <v>1.3333333333333333</v>
      </c>
      <c r="I2938" s="545">
        <v>0.66666666666666663</v>
      </c>
      <c r="J2938" s="545">
        <v>2.5714285714285716</v>
      </c>
    </row>
    <row r="2939" spans="1:10">
      <c r="A2939" s="441">
        <v>881</v>
      </c>
      <c r="B2939" s="441" t="s">
        <v>3262</v>
      </c>
      <c r="C2939" s="545">
        <v>4.333333333333333</v>
      </c>
      <c r="D2939" s="545">
        <v>1.6666666666666665</v>
      </c>
      <c r="E2939" s="545">
        <v>0.66666666666666663</v>
      </c>
      <c r="F2939" s="545">
        <v>3.4285714285714284</v>
      </c>
      <c r="G2939" s="545">
        <v>10.45</v>
      </c>
      <c r="H2939" s="545">
        <v>3</v>
      </c>
      <c r="I2939" s="545">
        <v>2.3333333333333335</v>
      </c>
      <c r="J2939" s="545">
        <v>8.2261904761904763</v>
      </c>
    </row>
    <row r="2940" spans="1:10">
      <c r="A2940" s="441">
        <v>12731</v>
      </c>
      <c r="B2940" s="441" t="s">
        <v>3263</v>
      </c>
      <c r="C2940" s="545">
        <v>37.166666666666664</v>
      </c>
      <c r="D2940" s="545">
        <v>3</v>
      </c>
      <c r="E2940" s="545">
        <v>3.3333333333333335</v>
      </c>
      <c r="F2940" s="545">
        <v>27.452380952380953</v>
      </c>
      <c r="G2940" s="545">
        <v>33.6</v>
      </c>
      <c r="H2940" s="545">
        <v>6.666666666666667</v>
      </c>
      <c r="I2940" s="545">
        <v>3</v>
      </c>
      <c r="J2940" s="545">
        <v>25.38095238095238</v>
      </c>
    </row>
    <row r="2941" spans="1:10">
      <c r="A2941" s="441">
        <v>12732</v>
      </c>
      <c r="B2941" s="441" t="s">
        <v>3263</v>
      </c>
      <c r="C2941" s="545">
        <v>25</v>
      </c>
      <c r="D2941" s="545">
        <v>8.6666666666666679</v>
      </c>
      <c r="E2941" s="545">
        <v>6.666666666666667</v>
      </c>
      <c r="F2941" s="545">
        <v>20.047619047619044</v>
      </c>
      <c r="G2941" s="545">
        <v>24.6</v>
      </c>
      <c r="H2941" s="545">
        <v>3.6666666666666665</v>
      </c>
      <c r="I2941" s="545">
        <v>0.33333333333333331</v>
      </c>
      <c r="J2941" s="545">
        <v>18.142857142857142</v>
      </c>
    </row>
    <row r="2942" spans="1:10">
      <c r="A2942" s="441">
        <v>12729</v>
      </c>
      <c r="B2942" s="441" t="s">
        <v>3264</v>
      </c>
      <c r="C2942" s="545">
        <v>1</v>
      </c>
      <c r="D2942" s="545">
        <v>0</v>
      </c>
      <c r="E2942" s="545">
        <v>0</v>
      </c>
      <c r="F2942" s="545">
        <v>0.7142857142857143</v>
      </c>
      <c r="G2942" s="545">
        <v>1.3</v>
      </c>
      <c r="H2942" s="545">
        <v>0.33333333333333331</v>
      </c>
      <c r="I2942" s="545">
        <v>0.66666666666666663</v>
      </c>
      <c r="J2942" s="545">
        <v>1.0714285714285714</v>
      </c>
    </row>
    <row r="2943" spans="1:10">
      <c r="A2943" s="441">
        <v>12730</v>
      </c>
      <c r="B2943" s="441" t="s">
        <v>3264</v>
      </c>
      <c r="C2943" s="545">
        <v>0.5</v>
      </c>
      <c r="D2943" s="545">
        <v>1.6666666666666665</v>
      </c>
      <c r="E2943" s="545">
        <v>0.33333333333333331</v>
      </c>
      <c r="F2943" s="545">
        <v>0.64285714285714268</v>
      </c>
      <c r="G2943" s="545">
        <v>0.75</v>
      </c>
      <c r="H2943" s="545">
        <v>0</v>
      </c>
      <c r="I2943" s="545">
        <v>0</v>
      </c>
      <c r="J2943" s="545">
        <v>0.5357142857142857</v>
      </c>
    </row>
    <row r="2944" spans="1:10">
      <c r="A2944" s="441">
        <v>6294</v>
      </c>
      <c r="B2944" s="441" t="s">
        <v>3265</v>
      </c>
      <c r="C2944" s="545">
        <v>44.333333333333336</v>
      </c>
      <c r="D2944" s="545">
        <v>45.666666666666664</v>
      </c>
      <c r="E2944" s="545">
        <v>29.333333333333336</v>
      </c>
      <c r="F2944" s="545">
        <v>42.380952380952387</v>
      </c>
      <c r="G2944" s="545">
        <v>27.5</v>
      </c>
      <c r="H2944" s="545">
        <v>24</v>
      </c>
      <c r="I2944" s="545">
        <v>19.666666666666668</v>
      </c>
      <c r="J2944" s="545">
        <v>25.88095238095238</v>
      </c>
    </row>
    <row r="2945" spans="1:10">
      <c r="A2945" s="441">
        <v>10410</v>
      </c>
      <c r="B2945" s="441" t="s">
        <v>3265</v>
      </c>
      <c r="C2945" s="545">
        <v>54.166666666666671</v>
      </c>
      <c r="D2945" s="545">
        <v>32</v>
      </c>
      <c r="E2945" s="545">
        <v>25.666666666666664</v>
      </c>
      <c r="F2945" s="545">
        <v>46.928571428571438</v>
      </c>
      <c r="G2945" s="545">
        <v>29.45</v>
      </c>
      <c r="H2945" s="545">
        <v>17.666666666666668</v>
      </c>
      <c r="I2945" s="545">
        <v>22.666666666666668</v>
      </c>
      <c r="J2945" s="545">
        <v>26.797619047619044</v>
      </c>
    </row>
    <row r="2946" spans="1:10">
      <c r="A2946" s="441">
        <v>12636</v>
      </c>
      <c r="B2946" s="441" t="s">
        <v>3266</v>
      </c>
      <c r="C2946" s="545">
        <v>8.8333333333333321</v>
      </c>
      <c r="D2946" s="545">
        <v>7</v>
      </c>
      <c r="E2946" s="545">
        <v>4</v>
      </c>
      <c r="F2946" s="545">
        <v>7.8809523809523796</v>
      </c>
      <c r="G2946" s="545">
        <v>4.05</v>
      </c>
      <c r="H2946" s="545">
        <v>1.3333333333333333</v>
      </c>
      <c r="I2946" s="545">
        <v>1.3333333333333333</v>
      </c>
      <c r="J2946" s="545">
        <v>3.2738095238095233</v>
      </c>
    </row>
    <row r="2947" spans="1:10">
      <c r="A2947" s="441">
        <v>11652</v>
      </c>
      <c r="B2947" s="441" t="s">
        <v>3267</v>
      </c>
      <c r="C2947" s="545">
        <v>42.5</v>
      </c>
      <c r="D2947" s="545">
        <v>26</v>
      </c>
      <c r="E2947" s="545">
        <v>15.333333333333332</v>
      </c>
      <c r="F2947" s="545">
        <v>36.261904761904766</v>
      </c>
      <c r="G2947" s="545">
        <v>18.8</v>
      </c>
      <c r="H2947" s="545">
        <v>9.6666666666666661</v>
      </c>
      <c r="I2947" s="545">
        <v>12</v>
      </c>
      <c r="J2947" s="545">
        <v>16.523809523809526</v>
      </c>
    </row>
    <row r="2948" spans="1:10">
      <c r="A2948" s="441">
        <v>11650</v>
      </c>
      <c r="B2948" s="441" t="s">
        <v>3268</v>
      </c>
      <c r="C2948" s="545">
        <v>15.333333333333332</v>
      </c>
      <c r="D2948" s="545">
        <v>9.3333333333333321</v>
      </c>
      <c r="E2948" s="545">
        <v>10</v>
      </c>
      <c r="F2948" s="545">
        <v>13.714285714285712</v>
      </c>
      <c r="G2948" s="545">
        <v>12.9</v>
      </c>
      <c r="H2948" s="545">
        <v>6.666666666666667</v>
      </c>
      <c r="I2948" s="545">
        <v>8</v>
      </c>
      <c r="J2948" s="545">
        <v>11.30952380952381</v>
      </c>
    </row>
    <row r="2949" spans="1:10">
      <c r="A2949" s="441">
        <v>12629</v>
      </c>
      <c r="B2949" s="441" t="s">
        <v>3268</v>
      </c>
      <c r="C2949" s="545">
        <v>16.5</v>
      </c>
      <c r="D2949" s="545">
        <v>12.333333333333332</v>
      </c>
      <c r="E2949" s="545">
        <v>9.6666666666666661</v>
      </c>
      <c r="F2949" s="545">
        <v>14.928571428571429</v>
      </c>
      <c r="G2949" s="545">
        <v>12.7</v>
      </c>
      <c r="H2949" s="545">
        <v>10.333333333333334</v>
      </c>
      <c r="I2949" s="545">
        <v>6.333333333333333</v>
      </c>
      <c r="J2949" s="545">
        <v>11.452380952380951</v>
      </c>
    </row>
    <row r="2950" spans="1:10">
      <c r="A2950" s="441">
        <v>12631</v>
      </c>
      <c r="B2950" s="441" t="s">
        <v>3269</v>
      </c>
      <c r="C2950" s="545">
        <v>4.1666666666666661</v>
      </c>
      <c r="D2950" s="545">
        <v>0.33333333333333331</v>
      </c>
      <c r="E2950" s="545">
        <v>2.3333333333333335</v>
      </c>
      <c r="F2950" s="545">
        <v>3.3571428571428563</v>
      </c>
      <c r="G2950" s="545">
        <v>1.8</v>
      </c>
      <c r="H2950" s="545">
        <v>2</v>
      </c>
      <c r="I2950" s="545">
        <v>2.3333333333333335</v>
      </c>
      <c r="J2950" s="545">
        <v>1.9047619047619049</v>
      </c>
    </row>
    <row r="2951" spans="1:10">
      <c r="A2951" s="441">
        <v>12632</v>
      </c>
      <c r="B2951" s="441" t="s">
        <v>3269</v>
      </c>
      <c r="C2951" s="545">
        <v>2.1666666666666665</v>
      </c>
      <c r="D2951" s="545">
        <v>0</v>
      </c>
      <c r="E2951" s="545">
        <v>0.33333333333333331</v>
      </c>
      <c r="F2951" s="545">
        <v>1.5952380952380951</v>
      </c>
      <c r="G2951" s="545">
        <v>1.35</v>
      </c>
      <c r="H2951" s="545">
        <v>0</v>
      </c>
      <c r="I2951" s="545">
        <v>3.3333333333333335</v>
      </c>
      <c r="J2951" s="545">
        <v>1.4404761904761905</v>
      </c>
    </row>
    <row r="2952" spans="1:10">
      <c r="A2952" s="441">
        <v>12635</v>
      </c>
      <c r="B2952" s="441" t="s">
        <v>3270</v>
      </c>
      <c r="C2952" s="545">
        <v>6.3333333333333339</v>
      </c>
      <c r="D2952" s="545">
        <v>5</v>
      </c>
      <c r="E2952" s="545">
        <v>3.333333333333333</v>
      </c>
      <c r="F2952" s="545">
        <v>5.7142857142857153</v>
      </c>
      <c r="G2952" s="545">
        <v>3.1</v>
      </c>
      <c r="H2952" s="545">
        <v>0.33333333333333331</v>
      </c>
      <c r="I2952" s="545">
        <v>0.66666666666666663</v>
      </c>
      <c r="J2952" s="545">
        <v>2.3571428571428572</v>
      </c>
    </row>
    <row r="2953" spans="1:10">
      <c r="A2953" s="441">
        <v>11651</v>
      </c>
      <c r="B2953" s="441" t="s">
        <v>3271</v>
      </c>
      <c r="C2953" s="545">
        <v>13.5</v>
      </c>
      <c r="D2953" s="545">
        <v>4.6666666666666661</v>
      </c>
      <c r="E2953" s="545">
        <v>5.6666666666666661</v>
      </c>
      <c r="F2953" s="545">
        <v>11.11904761904762</v>
      </c>
      <c r="G2953" s="545">
        <v>9.3000000000000007</v>
      </c>
      <c r="H2953" s="545">
        <v>6</v>
      </c>
      <c r="I2953" s="545">
        <v>3</v>
      </c>
      <c r="J2953" s="545">
        <v>7.9285714285714288</v>
      </c>
    </row>
    <row r="2954" spans="1:10">
      <c r="A2954" s="441">
        <v>12628</v>
      </c>
      <c r="B2954" s="441" t="s">
        <v>3271</v>
      </c>
      <c r="C2954" s="545">
        <v>58</v>
      </c>
      <c r="D2954" s="545">
        <v>26</v>
      </c>
      <c r="E2954" s="545">
        <v>20.666666666666664</v>
      </c>
      <c r="F2954" s="545">
        <v>48.095238095238095</v>
      </c>
      <c r="G2954" s="545">
        <v>24.8</v>
      </c>
      <c r="H2954" s="545">
        <v>11</v>
      </c>
      <c r="I2954" s="545">
        <v>13</v>
      </c>
      <c r="J2954" s="545">
        <v>21.142857142857142</v>
      </c>
    </row>
    <row r="2955" spans="1:10">
      <c r="A2955" s="441">
        <v>12633</v>
      </c>
      <c r="B2955" s="441" t="s">
        <v>3272</v>
      </c>
      <c r="C2955" s="545">
        <v>22.166666666666668</v>
      </c>
      <c r="D2955" s="545">
        <v>18.333333333333332</v>
      </c>
      <c r="E2955" s="545">
        <v>15.666666666666668</v>
      </c>
      <c r="F2955" s="545">
        <v>20.690476190476193</v>
      </c>
      <c r="G2955" s="545">
        <v>14.65</v>
      </c>
      <c r="H2955" s="545">
        <v>9</v>
      </c>
      <c r="I2955" s="545">
        <v>11.666666666666666</v>
      </c>
      <c r="J2955" s="545">
        <v>13.416666666666668</v>
      </c>
    </row>
    <row r="2956" spans="1:10">
      <c r="A2956" s="441">
        <v>12634</v>
      </c>
      <c r="B2956" s="441" t="s">
        <v>3272</v>
      </c>
      <c r="C2956" s="545">
        <v>29.333333333333336</v>
      </c>
      <c r="D2956" s="545">
        <v>32.333333333333336</v>
      </c>
      <c r="E2956" s="545">
        <v>16.333333333333336</v>
      </c>
      <c r="F2956" s="545">
        <v>27.904761904761909</v>
      </c>
      <c r="G2956" s="545">
        <v>17.100000000000001</v>
      </c>
      <c r="H2956" s="545">
        <v>13.666666666666666</v>
      </c>
      <c r="I2956" s="545">
        <v>13.666666666666666</v>
      </c>
      <c r="J2956" s="545">
        <v>16.11904761904762</v>
      </c>
    </row>
    <row r="2957" spans="1:10">
      <c r="A2957" s="441">
        <v>11649</v>
      </c>
      <c r="B2957" s="441" t="s">
        <v>3273</v>
      </c>
      <c r="C2957" s="545">
        <v>60.5</v>
      </c>
      <c r="D2957" s="545">
        <v>44.666666666666671</v>
      </c>
      <c r="E2957" s="545">
        <v>29.333333333333336</v>
      </c>
      <c r="F2957" s="545">
        <v>53.785714285714285</v>
      </c>
      <c r="G2957" s="545">
        <v>52.55</v>
      </c>
      <c r="H2957" s="545">
        <v>34</v>
      </c>
      <c r="I2957" s="545">
        <v>27.666666666666668</v>
      </c>
      <c r="J2957" s="545">
        <v>46.345238095238095</v>
      </c>
    </row>
    <row r="2958" spans="1:10">
      <c r="A2958" s="441">
        <v>12630</v>
      </c>
      <c r="B2958" s="441" t="s">
        <v>3273</v>
      </c>
      <c r="C2958" s="545">
        <v>62</v>
      </c>
      <c r="D2958" s="545">
        <v>39</v>
      </c>
      <c r="E2958" s="545">
        <v>30.666666666666664</v>
      </c>
      <c r="F2958" s="545">
        <v>54.238095238095241</v>
      </c>
      <c r="G2958" s="545">
        <v>48.45</v>
      </c>
      <c r="H2958" s="545">
        <v>36</v>
      </c>
      <c r="I2958" s="545">
        <v>43</v>
      </c>
      <c r="J2958" s="545">
        <v>45.892857142857146</v>
      </c>
    </row>
    <row r="2959" spans="1:10">
      <c r="A2959" s="441">
        <v>12638</v>
      </c>
      <c r="B2959" s="441" t="s">
        <v>3274</v>
      </c>
      <c r="C2959" s="545">
        <v>59.666666666666664</v>
      </c>
      <c r="D2959" s="545">
        <v>47.666666666666671</v>
      </c>
      <c r="E2959" s="545">
        <v>33</v>
      </c>
      <c r="F2959" s="545">
        <v>54.142857142857146</v>
      </c>
      <c r="G2959" s="545">
        <v>33.75</v>
      </c>
      <c r="H2959" s="545">
        <v>23.666666666666668</v>
      </c>
      <c r="I2959" s="545">
        <v>25</v>
      </c>
      <c r="J2959" s="545">
        <v>31.059523809523807</v>
      </c>
    </row>
    <row r="2960" spans="1:10">
      <c r="A2960" s="441">
        <v>12637</v>
      </c>
      <c r="B2960" s="441" t="s">
        <v>3275</v>
      </c>
      <c r="C2960" s="545">
        <v>55.166666666666664</v>
      </c>
      <c r="D2960" s="545">
        <v>53.666666666666671</v>
      </c>
      <c r="E2960" s="545">
        <v>38.333333333333336</v>
      </c>
      <c r="F2960" s="545">
        <v>52.547619047619044</v>
      </c>
      <c r="G2960" s="545">
        <v>40.75</v>
      </c>
      <c r="H2960" s="545">
        <v>39</v>
      </c>
      <c r="I2960" s="545">
        <v>23</v>
      </c>
      <c r="J2960" s="545">
        <v>37.964285714285715</v>
      </c>
    </row>
    <row r="2961" spans="1:10">
      <c r="A2961" s="441">
        <v>179</v>
      </c>
      <c r="B2961" s="441" t="s">
        <v>3276</v>
      </c>
      <c r="C2961" s="545">
        <v>1</v>
      </c>
      <c r="D2961" s="545">
        <v>0</v>
      </c>
      <c r="E2961" s="545">
        <v>0</v>
      </c>
      <c r="F2961" s="545">
        <v>0.7142857142857143</v>
      </c>
      <c r="G2961" s="545">
        <v>0.05</v>
      </c>
      <c r="H2961" s="545">
        <v>0</v>
      </c>
      <c r="I2961" s="545">
        <v>0</v>
      </c>
      <c r="J2961" s="545">
        <v>3.5714285714285712E-2</v>
      </c>
    </row>
    <row r="2962" spans="1:10">
      <c r="A2962" s="441">
        <v>166</v>
      </c>
      <c r="B2962" s="441" t="s">
        <v>3277</v>
      </c>
      <c r="C2962" s="545">
        <v>4</v>
      </c>
      <c r="D2962" s="545">
        <v>1</v>
      </c>
      <c r="E2962" s="545">
        <v>0.66666666666666663</v>
      </c>
      <c r="F2962" s="545">
        <v>3.0952380952380953</v>
      </c>
      <c r="G2962" s="545">
        <v>0.35</v>
      </c>
      <c r="H2962" s="545">
        <v>0</v>
      </c>
      <c r="I2962" s="545">
        <v>0</v>
      </c>
      <c r="J2962" s="545">
        <v>0.25</v>
      </c>
    </row>
    <row r="2963" spans="1:10">
      <c r="A2963" s="441">
        <v>165</v>
      </c>
      <c r="B2963" s="441" t="s">
        <v>3278</v>
      </c>
      <c r="C2963" s="545">
        <v>10</v>
      </c>
      <c r="D2963" s="545">
        <v>2.3333333333333335</v>
      </c>
      <c r="E2963" s="545">
        <v>3.333333333333333</v>
      </c>
      <c r="F2963" s="545">
        <v>7.9523809523809534</v>
      </c>
      <c r="G2963" s="545">
        <v>2.0499999999999998</v>
      </c>
      <c r="H2963" s="545">
        <v>1.3333333333333333</v>
      </c>
      <c r="I2963" s="545">
        <v>1</v>
      </c>
      <c r="J2963" s="545">
        <v>1.7976190476190477</v>
      </c>
    </row>
    <row r="2964" spans="1:10">
      <c r="A2964" s="441">
        <v>167</v>
      </c>
      <c r="B2964" s="441" t="s">
        <v>3279</v>
      </c>
      <c r="C2964" s="545">
        <v>17.5</v>
      </c>
      <c r="D2964" s="545">
        <v>5.333333333333333</v>
      </c>
      <c r="E2964" s="545">
        <v>3.3333333333333335</v>
      </c>
      <c r="F2964" s="545">
        <v>13.738095238095237</v>
      </c>
      <c r="G2964" s="545">
        <v>5.8</v>
      </c>
      <c r="H2964" s="545">
        <v>4.666666666666667</v>
      </c>
      <c r="I2964" s="545">
        <v>5</v>
      </c>
      <c r="J2964" s="545">
        <v>5.5238095238095237</v>
      </c>
    </row>
    <row r="2965" spans="1:10">
      <c r="A2965" s="441">
        <v>189</v>
      </c>
      <c r="B2965" s="441" t="s">
        <v>3280</v>
      </c>
      <c r="C2965" s="545">
        <v>14.5</v>
      </c>
      <c r="D2965" s="545">
        <v>0.66666666666666663</v>
      </c>
      <c r="E2965" s="545">
        <v>0.33333333333333331</v>
      </c>
      <c r="F2965" s="545">
        <v>10.5</v>
      </c>
      <c r="G2965" s="545">
        <v>2.4500000000000002</v>
      </c>
      <c r="H2965" s="545">
        <v>0.66666666666666663</v>
      </c>
      <c r="I2965" s="545">
        <v>0</v>
      </c>
      <c r="J2965" s="545">
        <v>1.8452380952380951</v>
      </c>
    </row>
    <row r="2966" spans="1:10">
      <c r="A2966" s="441">
        <v>190</v>
      </c>
      <c r="B2966" s="441" t="s">
        <v>3281</v>
      </c>
      <c r="C2966" s="545">
        <v>7.5</v>
      </c>
      <c r="D2966" s="545">
        <v>5.666666666666667</v>
      </c>
      <c r="E2966" s="545">
        <v>3.666666666666667</v>
      </c>
      <c r="F2966" s="545">
        <v>6.6904761904761898</v>
      </c>
      <c r="G2966" s="545">
        <v>7.35</v>
      </c>
      <c r="H2966" s="545">
        <v>4.666666666666667</v>
      </c>
      <c r="I2966" s="545">
        <v>3.6666666666666665</v>
      </c>
      <c r="J2966" s="545">
        <v>6.4404761904761898</v>
      </c>
    </row>
    <row r="2967" spans="1:10">
      <c r="A2967" s="441">
        <v>12369</v>
      </c>
      <c r="B2967" s="441" t="s">
        <v>3282</v>
      </c>
      <c r="C2967" s="545">
        <v>33.5</v>
      </c>
      <c r="D2967" s="545">
        <v>10</v>
      </c>
      <c r="E2967" s="545">
        <v>5.3333333333333339</v>
      </c>
      <c r="F2967" s="545">
        <v>26.11904761904762</v>
      </c>
      <c r="G2967" s="545">
        <v>16.3</v>
      </c>
      <c r="H2967" s="545">
        <v>5.666666666666667</v>
      </c>
      <c r="I2967" s="545">
        <v>3.3333333333333335</v>
      </c>
      <c r="J2967" s="545">
        <v>12.928571428571429</v>
      </c>
    </row>
    <row r="2968" spans="1:10">
      <c r="A2968" s="441">
        <v>1859</v>
      </c>
      <c r="B2968" s="441" t="s">
        <v>3283</v>
      </c>
      <c r="C2968" s="545">
        <v>0</v>
      </c>
      <c r="D2968" s="545">
        <v>0</v>
      </c>
      <c r="E2968" s="545">
        <v>0</v>
      </c>
      <c r="F2968" s="545">
        <v>0</v>
      </c>
      <c r="G2968" s="545">
        <v>0.2</v>
      </c>
      <c r="H2968" s="545">
        <v>0</v>
      </c>
      <c r="I2968" s="545">
        <v>0</v>
      </c>
      <c r="J2968" s="545">
        <v>0.14285714285714285</v>
      </c>
    </row>
    <row r="2969" spans="1:10">
      <c r="A2969" s="441">
        <v>178</v>
      </c>
      <c r="B2969" s="441" t="s">
        <v>3284</v>
      </c>
      <c r="C2969" s="545">
        <v>0.16666666666666666</v>
      </c>
      <c r="D2969" s="545">
        <v>0</v>
      </c>
      <c r="E2969" s="545">
        <v>0.33333333333333331</v>
      </c>
      <c r="F2969" s="545">
        <v>0.16666666666666666</v>
      </c>
      <c r="G2969" s="545">
        <v>0.1</v>
      </c>
      <c r="H2969" s="545">
        <v>0</v>
      </c>
      <c r="I2969" s="545">
        <v>0</v>
      </c>
      <c r="J2969" s="545">
        <v>7.1428571428571425E-2</v>
      </c>
    </row>
    <row r="2970" spans="1:10">
      <c r="A2970" s="441">
        <v>1860</v>
      </c>
      <c r="B2970" s="441" t="s">
        <v>3284</v>
      </c>
      <c r="C2970" s="545">
        <v>0.5</v>
      </c>
      <c r="D2970" s="545">
        <v>0.33333333333333331</v>
      </c>
      <c r="E2970" s="545">
        <v>3</v>
      </c>
      <c r="F2970" s="545">
        <v>0.83333333333333337</v>
      </c>
      <c r="G2970" s="545">
        <v>2.1</v>
      </c>
      <c r="H2970" s="545">
        <v>0</v>
      </c>
      <c r="I2970" s="545">
        <v>0</v>
      </c>
      <c r="J2970" s="545">
        <v>1.5</v>
      </c>
    </row>
    <row r="2971" spans="1:10">
      <c r="A2971" s="441">
        <v>164</v>
      </c>
      <c r="B2971" s="441" t="s">
        <v>3285</v>
      </c>
      <c r="C2971" s="545">
        <v>62.5</v>
      </c>
      <c r="D2971" s="545">
        <v>9.6666666666666679</v>
      </c>
      <c r="E2971" s="545">
        <v>6</v>
      </c>
      <c r="F2971" s="545">
        <v>46.880952380952387</v>
      </c>
      <c r="G2971" s="545">
        <v>10.4</v>
      </c>
      <c r="H2971" s="545">
        <v>7</v>
      </c>
      <c r="I2971" s="545">
        <v>3.6666666666666665</v>
      </c>
      <c r="J2971" s="545">
        <v>8.9523809523809526</v>
      </c>
    </row>
    <row r="2972" spans="1:10">
      <c r="A2972" s="441">
        <v>13014</v>
      </c>
      <c r="B2972" s="441" t="s">
        <v>3286</v>
      </c>
      <c r="C2972" s="545">
        <v>6.1666666666666661</v>
      </c>
      <c r="D2972" s="545">
        <v>1.6666666666666667</v>
      </c>
      <c r="E2972" s="545">
        <v>2</v>
      </c>
      <c r="F2972" s="545">
        <v>4.9285714285714279</v>
      </c>
      <c r="G2972" s="545">
        <v>3.3</v>
      </c>
      <c r="H2972" s="545">
        <v>5</v>
      </c>
      <c r="I2972" s="545">
        <v>9</v>
      </c>
      <c r="J2972" s="545">
        <v>4.3571428571428568</v>
      </c>
    </row>
    <row r="2973" spans="1:10">
      <c r="A2973" s="441">
        <v>191</v>
      </c>
      <c r="B2973" s="441" t="s">
        <v>3287</v>
      </c>
      <c r="C2973" s="545">
        <v>6.6666666666666661</v>
      </c>
      <c r="D2973" s="545">
        <v>2.6666666666666665</v>
      </c>
      <c r="E2973" s="545">
        <v>1.3333333333333333</v>
      </c>
      <c r="F2973" s="545">
        <v>5.333333333333333</v>
      </c>
      <c r="G2973" s="545">
        <v>4.4000000000000004</v>
      </c>
      <c r="H2973" s="545">
        <v>1</v>
      </c>
      <c r="I2973" s="545">
        <v>0.33333333333333331</v>
      </c>
      <c r="J2973" s="545">
        <v>3.333333333333333</v>
      </c>
    </row>
    <row r="2974" spans="1:10">
      <c r="A2974" s="441">
        <v>192</v>
      </c>
      <c r="B2974" s="441" t="s">
        <v>3288</v>
      </c>
      <c r="C2974" s="545">
        <v>6.5</v>
      </c>
      <c r="D2974" s="545">
        <v>2.3333333333333335</v>
      </c>
      <c r="E2974" s="545">
        <v>0</v>
      </c>
      <c r="F2974" s="545">
        <v>4.9761904761904763</v>
      </c>
      <c r="G2974" s="545">
        <v>4.8499999999999996</v>
      </c>
      <c r="H2974" s="545">
        <v>1.6666666666666667</v>
      </c>
      <c r="I2974" s="545">
        <v>0.33333333333333331</v>
      </c>
      <c r="J2974" s="545">
        <v>3.75</v>
      </c>
    </row>
    <row r="2975" spans="1:10">
      <c r="A2975" s="441">
        <v>85</v>
      </c>
      <c r="B2975" s="441" t="s">
        <v>3289</v>
      </c>
      <c r="C2975" s="545">
        <v>211.66666666666669</v>
      </c>
      <c r="D2975" s="545">
        <v>0</v>
      </c>
      <c r="E2975" s="545">
        <v>0</v>
      </c>
      <c r="F2975" s="545">
        <v>151.1904761904762</v>
      </c>
      <c r="G2975" s="545">
        <v>25.4</v>
      </c>
      <c r="H2975" s="545"/>
      <c r="I2975" s="545"/>
      <c r="J2975" s="545">
        <v>18.142857142857142</v>
      </c>
    </row>
    <row r="2976" spans="1:10">
      <c r="A2976" s="441">
        <v>8458</v>
      </c>
      <c r="B2976" s="441" t="s">
        <v>3290</v>
      </c>
      <c r="C2976" s="545">
        <v>3.666666666666667</v>
      </c>
      <c r="D2976" s="545">
        <v>4.666666666666667</v>
      </c>
      <c r="E2976" s="545">
        <v>2.3333333333333335</v>
      </c>
      <c r="F2976" s="545">
        <v>3.6190476190476195</v>
      </c>
      <c r="G2976" s="545">
        <v>2.4</v>
      </c>
      <c r="H2976" s="545">
        <v>4</v>
      </c>
      <c r="I2976" s="545">
        <v>0.66666666666666663</v>
      </c>
      <c r="J2976" s="545">
        <v>2.3809523809523809</v>
      </c>
    </row>
    <row r="2977" spans="1:10">
      <c r="A2977" s="441">
        <v>11590</v>
      </c>
      <c r="B2977" s="441" t="s">
        <v>3290</v>
      </c>
      <c r="C2977" s="545">
        <v>7.333333333333333</v>
      </c>
      <c r="D2977" s="545">
        <v>3.3333333333333335</v>
      </c>
      <c r="E2977" s="545">
        <v>1.3333333333333333</v>
      </c>
      <c r="F2977" s="545">
        <v>5.9047619047619051</v>
      </c>
      <c r="G2977" s="545">
        <v>3.55</v>
      </c>
      <c r="H2977" s="545">
        <v>1.6666666666666667</v>
      </c>
      <c r="I2977" s="545">
        <v>2.6666666666666665</v>
      </c>
      <c r="J2977" s="545">
        <v>3.1547619047619051</v>
      </c>
    </row>
    <row r="2978" spans="1:10">
      <c r="A2978" s="441">
        <v>8461</v>
      </c>
      <c r="B2978" s="441" t="s">
        <v>3291</v>
      </c>
      <c r="C2978" s="545">
        <v>16.5</v>
      </c>
      <c r="D2978" s="545">
        <v>9.6666666666666661</v>
      </c>
      <c r="E2978" s="545">
        <v>15.333333333333334</v>
      </c>
      <c r="F2978" s="545">
        <v>15.357142857142858</v>
      </c>
      <c r="G2978" s="545">
        <v>10.85</v>
      </c>
      <c r="H2978" s="545">
        <v>9.6666666666666661</v>
      </c>
      <c r="I2978" s="545">
        <v>6.666666666666667</v>
      </c>
      <c r="J2978" s="545">
        <v>10.083333333333332</v>
      </c>
    </row>
    <row r="2979" spans="1:10">
      <c r="A2979" s="441">
        <v>11591</v>
      </c>
      <c r="B2979" s="441" t="s">
        <v>3291</v>
      </c>
      <c r="C2979" s="545">
        <v>10.333333333333332</v>
      </c>
      <c r="D2979" s="545">
        <v>6.3333333333333339</v>
      </c>
      <c r="E2979" s="545">
        <v>7.333333333333333</v>
      </c>
      <c r="F2979" s="545">
        <v>9.3333333333333321</v>
      </c>
      <c r="G2979" s="545">
        <v>8.4499999999999993</v>
      </c>
      <c r="H2979" s="545">
        <v>7.333333333333333</v>
      </c>
      <c r="I2979" s="545">
        <v>4.333333333333333</v>
      </c>
      <c r="J2979" s="545">
        <v>7.7023809523809534</v>
      </c>
    </row>
    <row r="2980" spans="1:10">
      <c r="A2980" s="441">
        <v>7170</v>
      </c>
      <c r="B2980" s="441" t="s">
        <v>3292</v>
      </c>
      <c r="C2980" s="545">
        <v>85.833333333333329</v>
      </c>
      <c r="D2980" s="545">
        <v>60.333333333333336</v>
      </c>
      <c r="E2980" s="545">
        <v>35.333333333333336</v>
      </c>
      <c r="F2980" s="545">
        <v>74.976190476190467</v>
      </c>
      <c r="G2980" s="545">
        <v>71.150000000000006</v>
      </c>
      <c r="H2980" s="545">
        <v>47</v>
      </c>
      <c r="I2980" s="545">
        <v>33.666666666666664</v>
      </c>
      <c r="J2980" s="545">
        <v>62.345238095238095</v>
      </c>
    </row>
    <row r="2981" spans="1:10">
      <c r="A2981" s="441">
        <v>7181</v>
      </c>
      <c r="B2981" s="441" t="s">
        <v>3293</v>
      </c>
      <c r="C2981" s="545">
        <v>1</v>
      </c>
      <c r="D2981" s="545">
        <v>0</v>
      </c>
      <c r="E2981" s="545">
        <v>1.3333333333333333</v>
      </c>
      <c r="F2981" s="545">
        <v>0.90476190476190477</v>
      </c>
      <c r="G2981" s="545">
        <v>1.55</v>
      </c>
      <c r="H2981" s="545">
        <v>0.33333333333333331</v>
      </c>
      <c r="I2981" s="545">
        <v>0</v>
      </c>
      <c r="J2981" s="545">
        <v>1.1547619047619049</v>
      </c>
    </row>
    <row r="2982" spans="1:10">
      <c r="A2982" s="441">
        <v>7159</v>
      </c>
      <c r="B2982" s="441" t="s">
        <v>3294</v>
      </c>
      <c r="C2982" s="545">
        <v>69.5</v>
      </c>
      <c r="D2982" s="545">
        <v>38</v>
      </c>
      <c r="E2982" s="545">
        <v>24.666666666666668</v>
      </c>
      <c r="F2982" s="545">
        <v>58.595238095238095</v>
      </c>
      <c r="G2982" s="545">
        <v>53.7</v>
      </c>
      <c r="H2982" s="545">
        <v>29.666666666666668</v>
      </c>
      <c r="I2982" s="545">
        <v>19.666666666666668</v>
      </c>
      <c r="J2982" s="545">
        <v>45.404761904761912</v>
      </c>
    </row>
    <row r="2983" spans="1:10">
      <c r="A2983" s="441">
        <v>7176</v>
      </c>
      <c r="B2983" s="441" t="s">
        <v>3294</v>
      </c>
      <c r="C2983" s="545">
        <v>69.166666666666657</v>
      </c>
      <c r="D2983" s="545">
        <v>39</v>
      </c>
      <c r="E2983" s="545">
        <v>24.666666666666668</v>
      </c>
      <c r="F2983" s="545">
        <v>58.499999999999993</v>
      </c>
      <c r="G2983" s="545">
        <v>37.549999999999997</v>
      </c>
      <c r="H2983" s="545">
        <v>22.333333333333332</v>
      </c>
      <c r="I2983" s="545">
        <v>17.666666666666668</v>
      </c>
      <c r="J2983" s="545">
        <v>32.535714285714285</v>
      </c>
    </row>
    <row r="2984" spans="1:10">
      <c r="A2984" s="441">
        <v>2455</v>
      </c>
      <c r="B2984" s="441" t="s">
        <v>3295</v>
      </c>
      <c r="C2984" s="545">
        <v>175</v>
      </c>
      <c r="D2984" s="545">
        <v>99.333333333333343</v>
      </c>
      <c r="E2984" s="545">
        <v>80.666666666666657</v>
      </c>
      <c r="F2984" s="545">
        <v>150.71428571428572</v>
      </c>
      <c r="G2984" s="545">
        <v>74.75</v>
      </c>
      <c r="H2984" s="545">
        <v>40</v>
      </c>
      <c r="I2984" s="545">
        <v>42.666666666666664</v>
      </c>
      <c r="J2984" s="545">
        <v>65.202380952380949</v>
      </c>
    </row>
    <row r="2985" spans="1:10">
      <c r="A2985" s="441">
        <v>2462</v>
      </c>
      <c r="B2985" s="441" t="s">
        <v>3295</v>
      </c>
      <c r="C2985" s="545">
        <v>93.333333333333343</v>
      </c>
      <c r="D2985" s="545">
        <v>81.333333333333329</v>
      </c>
      <c r="E2985" s="545">
        <v>75.333333333333329</v>
      </c>
      <c r="F2985" s="545">
        <v>89.047619047619065</v>
      </c>
      <c r="G2985" s="545">
        <v>75.349999999999994</v>
      </c>
      <c r="H2985" s="545">
        <v>47.666666666666664</v>
      </c>
      <c r="I2985" s="545">
        <v>35.666666666666664</v>
      </c>
      <c r="J2985" s="545">
        <v>65.726190476190482</v>
      </c>
    </row>
    <row r="2986" spans="1:10">
      <c r="A2986" s="441">
        <v>7160</v>
      </c>
      <c r="B2986" s="441" t="s">
        <v>3296</v>
      </c>
      <c r="C2986" s="545">
        <v>4.666666666666667</v>
      </c>
      <c r="D2986" s="545">
        <v>2.666666666666667</v>
      </c>
      <c r="E2986" s="545">
        <v>1.6666666666666665</v>
      </c>
      <c r="F2986" s="545">
        <v>3.952380952380953</v>
      </c>
      <c r="G2986" s="545">
        <v>3.35</v>
      </c>
      <c r="H2986" s="545">
        <v>1</v>
      </c>
      <c r="I2986" s="545">
        <v>2.3333333333333335</v>
      </c>
      <c r="J2986" s="545">
        <v>2.8690476190476191</v>
      </c>
    </row>
    <row r="2987" spans="1:10">
      <c r="A2987" s="441">
        <v>7175</v>
      </c>
      <c r="B2987" s="441" t="s">
        <v>3296</v>
      </c>
      <c r="C2987" s="545">
        <v>3.166666666666667</v>
      </c>
      <c r="D2987" s="545">
        <v>1</v>
      </c>
      <c r="E2987" s="545">
        <v>2</v>
      </c>
      <c r="F2987" s="545">
        <v>2.6904761904761907</v>
      </c>
      <c r="G2987" s="545">
        <v>2.1</v>
      </c>
      <c r="H2987" s="545">
        <v>0.66666666666666663</v>
      </c>
      <c r="I2987" s="545">
        <v>1</v>
      </c>
      <c r="J2987" s="545">
        <v>1.7380952380952379</v>
      </c>
    </row>
    <row r="2988" spans="1:10">
      <c r="A2988" s="441">
        <v>5107</v>
      </c>
      <c r="B2988" s="441" t="s">
        <v>3297</v>
      </c>
      <c r="C2988" s="545">
        <v>21.166666666666668</v>
      </c>
      <c r="D2988" s="545">
        <v>13.333333333333334</v>
      </c>
      <c r="E2988" s="545">
        <v>12.666666666666668</v>
      </c>
      <c r="F2988" s="545">
        <v>18.833333333333336</v>
      </c>
      <c r="G2988" s="545">
        <v>28.65</v>
      </c>
      <c r="H2988" s="545">
        <v>17.333333333333332</v>
      </c>
      <c r="I2988" s="545">
        <v>16.333333333333332</v>
      </c>
      <c r="J2988" s="545">
        <v>25.273809523809526</v>
      </c>
    </row>
    <row r="2989" spans="1:10">
      <c r="A2989" s="441">
        <v>7148</v>
      </c>
      <c r="B2989" s="441" t="s">
        <v>3298</v>
      </c>
      <c r="C2989" s="545">
        <v>24</v>
      </c>
      <c r="D2989" s="545">
        <v>16.333333333333332</v>
      </c>
      <c r="E2989" s="545">
        <v>9.6666666666666661</v>
      </c>
      <c r="F2989" s="545">
        <v>20.857142857142858</v>
      </c>
      <c r="G2989" s="545">
        <v>17.2</v>
      </c>
      <c r="H2989" s="545">
        <v>4.666666666666667</v>
      </c>
      <c r="I2989" s="545">
        <v>6</v>
      </c>
      <c r="J2989" s="545">
        <v>13.80952380952381</v>
      </c>
    </row>
    <row r="2990" spans="1:10">
      <c r="A2990" s="441">
        <v>7182</v>
      </c>
      <c r="B2990" s="441" t="s">
        <v>3298</v>
      </c>
      <c r="C2990" s="545">
        <v>17.666666666666664</v>
      </c>
      <c r="D2990" s="545">
        <v>12.666666666666666</v>
      </c>
      <c r="E2990" s="545">
        <v>8.3333333333333339</v>
      </c>
      <c r="F2990" s="545">
        <v>15.619047619047617</v>
      </c>
      <c r="G2990" s="545">
        <v>12.5</v>
      </c>
      <c r="H2990" s="545">
        <v>7.666666666666667</v>
      </c>
      <c r="I2990" s="545">
        <v>6.333333333333333</v>
      </c>
      <c r="J2990" s="545">
        <v>10.928571428571429</v>
      </c>
    </row>
    <row r="2991" spans="1:10">
      <c r="A2991" s="441">
        <v>8459</v>
      </c>
      <c r="B2991" s="441" t="s">
        <v>3299</v>
      </c>
      <c r="C2991" s="545">
        <v>3.5</v>
      </c>
      <c r="D2991" s="545">
        <v>2.6666666666666665</v>
      </c>
      <c r="E2991" s="545">
        <v>1.3333333333333333</v>
      </c>
      <c r="F2991" s="545">
        <v>3.0714285714285716</v>
      </c>
      <c r="G2991" s="545">
        <v>2.4500000000000002</v>
      </c>
      <c r="H2991" s="545">
        <v>2</v>
      </c>
      <c r="I2991" s="545">
        <v>3</v>
      </c>
      <c r="J2991" s="545">
        <v>2.4642857142857144</v>
      </c>
    </row>
    <row r="2992" spans="1:10">
      <c r="A2992" s="441">
        <v>11588</v>
      </c>
      <c r="B2992" s="441" t="s">
        <v>3299</v>
      </c>
      <c r="C2992" s="545">
        <v>6.833333333333333</v>
      </c>
      <c r="D2992" s="545">
        <v>5.6666666666666661</v>
      </c>
      <c r="E2992" s="545">
        <v>1.6666666666666665</v>
      </c>
      <c r="F2992" s="545">
        <v>5.9285714285714279</v>
      </c>
      <c r="G2992" s="545">
        <v>5</v>
      </c>
      <c r="H2992" s="545">
        <v>3</v>
      </c>
      <c r="I2992" s="545">
        <v>3.3333333333333335</v>
      </c>
      <c r="J2992" s="545">
        <v>4.4761904761904763</v>
      </c>
    </row>
    <row r="2993" spans="1:10">
      <c r="A2993" s="441">
        <v>8473</v>
      </c>
      <c r="B2993" s="441" t="s">
        <v>3300</v>
      </c>
      <c r="C2993" s="545">
        <v>73.833333333333329</v>
      </c>
      <c r="D2993" s="545">
        <v>63.333333333333336</v>
      </c>
      <c r="E2993" s="545">
        <v>38.333333333333336</v>
      </c>
      <c r="F2993" s="545">
        <v>67.261904761904745</v>
      </c>
      <c r="G2993" s="545">
        <v>53</v>
      </c>
      <c r="H2993" s="545">
        <v>29.333333333333332</v>
      </c>
      <c r="I2993" s="545">
        <v>21.333333333333332</v>
      </c>
      <c r="J2993" s="545">
        <v>45.095238095238088</v>
      </c>
    </row>
    <row r="2994" spans="1:10">
      <c r="A2994" s="441">
        <v>10147</v>
      </c>
      <c r="B2994" s="441" t="s">
        <v>3300</v>
      </c>
      <c r="C2994" s="545">
        <v>80.166666666666657</v>
      </c>
      <c r="D2994" s="545">
        <v>63</v>
      </c>
      <c r="E2994" s="545">
        <v>40.666666666666671</v>
      </c>
      <c r="F2994" s="545">
        <v>72.071428571428569</v>
      </c>
      <c r="G2994" s="545">
        <v>45.05</v>
      </c>
      <c r="H2994" s="545">
        <v>27</v>
      </c>
      <c r="I2994" s="545">
        <v>29.666666666666668</v>
      </c>
      <c r="J2994" s="545">
        <v>40.273809523809526</v>
      </c>
    </row>
    <row r="2995" spans="1:10">
      <c r="A2995" s="441">
        <v>10701</v>
      </c>
      <c r="B2995" s="441" t="s">
        <v>3300</v>
      </c>
      <c r="C2995" s="545">
        <v>1</v>
      </c>
      <c r="D2995" s="545">
        <v>2</v>
      </c>
      <c r="E2995" s="545">
        <v>0</v>
      </c>
      <c r="F2995" s="545">
        <v>1</v>
      </c>
      <c r="G2995" s="545">
        <v>2.25</v>
      </c>
      <c r="H2995" s="545">
        <v>2.6666666666666665</v>
      </c>
      <c r="I2995" s="545">
        <v>0.33333333333333331</v>
      </c>
      <c r="J2995" s="545">
        <v>2.0357142857142856</v>
      </c>
    </row>
    <row r="2996" spans="1:10">
      <c r="A2996" s="441">
        <v>11263</v>
      </c>
      <c r="B2996" s="441" t="s">
        <v>3300</v>
      </c>
      <c r="C2996" s="545">
        <v>1</v>
      </c>
      <c r="D2996" s="545">
        <v>0.66666666666666663</v>
      </c>
      <c r="E2996" s="545">
        <v>0.33333333333333331</v>
      </c>
      <c r="F2996" s="545">
        <v>0.8571428571428571</v>
      </c>
      <c r="G2996" s="545">
        <v>1.85</v>
      </c>
      <c r="H2996" s="545">
        <v>1.3333333333333333</v>
      </c>
      <c r="I2996" s="545">
        <v>0.33333333333333331</v>
      </c>
      <c r="J2996" s="545">
        <v>1.5595238095238098</v>
      </c>
    </row>
    <row r="2997" spans="1:10">
      <c r="A2997" s="441">
        <v>7162</v>
      </c>
      <c r="B2997" s="441" t="s">
        <v>3301</v>
      </c>
      <c r="C2997" s="545">
        <v>2.333333333333333</v>
      </c>
      <c r="D2997" s="545">
        <v>0.66666666666666663</v>
      </c>
      <c r="E2997" s="545">
        <v>0.33333333333333331</v>
      </c>
      <c r="F2997" s="545">
        <v>1.8095238095238091</v>
      </c>
      <c r="G2997" s="545">
        <v>2</v>
      </c>
      <c r="H2997" s="545">
        <v>0.66666666666666663</v>
      </c>
      <c r="I2997" s="545">
        <v>0</v>
      </c>
      <c r="J2997" s="545">
        <v>1.5238095238095237</v>
      </c>
    </row>
    <row r="2998" spans="1:10">
      <c r="A2998" s="441">
        <v>7173</v>
      </c>
      <c r="B2998" s="441" t="s">
        <v>3301</v>
      </c>
      <c r="C2998" s="545">
        <v>1</v>
      </c>
      <c r="D2998" s="545">
        <v>0.33333333333333331</v>
      </c>
      <c r="E2998" s="545">
        <v>0.66666666666666663</v>
      </c>
      <c r="F2998" s="545">
        <v>0.8571428571428571</v>
      </c>
      <c r="G2998" s="545">
        <v>3.05</v>
      </c>
      <c r="H2998" s="545">
        <v>2.6666666666666665</v>
      </c>
      <c r="I2998" s="545">
        <v>3.3333333333333335</v>
      </c>
      <c r="J2998" s="545">
        <v>3.0357142857142856</v>
      </c>
    </row>
    <row r="2999" spans="1:10">
      <c r="A2999" s="441">
        <v>2451</v>
      </c>
      <c r="B2999" s="441" t="s">
        <v>3302</v>
      </c>
      <c r="C2999" s="545">
        <v>14.666666666666666</v>
      </c>
      <c r="D2999" s="545">
        <v>13.333333333333332</v>
      </c>
      <c r="E2999" s="545">
        <v>9</v>
      </c>
      <c r="F2999" s="545">
        <v>13.666666666666666</v>
      </c>
      <c r="G2999" s="545">
        <v>9.4</v>
      </c>
      <c r="H2999" s="545">
        <v>7.333333333333333</v>
      </c>
      <c r="I2999" s="545">
        <v>9</v>
      </c>
      <c r="J2999" s="545">
        <v>9.0476190476190474</v>
      </c>
    </row>
    <row r="3000" spans="1:10">
      <c r="A3000" s="441">
        <v>7146</v>
      </c>
      <c r="B3000" s="441" t="s">
        <v>3303</v>
      </c>
      <c r="C3000" s="545">
        <v>18.166666666666668</v>
      </c>
      <c r="D3000" s="545">
        <v>13</v>
      </c>
      <c r="E3000" s="545">
        <v>15</v>
      </c>
      <c r="F3000" s="545">
        <v>16.976190476190478</v>
      </c>
      <c r="G3000" s="545">
        <v>16</v>
      </c>
      <c r="H3000" s="545">
        <v>16.666666666666668</v>
      </c>
      <c r="I3000" s="545">
        <v>10.666666666666666</v>
      </c>
      <c r="J3000" s="545">
        <v>15.333333333333334</v>
      </c>
    </row>
    <row r="3001" spans="1:10">
      <c r="A3001" s="441">
        <v>7184</v>
      </c>
      <c r="B3001" s="441" t="s">
        <v>3303</v>
      </c>
      <c r="C3001" s="545">
        <v>23.166666666666664</v>
      </c>
      <c r="D3001" s="545">
        <v>14</v>
      </c>
      <c r="E3001" s="545">
        <v>10.666666666666668</v>
      </c>
      <c r="F3001" s="545">
        <v>20.071428571428566</v>
      </c>
      <c r="G3001" s="545">
        <v>20.7</v>
      </c>
      <c r="H3001" s="545">
        <v>14.333333333333334</v>
      </c>
      <c r="I3001" s="545">
        <v>9.6666666666666661</v>
      </c>
      <c r="J3001" s="545">
        <v>18.214285714285715</v>
      </c>
    </row>
    <row r="3002" spans="1:10">
      <c r="A3002" s="441">
        <v>7185</v>
      </c>
      <c r="B3002" s="441" t="s">
        <v>3303</v>
      </c>
      <c r="C3002" s="545">
        <v>103.5</v>
      </c>
      <c r="D3002" s="545">
        <v>87.333333333333329</v>
      </c>
      <c r="E3002" s="545">
        <v>55.333333333333329</v>
      </c>
      <c r="F3002" s="545">
        <v>94.309523809523824</v>
      </c>
      <c r="G3002" s="545">
        <v>81.25</v>
      </c>
      <c r="H3002" s="545">
        <v>38.333333333333336</v>
      </c>
      <c r="I3002" s="545">
        <v>25.333333333333332</v>
      </c>
      <c r="J3002" s="545">
        <v>67.13095238095238</v>
      </c>
    </row>
    <row r="3003" spans="1:10">
      <c r="A3003" s="441">
        <v>8621</v>
      </c>
      <c r="B3003" s="441" t="s">
        <v>3304</v>
      </c>
      <c r="C3003" s="545">
        <v>25.333333333333332</v>
      </c>
      <c r="D3003" s="545">
        <v>20.666666666666668</v>
      </c>
      <c r="E3003" s="545">
        <v>24.333333333333336</v>
      </c>
      <c r="F3003" s="545">
        <v>24.523809523809522</v>
      </c>
      <c r="G3003" s="545">
        <v>22.45</v>
      </c>
      <c r="H3003" s="545">
        <v>14.333333333333334</v>
      </c>
      <c r="I3003" s="545">
        <v>11.666666666666666</v>
      </c>
      <c r="J3003" s="545">
        <v>19.75</v>
      </c>
    </row>
    <row r="3004" spans="1:10">
      <c r="A3004" s="441">
        <v>8623</v>
      </c>
      <c r="B3004" s="441" t="s">
        <v>3304</v>
      </c>
      <c r="C3004" s="545">
        <v>107.16666666666666</v>
      </c>
      <c r="D3004" s="545">
        <v>88.333333333333343</v>
      </c>
      <c r="E3004" s="545">
        <v>58.333333333333329</v>
      </c>
      <c r="F3004" s="545">
        <v>97.5</v>
      </c>
      <c r="G3004" s="545">
        <v>55.45</v>
      </c>
      <c r="H3004" s="545">
        <v>44</v>
      </c>
      <c r="I3004" s="545">
        <v>28.333333333333332</v>
      </c>
      <c r="J3004" s="545">
        <v>49.94047619047619</v>
      </c>
    </row>
    <row r="3005" spans="1:10">
      <c r="A3005" s="441">
        <v>8463</v>
      </c>
      <c r="B3005" s="441" t="s">
        <v>3305</v>
      </c>
      <c r="C3005" s="545">
        <v>52</v>
      </c>
      <c r="D3005" s="545">
        <v>37</v>
      </c>
      <c r="E3005" s="545">
        <v>37.333333333333329</v>
      </c>
      <c r="F3005" s="545">
        <v>47.761904761904759</v>
      </c>
      <c r="G3005" s="545">
        <v>38.299999999999997</v>
      </c>
      <c r="H3005" s="545">
        <v>28.666666666666668</v>
      </c>
      <c r="I3005" s="545">
        <v>24.666666666666668</v>
      </c>
      <c r="J3005" s="545">
        <v>34.976190476190474</v>
      </c>
    </row>
    <row r="3006" spans="1:10">
      <c r="A3006" s="441">
        <v>10700</v>
      </c>
      <c r="B3006" s="441" t="s">
        <v>3305</v>
      </c>
      <c r="C3006" s="545">
        <v>47.833333333333336</v>
      </c>
      <c r="D3006" s="545">
        <v>30.333333333333336</v>
      </c>
      <c r="E3006" s="545">
        <v>29</v>
      </c>
      <c r="F3006" s="545">
        <v>42.642857142857146</v>
      </c>
      <c r="G3006" s="545">
        <v>30.3</v>
      </c>
      <c r="H3006" s="545">
        <v>24.333333333333332</v>
      </c>
      <c r="I3006" s="545">
        <v>18.666666666666668</v>
      </c>
      <c r="J3006" s="545">
        <v>27.785714285714285</v>
      </c>
    </row>
    <row r="3007" spans="1:10">
      <c r="A3007" s="441">
        <v>8464</v>
      </c>
      <c r="B3007" s="441" t="s">
        <v>3306</v>
      </c>
      <c r="C3007" s="545">
        <v>0</v>
      </c>
      <c r="D3007" s="545">
        <v>0.33333333333333331</v>
      </c>
      <c r="E3007" s="545">
        <v>0.66666666666666663</v>
      </c>
      <c r="F3007" s="545">
        <v>0.14285714285714285</v>
      </c>
      <c r="G3007" s="545">
        <v>0.95</v>
      </c>
      <c r="H3007" s="545">
        <v>2</v>
      </c>
      <c r="I3007" s="545">
        <v>1</v>
      </c>
      <c r="J3007" s="545">
        <v>1.1071428571428572</v>
      </c>
    </row>
    <row r="3008" spans="1:10">
      <c r="A3008" s="441">
        <v>11264</v>
      </c>
      <c r="B3008" s="441" t="s">
        <v>3307</v>
      </c>
      <c r="C3008" s="545">
        <v>0.83333333333333337</v>
      </c>
      <c r="D3008" s="545">
        <v>0.33333333333333331</v>
      </c>
      <c r="E3008" s="545">
        <v>0</v>
      </c>
      <c r="F3008" s="545">
        <v>0.6428571428571429</v>
      </c>
      <c r="G3008" s="545">
        <v>0.95</v>
      </c>
      <c r="H3008" s="545">
        <v>0</v>
      </c>
      <c r="I3008" s="545">
        <v>0</v>
      </c>
      <c r="J3008" s="545">
        <v>0.6785714285714286</v>
      </c>
    </row>
    <row r="3009" spans="1:10">
      <c r="A3009" s="441">
        <v>8457</v>
      </c>
      <c r="B3009" s="441" t="s">
        <v>3308</v>
      </c>
      <c r="C3009" s="545">
        <v>2.1666666666666665</v>
      </c>
      <c r="D3009" s="545">
        <v>1.3333333333333333</v>
      </c>
      <c r="E3009" s="545">
        <v>2.3333333333333335</v>
      </c>
      <c r="F3009" s="545">
        <v>2.0714285714285716</v>
      </c>
      <c r="G3009" s="545">
        <v>1.7</v>
      </c>
      <c r="H3009" s="545">
        <v>0.33333333333333331</v>
      </c>
      <c r="I3009" s="545">
        <v>2.6666666666666665</v>
      </c>
      <c r="J3009" s="545">
        <v>1.6428571428571428</v>
      </c>
    </row>
    <row r="3010" spans="1:10">
      <c r="A3010" s="441">
        <v>11589</v>
      </c>
      <c r="B3010" s="441" t="s">
        <v>3308</v>
      </c>
      <c r="C3010" s="545">
        <v>1.8333333333333335</v>
      </c>
      <c r="D3010" s="545">
        <v>1</v>
      </c>
      <c r="E3010" s="545">
        <v>2.6666666666666665</v>
      </c>
      <c r="F3010" s="545">
        <v>1.8333333333333335</v>
      </c>
      <c r="G3010" s="545">
        <v>1.5</v>
      </c>
      <c r="H3010" s="545">
        <v>2</v>
      </c>
      <c r="I3010" s="545">
        <v>3</v>
      </c>
      <c r="J3010" s="545">
        <v>1.7857142857142858</v>
      </c>
    </row>
    <row r="3011" spans="1:10">
      <c r="A3011" s="441">
        <v>2464</v>
      </c>
      <c r="B3011" s="441" t="s">
        <v>3309</v>
      </c>
      <c r="C3011" s="545">
        <v>18.333333333333336</v>
      </c>
      <c r="D3011" s="545">
        <v>11.333333333333332</v>
      </c>
      <c r="E3011" s="545">
        <v>12.333333333333332</v>
      </c>
      <c r="F3011" s="545">
        <v>16.476190476190478</v>
      </c>
      <c r="G3011" s="545">
        <v>10.5</v>
      </c>
      <c r="H3011" s="545">
        <v>10</v>
      </c>
      <c r="I3011" s="545">
        <v>8</v>
      </c>
      <c r="J3011" s="545">
        <v>10.071428571428571</v>
      </c>
    </row>
    <row r="3012" spans="1:10">
      <c r="A3012" s="441">
        <v>2470</v>
      </c>
      <c r="B3012" s="441" t="s">
        <v>3310</v>
      </c>
      <c r="C3012" s="545">
        <v>125.83333333333334</v>
      </c>
      <c r="D3012" s="545">
        <v>90</v>
      </c>
      <c r="E3012" s="545">
        <v>66.666666666666671</v>
      </c>
      <c r="F3012" s="545">
        <v>112.26190476190477</v>
      </c>
      <c r="G3012" s="545">
        <v>79.900000000000006</v>
      </c>
      <c r="H3012" s="545">
        <v>54.666666666666664</v>
      </c>
      <c r="I3012" s="545">
        <v>46.333333333333336</v>
      </c>
      <c r="J3012" s="545">
        <v>71.5</v>
      </c>
    </row>
    <row r="3013" spans="1:10">
      <c r="A3013" s="441">
        <v>8622</v>
      </c>
      <c r="B3013" s="441" t="s">
        <v>3310</v>
      </c>
      <c r="C3013" s="545">
        <v>188.66666666666666</v>
      </c>
      <c r="D3013" s="545">
        <v>155</v>
      </c>
      <c r="E3013" s="545">
        <v>111.33333333333333</v>
      </c>
      <c r="F3013" s="545">
        <v>172.8095238095238</v>
      </c>
      <c r="G3013" s="545">
        <v>125.85</v>
      </c>
      <c r="H3013" s="545">
        <v>98.333333333333329</v>
      </c>
      <c r="I3013" s="545">
        <v>75.666666666666671</v>
      </c>
      <c r="J3013" s="545">
        <v>114.75</v>
      </c>
    </row>
    <row r="3014" spans="1:10">
      <c r="A3014" s="441">
        <v>704</v>
      </c>
      <c r="B3014" s="441" t="s">
        <v>3311</v>
      </c>
      <c r="C3014" s="545">
        <v>54.5</v>
      </c>
      <c r="D3014" s="545">
        <v>49.333333333333336</v>
      </c>
      <c r="E3014" s="545">
        <v>36.333333333333336</v>
      </c>
      <c r="F3014" s="545">
        <v>51.166666666666664</v>
      </c>
      <c r="G3014" s="545">
        <v>56.8</v>
      </c>
      <c r="H3014" s="545">
        <v>49.666666666666664</v>
      </c>
      <c r="I3014" s="545">
        <v>36.333333333333336</v>
      </c>
      <c r="J3014" s="545">
        <v>52.857142857142854</v>
      </c>
    </row>
    <row r="3015" spans="1:10">
      <c r="A3015" s="441">
        <v>2453</v>
      </c>
      <c r="B3015" s="441" t="s">
        <v>3311</v>
      </c>
      <c r="C3015" s="545">
        <v>36.666666666666664</v>
      </c>
      <c r="D3015" s="545">
        <v>31.666666666666664</v>
      </c>
      <c r="E3015" s="545">
        <v>25.333333333333336</v>
      </c>
      <c r="F3015" s="545">
        <v>34.333333333333329</v>
      </c>
      <c r="G3015" s="545">
        <v>32.25</v>
      </c>
      <c r="H3015" s="545">
        <v>28.333333333333332</v>
      </c>
      <c r="I3015" s="545">
        <v>21.666666666666668</v>
      </c>
      <c r="J3015" s="545">
        <v>30.178571428571427</v>
      </c>
    </row>
    <row r="3016" spans="1:10">
      <c r="A3016" s="441">
        <v>705</v>
      </c>
      <c r="B3016" s="441" t="s">
        <v>3312</v>
      </c>
      <c r="C3016" s="545">
        <v>13</v>
      </c>
      <c r="D3016" s="545">
        <v>15.666666666666668</v>
      </c>
      <c r="E3016" s="545">
        <v>10.333333333333334</v>
      </c>
      <c r="F3016" s="545">
        <v>13</v>
      </c>
      <c r="G3016" s="545">
        <v>8.4</v>
      </c>
      <c r="H3016" s="545">
        <v>9.3333333333333339</v>
      </c>
      <c r="I3016" s="545">
        <v>8.3333333333333339</v>
      </c>
      <c r="J3016" s="545">
        <v>8.5238095238095237</v>
      </c>
    </row>
    <row r="3017" spans="1:10">
      <c r="A3017" s="441">
        <v>2452</v>
      </c>
      <c r="B3017" s="441" t="s">
        <v>3312</v>
      </c>
      <c r="C3017" s="545">
        <v>13.666666666666666</v>
      </c>
      <c r="D3017" s="545">
        <v>18.666666666666668</v>
      </c>
      <c r="E3017" s="545">
        <v>13.333333333333334</v>
      </c>
      <c r="F3017" s="545">
        <v>14.333333333333332</v>
      </c>
      <c r="G3017" s="545">
        <v>12.05</v>
      </c>
      <c r="H3017" s="545">
        <v>15</v>
      </c>
      <c r="I3017" s="545">
        <v>11</v>
      </c>
      <c r="J3017" s="545">
        <v>12.321428571428571</v>
      </c>
    </row>
    <row r="3018" spans="1:10">
      <c r="A3018" s="441">
        <v>8499</v>
      </c>
      <c r="B3018" s="441" t="s">
        <v>3313</v>
      </c>
      <c r="C3018" s="545">
        <v>14.166666666666666</v>
      </c>
      <c r="D3018" s="545">
        <v>3.333333333333333</v>
      </c>
      <c r="E3018" s="545">
        <v>4.3333333333333339</v>
      </c>
      <c r="F3018" s="545">
        <v>11.214285714285712</v>
      </c>
      <c r="G3018" s="545">
        <v>7.5</v>
      </c>
      <c r="H3018" s="545">
        <v>8</v>
      </c>
      <c r="I3018" s="545">
        <v>4.333333333333333</v>
      </c>
      <c r="J3018" s="545">
        <v>7.1190476190476195</v>
      </c>
    </row>
    <row r="3019" spans="1:10">
      <c r="A3019" s="441">
        <v>8822</v>
      </c>
      <c r="B3019" s="441" t="s">
        <v>3313</v>
      </c>
      <c r="C3019" s="545">
        <v>27.666666666666668</v>
      </c>
      <c r="D3019" s="545">
        <v>14.333333333333334</v>
      </c>
      <c r="E3019" s="545">
        <v>8</v>
      </c>
      <c r="F3019" s="545">
        <v>22.952380952380956</v>
      </c>
      <c r="G3019" s="545">
        <v>11.35</v>
      </c>
      <c r="H3019" s="545">
        <v>44.333333333333336</v>
      </c>
      <c r="I3019" s="545">
        <v>8</v>
      </c>
      <c r="J3019" s="545">
        <v>15.583333333333334</v>
      </c>
    </row>
    <row r="3020" spans="1:10">
      <c r="A3020" s="441">
        <v>2449</v>
      </c>
      <c r="B3020" s="441" t="s">
        <v>3314</v>
      </c>
      <c r="C3020" s="545">
        <v>18.666666666666668</v>
      </c>
      <c r="D3020" s="545">
        <v>18</v>
      </c>
      <c r="E3020" s="545">
        <v>9.3333333333333339</v>
      </c>
      <c r="F3020" s="545">
        <v>17.238095238095237</v>
      </c>
      <c r="G3020" s="545">
        <v>9.9</v>
      </c>
      <c r="H3020" s="545">
        <v>8.6666666666666661</v>
      </c>
      <c r="I3020" s="545">
        <v>8.6666666666666661</v>
      </c>
      <c r="J3020" s="545">
        <v>9.5476190476190474</v>
      </c>
    </row>
    <row r="3021" spans="1:10">
      <c r="A3021" s="441">
        <v>2458</v>
      </c>
      <c r="B3021" s="441" t="s">
        <v>3315</v>
      </c>
      <c r="C3021" s="545">
        <v>84.833333333333343</v>
      </c>
      <c r="D3021" s="545">
        <v>57.666666666666671</v>
      </c>
      <c r="E3021" s="545">
        <v>49</v>
      </c>
      <c r="F3021" s="545">
        <v>75.833333333333357</v>
      </c>
      <c r="G3021" s="545">
        <v>58.45</v>
      </c>
      <c r="H3021" s="545">
        <v>59.333333333333336</v>
      </c>
      <c r="I3021" s="545">
        <v>40</v>
      </c>
      <c r="J3021" s="545">
        <v>55.94047619047619</v>
      </c>
    </row>
    <row r="3022" spans="1:10">
      <c r="A3022" s="441">
        <v>2459</v>
      </c>
      <c r="B3022" s="441" t="s">
        <v>3315</v>
      </c>
      <c r="C3022" s="545">
        <v>134.83333333333334</v>
      </c>
      <c r="D3022" s="545">
        <v>101.33333333333334</v>
      </c>
      <c r="E3022" s="545">
        <v>72.666666666666657</v>
      </c>
      <c r="F3022" s="545">
        <v>121.16666666666667</v>
      </c>
      <c r="G3022" s="545">
        <v>74.45</v>
      </c>
      <c r="H3022" s="545">
        <v>55.666666666666664</v>
      </c>
      <c r="I3022" s="545">
        <v>42.666666666666664</v>
      </c>
      <c r="J3022" s="545">
        <v>67.226190476190482</v>
      </c>
    </row>
    <row r="3023" spans="1:10">
      <c r="A3023" s="441">
        <v>7167</v>
      </c>
      <c r="B3023" s="441" t="s">
        <v>3315</v>
      </c>
      <c r="C3023" s="545">
        <v>573.83333333333326</v>
      </c>
      <c r="D3023" s="545">
        <v>433.33333333333337</v>
      </c>
      <c r="E3023" s="545">
        <v>323.66666666666669</v>
      </c>
      <c r="F3023" s="545">
        <v>518.0238095238094</v>
      </c>
      <c r="G3023" s="545">
        <v>405</v>
      </c>
      <c r="H3023" s="545">
        <v>311.66666666666669</v>
      </c>
      <c r="I3023" s="545">
        <v>260.33333333333331</v>
      </c>
      <c r="J3023" s="545">
        <v>371</v>
      </c>
    </row>
    <row r="3024" spans="1:10">
      <c r="A3024" s="441">
        <v>7168</v>
      </c>
      <c r="B3024" s="441" t="s">
        <v>3315</v>
      </c>
      <c r="C3024" s="545">
        <v>556.83333333333337</v>
      </c>
      <c r="D3024" s="545">
        <v>391.66666666666663</v>
      </c>
      <c r="E3024" s="545">
        <v>280.66666666666663</v>
      </c>
      <c r="F3024" s="545">
        <v>493.78571428571428</v>
      </c>
      <c r="G3024" s="545">
        <v>405.6</v>
      </c>
      <c r="H3024" s="545">
        <v>263</v>
      </c>
      <c r="I3024" s="545">
        <v>214</v>
      </c>
      <c r="J3024" s="545">
        <v>357.85714285714283</v>
      </c>
    </row>
    <row r="3025" spans="1:10">
      <c r="A3025" s="441">
        <v>7169</v>
      </c>
      <c r="B3025" s="441" t="s">
        <v>3316</v>
      </c>
      <c r="C3025" s="545">
        <v>304</v>
      </c>
      <c r="D3025" s="545">
        <v>253.33333333333331</v>
      </c>
      <c r="E3025" s="545">
        <v>205.33333333333334</v>
      </c>
      <c r="F3025" s="545">
        <v>282.66666666666663</v>
      </c>
      <c r="G3025" s="545">
        <v>196.3</v>
      </c>
      <c r="H3025" s="545">
        <v>167.66666666666666</v>
      </c>
      <c r="I3025" s="545">
        <v>130</v>
      </c>
      <c r="J3025" s="545">
        <v>182.73809523809524</v>
      </c>
    </row>
    <row r="3026" spans="1:10">
      <c r="A3026" s="441">
        <v>8626</v>
      </c>
      <c r="B3026" s="441" t="s">
        <v>3317</v>
      </c>
      <c r="C3026" s="545">
        <v>12.5</v>
      </c>
      <c r="D3026" s="545">
        <v>5.3333333333333339</v>
      </c>
      <c r="E3026" s="545">
        <v>3.6666666666666665</v>
      </c>
      <c r="F3026" s="545">
        <v>10.214285714285714</v>
      </c>
      <c r="G3026" s="545">
        <v>9.4499999999999993</v>
      </c>
      <c r="H3026" s="545">
        <v>3.6666666666666665</v>
      </c>
      <c r="I3026" s="545">
        <v>3.3333333333333335</v>
      </c>
      <c r="J3026" s="545">
        <v>7.75</v>
      </c>
    </row>
    <row r="3027" spans="1:10">
      <c r="A3027" s="441">
        <v>8627</v>
      </c>
      <c r="B3027" s="441" t="s">
        <v>3317</v>
      </c>
      <c r="C3027" s="545">
        <v>8.1666666666666661</v>
      </c>
      <c r="D3027" s="545">
        <v>4.666666666666667</v>
      </c>
      <c r="E3027" s="545">
        <v>2.3333333333333335</v>
      </c>
      <c r="F3027" s="545">
        <v>6.833333333333333</v>
      </c>
      <c r="G3027" s="545">
        <v>8.9</v>
      </c>
      <c r="H3027" s="545">
        <v>3.6666666666666665</v>
      </c>
      <c r="I3027" s="545">
        <v>4</v>
      </c>
      <c r="J3027" s="545">
        <v>7.4523809523809517</v>
      </c>
    </row>
    <row r="3028" spans="1:10">
      <c r="A3028" s="441">
        <v>8625</v>
      </c>
      <c r="B3028" s="441" t="s">
        <v>3318</v>
      </c>
      <c r="C3028" s="545">
        <v>318.16666666666669</v>
      </c>
      <c r="D3028" s="545">
        <v>233.33333333333331</v>
      </c>
      <c r="E3028" s="545">
        <v>168.66666666666666</v>
      </c>
      <c r="F3028" s="545">
        <v>284.6904761904762</v>
      </c>
      <c r="G3028" s="545">
        <v>209.85</v>
      </c>
      <c r="H3028" s="545">
        <v>176.33333333333334</v>
      </c>
      <c r="I3028" s="545">
        <v>127.33333333333333</v>
      </c>
      <c r="J3028" s="545">
        <v>193.27380952380949</v>
      </c>
    </row>
    <row r="3029" spans="1:10">
      <c r="A3029" s="441">
        <v>8628</v>
      </c>
      <c r="B3029" s="441" t="s">
        <v>3318</v>
      </c>
      <c r="C3029" s="545">
        <v>273.16666666666663</v>
      </c>
      <c r="D3029" s="545">
        <v>194.33333333333331</v>
      </c>
      <c r="E3029" s="545">
        <v>168.33333333333331</v>
      </c>
      <c r="F3029" s="545">
        <v>246.92857142857136</v>
      </c>
      <c r="G3029" s="545">
        <v>171.6</v>
      </c>
      <c r="H3029" s="545">
        <v>154.33333333333334</v>
      </c>
      <c r="I3029" s="545">
        <v>108.33333333333333</v>
      </c>
      <c r="J3029" s="545">
        <v>160.0952380952381</v>
      </c>
    </row>
    <row r="3030" spans="1:10">
      <c r="A3030" s="441">
        <v>7165</v>
      </c>
      <c r="B3030" s="441" t="s">
        <v>3319</v>
      </c>
      <c r="C3030" s="545">
        <v>299.83333333333331</v>
      </c>
      <c r="D3030" s="545">
        <v>212</v>
      </c>
      <c r="E3030" s="545">
        <v>148</v>
      </c>
      <c r="F3030" s="545">
        <v>265.59523809523807</v>
      </c>
      <c r="G3030" s="545">
        <v>175.25</v>
      </c>
      <c r="H3030" s="545">
        <v>132.66666666666666</v>
      </c>
      <c r="I3030" s="545">
        <v>108.33333333333333</v>
      </c>
      <c r="J3030" s="545">
        <v>159.60714285714286</v>
      </c>
    </row>
    <row r="3031" spans="1:10">
      <c r="A3031" s="441">
        <v>7166</v>
      </c>
      <c r="B3031" s="441" t="s">
        <v>3319</v>
      </c>
      <c r="C3031" s="545">
        <v>288.66666666666663</v>
      </c>
      <c r="D3031" s="545">
        <v>244.66666666666669</v>
      </c>
      <c r="E3031" s="545">
        <v>175.33333333333331</v>
      </c>
      <c r="F3031" s="545">
        <v>266.19047619047615</v>
      </c>
      <c r="G3031" s="545">
        <v>192.95</v>
      </c>
      <c r="H3031" s="545">
        <v>177</v>
      </c>
      <c r="I3031" s="545">
        <v>148</v>
      </c>
      <c r="J3031" s="545">
        <v>184.25</v>
      </c>
    </row>
    <row r="3032" spans="1:10">
      <c r="A3032" s="441">
        <v>11543</v>
      </c>
      <c r="B3032" s="441" t="s">
        <v>3319</v>
      </c>
      <c r="C3032" s="545">
        <v>1.5</v>
      </c>
      <c r="D3032" s="545">
        <v>3</v>
      </c>
      <c r="E3032" s="545">
        <v>0.33333333333333331</v>
      </c>
      <c r="F3032" s="545">
        <v>1.5476190476190477</v>
      </c>
      <c r="G3032" s="545">
        <v>2.75</v>
      </c>
      <c r="H3032" s="545">
        <v>2.6666666666666665</v>
      </c>
      <c r="I3032" s="545">
        <v>1</v>
      </c>
      <c r="J3032" s="545">
        <v>2.4880952380952381</v>
      </c>
    </row>
    <row r="3033" spans="1:10">
      <c r="A3033" s="441">
        <v>2446</v>
      </c>
      <c r="B3033" s="441" t="s">
        <v>3320</v>
      </c>
      <c r="C3033" s="545">
        <v>9.1666666666666679</v>
      </c>
      <c r="D3033" s="545">
        <v>8.6666666666666661</v>
      </c>
      <c r="E3033" s="545">
        <v>6.666666666666667</v>
      </c>
      <c r="F3033" s="545">
        <v>8.738095238095239</v>
      </c>
      <c r="G3033" s="545">
        <v>10.3</v>
      </c>
      <c r="H3033" s="545">
        <v>10.666666666666666</v>
      </c>
      <c r="I3033" s="545">
        <v>4.666666666666667</v>
      </c>
      <c r="J3033" s="545">
        <v>9.5476190476190474</v>
      </c>
    </row>
    <row r="3034" spans="1:10">
      <c r="A3034" s="441">
        <v>2467</v>
      </c>
      <c r="B3034" s="441" t="s">
        <v>3320</v>
      </c>
      <c r="C3034" s="545">
        <v>17.333333333333332</v>
      </c>
      <c r="D3034" s="545">
        <v>11.333333333333334</v>
      </c>
      <c r="E3034" s="545">
        <v>8.3333333333333339</v>
      </c>
      <c r="F3034" s="545">
        <v>15.190476190476188</v>
      </c>
      <c r="G3034" s="545">
        <v>12.65</v>
      </c>
      <c r="H3034" s="545">
        <v>8.6666666666666661</v>
      </c>
      <c r="I3034" s="545">
        <v>8.6666666666666661</v>
      </c>
      <c r="J3034" s="545">
        <v>11.511904761904763</v>
      </c>
    </row>
    <row r="3035" spans="1:10">
      <c r="A3035" s="441">
        <v>706</v>
      </c>
      <c r="B3035" s="441" t="s">
        <v>3321</v>
      </c>
      <c r="C3035" s="545">
        <v>15.5</v>
      </c>
      <c r="D3035" s="545">
        <v>12</v>
      </c>
      <c r="E3035" s="545">
        <v>12.333333333333334</v>
      </c>
      <c r="F3035" s="545">
        <v>14.547619047619047</v>
      </c>
      <c r="G3035" s="545">
        <v>10.199999999999999</v>
      </c>
      <c r="H3035" s="545">
        <v>11</v>
      </c>
      <c r="I3035" s="545">
        <v>6.666666666666667</v>
      </c>
      <c r="J3035" s="545">
        <v>9.8095238095238102</v>
      </c>
    </row>
    <row r="3036" spans="1:10">
      <c r="A3036" s="441">
        <v>2454</v>
      </c>
      <c r="B3036" s="441" t="s">
        <v>3322</v>
      </c>
      <c r="C3036" s="545">
        <v>83.5</v>
      </c>
      <c r="D3036" s="545">
        <v>63.333333333333336</v>
      </c>
      <c r="E3036" s="545">
        <v>49.666666666666671</v>
      </c>
      <c r="F3036" s="545">
        <v>75.785714285714292</v>
      </c>
      <c r="G3036" s="545">
        <v>59.3</v>
      </c>
      <c r="H3036" s="545">
        <v>54</v>
      </c>
      <c r="I3036" s="545">
        <v>41.333333333333336</v>
      </c>
      <c r="J3036" s="545">
        <v>55.976190476190474</v>
      </c>
    </row>
    <row r="3037" spans="1:10">
      <c r="A3037" s="441">
        <v>2463</v>
      </c>
      <c r="B3037" s="441" t="s">
        <v>3322</v>
      </c>
      <c r="C3037" s="545">
        <v>239</v>
      </c>
      <c r="D3037" s="545">
        <v>190.66666666666669</v>
      </c>
      <c r="E3037" s="545">
        <v>140.33333333333331</v>
      </c>
      <c r="F3037" s="545">
        <v>218</v>
      </c>
      <c r="G3037" s="545">
        <v>151.15</v>
      </c>
      <c r="H3037" s="545">
        <v>93</v>
      </c>
      <c r="I3037" s="545">
        <v>85.333333333333329</v>
      </c>
      <c r="J3037" s="545">
        <v>133.4404761904762</v>
      </c>
    </row>
    <row r="3038" spans="1:10">
      <c r="A3038" s="441">
        <v>7154</v>
      </c>
      <c r="B3038" s="441" t="s">
        <v>3323</v>
      </c>
      <c r="C3038" s="545">
        <v>2.166666666666667</v>
      </c>
      <c r="D3038" s="545">
        <v>0.66666666666666663</v>
      </c>
      <c r="E3038" s="545">
        <v>1.3333333333333333</v>
      </c>
      <c r="F3038" s="545">
        <v>1.8333333333333337</v>
      </c>
      <c r="G3038" s="545">
        <v>2</v>
      </c>
      <c r="H3038" s="545">
        <v>0</v>
      </c>
      <c r="I3038" s="545">
        <v>0.66666666666666663</v>
      </c>
      <c r="J3038" s="545">
        <v>1.5238095238095237</v>
      </c>
    </row>
    <row r="3039" spans="1:10">
      <c r="A3039" s="441">
        <v>8498</v>
      </c>
      <c r="B3039" s="441" t="s">
        <v>3324</v>
      </c>
      <c r="C3039" s="545">
        <v>54.833333333333329</v>
      </c>
      <c r="D3039" s="545">
        <v>45.666666666666664</v>
      </c>
      <c r="E3039" s="545">
        <v>37.666666666666671</v>
      </c>
      <c r="F3039" s="545">
        <v>51.071428571428569</v>
      </c>
      <c r="G3039" s="545">
        <v>36.450000000000003</v>
      </c>
      <c r="H3039" s="545">
        <v>35</v>
      </c>
      <c r="I3039" s="545">
        <v>24.333333333333332</v>
      </c>
      <c r="J3039" s="545">
        <v>34.511904761904766</v>
      </c>
    </row>
    <row r="3040" spans="1:10">
      <c r="A3040" s="441">
        <v>8823</v>
      </c>
      <c r="B3040" s="441" t="s">
        <v>3324</v>
      </c>
      <c r="C3040" s="545">
        <v>60.666666666666664</v>
      </c>
      <c r="D3040" s="545">
        <v>43</v>
      </c>
      <c r="E3040" s="545">
        <v>46.666666666666664</v>
      </c>
      <c r="F3040" s="545">
        <v>56.142857142857146</v>
      </c>
      <c r="G3040" s="545">
        <v>38.75</v>
      </c>
      <c r="H3040" s="545">
        <v>36.666666666666664</v>
      </c>
      <c r="I3040" s="545">
        <v>22</v>
      </c>
      <c r="J3040" s="545">
        <v>36.05952380952381</v>
      </c>
    </row>
    <row r="3041" spans="1:10">
      <c r="A3041" s="441">
        <v>8497</v>
      </c>
      <c r="B3041" s="441" t="s">
        <v>3325</v>
      </c>
      <c r="C3041" s="545">
        <v>19.5</v>
      </c>
      <c r="D3041" s="545">
        <v>14.666666666666668</v>
      </c>
      <c r="E3041" s="545">
        <v>10.333333333333332</v>
      </c>
      <c r="F3041" s="545">
        <v>17.5</v>
      </c>
      <c r="G3041" s="545">
        <v>17.55</v>
      </c>
      <c r="H3041" s="545">
        <v>10.666666666666666</v>
      </c>
      <c r="I3041" s="545">
        <v>10</v>
      </c>
      <c r="J3041" s="545">
        <v>15.488095238095239</v>
      </c>
    </row>
    <row r="3042" spans="1:10">
      <c r="A3042" s="441">
        <v>8824</v>
      </c>
      <c r="B3042" s="441" t="s">
        <v>3325</v>
      </c>
      <c r="C3042" s="545">
        <v>28.833333333333336</v>
      </c>
      <c r="D3042" s="545">
        <v>17</v>
      </c>
      <c r="E3042" s="545">
        <v>10.333333333333334</v>
      </c>
      <c r="F3042" s="545">
        <v>24.500000000000004</v>
      </c>
      <c r="G3042" s="545">
        <v>25</v>
      </c>
      <c r="H3042" s="545">
        <v>22</v>
      </c>
      <c r="I3042" s="545">
        <v>9.3333333333333339</v>
      </c>
      <c r="J3042" s="545">
        <v>22.333333333333336</v>
      </c>
    </row>
    <row r="3043" spans="1:10">
      <c r="A3043" s="441">
        <v>7158</v>
      </c>
      <c r="B3043" s="441" t="s">
        <v>3326</v>
      </c>
      <c r="C3043" s="545">
        <v>43.833333333333336</v>
      </c>
      <c r="D3043" s="545">
        <v>26</v>
      </c>
      <c r="E3043" s="545">
        <v>18</v>
      </c>
      <c r="F3043" s="545">
        <v>37.595238095238095</v>
      </c>
      <c r="G3043" s="545">
        <v>30.75</v>
      </c>
      <c r="H3043" s="545">
        <v>14.666666666666666</v>
      </c>
      <c r="I3043" s="545">
        <v>11.666666666666666</v>
      </c>
      <c r="J3043" s="545">
        <v>25.726190476190474</v>
      </c>
    </row>
    <row r="3044" spans="1:10">
      <c r="A3044" s="441">
        <v>7177</v>
      </c>
      <c r="B3044" s="441" t="s">
        <v>3326</v>
      </c>
      <c r="C3044" s="545">
        <v>68.833333333333329</v>
      </c>
      <c r="D3044" s="545">
        <v>32.666666666666664</v>
      </c>
      <c r="E3044" s="545">
        <v>22.666666666666668</v>
      </c>
      <c r="F3044" s="545">
        <v>57.071428571428569</v>
      </c>
      <c r="G3044" s="545">
        <v>51.85</v>
      </c>
      <c r="H3044" s="545">
        <v>28.333333333333332</v>
      </c>
      <c r="I3044" s="545">
        <v>20.666666666666668</v>
      </c>
      <c r="J3044" s="545">
        <v>44.035714285714285</v>
      </c>
    </row>
    <row r="3045" spans="1:10">
      <c r="A3045" s="441">
        <v>2447</v>
      </c>
      <c r="B3045" s="441" t="s">
        <v>3327</v>
      </c>
      <c r="C3045" s="545">
        <v>26.833333333333336</v>
      </c>
      <c r="D3045" s="545">
        <v>30.333333333333336</v>
      </c>
      <c r="E3045" s="545">
        <v>15.666666666666668</v>
      </c>
      <c r="F3045" s="545">
        <v>25.738095238095241</v>
      </c>
      <c r="G3045" s="545">
        <v>12.75</v>
      </c>
      <c r="H3045" s="545">
        <v>9</v>
      </c>
      <c r="I3045" s="545">
        <v>6.333333333333333</v>
      </c>
      <c r="J3045" s="545">
        <v>11.297619047619047</v>
      </c>
    </row>
    <row r="3046" spans="1:10">
      <c r="A3046" s="441">
        <v>2466</v>
      </c>
      <c r="B3046" s="441" t="s">
        <v>3327</v>
      </c>
      <c r="C3046" s="545">
        <v>24</v>
      </c>
      <c r="D3046" s="545">
        <v>28</v>
      </c>
      <c r="E3046" s="545">
        <v>20.666666666666664</v>
      </c>
      <c r="F3046" s="545">
        <v>24.095238095238095</v>
      </c>
      <c r="G3046" s="545">
        <v>13.45</v>
      </c>
      <c r="H3046" s="545">
        <v>17.666666666666668</v>
      </c>
      <c r="I3046" s="545">
        <v>11</v>
      </c>
      <c r="J3046" s="545">
        <v>13.702380952380953</v>
      </c>
    </row>
    <row r="3047" spans="1:10">
      <c r="A3047" s="441">
        <v>6919</v>
      </c>
      <c r="B3047" s="441" t="s">
        <v>3328</v>
      </c>
      <c r="C3047" s="545">
        <v>28.333333333333332</v>
      </c>
      <c r="D3047" s="545">
        <v>21.666666666666668</v>
      </c>
      <c r="E3047" s="545">
        <v>24</v>
      </c>
      <c r="F3047" s="545">
        <v>26.761904761904759</v>
      </c>
      <c r="G3047" s="545">
        <v>33.450000000000003</v>
      </c>
      <c r="H3047" s="545">
        <v>11</v>
      </c>
      <c r="I3047" s="545">
        <v>15.666666666666666</v>
      </c>
      <c r="J3047" s="545">
        <v>27.702380952380953</v>
      </c>
    </row>
    <row r="3048" spans="1:10">
      <c r="A3048" s="441">
        <v>2460</v>
      </c>
      <c r="B3048" s="441" t="s">
        <v>3329</v>
      </c>
      <c r="C3048" s="545">
        <v>25.333333333333332</v>
      </c>
      <c r="D3048" s="545">
        <v>11.333333333333332</v>
      </c>
      <c r="E3048" s="545">
        <v>9</v>
      </c>
      <c r="F3048" s="545">
        <v>21</v>
      </c>
      <c r="G3048" s="545">
        <v>25.6</v>
      </c>
      <c r="H3048" s="545">
        <v>18.666666666666668</v>
      </c>
      <c r="I3048" s="545">
        <v>21.666666666666668</v>
      </c>
      <c r="J3048" s="545">
        <v>24.047619047619044</v>
      </c>
    </row>
    <row r="3049" spans="1:10">
      <c r="A3049" s="441">
        <v>7161</v>
      </c>
      <c r="B3049" s="441" t="s">
        <v>3330</v>
      </c>
      <c r="C3049" s="545">
        <v>2.8333333333333335</v>
      </c>
      <c r="D3049" s="545">
        <v>0.66666666666666663</v>
      </c>
      <c r="E3049" s="545">
        <v>0.33333333333333331</v>
      </c>
      <c r="F3049" s="545">
        <v>2.166666666666667</v>
      </c>
      <c r="G3049" s="545">
        <v>2.75</v>
      </c>
      <c r="H3049" s="545">
        <v>0.66666666666666663</v>
      </c>
      <c r="I3049" s="545">
        <v>0.66666666666666663</v>
      </c>
      <c r="J3049" s="545">
        <v>2.1547619047619047</v>
      </c>
    </row>
    <row r="3050" spans="1:10">
      <c r="A3050" s="441">
        <v>7174</v>
      </c>
      <c r="B3050" s="441" t="s">
        <v>3330</v>
      </c>
      <c r="C3050" s="545">
        <v>2.5</v>
      </c>
      <c r="D3050" s="545">
        <v>0.33333333333333331</v>
      </c>
      <c r="E3050" s="545">
        <v>0.66666666666666663</v>
      </c>
      <c r="F3050" s="545">
        <v>1.9285714285714286</v>
      </c>
      <c r="G3050" s="545">
        <v>2.4</v>
      </c>
      <c r="H3050" s="545">
        <v>0.33333333333333331</v>
      </c>
      <c r="I3050" s="545">
        <v>0.33333333333333331</v>
      </c>
      <c r="J3050" s="545">
        <v>1.8095238095238098</v>
      </c>
    </row>
    <row r="3051" spans="1:10">
      <c r="A3051" s="441">
        <v>11611</v>
      </c>
      <c r="B3051" s="441" t="s">
        <v>3331</v>
      </c>
      <c r="C3051" s="545">
        <v>24.5</v>
      </c>
      <c r="D3051" s="545">
        <v>14.666666666666666</v>
      </c>
      <c r="E3051" s="545">
        <v>3.3333333333333335</v>
      </c>
      <c r="F3051" s="545">
        <v>20.071428571428573</v>
      </c>
      <c r="G3051" s="545">
        <v>48.9</v>
      </c>
      <c r="H3051" s="545">
        <v>48</v>
      </c>
      <c r="I3051" s="545">
        <v>25</v>
      </c>
      <c r="J3051" s="545">
        <v>45.357142857142854</v>
      </c>
    </row>
    <row r="3052" spans="1:10">
      <c r="A3052" s="441">
        <v>12568</v>
      </c>
      <c r="B3052" s="441" t="s">
        <v>3332</v>
      </c>
      <c r="C3052" s="545">
        <v>78.5</v>
      </c>
      <c r="D3052" s="545">
        <v>39.666666666666671</v>
      </c>
      <c r="E3052" s="545">
        <v>25</v>
      </c>
      <c r="F3052" s="545">
        <v>65.30952380952381</v>
      </c>
      <c r="G3052" s="545">
        <v>71.2</v>
      </c>
      <c r="H3052" s="545">
        <v>53</v>
      </c>
      <c r="I3052" s="545">
        <v>28.333333333333332</v>
      </c>
      <c r="J3052" s="545">
        <v>62.476190476190474</v>
      </c>
    </row>
    <row r="3053" spans="1:10">
      <c r="A3053" s="441">
        <v>7164</v>
      </c>
      <c r="B3053" s="441" t="s">
        <v>3333</v>
      </c>
      <c r="C3053" s="545">
        <v>5.8333333333333339</v>
      </c>
      <c r="D3053" s="545">
        <v>1.6666666666666665</v>
      </c>
      <c r="E3053" s="545">
        <v>1.6666666666666665</v>
      </c>
      <c r="F3053" s="545">
        <v>4.6428571428571441</v>
      </c>
      <c r="G3053" s="545">
        <v>4.55</v>
      </c>
      <c r="H3053" s="545">
        <v>3.3333333333333335</v>
      </c>
      <c r="I3053" s="545">
        <v>2</v>
      </c>
      <c r="J3053" s="545">
        <v>4.0119047619047619</v>
      </c>
    </row>
    <row r="3054" spans="1:10">
      <c r="A3054" s="441">
        <v>7171</v>
      </c>
      <c r="B3054" s="441" t="s">
        <v>3333</v>
      </c>
      <c r="C3054" s="545">
        <v>4</v>
      </c>
      <c r="D3054" s="545">
        <v>1.3333333333333333</v>
      </c>
      <c r="E3054" s="545">
        <v>1.6666666666666665</v>
      </c>
      <c r="F3054" s="545">
        <v>3.2857142857142856</v>
      </c>
      <c r="G3054" s="545">
        <v>2.85</v>
      </c>
      <c r="H3054" s="545">
        <v>9</v>
      </c>
      <c r="I3054" s="545">
        <v>2</v>
      </c>
      <c r="J3054" s="545">
        <v>3.6071428571428572</v>
      </c>
    </row>
    <row r="3055" spans="1:10">
      <c r="A3055" s="441">
        <v>2448</v>
      </c>
      <c r="B3055" s="441" t="s">
        <v>3334</v>
      </c>
      <c r="C3055" s="545">
        <v>27</v>
      </c>
      <c r="D3055" s="545">
        <v>25.666666666666668</v>
      </c>
      <c r="E3055" s="545">
        <v>14.666666666666668</v>
      </c>
      <c r="F3055" s="545">
        <v>25.047619047619044</v>
      </c>
      <c r="G3055" s="545">
        <v>23.8</v>
      </c>
      <c r="H3055" s="545">
        <v>27.333333333333332</v>
      </c>
      <c r="I3055" s="545">
        <v>19</v>
      </c>
      <c r="J3055" s="545">
        <v>23.61904761904762</v>
      </c>
    </row>
    <row r="3056" spans="1:10">
      <c r="A3056" s="441">
        <v>12062</v>
      </c>
      <c r="B3056" s="441" t="s">
        <v>3334</v>
      </c>
      <c r="C3056" s="545">
        <v>23.666666666666664</v>
      </c>
      <c r="D3056" s="545">
        <v>26.666666666666668</v>
      </c>
      <c r="E3056" s="545">
        <v>13.666666666666668</v>
      </c>
      <c r="F3056" s="545">
        <v>22.666666666666661</v>
      </c>
      <c r="G3056" s="545">
        <v>21.15</v>
      </c>
      <c r="H3056" s="545">
        <v>15.333333333333334</v>
      </c>
      <c r="I3056" s="545">
        <v>12</v>
      </c>
      <c r="J3056" s="545">
        <v>19.011904761904759</v>
      </c>
    </row>
    <row r="3057" spans="1:10">
      <c r="A3057" s="441">
        <v>2445</v>
      </c>
      <c r="B3057" s="441" t="s">
        <v>3335</v>
      </c>
      <c r="C3057" s="545">
        <v>38</v>
      </c>
      <c r="D3057" s="545">
        <v>11.333333333333334</v>
      </c>
      <c r="E3057" s="545">
        <v>9</v>
      </c>
      <c r="F3057" s="545">
        <v>30.047619047619047</v>
      </c>
      <c r="G3057" s="545">
        <v>25.35</v>
      </c>
      <c r="H3057" s="545">
        <v>10</v>
      </c>
      <c r="I3057" s="545">
        <v>5</v>
      </c>
      <c r="J3057" s="545">
        <v>20.25</v>
      </c>
    </row>
    <row r="3058" spans="1:10">
      <c r="A3058" s="441">
        <v>2469</v>
      </c>
      <c r="B3058" s="441" t="s">
        <v>3335</v>
      </c>
      <c r="C3058" s="545">
        <v>28.333333333333332</v>
      </c>
      <c r="D3058" s="545">
        <v>9.3333333333333321</v>
      </c>
      <c r="E3058" s="545">
        <v>8.6666666666666661</v>
      </c>
      <c r="F3058" s="545">
        <v>22.809523809523807</v>
      </c>
      <c r="G3058" s="545">
        <v>13.2</v>
      </c>
      <c r="H3058" s="545">
        <v>8</v>
      </c>
      <c r="I3058" s="545">
        <v>4.333333333333333</v>
      </c>
      <c r="J3058" s="545">
        <v>11.19047619047619</v>
      </c>
    </row>
    <row r="3059" spans="1:10">
      <c r="A3059" s="441">
        <v>7155</v>
      </c>
      <c r="B3059" s="441" t="s">
        <v>3336</v>
      </c>
      <c r="C3059" s="545">
        <v>0.5</v>
      </c>
      <c r="D3059" s="545">
        <v>0.66666666666666663</v>
      </c>
      <c r="E3059" s="545">
        <v>0.66666666666666663</v>
      </c>
      <c r="F3059" s="545">
        <v>0.54761904761904756</v>
      </c>
      <c r="G3059" s="545">
        <v>0.65</v>
      </c>
      <c r="H3059" s="545">
        <v>1</v>
      </c>
      <c r="I3059" s="545">
        <v>0.33333333333333331</v>
      </c>
      <c r="J3059" s="545">
        <v>0.65476190476190477</v>
      </c>
    </row>
    <row r="3060" spans="1:10">
      <c r="A3060" s="441">
        <v>7180</v>
      </c>
      <c r="B3060" s="441" t="s">
        <v>3336</v>
      </c>
      <c r="C3060" s="545">
        <v>0.66666666666666663</v>
      </c>
      <c r="D3060" s="545">
        <v>1</v>
      </c>
      <c r="E3060" s="545">
        <v>1</v>
      </c>
      <c r="F3060" s="545">
        <v>0.76190476190476186</v>
      </c>
      <c r="G3060" s="545">
        <v>1.4</v>
      </c>
      <c r="H3060" s="545">
        <v>1.6666666666666667</v>
      </c>
      <c r="I3060" s="545">
        <v>0</v>
      </c>
      <c r="J3060" s="545">
        <v>1.2380952380952379</v>
      </c>
    </row>
    <row r="3061" spans="1:10">
      <c r="A3061" s="441">
        <v>8456</v>
      </c>
      <c r="B3061" s="441" t="s">
        <v>3337</v>
      </c>
      <c r="C3061" s="545">
        <v>4.833333333333333</v>
      </c>
      <c r="D3061" s="545">
        <v>3.333333333333333</v>
      </c>
      <c r="E3061" s="545">
        <v>1</v>
      </c>
      <c r="F3061" s="545">
        <v>4.0714285714285712</v>
      </c>
      <c r="G3061" s="545">
        <v>3.8</v>
      </c>
      <c r="H3061" s="545">
        <v>2</v>
      </c>
      <c r="I3061" s="545">
        <v>2.6666666666666665</v>
      </c>
      <c r="J3061" s="545">
        <v>3.3809523809523809</v>
      </c>
    </row>
    <row r="3062" spans="1:10">
      <c r="A3062" s="441">
        <v>10148</v>
      </c>
      <c r="B3062" s="441" t="s">
        <v>3337</v>
      </c>
      <c r="C3062" s="545">
        <v>0.83333333333333337</v>
      </c>
      <c r="D3062" s="545">
        <v>1.6666666666666665</v>
      </c>
      <c r="E3062" s="545">
        <v>0.33333333333333331</v>
      </c>
      <c r="F3062" s="545">
        <v>0.88095238095238104</v>
      </c>
      <c r="G3062" s="545">
        <v>6.7</v>
      </c>
      <c r="H3062" s="545">
        <v>2.3333333333333335</v>
      </c>
      <c r="I3062" s="545">
        <v>2.6666666666666665</v>
      </c>
      <c r="J3062" s="545">
        <v>5.5</v>
      </c>
    </row>
    <row r="3063" spans="1:10">
      <c r="A3063" s="441">
        <v>8462</v>
      </c>
      <c r="B3063" s="441" t="s">
        <v>3338</v>
      </c>
      <c r="C3063" s="545">
        <v>21.166666666666664</v>
      </c>
      <c r="D3063" s="545">
        <v>18.666666666666668</v>
      </c>
      <c r="E3063" s="545">
        <v>18</v>
      </c>
      <c r="F3063" s="545">
        <v>20.357142857142858</v>
      </c>
      <c r="G3063" s="545">
        <v>11.1</v>
      </c>
      <c r="H3063" s="545">
        <v>6</v>
      </c>
      <c r="I3063" s="545">
        <v>8.6666666666666661</v>
      </c>
      <c r="J3063" s="545">
        <v>10.023809523809524</v>
      </c>
    </row>
    <row r="3064" spans="1:10">
      <c r="A3064" s="441">
        <v>11586</v>
      </c>
      <c r="B3064" s="441" t="s">
        <v>3338</v>
      </c>
      <c r="C3064" s="545">
        <v>34.166666666666671</v>
      </c>
      <c r="D3064" s="545">
        <v>25</v>
      </c>
      <c r="E3064" s="545">
        <v>29</v>
      </c>
      <c r="F3064" s="545">
        <v>32.119047619047628</v>
      </c>
      <c r="G3064" s="545">
        <v>11</v>
      </c>
      <c r="H3064" s="545">
        <v>8.6666666666666661</v>
      </c>
      <c r="I3064" s="545">
        <v>16.333333333333332</v>
      </c>
      <c r="J3064" s="545">
        <v>11.428571428571429</v>
      </c>
    </row>
    <row r="3065" spans="1:10">
      <c r="A3065" s="441">
        <v>8460</v>
      </c>
      <c r="B3065" s="441" t="s">
        <v>3339</v>
      </c>
      <c r="C3065" s="545">
        <v>35.333333333333329</v>
      </c>
      <c r="D3065" s="545">
        <v>39</v>
      </c>
      <c r="E3065" s="545">
        <v>23.666666666666664</v>
      </c>
      <c r="F3065" s="545">
        <v>34.190476190476183</v>
      </c>
      <c r="G3065" s="545">
        <v>32.35</v>
      </c>
      <c r="H3065" s="545">
        <v>22.666666666666668</v>
      </c>
      <c r="I3065" s="545">
        <v>14</v>
      </c>
      <c r="J3065" s="545">
        <v>28.345238095238095</v>
      </c>
    </row>
    <row r="3066" spans="1:10">
      <c r="A3066" s="441">
        <v>11587</v>
      </c>
      <c r="B3066" s="441" t="s">
        <v>3339</v>
      </c>
      <c r="C3066" s="545">
        <v>47.833333333333336</v>
      </c>
      <c r="D3066" s="545">
        <v>45.333333333333336</v>
      </c>
      <c r="E3066" s="545">
        <v>23.666666666666668</v>
      </c>
      <c r="F3066" s="545">
        <v>44.023809523809526</v>
      </c>
      <c r="G3066" s="545">
        <v>33.299999999999997</v>
      </c>
      <c r="H3066" s="545">
        <v>26</v>
      </c>
      <c r="I3066" s="545">
        <v>18.333333333333332</v>
      </c>
      <c r="J3066" s="545">
        <v>30.11904761904762</v>
      </c>
    </row>
    <row r="3067" spans="1:10">
      <c r="A3067" s="441">
        <v>7163</v>
      </c>
      <c r="B3067" s="441" t="s">
        <v>3340</v>
      </c>
      <c r="C3067" s="545">
        <v>8.8333333333333321</v>
      </c>
      <c r="D3067" s="545">
        <v>2</v>
      </c>
      <c r="E3067" s="545">
        <v>3.666666666666667</v>
      </c>
      <c r="F3067" s="545">
        <v>7.1190476190476177</v>
      </c>
      <c r="G3067" s="545">
        <v>7.3</v>
      </c>
      <c r="H3067" s="545">
        <v>1.6666666666666667</v>
      </c>
      <c r="I3067" s="545">
        <v>4</v>
      </c>
      <c r="J3067" s="545">
        <v>6.0238095238095237</v>
      </c>
    </row>
    <row r="3068" spans="1:10">
      <c r="A3068" s="441">
        <v>7172</v>
      </c>
      <c r="B3068" s="441" t="s">
        <v>3340</v>
      </c>
      <c r="C3068" s="545">
        <v>10.666666666666666</v>
      </c>
      <c r="D3068" s="545">
        <v>1.6666666666666665</v>
      </c>
      <c r="E3068" s="545">
        <v>4</v>
      </c>
      <c r="F3068" s="545">
        <v>8.428571428571427</v>
      </c>
      <c r="G3068" s="545">
        <v>8.4</v>
      </c>
      <c r="H3068" s="545">
        <v>0.66666666666666663</v>
      </c>
      <c r="I3068" s="545">
        <v>1.3333333333333333</v>
      </c>
      <c r="J3068" s="545">
        <v>6.2857142857142856</v>
      </c>
    </row>
    <row r="3069" spans="1:10">
      <c r="A3069" s="441">
        <v>2465</v>
      </c>
      <c r="B3069" s="441" t="s">
        <v>3341</v>
      </c>
      <c r="C3069" s="545">
        <v>15.166666666666668</v>
      </c>
      <c r="D3069" s="545">
        <v>15.666666666666668</v>
      </c>
      <c r="E3069" s="545">
        <v>7.3333333333333339</v>
      </c>
      <c r="F3069" s="545">
        <v>14.11904761904762</v>
      </c>
      <c r="G3069" s="545">
        <v>11.05</v>
      </c>
      <c r="H3069" s="545">
        <v>11</v>
      </c>
      <c r="I3069" s="545">
        <v>9</v>
      </c>
      <c r="J3069" s="545">
        <v>10.75</v>
      </c>
    </row>
    <row r="3070" spans="1:10">
      <c r="A3070" s="441">
        <v>8830</v>
      </c>
      <c r="B3070" s="441" t="s">
        <v>3342</v>
      </c>
      <c r="C3070" s="545">
        <v>59.166666666666671</v>
      </c>
      <c r="D3070" s="545">
        <v>42</v>
      </c>
      <c r="E3070" s="545">
        <v>45.333333333333329</v>
      </c>
      <c r="F3070" s="545">
        <v>54.738095238095241</v>
      </c>
      <c r="G3070" s="545">
        <v>45.3</v>
      </c>
      <c r="H3070" s="545">
        <v>34.333333333333336</v>
      </c>
      <c r="I3070" s="545">
        <v>32</v>
      </c>
      <c r="J3070" s="545">
        <v>41.833333333333329</v>
      </c>
    </row>
    <row r="3071" spans="1:10">
      <c r="A3071" s="441">
        <v>7157</v>
      </c>
      <c r="B3071" s="441" t="s">
        <v>3343</v>
      </c>
      <c r="C3071" s="545">
        <v>2.333333333333333</v>
      </c>
      <c r="D3071" s="545">
        <v>0.66666666666666663</v>
      </c>
      <c r="E3071" s="545">
        <v>1</v>
      </c>
      <c r="F3071" s="545">
        <v>1.9047619047619044</v>
      </c>
      <c r="G3071" s="545">
        <v>2.6</v>
      </c>
      <c r="H3071" s="545">
        <v>0.33333333333333331</v>
      </c>
      <c r="I3071" s="545">
        <v>0.33333333333333331</v>
      </c>
      <c r="J3071" s="545">
        <v>1.9523809523809526</v>
      </c>
    </row>
    <row r="3072" spans="1:10">
      <c r="A3072" s="441">
        <v>7178</v>
      </c>
      <c r="B3072" s="441" t="s">
        <v>3343</v>
      </c>
      <c r="C3072" s="545">
        <v>2</v>
      </c>
      <c r="D3072" s="545">
        <v>1</v>
      </c>
      <c r="E3072" s="545">
        <v>1</v>
      </c>
      <c r="F3072" s="545">
        <v>1.7142857142857142</v>
      </c>
      <c r="G3072" s="545">
        <v>2.9</v>
      </c>
      <c r="H3072" s="545">
        <v>0</v>
      </c>
      <c r="I3072" s="545">
        <v>0.33333333333333331</v>
      </c>
      <c r="J3072" s="545">
        <v>2.1190476190476191</v>
      </c>
    </row>
    <row r="3073" spans="1:10">
      <c r="A3073" s="441">
        <v>12882</v>
      </c>
      <c r="B3073" s="441" t="s">
        <v>3344</v>
      </c>
      <c r="C3073" s="545">
        <v>234</v>
      </c>
      <c r="D3073" s="545">
        <v>130</v>
      </c>
      <c r="E3073" s="545">
        <v>113.33333333333333</v>
      </c>
      <c r="F3073" s="545">
        <v>201.9047619047619</v>
      </c>
      <c r="G3073" s="545">
        <v>146.05000000000001</v>
      </c>
      <c r="H3073" s="545">
        <v>96</v>
      </c>
      <c r="I3073" s="545">
        <v>68.666666666666671</v>
      </c>
      <c r="J3073" s="545">
        <v>127.84523809523809</v>
      </c>
    </row>
    <row r="3074" spans="1:10">
      <c r="A3074" s="441">
        <v>7156</v>
      </c>
      <c r="B3074" s="441" t="s">
        <v>3345</v>
      </c>
      <c r="C3074" s="545">
        <v>1</v>
      </c>
      <c r="D3074" s="545">
        <v>0</v>
      </c>
      <c r="E3074" s="545">
        <v>0</v>
      </c>
      <c r="F3074" s="545">
        <v>0.7142857142857143</v>
      </c>
      <c r="G3074" s="545">
        <v>2.15</v>
      </c>
      <c r="H3074" s="545">
        <v>0.33333333333333331</v>
      </c>
      <c r="I3074" s="545">
        <v>0</v>
      </c>
      <c r="J3074" s="545">
        <v>1.5833333333333335</v>
      </c>
    </row>
    <row r="3075" spans="1:10">
      <c r="A3075" s="441">
        <v>7179</v>
      </c>
      <c r="B3075" s="441" t="s">
        <v>3345</v>
      </c>
      <c r="C3075" s="545">
        <v>0.16666666666666666</v>
      </c>
      <c r="D3075" s="545">
        <v>0.33333333333333331</v>
      </c>
      <c r="E3075" s="545">
        <v>0</v>
      </c>
      <c r="F3075" s="545">
        <v>0.16666666666666666</v>
      </c>
      <c r="G3075" s="545">
        <v>1.65</v>
      </c>
      <c r="H3075" s="545">
        <v>0</v>
      </c>
      <c r="I3075" s="545">
        <v>0</v>
      </c>
      <c r="J3075" s="545">
        <v>1.1785714285714286</v>
      </c>
    </row>
    <row r="3076" spans="1:10">
      <c r="A3076" s="441">
        <v>2450</v>
      </c>
      <c r="B3076" s="441" t="s">
        <v>3346</v>
      </c>
      <c r="C3076" s="545">
        <v>10.833333333333332</v>
      </c>
      <c r="D3076" s="545">
        <v>9.3333333333333339</v>
      </c>
      <c r="E3076" s="545">
        <v>8.6666666666666679</v>
      </c>
      <c r="F3076" s="545">
        <v>10.309523809523808</v>
      </c>
      <c r="G3076" s="545">
        <v>10.199999999999999</v>
      </c>
      <c r="H3076" s="545">
        <v>10</v>
      </c>
      <c r="I3076" s="545">
        <v>3</v>
      </c>
      <c r="J3076" s="545">
        <v>9.1428571428571423</v>
      </c>
    </row>
    <row r="3077" spans="1:10">
      <c r="A3077" s="441">
        <v>7145</v>
      </c>
      <c r="B3077" s="441" t="s">
        <v>3347</v>
      </c>
      <c r="C3077" s="545">
        <v>145.66666666666669</v>
      </c>
      <c r="D3077" s="545">
        <v>107</v>
      </c>
      <c r="E3077" s="545">
        <v>88.666666666666671</v>
      </c>
      <c r="F3077" s="545">
        <v>132.00000000000003</v>
      </c>
      <c r="G3077" s="545">
        <v>102.3</v>
      </c>
      <c r="H3077" s="545">
        <v>89.666666666666671</v>
      </c>
      <c r="I3077" s="545">
        <v>74</v>
      </c>
      <c r="J3077" s="545">
        <v>96.452380952380949</v>
      </c>
    </row>
    <row r="3078" spans="1:10">
      <c r="A3078" s="441">
        <v>8500</v>
      </c>
      <c r="B3078" s="441" t="s">
        <v>3347</v>
      </c>
      <c r="C3078" s="545">
        <v>389.16666666666669</v>
      </c>
      <c r="D3078" s="545">
        <v>320</v>
      </c>
      <c r="E3078" s="545">
        <v>239.33333333333334</v>
      </c>
      <c r="F3078" s="545">
        <v>357.88095238095241</v>
      </c>
      <c r="G3078" s="545">
        <v>293.39999999999998</v>
      </c>
      <c r="H3078" s="545">
        <v>245</v>
      </c>
      <c r="I3078" s="545">
        <v>198</v>
      </c>
      <c r="J3078" s="545">
        <v>272.85714285714283</v>
      </c>
    </row>
    <row r="3079" spans="1:10">
      <c r="A3079" s="441">
        <v>8821</v>
      </c>
      <c r="B3079" s="441" t="s">
        <v>3347</v>
      </c>
      <c r="C3079" s="545">
        <v>400</v>
      </c>
      <c r="D3079" s="545">
        <v>324.33333333333331</v>
      </c>
      <c r="E3079" s="545">
        <v>228.66666666666669</v>
      </c>
      <c r="F3079" s="545">
        <v>364.71428571428572</v>
      </c>
      <c r="G3079" s="545">
        <v>284.7</v>
      </c>
      <c r="H3079" s="545">
        <v>239.66666666666666</v>
      </c>
      <c r="I3079" s="545">
        <v>232.33333333333334</v>
      </c>
      <c r="J3079" s="545">
        <v>270.78571428571428</v>
      </c>
    </row>
    <row r="3080" spans="1:10">
      <c r="A3080" s="441">
        <v>8620</v>
      </c>
      <c r="B3080" s="441" t="s">
        <v>3348</v>
      </c>
      <c r="C3080" s="545">
        <v>30.666666666666664</v>
      </c>
      <c r="D3080" s="545">
        <v>28</v>
      </c>
      <c r="E3080" s="545">
        <v>21.333333333333332</v>
      </c>
      <c r="F3080" s="545">
        <v>28.952380952380953</v>
      </c>
      <c r="G3080" s="545">
        <v>38.4</v>
      </c>
      <c r="H3080" s="545">
        <v>27.666666666666668</v>
      </c>
      <c r="I3080" s="545">
        <v>19.333333333333332</v>
      </c>
      <c r="J3080" s="545">
        <v>34.142857142857146</v>
      </c>
    </row>
    <row r="3081" spans="1:10">
      <c r="A3081" s="441">
        <v>8624</v>
      </c>
      <c r="B3081" s="441" t="s">
        <v>3348</v>
      </c>
      <c r="C3081" s="545">
        <v>23.333333333333336</v>
      </c>
      <c r="D3081" s="545">
        <v>17.333333333333332</v>
      </c>
      <c r="E3081" s="545">
        <v>16.333333333333332</v>
      </c>
      <c r="F3081" s="545">
        <v>21.476190476190482</v>
      </c>
      <c r="G3081" s="545">
        <v>19.25</v>
      </c>
      <c r="H3081" s="545">
        <v>18.333333333333332</v>
      </c>
      <c r="I3081" s="545">
        <v>17.333333333333332</v>
      </c>
      <c r="J3081" s="545">
        <v>18.845238095238095</v>
      </c>
    </row>
    <row r="3082" spans="1:10">
      <c r="A3082" s="441">
        <v>2456</v>
      </c>
      <c r="B3082" s="441" t="s">
        <v>3349</v>
      </c>
      <c r="C3082" s="545">
        <v>356</v>
      </c>
      <c r="D3082" s="545">
        <v>261</v>
      </c>
      <c r="E3082" s="545">
        <v>203.66666666666669</v>
      </c>
      <c r="F3082" s="545">
        <v>320.66666666666663</v>
      </c>
      <c r="G3082" s="545">
        <v>198.5</v>
      </c>
      <c r="H3082" s="545">
        <v>114</v>
      </c>
      <c r="I3082" s="545">
        <v>81</v>
      </c>
      <c r="J3082" s="545">
        <v>169.64285714285714</v>
      </c>
    </row>
    <row r="3083" spans="1:10">
      <c r="A3083" s="441">
        <v>2457</v>
      </c>
      <c r="B3083" s="441" t="s">
        <v>3349</v>
      </c>
      <c r="C3083" s="545">
        <v>36.833333333333329</v>
      </c>
      <c r="D3083" s="545">
        <v>27</v>
      </c>
      <c r="E3083" s="545">
        <v>23</v>
      </c>
      <c r="F3083" s="545">
        <v>33.452380952380949</v>
      </c>
      <c r="G3083" s="545">
        <v>68.5</v>
      </c>
      <c r="H3083" s="545">
        <v>34.333333333333336</v>
      </c>
      <c r="I3083" s="545">
        <v>38.333333333333336</v>
      </c>
      <c r="J3083" s="545">
        <v>59.309523809523803</v>
      </c>
    </row>
    <row r="3084" spans="1:10">
      <c r="A3084" s="441">
        <v>2461</v>
      </c>
      <c r="B3084" s="441" t="s">
        <v>3349</v>
      </c>
      <c r="C3084" s="545">
        <v>174.5</v>
      </c>
      <c r="D3084" s="545">
        <v>106</v>
      </c>
      <c r="E3084" s="545">
        <v>84.666666666666671</v>
      </c>
      <c r="F3084" s="545">
        <v>151.88095238095238</v>
      </c>
      <c r="G3084" s="545">
        <v>81.099999999999994</v>
      </c>
      <c r="H3084" s="545">
        <v>60.666666666666664</v>
      </c>
      <c r="I3084" s="545">
        <v>47.666666666666664</v>
      </c>
      <c r="J3084" s="545">
        <v>73.404761904761912</v>
      </c>
    </row>
    <row r="3085" spans="1:10">
      <c r="A3085" s="441">
        <v>12575</v>
      </c>
      <c r="B3085" s="441" t="s">
        <v>3350</v>
      </c>
      <c r="C3085" s="545">
        <v>28.333333333333336</v>
      </c>
      <c r="D3085" s="545">
        <v>16.666666666666668</v>
      </c>
      <c r="E3085" s="545">
        <v>19.333333333333336</v>
      </c>
      <c r="F3085" s="545">
        <v>25.380952380952383</v>
      </c>
      <c r="G3085" s="545">
        <v>27.45</v>
      </c>
      <c r="H3085" s="545">
        <v>9.3333333333333339</v>
      </c>
      <c r="I3085" s="545">
        <v>11.333333333333334</v>
      </c>
      <c r="J3085" s="545">
        <v>22.559523809523814</v>
      </c>
    </row>
    <row r="3086" spans="1:10">
      <c r="A3086" s="441">
        <v>7147</v>
      </c>
      <c r="B3086" s="441" t="s">
        <v>3351</v>
      </c>
      <c r="C3086" s="545">
        <v>6.1666666666666661</v>
      </c>
      <c r="D3086" s="545">
        <v>1</v>
      </c>
      <c r="E3086" s="545">
        <v>0.66666666666666663</v>
      </c>
      <c r="F3086" s="545">
        <v>4.6428571428571415</v>
      </c>
      <c r="G3086" s="545">
        <v>3.35</v>
      </c>
      <c r="H3086" s="545">
        <v>0.33333333333333331</v>
      </c>
      <c r="I3086" s="545">
        <v>1.6666666666666667</v>
      </c>
      <c r="J3086" s="545">
        <v>2.6785714285714284</v>
      </c>
    </row>
    <row r="3087" spans="1:10">
      <c r="A3087" s="441">
        <v>7183</v>
      </c>
      <c r="B3087" s="441" t="s">
        <v>3352</v>
      </c>
      <c r="C3087" s="545">
        <v>6.5</v>
      </c>
      <c r="D3087" s="545">
        <v>3</v>
      </c>
      <c r="E3087" s="545">
        <v>3</v>
      </c>
      <c r="F3087" s="545">
        <v>5.5</v>
      </c>
      <c r="G3087" s="545">
        <v>3.2</v>
      </c>
      <c r="H3087" s="545">
        <v>0.33333333333333331</v>
      </c>
      <c r="I3087" s="545">
        <v>0</v>
      </c>
      <c r="J3087" s="545">
        <v>2.333333333333333</v>
      </c>
    </row>
    <row r="3088" spans="1:10">
      <c r="A3088" s="441">
        <v>743</v>
      </c>
      <c r="B3088" s="441" t="s">
        <v>3353</v>
      </c>
      <c r="C3088" s="545">
        <v>287.5</v>
      </c>
      <c r="D3088" s="545">
        <v>273.66666666666663</v>
      </c>
      <c r="E3088" s="545">
        <v>278.66666666666663</v>
      </c>
      <c r="F3088" s="545">
        <v>284.2619047619047</v>
      </c>
      <c r="G3088" s="545">
        <v>211.15</v>
      </c>
      <c r="H3088" s="545">
        <v>199</v>
      </c>
      <c r="I3088" s="545">
        <v>206.66666666666666</v>
      </c>
      <c r="J3088" s="545">
        <v>208.77380952380955</v>
      </c>
    </row>
    <row r="3089" spans="1:10">
      <c r="A3089" s="441">
        <v>6149</v>
      </c>
      <c r="B3089" s="441" t="s">
        <v>3354</v>
      </c>
      <c r="C3089" s="545" t="e">
        <v>#N/A</v>
      </c>
      <c r="D3089" s="545" t="e">
        <v>#N/A</v>
      </c>
      <c r="E3089" s="545" t="e">
        <v>#N/A</v>
      </c>
      <c r="F3089" s="545" t="e">
        <v>#N/A</v>
      </c>
      <c r="G3089" s="545">
        <v>6.3</v>
      </c>
      <c r="H3089" s="545">
        <v>8</v>
      </c>
      <c r="I3089" s="545">
        <v>3.3333333333333335</v>
      </c>
      <c r="J3089" s="545">
        <v>6.1190476190476195</v>
      </c>
    </row>
    <row r="3090" spans="1:10">
      <c r="A3090" s="441">
        <v>13176</v>
      </c>
      <c r="B3090" s="441" t="s">
        <v>3354</v>
      </c>
      <c r="C3090" s="545" t="e">
        <v>#N/A</v>
      </c>
      <c r="D3090" s="545" t="e">
        <v>#N/A</v>
      </c>
      <c r="E3090" s="545" t="e">
        <v>#N/A</v>
      </c>
      <c r="F3090" s="545" t="e">
        <v>#N/A</v>
      </c>
      <c r="G3090" s="545">
        <v>9</v>
      </c>
      <c r="H3090" s="545">
        <v>6</v>
      </c>
      <c r="I3090" s="545">
        <v>5.666666666666667</v>
      </c>
      <c r="J3090" s="545">
        <v>8.0952380952380949</v>
      </c>
    </row>
    <row r="3091" spans="1:10">
      <c r="A3091" s="441">
        <v>6154</v>
      </c>
      <c r="B3091" s="441" t="s">
        <v>3355</v>
      </c>
      <c r="C3091" s="545" t="e">
        <v>#N/A</v>
      </c>
      <c r="D3091" s="545" t="e">
        <v>#N/A</v>
      </c>
      <c r="E3091" s="545" t="e">
        <v>#N/A</v>
      </c>
      <c r="F3091" s="545" t="e">
        <v>#N/A</v>
      </c>
      <c r="G3091" s="545">
        <v>10.45</v>
      </c>
      <c r="H3091" s="545">
        <v>3.3333333333333335</v>
      </c>
      <c r="I3091" s="545">
        <v>5.666666666666667</v>
      </c>
      <c r="J3091" s="545">
        <v>8.75</v>
      </c>
    </row>
    <row r="3092" spans="1:10">
      <c r="A3092" s="441">
        <v>13175</v>
      </c>
      <c r="B3092" s="441" t="s">
        <v>3355</v>
      </c>
      <c r="C3092" s="545" t="e">
        <v>#N/A</v>
      </c>
      <c r="D3092" s="545" t="e">
        <v>#N/A</v>
      </c>
      <c r="E3092" s="545" t="e">
        <v>#N/A</v>
      </c>
      <c r="F3092" s="545" t="e">
        <v>#N/A</v>
      </c>
      <c r="G3092" s="545">
        <v>10.1</v>
      </c>
      <c r="H3092" s="545">
        <v>2</v>
      </c>
      <c r="I3092" s="545">
        <v>5.333333333333333</v>
      </c>
      <c r="J3092" s="545">
        <v>8.2619047619047628</v>
      </c>
    </row>
    <row r="3093" spans="1:10">
      <c r="A3093" s="441">
        <v>6146</v>
      </c>
      <c r="B3093" s="441" t="s">
        <v>3356</v>
      </c>
      <c r="C3093" s="545" t="e">
        <v>#N/A</v>
      </c>
      <c r="D3093" s="545" t="e">
        <v>#N/A</v>
      </c>
      <c r="E3093" s="545" t="e">
        <v>#N/A</v>
      </c>
      <c r="F3093" s="545" t="e">
        <v>#N/A</v>
      </c>
      <c r="G3093" s="545">
        <v>10.35</v>
      </c>
      <c r="H3093" s="545">
        <v>7.666666666666667</v>
      </c>
      <c r="I3093" s="545">
        <v>9.3333333333333339</v>
      </c>
      <c r="J3093" s="545">
        <v>9.8214285714285712</v>
      </c>
    </row>
    <row r="3094" spans="1:10">
      <c r="A3094" s="441">
        <v>13178</v>
      </c>
      <c r="B3094" s="441" t="s">
        <v>3356</v>
      </c>
      <c r="C3094" s="545" t="e">
        <v>#N/A</v>
      </c>
      <c r="D3094" s="545" t="e">
        <v>#N/A</v>
      </c>
      <c r="E3094" s="545" t="e">
        <v>#N/A</v>
      </c>
      <c r="F3094" s="545" t="e">
        <v>#N/A</v>
      </c>
      <c r="G3094" s="545">
        <v>25.75</v>
      </c>
      <c r="H3094" s="545">
        <v>11.666666666666666</v>
      </c>
      <c r="I3094" s="545">
        <v>16</v>
      </c>
      <c r="J3094" s="545">
        <v>22.345238095238095</v>
      </c>
    </row>
    <row r="3095" spans="1:10">
      <c r="A3095" s="441">
        <v>6147</v>
      </c>
      <c r="B3095" s="441" t="s">
        <v>3357</v>
      </c>
      <c r="C3095" s="545" t="e">
        <v>#N/A</v>
      </c>
      <c r="D3095" s="545" t="e">
        <v>#N/A</v>
      </c>
      <c r="E3095" s="545" t="e">
        <v>#N/A</v>
      </c>
      <c r="F3095" s="545" t="e">
        <v>#N/A</v>
      </c>
      <c r="G3095" s="545">
        <v>4.9000000000000004</v>
      </c>
      <c r="H3095" s="545">
        <v>4</v>
      </c>
      <c r="I3095" s="545">
        <v>1.3333333333333333</v>
      </c>
      <c r="J3095" s="545">
        <v>4.2619047619047619</v>
      </c>
    </row>
    <row r="3096" spans="1:10">
      <c r="A3096" s="441">
        <v>13177</v>
      </c>
      <c r="B3096" s="441" t="s">
        <v>3357</v>
      </c>
      <c r="C3096" s="545" t="e">
        <v>#N/A</v>
      </c>
      <c r="D3096" s="545" t="e">
        <v>#N/A</v>
      </c>
      <c r="E3096" s="545" t="e">
        <v>#N/A</v>
      </c>
      <c r="F3096" s="545" t="e">
        <v>#N/A</v>
      </c>
      <c r="G3096" s="545">
        <v>10.3</v>
      </c>
      <c r="H3096" s="545">
        <v>5</v>
      </c>
      <c r="I3096" s="545">
        <v>3.6666666666666665</v>
      </c>
      <c r="J3096" s="545">
        <v>8.5952380952380949</v>
      </c>
    </row>
    <row r="3097" spans="1:10">
      <c r="A3097" s="441">
        <v>13188</v>
      </c>
      <c r="B3097" s="441" t="s">
        <v>3358</v>
      </c>
      <c r="C3097" s="545" t="e">
        <v>#N/A</v>
      </c>
      <c r="D3097" s="545" t="e">
        <v>#N/A</v>
      </c>
      <c r="E3097" s="545" t="e">
        <v>#N/A</v>
      </c>
      <c r="F3097" s="545" t="e">
        <v>#N/A</v>
      </c>
      <c r="G3097" s="545">
        <v>2</v>
      </c>
      <c r="H3097" s="545">
        <v>1.3333333333333333</v>
      </c>
      <c r="I3097" s="545">
        <v>0.66666666666666663</v>
      </c>
      <c r="J3097" s="545">
        <v>1.7142857142857142</v>
      </c>
    </row>
    <row r="3098" spans="1:10">
      <c r="A3098" s="441">
        <v>4844</v>
      </c>
      <c r="B3098" s="441" t="s">
        <v>3359</v>
      </c>
      <c r="C3098" s="545">
        <v>4.8333333333333339</v>
      </c>
      <c r="D3098" s="545">
        <v>1</v>
      </c>
      <c r="E3098" s="545">
        <v>2.666666666666667</v>
      </c>
      <c r="F3098" s="545">
        <v>3.9761904761904772</v>
      </c>
      <c r="G3098" s="545">
        <v>2.8</v>
      </c>
      <c r="H3098" s="545">
        <v>2.3333333333333335</v>
      </c>
      <c r="I3098" s="545">
        <v>0</v>
      </c>
      <c r="J3098" s="545">
        <v>2.333333333333333</v>
      </c>
    </row>
    <row r="3099" spans="1:10">
      <c r="A3099" s="441">
        <v>4863</v>
      </c>
      <c r="B3099" s="441" t="s">
        <v>3359</v>
      </c>
      <c r="C3099" s="545">
        <v>6.833333333333333</v>
      </c>
      <c r="D3099" s="545">
        <v>1.6666666666666665</v>
      </c>
      <c r="E3099" s="545">
        <v>2.6666666666666665</v>
      </c>
      <c r="F3099" s="545">
        <v>5.4999999999999991</v>
      </c>
      <c r="G3099" s="545">
        <v>2.6</v>
      </c>
      <c r="H3099" s="545">
        <v>1</v>
      </c>
      <c r="I3099" s="545">
        <v>1</v>
      </c>
      <c r="J3099" s="545">
        <v>2.1428571428571428</v>
      </c>
    </row>
    <row r="3100" spans="1:10">
      <c r="A3100" s="441">
        <v>4864</v>
      </c>
      <c r="B3100" s="441" t="s">
        <v>3359</v>
      </c>
      <c r="C3100" s="545">
        <v>0.5</v>
      </c>
      <c r="D3100" s="545">
        <v>0.33333333333333331</v>
      </c>
      <c r="E3100" s="545">
        <v>0</v>
      </c>
      <c r="F3100" s="545">
        <v>0.40476190476190477</v>
      </c>
      <c r="G3100" s="545">
        <v>0</v>
      </c>
      <c r="H3100" s="545">
        <v>0</v>
      </c>
      <c r="I3100" s="545">
        <v>0</v>
      </c>
      <c r="J3100" s="545">
        <v>0</v>
      </c>
    </row>
    <row r="3101" spans="1:10">
      <c r="A3101" s="441">
        <v>4842</v>
      </c>
      <c r="B3101" s="441" t="s">
        <v>3360</v>
      </c>
      <c r="C3101" s="545">
        <v>1.6666666666666665</v>
      </c>
      <c r="D3101" s="545">
        <v>0.66666666666666663</v>
      </c>
      <c r="E3101" s="545">
        <v>0</v>
      </c>
      <c r="F3101" s="545">
        <v>1.2857142857142854</v>
      </c>
      <c r="G3101" s="545">
        <v>0.3</v>
      </c>
      <c r="H3101" s="545">
        <v>0</v>
      </c>
      <c r="I3101" s="545">
        <v>0</v>
      </c>
      <c r="J3101" s="545">
        <v>0.21428571428571427</v>
      </c>
    </row>
    <row r="3102" spans="1:10">
      <c r="A3102" s="441">
        <v>4865</v>
      </c>
      <c r="B3102" s="441" t="s">
        <v>3360</v>
      </c>
      <c r="C3102" s="545">
        <v>0.33333333333333331</v>
      </c>
      <c r="D3102" s="545">
        <v>0.66666666666666663</v>
      </c>
      <c r="E3102" s="545">
        <v>0</v>
      </c>
      <c r="F3102" s="545">
        <v>0.33333333333333331</v>
      </c>
      <c r="G3102" s="545">
        <v>0.15</v>
      </c>
      <c r="H3102" s="545">
        <v>0</v>
      </c>
      <c r="I3102" s="545">
        <v>0</v>
      </c>
      <c r="J3102" s="545">
        <v>0.10714285714285714</v>
      </c>
    </row>
    <row r="3103" spans="1:10">
      <c r="A3103" s="441">
        <v>4843</v>
      </c>
      <c r="B3103" s="441" t="s">
        <v>3361</v>
      </c>
      <c r="C3103" s="545">
        <v>0.33333333333333331</v>
      </c>
      <c r="D3103" s="545">
        <v>0.66666666666666663</v>
      </c>
      <c r="E3103" s="545">
        <v>0</v>
      </c>
      <c r="F3103" s="545">
        <v>0.33333333333333331</v>
      </c>
      <c r="G3103" s="545">
        <v>0.45</v>
      </c>
      <c r="H3103" s="545">
        <v>0</v>
      </c>
      <c r="I3103" s="545">
        <v>0</v>
      </c>
      <c r="J3103" s="545">
        <v>0.32142857142857145</v>
      </c>
    </row>
    <row r="3104" spans="1:10">
      <c r="A3104" s="441">
        <v>9084</v>
      </c>
      <c r="B3104" s="441" t="s">
        <v>3362</v>
      </c>
      <c r="C3104" s="545">
        <v>46.666666666666664</v>
      </c>
      <c r="D3104" s="545">
        <v>3.333333333333333</v>
      </c>
      <c r="E3104" s="545">
        <v>3</v>
      </c>
      <c r="F3104" s="545">
        <v>34.238095238095234</v>
      </c>
      <c r="G3104" s="545">
        <v>35</v>
      </c>
      <c r="H3104" s="545">
        <v>2</v>
      </c>
      <c r="I3104" s="545">
        <v>1</v>
      </c>
      <c r="J3104" s="545">
        <v>25.428571428571427</v>
      </c>
    </row>
    <row r="3105" spans="1:10">
      <c r="A3105" s="441">
        <v>9081</v>
      </c>
      <c r="B3105" s="441" t="s">
        <v>3363</v>
      </c>
      <c r="C3105" s="545">
        <v>0.66666666666666663</v>
      </c>
      <c r="D3105" s="545">
        <v>0.33333333333333331</v>
      </c>
      <c r="E3105" s="545">
        <v>0</v>
      </c>
      <c r="F3105" s="545">
        <v>0.52380952380952384</v>
      </c>
      <c r="G3105" s="545">
        <v>2.8666666666666667</v>
      </c>
      <c r="H3105" s="545">
        <v>0</v>
      </c>
      <c r="I3105" s="545">
        <v>0</v>
      </c>
      <c r="J3105" s="545">
        <v>2.0476190476190479</v>
      </c>
    </row>
    <row r="3106" spans="1:10">
      <c r="A3106" s="441">
        <v>9083</v>
      </c>
      <c r="B3106" s="441" t="s">
        <v>3363</v>
      </c>
      <c r="C3106" s="545">
        <v>10.166666666666666</v>
      </c>
      <c r="D3106" s="545">
        <v>0.33333333333333331</v>
      </c>
      <c r="E3106" s="545">
        <v>0</v>
      </c>
      <c r="F3106" s="545">
        <v>7.3095238095238093</v>
      </c>
      <c r="G3106" s="545">
        <v>4.4000000000000004</v>
      </c>
      <c r="H3106" s="545">
        <v>0</v>
      </c>
      <c r="I3106" s="545">
        <v>0</v>
      </c>
      <c r="J3106" s="545">
        <v>3.1428571428571428</v>
      </c>
    </row>
    <row r="3107" spans="1:10">
      <c r="A3107" s="441">
        <v>9082</v>
      </c>
      <c r="B3107" s="441" t="s">
        <v>3364</v>
      </c>
      <c r="C3107" s="545">
        <v>5.6666666666666661</v>
      </c>
      <c r="D3107" s="545">
        <v>1.3333333333333333</v>
      </c>
      <c r="E3107" s="545">
        <v>0.33333333333333331</v>
      </c>
      <c r="F3107" s="545">
        <v>4.2857142857142847</v>
      </c>
      <c r="G3107" s="545">
        <v>3.8666666666666667</v>
      </c>
      <c r="H3107" s="545">
        <v>0.66666666666666663</v>
      </c>
      <c r="I3107" s="545">
        <v>0.33333333333333331</v>
      </c>
      <c r="J3107" s="545">
        <v>2.9047619047619047</v>
      </c>
    </row>
    <row r="3108" spans="1:10">
      <c r="A3108" s="441">
        <v>11616</v>
      </c>
      <c r="B3108" s="441" t="s">
        <v>3365</v>
      </c>
      <c r="C3108" s="545">
        <v>3696.833333333333</v>
      </c>
      <c r="D3108" s="545">
        <v>0</v>
      </c>
      <c r="E3108" s="545">
        <v>0</v>
      </c>
      <c r="F3108" s="545">
        <v>2640.5952380952376</v>
      </c>
      <c r="G3108" s="545">
        <v>1818.1</v>
      </c>
      <c r="H3108" s="545"/>
      <c r="I3108" s="545"/>
      <c r="J3108" s="545">
        <v>1298.6428571428571</v>
      </c>
    </row>
    <row r="3109" spans="1:10">
      <c r="A3109" s="441">
        <v>9552</v>
      </c>
      <c r="B3109" s="441" t="s">
        <v>3366</v>
      </c>
      <c r="C3109" s="545">
        <v>300.16666666666663</v>
      </c>
      <c r="D3109" s="545">
        <v>259.33333333333331</v>
      </c>
      <c r="E3109" s="545">
        <v>272.33333333333331</v>
      </c>
      <c r="F3109" s="545">
        <v>290.35714285714278</v>
      </c>
      <c r="G3109" s="545">
        <v>236</v>
      </c>
      <c r="H3109" s="545">
        <v>229.33333333333334</v>
      </c>
      <c r="I3109" s="545">
        <v>220.66666666666666</v>
      </c>
      <c r="J3109" s="545">
        <v>232.85714285714286</v>
      </c>
    </row>
    <row r="3110" spans="1:10">
      <c r="A3110" s="441">
        <v>9557</v>
      </c>
      <c r="B3110" s="441" t="s">
        <v>3367</v>
      </c>
      <c r="C3110" s="545">
        <v>10</v>
      </c>
      <c r="D3110" s="545">
        <v>9.3333333333333339</v>
      </c>
      <c r="E3110" s="545">
        <v>8.3333333333333339</v>
      </c>
      <c r="F3110" s="545">
        <v>9.6666666666666679</v>
      </c>
      <c r="G3110" s="545">
        <v>10.25</v>
      </c>
      <c r="H3110" s="545">
        <v>6</v>
      </c>
      <c r="I3110" s="545">
        <v>4.333333333333333</v>
      </c>
      <c r="J3110" s="545">
        <v>8.7976190476190474</v>
      </c>
    </row>
    <row r="3111" spans="1:10">
      <c r="A3111" s="441">
        <v>321</v>
      </c>
      <c r="B3111" s="441" t="s">
        <v>3368</v>
      </c>
      <c r="C3111" s="545">
        <v>149.5</v>
      </c>
      <c r="D3111" s="545">
        <v>120</v>
      </c>
      <c r="E3111" s="545">
        <v>115.33333333333334</v>
      </c>
      <c r="F3111" s="545">
        <v>140.4047619047619</v>
      </c>
      <c r="G3111" s="545">
        <v>174.5</v>
      </c>
      <c r="H3111" s="545">
        <v>168</v>
      </c>
      <c r="I3111" s="545">
        <v>144.66666666666666</v>
      </c>
      <c r="J3111" s="545">
        <v>169.30952380952382</v>
      </c>
    </row>
    <row r="3112" spans="1:10">
      <c r="A3112" s="441">
        <v>11012</v>
      </c>
      <c r="B3112" s="441" t="s">
        <v>3369</v>
      </c>
      <c r="C3112" s="545">
        <v>4</v>
      </c>
      <c r="D3112" s="545">
        <v>1.6666666666666665</v>
      </c>
      <c r="E3112" s="545">
        <v>3.333333333333333</v>
      </c>
      <c r="F3112" s="545">
        <v>3.5714285714285716</v>
      </c>
      <c r="G3112" s="545">
        <v>2.65</v>
      </c>
      <c r="H3112" s="545">
        <v>2.6666666666666665</v>
      </c>
      <c r="I3112" s="545">
        <v>0</v>
      </c>
      <c r="J3112" s="545">
        <v>2.2738095238095237</v>
      </c>
    </row>
    <row r="3113" spans="1:10">
      <c r="A3113" s="441">
        <v>9556</v>
      </c>
      <c r="B3113" s="441" t="s">
        <v>3370</v>
      </c>
      <c r="C3113" s="545">
        <v>4.6666666666666661</v>
      </c>
      <c r="D3113" s="545">
        <v>9.6666666666666679</v>
      </c>
      <c r="E3113" s="545">
        <v>12.666666666666668</v>
      </c>
      <c r="F3113" s="545">
        <v>6.5238095238095246</v>
      </c>
      <c r="G3113" s="545">
        <v>4.2</v>
      </c>
      <c r="H3113" s="545">
        <v>4</v>
      </c>
      <c r="I3113" s="545">
        <v>0.33333333333333331</v>
      </c>
      <c r="J3113" s="545">
        <v>3.6190476190476191</v>
      </c>
    </row>
    <row r="3114" spans="1:10">
      <c r="A3114" s="441">
        <v>6330</v>
      </c>
      <c r="B3114" s="441" t="s">
        <v>3371</v>
      </c>
      <c r="C3114" s="545">
        <v>36.666666666666664</v>
      </c>
      <c r="D3114" s="545">
        <v>23.333333333333336</v>
      </c>
      <c r="E3114" s="545">
        <v>17.333333333333332</v>
      </c>
      <c r="F3114" s="545">
        <v>32</v>
      </c>
      <c r="G3114" s="545">
        <v>24.7</v>
      </c>
      <c r="H3114" s="545">
        <v>20.333333333333332</v>
      </c>
      <c r="I3114" s="545">
        <v>14</v>
      </c>
      <c r="J3114" s="545">
        <v>22.547619047619047</v>
      </c>
    </row>
    <row r="3115" spans="1:10">
      <c r="A3115" s="441">
        <v>6329</v>
      </c>
      <c r="B3115" s="441" t="s">
        <v>3372</v>
      </c>
      <c r="C3115" s="545">
        <v>166.16666666666669</v>
      </c>
      <c r="D3115" s="545">
        <v>149.66666666666666</v>
      </c>
      <c r="E3115" s="545">
        <v>143.66666666666666</v>
      </c>
      <c r="F3115" s="545">
        <v>160.5952380952381</v>
      </c>
      <c r="G3115" s="545">
        <v>153.4</v>
      </c>
      <c r="H3115" s="545">
        <v>58.666666666666664</v>
      </c>
      <c r="I3115" s="545">
        <v>76.666666666666671</v>
      </c>
      <c r="J3115" s="545">
        <v>128.9047619047619</v>
      </c>
    </row>
    <row r="3116" spans="1:10">
      <c r="A3116" s="441">
        <v>5472</v>
      </c>
      <c r="B3116" s="441" t="s">
        <v>3373</v>
      </c>
      <c r="C3116" s="545" t="e">
        <v>#N/A</v>
      </c>
      <c r="D3116" s="545" t="e">
        <v>#N/A</v>
      </c>
      <c r="E3116" s="545" t="e">
        <v>#N/A</v>
      </c>
      <c r="F3116" s="545" t="e">
        <v>#N/A</v>
      </c>
      <c r="G3116" s="545">
        <v>5.25</v>
      </c>
      <c r="H3116" s="545">
        <v>0.66666666666666663</v>
      </c>
      <c r="I3116" s="545">
        <v>0</v>
      </c>
      <c r="J3116" s="545">
        <v>3.8452380952380953</v>
      </c>
    </row>
    <row r="3117" spans="1:10">
      <c r="A3117" s="441">
        <v>5477</v>
      </c>
      <c r="B3117" s="441" t="s">
        <v>3373</v>
      </c>
      <c r="C3117" s="545" t="e">
        <v>#N/A</v>
      </c>
      <c r="D3117" s="545" t="e">
        <v>#N/A</v>
      </c>
      <c r="E3117" s="545" t="e">
        <v>#N/A</v>
      </c>
      <c r="F3117" s="545" t="e">
        <v>#N/A</v>
      </c>
      <c r="G3117" s="545">
        <v>4.9000000000000004</v>
      </c>
      <c r="H3117" s="545">
        <v>0</v>
      </c>
      <c r="I3117" s="545">
        <v>0</v>
      </c>
      <c r="J3117" s="545">
        <v>3.5</v>
      </c>
    </row>
    <row r="3118" spans="1:10">
      <c r="A3118" s="441">
        <v>5464</v>
      </c>
      <c r="B3118" s="441" t="s">
        <v>3374</v>
      </c>
      <c r="C3118" s="545">
        <v>2.6666666666666665</v>
      </c>
      <c r="D3118" s="545">
        <v>2.6666666666666665</v>
      </c>
      <c r="E3118" s="545">
        <v>2.3333333333333335</v>
      </c>
      <c r="F3118" s="545">
        <v>2.6190476190476191</v>
      </c>
      <c r="G3118" s="545">
        <v>2</v>
      </c>
      <c r="H3118" s="545">
        <v>0</v>
      </c>
      <c r="I3118" s="545">
        <v>0.33333333333333331</v>
      </c>
      <c r="J3118" s="545">
        <v>1.4761904761904763</v>
      </c>
    </row>
    <row r="3119" spans="1:10">
      <c r="A3119" s="441">
        <v>5462</v>
      </c>
      <c r="B3119" s="441" t="s">
        <v>3375</v>
      </c>
      <c r="C3119" s="545">
        <v>6.666666666666667</v>
      </c>
      <c r="D3119" s="545">
        <v>2.6666666666666665</v>
      </c>
      <c r="E3119" s="545">
        <v>3.666666666666667</v>
      </c>
      <c r="F3119" s="545">
        <v>5.6666666666666661</v>
      </c>
      <c r="G3119" s="545">
        <v>4.5999999999999996</v>
      </c>
      <c r="H3119" s="545">
        <v>3.3333333333333335</v>
      </c>
      <c r="I3119" s="545">
        <v>1.6666666666666667</v>
      </c>
      <c r="J3119" s="545">
        <v>4</v>
      </c>
    </row>
    <row r="3120" spans="1:10">
      <c r="A3120" s="441">
        <v>5463</v>
      </c>
      <c r="B3120" s="441" t="s">
        <v>3376</v>
      </c>
      <c r="C3120" s="545">
        <v>68.166666666666657</v>
      </c>
      <c r="D3120" s="545">
        <v>32</v>
      </c>
      <c r="E3120" s="545">
        <v>26.333333333333332</v>
      </c>
      <c r="F3120" s="545">
        <v>57.023809523809511</v>
      </c>
      <c r="G3120" s="545">
        <v>44.85</v>
      </c>
      <c r="H3120" s="545">
        <v>33.333333333333336</v>
      </c>
      <c r="I3120" s="545">
        <v>14.666666666666666</v>
      </c>
      <c r="J3120" s="545">
        <v>38.892857142857146</v>
      </c>
    </row>
    <row r="3121" spans="1:10">
      <c r="A3121" s="441">
        <v>5468</v>
      </c>
      <c r="B3121" s="441" t="s">
        <v>3377</v>
      </c>
      <c r="C3121" s="545">
        <v>26.333333333333332</v>
      </c>
      <c r="D3121" s="545">
        <v>21</v>
      </c>
      <c r="E3121" s="545">
        <v>18.666666666666668</v>
      </c>
      <c r="F3121" s="545">
        <v>24.476190476190474</v>
      </c>
      <c r="G3121" s="545">
        <v>6.15</v>
      </c>
      <c r="H3121" s="545">
        <v>6</v>
      </c>
      <c r="I3121" s="545">
        <v>3</v>
      </c>
      <c r="J3121" s="545">
        <v>5.6785714285714288</v>
      </c>
    </row>
    <row r="3122" spans="1:10">
      <c r="A3122" s="441">
        <v>5467</v>
      </c>
      <c r="B3122" s="441" t="s">
        <v>3378</v>
      </c>
      <c r="C3122" s="545">
        <v>11.666666666666666</v>
      </c>
      <c r="D3122" s="545">
        <v>7.6666666666666661</v>
      </c>
      <c r="E3122" s="545">
        <v>4.666666666666667</v>
      </c>
      <c r="F3122" s="545">
        <v>10.095238095238097</v>
      </c>
      <c r="G3122" s="545">
        <v>3.9</v>
      </c>
      <c r="H3122" s="545">
        <v>2.6666666666666665</v>
      </c>
      <c r="I3122" s="545">
        <v>1.3333333333333333</v>
      </c>
      <c r="J3122" s="545">
        <v>3.3571428571428572</v>
      </c>
    </row>
    <row r="3123" spans="1:10">
      <c r="A3123" s="441">
        <v>5474</v>
      </c>
      <c r="B3123" s="441" t="s">
        <v>3379</v>
      </c>
      <c r="C3123" s="545" t="e">
        <v>#N/A</v>
      </c>
      <c r="D3123" s="545" t="e">
        <v>#N/A</v>
      </c>
      <c r="E3123" s="545" t="e">
        <v>#N/A</v>
      </c>
      <c r="F3123" s="545" t="e">
        <v>#N/A</v>
      </c>
      <c r="G3123" s="545">
        <v>4.9000000000000004</v>
      </c>
      <c r="H3123" s="545">
        <v>12.333333333333334</v>
      </c>
      <c r="I3123" s="545">
        <v>5.666666666666667</v>
      </c>
      <c r="J3123" s="545">
        <v>6.0714285714285712</v>
      </c>
    </row>
    <row r="3124" spans="1:10">
      <c r="A3124" s="441">
        <v>5475</v>
      </c>
      <c r="B3124" s="441" t="s">
        <v>3379</v>
      </c>
      <c r="C3124" s="545" t="e">
        <v>#N/A</v>
      </c>
      <c r="D3124" s="545" t="e">
        <v>#N/A</v>
      </c>
      <c r="E3124" s="545" t="e">
        <v>#N/A</v>
      </c>
      <c r="F3124" s="545" t="e">
        <v>#N/A</v>
      </c>
      <c r="G3124" s="545">
        <v>5.25</v>
      </c>
      <c r="H3124" s="545">
        <v>3.3333333333333335</v>
      </c>
      <c r="I3124" s="545">
        <v>3</v>
      </c>
      <c r="J3124" s="545">
        <v>4.6547619047619042</v>
      </c>
    </row>
    <row r="3125" spans="1:10">
      <c r="A3125" s="441">
        <v>5461</v>
      </c>
      <c r="B3125" s="441" t="s">
        <v>3380</v>
      </c>
      <c r="C3125" s="545">
        <v>21.333333333333332</v>
      </c>
      <c r="D3125" s="545">
        <v>9</v>
      </c>
      <c r="E3125" s="545">
        <v>7</v>
      </c>
      <c r="F3125" s="545">
        <v>17.523809523809522</v>
      </c>
      <c r="G3125" s="545">
        <v>8.9</v>
      </c>
      <c r="H3125" s="545">
        <v>4</v>
      </c>
      <c r="I3125" s="545">
        <v>4</v>
      </c>
      <c r="J3125" s="545">
        <v>7.5</v>
      </c>
    </row>
    <row r="3126" spans="1:10">
      <c r="A3126" s="441">
        <v>5469</v>
      </c>
      <c r="B3126" s="441" t="s">
        <v>3381</v>
      </c>
      <c r="C3126" s="545">
        <v>5.3333333333333339</v>
      </c>
      <c r="D3126" s="545">
        <v>7.3333333333333339</v>
      </c>
      <c r="E3126" s="545">
        <v>6.666666666666667</v>
      </c>
      <c r="F3126" s="545">
        <v>5.8095238095238102</v>
      </c>
      <c r="G3126" s="545">
        <v>21.15</v>
      </c>
      <c r="H3126" s="545">
        <v>15.333333333333334</v>
      </c>
      <c r="I3126" s="545">
        <v>10</v>
      </c>
      <c r="J3126" s="545">
        <v>18.726190476190474</v>
      </c>
    </row>
    <row r="3127" spans="1:10">
      <c r="A3127" s="441">
        <v>5466</v>
      </c>
      <c r="B3127" s="441" t="s">
        <v>3382</v>
      </c>
      <c r="C3127" s="545">
        <v>5.3333333333333339</v>
      </c>
      <c r="D3127" s="545">
        <v>1</v>
      </c>
      <c r="E3127" s="545">
        <v>1.6666666666666665</v>
      </c>
      <c r="F3127" s="545">
        <v>4.1904761904761916</v>
      </c>
      <c r="G3127" s="545">
        <v>3.05</v>
      </c>
      <c r="H3127" s="545">
        <v>0.66666666666666663</v>
      </c>
      <c r="I3127" s="545">
        <v>0.66666666666666663</v>
      </c>
      <c r="J3127" s="545">
        <v>2.3690476190476191</v>
      </c>
    </row>
    <row r="3128" spans="1:10">
      <c r="A3128" s="441">
        <v>5465</v>
      </c>
      <c r="B3128" s="441" t="s">
        <v>3383</v>
      </c>
      <c r="C3128" s="545">
        <v>4.833333333333333</v>
      </c>
      <c r="D3128" s="545">
        <v>3.3333333333333335</v>
      </c>
      <c r="E3128" s="545">
        <v>0.66666666666666663</v>
      </c>
      <c r="F3128" s="545">
        <v>4.0238095238095237</v>
      </c>
      <c r="G3128" s="545">
        <v>2.1</v>
      </c>
      <c r="H3128" s="545">
        <v>1</v>
      </c>
      <c r="I3128" s="545">
        <v>1.3333333333333333</v>
      </c>
      <c r="J3128" s="545">
        <v>1.8333333333333335</v>
      </c>
    </row>
    <row r="3129" spans="1:10">
      <c r="A3129" s="441">
        <v>5470</v>
      </c>
      <c r="B3129" s="441" t="s">
        <v>3384</v>
      </c>
      <c r="C3129" s="545" t="e">
        <v>#N/A</v>
      </c>
      <c r="D3129" s="545" t="e">
        <v>#N/A</v>
      </c>
      <c r="E3129" s="545" t="e">
        <v>#N/A</v>
      </c>
      <c r="F3129" s="545" t="e">
        <v>#N/A</v>
      </c>
      <c r="G3129" s="545">
        <v>14.75</v>
      </c>
      <c r="H3129" s="545">
        <v>11.333333333333334</v>
      </c>
      <c r="I3129" s="545">
        <v>10.666666666666666</v>
      </c>
      <c r="J3129" s="545">
        <v>13.678571428571429</v>
      </c>
    </row>
    <row r="3130" spans="1:10">
      <c r="A3130" s="441">
        <v>5479</v>
      </c>
      <c r="B3130" s="441" t="s">
        <v>3384</v>
      </c>
      <c r="C3130" s="545">
        <v>12.833333333333332</v>
      </c>
      <c r="D3130" s="545">
        <v>11.333333333333334</v>
      </c>
      <c r="E3130" s="545">
        <v>14.666666666666668</v>
      </c>
      <c r="F3130" s="545">
        <v>12.88095238095238</v>
      </c>
      <c r="G3130" s="545">
        <v>14.75</v>
      </c>
      <c r="H3130" s="545">
        <v>11.333333333333334</v>
      </c>
      <c r="I3130" s="545">
        <v>7.666666666666667</v>
      </c>
      <c r="J3130" s="545">
        <v>13.25</v>
      </c>
    </row>
    <row r="3131" spans="1:10">
      <c r="A3131" s="441">
        <v>12509</v>
      </c>
      <c r="B3131" s="441" t="s">
        <v>3385</v>
      </c>
      <c r="C3131" s="545">
        <v>9</v>
      </c>
      <c r="D3131" s="545">
        <v>1</v>
      </c>
      <c r="E3131" s="545">
        <v>0.66666666666666663</v>
      </c>
      <c r="F3131" s="545">
        <v>6.6666666666666661</v>
      </c>
      <c r="G3131" s="545">
        <v>1.4</v>
      </c>
      <c r="H3131" s="545">
        <v>0</v>
      </c>
      <c r="I3131" s="545">
        <v>0</v>
      </c>
      <c r="J3131" s="545">
        <v>1</v>
      </c>
    </row>
    <row r="3132" spans="1:10">
      <c r="A3132" s="441">
        <v>12510</v>
      </c>
      <c r="B3132" s="441" t="s">
        <v>3385</v>
      </c>
      <c r="C3132" s="545">
        <v>4.166666666666667</v>
      </c>
      <c r="D3132" s="545">
        <v>0</v>
      </c>
      <c r="E3132" s="545">
        <v>0</v>
      </c>
      <c r="F3132" s="545">
        <v>2.9761904761904767</v>
      </c>
      <c r="G3132" s="545">
        <v>0.9</v>
      </c>
      <c r="H3132" s="545">
        <v>0</v>
      </c>
      <c r="I3132" s="545">
        <v>0</v>
      </c>
      <c r="J3132" s="545">
        <v>0.6428571428571429</v>
      </c>
    </row>
    <row r="3133" spans="1:10">
      <c r="A3133" s="441">
        <v>12513</v>
      </c>
      <c r="B3133" s="441" t="s">
        <v>3386</v>
      </c>
      <c r="C3133" s="545">
        <v>4.8333333333333339</v>
      </c>
      <c r="D3133" s="545">
        <v>1.3333333333333333</v>
      </c>
      <c r="E3133" s="545">
        <v>1</v>
      </c>
      <c r="F3133" s="545">
        <v>3.785714285714286</v>
      </c>
      <c r="G3133" s="545">
        <v>2.35</v>
      </c>
      <c r="H3133" s="545">
        <v>3.3333333333333335</v>
      </c>
      <c r="I3133" s="545">
        <v>0.66666666666666663</v>
      </c>
      <c r="J3133" s="545">
        <v>2.25</v>
      </c>
    </row>
    <row r="3134" spans="1:10">
      <c r="A3134" s="441">
        <v>12511</v>
      </c>
      <c r="B3134" s="441" t="s">
        <v>3387</v>
      </c>
      <c r="C3134" s="545">
        <v>5</v>
      </c>
      <c r="D3134" s="545">
        <v>0</v>
      </c>
      <c r="E3134" s="545">
        <v>0</v>
      </c>
      <c r="F3134" s="545">
        <v>3.5714285714285716</v>
      </c>
      <c r="G3134" s="545">
        <v>0.75</v>
      </c>
      <c r="H3134" s="545">
        <v>0.33333333333333331</v>
      </c>
      <c r="I3134" s="545">
        <v>0.66666666666666663</v>
      </c>
      <c r="J3134" s="545">
        <v>0.6785714285714286</v>
      </c>
    </row>
    <row r="3135" spans="1:10">
      <c r="A3135" s="441">
        <v>12507</v>
      </c>
      <c r="B3135" s="441" t="s">
        <v>3388</v>
      </c>
      <c r="C3135" s="545">
        <v>19.5</v>
      </c>
      <c r="D3135" s="545">
        <v>12.666666666666668</v>
      </c>
      <c r="E3135" s="545">
        <v>11</v>
      </c>
      <c r="F3135" s="545">
        <v>17.30952380952381</v>
      </c>
      <c r="G3135" s="545">
        <v>13.3</v>
      </c>
      <c r="H3135" s="545">
        <v>10</v>
      </c>
      <c r="I3135" s="545">
        <v>7</v>
      </c>
      <c r="J3135" s="545">
        <v>11.928571428571429</v>
      </c>
    </row>
    <row r="3136" spans="1:10">
      <c r="A3136" s="441">
        <v>12508</v>
      </c>
      <c r="B3136" s="441" t="s">
        <v>3388</v>
      </c>
      <c r="C3136" s="545">
        <v>16.833333333333332</v>
      </c>
      <c r="D3136" s="545">
        <v>11.333333333333332</v>
      </c>
      <c r="E3136" s="545">
        <v>6.666666666666667</v>
      </c>
      <c r="F3136" s="545">
        <v>14.595238095238093</v>
      </c>
      <c r="G3136" s="545">
        <v>10.5</v>
      </c>
      <c r="H3136" s="545">
        <v>9.3333333333333339</v>
      </c>
      <c r="I3136" s="545">
        <v>5.333333333333333</v>
      </c>
      <c r="J3136" s="545">
        <v>9.5952380952380967</v>
      </c>
    </row>
    <row r="3137" spans="1:10">
      <c r="A3137" s="441">
        <v>3977</v>
      </c>
      <c r="B3137" s="441" t="s">
        <v>3389</v>
      </c>
      <c r="C3137" s="545">
        <v>0.5</v>
      </c>
      <c r="D3137" s="545">
        <v>0</v>
      </c>
      <c r="E3137" s="545">
        <v>0.33333333333333331</v>
      </c>
      <c r="F3137" s="545">
        <v>0.40476190476190477</v>
      </c>
      <c r="G3137" s="545">
        <v>2.35</v>
      </c>
      <c r="H3137" s="545">
        <v>0</v>
      </c>
      <c r="I3137" s="545">
        <v>2.3333333333333335</v>
      </c>
      <c r="J3137" s="545">
        <v>2.0119047619047619</v>
      </c>
    </row>
    <row r="3138" spans="1:10">
      <c r="A3138" s="441">
        <v>10241</v>
      </c>
      <c r="B3138" s="441" t="s">
        <v>3389</v>
      </c>
      <c r="C3138" s="545">
        <v>1.3333333333333333</v>
      </c>
      <c r="D3138" s="545">
        <v>0.66666666666666663</v>
      </c>
      <c r="E3138" s="545">
        <v>0</v>
      </c>
      <c r="F3138" s="545">
        <v>1.0476190476190477</v>
      </c>
      <c r="G3138" s="545">
        <v>2.6</v>
      </c>
      <c r="H3138" s="545">
        <v>0.33333333333333331</v>
      </c>
      <c r="I3138" s="545">
        <v>0</v>
      </c>
      <c r="J3138" s="545">
        <v>1.9047619047619049</v>
      </c>
    </row>
    <row r="3139" spans="1:10">
      <c r="A3139" s="441">
        <v>3980</v>
      </c>
      <c r="B3139" s="441" t="s">
        <v>3390</v>
      </c>
      <c r="C3139" s="545">
        <v>12.666666666666668</v>
      </c>
      <c r="D3139" s="545">
        <v>4.333333333333333</v>
      </c>
      <c r="E3139" s="545">
        <v>6</v>
      </c>
      <c r="F3139" s="545">
        <v>10.523809523809524</v>
      </c>
      <c r="G3139" s="545">
        <v>7</v>
      </c>
      <c r="H3139" s="545">
        <v>7.666666666666667</v>
      </c>
      <c r="I3139" s="545">
        <v>5.333333333333333</v>
      </c>
      <c r="J3139" s="545">
        <v>6.8571428571428568</v>
      </c>
    </row>
    <row r="3140" spans="1:10">
      <c r="A3140" s="441">
        <v>11426</v>
      </c>
      <c r="B3140" s="441" t="s">
        <v>3390</v>
      </c>
      <c r="C3140" s="545">
        <v>12.333333333333334</v>
      </c>
      <c r="D3140" s="545">
        <v>6.666666666666667</v>
      </c>
      <c r="E3140" s="545">
        <v>6</v>
      </c>
      <c r="F3140" s="545">
        <v>10.61904761904762</v>
      </c>
      <c r="G3140" s="545">
        <v>8.3000000000000007</v>
      </c>
      <c r="H3140" s="545">
        <v>6.333333333333333</v>
      </c>
      <c r="I3140" s="545">
        <v>5</v>
      </c>
      <c r="J3140" s="545">
        <v>7.5476190476190483</v>
      </c>
    </row>
    <row r="3141" spans="1:10">
      <c r="A3141" s="441">
        <v>11805</v>
      </c>
      <c r="B3141" s="441" t="s">
        <v>3391</v>
      </c>
      <c r="C3141" s="545">
        <v>12.166666666666666</v>
      </c>
      <c r="D3141" s="545">
        <v>0.66666666666666663</v>
      </c>
      <c r="E3141" s="545">
        <v>1.6666666666666665</v>
      </c>
      <c r="F3141" s="545">
        <v>9.0238095238095219</v>
      </c>
      <c r="G3141" s="545">
        <v>9.4</v>
      </c>
      <c r="H3141" s="545">
        <v>5.666666666666667</v>
      </c>
      <c r="I3141" s="545">
        <v>3.3333333333333335</v>
      </c>
      <c r="J3141" s="545">
        <v>8</v>
      </c>
    </row>
    <row r="3142" spans="1:10">
      <c r="A3142" s="441">
        <v>11806</v>
      </c>
      <c r="B3142" s="441" t="s">
        <v>3391</v>
      </c>
      <c r="C3142" s="545">
        <v>12.5</v>
      </c>
      <c r="D3142" s="545">
        <v>1.6666666666666667</v>
      </c>
      <c r="E3142" s="545">
        <v>0.66666666666666663</v>
      </c>
      <c r="F3142" s="545">
        <v>9.2619047619047628</v>
      </c>
      <c r="G3142" s="545">
        <v>4.8</v>
      </c>
      <c r="H3142" s="545">
        <v>3</v>
      </c>
      <c r="I3142" s="545">
        <v>2.3333333333333335</v>
      </c>
      <c r="J3142" s="545">
        <v>4.1904761904761907</v>
      </c>
    </row>
    <row r="3143" spans="1:10">
      <c r="A3143" s="441">
        <v>3962</v>
      </c>
      <c r="B3143" s="441" t="s">
        <v>3392</v>
      </c>
      <c r="C3143" s="545">
        <v>73.166666666666671</v>
      </c>
      <c r="D3143" s="545">
        <v>51</v>
      </c>
      <c r="E3143" s="545">
        <v>47.333333333333329</v>
      </c>
      <c r="F3143" s="545">
        <v>66.30952380952381</v>
      </c>
      <c r="G3143" s="545">
        <v>55.55</v>
      </c>
      <c r="H3143" s="545">
        <v>50</v>
      </c>
      <c r="I3143" s="545">
        <v>41</v>
      </c>
      <c r="J3143" s="545">
        <v>52.678571428571431</v>
      </c>
    </row>
    <row r="3144" spans="1:10">
      <c r="A3144" s="441">
        <v>3972</v>
      </c>
      <c r="B3144" s="441" t="s">
        <v>3392</v>
      </c>
      <c r="C3144" s="545">
        <v>110.5</v>
      </c>
      <c r="D3144" s="545">
        <v>61.333333333333329</v>
      </c>
      <c r="E3144" s="545">
        <v>62.666666666666664</v>
      </c>
      <c r="F3144" s="545">
        <v>96.642857142857139</v>
      </c>
      <c r="G3144" s="545">
        <v>76.45</v>
      </c>
      <c r="H3144" s="545">
        <v>74.666666666666671</v>
      </c>
      <c r="I3144" s="545">
        <v>47</v>
      </c>
      <c r="J3144" s="545">
        <v>71.988095238095241</v>
      </c>
    </row>
    <row r="3145" spans="1:10">
      <c r="A3145" s="441">
        <v>3965</v>
      </c>
      <c r="B3145" s="441" t="s">
        <v>3393</v>
      </c>
      <c r="C3145" s="545">
        <v>152.33333333333334</v>
      </c>
      <c r="D3145" s="545">
        <v>116</v>
      </c>
      <c r="E3145" s="545">
        <v>90.333333333333329</v>
      </c>
      <c r="F3145" s="545">
        <v>138.28571428571431</v>
      </c>
      <c r="G3145" s="545">
        <v>86.1</v>
      </c>
      <c r="H3145" s="545">
        <v>60</v>
      </c>
      <c r="I3145" s="545">
        <v>49.333333333333336</v>
      </c>
      <c r="J3145" s="545">
        <v>77.11904761904762</v>
      </c>
    </row>
    <row r="3146" spans="1:10">
      <c r="A3146" s="441">
        <v>3961</v>
      </c>
      <c r="B3146" s="441" t="s">
        <v>3394</v>
      </c>
      <c r="C3146" s="545">
        <v>268.83333333333331</v>
      </c>
      <c r="D3146" s="545">
        <v>217.66666666666669</v>
      </c>
      <c r="E3146" s="545">
        <v>162</v>
      </c>
      <c r="F3146" s="545">
        <v>246.26190476190476</v>
      </c>
      <c r="G3146" s="545">
        <v>160.75</v>
      </c>
      <c r="H3146" s="545">
        <v>137.66666666666666</v>
      </c>
      <c r="I3146" s="545">
        <v>128.33333333333334</v>
      </c>
      <c r="J3146" s="545">
        <v>152.82142857142858</v>
      </c>
    </row>
    <row r="3147" spans="1:10">
      <c r="A3147" s="441">
        <v>3973</v>
      </c>
      <c r="B3147" s="441" t="s">
        <v>3394</v>
      </c>
      <c r="C3147" s="545">
        <v>117.33333333333333</v>
      </c>
      <c r="D3147" s="545">
        <v>88.333333333333329</v>
      </c>
      <c r="E3147" s="545">
        <v>85.333333333333329</v>
      </c>
      <c r="F3147" s="545">
        <v>108.61904761904762</v>
      </c>
      <c r="G3147" s="545">
        <v>102.75</v>
      </c>
      <c r="H3147" s="545">
        <v>74.666666666666671</v>
      </c>
      <c r="I3147" s="545">
        <v>68.333333333333329</v>
      </c>
      <c r="J3147" s="545">
        <v>93.821428571428569</v>
      </c>
    </row>
    <row r="3148" spans="1:10">
      <c r="A3148" s="441">
        <v>3974</v>
      </c>
      <c r="B3148" s="441" t="s">
        <v>3395</v>
      </c>
      <c r="C3148" s="545">
        <v>17</v>
      </c>
      <c r="D3148" s="545">
        <v>11</v>
      </c>
      <c r="E3148" s="545">
        <v>14.666666666666666</v>
      </c>
      <c r="F3148" s="545">
        <v>15.80952380952381</v>
      </c>
      <c r="G3148" s="545">
        <v>13.15</v>
      </c>
      <c r="H3148" s="545">
        <v>12</v>
      </c>
      <c r="I3148" s="545">
        <v>9.3333333333333339</v>
      </c>
      <c r="J3148" s="545">
        <v>12.44047619047619</v>
      </c>
    </row>
    <row r="3149" spans="1:10">
      <c r="A3149" s="441">
        <v>3966</v>
      </c>
      <c r="B3149" s="441" t="s">
        <v>3396</v>
      </c>
      <c r="C3149" s="545">
        <v>31.166666666666668</v>
      </c>
      <c r="D3149" s="545">
        <v>23.333333333333332</v>
      </c>
      <c r="E3149" s="545">
        <v>16</v>
      </c>
      <c r="F3149" s="545">
        <v>27.880952380952383</v>
      </c>
      <c r="G3149" s="545">
        <v>33.9</v>
      </c>
      <c r="H3149" s="545">
        <v>23.666666666666668</v>
      </c>
      <c r="I3149" s="545">
        <v>16.666666666666668</v>
      </c>
      <c r="J3149" s="545">
        <v>29.976190476190474</v>
      </c>
    </row>
    <row r="3150" spans="1:10">
      <c r="A3150" s="441">
        <v>3970</v>
      </c>
      <c r="B3150" s="441" t="s">
        <v>3397</v>
      </c>
      <c r="C3150" s="545">
        <v>40.833333333333336</v>
      </c>
      <c r="D3150" s="545">
        <v>27.333333333333332</v>
      </c>
      <c r="E3150" s="545">
        <v>26.666666666666668</v>
      </c>
      <c r="F3150" s="545">
        <v>36.880952380952387</v>
      </c>
      <c r="G3150" s="545">
        <v>31.9</v>
      </c>
      <c r="H3150" s="545">
        <v>20.666666666666668</v>
      </c>
      <c r="I3150" s="545">
        <v>17.666666666666668</v>
      </c>
      <c r="J3150" s="545">
        <v>28.261904761904759</v>
      </c>
    </row>
    <row r="3151" spans="1:10">
      <c r="A3151" s="441">
        <v>3963</v>
      </c>
      <c r="B3151" s="441" t="s">
        <v>3398</v>
      </c>
      <c r="C3151" s="545">
        <v>92</v>
      </c>
      <c r="D3151" s="545">
        <v>70.333333333333329</v>
      </c>
      <c r="E3151" s="545">
        <v>56.333333333333336</v>
      </c>
      <c r="F3151" s="545">
        <v>83.809523809523824</v>
      </c>
      <c r="G3151" s="545">
        <v>75.8</v>
      </c>
      <c r="H3151" s="545">
        <v>65.333333333333329</v>
      </c>
      <c r="I3151" s="545">
        <v>55</v>
      </c>
      <c r="J3151" s="545">
        <v>71.333333333333329</v>
      </c>
    </row>
    <row r="3152" spans="1:10">
      <c r="A3152" s="441">
        <v>3964</v>
      </c>
      <c r="B3152" s="441" t="s">
        <v>3398</v>
      </c>
      <c r="C3152" s="545">
        <v>189.66666666666669</v>
      </c>
      <c r="D3152" s="545">
        <v>127.33333333333334</v>
      </c>
      <c r="E3152" s="545">
        <v>105.66666666666666</v>
      </c>
      <c r="F3152" s="545">
        <v>168.76190476190479</v>
      </c>
      <c r="G3152" s="545">
        <v>130.44999999999999</v>
      </c>
      <c r="H3152" s="545">
        <v>96</v>
      </c>
      <c r="I3152" s="545">
        <v>70.666666666666671</v>
      </c>
      <c r="J3152" s="545">
        <v>116.98809523809523</v>
      </c>
    </row>
    <row r="3153" spans="1:10">
      <c r="A3153" s="441">
        <v>3971</v>
      </c>
      <c r="B3153" s="441" t="s">
        <v>3398</v>
      </c>
      <c r="C3153" s="545">
        <v>90.5</v>
      </c>
      <c r="D3153" s="545">
        <v>72.666666666666671</v>
      </c>
      <c r="E3153" s="545">
        <v>44</v>
      </c>
      <c r="F3153" s="545">
        <v>81.30952380952381</v>
      </c>
      <c r="G3153" s="545">
        <v>56.25</v>
      </c>
      <c r="H3153" s="545">
        <v>49.333333333333336</v>
      </c>
      <c r="I3153" s="545">
        <v>37.333333333333336</v>
      </c>
      <c r="J3153" s="545">
        <v>52.559523809523803</v>
      </c>
    </row>
    <row r="3154" spans="1:10">
      <c r="A3154" s="441">
        <v>3956</v>
      </c>
      <c r="B3154" s="441" t="s">
        <v>3399</v>
      </c>
      <c r="C3154" s="545">
        <v>12.666666666666668</v>
      </c>
      <c r="D3154" s="545">
        <v>3</v>
      </c>
      <c r="E3154" s="545">
        <v>7</v>
      </c>
      <c r="F3154" s="545">
        <v>10.476190476190478</v>
      </c>
      <c r="G3154" s="545">
        <v>5.9</v>
      </c>
      <c r="H3154" s="545">
        <v>5</v>
      </c>
      <c r="I3154" s="545">
        <v>5.333333333333333</v>
      </c>
      <c r="J3154" s="545">
        <v>5.6904761904761907</v>
      </c>
    </row>
    <row r="3155" spans="1:10">
      <c r="A3155" s="441">
        <v>3978</v>
      </c>
      <c r="B3155" s="441" t="s">
        <v>3399</v>
      </c>
      <c r="C3155" s="545">
        <v>10</v>
      </c>
      <c r="D3155" s="545">
        <v>5</v>
      </c>
      <c r="E3155" s="545">
        <v>6.333333333333333</v>
      </c>
      <c r="F3155" s="545">
        <v>8.7619047619047628</v>
      </c>
      <c r="G3155" s="545">
        <v>5.85</v>
      </c>
      <c r="H3155" s="545">
        <v>6.333333333333333</v>
      </c>
      <c r="I3155" s="545">
        <v>6.333333333333333</v>
      </c>
      <c r="J3155" s="545">
        <v>5.988095238095239</v>
      </c>
    </row>
    <row r="3156" spans="1:10">
      <c r="A3156" s="441">
        <v>3957</v>
      </c>
      <c r="B3156" s="441" t="s">
        <v>3400</v>
      </c>
      <c r="C3156" s="545">
        <v>19</v>
      </c>
      <c r="D3156" s="545">
        <v>9.6666666666666679</v>
      </c>
      <c r="E3156" s="545">
        <v>8.3333333333333339</v>
      </c>
      <c r="F3156" s="545">
        <v>16.142857142857142</v>
      </c>
      <c r="G3156" s="545">
        <v>1.3</v>
      </c>
      <c r="H3156" s="545">
        <v>0</v>
      </c>
      <c r="I3156" s="545">
        <v>1.3333333333333333</v>
      </c>
      <c r="J3156" s="545">
        <v>1.1190476190476191</v>
      </c>
    </row>
    <row r="3157" spans="1:10">
      <c r="A3157" s="441">
        <v>3955</v>
      </c>
      <c r="B3157" s="441" t="s">
        <v>3401</v>
      </c>
      <c r="C3157" s="545">
        <v>1.6666666666666667</v>
      </c>
      <c r="D3157" s="545">
        <v>1</v>
      </c>
      <c r="E3157" s="545">
        <v>1</v>
      </c>
      <c r="F3157" s="545">
        <v>1.4761904761904763</v>
      </c>
      <c r="G3157" s="545">
        <v>0.35</v>
      </c>
      <c r="H3157" s="545">
        <v>0.33333333333333331</v>
      </c>
      <c r="I3157" s="545">
        <v>0.33333333333333331</v>
      </c>
      <c r="J3157" s="545">
        <v>0.34523809523809529</v>
      </c>
    </row>
    <row r="3158" spans="1:10">
      <c r="A3158" s="441">
        <v>3979</v>
      </c>
      <c r="B3158" s="441" t="s">
        <v>3401</v>
      </c>
      <c r="C3158" s="545">
        <v>3.1666666666666665</v>
      </c>
      <c r="D3158" s="545">
        <v>1.6666666666666667</v>
      </c>
      <c r="E3158" s="545">
        <v>1.6666666666666667</v>
      </c>
      <c r="F3158" s="545">
        <v>2.7380952380952381</v>
      </c>
      <c r="G3158" s="545">
        <v>1.25</v>
      </c>
      <c r="H3158" s="545">
        <v>0</v>
      </c>
      <c r="I3158" s="545">
        <v>0</v>
      </c>
      <c r="J3158" s="545">
        <v>0.8928571428571429</v>
      </c>
    </row>
    <row r="3159" spans="1:10">
      <c r="A3159" s="441">
        <v>3958</v>
      </c>
      <c r="B3159" s="441" t="s">
        <v>3402</v>
      </c>
      <c r="C3159" s="545">
        <v>28.333333333333336</v>
      </c>
      <c r="D3159" s="545">
        <v>23</v>
      </c>
      <c r="E3159" s="545">
        <v>17</v>
      </c>
      <c r="F3159" s="545">
        <v>25.952380952380956</v>
      </c>
      <c r="G3159" s="545">
        <v>39.799999999999997</v>
      </c>
      <c r="H3159" s="545">
        <v>29.333333333333332</v>
      </c>
      <c r="I3159" s="545">
        <v>27.333333333333332</v>
      </c>
      <c r="J3159" s="545">
        <v>36.523809523809526</v>
      </c>
    </row>
    <row r="3160" spans="1:10">
      <c r="A3160" s="441">
        <v>3959</v>
      </c>
      <c r="B3160" s="441" t="s">
        <v>3402</v>
      </c>
      <c r="C3160" s="545">
        <v>12.5</v>
      </c>
      <c r="D3160" s="545">
        <v>8.3333333333333339</v>
      </c>
      <c r="E3160" s="545">
        <v>4</v>
      </c>
      <c r="F3160" s="545">
        <v>10.69047619047619</v>
      </c>
      <c r="G3160" s="545">
        <v>11.3</v>
      </c>
      <c r="H3160" s="545">
        <v>8</v>
      </c>
      <c r="I3160" s="545">
        <v>3.3333333333333335</v>
      </c>
      <c r="J3160" s="545">
        <v>9.6904761904761898</v>
      </c>
    </row>
    <row r="3161" spans="1:10">
      <c r="A3161" s="441">
        <v>3975</v>
      </c>
      <c r="B3161" s="441" t="s">
        <v>3402</v>
      </c>
      <c r="C3161" s="545">
        <v>29.666666666666664</v>
      </c>
      <c r="D3161" s="545">
        <v>20</v>
      </c>
      <c r="E3161" s="545">
        <v>20.666666666666668</v>
      </c>
      <c r="F3161" s="545">
        <v>26.999999999999996</v>
      </c>
      <c r="G3161" s="545">
        <v>32.5</v>
      </c>
      <c r="H3161" s="545">
        <v>20</v>
      </c>
      <c r="I3161" s="545">
        <v>24.333333333333332</v>
      </c>
      <c r="J3161" s="545">
        <v>29.547619047619047</v>
      </c>
    </row>
    <row r="3162" spans="1:10">
      <c r="A3162" s="441">
        <v>3976</v>
      </c>
      <c r="B3162" s="441" t="s">
        <v>3403</v>
      </c>
      <c r="C3162" s="545">
        <v>25.333333333333332</v>
      </c>
      <c r="D3162" s="545">
        <v>11.666666666666668</v>
      </c>
      <c r="E3162" s="545">
        <v>12</v>
      </c>
      <c r="F3162" s="545">
        <v>21.476190476190474</v>
      </c>
      <c r="G3162" s="545">
        <v>13.75</v>
      </c>
      <c r="H3162" s="545">
        <v>16</v>
      </c>
      <c r="I3162" s="545">
        <v>10.333333333333334</v>
      </c>
      <c r="J3162" s="545">
        <v>13.583333333333332</v>
      </c>
    </row>
    <row r="3163" spans="1:10">
      <c r="A3163" s="441">
        <v>3993</v>
      </c>
      <c r="B3163" s="441" t="s">
        <v>3404</v>
      </c>
      <c r="C3163" s="545">
        <v>48.5</v>
      </c>
      <c r="D3163" s="545">
        <v>25</v>
      </c>
      <c r="E3163" s="545">
        <v>13</v>
      </c>
      <c r="F3163" s="545">
        <v>40.071428571428569</v>
      </c>
      <c r="G3163" s="545">
        <v>22.3</v>
      </c>
      <c r="H3163" s="545">
        <v>13.666666666666666</v>
      </c>
      <c r="I3163" s="545">
        <v>12</v>
      </c>
      <c r="J3163" s="545">
        <v>19.595238095238098</v>
      </c>
    </row>
    <row r="3164" spans="1:10">
      <c r="A3164" s="441">
        <v>4006</v>
      </c>
      <c r="B3164" s="441" t="s">
        <v>3404</v>
      </c>
      <c r="C3164" s="545">
        <v>127.16666666666666</v>
      </c>
      <c r="D3164" s="545">
        <v>57.666666666666671</v>
      </c>
      <c r="E3164" s="545">
        <v>49.666666666666664</v>
      </c>
      <c r="F3164" s="545">
        <v>106.16666666666664</v>
      </c>
      <c r="G3164" s="545">
        <v>47</v>
      </c>
      <c r="H3164" s="545">
        <v>31.666666666666668</v>
      </c>
      <c r="I3164" s="545">
        <v>31.333333333333332</v>
      </c>
      <c r="J3164" s="545">
        <v>42.571428571428569</v>
      </c>
    </row>
    <row r="3165" spans="1:10">
      <c r="A3165" s="441">
        <v>4007</v>
      </c>
      <c r="B3165" s="441" t="s">
        <v>3404</v>
      </c>
      <c r="C3165" s="545">
        <v>36.666666666666664</v>
      </c>
      <c r="D3165" s="545">
        <v>28</v>
      </c>
      <c r="E3165" s="545">
        <v>28.333333333333332</v>
      </c>
      <c r="F3165" s="545">
        <v>34.238095238095234</v>
      </c>
      <c r="G3165" s="545">
        <v>21.8</v>
      </c>
      <c r="H3165" s="545">
        <v>14.666666666666666</v>
      </c>
      <c r="I3165" s="545">
        <v>12.666666666666666</v>
      </c>
      <c r="J3165" s="545">
        <v>19.476190476190478</v>
      </c>
    </row>
    <row r="3166" spans="1:10">
      <c r="A3166" s="441">
        <v>4008</v>
      </c>
      <c r="B3166" s="441" t="s">
        <v>3404</v>
      </c>
      <c r="C3166" s="545">
        <v>23.333333333333336</v>
      </c>
      <c r="D3166" s="545">
        <v>26.666666666666668</v>
      </c>
      <c r="E3166" s="545">
        <v>25.333333333333336</v>
      </c>
      <c r="F3166" s="545">
        <v>24.095238095238098</v>
      </c>
      <c r="G3166" s="545">
        <v>11.4</v>
      </c>
      <c r="H3166" s="545">
        <v>10</v>
      </c>
      <c r="I3166" s="545">
        <v>8.6666666666666661</v>
      </c>
      <c r="J3166" s="545">
        <v>10.80952380952381</v>
      </c>
    </row>
    <row r="3167" spans="1:10">
      <c r="A3167" s="441">
        <v>3992</v>
      </c>
      <c r="B3167" s="441" t="s">
        <v>3405</v>
      </c>
      <c r="C3167" s="545">
        <v>61.666666666666664</v>
      </c>
      <c r="D3167" s="545">
        <v>43</v>
      </c>
      <c r="E3167" s="545">
        <v>36</v>
      </c>
      <c r="F3167" s="545">
        <v>55.333333333333329</v>
      </c>
      <c r="G3167" s="545">
        <v>40.25</v>
      </c>
      <c r="H3167" s="545">
        <v>20.666666666666668</v>
      </c>
      <c r="I3167" s="545">
        <v>32.333333333333336</v>
      </c>
      <c r="J3167" s="545">
        <v>36.321428571428569</v>
      </c>
    </row>
    <row r="3168" spans="1:10">
      <c r="A3168" s="441">
        <v>4010</v>
      </c>
      <c r="B3168" s="441" t="s">
        <v>3405</v>
      </c>
      <c r="C3168" s="545">
        <v>95.333333333333343</v>
      </c>
      <c r="D3168" s="545">
        <v>76.666666666666671</v>
      </c>
      <c r="E3168" s="545">
        <v>59.333333333333329</v>
      </c>
      <c r="F3168" s="545">
        <v>87.523809523809533</v>
      </c>
      <c r="G3168" s="545">
        <v>65.7</v>
      </c>
      <c r="H3168" s="545">
        <v>54.333333333333336</v>
      </c>
      <c r="I3168" s="545">
        <v>51.333333333333336</v>
      </c>
      <c r="J3168" s="545">
        <v>62.023809523809518</v>
      </c>
    </row>
    <row r="3169" spans="1:10">
      <c r="A3169" s="441">
        <v>3999</v>
      </c>
      <c r="B3169" s="441" t="s">
        <v>3406</v>
      </c>
      <c r="C3169" s="545">
        <v>119</v>
      </c>
      <c r="D3169" s="545">
        <v>77</v>
      </c>
      <c r="E3169" s="545">
        <v>53.666666666666671</v>
      </c>
      <c r="F3169" s="545">
        <v>103.66666666666666</v>
      </c>
      <c r="G3169" s="545">
        <v>72.75</v>
      </c>
      <c r="H3169" s="545">
        <v>51</v>
      </c>
      <c r="I3169" s="545">
        <v>49.333333333333336</v>
      </c>
      <c r="J3169" s="545">
        <v>66.297619047619051</v>
      </c>
    </row>
    <row r="3170" spans="1:10">
      <c r="A3170" s="441">
        <v>4005</v>
      </c>
      <c r="B3170" s="441" t="s">
        <v>3406</v>
      </c>
      <c r="C3170" s="545">
        <v>89.333333333333343</v>
      </c>
      <c r="D3170" s="545">
        <v>62</v>
      </c>
      <c r="E3170" s="545">
        <v>46.666666666666664</v>
      </c>
      <c r="F3170" s="545">
        <v>79.333333333333343</v>
      </c>
      <c r="G3170" s="545">
        <v>53.65</v>
      </c>
      <c r="H3170" s="545">
        <v>36.666666666666664</v>
      </c>
      <c r="I3170" s="545">
        <v>33.666666666666664</v>
      </c>
      <c r="J3170" s="545">
        <v>48.369047619047628</v>
      </c>
    </row>
    <row r="3171" spans="1:10">
      <c r="A3171" s="441">
        <v>13110</v>
      </c>
      <c r="B3171" s="441" t="s">
        <v>3406</v>
      </c>
      <c r="C3171" s="545">
        <v>22.666666666666668</v>
      </c>
      <c r="D3171" s="545">
        <v>7.666666666666667</v>
      </c>
      <c r="E3171" s="545">
        <v>6</v>
      </c>
      <c r="F3171" s="545">
        <v>18.142857142857146</v>
      </c>
      <c r="G3171" s="545">
        <v>12.5</v>
      </c>
      <c r="H3171" s="545">
        <v>8.6666666666666661</v>
      </c>
      <c r="I3171" s="545">
        <v>8.3333333333333339</v>
      </c>
      <c r="J3171" s="545">
        <v>11.357142857142858</v>
      </c>
    </row>
    <row r="3172" spans="1:10">
      <c r="A3172" s="441">
        <v>67</v>
      </c>
      <c r="B3172" s="441" t="s">
        <v>3407</v>
      </c>
      <c r="C3172" s="545">
        <v>3185.833333333333</v>
      </c>
      <c r="D3172" s="545">
        <v>2390</v>
      </c>
      <c r="E3172" s="545">
        <v>2103.333333333333</v>
      </c>
      <c r="F3172" s="545">
        <v>2917.4999999999995</v>
      </c>
      <c r="G3172" s="545">
        <v>2417.5500000000002</v>
      </c>
      <c r="H3172" s="545">
        <v>1756</v>
      </c>
      <c r="I3172" s="545">
        <v>1698.3333333333333</v>
      </c>
      <c r="J3172" s="545">
        <v>2220.2976190476193</v>
      </c>
    </row>
    <row r="3173" spans="1:10">
      <c r="A3173" s="441">
        <v>4009</v>
      </c>
      <c r="B3173" s="441" t="s">
        <v>3407</v>
      </c>
      <c r="C3173" s="545">
        <v>727.66666666666674</v>
      </c>
      <c r="D3173" s="545">
        <v>476</v>
      </c>
      <c r="E3173" s="545">
        <v>400</v>
      </c>
      <c r="F3173" s="545">
        <v>644.90476190476204</v>
      </c>
      <c r="G3173" s="545">
        <v>419.45</v>
      </c>
      <c r="H3173" s="545">
        <v>303.33333333333331</v>
      </c>
      <c r="I3173" s="545">
        <v>265.66666666666669</v>
      </c>
      <c r="J3173" s="545">
        <v>380.89285714285717</v>
      </c>
    </row>
    <row r="3174" spans="1:10">
      <c r="A3174" s="441">
        <v>1989</v>
      </c>
      <c r="B3174" s="441" t="s">
        <v>3408</v>
      </c>
      <c r="C3174" s="545">
        <v>15.333333333333332</v>
      </c>
      <c r="D3174" s="545">
        <v>9.3333333333333321</v>
      </c>
      <c r="E3174" s="545">
        <v>6</v>
      </c>
      <c r="F3174" s="545">
        <v>13.142857142857141</v>
      </c>
      <c r="G3174" s="545">
        <v>8.6999999999999993</v>
      </c>
      <c r="H3174" s="545">
        <v>1.3333333333333333</v>
      </c>
      <c r="I3174" s="545">
        <v>1.6666666666666667</v>
      </c>
      <c r="J3174" s="545">
        <v>6.6428571428571432</v>
      </c>
    </row>
    <row r="3175" spans="1:10">
      <c r="A3175" s="441">
        <v>2003</v>
      </c>
      <c r="B3175" s="441" t="s">
        <v>3408</v>
      </c>
      <c r="C3175" s="545">
        <v>12.166666666666668</v>
      </c>
      <c r="D3175" s="545">
        <v>5</v>
      </c>
      <c r="E3175" s="545">
        <v>6.666666666666667</v>
      </c>
      <c r="F3175" s="545">
        <v>10.357142857142859</v>
      </c>
      <c r="G3175" s="545">
        <v>8.4499999999999993</v>
      </c>
      <c r="H3175" s="545">
        <v>1</v>
      </c>
      <c r="I3175" s="545">
        <v>2.6666666666666665</v>
      </c>
      <c r="J3175" s="545">
        <v>6.5595238095238093</v>
      </c>
    </row>
    <row r="3176" spans="1:10">
      <c r="A3176" s="441">
        <v>1990</v>
      </c>
      <c r="B3176" s="441" t="s">
        <v>3409</v>
      </c>
      <c r="C3176" s="545">
        <v>46.833333333333336</v>
      </c>
      <c r="D3176" s="545">
        <v>14.333333333333332</v>
      </c>
      <c r="E3176" s="545">
        <v>18.666666666666668</v>
      </c>
      <c r="F3176" s="545">
        <v>38.166666666666671</v>
      </c>
      <c r="G3176" s="545">
        <v>27.4</v>
      </c>
      <c r="H3176" s="545">
        <v>10</v>
      </c>
      <c r="I3176" s="545">
        <v>4.666666666666667</v>
      </c>
      <c r="J3176" s="545">
        <v>21.666666666666664</v>
      </c>
    </row>
    <row r="3177" spans="1:10">
      <c r="A3177" s="441">
        <v>2002</v>
      </c>
      <c r="B3177" s="441" t="s">
        <v>3409</v>
      </c>
      <c r="C3177" s="545">
        <v>35.333333333333336</v>
      </c>
      <c r="D3177" s="545">
        <v>11</v>
      </c>
      <c r="E3177" s="545">
        <v>27</v>
      </c>
      <c r="F3177" s="545">
        <v>30.666666666666668</v>
      </c>
      <c r="G3177" s="545">
        <v>25.5</v>
      </c>
      <c r="H3177" s="545">
        <v>14.666666666666666</v>
      </c>
      <c r="I3177" s="545">
        <v>12</v>
      </c>
      <c r="J3177" s="545">
        <v>22.023809523809522</v>
      </c>
    </row>
    <row r="3178" spans="1:10">
      <c r="A3178" s="441">
        <v>3553</v>
      </c>
      <c r="B3178" s="441" t="s">
        <v>3410</v>
      </c>
      <c r="C3178" s="545">
        <v>1.8333333333333333</v>
      </c>
      <c r="D3178" s="545">
        <v>1</v>
      </c>
      <c r="E3178" s="545">
        <v>0</v>
      </c>
      <c r="F3178" s="545">
        <v>1.4523809523809523</v>
      </c>
      <c r="G3178" s="545">
        <v>1.05</v>
      </c>
      <c r="H3178" s="545">
        <v>0.33333333333333331</v>
      </c>
      <c r="I3178" s="545">
        <v>0</v>
      </c>
      <c r="J3178" s="545">
        <v>0.79761904761904756</v>
      </c>
    </row>
    <row r="3179" spans="1:10">
      <c r="A3179" s="441">
        <v>3554</v>
      </c>
      <c r="B3179" s="441" t="s">
        <v>3410</v>
      </c>
      <c r="C3179" s="545">
        <v>75.166666666666671</v>
      </c>
      <c r="D3179" s="545">
        <v>31.666666666666668</v>
      </c>
      <c r="E3179" s="545">
        <v>34.333333333333329</v>
      </c>
      <c r="F3179" s="545">
        <v>63.119047619047628</v>
      </c>
      <c r="G3179" s="545">
        <v>40.549999999999997</v>
      </c>
      <c r="H3179" s="545">
        <v>34</v>
      </c>
      <c r="I3179" s="545">
        <v>18.333333333333332</v>
      </c>
      <c r="J3179" s="545">
        <v>36.44047619047619</v>
      </c>
    </row>
    <row r="3180" spans="1:10">
      <c r="A3180" s="441">
        <v>3570</v>
      </c>
      <c r="B3180" s="441" t="s">
        <v>3410</v>
      </c>
      <c r="C3180" s="545">
        <v>7.3333333333333339</v>
      </c>
      <c r="D3180" s="545">
        <v>3.666666666666667</v>
      </c>
      <c r="E3180" s="545">
        <v>1.6666666666666665</v>
      </c>
      <c r="F3180" s="545">
        <v>6</v>
      </c>
      <c r="G3180" s="545">
        <v>5.2</v>
      </c>
      <c r="H3180" s="545">
        <v>1.6666666666666667</v>
      </c>
      <c r="I3180" s="545">
        <v>1.3333333333333333</v>
      </c>
      <c r="J3180" s="545">
        <v>4.1428571428571432</v>
      </c>
    </row>
    <row r="3181" spans="1:10">
      <c r="A3181" s="441">
        <v>3571</v>
      </c>
      <c r="B3181" s="441" t="s">
        <v>3410</v>
      </c>
      <c r="C3181" s="545">
        <v>92.833333333333329</v>
      </c>
      <c r="D3181" s="545">
        <v>47</v>
      </c>
      <c r="E3181" s="545">
        <v>36.666666666666664</v>
      </c>
      <c r="F3181" s="545">
        <v>78.261904761904745</v>
      </c>
      <c r="G3181" s="545">
        <v>51.1</v>
      </c>
      <c r="H3181" s="545">
        <v>34</v>
      </c>
      <c r="I3181" s="545">
        <v>24.666666666666668</v>
      </c>
      <c r="J3181" s="545">
        <v>44.880952380952387</v>
      </c>
    </row>
    <row r="3182" spans="1:10">
      <c r="A3182" s="441">
        <v>3561</v>
      </c>
      <c r="B3182" s="441" t="s">
        <v>3411</v>
      </c>
      <c r="C3182" s="545">
        <v>9.5</v>
      </c>
      <c r="D3182" s="545">
        <v>7</v>
      </c>
      <c r="E3182" s="545">
        <v>4.333333333333333</v>
      </c>
      <c r="F3182" s="545">
        <v>8.4047619047619051</v>
      </c>
      <c r="G3182" s="545">
        <v>5.0999999999999996</v>
      </c>
      <c r="H3182" s="545">
        <v>4.666666666666667</v>
      </c>
      <c r="I3182" s="545">
        <v>5</v>
      </c>
      <c r="J3182" s="545">
        <v>5.0238095238095246</v>
      </c>
    </row>
    <row r="3183" spans="1:10">
      <c r="A3183" s="441">
        <v>3566</v>
      </c>
      <c r="B3183" s="441" t="s">
        <v>3411</v>
      </c>
      <c r="C3183" s="545">
        <v>11.833333333333334</v>
      </c>
      <c r="D3183" s="545">
        <v>7</v>
      </c>
      <c r="E3183" s="545">
        <v>4.333333333333333</v>
      </c>
      <c r="F3183" s="545">
        <v>10.071428571428571</v>
      </c>
      <c r="G3183" s="545">
        <v>4.3</v>
      </c>
      <c r="H3183" s="545">
        <v>2.3333333333333335</v>
      </c>
      <c r="I3183" s="545">
        <v>5</v>
      </c>
      <c r="J3183" s="545">
        <v>4.1190476190476186</v>
      </c>
    </row>
    <row r="3184" spans="1:10">
      <c r="A3184" s="441">
        <v>3562</v>
      </c>
      <c r="B3184" s="441" t="s">
        <v>3412</v>
      </c>
      <c r="C3184" s="545">
        <v>2.3333333333333335</v>
      </c>
      <c r="D3184" s="545">
        <v>2.3333333333333335</v>
      </c>
      <c r="E3184" s="545">
        <v>2</v>
      </c>
      <c r="F3184" s="545">
        <v>2.2857142857142856</v>
      </c>
      <c r="G3184" s="545">
        <v>1.4</v>
      </c>
      <c r="H3184" s="545">
        <v>1.6666666666666667</v>
      </c>
      <c r="I3184" s="545">
        <v>0.66666666666666663</v>
      </c>
      <c r="J3184" s="545">
        <v>1.3333333333333333</v>
      </c>
    </row>
    <row r="3185" spans="1:10">
      <c r="A3185" s="441">
        <v>3555</v>
      </c>
      <c r="B3185" s="441" t="s">
        <v>3413</v>
      </c>
      <c r="C3185" s="545">
        <v>7.166666666666667</v>
      </c>
      <c r="D3185" s="545">
        <v>5.6666666666666661</v>
      </c>
      <c r="E3185" s="545">
        <v>3.333333333333333</v>
      </c>
      <c r="F3185" s="545">
        <v>6.4047619047619051</v>
      </c>
      <c r="G3185" s="545">
        <v>4.25</v>
      </c>
      <c r="H3185" s="545">
        <v>4.333333333333333</v>
      </c>
      <c r="I3185" s="545">
        <v>4.666666666666667</v>
      </c>
      <c r="J3185" s="545">
        <v>4.3214285714285712</v>
      </c>
    </row>
    <row r="3186" spans="1:10">
      <c r="A3186" s="441">
        <v>3563</v>
      </c>
      <c r="B3186" s="441" t="s">
        <v>3414</v>
      </c>
      <c r="C3186" s="545">
        <v>26.166666666666668</v>
      </c>
      <c r="D3186" s="545">
        <v>21</v>
      </c>
      <c r="E3186" s="545">
        <v>9.3333333333333321</v>
      </c>
      <c r="F3186" s="545">
        <v>23.023809523809526</v>
      </c>
      <c r="G3186" s="545">
        <v>17.25</v>
      </c>
      <c r="H3186" s="545">
        <v>16.666666666666668</v>
      </c>
      <c r="I3186" s="545">
        <v>7.666666666666667</v>
      </c>
      <c r="J3186" s="545">
        <v>15.797619047619049</v>
      </c>
    </row>
    <row r="3187" spans="1:10">
      <c r="A3187" s="441">
        <v>10033</v>
      </c>
      <c r="B3187" s="441" t="s">
        <v>3414</v>
      </c>
      <c r="C3187" s="545">
        <v>15.166666666666668</v>
      </c>
      <c r="D3187" s="545">
        <v>11.666666666666668</v>
      </c>
      <c r="E3187" s="545">
        <v>10.666666666666666</v>
      </c>
      <c r="F3187" s="545">
        <v>14.023809523809527</v>
      </c>
      <c r="G3187" s="545">
        <v>14.4</v>
      </c>
      <c r="H3187" s="545">
        <v>8.3333333333333339</v>
      </c>
      <c r="I3187" s="545">
        <v>5</v>
      </c>
      <c r="J3187" s="545">
        <v>12.19047619047619</v>
      </c>
    </row>
    <row r="3188" spans="1:10">
      <c r="A3188" s="441">
        <v>12074</v>
      </c>
      <c r="B3188" s="441" t="s">
        <v>3415</v>
      </c>
      <c r="C3188" s="545">
        <v>1.3333333333333335</v>
      </c>
      <c r="D3188" s="545">
        <v>2</v>
      </c>
      <c r="E3188" s="545">
        <v>1.6666666666666667</v>
      </c>
      <c r="F3188" s="545">
        <v>1.4761904761904763</v>
      </c>
      <c r="G3188" s="545">
        <v>0.35</v>
      </c>
      <c r="H3188" s="545">
        <v>0.66666666666666663</v>
      </c>
      <c r="I3188" s="545">
        <v>0.66666666666666663</v>
      </c>
      <c r="J3188" s="545">
        <v>0.44047619047619041</v>
      </c>
    </row>
    <row r="3189" spans="1:10">
      <c r="A3189" s="441">
        <v>3564</v>
      </c>
      <c r="B3189" s="441" t="s">
        <v>3416</v>
      </c>
      <c r="C3189" s="545">
        <v>2.5</v>
      </c>
      <c r="D3189" s="545">
        <v>3.3333333333333335</v>
      </c>
      <c r="E3189" s="545">
        <v>2.3333333333333335</v>
      </c>
      <c r="F3189" s="545">
        <v>2.5952380952380953</v>
      </c>
      <c r="G3189" s="545">
        <v>2.2000000000000002</v>
      </c>
      <c r="H3189" s="545">
        <v>0.66666666666666663</v>
      </c>
      <c r="I3189" s="545">
        <v>0.33333333333333331</v>
      </c>
      <c r="J3189" s="545">
        <v>1.7142857142857142</v>
      </c>
    </row>
    <row r="3190" spans="1:10">
      <c r="A3190" s="441">
        <v>3565</v>
      </c>
      <c r="B3190" s="441" t="s">
        <v>3416</v>
      </c>
      <c r="C3190" s="545">
        <v>12.666666666666668</v>
      </c>
      <c r="D3190" s="545">
        <v>13.333333333333334</v>
      </c>
      <c r="E3190" s="545">
        <v>7.333333333333333</v>
      </c>
      <c r="F3190" s="545">
        <v>12</v>
      </c>
      <c r="G3190" s="545">
        <v>4.75</v>
      </c>
      <c r="H3190" s="545">
        <v>6.666666666666667</v>
      </c>
      <c r="I3190" s="545">
        <v>0.33333333333333331</v>
      </c>
      <c r="J3190" s="545">
        <v>4.3928571428571432</v>
      </c>
    </row>
    <row r="3191" spans="1:10">
      <c r="A3191" s="441">
        <v>3560</v>
      </c>
      <c r="B3191" s="441" t="s">
        <v>3417</v>
      </c>
      <c r="C3191" s="545">
        <v>13.666666666666666</v>
      </c>
      <c r="D3191" s="545">
        <v>11.666666666666666</v>
      </c>
      <c r="E3191" s="545">
        <v>6.3333333333333339</v>
      </c>
      <c r="F3191" s="545">
        <v>12.333333333333332</v>
      </c>
      <c r="G3191" s="545">
        <v>12.5</v>
      </c>
      <c r="H3191" s="545">
        <v>6</v>
      </c>
      <c r="I3191" s="545">
        <v>4.666666666666667</v>
      </c>
      <c r="J3191" s="545">
        <v>10.452380952380953</v>
      </c>
    </row>
    <row r="3192" spans="1:10">
      <c r="A3192" s="441">
        <v>3552</v>
      </c>
      <c r="B3192" s="441" t="s">
        <v>3418</v>
      </c>
      <c r="C3192" s="545">
        <v>19.333333333333332</v>
      </c>
      <c r="D3192" s="545">
        <v>9.6666666666666679</v>
      </c>
      <c r="E3192" s="545">
        <v>5.6666666666666661</v>
      </c>
      <c r="F3192" s="545">
        <v>16</v>
      </c>
      <c r="G3192" s="545">
        <v>16.2</v>
      </c>
      <c r="H3192" s="545">
        <v>14.666666666666666</v>
      </c>
      <c r="I3192" s="545">
        <v>8.3333333333333339</v>
      </c>
      <c r="J3192" s="545">
        <v>14.857142857142858</v>
      </c>
    </row>
    <row r="3193" spans="1:10">
      <c r="A3193" s="441">
        <v>3556</v>
      </c>
      <c r="B3193" s="441" t="s">
        <v>3419</v>
      </c>
      <c r="C3193" s="545">
        <v>24.166666666666664</v>
      </c>
      <c r="D3193" s="545">
        <v>9</v>
      </c>
      <c r="E3193" s="545">
        <v>11</v>
      </c>
      <c r="F3193" s="545">
        <v>20.119047619047617</v>
      </c>
      <c r="G3193" s="545">
        <v>22.2</v>
      </c>
      <c r="H3193" s="545">
        <v>8</v>
      </c>
      <c r="I3193" s="545">
        <v>10.333333333333334</v>
      </c>
      <c r="J3193" s="545">
        <v>18.476190476190478</v>
      </c>
    </row>
    <row r="3194" spans="1:10">
      <c r="A3194" s="441">
        <v>3569</v>
      </c>
      <c r="B3194" s="441" t="s">
        <v>3419</v>
      </c>
      <c r="C3194" s="545">
        <v>32</v>
      </c>
      <c r="D3194" s="545">
        <v>17.666666666666664</v>
      </c>
      <c r="E3194" s="545">
        <v>12.666666666666666</v>
      </c>
      <c r="F3194" s="545">
        <v>27.190476190476186</v>
      </c>
      <c r="G3194" s="545">
        <v>25.7</v>
      </c>
      <c r="H3194" s="545">
        <v>24</v>
      </c>
      <c r="I3194" s="545">
        <v>11</v>
      </c>
      <c r="J3194" s="545">
        <v>23.357142857142858</v>
      </c>
    </row>
    <row r="3195" spans="1:10">
      <c r="A3195" s="441">
        <v>3567</v>
      </c>
      <c r="B3195" s="441" t="s">
        <v>3420</v>
      </c>
      <c r="C3195" s="545">
        <v>21.166666666666668</v>
      </c>
      <c r="D3195" s="545">
        <v>18</v>
      </c>
      <c r="E3195" s="545">
        <v>11.333333333333332</v>
      </c>
      <c r="F3195" s="545">
        <v>19.309523809523814</v>
      </c>
      <c r="G3195" s="545">
        <v>19.95</v>
      </c>
      <c r="H3195" s="545">
        <v>10.333333333333334</v>
      </c>
      <c r="I3195" s="545">
        <v>15.666666666666666</v>
      </c>
      <c r="J3195" s="545">
        <v>17.964285714285715</v>
      </c>
    </row>
    <row r="3196" spans="1:10">
      <c r="A3196" s="441">
        <v>3558</v>
      </c>
      <c r="B3196" s="441" t="s">
        <v>3421</v>
      </c>
      <c r="C3196" s="545">
        <v>24.666666666666668</v>
      </c>
      <c r="D3196" s="545">
        <v>21</v>
      </c>
      <c r="E3196" s="545">
        <v>9.3333333333333339</v>
      </c>
      <c r="F3196" s="545">
        <v>21.952380952380956</v>
      </c>
      <c r="G3196" s="545">
        <v>25.75</v>
      </c>
      <c r="H3196" s="545">
        <v>20.333333333333332</v>
      </c>
      <c r="I3196" s="545">
        <v>15.333333333333334</v>
      </c>
      <c r="J3196" s="545">
        <v>23.488095238095241</v>
      </c>
    </row>
    <row r="3197" spans="1:10">
      <c r="A3197" s="441">
        <v>3568</v>
      </c>
      <c r="B3197" s="441" t="s">
        <v>3421</v>
      </c>
      <c r="C3197" s="545">
        <v>17</v>
      </c>
      <c r="D3197" s="545">
        <v>14</v>
      </c>
      <c r="E3197" s="545">
        <v>10.333333333333332</v>
      </c>
      <c r="F3197" s="545">
        <v>15.619047619047619</v>
      </c>
      <c r="G3197" s="545">
        <v>13.6</v>
      </c>
      <c r="H3197" s="545">
        <v>15.666666666666666</v>
      </c>
      <c r="I3197" s="545">
        <v>11.666666666666666</v>
      </c>
      <c r="J3197" s="545">
        <v>13.61904761904762</v>
      </c>
    </row>
    <row r="3198" spans="1:10">
      <c r="A3198" s="441">
        <v>13047</v>
      </c>
      <c r="B3198" s="441" t="s">
        <v>3422</v>
      </c>
      <c r="C3198" s="545">
        <v>21.166666666666664</v>
      </c>
      <c r="D3198" s="545">
        <v>5.333333333333333</v>
      </c>
      <c r="E3198" s="545">
        <v>6</v>
      </c>
      <c r="F3198" s="545">
        <v>16.738095238095234</v>
      </c>
      <c r="G3198" s="545">
        <v>10.7</v>
      </c>
      <c r="H3198" s="545">
        <v>13.333333333333334</v>
      </c>
      <c r="I3198" s="545">
        <v>5.666666666666667</v>
      </c>
      <c r="J3198" s="545">
        <v>10.357142857142858</v>
      </c>
    </row>
    <row r="3199" spans="1:10">
      <c r="A3199" s="441">
        <v>11843</v>
      </c>
      <c r="B3199" s="441" t="s">
        <v>3423</v>
      </c>
      <c r="C3199" s="545">
        <v>18.833333333333336</v>
      </c>
      <c r="D3199" s="545">
        <v>16.666666666666668</v>
      </c>
      <c r="E3199" s="545">
        <v>14.666666666666666</v>
      </c>
      <c r="F3199" s="545">
        <v>17.928571428571434</v>
      </c>
      <c r="G3199" s="545">
        <v>11.8</v>
      </c>
      <c r="H3199" s="545">
        <v>8.3333333333333339</v>
      </c>
      <c r="I3199" s="545">
        <v>4.666666666666667</v>
      </c>
      <c r="J3199" s="545">
        <v>10.285714285714286</v>
      </c>
    </row>
    <row r="3200" spans="1:10">
      <c r="A3200" s="441">
        <v>11816</v>
      </c>
      <c r="B3200" s="441" t="s">
        <v>3424</v>
      </c>
      <c r="C3200" s="545">
        <v>2.3333333333333335</v>
      </c>
      <c r="D3200" s="545">
        <v>0.33333333333333331</v>
      </c>
      <c r="E3200" s="545">
        <v>0</v>
      </c>
      <c r="F3200" s="545">
        <v>1.7142857142857146</v>
      </c>
      <c r="G3200" s="545">
        <v>1.25</v>
      </c>
      <c r="H3200" s="545">
        <v>0</v>
      </c>
      <c r="I3200" s="545">
        <v>0</v>
      </c>
      <c r="J3200" s="545">
        <v>0.8928571428571429</v>
      </c>
    </row>
    <row r="3201" spans="1:10">
      <c r="A3201" s="441">
        <v>11317</v>
      </c>
      <c r="B3201" s="441" t="s">
        <v>3425</v>
      </c>
      <c r="C3201" s="545">
        <v>7.833333333333333</v>
      </c>
      <c r="D3201" s="545">
        <v>0.66666666666666663</v>
      </c>
      <c r="E3201" s="545">
        <v>0.66666666666666663</v>
      </c>
      <c r="F3201" s="545">
        <v>5.7857142857142847</v>
      </c>
      <c r="G3201" s="545">
        <v>4.1500000000000004</v>
      </c>
      <c r="H3201" s="545">
        <v>0.66666666666666663</v>
      </c>
      <c r="I3201" s="545">
        <v>0.66666666666666663</v>
      </c>
      <c r="J3201" s="545">
        <v>3.1547619047619051</v>
      </c>
    </row>
    <row r="3202" spans="1:10">
      <c r="A3202" s="441">
        <v>11842</v>
      </c>
      <c r="B3202" s="441" t="s">
        <v>3426</v>
      </c>
      <c r="C3202" s="545">
        <v>1.8333333333333333</v>
      </c>
      <c r="D3202" s="545">
        <v>0</v>
      </c>
      <c r="E3202" s="545">
        <v>0</v>
      </c>
      <c r="F3202" s="545">
        <v>1.3095238095238095</v>
      </c>
      <c r="G3202" s="545">
        <v>0.3</v>
      </c>
      <c r="H3202" s="545">
        <v>0</v>
      </c>
      <c r="I3202" s="545">
        <v>0</v>
      </c>
      <c r="J3202" s="545">
        <v>0.21428571428571427</v>
      </c>
    </row>
    <row r="3203" spans="1:10">
      <c r="A3203" s="441">
        <v>11841</v>
      </c>
      <c r="B3203" s="441" t="s">
        <v>3427</v>
      </c>
      <c r="C3203" s="545">
        <v>5.5</v>
      </c>
      <c r="D3203" s="545">
        <v>0.33333333333333331</v>
      </c>
      <c r="E3203" s="545">
        <v>0.33333333333333331</v>
      </c>
      <c r="F3203" s="545">
        <v>4.0238095238095237</v>
      </c>
      <c r="G3203" s="545">
        <v>1.9</v>
      </c>
      <c r="H3203" s="545">
        <v>0.66666666666666663</v>
      </c>
      <c r="I3203" s="545">
        <v>2</v>
      </c>
      <c r="J3203" s="545">
        <v>1.7380952380952379</v>
      </c>
    </row>
    <row r="3204" spans="1:10">
      <c r="A3204" s="441">
        <v>182</v>
      </c>
      <c r="B3204" s="441" t="s">
        <v>3428</v>
      </c>
      <c r="C3204" s="545">
        <v>0.16666666666666666</v>
      </c>
      <c r="D3204" s="545">
        <v>0</v>
      </c>
      <c r="E3204" s="545">
        <v>0</v>
      </c>
      <c r="F3204" s="545">
        <v>0.11904761904761904</v>
      </c>
      <c r="G3204" s="545">
        <v>0.45</v>
      </c>
      <c r="H3204" s="545">
        <v>0</v>
      </c>
      <c r="I3204" s="545">
        <v>0</v>
      </c>
      <c r="J3204" s="545">
        <v>0.32142857142857145</v>
      </c>
    </row>
    <row r="3205" spans="1:10">
      <c r="A3205" s="441">
        <v>1854</v>
      </c>
      <c r="B3205" s="441" t="s">
        <v>3428</v>
      </c>
      <c r="C3205" s="545">
        <v>0.16666666666666666</v>
      </c>
      <c r="D3205" s="545">
        <v>0</v>
      </c>
      <c r="E3205" s="545">
        <v>1.3333333333333333</v>
      </c>
      <c r="F3205" s="545">
        <v>0.30952380952380948</v>
      </c>
      <c r="G3205" s="545">
        <v>0.55000000000000004</v>
      </c>
      <c r="H3205" s="545">
        <v>0</v>
      </c>
      <c r="I3205" s="545">
        <v>0</v>
      </c>
      <c r="J3205" s="545">
        <v>0.39285714285714285</v>
      </c>
    </row>
    <row r="3206" spans="1:10">
      <c r="A3206" s="441">
        <v>1861</v>
      </c>
      <c r="B3206" s="441" t="s">
        <v>3429</v>
      </c>
      <c r="C3206" s="545">
        <v>6.1666666666666661</v>
      </c>
      <c r="D3206" s="545">
        <v>1.3333333333333333</v>
      </c>
      <c r="E3206" s="545">
        <v>1.3333333333333333</v>
      </c>
      <c r="F3206" s="545">
        <v>4.7857142857142856</v>
      </c>
      <c r="G3206" s="545">
        <v>4.4000000000000004</v>
      </c>
      <c r="H3206" s="545">
        <v>2.3333333333333335</v>
      </c>
      <c r="I3206" s="545">
        <v>2.3333333333333335</v>
      </c>
      <c r="J3206" s="545">
        <v>3.8095238095238093</v>
      </c>
    </row>
    <row r="3207" spans="1:10">
      <c r="A3207" s="441">
        <v>1855</v>
      </c>
      <c r="B3207" s="441" t="s">
        <v>3430</v>
      </c>
      <c r="C3207" s="545">
        <v>1.3333333333333333</v>
      </c>
      <c r="D3207" s="545">
        <v>0.33333333333333331</v>
      </c>
      <c r="E3207" s="545">
        <v>0</v>
      </c>
      <c r="F3207" s="545">
        <v>0.99999999999999989</v>
      </c>
      <c r="G3207" s="545">
        <v>0.55000000000000004</v>
      </c>
      <c r="H3207" s="545">
        <v>1</v>
      </c>
      <c r="I3207" s="545">
        <v>0</v>
      </c>
      <c r="J3207" s="545">
        <v>0.5357142857142857</v>
      </c>
    </row>
    <row r="3208" spans="1:10">
      <c r="A3208" s="441">
        <v>1086</v>
      </c>
      <c r="B3208" s="441" t="s">
        <v>3431</v>
      </c>
      <c r="C3208" s="545">
        <v>0.16666666666666666</v>
      </c>
      <c r="D3208" s="545">
        <v>6.3333333333333339</v>
      </c>
      <c r="E3208" s="545">
        <v>1</v>
      </c>
      <c r="F3208" s="545">
        <v>1.1666666666666667</v>
      </c>
      <c r="G3208" s="545">
        <v>0.85</v>
      </c>
      <c r="H3208" s="545">
        <v>0.66666666666666663</v>
      </c>
      <c r="I3208" s="545">
        <v>0</v>
      </c>
      <c r="J3208" s="545">
        <v>0.70238095238095244</v>
      </c>
    </row>
    <row r="3209" spans="1:10">
      <c r="A3209" s="441">
        <v>6167</v>
      </c>
      <c r="B3209" s="441" t="s">
        <v>3432</v>
      </c>
      <c r="C3209" s="545">
        <v>40.5</v>
      </c>
      <c r="D3209" s="545">
        <v>12.333333333333334</v>
      </c>
      <c r="E3209" s="545">
        <v>12.333333333333332</v>
      </c>
      <c r="F3209" s="545">
        <v>32.452380952380956</v>
      </c>
      <c r="G3209" s="545">
        <v>23.4</v>
      </c>
      <c r="H3209" s="545">
        <v>10.666666666666666</v>
      </c>
      <c r="I3209" s="545">
        <v>14.333333333333334</v>
      </c>
      <c r="J3209" s="545">
        <v>20.285714285714285</v>
      </c>
    </row>
    <row r="3210" spans="1:10">
      <c r="A3210" s="441">
        <v>6168</v>
      </c>
      <c r="B3210" s="441" t="s">
        <v>3432</v>
      </c>
      <c r="C3210" s="545">
        <v>3.333333333333333</v>
      </c>
      <c r="D3210" s="545">
        <v>1</v>
      </c>
      <c r="E3210" s="545">
        <v>1.6666666666666667</v>
      </c>
      <c r="F3210" s="545">
        <v>2.7619047619047619</v>
      </c>
      <c r="G3210" s="545">
        <v>0.95</v>
      </c>
      <c r="H3210" s="545">
        <v>2</v>
      </c>
      <c r="I3210" s="545">
        <v>0</v>
      </c>
      <c r="J3210" s="545">
        <v>0.9642857142857143</v>
      </c>
    </row>
    <row r="3211" spans="1:10">
      <c r="A3211" s="441">
        <v>12330</v>
      </c>
      <c r="B3211" s="441" t="s">
        <v>3432</v>
      </c>
      <c r="C3211" s="545">
        <v>56.333333333333329</v>
      </c>
      <c r="D3211" s="545">
        <v>26.333333333333336</v>
      </c>
      <c r="E3211" s="545">
        <v>14</v>
      </c>
      <c r="F3211" s="545">
        <v>45.999999999999993</v>
      </c>
      <c r="G3211" s="545">
        <v>36.5</v>
      </c>
      <c r="H3211" s="545">
        <v>22.333333333333332</v>
      </c>
      <c r="I3211" s="545">
        <v>13.333333333333334</v>
      </c>
      <c r="J3211" s="545">
        <v>31.166666666666668</v>
      </c>
    </row>
    <row r="3212" spans="1:10">
      <c r="A3212" s="441">
        <v>6165</v>
      </c>
      <c r="B3212" s="441" t="s">
        <v>3433</v>
      </c>
      <c r="C3212" s="545">
        <v>71.666666666666657</v>
      </c>
      <c r="D3212" s="545">
        <v>23.333333333333336</v>
      </c>
      <c r="E3212" s="545">
        <v>15.666666666666668</v>
      </c>
      <c r="F3212" s="545">
        <v>56.761904761904752</v>
      </c>
      <c r="G3212" s="545">
        <v>40.200000000000003</v>
      </c>
      <c r="H3212" s="545">
        <v>21</v>
      </c>
      <c r="I3212" s="545">
        <v>13</v>
      </c>
      <c r="J3212" s="545">
        <v>33.571428571428569</v>
      </c>
    </row>
    <row r="3213" spans="1:10">
      <c r="A3213" s="441">
        <v>6166</v>
      </c>
      <c r="B3213" s="441" t="s">
        <v>3433</v>
      </c>
      <c r="C3213" s="545">
        <v>43.833333333333329</v>
      </c>
      <c r="D3213" s="545">
        <v>18</v>
      </c>
      <c r="E3213" s="545">
        <v>12.666666666666666</v>
      </c>
      <c r="F3213" s="545">
        <v>35.690476190476183</v>
      </c>
      <c r="G3213" s="545">
        <v>40.65</v>
      </c>
      <c r="H3213" s="545">
        <v>21</v>
      </c>
      <c r="I3213" s="545">
        <v>12.666666666666666</v>
      </c>
      <c r="J3213" s="545">
        <v>33.845238095238095</v>
      </c>
    </row>
    <row r="3214" spans="1:10">
      <c r="A3214" s="441">
        <v>12331</v>
      </c>
      <c r="B3214" s="441" t="s">
        <v>3433</v>
      </c>
      <c r="C3214" s="545">
        <v>122.33333333333333</v>
      </c>
      <c r="D3214" s="545">
        <v>44</v>
      </c>
      <c r="E3214" s="545">
        <v>42.333333333333329</v>
      </c>
      <c r="F3214" s="545">
        <v>99.714285714285708</v>
      </c>
      <c r="G3214" s="545">
        <v>87.1</v>
      </c>
      <c r="H3214" s="545">
        <v>52.333333333333336</v>
      </c>
      <c r="I3214" s="545">
        <v>28.333333333333332</v>
      </c>
      <c r="J3214" s="545">
        <v>73.738095238095227</v>
      </c>
    </row>
    <row r="3215" spans="1:10">
      <c r="A3215" s="441">
        <v>6140</v>
      </c>
      <c r="B3215" s="441" t="s">
        <v>3434</v>
      </c>
      <c r="C3215" s="545">
        <v>13.166666666666668</v>
      </c>
      <c r="D3215" s="545">
        <v>8.3333333333333321</v>
      </c>
      <c r="E3215" s="545">
        <v>2.6666666666666665</v>
      </c>
      <c r="F3215" s="545">
        <v>10.976190476190478</v>
      </c>
      <c r="G3215" s="545">
        <v>13.75</v>
      </c>
      <c r="H3215" s="545">
        <v>10.333333333333334</v>
      </c>
      <c r="I3215" s="545">
        <v>7.666666666666667</v>
      </c>
      <c r="J3215" s="545">
        <v>12.392857142857142</v>
      </c>
    </row>
    <row r="3216" spans="1:10">
      <c r="A3216" s="441">
        <v>6174</v>
      </c>
      <c r="B3216" s="441" t="s">
        <v>3434</v>
      </c>
      <c r="C3216" s="545">
        <v>31.666666666666664</v>
      </c>
      <c r="D3216" s="545">
        <v>20.333333333333336</v>
      </c>
      <c r="E3216" s="545">
        <v>8</v>
      </c>
      <c r="F3216" s="545">
        <v>26.666666666666664</v>
      </c>
      <c r="G3216" s="545">
        <v>23.4</v>
      </c>
      <c r="H3216" s="545">
        <v>17.666666666666668</v>
      </c>
      <c r="I3216" s="545">
        <v>10.666666666666666</v>
      </c>
      <c r="J3216" s="545">
        <v>20.761904761904759</v>
      </c>
    </row>
    <row r="3217" spans="1:10">
      <c r="A3217" s="441">
        <v>6171</v>
      </c>
      <c r="B3217" s="441" t="s">
        <v>3435</v>
      </c>
      <c r="C3217" s="545">
        <v>93.666666666666657</v>
      </c>
      <c r="D3217" s="545">
        <v>57.666666666666671</v>
      </c>
      <c r="E3217" s="545">
        <v>52.333333333333329</v>
      </c>
      <c r="F3217" s="545">
        <v>82.619047619047606</v>
      </c>
      <c r="G3217" s="545">
        <v>64.95</v>
      </c>
      <c r="H3217" s="545">
        <v>55.333333333333336</v>
      </c>
      <c r="I3217" s="545">
        <v>38</v>
      </c>
      <c r="J3217" s="545">
        <v>59.726190476190474</v>
      </c>
    </row>
    <row r="3218" spans="1:10">
      <c r="A3218" s="441">
        <v>6172</v>
      </c>
      <c r="B3218" s="441" t="s">
        <v>3435</v>
      </c>
      <c r="C3218" s="545">
        <v>58.166666666666671</v>
      </c>
      <c r="D3218" s="545">
        <v>36.666666666666671</v>
      </c>
      <c r="E3218" s="545">
        <v>24.666666666666664</v>
      </c>
      <c r="F3218" s="545">
        <v>50.309523809523817</v>
      </c>
      <c r="G3218" s="545">
        <v>40.25</v>
      </c>
      <c r="H3218" s="545">
        <v>20</v>
      </c>
      <c r="I3218" s="545">
        <v>23.333333333333332</v>
      </c>
      <c r="J3218" s="545">
        <v>34.94047619047619</v>
      </c>
    </row>
    <row r="3219" spans="1:10">
      <c r="A3219" s="441">
        <v>12328</v>
      </c>
      <c r="B3219" s="441" t="s">
        <v>3435</v>
      </c>
      <c r="C3219" s="545">
        <v>161.83333333333331</v>
      </c>
      <c r="D3219" s="545">
        <v>97</v>
      </c>
      <c r="E3219" s="545">
        <v>75.333333333333329</v>
      </c>
      <c r="F3219" s="545">
        <v>140.21428571428569</v>
      </c>
      <c r="G3219" s="545">
        <v>102.9</v>
      </c>
      <c r="H3219" s="545">
        <v>71</v>
      </c>
      <c r="I3219" s="545">
        <v>59.333333333333336</v>
      </c>
      <c r="J3219" s="545">
        <v>92.11904761904762</v>
      </c>
    </row>
    <row r="3220" spans="1:10">
      <c r="A3220" s="441">
        <v>6169</v>
      </c>
      <c r="B3220" s="441" t="s">
        <v>3436</v>
      </c>
      <c r="C3220" s="545">
        <v>51.166666666666664</v>
      </c>
      <c r="D3220" s="545">
        <v>31.666666666666668</v>
      </c>
      <c r="E3220" s="545">
        <v>18.666666666666668</v>
      </c>
      <c r="F3220" s="545">
        <v>43.738095238095241</v>
      </c>
      <c r="G3220" s="545">
        <v>42.8</v>
      </c>
      <c r="H3220" s="545">
        <v>26</v>
      </c>
      <c r="I3220" s="545">
        <v>17.666666666666668</v>
      </c>
      <c r="J3220" s="545">
        <v>36.80952380952381</v>
      </c>
    </row>
    <row r="3221" spans="1:10">
      <c r="A3221" s="441">
        <v>6170</v>
      </c>
      <c r="B3221" s="441" t="s">
        <v>3436</v>
      </c>
      <c r="C3221" s="545">
        <v>94</v>
      </c>
      <c r="D3221" s="545">
        <v>36</v>
      </c>
      <c r="E3221" s="545">
        <v>28</v>
      </c>
      <c r="F3221" s="545">
        <v>76.285714285714292</v>
      </c>
      <c r="G3221" s="545">
        <v>73.75</v>
      </c>
      <c r="H3221" s="545">
        <v>48.333333333333336</v>
      </c>
      <c r="I3221" s="545">
        <v>33.333333333333336</v>
      </c>
      <c r="J3221" s="545">
        <v>64.345238095238088</v>
      </c>
    </row>
    <row r="3222" spans="1:10">
      <c r="A3222" s="441">
        <v>12329</v>
      </c>
      <c r="B3222" s="441" t="s">
        <v>3436</v>
      </c>
      <c r="C3222" s="545">
        <v>149</v>
      </c>
      <c r="D3222" s="545">
        <v>65.333333333333329</v>
      </c>
      <c r="E3222" s="545">
        <v>54.666666666666664</v>
      </c>
      <c r="F3222" s="545">
        <v>123.57142857142857</v>
      </c>
      <c r="G3222" s="545">
        <v>131.15</v>
      </c>
      <c r="H3222" s="545">
        <v>80.333333333333329</v>
      </c>
      <c r="I3222" s="545">
        <v>61.333333333333336</v>
      </c>
      <c r="J3222" s="545">
        <v>113.91666666666667</v>
      </c>
    </row>
    <row r="3223" spans="1:10">
      <c r="A3223" s="441">
        <v>6164</v>
      </c>
      <c r="B3223" s="441" t="s">
        <v>3437</v>
      </c>
      <c r="C3223" s="545">
        <v>8.5</v>
      </c>
      <c r="D3223" s="545">
        <v>1.3333333333333333</v>
      </c>
      <c r="E3223" s="545">
        <v>2</v>
      </c>
      <c r="F3223" s="545">
        <v>6.5476190476190483</v>
      </c>
      <c r="G3223" s="545">
        <v>4.3499999999999996</v>
      </c>
      <c r="H3223" s="545">
        <v>5</v>
      </c>
      <c r="I3223" s="545">
        <v>1.3333333333333333</v>
      </c>
      <c r="J3223" s="545">
        <v>4.0119047619047619</v>
      </c>
    </row>
    <row r="3224" spans="1:10">
      <c r="A3224" s="441">
        <v>12332</v>
      </c>
      <c r="B3224" s="441" t="s">
        <v>3437</v>
      </c>
      <c r="C3224" s="545">
        <v>16.166666666666664</v>
      </c>
      <c r="D3224" s="545">
        <v>2.3333333333333335</v>
      </c>
      <c r="E3224" s="545">
        <v>1.3333333333333333</v>
      </c>
      <c r="F3224" s="545">
        <v>12.071428571428568</v>
      </c>
      <c r="G3224" s="545">
        <v>9.0500000000000007</v>
      </c>
      <c r="H3224" s="545">
        <v>4</v>
      </c>
      <c r="I3224" s="545">
        <v>1.6666666666666667</v>
      </c>
      <c r="J3224" s="545">
        <v>7.2738095238095237</v>
      </c>
    </row>
    <row r="3225" spans="1:10">
      <c r="A3225" s="441">
        <v>6163</v>
      </c>
      <c r="B3225" s="441" t="s">
        <v>3438</v>
      </c>
      <c r="C3225" s="545">
        <v>19.833333333333332</v>
      </c>
      <c r="D3225" s="545">
        <v>19.333333333333332</v>
      </c>
      <c r="E3225" s="545">
        <v>13.333333333333332</v>
      </c>
      <c r="F3225" s="545">
        <v>18.833333333333332</v>
      </c>
      <c r="G3225" s="545">
        <v>13.35</v>
      </c>
      <c r="H3225" s="545">
        <v>9.6666666666666661</v>
      </c>
      <c r="I3225" s="545">
        <v>4</v>
      </c>
      <c r="J3225" s="545">
        <v>11.488095238095239</v>
      </c>
    </row>
    <row r="3226" spans="1:10">
      <c r="A3226" s="441">
        <v>6173</v>
      </c>
      <c r="B3226" s="441" t="s">
        <v>3439</v>
      </c>
      <c r="C3226" s="545">
        <v>33.833333333333336</v>
      </c>
      <c r="D3226" s="545">
        <v>14.333333333333332</v>
      </c>
      <c r="E3226" s="545">
        <v>8.3333333333333339</v>
      </c>
      <c r="F3226" s="545">
        <v>27.404761904761909</v>
      </c>
      <c r="G3226" s="545">
        <v>32.450000000000003</v>
      </c>
      <c r="H3226" s="545">
        <v>21</v>
      </c>
      <c r="I3226" s="545">
        <v>15.666666666666666</v>
      </c>
      <c r="J3226" s="545">
        <v>28.416666666666664</v>
      </c>
    </row>
    <row r="3227" spans="1:10">
      <c r="A3227" s="441">
        <v>12327</v>
      </c>
      <c r="B3227" s="441" t="s">
        <v>3439</v>
      </c>
      <c r="C3227" s="545">
        <v>75.333333333333343</v>
      </c>
      <c r="D3227" s="545">
        <v>29</v>
      </c>
      <c r="E3227" s="545">
        <v>19</v>
      </c>
      <c r="F3227" s="545">
        <v>60.666666666666679</v>
      </c>
      <c r="G3227" s="545">
        <v>50.9</v>
      </c>
      <c r="H3227" s="545">
        <v>28.666666666666668</v>
      </c>
      <c r="I3227" s="545">
        <v>12.666666666666666</v>
      </c>
      <c r="J3227" s="545">
        <v>42.261904761904766</v>
      </c>
    </row>
    <row r="3228" spans="1:10">
      <c r="A3228" s="441">
        <v>1742</v>
      </c>
      <c r="B3228" s="441" t="s">
        <v>3440</v>
      </c>
      <c r="C3228" s="545">
        <v>2</v>
      </c>
      <c r="D3228" s="545">
        <v>2.3333333333333335</v>
      </c>
      <c r="E3228" s="545">
        <v>1.3333333333333333</v>
      </c>
      <c r="F3228" s="545">
        <v>1.9523809523809526</v>
      </c>
      <c r="G3228" s="545">
        <v>0.3</v>
      </c>
      <c r="H3228" s="545">
        <v>0</v>
      </c>
      <c r="I3228" s="545">
        <v>1.6666666666666667</v>
      </c>
      <c r="J3228" s="545">
        <v>0.45238095238095244</v>
      </c>
    </row>
    <row r="3229" spans="1:10">
      <c r="A3229" s="441">
        <v>1743</v>
      </c>
      <c r="B3229" s="441" t="s">
        <v>3441</v>
      </c>
      <c r="C3229" s="545">
        <v>5.5</v>
      </c>
      <c r="D3229" s="545">
        <v>2.6666666666666665</v>
      </c>
      <c r="E3229" s="545">
        <v>4.333333333333333</v>
      </c>
      <c r="F3229" s="545">
        <v>4.9285714285714288</v>
      </c>
      <c r="G3229" s="545">
        <v>4.1500000000000004</v>
      </c>
      <c r="H3229" s="545">
        <v>3.6666666666666665</v>
      </c>
      <c r="I3229" s="545">
        <v>1.6666666666666667</v>
      </c>
      <c r="J3229" s="545">
        <v>3.7261904761904767</v>
      </c>
    </row>
    <row r="3230" spans="1:10">
      <c r="A3230" s="441">
        <v>1741</v>
      </c>
      <c r="B3230" s="441" t="s">
        <v>3442</v>
      </c>
      <c r="C3230" s="545">
        <v>0.83333333333333326</v>
      </c>
      <c r="D3230" s="545">
        <v>0</v>
      </c>
      <c r="E3230" s="545">
        <v>0.66666666666666663</v>
      </c>
      <c r="F3230" s="545">
        <v>0.69047619047619047</v>
      </c>
      <c r="G3230" s="545">
        <v>0.65</v>
      </c>
      <c r="H3230" s="545">
        <v>0</v>
      </c>
      <c r="I3230" s="545">
        <v>0.33333333333333331</v>
      </c>
      <c r="J3230" s="545">
        <v>0.51190476190476197</v>
      </c>
    </row>
    <row r="3231" spans="1:10">
      <c r="A3231" s="441">
        <v>1744</v>
      </c>
      <c r="B3231" s="441" t="s">
        <v>3443</v>
      </c>
      <c r="C3231" s="545">
        <v>1.3333333333333335</v>
      </c>
      <c r="D3231" s="545">
        <v>0.66666666666666663</v>
      </c>
      <c r="E3231" s="545">
        <v>0</v>
      </c>
      <c r="F3231" s="545">
        <v>1.0476190476190479</v>
      </c>
      <c r="G3231" s="545">
        <v>2.4</v>
      </c>
      <c r="H3231" s="545">
        <v>3</v>
      </c>
      <c r="I3231" s="545">
        <v>2.3333333333333335</v>
      </c>
      <c r="J3231" s="545">
        <v>2.4761904761904758</v>
      </c>
    </row>
    <row r="3232" spans="1:10">
      <c r="A3232" s="441">
        <v>1745</v>
      </c>
      <c r="B3232" s="441" t="s">
        <v>3444</v>
      </c>
      <c r="C3232" s="545">
        <v>1.3333333333333333</v>
      </c>
      <c r="D3232" s="545">
        <v>0</v>
      </c>
      <c r="E3232" s="545">
        <v>0</v>
      </c>
      <c r="F3232" s="545">
        <v>0.95238095238095233</v>
      </c>
      <c r="G3232" s="545">
        <v>4.0999999999999996</v>
      </c>
      <c r="H3232" s="545">
        <v>0.33333333333333331</v>
      </c>
      <c r="I3232" s="545">
        <v>0.33333333333333331</v>
      </c>
      <c r="J3232" s="545">
        <v>3.0238095238095233</v>
      </c>
    </row>
    <row r="3233" spans="1:10">
      <c r="A3233" s="441">
        <v>10596</v>
      </c>
      <c r="B3233" s="441" t="s">
        <v>3445</v>
      </c>
      <c r="C3233" s="545">
        <v>91.166666666666657</v>
      </c>
      <c r="D3233" s="545">
        <v>54</v>
      </c>
      <c r="E3233" s="545">
        <v>38</v>
      </c>
      <c r="F3233" s="545">
        <v>78.261904761904745</v>
      </c>
      <c r="G3233" s="545">
        <v>58.85</v>
      </c>
      <c r="H3233" s="545">
        <v>63</v>
      </c>
      <c r="I3233" s="545">
        <v>62.666666666666664</v>
      </c>
      <c r="J3233" s="545">
        <v>59.988095238095241</v>
      </c>
    </row>
    <row r="3234" spans="1:10">
      <c r="A3234" s="441">
        <v>8540</v>
      </c>
      <c r="B3234" s="441" t="s">
        <v>3446</v>
      </c>
      <c r="C3234" s="545">
        <v>29</v>
      </c>
      <c r="D3234" s="545">
        <v>8</v>
      </c>
      <c r="E3234" s="545">
        <v>4.666666666666667</v>
      </c>
      <c r="F3234" s="545">
        <v>22.523809523809522</v>
      </c>
      <c r="G3234" s="545">
        <v>8.8421052631578956</v>
      </c>
      <c r="H3234" s="545">
        <v>5.333333333333333</v>
      </c>
      <c r="I3234" s="545">
        <v>3.3333333333333335</v>
      </c>
      <c r="J3234" s="545">
        <v>7.5538847117794505</v>
      </c>
    </row>
    <row r="3235" spans="1:10">
      <c r="A3235" s="441">
        <v>5148</v>
      </c>
      <c r="B3235" s="441" t="s">
        <v>3447</v>
      </c>
      <c r="C3235" s="545">
        <v>3.333333333333333</v>
      </c>
      <c r="D3235" s="545">
        <v>3.3333333333333335</v>
      </c>
      <c r="E3235" s="545">
        <v>2.6666666666666665</v>
      </c>
      <c r="F3235" s="545">
        <v>3.2380952380952377</v>
      </c>
      <c r="G3235" s="545">
        <v>2.3684210526315788</v>
      </c>
      <c r="H3235" s="545">
        <v>1</v>
      </c>
      <c r="I3235" s="545">
        <v>0.33333333333333331</v>
      </c>
      <c r="J3235" s="545">
        <v>1.8822055137844611</v>
      </c>
    </row>
    <row r="3236" spans="1:10">
      <c r="A3236" s="441">
        <v>10145</v>
      </c>
      <c r="B3236" s="441" t="s">
        <v>3447</v>
      </c>
      <c r="C3236" s="545">
        <v>2.5</v>
      </c>
      <c r="D3236" s="545">
        <v>1</v>
      </c>
      <c r="E3236" s="545">
        <v>2</v>
      </c>
      <c r="F3236" s="545">
        <v>2.2142857142857144</v>
      </c>
      <c r="G3236" s="545">
        <v>2</v>
      </c>
      <c r="H3236" s="545">
        <v>1</v>
      </c>
      <c r="I3236" s="545">
        <v>0.33333333333333331</v>
      </c>
      <c r="J3236" s="545">
        <v>1.6190476190476191</v>
      </c>
    </row>
    <row r="3237" spans="1:10">
      <c r="A3237" s="441">
        <v>2485</v>
      </c>
      <c r="B3237" s="441" t="s">
        <v>3448</v>
      </c>
      <c r="C3237" s="545">
        <v>3.5</v>
      </c>
      <c r="D3237" s="545">
        <v>1.3333333333333333</v>
      </c>
      <c r="E3237" s="545">
        <v>1.6666666666666665</v>
      </c>
      <c r="F3237" s="545">
        <v>2.9285714285714284</v>
      </c>
      <c r="G3237" s="545">
        <v>2.9473684210526314</v>
      </c>
      <c r="H3237" s="545">
        <v>2.6666666666666665</v>
      </c>
      <c r="I3237" s="545">
        <v>1.3333333333333333</v>
      </c>
      <c r="J3237" s="545">
        <v>2.6766917293233083</v>
      </c>
    </row>
    <row r="3238" spans="1:10">
      <c r="A3238" s="441">
        <v>8550</v>
      </c>
      <c r="B3238" s="441" t="s">
        <v>3448</v>
      </c>
      <c r="C3238" s="545">
        <v>11.666666666666666</v>
      </c>
      <c r="D3238" s="545">
        <v>9</v>
      </c>
      <c r="E3238" s="545">
        <v>5.666666666666667</v>
      </c>
      <c r="F3238" s="545">
        <v>10.428571428571429</v>
      </c>
      <c r="G3238" s="545">
        <v>7.5263157894736841</v>
      </c>
      <c r="H3238" s="545">
        <v>5.333333333333333</v>
      </c>
      <c r="I3238" s="545">
        <v>4</v>
      </c>
      <c r="J3238" s="545">
        <v>6.7092731829573937</v>
      </c>
    </row>
    <row r="3239" spans="1:10">
      <c r="A3239" s="441">
        <v>2479</v>
      </c>
      <c r="B3239" s="441" t="s">
        <v>3449</v>
      </c>
      <c r="C3239" s="545">
        <v>16</v>
      </c>
      <c r="D3239" s="545">
        <v>8.3333333333333321</v>
      </c>
      <c r="E3239" s="545">
        <v>5</v>
      </c>
      <c r="F3239" s="545">
        <v>13.333333333333332</v>
      </c>
      <c r="G3239" s="545">
        <v>9.2631578947368425</v>
      </c>
      <c r="H3239" s="545">
        <v>8</v>
      </c>
      <c r="I3239" s="545">
        <v>4.666666666666667</v>
      </c>
      <c r="J3239" s="545">
        <v>8.4260651629072676</v>
      </c>
    </row>
    <row r="3240" spans="1:10">
      <c r="A3240" s="441">
        <v>10151</v>
      </c>
      <c r="B3240" s="441" t="s">
        <v>3449</v>
      </c>
      <c r="C3240" s="545">
        <v>8.6666666666666661</v>
      </c>
      <c r="D3240" s="545">
        <v>5.6666666666666661</v>
      </c>
      <c r="E3240" s="545">
        <v>2.3333333333333335</v>
      </c>
      <c r="F3240" s="545">
        <v>7.333333333333333</v>
      </c>
      <c r="G3240" s="545">
        <v>7.7368421052631575</v>
      </c>
      <c r="H3240" s="545">
        <v>8.6666666666666661</v>
      </c>
      <c r="I3240" s="545">
        <v>4.333333333333333</v>
      </c>
      <c r="J3240" s="545">
        <v>7.3834586466165408</v>
      </c>
    </row>
    <row r="3241" spans="1:10">
      <c r="A3241" s="441">
        <v>10480</v>
      </c>
      <c r="B3241" s="441" t="s">
        <v>3450</v>
      </c>
      <c r="C3241" s="545">
        <v>6</v>
      </c>
      <c r="D3241" s="545">
        <v>2</v>
      </c>
      <c r="E3241" s="545">
        <v>3.3333333333333335</v>
      </c>
      <c r="F3241" s="545">
        <v>5.0476190476190483</v>
      </c>
      <c r="G3241" s="545">
        <v>1.5789473684210527</v>
      </c>
      <c r="H3241" s="545">
        <v>1</v>
      </c>
      <c r="I3241" s="545">
        <v>1</v>
      </c>
      <c r="J3241" s="545">
        <v>1.4135338345864663</v>
      </c>
    </row>
    <row r="3242" spans="1:10">
      <c r="A3242" s="441">
        <v>12416</v>
      </c>
      <c r="B3242" s="441" t="s">
        <v>3450</v>
      </c>
      <c r="C3242" s="545">
        <v>6.833333333333333</v>
      </c>
      <c r="D3242" s="545">
        <v>2.3333333333333335</v>
      </c>
      <c r="E3242" s="545">
        <v>3</v>
      </c>
      <c r="F3242" s="545">
        <v>5.6428571428571432</v>
      </c>
      <c r="G3242" s="545">
        <v>3.5789473684210527</v>
      </c>
      <c r="H3242" s="545">
        <v>1.6666666666666667</v>
      </c>
      <c r="I3242" s="545">
        <v>1.3333333333333333</v>
      </c>
      <c r="J3242" s="545">
        <v>2.9849624060150375</v>
      </c>
    </row>
    <row r="3243" spans="1:10">
      <c r="A3243" s="441">
        <v>2478</v>
      </c>
      <c r="B3243" s="441" t="s">
        <v>3451</v>
      </c>
      <c r="C3243" s="545">
        <v>10.166666666666666</v>
      </c>
      <c r="D3243" s="545">
        <v>2.3333333333333335</v>
      </c>
      <c r="E3243" s="545">
        <v>10.333333333333334</v>
      </c>
      <c r="F3243" s="545">
        <v>9.0714285714285712</v>
      </c>
      <c r="G3243" s="545">
        <v>5.7894736842105265</v>
      </c>
      <c r="H3243" s="545">
        <v>5.333333333333333</v>
      </c>
      <c r="I3243" s="545">
        <v>2.3333333333333335</v>
      </c>
      <c r="J3243" s="545">
        <v>5.2305764411027571</v>
      </c>
    </row>
    <row r="3244" spans="1:10">
      <c r="A3244" s="441">
        <v>8557</v>
      </c>
      <c r="B3244" s="441" t="s">
        <v>3451</v>
      </c>
      <c r="C3244" s="545">
        <v>31.166666666666668</v>
      </c>
      <c r="D3244" s="545">
        <v>11.333333333333332</v>
      </c>
      <c r="E3244" s="545">
        <v>13.666666666666668</v>
      </c>
      <c r="F3244" s="545">
        <v>25.833333333333336</v>
      </c>
      <c r="G3244" s="545">
        <v>11.263157894736842</v>
      </c>
      <c r="H3244" s="545">
        <v>6.333333333333333</v>
      </c>
      <c r="I3244" s="545">
        <v>4.666666666666667</v>
      </c>
      <c r="J3244" s="545">
        <v>9.6165413533834592</v>
      </c>
    </row>
    <row r="3245" spans="1:10">
      <c r="A3245" s="441">
        <v>2476</v>
      </c>
      <c r="B3245" s="441" t="s">
        <v>3452</v>
      </c>
      <c r="C3245" s="545">
        <v>1.1666666666666667</v>
      </c>
      <c r="D3245" s="545">
        <v>0</v>
      </c>
      <c r="E3245" s="545">
        <v>0</v>
      </c>
      <c r="F3245" s="545">
        <v>0.83333333333333337</v>
      </c>
      <c r="G3245" s="545">
        <v>0.63157894736842102</v>
      </c>
      <c r="H3245" s="545">
        <v>0</v>
      </c>
      <c r="I3245" s="545">
        <v>0</v>
      </c>
      <c r="J3245" s="545">
        <v>0.45112781954887221</v>
      </c>
    </row>
    <row r="3246" spans="1:10">
      <c r="A3246" s="441">
        <v>8559</v>
      </c>
      <c r="B3246" s="441" t="s">
        <v>3452</v>
      </c>
      <c r="C3246" s="545">
        <v>1.3333333333333335</v>
      </c>
      <c r="D3246" s="545">
        <v>0.33333333333333331</v>
      </c>
      <c r="E3246" s="545">
        <v>0.33333333333333331</v>
      </c>
      <c r="F3246" s="545">
        <v>1.0476190476190477</v>
      </c>
      <c r="G3246" s="545">
        <v>0.94736842105263153</v>
      </c>
      <c r="H3246" s="545">
        <v>1</v>
      </c>
      <c r="I3246" s="545">
        <v>0</v>
      </c>
      <c r="J3246" s="545">
        <v>0.81954887218045103</v>
      </c>
    </row>
    <row r="3247" spans="1:10">
      <c r="A3247" s="441">
        <v>2474</v>
      </c>
      <c r="B3247" s="441" t="s">
        <v>3453</v>
      </c>
      <c r="C3247" s="545">
        <v>1.6666666666666667</v>
      </c>
      <c r="D3247" s="545">
        <v>0</v>
      </c>
      <c r="E3247" s="545">
        <v>1</v>
      </c>
      <c r="F3247" s="545">
        <v>1.3333333333333335</v>
      </c>
      <c r="G3247" s="545">
        <v>1.1052631578947369</v>
      </c>
      <c r="H3247" s="545">
        <v>0</v>
      </c>
      <c r="I3247" s="545">
        <v>0</v>
      </c>
      <c r="J3247" s="545">
        <v>0.78947368421052644</v>
      </c>
    </row>
    <row r="3248" spans="1:10">
      <c r="A3248" s="441">
        <v>8562</v>
      </c>
      <c r="B3248" s="441" t="s">
        <v>3453</v>
      </c>
      <c r="C3248" s="545">
        <v>3.166666666666667</v>
      </c>
      <c r="D3248" s="545">
        <v>0.66666666666666663</v>
      </c>
      <c r="E3248" s="545">
        <v>0.66666666666666663</v>
      </c>
      <c r="F3248" s="545">
        <v>2.452380952380953</v>
      </c>
      <c r="G3248" s="545">
        <v>0.36842105263157893</v>
      </c>
      <c r="H3248" s="545">
        <v>0</v>
      </c>
      <c r="I3248" s="545">
        <v>0</v>
      </c>
      <c r="J3248" s="545">
        <v>0.26315789473684209</v>
      </c>
    </row>
    <row r="3249" spans="1:10">
      <c r="A3249" s="441">
        <v>8561</v>
      </c>
      <c r="B3249" s="441" t="s">
        <v>3454</v>
      </c>
      <c r="C3249" s="545">
        <v>1.8333333333333333</v>
      </c>
      <c r="D3249" s="545">
        <v>1</v>
      </c>
      <c r="E3249" s="545">
        <v>0</v>
      </c>
      <c r="F3249" s="545">
        <v>1.4523809523809523</v>
      </c>
      <c r="G3249" s="545">
        <v>0.31578947368421051</v>
      </c>
      <c r="H3249" s="545">
        <v>0.33333333333333331</v>
      </c>
      <c r="I3249" s="545">
        <v>0</v>
      </c>
      <c r="J3249" s="545">
        <v>0.27318295739348369</v>
      </c>
    </row>
    <row r="3250" spans="1:10">
      <c r="A3250" s="441">
        <v>10130</v>
      </c>
      <c r="B3250" s="441" t="s">
        <v>3454</v>
      </c>
      <c r="C3250" s="545">
        <v>1.1666666666666667</v>
      </c>
      <c r="D3250" s="545">
        <v>0.66666666666666663</v>
      </c>
      <c r="E3250" s="545">
        <v>1</v>
      </c>
      <c r="F3250" s="545">
        <v>1.0714285714285716</v>
      </c>
      <c r="G3250" s="545">
        <v>0.26315789473684209</v>
      </c>
      <c r="H3250" s="545">
        <v>0</v>
      </c>
      <c r="I3250" s="545">
        <v>0.33333333333333331</v>
      </c>
      <c r="J3250" s="545">
        <v>0.23558897243107765</v>
      </c>
    </row>
    <row r="3251" spans="1:10">
      <c r="A3251" s="441">
        <v>2477</v>
      </c>
      <c r="B3251" s="441" t="s">
        <v>3455</v>
      </c>
      <c r="C3251" s="545">
        <v>10.5</v>
      </c>
      <c r="D3251" s="545">
        <v>1.6666666666666665</v>
      </c>
      <c r="E3251" s="545">
        <v>1.6666666666666667</v>
      </c>
      <c r="F3251" s="545">
        <v>7.9761904761904754</v>
      </c>
      <c r="G3251" s="545">
        <v>2.8947368421052633</v>
      </c>
      <c r="H3251" s="545">
        <v>0.66666666666666663</v>
      </c>
      <c r="I3251" s="545">
        <v>0</v>
      </c>
      <c r="J3251" s="545">
        <v>2.162907268170426</v>
      </c>
    </row>
    <row r="3252" spans="1:10">
      <c r="A3252" s="441">
        <v>8558</v>
      </c>
      <c r="B3252" s="441" t="s">
        <v>3455</v>
      </c>
      <c r="C3252" s="545">
        <v>9.1666666666666679</v>
      </c>
      <c r="D3252" s="545">
        <v>2</v>
      </c>
      <c r="E3252" s="545">
        <v>1</v>
      </c>
      <c r="F3252" s="545">
        <v>6.9761904761904772</v>
      </c>
      <c r="G3252" s="545">
        <v>2</v>
      </c>
      <c r="H3252" s="545">
        <v>0.66666666666666663</v>
      </c>
      <c r="I3252" s="545">
        <v>0</v>
      </c>
      <c r="J3252" s="545">
        <v>1.5238095238095237</v>
      </c>
    </row>
    <row r="3253" spans="1:10">
      <c r="A3253" s="441">
        <v>2471</v>
      </c>
      <c r="B3253" s="441" t="s">
        <v>3456</v>
      </c>
      <c r="C3253" s="545">
        <v>44.333333333333336</v>
      </c>
      <c r="D3253" s="545">
        <v>29.666666666666668</v>
      </c>
      <c r="E3253" s="545">
        <v>22.666666666666668</v>
      </c>
      <c r="F3253" s="545">
        <v>39.142857142857146</v>
      </c>
      <c r="G3253" s="545">
        <v>22.631578947368421</v>
      </c>
      <c r="H3253" s="545">
        <v>21.666666666666668</v>
      </c>
      <c r="I3253" s="545">
        <v>14.333333333333334</v>
      </c>
      <c r="J3253" s="545">
        <v>21.30827067669173</v>
      </c>
    </row>
    <row r="3254" spans="1:10">
      <c r="A3254" s="441">
        <v>8566</v>
      </c>
      <c r="B3254" s="441" t="s">
        <v>3456</v>
      </c>
      <c r="C3254" s="545">
        <v>73.5</v>
      </c>
      <c r="D3254" s="545">
        <v>36.666666666666671</v>
      </c>
      <c r="E3254" s="545">
        <v>37.333333333333329</v>
      </c>
      <c r="F3254" s="545">
        <v>63.071428571428569</v>
      </c>
      <c r="G3254" s="545">
        <v>35.473684210526315</v>
      </c>
      <c r="H3254" s="545">
        <v>20.333333333333332</v>
      </c>
      <c r="I3254" s="545">
        <v>15.333333333333334</v>
      </c>
      <c r="J3254" s="545">
        <v>30.43358395989975</v>
      </c>
    </row>
    <row r="3255" spans="1:10">
      <c r="A3255" s="441">
        <v>8568</v>
      </c>
      <c r="B3255" s="441" t="s">
        <v>3456</v>
      </c>
      <c r="C3255" s="545">
        <v>1.1666666666666667</v>
      </c>
      <c r="D3255" s="545">
        <v>0.66666666666666663</v>
      </c>
      <c r="E3255" s="545">
        <v>1.3333333333333333</v>
      </c>
      <c r="F3255" s="545">
        <v>1.1190476190476191</v>
      </c>
      <c r="G3255" s="545">
        <v>0.68421052631578949</v>
      </c>
      <c r="H3255" s="545">
        <v>2</v>
      </c>
      <c r="I3255" s="545">
        <v>0</v>
      </c>
      <c r="J3255" s="545">
        <v>0.77443609022556381</v>
      </c>
    </row>
    <row r="3256" spans="1:10">
      <c r="A3256" s="441">
        <v>10084</v>
      </c>
      <c r="B3256" s="441" t="s">
        <v>3456</v>
      </c>
      <c r="C3256" s="545">
        <v>44.166666666666671</v>
      </c>
      <c r="D3256" s="545">
        <v>17</v>
      </c>
      <c r="E3256" s="545">
        <v>21.666666666666664</v>
      </c>
      <c r="F3256" s="545">
        <v>37.071428571428577</v>
      </c>
      <c r="G3256" s="545">
        <v>41.684210526315788</v>
      </c>
      <c r="H3256" s="545">
        <v>21.666666666666668</v>
      </c>
      <c r="I3256" s="545">
        <v>11.333333333333334</v>
      </c>
      <c r="J3256" s="545">
        <v>34.488721804511279</v>
      </c>
    </row>
    <row r="3257" spans="1:10">
      <c r="A3257" s="441">
        <v>8567</v>
      </c>
      <c r="B3257" s="441" t="s">
        <v>3457</v>
      </c>
      <c r="C3257" s="545">
        <v>2.6666666666666665</v>
      </c>
      <c r="D3257" s="545">
        <v>1.6666666666666665</v>
      </c>
      <c r="E3257" s="545">
        <v>1.6666666666666665</v>
      </c>
      <c r="F3257" s="545">
        <v>2.3809523809523805</v>
      </c>
      <c r="G3257" s="545">
        <v>1.8947368421052631</v>
      </c>
      <c r="H3257" s="545">
        <v>3.3333333333333335</v>
      </c>
      <c r="I3257" s="545">
        <v>1</v>
      </c>
      <c r="J3257" s="545">
        <v>1.9724310776942355</v>
      </c>
    </row>
    <row r="3258" spans="1:10">
      <c r="A3258" s="441">
        <v>2495</v>
      </c>
      <c r="B3258" s="441" t="s">
        <v>3458</v>
      </c>
      <c r="C3258" s="545">
        <v>5.666666666666667</v>
      </c>
      <c r="D3258" s="545">
        <v>1.3333333333333333</v>
      </c>
      <c r="E3258" s="545">
        <v>0.66666666666666663</v>
      </c>
      <c r="F3258" s="545">
        <v>4.3333333333333339</v>
      </c>
      <c r="G3258" s="545">
        <v>2.0526315789473686</v>
      </c>
      <c r="H3258" s="545">
        <v>2.3333333333333335</v>
      </c>
      <c r="I3258" s="545">
        <v>1</v>
      </c>
      <c r="J3258" s="545">
        <v>1.9423558897243109</v>
      </c>
    </row>
    <row r="3259" spans="1:10">
      <c r="A3259" s="441">
        <v>8541</v>
      </c>
      <c r="B3259" s="441" t="s">
        <v>3458</v>
      </c>
      <c r="C3259" s="545">
        <v>2</v>
      </c>
      <c r="D3259" s="545">
        <v>0.33333333333333331</v>
      </c>
      <c r="E3259" s="545">
        <v>1.3333333333333333</v>
      </c>
      <c r="F3259" s="545">
        <v>1.6666666666666667</v>
      </c>
      <c r="G3259" s="545">
        <v>1.1052631578947369</v>
      </c>
      <c r="H3259" s="545">
        <v>1</v>
      </c>
      <c r="I3259" s="545">
        <v>0.66666666666666663</v>
      </c>
      <c r="J3259" s="545">
        <v>1.0275689223057645</v>
      </c>
    </row>
    <row r="3260" spans="1:10">
      <c r="A3260" s="441">
        <v>2482</v>
      </c>
      <c r="B3260" s="441" t="s">
        <v>3459</v>
      </c>
      <c r="C3260" s="545">
        <v>16.166666666666668</v>
      </c>
      <c r="D3260" s="545">
        <v>7.6666666666666661</v>
      </c>
      <c r="E3260" s="545">
        <v>10.333333333333334</v>
      </c>
      <c r="F3260" s="545">
        <v>14.11904761904762</v>
      </c>
      <c r="G3260" s="545">
        <v>13.263157894736842</v>
      </c>
      <c r="H3260" s="545">
        <v>15.333333333333334</v>
      </c>
      <c r="I3260" s="545">
        <v>10</v>
      </c>
      <c r="J3260" s="545">
        <v>13.092731829573935</v>
      </c>
    </row>
    <row r="3261" spans="1:10">
      <c r="A3261" s="441">
        <v>2483</v>
      </c>
      <c r="B3261" s="441" t="s">
        <v>3459</v>
      </c>
      <c r="C3261" s="545">
        <v>4.166666666666667</v>
      </c>
      <c r="D3261" s="545">
        <v>2.666666666666667</v>
      </c>
      <c r="E3261" s="545">
        <v>1</v>
      </c>
      <c r="F3261" s="545">
        <v>3.5000000000000004</v>
      </c>
      <c r="G3261" s="545">
        <v>4.7894736842105265</v>
      </c>
      <c r="H3261" s="545">
        <v>5.333333333333333</v>
      </c>
      <c r="I3261" s="545">
        <v>1</v>
      </c>
      <c r="J3261" s="545">
        <v>4.325814536340852</v>
      </c>
    </row>
    <row r="3262" spans="1:10">
      <c r="A3262" s="441">
        <v>8552</v>
      </c>
      <c r="B3262" s="441" t="s">
        <v>3459</v>
      </c>
      <c r="C3262" s="545">
        <v>7.3333333333333339</v>
      </c>
      <c r="D3262" s="545">
        <v>2.333333333333333</v>
      </c>
      <c r="E3262" s="545">
        <v>2.3333333333333335</v>
      </c>
      <c r="F3262" s="545">
        <v>5.904761904761906</v>
      </c>
      <c r="G3262" s="545">
        <v>6.6842105263157894</v>
      </c>
      <c r="H3262" s="545">
        <v>5</v>
      </c>
      <c r="I3262" s="545">
        <v>2.3333333333333335</v>
      </c>
      <c r="J3262" s="545">
        <v>5.8220551378446119</v>
      </c>
    </row>
    <row r="3263" spans="1:10">
      <c r="A3263" s="441">
        <v>8553</v>
      </c>
      <c r="B3263" s="441" t="s">
        <v>3459</v>
      </c>
      <c r="C3263" s="545">
        <v>17.166666666666668</v>
      </c>
      <c r="D3263" s="545">
        <v>9.3333333333333339</v>
      </c>
      <c r="E3263" s="545">
        <v>8.3333333333333321</v>
      </c>
      <c r="F3263" s="545">
        <v>14.785714285714286</v>
      </c>
      <c r="G3263" s="545">
        <v>15.210526315789474</v>
      </c>
      <c r="H3263" s="545">
        <v>12.666666666666666</v>
      </c>
      <c r="I3263" s="545">
        <v>15</v>
      </c>
      <c r="J3263" s="545">
        <v>14.817042606516292</v>
      </c>
    </row>
    <row r="3264" spans="1:10">
      <c r="A3264" s="441">
        <v>2480</v>
      </c>
      <c r="B3264" s="441" t="s">
        <v>3460</v>
      </c>
      <c r="C3264" s="545">
        <v>3.833333333333333</v>
      </c>
      <c r="D3264" s="545">
        <v>2</v>
      </c>
      <c r="E3264" s="545">
        <v>0.66666666666666663</v>
      </c>
      <c r="F3264" s="545">
        <v>3.1190476190476191</v>
      </c>
      <c r="G3264" s="545">
        <v>4.8421052631578947</v>
      </c>
      <c r="H3264" s="545">
        <v>4.666666666666667</v>
      </c>
      <c r="I3264" s="545">
        <v>1.3333333333333333</v>
      </c>
      <c r="J3264" s="545">
        <v>4.3157894736842106</v>
      </c>
    </row>
    <row r="3265" spans="1:10">
      <c r="A3265" s="441">
        <v>8556</v>
      </c>
      <c r="B3265" s="441" t="s">
        <v>3460</v>
      </c>
      <c r="C3265" s="545">
        <v>1.3333333333333335</v>
      </c>
      <c r="D3265" s="545">
        <v>0.66666666666666663</v>
      </c>
      <c r="E3265" s="545">
        <v>1.6666666666666665</v>
      </c>
      <c r="F3265" s="545">
        <v>1.285714285714286</v>
      </c>
      <c r="G3265" s="545">
        <v>1.9473684210526316</v>
      </c>
      <c r="H3265" s="545">
        <v>1.3333333333333333</v>
      </c>
      <c r="I3265" s="545">
        <v>0.33333333333333331</v>
      </c>
      <c r="J3265" s="545">
        <v>1.6290726817042607</v>
      </c>
    </row>
    <row r="3266" spans="1:10">
      <c r="A3266" s="441">
        <v>2493</v>
      </c>
      <c r="B3266" s="441" t="s">
        <v>3461</v>
      </c>
      <c r="C3266" s="545">
        <v>6.5</v>
      </c>
      <c r="D3266" s="545">
        <v>4.666666666666667</v>
      </c>
      <c r="E3266" s="545">
        <v>1.6666666666666665</v>
      </c>
      <c r="F3266" s="545">
        <v>5.5476190476190466</v>
      </c>
      <c r="G3266" s="545">
        <v>1.4210526315789473</v>
      </c>
      <c r="H3266" s="545">
        <v>1</v>
      </c>
      <c r="I3266" s="545">
        <v>1.3333333333333333</v>
      </c>
      <c r="J3266" s="545">
        <v>1.3483709273182958</v>
      </c>
    </row>
    <row r="3267" spans="1:10">
      <c r="A3267" s="441">
        <v>8543</v>
      </c>
      <c r="B3267" s="441" t="s">
        <v>3461</v>
      </c>
      <c r="C3267" s="545">
        <v>3.5</v>
      </c>
      <c r="D3267" s="545">
        <v>2.333333333333333</v>
      </c>
      <c r="E3267" s="545">
        <v>2.333333333333333</v>
      </c>
      <c r="F3267" s="545">
        <v>3.1666666666666665</v>
      </c>
      <c r="G3267" s="545">
        <v>1.263157894736842</v>
      </c>
      <c r="H3267" s="545">
        <v>1</v>
      </c>
      <c r="I3267" s="545">
        <v>0</v>
      </c>
      <c r="J3267" s="545">
        <v>1.0451127819548873</v>
      </c>
    </row>
    <row r="3268" spans="1:10">
      <c r="A3268" s="441">
        <v>2492</v>
      </c>
      <c r="B3268" s="441" t="s">
        <v>3462</v>
      </c>
      <c r="C3268" s="545">
        <v>3.5</v>
      </c>
      <c r="D3268" s="545">
        <v>0.33333333333333331</v>
      </c>
      <c r="E3268" s="545">
        <v>0.33333333333333331</v>
      </c>
      <c r="F3268" s="545">
        <v>2.5952380952380949</v>
      </c>
      <c r="G3268" s="545">
        <v>1.631578947368421</v>
      </c>
      <c r="H3268" s="545">
        <v>0</v>
      </c>
      <c r="I3268" s="545">
        <v>0</v>
      </c>
      <c r="J3268" s="545">
        <v>1.1654135338345863</v>
      </c>
    </row>
    <row r="3269" spans="1:10">
      <c r="A3269" s="441">
        <v>8544</v>
      </c>
      <c r="B3269" s="441" t="s">
        <v>3462</v>
      </c>
      <c r="C3269" s="545">
        <v>1.1666666666666667</v>
      </c>
      <c r="D3269" s="545">
        <v>1</v>
      </c>
      <c r="E3269" s="545">
        <v>1</v>
      </c>
      <c r="F3269" s="545">
        <v>1.1190476190476191</v>
      </c>
      <c r="G3269" s="545">
        <v>0.31578947368421051</v>
      </c>
      <c r="H3269" s="545">
        <v>0.66666666666666663</v>
      </c>
      <c r="I3269" s="545">
        <v>1.6666666666666667</v>
      </c>
      <c r="J3269" s="545">
        <v>0.55889724310776945</v>
      </c>
    </row>
    <row r="3270" spans="1:10">
      <c r="A3270" s="441">
        <v>10479</v>
      </c>
      <c r="B3270" s="441" t="s">
        <v>3463</v>
      </c>
      <c r="C3270" s="545">
        <v>5.833333333333333</v>
      </c>
      <c r="D3270" s="545">
        <v>1.6666666666666667</v>
      </c>
      <c r="E3270" s="545">
        <v>1.6666666666666667</v>
      </c>
      <c r="F3270" s="545">
        <v>4.6428571428571432</v>
      </c>
      <c r="G3270" s="545">
        <v>2.5499999999999998</v>
      </c>
      <c r="H3270" s="545">
        <v>1.6666666666666667</v>
      </c>
      <c r="I3270" s="545">
        <v>1</v>
      </c>
      <c r="J3270" s="545">
        <v>2.2023809523809521</v>
      </c>
    </row>
    <row r="3271" spans="1:10">
      <c r="A3271" s="441">
        <v>10485</v>
      </c>
      <c r="B3271" s="441" t="s">
        <v>3463</v>
      </c>
      <c r="C3271" s="545">
        <v>8</v>
      </c>
      <c r="D3271" s="545">
        <v>3.6666666666666665</v>
      </c>
      <c r="E3271" s="545">
        <v>4.333333333333333</v>
      </c>
      <c r="F3271" s="545">
        <v>6.8571428571428568</v>
      </c>
      <c r="G3271" s="545">
        <v>2.6842105263157894</v>
      </c>
      <c r="H3271" s="545">
        <v>2.3333333333333335</v>
      </c>
      <c r="I3271" s="545">
        <v>1</v>
      </c>
      <c r="J3271" s="545">
        <v>2.3934837092731831</v>
      </c>
    </row>
    <row r="3272" spans="1:10">
      <c r="A3272" s="441">
        <v>2481</v>
      </c>
      <c r="B3272" s="441" t="s">
        <v>3464</v>
      </c>
      <c r="C3272" s="545">
        <v>19.833333333333332</v>
      </c>
      <c r="D3272" s="545">
        <v>16.666666666666668</v>
      </c>
      <c r="E3272" s="545">
        <v>7.6666666666666661</v>
      </c>
      <c r="F3272" s="545">
        <v>17.642857142857142</v>
      </c>
      <c r="G3272" s="545">
        <v>6.4210526315789478</v>
      </c>
      <c r="H3272" s="545">
        <v>8.3333333333333339</v>
      </c>
      <c r="I3272" s="545">
        <v>6</v>
      </c>
      <c r="J3272" s="545">
        <v>6.6340852130325825</v>
      </c>
    </row>
    <row r="3273" spans="1:10">
      <c r="A3273" s="441">
        <v>8554</v>
      </c>
      <c r="B3273" s="441" t="s">
        <v>3464</v>
      </c>
      <c r="C3273" s="545">
        <v>19</v>
      </c>
      <c r="D3273" s="545">
        <v>16</v>
      </c>
      <c r="E3273" s="545">
        <v>9.3333333333333321</v>
      </c>
      <c r="F3273" s="545">
        <v>17.19047619047619</v>
      </c>
      <c r="G3273" s="545">
        <v>8.4210526315789469</v>
      </c>
      <c r="H3273" s="545">
        <v>2</v>
      </c>
      <c r="I3273" s="545">
        <v>3</v>
      </c>
      <c r="J3273" s="545">
        <v>6.7293233082706765</v>
      </c>
    </row>
    <row r="3274" spans="1:10">
      <c r="A3274" s="441">
        <v>2486</v>
      </c>
      <c r="B3274" s="441" t="s">
        <v>3465</v>
      </c>
      <c r="C3274" s="545">
        <v>9</v>
      </c>
      <c r="D3274" s="545">
        <v>7.6666666666666661</v>
      </c>
      <c r="E3274" s="545">
        <v>6.3333333333333339</v>
      </c>
      <c r="F3274" s="545">
        <v>8.4285714285714288</v>
      </c>
      <c r="G3274" s="545">
        <v>5.4736842105263159</v>
      </c>
      <c r="H3274" s="545">
        <v>2.6666666666666665</v>
      </c>
      <c r="I3274" s="545">
        <v>2</v>
      </c>
      <c r="J3274" s="545">
        <v>4.5764411027568928</v>
      </c>
    </row>
    <row r="3275" spans="1:10">
      <c r="A3275" s="441">
        <v>8549</v>
      </c>
      <c r="B3275" s="441" t="s">
        <v>3465</v>
      </c>
      <c r="C3275" s="545">
        <v>4.6666666666666661</v>
      </c>
      <c r="D3275" s="545">
        <v>3.3333333333333335</v>
      </c>
      <c r="E3275" s="545">
        <v>0.33333333333333331</v>
      </c>
      <c r="F3275" s="545">
        <v>3.8571428571428563</v>
      </c>
      <c r="G3275" s="545">
        <v>1.8947368421052631</v>
      </c>
      <c r="H3275" s="545">
        <v>2</v>
      </c>
      <c r="I3275" s="545">
        <v>1.3333333333333333</v>
      </c>
      <c r="J3275" s="545">
        <v>1.8295739348370927</v>
      </c>
    </row>
    <row r="3276" spans="1:10">
      <c r="A3276" s="441">
        <v>2484</v>
      </c>
      <c r="B3276" s="441" t="s">
        <v>3466</v>
      </c>
      <c r="C3276" s="545">
        <v>22.5</v>
      </c>
      <c r="D3276" s="545">
        <v>9</v>
      </c>
      <c r="E3276" s="545">
        <v>6.6666666666666661</v>
      </c>
      <c r="F3276" s="545">
        <v>18.309523809523807</v>
      </c>
      <c r="G3276" s="545">
        <v>11.947368421052632</v>
      </c>
      <c r="H3276" s="545">
        <v>12.666666666666666</v>
      </c>
      <c r="I3276" s="545">
        <v>4.666666666666667</v>
      </c>
      <c r="J3276" s="545">
        <v>11.010025062656641</v>
      </c>
    </row>
    <row r="3277" spans="1:10">
      <c r="A3277" s="441">
        <v>8551</v>
      </c>
      <c r="B3277" s="441" t="s">
        <v>3466</v>
      </c>
      <c r="C3277" s="545">
        <v>23.833333333333332</v>
      </c>
      <c r="D3277" s="545">
        <v>8</v>
      </c>
      <c r="E3277" s="545">
        <v>7.6666666666666661</v>
      </c>
      <c r="F3277" s="545">
        <v>19.261904761904759</v>
      </c>
      <c r="G3277" s="545">
        <v>11.842105263157896</v>
      </c>
      <c r="H3277" s="545">
        <v>7</v>
      </c>
      <c r="I3277" s="545">
        <v>7.666666666666667</v>
      </c>
      <c r="J3277" s="545">
        <v>10.55388471177945</v>
      </c>
    </row>
    <row r="3278" spans="1:10">
      <c r="A3278" s="441">
        <v>2475</v>
      </c>
      <c r="B3278" s="441" t="s">
        <v>3467</v>
      </c>
      <c r="C3278" s="545">
        <v>1.1666666666666667</v>
      </c>
      <c r="D3278" s="545">
        <v>0.66666666666666663</v>
      </c>
      <c r="E3278" s="545">
        <v>0.66666666666666663</v>
      </c>
      <c r="F3278" s="545">
        <v>1.0238095238095239</v>
      </c>
      <c r="G3278" s="545">
        <v>0.63157894736842102</v>
      </c>
      <c r="H3278" s="545">
        <v>0.33333333333333331</v>
      </c>
      <c r="I3278" s="545">
        <v>0</v>
      </c>
      <c r="J3278" s="545">
        <v>0.49874686716791983</v>
      </c>
    </row>
    <row r="3279" spans="1:10">
      <c r="A3279" s="441">
        <v>8560</v>
      </c>
      <c r="B3279" s="441" t="s">
        <v>3467</v>
      </c>
      <c r="C3279" s="545">
        <v>0.66666666666666663</v>
      </c>
      <c r="D3279" s="545">
        <v>0.66666666666666663</v>
      </c>
      <c r="E3279" s="545">
        <v>0</v>
      </c>
      <c r="F3279" s="545">
        <v>0.5714285714285714</v>
      </c>
      <c r="G3279" s="545">
        <v>0.63157894736842102</v>
      </c>
      <c r="H3279" s="545">
        <v>0</v>
      </c>
      <c r="I3279" s="545">
        <v>0</v>
      </c>
      <c r="J3279" s="545">
        <v>0.45112781954887221</v>
      </c>
    </row>
    <row r="3280" spans="1:10">
      <c r="A3280" s="441">
        <v>2487</v>
      </c>
      <c r="B3280" s="441" t="s">
        <v>3468</v>
      </c>
      <c r="C3280" s="545">
        <v>7</v>
      </c>
      <c r="D3280" s="545">
        <v>6</v>
      </c>
      <c r="E3280" s="545">
        <v>4.3333333333333339</v>
      </c>
      <c r="F3280" s="545">
        <v>6.4761904761904763</v>
      </c>
      <c r="G3280" s="545">
        <v>3.8421052631578947</v>
      </c>
      <c r="H3280" s="545">
        <v>6.666666666666667</v>
      </c>
      <c r="I3280" s="545">
        <v>2.6666666666666665</v>
      </c>
      <c r="J3280" s="545">
        <v>4.0776942355889725</v>
      </c>
    </row>
    <row r="3281" spans="1:10">
      <c r="A3281" s="441">
        <v>10154</v>
      </c>
      <c r="B3281" s="441" t="s">
        <v>3468</v>
      </c>
      <c r="C3281" s="545">
        <v>8.1666666666666661</v>
      </c>
      <c r="D3281" s="545">
        <v>4</v>
      </c>
      <c r="E3281" s="545">
        <v>5</v>
      </c>
      <c r="F3281" s="545">
        <v>7.1190476190476186</v>
      </c>
      <c r="G3281" s="545">
        <v>2.6315789473684212</v>
      </c>
      <c r="H3281" s="545">
        <v>3.6666666666666665</v>
      </c>
      <c r="I3281" s="545">
        <v>4.333333333333333</v>
      </c>
      <c r="J3281" s="545">
        <v>3.0225563909774436</v>
      </c>
    </row>
    <row r="3282" spans="1:10">
      <c r="A3282" s="441">
        <v>5149</v>
      </c>
      <c r="B3282" s="441" t="s">
        <v>3469</v>
      </c>
      <c r="C3282" s="545">
        <v>3.6666666666666665</v>
      </c>
      <c r="D3282" s="545">
        <v>1.3333333333333333</v>
      </c>
      <c r="E3282" s="545">
        <v>2.333333333333333</v>
      </c>
      <c r="F3282" s="545">
        <v>3.1428571428571423</v>
      </c>
      <c r="G3282" s="545">
        <v>1.1052631578947369</v>
      </c>
      <c r="H3282" s="545">
        <v>0.66666666666666663</v>
      </c>
      <c r="I3282" s="545">
        <v>0.66666666666666663</v>
      </c>
      <c r="J3282" s="545">
        <v>0.97994987468671702</v>
      </c>
    </row>
    <row r="3283" spans="1:10">
      <c r="A3283" s="441">
        <v>8555</v>
      </c>
      <c r="B3283" s="441" t="s">
        <v>3469</v>
      </c>
      <c r="C3283" s="545">
        <v>3</v>
      </c>
      <c r="D3283" s="545">
        <v>1</v>
      </c>
      <c r="E3283" s="545">
        <v>1.3333333333333333</v>
      </c>
      <c r="F3283" s="545">
        <v>2.4761904761904758</v>
      </c>
      <c r="G3283" s="545">
        <v>1.5789473684210527</v>
      </c>
      <c r="H3283" s="545">
        <v>3</v>
      </c>
      <c r="I3283" s="545">
        <v>0</v>
      </c>
      <c r="J3283" s="545">
        <v>1.5563909774436091</v>
      </c>
    </row>
    <row r="3284" spans="1:10">
      <c r="A3284" s="441">
        <v>2489</v>
      </c>
      <c r="B3284" s="441" t="s">
        <v>3470</v>
      </c>
      <c r="C3284" s="545">
        <v>2.833333333333333</v>
      </c>
      <c r="D3284" s="545">
        <v>0.66666666666666663</v>
      </c>
      <c r="E3284" s="545">
        <v>0</v>
      </c>
      <c r="F3284" s="545">
        <v>2.1190476190476186</v>
      </c>
      <c r="G3284" s="545">
        <v>0.52631578947368418</v>
      </c>
      <c r="H3284" s="545">
        <v>0</v>
      </c>
      <c r="I3284" s="545">
        <v>0</v>
      </c>
      <c r="J3284" s="545">
        <v>0.37593984962406013</v>
      </c>
    </row>
    <row r="3285" spans="1:10">
      <c r="A3285" s="441">
        <v>8547</v>
      </c>
      <c r="B3285" s="441" t="s">
        <v>3470</v>
      </c>
      <c r="C3285" s="545">
        <v>2.833333333333333</v>
      </c>
      <c r="D3285" s="545">
        <v>0</v>
      </c>
      <c r="E3285" s="545">
        <v>3</v>
      </c>
      <c r="F3285" s="545">
        <v>2.4523809523809521</v>
      </c>
      <c r="G3285" s="545">
        <v>1.631578947368421</v>
      </c>
      <c r="H3285" s="545">
        <v>0</v>
      </c>
      <c r="I3285" s="545">
        <v>0</v>
      </c>
      <c r="J3285" s="545">
        <v>1.1654135338345863</v>
      </c>
    </row>
    <row r="3286" spans="1:10">
      <c r="A3286" s="441">
        <v>2488</v>
      </c>
      <c r="B3286" s="441" t="s">
        <v>3471</v>
      </c>
      <c r="C3286" s="545">
        <v>2.1666666666666665</v>
      </c>
      <c r="D3286" s="545">
        <v>0.66666666666666663</v>
      </c>
      <c r="E3286" s="545">
        <v>0.33333333333333331</v>
      </c>
      <c r="F3286" s="545">
        <v>1.6904761904761902</v>
      </c>
      <c r="G3286" s="545">
        <v>1.3157894736842106</v>
      </c>
      <c r="H3286" s="545">
        <v>0.66666666666666663</v>
      </c>
      <c r="I3286" s="545">
        <v>0.66666666666666663</v>
      </c>
      <c r="J3286" s="545">
        <v>1.1303258145363411</v>
      </c>
    </row>
    <row r="3287" spans="1:10">
      <c r="A3287" s="441">
        <v>8548</v>
      </c>
      <c r="B3287" s="441" t="s">
        <v>3471</v>
      </c>
      <c r="C3287" s="545">
        <v>2.1666666666666665</v>
      </c>
      <c r="D3287" s="545">
        <v>0.66666666666666663</v>
      </c>
      <c r="E3287" s="545">
        <v>0</v>
      </c>
      <c r="F3287" s="545">
        <v>1.6428571428571426</v>
      </c>
      <c r="G3287" s="545">
        <v>0</v>
      </c>
      <c r="H3287" s="545">
        <v>0.33333333333333331</v>
      </c>
      <c r="I3287" s="545">
        <v>0</v>
      </c>
      <c r="J3287" s="545">
        <v>4.7619047619047616E-2</v>
      </c>
    </row>
    <row r="3288" spans="1:10">
      <c r="A3288" s="441">
        <v>2473</v>
      </c>
      <c r="B3288" s="441" t="s">
        <v>3472</v>
      </c>
      <c r="C3288" s="545">
        <v>1</v>
      </c>
      <c r="D3288" s="545">
        <v>0.66666666666666663</v>
      </c>
      <c r="E3288" s="545">
        <v>0.66666666666666663</v>
      </c>
      <c r="F3288" s="545">
        <v>0.90476190476190488</v>
      </c>
      <c r="G3288" s="545">
        <v>1</v>
      </c>
      <c r="H3288" s="545">
        <v>1</v>
      </c>
      <c r="I3288" s="545">
        <v>0.66666666666666663</v>
      </c>
      <c r="J3288" s="545">
        <v>0.95238095238095244</v>
      </c>
    </row>
    <row r="3289" spans="1:10">
      <c r="A3289" s="441">
        <v>8563</v>
      </c>
      <c r="B3289" s="441" t="s">
        <v>3472</v>
      </c>
      <c r="C3289" s="545">
        <v>1.5</v>
      </c>
      <c r="D3289" s="545">
        <v>0</v>
      </c>
      <c r="E3289" s="545">
        <v>0.66666666666666663</v>
      </c>
      <c r="F3289" s="545">
        <v>1.1666666666666665</v>
      </c>
      <c r="G3289" s="545">
        <v>1</v>
      </c>
      <c r="H3289" s="545">
        <v>1.3333333333333333</v>
      </c>
      <c r="I3289" s="545">
        <v>0</v>
      </c>
      <c r="J3289" s="545">
        <v>0.90476190476190477</v>
      </c>
    </row>
    <row r="3290" spans="1:10">
      <c r="A3290" s="441">
        <v>10080</v>
      </c>
      <c r="B3290" s="441" t="s">
        <v>3473</v>
      </c>
      <c r="C3290" s="545">
        <v>22.666666666666668</v>
      </c>
      <c r="D3290" s="545">
        <v>9</v>
      </c>
      <c r="E3290" s="545">
        <v>7.666666666666667</v>
      </c>
      <c r="F3290" s="545">
        <v>18.571428571428573</v>
      </c>
      <c r="G3290" s="545">
        <v>12.526315789473685</v>
      </c>
      <c r="H3290" s="545">
        <v>10.333333333333334</v>
      </c>
      <c r="I3290" s="545">
        <v>8.6666666666666661</v>
      </c>
      <c r="J3290" s="545">
        <v>11.661654135338347</v>
      </c>
    </row>
    <row r="3291" spans="1:10">
      <c r="A3291" s="441">
        <v>11924</v>
      </c>
      <c r="B3291" s="441" t="s">
        <v>3473</v>
      </c>
      <c r="C3291" s="545">
        <v>12.5</v>
      </c>
      <c r="D3291" s="545">
        <v>5.666666666666667</v>
      </c>
      <c r="E3291" s="545">
        <v>7.666666666666667</v>
      </c>
      <c r="F3291" s="545">
        <v>10.833333333333334</v>
      </c>
      <c r="G3291" s="545">
        <v>10.263157894736842</v>
      </c>
      <c r="H3291" s="545">
        <v>9</v>
      </c>
      <c r="I3291" s="545">
        <v>6.666666666666667</v>
      </c>
      <c r="J3291" s="545">
        <v>9.5689223057644117</v>
      </c>
    </row>
    <row r="3292" spans="1:10">
      <c r="A3292" s="441">
        <v>11925</v>
      </c>
      <c r="B3292" s="441" t="s">
        <v>3473</v>
      </c>
      <c r="C3292" s="545">
        <v>6</v>
      </c>
      <c r="D3292" s="545">
        <v>3.3333333333333335</v>
      </c>
      <c r="E3292" s="545">
        <v>2.3333333333333335</v>
      </c>
      <c r="F3292" s="545">
        <v>5.0952380952380958</v>
      </c>
      <c r="G3292" s="545">
        <v>3.736842105263158</v>
      </c>
      <c r="H3292" s="545">
        <v>2.6666666666666665</v>
      </c>
      <c r="I3292" s="545">
        <v>1.6666666666666667</v>
      </c>
      <c r="J3292" s="545">
        <v>3.2882205513784468</v>
      </c>
    </row>
    <row r="3293" spans="1:10">
      <c r="A3293" s="441">
        <v>10079</v>
      </c>
      <c r="B3293" s="441" t="s">
        <v>3474</v>
      </c>
      <c r="C3293" s="545">
        <v>24.833333333333332</v>
      </c>
      <c r="D3293" s="545">
        <v>11.666666666666668</v>
      </c>
      <c r="E3293" s="545">
        <v>10.333333333333334</v>
      </c>
      <c r="F3293" s="545">
        <v>20.88095238095238</v>
      </c>
      <c r="G3293" s="545">
        <v>16.526315789473685</v>
      </c>
      <c r="H3293" s="545">
        <v>9</v>
      </c>
      <c r="I3293" s="545">
        <v>6</v>
      </c>
      <c r="J3293" s="545">
        <v>13.947368421052632</v>
      </c>
    </row>
    <row r="3294" spans="1:10">
      <c r="A3294" s="441">
        <v>10081</v>
      </c>
      <c r="B3294" s="441" t="s">
        <v>3474</v>
      </c>
      <c r="C3294" s="545">
        <v>4.3333333333333339</v>
      </c>
      <c r="D3294" s="545">
        <v>3.3333333333333335</v>
      </c>
      <c r="E3294" s="545">
        <v>3.3333333333333335</v>
      </c>
      <c r="F3294" s="545">
        <v>4.0476190476190483</v>
      </c>
      <c r="G3294" s="545">
        <v>2.4210526315789473</v>
      </c>
      <c r="H3294" s="545">
        <v>1.6666666666666667</v>
      </c>
      <c r="I3294" s="545">
        <v>1.3333333333333333</v>
      </c>
      <c r="J3294" s="545">
        <v>2.1578947368421053</v>
      </c>
    </row>
    <row r="3295" spans="1:10">
      <c r="A3295" s="441">
        <v>10085</v>
      </c>
      <c r="B3295" s="441" t="s">
        <v>3474</v>
      </c>
      <c r="C3295" s="545">
        <v>10.166666666666666</v>
      </c>
      <c r="D3295" s="545">
        <v>4</v>
      </c>
      <c r="E3295" s="545">
        <v>6.333333333333333</v>
      </c>
      <c r="F3295" s="545">
        <v>8.7380952380952372</v>
      </c>
      <c r="G3295" s="545">
        <v>5</v>
      </c>
      <c r="H3295" s="545">
        <v>4.333333333333333</v>
      </c>
      <c r="I3295" s="545">
        <v>2.3333333333333335</v>
      </c>
      <c r="J3295" s="545">
        <v>4.5238095238095237</v>
      </c>
    </row>
    <row r="3296" spans="1:10">
      <c r="A3296" s="441">
        <v>11926</v>
      </c>
      <c r="B3296" s="441" t="s">
        <v>3474</v>
      </c>
      <c r="C3296" s="545">
        <v>27.333333333333336</v>
      </c>
      <c r="D3296" s="545">
        <v>8.6666666666666679</v>
      </c>
      <c r="E3296" s="545">
        <v>12.333333333333334</v>
      </c>
      <c r="F3296" s="545">
        <v>22.523809523809526</v>
      </c>
      <c r="G3296" s="545">
        <v>17.05263157894737</v>
      </c>
      <c r="H3296" s="545">
        <v>15.333333333333334</v>
      </c>
      <c r="I3296" s="545">
        <v>10.333333333333334</v>
      </c>
      <c r="J3296" s="545">
        <v>15.847117794486214</v>
      </c>
    </row>
    <row r="3297" spans="1:10">
      <c r="A3297" s="441">
        <v>2490</v>
      </c>
      <c r="B3297" s="441" t="s">
        <v>3475</v>
      </c>
      <c r="C3297" s="545">
        <v>3.5</v>
      </c>
      <c r="D3297" s="545">
        <v>1.3333333333333333</v>
      </c>
      <c r="E3297" s="545">
        <v>2.333333333333333</v>
      </c>
      <c r="F3297" s="545">
        <v>3.0238095238095233</v>
      </c>
      <c r="G3297" s="545">
        <v>2.5263157894736841</v>
      </c>
      <c r="H3297" s="545">
        <v>0.66666666666666663</v>
      </c>
      <c r="I3297" s="545">
        <v>1.3333333333333333</v>
      </c>
      <c r="J3297" s="545">
        <v>2.0902255639097747</v>
      </c>
    </row>
    <row r="3298" spans="1:10">
      <c r="A3298" s="441">
        <v>8546</v>
      </c>
      <c r="B3298" s="441" t="s">
        <v>3475</v>
      </c>
      <c r="C3298" s="545">
        <v>4.666666666666667</v>
      </c>
      <c r="D3298" s="545">
        <v>1.6666666666666665</v>
      </c>
      <c r="E3298" s="545">
        <v>1.3333333333333333</v>
      </c>
      <c r="F3298" s="545">
        <v>3.7619047619047623</v>
      </c>
      <c r="G3298" s="545">
        <v>2.0526315789473686</v>
      </c>
      <c r="H3298" s="545">
        <v>1.3333333333333333</v>
      </c>
      <c r="I3298" s="545">
        <v>2.6666666666666665</v>
      </c>
      <c r="J3298" s="545">
        <v>2.0375939849624061</v>
      </c>
    </row>
    <row r="3299" spans="1:10">
      <c r="A3299" s="441">
        <v>2472</v>
      </c>
      <c r="B3299" s="441" t="s">
        <v>3476</v>
      </c>
      <c r="C3299" s="545">
        <v>12</v>
      </c>
      <c r="D3299" s="545">
        <v>10.333333333333332</v>
      </c>
      <c r="E3299" s="545">
        <v>6.3333333333333339</v>
      </c>
      <c r="F3299" s="545">
        <v>10.952380952380951</v>
      </c>
      <c r="G3299" s="545">
        <v>4.7368421052631575</v>
      </c>
      <c r="H3299" s="545">
        <v>6</v>
      </c>
      <c r="I3299" s="545">
        <v>2</v>
      </c>
      <c r="J3299" s="545">
        <v>4.5263157894736841</v>
      </c>
    </row>
    <row r="3300" spans="1:10">
      <c r="A3300" s="441">
        <v>8564</v>
      </c>
      <c r="B3300" s="441" t="s">
        <v>3476</v>
      </c>
      <c r="C3300" s="545">
        <v>15.166666666666666</v>
      </c>
      <c r="D3300" s="545">
        <v>4.333333333333333</v>
      </c>
      <c r="E3300" s="545">
        <v>6</v>
      </c>
      <c r="F3300" s="545">
        <v>12.309523809523808</v>
      </c>
      <c r="G3300" s="545">
        <v>6.7368421052631575</v>
      </c>
      <c r="H3300" s="545">
        <v>7</v>
      </c>
      <c r="I3300" s="545">
        <v>4</v>
      </c>
      <c r="J3300" s="545">
        <v>6.3834586466165408</v>
      </c>
    </row>
    <row r="3301" spans="1:10">
      <c r="A3301" s="441">
        <v>8565</v>
      </c>
      <c r="B3301" s="441" t="s">
        <v>3476</v>
      </c>
      <c r="C3301" s="545">
        <v>18.5</v>
      </c>
      <c r="D3301" s="545">
        <v>20.333333333333332</v>
      </c>
      <c r="E3301" s="545">
        <v>10</v>
      </c>
      <c r="F3301" s="545">
        <v>17.547619047619047</v>
      </c>
      <c r="G3301" s="545">
        <v>13.789473684210526</v>
      </c>
      <c r="H3301" s="545">
        <v>10.666666666666666</v>
      </c>
      <c r="I3301" s="545">
        <v>7.333333333333333</v>
      </c>
      <c r="J3301" s="545">
        <v>12.421052631578947</v>
      </c>
    </row>
    <row r="3302" spans="1:10">
      <c r="A3302" s="441">
        <v>2444</v>
      </c>
      <c r="B3302" s="441" t="s">
        <v>3477</v>
      </c>
      <c r="C3302" s="545">
        <v>0.5</v>
      </c>
      <c r="D3302" s="545">
        <v>0.66666666666666663</v>
      </c>
      <c r="E3302" s="545">
        <v>1</v>
      </c>
      <c r="F3302" s="545">
        <v>0.59523809523809512</v>
      </c>
      <c r="G3302" s="545">
        <v>0.89473684210526316</v>
      </c>
      <c r="H3302" s="545">
        <v>0.66666666666666663</v>
      </c>
      <c r="I3302" s="545">
        <v>0.33333333333333331</v>
      </c>
      <c r="J3302" s="545">
        <v>0.78195488721804518</v>
      </c>
    </row>
    <row r="3303" spans="1:10">
      <c r="A3303" s="441">
        <v>8569</v>
      </c>
      <c r="B3303" s="441" t="s">
        <v>3477</v>
      </c>
      <c r="C3303" s="545">
        <v>0.5</v>
      </c>
      <c r="D3303" s="545">
        <v>0</v>
      </c>
      <c r="E3303" s="545">
        <v>0</v>
      </c>
      <c r="F3303" s="545">
        <v>0.35714285714285715</v>
      </c>
      <c r="G3303" s="545">
        <v>5.2631578947368418E-2</v>
      </c>
      <c r="H3303" s="545">
        <v>2.3333333333333335</v>
      </c>
      <c r="I3303" s="545">
        <v>0</v>
      </c>
      <c r="J3303" s="545">
        <v>0.37092731829573938</v>
      </c>
    </row>
    <row r="3304" spans="1:10">
      <c r="A3304" s="441">
        <v>10082</v>
      </c>
      <c r="B3304" s="441" t="s">
        <v>3477</v>
      </c>
      <c r="C3304" s="545">
        <v>1.1666666666666667</v>
      </c>
      <c r="D3304" s="545">
        <v>0</v>
      </c>
      <c r="E3304" s="545">
        <v>0.33333333333333331</v>
      </c>
      <c r="F3304" s="545">
        <v>0.88095238095238104</v>
      </c>
      <c r="G3304" s="545">
        <v>1</v>
      </c>
      <c r="H3304" s="545">
        <v>0</v>
      </c>
      <c r="I3304" s="545">
        <v>0.33333333333333331</v>
      </c>
      <c r="J3304" s="545">
        <v>0.76190476190476186</v>
      </c>
    </row>
    <row r="3305" spans="1:10">
      <c r="A3305" s="441">
        <v>8570</v>
      </c>
      <c r="B3305" s="441" t="s">
        <v>3478</v>
      </c>
      <c r="C3305" s="545">
        <v>0.33333333333333331</v>
      </c>
      <c r="D3305" s="545">
        <v>1</v>
      </c>
      <c r="E3305" s="545">
        <v>0</v>
      </c>
      <c r="F3305" s="545">
        <v>0.38095238095238093</v>
      </c>
      <c r="G3305" s="545">
        <v>1.263157894736842</v>
      </c>
      <c r="H3305" s="545">
        <v>0.33333333333333331</v>
      </c>
      <c r="I3305" s="545">
        <v>0</v>
      </c>
      <c r="J3305" s="545">
        <v>0.94987468671679198</v>
      </c>
    </row>
    <row r="3306" spans="1:10">
      <c r="A3306" s="441">
        <v>10083</v>
      </c>
      <c r="B3306" s="441" t="s">
        <v>3479</v>
      </c>
      <c r="C3306" s="545">
        <v>0.16666666666666666</v>
      </c>
      <c r="D3306" s="545">
        <v>0</v>
      </c>
      <c r="E3306" s="545">
        <v>0</v>
      </c>
      <c r="F3306" s="545">
        <v>0.11904761904761904</v>
      </c>
      <c r="G3306" s="545">
        <v>0.31578947368421051</v>
      </c>
      <c r="H3306" s="545">
        <v>0.33333333333333331</v>
      </c>
      <c r="I3306" s="545">
        <v>0</v>
      </c>
      <c r="J3306" s="545">
        <v>0.27318295739348369</v>
      </c>
    </row>
    <row r="3307" spans="1:10">
      <c r="A3307" s="441">
        <v>2491</v>
      </c>
      <c r="B3307" s="441" t="s">
        <v>3480</v>
      </c>
      <c r="C3307" s="545">
        <v>22.333333333333336</v>
      </c>
      <c r="D3307" s="545">
        <v>10</v>
      </c>
      <c r="E3307" s="545">
        <v>7.3333333333333339</v>
      </c>
      <c r="F3307" s="545">
        <v>18.428571428571434</v>
      </c>
      <c r="G3307" s="545">
        <v>14.210526315789474</v>
      </c>
      <c r="H3307" s="545">
        <v>13.333333333333334</v>
      </c>
      <c r="I3307" s="545">
        <v>8</v>
      </c>
      <c r="J3307" s="545">
        <v>13.197994987468672</v>
      </c>
    </row>
    <row r="3308" spans="1:10">
      <c r="A3308" s="441">
        <v>8545</v>
      </c>
      <c r="B3308" s="441" t="s">
        <v>3480</v>
      </c>
      <c r="C3308" s="545">
        <v>21</v>
      </c>
      <c r="D3308" s="545">
        <v>10.666666666666666</v>
      </c>
      <c r="E3308" s="545">
        <v>9.6666666666666679</v>
      </c>
      <c r="F3308" s="545">
        <v>17.904761904761905</v>
      </c>
      <c r="G3308" s="545">
        <v>15.315789473684211</v>
      </c>
      <c r="H3308" s="545">
        <v>11</v>
      </c>
      <c r="I3308" s="545">
        <v>6.333333333333333</v>
      </c>
      <c r="J3308" s="545">
        <v>13.416040100250626</v>
      </c>
    </row>
    <row r="3309" spans="1:10">
      <c r="A3309" s="441">
        <v>2494</v>
      </c>
      <c r="B3309" s="441" t="s">
        <v>3481</v>
      </c>
      <c r="C3309" s="545">
        <v>1.6666666666666667</v>
      </c>
      <c r="D3309" s="545">
        <v>0.33333333333333331</v>
      </c>
      <c r="E3309" s="545">
        <v>0</v>
      </c>
      <c r="F3309" s="545">
        <v>1.2380952380952384</v>
      </c>
      <c r="G3309" s="545">
        <v>2.8947368421052633</v>
      </c>
      <c r="H3309" s="545">
        <v>0.66666666666666663</v>
      </c>
      <c r="I3309" s="545">
        <v>0</v>
      </c>
      <c r="J3309" s="545">
        <v>2.162907268170426</v>
      </c>
    </row>
    <row r="3310" spans="1:10">
      <c r="A3310" s="441">
        <v>8542</v>
      </c>
      <c r="B3310" s="441" t="s">
        <v>3481</v>
      </c>
      <c r="C3310" s="545">
        <v>0.66666666666666663</v>
      </c>
      <c r="D3310" s="545">
        <v>0.66666666666666663</v>
      </c>
      <c r="E3310" s="545">
        <v>0</v>
      </c>
      <c r="F3310" s="545">
        <v>0.5714285714285714</v>
      </c>
      <c r="G3310" s="545">
        <v>0.42105263157894735</v>
      </c>
      <c r="H3310" s="545">
        <v>0.66666666666666663</v>
      </c>
      <c r="I3310" s="545">
        <v>2</v>
      </c>
      <c r="J3310" s="545">
        <v>0.68170426065162903</v>
      </c>
    </row>
    <row r="3311" spans="1:10">
      <c r="A3311" s="441">
        <v>9098</v>
      </c>
      <c r="B3311" s="441" t="s">
        <v>3482</v>
      </c>
      <c r="C3311" s="545">
        <v>0.33333333333333331</v>
      </c>
      <c r="D3311" s="545">
        <v>0.33333333333333331</v>
      </c>
      <c r="E3311" s="545">
        <v>0</v>
      </c>
      <c r="F3311" s="545">
        <v>0.2857142857142857</v>
      </c>
      <c r="G3311" s="545">
        <v>1.2</v>
      </c>
      <c r="H3311" s="545">
        <v>0.33333333333333331</v>
      </c>
      <c r="I3311" s="545">
        <v>0.66666666666666663</v>
      </c>
      <c r="J3311" s="545">
        <v>1</v>
      </c>
    </row>
    <row r="3312" spans="1:10">
      <c r="A3312" s="441">
        <v>9122</v>
      </c>
      <c r="B3312" s="441" t="s">
        <v>3482</v>
      </c>
      <c r="C3312" s="545">
        <v>26.333333333333336</v>
      </c>
      <c r="D3312" s="545">
        <v>16.333333333333332</v>
      </c>
      <c r="E3312" s="545">
        <v>11.333333333333332</v>
      </c>
      <c r="F3312" s="545">
        <v>22.761904761904766</v>
      </c>
      <c r="G3312" s="545">
        <v>53.45</v>
      </c>
      <c r="H3312" s="545">
        <v>40</v>
      </c>
      <c r="I3312" s="545">
        <v>30.333333333333332</v>
      </c>
      <c r="J3312" s="545">
        <v>48.226190476190474</v>
      </c>
    </row>
    <row r="3313" spans="1:10">
      <c r="A3313" s="441">
        <v>11879</v>
      </c>
      <c r="B3313" s="441" t="s">
        <v>3483</v>
      </c>
      <c r="C3313" s="545">
        <v>0.16666666666666666</v>
      </c>
      <c r="D3313" s="545">
        <v>0.33333333333333331</v>
      </c>
      <c r="E3313" s="545">
        <v>0</v>
      </c>
      <c r="F3313" s="545">
        <v>0.16666666666666666</v>
      </c>
      <c r="G3313" s="545">
        <v>0</v>
      </c>
      <c r="H3313" s="545">
        <v>0</v>
      </c>
      <c r="I3313" s="545">
        <v>0</v>
      </c>
      <c r="J3313" s="545">
        <v>0</v>
      </c>
    </row>
    <row r="3314" spans="1:10">
      <c r="A3314" s="441">
        <v>9099</v>
      </c>
      <c r="B3314" s="441" t="s">
        <v>3484</v>
      </c>
      <c r="C3314" s="545">
        <v>1</v>
      </c>
      <c r="D3314" s="545">
        <v>0</v>
      </c>
      <c r="E3314" s="545">
        <v>0</v>
      </c>
      <c r="F3314" s="545">
        <v>0.7142857142857143</v>
      </c>
      <c r="G3314" s="545">
        <v>0.4</v>
      </c>
      <c r="H3314" s="545">
        <v>0</v>
      </c>
      <c r="I3314" s="545">
        <v>0.66666666666666663</v>
      </c>
      <c r="J3314" s="545">
        <v>0.38095238095238093</v>
      </c>
    </row>
    <row r="3315" spans="1:10">
      <c r="A3315" s="441">
        <v>9121</v>
      </c>
      <c r="B3315" s="441" t="s">
        <v>3484</v>
      </c>
      <c r="C3315" s="545">
        <v>0</v>
      </c>
      <c r="D3315" s="545">
        <v>0</v>
      </c>
      <c r="E3315" s="545">
        <v>0</v>
      </c>
      <c r="F3315" s="545">
        <v>0</v>
      </c>
      <c r="G3315" s="545">
        <v>0.35</v>
      </c>
      <c r="H3315" s="545">
        <v>0</v>
      </c>
      <c r="I3315" s="545">
        <v>0</v>
      </c>
      <c r="J3315" s="545">
        <v>0.25</v>
      </c>
    </row>
    <row r="3316" spans="1:10">
      <c r="A3316" s="441">
        <v>11880</v>
      </c>
      <c r="B3316" s="441" t="s">
        <v>3485</v>
      </c>
      <c r="C3316" s="545">
        <v>1.6666666666666667</v>
      </c>
      <c r="D3316" s="545">
        <v>0</v>
      </c>
      <c r="E3316" s="545">
        <v>0</v>
      </c>
      <c r="F3316" s="545">
        <v>1.1904761904761905</v>
      </c>
      <c r="G3316" s="545">
        <v>0.2</v>
      </c>
      <c r="H3316" s="545">
        <v>0</v>
      </c>
      <c r="I3316" s="545">
        <v>0</v>
      </c>
      <c r="J3316" s="545">
        <v>0.14285714285714285</v>
      </c>
    </row>
    <row r="3317" spans="1:10">
      <c r="A3317" s="441">
        <v>11014</v>
      </c>
      <c r="B3317" s="441" t="s">
        <v>3486</v>
      </c>
      <c r="C3317" s="545">
        <v>2.833333333333333</v>
      </c>
      <c r="D3317" s="545">
        <v>2.3333333333333335</v>
      </c>
      <c r="E3317" s="545">
        <v>0</v>
      </c>
      <c r="F3317" s="545">
        <v>2.3571428571428568</v>
      </c>
      <c r="G3317" s="545">
        <v>1.9</v>
      </c>
      <c r="H3317" s="545">
        <v>0</v>
      </c>
      <c r="I3317" s="545">
        <v>0</v>
      </c>
      <c r="J3317" s="545">
        <v>1.3571428571428572</v>
      </c>
    </row>
    <row r="3318" spans="1:10">
      <c r="A3318" s="441">
        <v>1730</v>
      </c>
      <c r="B3318" s="441" t="s">
        <v>3487</v>
      </c>
      <c r="C3318" s="545">
        <v>3.8333333333333335</v>
      </c>
      <c r="D3318" s="545">
        <v>3.3333333333333335</v>
      </c>
      <c r="E3318" s="545">
        <v>4</v>
      </c>
      <c r="F3318" s="545">
        <v>3.7857142857142856</v>
      </c>
      <c r="G3318" s="545">
        <v>2</v>
      </c>
      <c r="H3318" s="545">
        <v>1.6666666666666667</v>
      </c>
      <c r="I3318" s="545">
        <v>0</v>
      </c>
      <c r="J3318" s="545">
        <v>1.6666666666666665</v>
      </c>
    </row>
    <row r="3319" spans="1:10">
      <c r="A3319" s="441">
        <v>3202</v>
      </c>
      <c r="B3319" s="441" t="s">
        <v>3488</v>
      </c>
      <c r="C3319" s="545">
        <v>3.6666666666666665</v>
      </c>
      <c r="D3319" s="545">
        <v>0.66666666666666663</v>
      </c>
      <c r="E3319" s="545">
        <v>1</v>
      </c>
      <c r="F3319" s="545">
        <v>2.8571428571428572</v>
      </c>
      <c r="G3319" s="545">
        <v>1.8</v>
      </c>
      <c r="H3319" s="545">
        <v>0.66666666666666663</v>
      </c>
      <c r="I3319" s="545">
        <v>0</v>
      </c>
      <c r="J3319" s="545">
        <v>1.3809523809523809</v>
      </c>
    </row>
    <row r="3320" spans="1:10">
      <c r="A3320" s="441">
        <v>4233</v>
      </c>
      <c r="B3320" s="441" t="s">
        <v>3489</v>
      </c>
      <c r="C3320" s="545">
        <v>14.666666666666668</v>
      </c>
      <c r="D3320" s="545">
        <v>6.3333333333333339</v>
      </c>
      <c r="E3320" s="545">
        <v>3</v>
      </c>
      <c r="F3320" s="545">
        <v>11.80952380952381</v>
      </c>
      <c r="G3320" s="545">
        <v>2.5</v>
      </c>
      <c r="H3320" s="545">
        <v>0.66666666666666663</v>
      </c>
      <c r="I3320" s="545">
        <v>1.3333333333333333</v>
      </c>
      <c r="J3320" s="545">
        <v>2.0714285714285716</v>
      </c>
    </row>
    <row r="3321" spans="1:10">
      <c r="A3321" s="441">
        <v>4235</v>
      </c>
      <c r="B3321" s="441" t="s">
        <v>3490</v>
      </c>
      <c r="C3321" s="545">
        <v>68.5</v>
      </c>
      <c r="D3321" s="545">
        <v>18.333333333333332</v>
      </c>
      <c r="E3321" s="545">
        <v>22</v>
      </c>
      <c r="F3321" s="545">
        <v>54.69047619047619</v>
      </c>
      <c r="G3321" s="545">
        <v>28.75</v>
      </c>
      <c r="H3321" s="545">
        <v>5</v>
      </c>
      <c r="I3321" s="545">
        <v>7.666666666666667</v>
      </c>
      <c r="J3321" s="545">
        <v>22.345238095238095</v>
      </c>
    </row>
    <row r="3322" spans="1:10">
      <c r="A3322" s="441">
        <v>4228</v>
      </c>
      <c r="B3322" s="441" t="s">
        <v>3491</v>
      </c>
      <c r="C3322" s="545">
        <v>34</v>
      </c>
      <c r="D3322" s="545">
        <v>21.666666666666668</v>
      </c>
      <c r="E3322" s="545">
        <v>18</v>
      </c>
      <c r="F3322" s="545">
        <v>29.952380952380953</v>
      </c>
      <c r="G3322" s="545">
        <v>23.8</v>
      </c>
      <c r="H3322" s="545">
        <v>11.666666666666666</v>
      </c>
      <c r="I3322" s="545">
        <v>6.333333333333333</v>
      </c>
      <c r="J3322" s="545">
        <v>19.571428571428573</v>
      </c>
    </row>
    <row r="3323" spans="1:10">
      <c r="A3323" s="441">
        <v>4234</v>
      </c>
      <c r="B3323" s="441" t="s">
        <v>3492</v>
      </c>
      <c r="C3323" s="545">
        <v>145.66666666666666</v>
      </c>
      <c r="D3323" s="545">
        <v>102.66666666666666</v>
      </c>
      <c r="E3323" s="545">
        <v>69.333333333333329</v>
      </c>
      <c r="F3323" s="545">
        <v>128.61904761904762</v>
      </c>
      <c r="G3323" s="545">
        <v>106</v>
      </c>
      <c r="H3323" s="545">
        <v>42.666666666666664</v>
      </c>
      <c r="I3323" s="545">
        <v>47</v>
      </c>
      <c r="J3323" s="545">
        <v>88.523809523809518</v>
      </c>
    </row>
    <row r="3324" spans="1:10">
      <c r="A3324" s="441">
        <v>4231</v>
      </c>
      <c r="B3324" s="441" t="s">
        <v>3493</v>
      </c>
      <c r="C3324" s="545">
        <v>9.6666666666666661</v>
      </c>
      <c r="D3324" s="545">
        <v>9.3333333333333321</v>
      </c>
      <c r="E3324" s="545">
        <v>6.333333333333333</v>
      </c>
      <c r="F3324" s="545">
        <v>9.1428571428571423</v>
      </c>
      <c r="G3324" s="545">
        <v>5.55</v>
      </c>
      <c r="H3324" s="545">
        <v>3.6666666666666665</v>
      </c>
      <c r="I3324" s="545">
        <v>3</v>
      </c>
      <c r="J3324" s="545">
        <v>4.916666666666667</v>
      </c>
    </row>
    <row r="3325" spans="1:10">
      <c r="A3325" s="441">
        <v>4232</v>
      </c>
      <c r="B3325" s="441" t="s">
        <v>3494</v>
      </c>
      <c r="C3325" s="545">
        <v>9.6666666666666661</v>
      </c>
      <c r="D3325" s="545">
        <v>7.333333333333333</v>
      </c>
      <c r="E3325" s="545">
        <v>3.6666666666666665</v>
      </c>
      <c r="F3325" s="545">
        <v>8.4761904761904763</v>
      </c>
      <c r="G3325" s="545">
        <v>3.65</v>
      </c>
      <c r="H3325" s="545">
        <v>4.666666666666667</v>
      </c>
      <c r="I3325" s="545">
        <v>3.6666666666666665</v>
      </c>
      <c r="J3325" s="545">
        <v>3.7976190476190479</v>
      </c>
    </row>
    <row r="3326" spans="1:10">
      <c r="A3326" s="441">
        <v>4223</v>
      </c>
      <c r="B3326" s="441" t="s">
        <v>3495</v>
      </c>
      <c r="C3326" s="545">
        <v>15.166666666666668</v>
      </c>
      <c r="D3326" s="545">
        <v>20.333333333333332</v>
      </c>
      <c r="E3326" s="545">
        <v>15.333333333333332</v>
      </c>
      <c r="F3326" s="545">
        <v>15.928571428571429</v>
      </c>
      <c r="G3326" s="545">
        <v>5.15</v>
      </c>
      <c r="H3326" s="545">
        <v>3.6666666666666665</v>
      </c>
      <c r="I3326" s="545">
        <v>2.3333333333333335</v>
      </c>
      <c r="J3326" s="545">
        <v>4.5357142857142856</v>
      </c>
    </row>
    <row r="3327" spans="1:10">
      <c r="A3327" s="441">
        <v>4224</v>
      </c>
      <c r="B3327" s="441" t="s">
        <v>3496</v>
      </c>
      <c r="C3327" s="545">
        <v>7</v>
      </c>
      <c r="D3327" s="545">
        <v>10</v>
      </c>
      <c r="E3327" s="545">
        <v>7.6666666666666661</v>
      </c>
      <c r="F3327" s="545">
        <v>7.5238095238095237</v>
      </c>
      <c r="G3327" s="545">
        <v>2.65</v>
      </c>
      <c r="H3327" s="545">
        <v>1.6666666666666667</v>
      </c>
      <c r="I3327" s="545">
        <v>1.3333333333333333</v>
      </c>
      <c r="J3327" s="545">
        <v>2.3214285714285716</v>
      </c>
    </row>
    <row r="3328" spans="1:10">
      <c r="A3328" s="441">
        <v>4229</v>
      </c>
      <c r="B3328" s="441" t="s">
        <v>3497</v>
      </c>
      <c r="C3328" s="545">
        <v>9.1666666666666679</v>
      </c>
      <c r="D3328" s="545">
        <v>5.3333333333333339</v>
      </c>
      <c r="E3328" s="545">
        <v>6.6666666666666661</v>
      </c>
      <c r="F3328" s="545">
        <v>8.2619047619047628</v>
      </c>
      <c r="G3328" s="545">
        <v>2.1</v>
      </c>
      <c r="H3328" s="545">
        <v>0.66666666666666663</v>
      </c>
      <c r="I3328" s="545">
        <v>3.3333333333333335</v>
      </c>
      <c r="J3328" s="545">
        <v>2.0714285714285716</v>
      </c>
    </row>
    <row r="3329" spans="1:10">
      <c r="A3329" s="441">
        <v>4227</v>
      </c>
      <c r="B3329" s="441" t="s">
        <v>3498</v>
      </c>
      <c r="C3329" s="545">
        <v>4.833333333333333</v>
      </c>
      <c r="D3329" s="545">
        <v>2.333333333333333</v>
      </c>
      <c r="E3329" s="545">
        <v>3</v>
      </c>
      <c r="F3329" s="545">
        <v>4.2142857142857135</v>
      </c>
      <c r="G3329" s="545">
        <v>1</v>
      </c>
      <c r="H3329" s="545">
        <v>0.33333333333333331</v>
      </c>
      <c r="I3329" s="545">
        <v>1.3333333333333333</v>
      </c>
      <c r="J3329" s="545">
        <v>0.95238095238095233</v>
      </c>
    </row>
    <row r="3330" spans="1:10">
      <c r="A3330" s="441">
        <v>4225</v>
      </c>
      <c r="B3330" s="441" t="s">
        <v>3499</v>
      </c>
      <c r="C3330" s="545">
        <v>6.1666666666666661</v>
      </c>
      <c r="D3330" s="545">
        <v>3.666666666666667</v>
      </c>
      <c r="E3330" s="545">
        <v>5.666666666666667</v>
      </c>
      <c r="F3330" s="545">
        <v>5.7380952380952364</v>
      </c>
      <c r="G3330" s="545">
        <v>4.95</v>
      </c>
      <c r="H3330" s="545">
        <v>2.3333333333333335</v>
      </c>
      <c r="I3330" s="545">
        <v>3.3333333333333335</v>
      </c>
      <c r="J3330" s="545">
        <v>4.3452380952380949</v>
      </c>
    </row>
    <row r="3331" spans="1:10">
      <c r="A3331" s="441">
        <v>3687</v>
      </c>
      <c r="B3331" s="441" t="s">
        <v>3500</v>
      </c>
      <c r="C3331" s="545">
        <v>8.5</v>
      </c>
      <c r="D3331" s="545">
        <v>6.3333333333333339</v>
      </c>
      <c r="E3331" s="545">
        <v>4.333333333333333</v>
      </c>
      <c r="F3331" s="545">
        <v>7.5952380952380958</v>
      </c>
      <c r="G3331" s="545">
        <v>6.15</v>
      </c>
      <c r="H3331" s="545">
        <v>2.3333333333333335</v>
      </c>
      <c r="I3331" s="545">
        <v>3.6666666666666665</v>
      </c>
      <c r="J3331" s="545">
        <v>5.25</v>
      </c>
    </row>
    <row r="3332" spans="1:10">
      <c r="A3332" s="441">
        <v>4226</v>
      </c>
      <c r="B3332" s="441" t="s">
        <v>3501</v>
      </c>
      <c r="C3332" s="545">
        <v>5.833333333333333</v>
      </c>
      <c r="D3332" s="545">
        <v>4</v>
      </c>
      <c r="E3332" s="545">
        <v>2.3333333333333335</v>
      </c>
      <c r="F3332" s="545">
        <v>5.0714285714285712</v>
      </c>
      <c r="G3332" s="545">
        <v>5.75</v>
      </c>
      <c r="H3332" s="545">
        <v>2.6666666666666665</v>
      </c>
      <c r="I3332" s="545">
        <v>2</v>
      </c>
      <c r="J3332" s="545">
        <v>4.7738095238095246</v>
      </c>
    </row>
    <row r="3333" spans="1:10">
      <c r="A3333" s="441">
        <v>3686</v>
      </c>
      <c r="B3333" s="441" t="s">
        <v>3502</v>
      </c>
      <c r="C3333" s="545">
        <v>9.6666666666666679</v>
      </c>
      <c r="D3333" s="545">
        <v>7.6666666666666661</v>
      </c>
      <c r="E3333" s="545">
        <v>6.6666666666666661</v>
      </c>
      <c r="F3333" s="545">
        <v>8.9523809523809526</v>
      </c>
      <c r="G3333" s="545">
        <v>2.5</v>
      </c>
      <c r="H3333" s="545">
        <v>1</v>
      </c>
      <c r="I3333" s="545">
        <v>0.66666666666666663</v>
      </c>
      <c r="J3333" s="545">
        <v>2.0238095238095237</v>
      </c>
    </row>
    <row r="3334" spans="1:10">
      <c r="A3334" s="441">
        <v>3689</v>
      </c>
      <c r="B3334" s="441" t="s">
        <v>3503</v>
      </c>
      <c r="C3334" s="545">
        <v>8.5</v>
      </c>
      <c r="D3334" s="545">
        <v>8.6666666666666679</v>
      </c>
      <c r="E3334" s="545">
        <v>7.666666666666667</v>
      </c>
      <c r="F3334" s="545">
        <v>8.4047619047619051</v>
      </c>
      <c r="G3334" s="545">
        <v>8.4499999999999993</v>
      </c>
      <c r="H3334" s="545">
        <v>5</v>
      </c>
      <c r="I3334" s="545">
        <v>4.666666666666667</v>
      </c>
      <c r="J3334" s="545">
        <v>7.4166666666666661</v>
      </c>
    </row>
    <row r="3335" spans="1:10">
      <c r="A3335" s="441">
        <v>3692</v>
      </c>
      <c r="B3335" s="441" t="s">
        <v>3504</v>
      </c>
      <c r="C3335" s="545">
        <v>11.833333333333332</v>
      </c>
      <c r="D3335" s="545">
        <v>11.666666666666668</v>
      </c>
      <c r="E3335" s="545">
        <v>5.666666666666667</v>
      </c>
      <c r="F3335" s="545">
        <v>10.928571428571429</v>
      </c>
      <c r="G3335" s="545">
        <v>15.2</v>
      </c>
      <c r="H3335" s="545">
        <v>8.3333333333333339</v>
      </c>
      <c r="I3335" s="545">
        <v>11.666666666666666</v>
      </c>
      <c r="J3335" s="545">
        <v>13.714285714285714</v>
      </c>
    </row>
    <row r="3336" spans="1:10">
      <c r="A3336" s="441">
        <v>3688</v>
      </c>
      <c r="B3336" s="441" t="s">
        <v>3505</v>
      </c>
      <c r="C3336" s="545">
        <v>8.3333333333333321</v>
      </c>
      <c r="D3336" s="545">
        <v>6.3333333333333339</v>
      </c>
      <c r="E3336" s="545">
        <v>4</v>
      </c>
      <c r="F3336" s="545">
        <v>7.4285714285714279</v>
      </c>
      <c r="G3336" s="545">
        <v>5.15</v>
      </c>
      <c r="H3336" s="545">
        <v>3.6666666666666665</v>
      </c>
      <c r="I3336" s="545">
        <v>4</v>
      </c>
      <c r="J3336" s="545">
        <v>4.7738095238095246</v>
      </c>
    </row>
    <row r="3337" spans="1:10">
      <c r="A3337" s="441">
        <v>3691</v>
      </c>
      <c r="B3337" s="441" t="s">
        <v>3506</v>
      </c>
      <c r="C3337" s="545">
        <v>10</v>
      </c>
      <c r="D3337" s="545">
        <v>8.6666666666666661</v>
      </c>
      <c r="E3337" s="545">
        <v>4.6666666666666661</v>
      </c>
      <c r="F3337" s="545">
        <v>9.0476190476190474</v>
      </c>
      <c r="G3337" s="545">
        <v>16.149999999999999</v>
      </c>
      <c r="H3337" s="545">
        <v>7</v>
      </c>
      <c r="I3337" s="545">
        <v>9.6666666666666661</v>
      </c>
      <c r="J3337" s="545">
        <v>13.916666666666668</v>
      </c>
    </row>
    <row r="3338" spans="1:10">
      <c r="A3338" s="441">
        <v>3690</v>
      </c>
      <c r="B3338" s="441" t="s">
        <v>3507</v>
      </c>
      <c r="C3338" s="545">
        <v>34.666666666666671</v>
      </c>
      <c r="D3338" s="545">
        <v>24.666666666666668</v>
      </c>
      <c r="E3338" s="545">
        <v>14.666666666666668</v>
      </c>
      <c r="F3338" s="545">
        <v>30.380952380952383</v>
      </c>
      <c r="G3338" s="545">
        <v>16.600000000000001</v>
      </c>
      <c r="H3338" s="545">
        <v>12.333333333333334</v>
      </c>
      <c r="I3338" s="545">
        <v>14.666666666666666</v>
      </c>
      <c r="J3338" s="545">
        <v>15.714285714285714</v>
      </c>
    </row>
    <row r="3339" spans="1:10">
      <c r="A3339" s="441">
        <v>4230</v>
      </c>
      <c r="B3339" s="441" t="s">
        <v>3508</v>
      </c>
      <c r="C3339" s="545">
        <v>8.6666666666666679</v>
      </c>
      <c r="D3339" s="545">
        <v>2.6666666666666665</v>
      </c>
      <c r="E3339" s="545">
        <v>3.6666666666666665</v>
      </c>
      <c r="F3339" s="545">
        <v>7.0952380952380958</v>
      </c>
      <c r="G3339" s="545">
        <v>3.7</v>
      </c>
      <c r="H3339" s="545">
        <v>1.6666666666666667</v>
      </c>
      <c r="I3339" s="545">
        <v>0.66666666666666663</v>
      </c>
      <c r="J3339" s="545">
        <v>2.9761904761904767</v>
      </c>
    </row>
    <row r="3340" spans="1:10">
      <c r="A3340" s="441">
        <v>12098</v>
      </c>
      <c r="B3340" s="441" t="s">
        <v>3509</v>
      </c>
      <c r="C3340" s="545">
        <v>24</v>
      </c>
      <c r="D3340" s="545">
        <v>23.666666666666668</v>
      </c>
      <c r="E3340" s="545">
        <v>38.666666666666664</v>
      </c>
      <c r="F3340" s="545">
        <v>26.047619047619044</v>
      </c>
      <c r="G3340" s="545">
        <v>9</v>
      </c>
      <c r="H3340" s="545">
        <v>17.333333333333332</v>
      </c>
      <c r="I3340" s="545">
        <v>35.333333333333336</v>
      </c>
      <c r="J3340" s="545">
        <v>13.952380952380951</v>
      </c>
    </row>
    <row r="3341" spans="1:10">
      <c r="A3341" s="441">
        <v>997</v>
      </c>
      <c r="B3341" s="441" t="s">
        <v>3510</v>
      </c>
      <c r="C3341" s="545">
        <v>47.166666666666671</v>
      </c>
      <c r="D3341" s="545">
        <v>18.333333333333332</v>
      </c>
      <c r="E3341" s="545">
        <v>17.333333333333332</v>
      </c>
      <c r="F3341" s="545">
        <v>38.785714285714292</v>
      </c>
      <c r="G3341" s="545">
        <v>31.15</v>
      </c>
      <c r="H3341" s="545">
        <v>13</v>
      </c>
      <c r="I3341" s="545">
        <v>8.6666666666666661</v>
      </c>
      <c r="J3341" s="545">
        <v>25.345238095238095</v>
      </c>
    </row>
    <row r="3342" spans="1:10">
      <c r="A3342" s="441">
        <v>1002</v>
      </c>
      <c r="B3342" s="441" t="s">
        <v>3510</v>
      </c>
      <c r="C3342" s="545">
        <v>37.333333333333329</v>
      </c>
      <c r="D3342" s="545">
        <v>19.666666666666668</v>
      </c>
      <c r="E3342" s="545">
        <v>26</v>
      </c>
      <c r="F3342" s="545">
        <v>33.190476190476183</v>
      </c>
      <c r="G3342" s="545">
        <v>23.65</v>
      </c>
      <c r="H3342" s="545">
        <v>12.333333333333334</v>
      </c>
      <c r="I3342" s="545">
        <v>11.333333333333334</v>
      </c>
      <c r="J3342" s="545">
        <v>20.273809523809526</v>
      </c>
    </row>
    <row r="3343" spans="1:10">
      <c r="A3343" s="441">
        <v>1003</v>
      </c>
      <c r="B3343" s="441" t="s">
        <v>3511</v>
      </c>
      <c r="C3343" s="545">
        <v>35.166666666666664</v>
      </c>
      <c r="D3343" s="545">
        <v>14</v>
      </c>
      <c r="E3343" s="545">
        <v>10.666666666666666</v>
      </c>
      <c r="F3343" s="545">
        <v>28.642857142857139</v>
      </c>
      <c r="G3343" s="545">
        <v>15.8</v>
      </c>
      <c r="H3343" s="545">
        <v>9.3333333333333339</v>
      </c>
      <c r="I3343" s="545">
        <v>6.333333333333333</v>
      </c>
      <c r="J3343" s="545">
        <v>13.523809523809522</v>
      </c>
    </row>
    <row r="3344" spans="1:10">
      <c r="A3344" s="441">
        <v>11414</v>
      </c>
      <c r="B3344" s="441" t="s">
        <v>3511</v>
      </c>
      <c r="C3344" s="545">
        <v>32</v>
      </c>
      <c r="D3344" s="545">
        <v>16.333333333333336</v>
      </c>
      <c r="E3344" s="545">
        <v>8</v>
      </c>
      <c r="F3344" s="545">
        <v>26.333333333333336</v>
      </c>
      <c r="G3344" s="545">
        <v>9.65</v>
      </c>
      <c r="H3344" s="545">
        <v>6.666666666666667</v>
      </c>
      <c r="I3344" s="545">
        <v>4</v>
      </c>
      <c r="J3344" s="545">
        <v>8.4166666666666661</v>
      </c>
    </row>
    <row r="3345" spans="1:10">
      <c r="A3345" s="441">
        <v>1018</v>
      </c>
      <c r="B3345" s="441" t="s">
        <v>3512</v>
      </c>
      <c r="C3345" s="545">
        <v>48.333333333333336</v>
      </c>
      <c r="D3345" s="545">
        <v>34</v>
      </c>
      <c r="E3345" s="545">
        <v>24.333333333333336</v>
      </c>
      <c r="F3345" s="545">
        <v>42.857142857142854</v>
      </c>
      <c r="G3345" s="545">
        <v>24.75</v>
      </c>
      <c r="H3345" s="545">
        <v>16.666666666666668</v>
      </c>
      <c r="I3345" s="545">
        <v>16.666666666666668</v>
      </c>
      <c r="J3345" s="545">
        <v>22.440476190476186</v>
      </c>
    </row>
    <row r="3346" spans="1:10">
      <c r="A3346" s="441">
        <v>1005</v>
      </c>
      <c r="B3346" s="441" t="s">
        <v>3513</v>
      </c>
      <c r="C3346" s="545">
        <v>16.5</v>
      </c>
      <c r="D3346" s="545">
        <v>11.333333333333332</v>
      </c>
      <c r="E3346" s="545">
        <v>12.333333333333334</v>
      </c>
      <c r="F3346" s="545">
        <v>15.166666666666666</v>
      </c>
      <c r="G3346" s="545">
        <v>9.75</v>
      </c>
      <c r="H3346" s="545">
        <v>4.333333333333333</v>
      </c>
      <c r="I3346" s="545">
        <v>8.6666666666666661</v>
      </c>
      <c r="J3346" s="545">
        <v>8.8214285714285712</v>
      </c>
    </row>
    <row r="3347" spans="1:10">
      <c r="A3347" s="441">
        <v>1017</v>
      </c>
      <c r="B3347" s="441" t="s">
        <v>3513</v>
      </c>
      <c r="C3347" s="545">
        <v>15.5</v>
      </c>
      <c r="D3347" s="545">
        <v>13.333333333333332</v>
      </c>
      <c r="E3347" s="545">
        <v>11.666666666666666</v>
      </c>
      <c r="F3347" s="545">
        <v>14.642857142857142</v>
      </c>
      <c r="G3347" s="545">
        <v>8.15</v>
      </c>
      <c r="H3347" s="545">
        <v>5.666666666666667</v>
      </c>
      <c r="I3347" s="545">
        <v>7</v>
      </c>
      <c r="J3347" s="545">
        <v>7.6309523809523805</v>
      </c>
    </row>
    <row r="3348" spans="1:10">
      <c r="A3348" s="441">
        <v>1006</v>
      </c>
      <c r="B3348" s="441" t="s">
        <v>3514</v>
      </c>
      <c r="C3348" s="545">
        <v>38.666666666666671</v>
      </c>
      <c r="D3348" s="545">
        <v>29.333333333333332</v>
      </c>
      <c r="E3348" s="545">
        <v>23.666666666666664</v>
      </c>
      <c r="F3348" s="545">
        <v>35.190476190476197</v>
      </c>
      <c r="G3348" s="545">
        <v>25</v>
      </c>
      <c r="H3348" s="545">
        <v>23</v>
      </c>
      <c r="I3348" s="545">
        <v>12</v>
      </c>
      <c r="J3348" s="545">
        <v>22.857142857142858</v>
      </c>
    </row>
    <row r="3349" spans="1:10">
      <c r="A3349" s="441">
        <v>1016</v>
      </c>
      <c r="B3349" s="441" t="s">
        <v>3514</v>
      </c>
      <c r="C3349" s="545">
        <v>48.666666666666671</v>
      </c>
      <c r="D3349" s="545">
        <v>27</v>
      </c>
      <c r="E3349" s="545">
        <v>31</v>
      </c>
      <c r="F3349" s="545">
        <v>43.047619047619051</v>
      </c>
      <c r="G3349" s="545">
        <v>31.35</v>
      </c>
      <c r="H3349" s="545">
        <v>21.666666666666668</v>
      </c>
      <c r="I3349" s="545">
        <v>20.333333333333332</v>
      </c>
      <c r="J3349" s="545">
        <v>28.392857142857142</v>
      </c>
    </row>
    <row r="3350" spans="1:10">
      <c r="A3350" s="441">
        <v>1007</v>
      </c>
      <c r="B3350" s="441" t="s">
        <v>3515</v>
      </c>
      <c r="C3350" s="545">
        <v>33.166666666666671</v>
      </c>
      <c r="D3350" s="545">
        <v>24.666666666666668</v>
      </c>
      <c r="E3350" s="545">
        <v>22.333333333333332</v>
      </c>
      <c r="F3350" s="545">
        <v>30.404761904761909</v>
      </c>
      <c r="G3350" s="545">
        <v>19.8</v>
      </c>
      <c r="H3350" s="545">
        <v>19.666666666666668</v>
      </c>
      <c r="I3350" s="545">
        <v>19</v>
      </c>
      <c r="J3350" s="545">
        <v>19.666666666666668</v>
      </c>
    </row>
    <row r="3351" spans="1:10">
      <c r="A3351" s="441">
        <v>1015</v>
      </c>
      <c r="B3351" s="441" t="s">
        <v>3515</v>
      </c>
      <c r="C3351" s="545">
        <v>20.666666666666668</v>
      </c>
      <c r="D3351" s="545">
        <v>15</v>
      </c>
      <c r="E3351" s="545">
        <v>13.333333333333332</v>
      </c>
      <c r="F3351" s="545">
        <v>18.809523809523814</v>
      </c>
      <c r="G3351" s="545">
        <v>19.75</v>
      </c>
      <c r="H3351" s="545">
        <v>16.333333333333332</v>
      </c>
      <c r="I3351" s="545">
        <v>12</v>
      </c>
      <c r="J3351" s="545">
        <v>18.154761904761905</v>
      </c>
    </row>
    <row r="3352" spans="1:10">
      <c r="A3352" s="441">
        <v>1014</v>
      </c>
      <c r="B3352" s="441" t="s">
        <v>3516</v>
      </c>
      <c r="C3352" s="545">
        <v>24.166666666666664</v>
      </c>
      <c r="D3352" s="545">
        <v>16</v>
      </c>
      <c r="E3352" s="545">
        <v>17.666666666666668</v>
      </c>
      <c r="F3352" s="545">
        <v>22.071428571428566</v>
      </c>
      <c r="G3352" s="545">
        <v>13.95</v>
      </c>
      <c r="H3352" s="545">
        <v>7</v>
      </c>
      <c r="I3352" s="545">
        <v>8</v>
      </c>
      <c r="J3352" s="545">
        <v>12.107142857142858</v>
      </c>
    </row>
    <row r="3353" spans="1:10">
      <c r="A3353" s="441">
        <v>1008</v>
      </c>
      <c r="B3353" s="441" t="s">
        <v>3517</v>
      </c>
      <c r="C3353" s="545">
        <v>15</v>
      </c>
      <c r="D3353" s="545">
        <v>8.6666666666666661</v>
      </c>
      <c r="E3353" s="545">
        <v>10.666666666666668</v>
      </c>
      <c r="F3353" s="545">
        <v>13.476190476190478</v>
      </c>
      <c r="G3353" s="545">
        <v>12.2</v>
      </c>
      <c r="H3353" s="545">
        <v>8.6666666666666661</v>
      </c>
      <c r="I3353" s="545">
        <v>4.666666666666667</v>
      </c>
      <c r="J3353" s="545">
        <v>10.61904761904762</v>
      </c>
    </row>
    <row r="3354" spans="1:10">
      <c r="A3354" s="441">
        <v>1004</v>
      </c>
      <c r="B3354" s="441" t="s">
        <v>3518</v>
      </c>
      <c r="C3354" s="545">
        <v>43</v>
      </c>
      <c r="D3354" s="545">
        <v>30</v>
      </c>
      <c r="E3354" s="545">
        <v>19</v>
      </c>
      <c r="F3354" s="545">
        <v>37.714285714285715</v>
      </c>
      <c r="G3354" s="545">
        <v>19.05</v>
      </c>
      <c r="H3354" s="545">
        <v>10.333333333333334</v>
      </c>
      <c r="I3354" s="545">
        <v>11</v>
      </c>
      <c r="J3354" s="545">
        <v>16.654761904761905</v>
      </c>
    </row>
    <row r="3355" spans="1:10">
      <c r="A3355" s="441">
        <v>4512</v>
      </c>
      <c r="B3355" s="441" t="s">
        <v>3519</v>
      </c>
      <c r="C3355" s="545">
        <v>4.333333333333333</v>
      </c>
      <c r="D3355" s="545">
        <v>1.6666666666666665</v>
      </c>
      <c r="E3355" s="545">
        <v>1.3333333333333333</v>
      </c>
      <c r="F3355" s="545">
        <v>3.5238095238095233</v>
      </c>
      <c r="G3355" s="545">
        <v>1.85</v>
      </c>
      <c r="H3355" s="545">
        <v>1.3333333333333333</v>
      </c>
      <c r="I3355" s="545">
        <v>0.66666666666666663</v>
      </c>
      <c r="J3355" s="545">
        <v>1.6071428571428572</v>
      </c>
    </row>
    <row r="3356" spans="1:10">
      <c r="A3356" s="441">
        <v>10020</v>
      </c>
      <c r="B3356" s="441" t="s">
        <v>3519</v>
      </c>
      <c r="C3356" s="545">
        <v>2.166666666666667</v>
      </c>
      <c r="D3356" s="545">
        <v>3.666666666666667</v>
      </c>
      <c r="E3356" s="545">
        <v>1.3333333333333333</v>
      </c>
      <c r="F3356" s="545">
        <v>2.2619047619047623</v>
      </c>
      <c r="G3356" s="545">
        <v>1.95</v>
      </c>
      <c r="H3356" s="545">
        <v>2.6666666666666665</v>
      </c>
      <c r="I3356" s="545">
        <v>0.66666666666666663</v>
      </c>
      <c r="J3356" s="545">
        <v>1.8690476190476188</v>
      </c>
    </row>
    <row r="3357" spans="1:10">
      <c r="A3357" s="441">
        <v>4513</v>
      </c>
      <c r="B3357" s="441" t="s">
        <v>3520</v>
      </c>
      <c r="C3357" s="545">
        <v>0.83333333333333337</v>
      </c>
      <c r="D3357" s="545">
        <v>0</v>
      </c>
      <c r="E3357" s="545">
        <v>0</v>
      </c>
      <c r="F3357" s="545">
        <v>0.59523809523809523</v>
      </c>
      <c r="G3357" s="545">
        <v>0.15</v>
      </c>
      <c r="H3357" s="545">
        <v>0.33333333333333331</v>
      </c>
      <c r="I3357" s="545">
        <v>0</v>
      </c>
      <c r="J3357" s="545">
        <v>0.15476190476190474</v>
      </c>
    </row>
    <row r="3358" spans="1:10">
      <c r="A3358" s="441">
        <v>4510</v>
      </c>
      <c r="B3358" s="441" t="s">
        <v>3521</v>
      </c>
      <c r="C3358" s="545">
        <v>2</v>
      </c>
      <c r="D3358" s="545">
        <v>1</v>
      </c>
      <c r="E3358" s="545">
        <v>0</v>
      </c>
      <c r="F3358" s="545">
        <v>1.5714285714285714</v>
      </c>
      <c r="G3358" s="545">
        <v>0.25</v>
      </c>
      <c r="H3358" s="545">
        <v>1</v>
      </c>
      <c r="I3358" s="545">
        <v>2.6666666666666665</v>
      </c>
      <c r="J3358" s="545">
        <v>0.70238095238095233</v>
      </c>
    </row>
    <row r="3359" spans="1:10">
      <c r="A3359" s="441">
        <v>4511</v>
      </c>
      <c r="B3359" s="441" t="s">
        <v>3521</v>
      </c>
      <c r="C3359" s="545">
        <v>0</v>
      </c>
      <c r="D3359" s="545">
        <v>0.66666666666666663</v>
      </c>
      <c r="E3359" s="545">
        <v>0.33333333333333331</v>
      </c>
      <c r="F3359" s="545">
        <v>0.14285714285714285</v>
      </c>
      <c r="G3359" s="545">
        <v>0.05</v>
      </c>
      <c r="H3359" s="545">
        <v>0</v>
      </c>
      <c r="I3359" s="545">
        <v>0</v>
      </c>
      <c r="J3359" s="545">
        <v>3.5714285714285712E-2</v>
      </c>
    </row>
    <row r="3360" spans="1:10">
      <c r="A3360" s="441">
        <v>4514</v>
      </c>
      <c r="B3360" s="441" t="s">
        <v>3521</v>
      </c>
      <c r="C3360" s="545">
        <v>1.3333333333333335</v>
      </c>
      <c r="D3360" s="545">
        <v>0</v>
      </c>
      <c r="E3360" s="545">
        <v>0</v>
      </c>
      <c r="F3360" s="545">
        <v>0.95238095238095255</v>
      </c>
      <c r="G3360" s="545">
        <v>0.7</v>
      </c>
      <c r="H3360" s="545">
        <v>0.33333333333333331</v>
      </c>
      <c r="I3360" s="545">
        <v>1</v>
      </c>
      <c r="J3360" s="545">
        <v>0.69047619047619058</v>
      </c>
    </row>
    <row r="3361" spans="1:10">
      <c r="A3361" s="441">
        <v>4841</v>
      </c>
      <c r="B3361" s="441" t="s">
        <v>3522</v>
      </c>
      <c r="C3361" s="545">
        <v>1</v>
      </c>
      <c r="D3361" s="545">
        <v>0.66666666666666663</v>
      </c>
      <c r="E3361" s="545">
        <v>0.33333333333333331</v>
      </c>
      <c r="F3361" s="545">
        <v>0.8571428571428571</v>
      </c>
      <c r="G3361" s="545">
        <v>0.3</v>
      </c>
      <c r="H3361" s="545">
        <v>0</v>
      </c>
      <c r="I3361" s="545">
        <v>0</v>
      </c>
      <c r="J3361" s="545">
        <v>0.21428571428571427</v>
      </c>
    </row>
    <row r="3362" spans="1:10">
      <c r="A3362" s="441">
        <v>2849</v>
      </c>
      <c r="B3362" s="441" t="s">
        <v>3523</v>
      </c>
      <c r="C3362" s="545">
        <v>18.666666666666664</v>
      </c>
      <c r="D3362" s="545">
        <v>25</v>
      </c>
      <c r="E3362" s="545">
        <v>22.333333333333332</v>
      </c>
      <c r="F3362" s="545">
        <v>20.095238095238095</v>
      </c>
      <c r="G3362" s="545">
        <v>16.100000000000001</v>
      </c>
      <c r="H3362" s="545">
        <v>28.333333333333332</v>
      </c>
      <c r="I3362" s="545">
        <v>10.333333333333334</v>
      </c>
      <c r="J3362" s="545">
        <v>17.023809523809522</v>
      </c>
    </row>
    <row r="3363" spans="1:10">
      <c r="A3363" s="441">
        <v>10984</v>
      </c>
      <c r="B3363" s="441" t="s">
        <v>3523</v>
      </c>
      <c r="C3363" s="545">
        <v>40.833333333333336</v>
      </c>
      <c r="D3363" s="545">
        <v>36.666666666666664</v>
      </c>
      <c r="E3363" s="545">
        <v>53.333333333333329</v>
      </c>
      <c r="F3363" s="545">
        <v>42.023809523809526</v>
      </c>
      <c r="G3363" s="545">
        <v>39.049999999999997</v>
      </c>
      <c r="H3363" s="545">
        <v>26.333333333333332</v>
      </c>
      <c r="I3363" s="545">
        <v>37.666666666666664</v>
      </c>
      <c r="J3363" s="545">
        <v>37.035714285714285</v>
      </c>
    </row>
    <row r="3364" spans="1:10">
      <c r="A3364" s="441">
        <v>2850</v>
      </c>
      <c r="B3364" s="441" t="s">
        <v>3524</v>
      </c>
      <c r="C3364" s="545">
        <v>15.833333333333334</v>
      </c>
      <c r="D3364" s="545">
        <v>8.3333333333333339</v>
      </c>
      <c r="E3364" s="545">
        <v>8</v>
      </c>
      <c r="F3364" s="545">
        <v>13.642857142857142</v>
      </c>
      <c r="G3364" s="545">
        <v>4.7</v>
      </c>
      <c r="H3364" s="545">
        <v>7.333333333333333</v>
      </c>
      <c r="I3364" s="545">
        <v>9.6666666666666661</v>
      </c>
      <c r="J3364" s="545">
        <v>5.7857142857142856</v>
      </c>
    </row>
    <row r="3365" spans="1:10">
      <c r="A3365" s="441">
        <v>7439</v>
      </c>
      <c r="B3365" s="441" t="s">
        <v>3525</v>
      </c>
      <c r="C3365" s="545">
        <v>20.166666666666668</v>
      </c>
      <c r="D3365" s="545">
        <v>17.333333333333336</v>
      </c>
      <c r="E3365" s="545">
        <v>11.666666666666668</v>
      </c>
      <c r="F3365" s="545">
        <v>18.547619047619047</v>
      </c>
      <c r="G3365" s="545">
        <v>20.2</v>
      </c>
      <c r="H3365" s="545">
        <v>17.666666666666668</v>
      </c>
      <c r="I3365" s="545">
        <v>16</v>
      </c>
      <c r="J3365" s="545">
        <v>19.238095238095241</v>
      </c>
    </row>
    <row r="3366" spans="1:10">
      <c r="A3366" s="441">
        <v>7416</v>
      </c>
      <c r="B3366" s="441" t="s">
        <v>3526</v>
      </c>
      <c r="C3366" s="545">
        <v>60.5</v>
      </c>
      <c r="D3366" s="545">
        <v>12</v>
      </c>
      <c r="E3366" s="545">
        <v>10.666666666666666</v>
      </c>
      <c r="F3366" s="545">
        <v>46.452380952380956</v>
      </c>
      <c r="G3366" s="545">
        <v>51.2</v>
      </c>
      <c r="H3366" s="545">
        <v>20.333333333333332</v>
      </c>
      <c r="I3366" s="545">
        <v>7</v>
      </c>
      <c r="J3366" s="545">
        <v>40.476190476190474</v>
      </c>
    </row>
    <row r="3367" spans="1:10">
      <c r="A3367" s="441">
        <v>7431</v>
      </c>
      <c r="B3367" s="441" t="s">
        <v>3526</v>
      </c>
      <c r="C3367" s="545">
        <v>61.166666666666671</v>
      </c>
      <c r="D3367" s="545">
        <v>23.333333333333332</v>
      </c>
      <c r="E3367" s="545">
        <v>20</v>
      </c>
      <c r="F3367" s="545">
        <v>49.880952380952387</v>
      </c>
      <c r="G3367" s="545">
        <v>56.55</v>
      </c>
      <c r="H3367" s="545">
        <v>21.333333333333332</v>
      </c>
      <c r="I3367" s="545">
        <v>11.666666666666666</v>
      </c>
      <c r="J3367" s="545">
        <v>45.107142857142854</v>
      </c>
    </row>
    <row r="3368" spans="1:10">
      <c r="A3368" s="441">
        <v>7417</v>
      </c>
      <c r="B3368" s="441" t="s">
        <v>3527</v>
      </c>
      <c r="C3368" s="545">
        <v>6.5</v>
      </c>
      <c r="D3368" s="545">
        <v>5.6666666666666661</v>
      </c>
      <c r="E3368" s="545">
        <v>7.3333333333333339</v>
      </c>
      <c r="F3368" s="545">
        <v>6.5</v>
      </c>
      <c r="G3368" s="545">
        <v>7.55</v>
      </c>
      <c r="H3368" s="545">
        <v>4.333333333333333</v>
      </c>
      <c r="I3368" s="545">
        <v>1.6666666666666667</v>
      </c>
      <c r="J3368" s="545">
        <v>6.25</v>
      </c>
    </row>
    <row r="3369" spans="1:10">
      <c r="A3369" s="441">
        <v>13090</v>
      </c>
      <c r="B3369" s="441" t="s">
        <v>3528</v>
      </c>
      <c r="C3369" s="545">
        <v>3</v>
      </c>
      <c r="D3369" s="545">
        <v>7</v>
      </c>
      <c r="E3369" s="545">
        <v>5.3333333333333339</v>
      </c>
      <c r="F3369" s="545">
        <v>3.9047619047619051</v>
      </c>
      <c r="G3369" s="545">
        <v>5.5</v>
      </c>
      <c r="H3369" s="545">
        <v>2</v>
      </c>
      <c r="I3369" s="545">
        <v>2.6666666666666665</v>
      </c>
      <c r="J3369" s="545">
        <v>4.5952380952380949</v>
      </c>
    </row>
    <row r="3370" spans="1:10">
      <c r="A3370" s="441">
        <v>7939</v>
      </c>
      <c r="B3370" s="441" t="s">
        <v>3529</v>
      </c>
      <c r="C3370" s="545">
        <v>6.8333333333333339</v>
      </c>
      <c r="D3370" s="545">
        <v>0</v>
      </c>
      <c r="E3370" s="545">
        <v>0</v>
      </c>
      <c r="F3370" s="545">
        <v>4.8809523809523814</v>
      </c>
      <c r="G3370" s="545">
        <v>1.85</v>
      </c>
      <c r="H3370" s="545"/>
      <c r="I3370" s="545"/>
      <c r="J3370" s="545">
        <v>1.3214285714285714</v>
      </c>
    </row>
    <row r="3371" spans="1:10">
      <c r="A3371" s="441">
        <v>7946</v>
      </c>
      <c r="B3371" s="441" t="s">
        <v>3529</v>
      </c>
      <c r="C3371" s="545">
        <v>6.666666666666667</v>
      </c>
      <c r="D3371" s="545">
        <v>0</v>
      </c>
      <c r="E3371" s="545">
        <v>0</v>
      </c>
      <c r="F3371" s="545">
        <v>4.7619047619047619</v>
      </c>
      <c r="G3371" s="545">
        <v>1.9</v>
      </c>
      <c r="H3371" s="545"/>
      <c r="I3371" s="545"/>
      <c r="J3371" s="545">
        <v>1.3571428571428572</v>
      </c>
    </row>
    <row r="3372" spans="1:10">
      <c r="A3372" s="441">
        <v>10411</v>
      </c>
      <c r="B3372" s="441" t="s">
        <v>3530</v>
      </c>
      <c r="C3372" s="545">
        <v>21.833333333333332</v>
      </c>
      <c r="D3372" s="545">
        <v>20.333333333333336</v>
      </c>
      <c r="E3372" s="545">
        <v>10</v>
      </c>
      <c r="F3372" s="545">
        <v>19.928571428571427</v>
      </c>
      <c r="G3372" s="545">
        <v>14.35</v>
      </c>
      <c r="H3372" s="545">
        <v>8.3333333333333339</v>
      </c>
      <c r="I3372" s="545">
        <v>6</v>
      </c>
      <c r="J3372" s="545">
        <v>12.297619047619047</v>
      </c>
    </row>
    <row r="3373" spans="1:10">
      <c r="A3373" s="441">
        <v>7411</v>
      </c>
      <c r="B3373" s="441" t="s">
        <v>3531</v>
      </c>
      <c r="C3373" s="545">
        <v>25.833333333333336</v>
      </c>
      <c r="D3373" s="545">
        <v>14.333333333333334</v>
      </c>
      <c r="E3373" s="545">
        <v>8.6666666666666679</v>
      </c>
      <c r="F3373" s="545">
        <v>21.738095238095241</v>
      </c>
      <c r="G3373" s="545">
        <v>25.8</v>
      </c>
      <c r="H3373" s="545">
        <v>13.666666666666666</v>
      </c>
      <c r="I3373" s="545">
        <v>7.666666666666667</v>
      </c>
      <c r="J3373" s="545">
        <v>21.476190476190474</v>
      </c>
    </row>
    <row r="3374" spans="1:10">
      <c r="A3374" s="441">
        <v>7435</v>
      </c>
      <c r="B3374" s="441" t="s">
        <v>3531</v>
      </c>
      <c r="C3374" s="545">
        <v>22.5</v>
      </c>
      <c r="D3374" s="545">
        <v>10.333333333333332</v>
      </c>
      <c r="E3374" s="545">
        <v>7</v>
      </c>
      <c r="F3374" s="545">
        <v>18.547619047619044</v>
      </c>
      <c r="G3374" s="545">
        <v>26.35</v>
      </c>
      <c r="H3374" s="545">
        <v>15</v>
      </c>
      <c r="I3374" s="545">
        <v>5.666666666666667</v>
      </c>
      <c r="J3374" s="545">
        <v>21.773809523809522</v>
      </c>
    </row>
    <row r="3375" spans="1:10">
      <c r="A3375" s="441">
        <v>7947</v>
      </c>
      <c r="B3375" s="441" t="s">
        <v>3532</v>
      </c>
      <c r="C3375" s="545">
        <v>5</v>
      </c>
      <c r="D3375" s="545">
        <v>0</v>
      </c>
      <c r="E3375" s="545">
        <v>0</v>
      </c>
      <c r="F3375" s="545">
        <v>3.5714285714285716</v>
      </c>
      <c r="G3375" s="545">
        <v>1.05</v>
      </c>
      <c r="H3375" s="545"/>
      <c r="I3375" s="545"/>
      <c r="J3375" s="545">
        <v>0.75</v>
      </c>
    </row>
    <row r="3376" spans="1:10">
      <c r="A3376" s="441">
        <v>7410</v>
      </c>
      <c r="B3376" s="441" t="s">
        <v>3533</v>
      </c>
      <c r="C3376" s="545">
        <v>19</v>
      </c>
      <c r="D3376" s="545">
        <v>8</v>
      </c>
      <c r="E3376" s="545">
        <v>8.6666666666666679</v>
      </c>
      <c r="F3376" s="545">
        <v>15.952380952380953</v>
      </c>
      <c r="G3376" s="545">
        <v>14.15</v>
      </c>
      <c r="H3376" s="545">
        <v>12.666666666666666</v>
      </c>
      <c r="I3376" s="545">
        <v>2</v>
      </c>
      <c r="J3376" s="545">
        <v>12.202380952380953</v>
      </c>
    </row>
    <row r="3377" spans="1:10">
      <c r="A3377" s="441">
        <v>7436</v>
      </c>
      <c r="B3377" s="441" t="s">
        <v>3533</v>
      </c>
      <c r="C3377" s="545">
        <v>23</v>
      </c>
      <c r="D3377" s="545">
        <v>10</v>
      </c>
      <c r="E3377" s="545">
        <v>4.3333333333333339</v>
      </c>
      <c r="F3377" s="545">
        <v>18.476190476190478</v>
      </c>
      <c r="G3377" s="545">
        <v>18.3</v>
      </c>
      <c r="H3377" s="545">
        <v>12.666666666666666</v>
      </c>
      <c r="I3377" s="545">
        <v>6.333333333333333</v>
      </c>
      <c r="J3377" s="545">
        <v>15.785714285714286</v>
      </c>
    </row>
    <row r="3378" spans="1:10">
      <c r="A3378" s="441">
        <v>7422</v>
      </c>
      <c r="B3378" s="441" t="s">
        <v>3534</v>
      </c>
      <c r="C3378" s="545">
        <v>19.833333333333336</v>
      </c>
      <c r="D3378" s="545">
        <v>0</v>
      </c>
      <c r="E3378" s="545">
        <v>0</v>
      </c>
      <c r="F3378" s="545">
        <v>14.16666666666667</v>
      </c>
      <c r="G3378" s="545">
        <v>1.2</v>
      </c>
      <c r="H3378" s="545"/>
      <c r="I3378" s="545"/>
      <c r="J3378" s="545">
        <v>0.8571428571428571</v>
      </c>
    </row>
    <row r="3379" spans="1:10">
      <c r="A3379" s="441">
        <v>7425</v>
      </c>
      <c r="B3379" s="441" t="s">
        <v>3534</v>
      </c>
      <c r="C3379" s="545">
        <v>27.166666666666668</v>
      </c>
      <c r="D3379" s="545">
        <v>0</v>
      </c>
      <c r="E3379" s="545">
        <v>0</v>
      </c>
      <c r="F3379" s="545">
        <v>19.404761904761905</v>
      </c>
      <c r="G3379" s="545">
        <v>2.7</v>
      </c>
      <c r="H3379" s="545"/>
      <c r="I3379" s="545"/>
      <c r="J3379" s="545">
        <v>1.9285714285714286</v>
      </c>
    </row>
    <row r="3380" spans="1:10">
      <c r="A3380" s="441">
        <v>7414</v>
      </c>
      <c r="B3380" s="441" t="s">
        <v>3535</v>
      </c>
      <c r="C3380" s="545">
        <v>206.5</v>
      </c>
      <c r="D3380" s="545">
        <v>121.66666666666666</v>
      </c>
      <c r="E3380" s="545">
        <v>121.33333333333334</v>
      </c>
      <c r="F3380" s="545">
        <v>182.21428571428572</v>
      </c>
      <c r="G3380" s="545">
        <v>122.35</v>
      </c>
      <c r="H3380" s="545">
        <v>90</v>
      </c>
      <c r="I3380" s="545">
        <v>69.333333333333329</v>
      </c>
      <c r="J3380" s="545">
        <v>110.15476190476191</v>
      </c>
    </row>
    <row r="3381" spans="1:10">
      <c r="A3381" s="441">
        <v>7432</v>
      </c>
      <c r="B3381" s="441" t="s">
        <v>3535</v>
      </c>
      <c r="C3381" s="545">
        <v>206</v>
      </c>
      <c r="D3381" s="545">
        <v>129</v>
      </c>
      <c r="E3381" s="545">
        <v>96</v>
      </c>
      <c r="F3381" s="545">
        <v>179.28571428571428</v>
      </c>
      <c r="G3381" s="545">
        <v>116.85</v>
      </c>
      <c r="H3381" s="545">
        <v>81.333333333333329</v>
      </c>
      <c r="I3381" s="545">
        <v>65.666666666666671</v>
      </c>
      <c r="J3381" s="545">
        <v>104.46428571428571</v>
      </c>
    </row>
    <row r="3382" spans="1:10">
      <c r="A3382" s="441">
        <v>7429</v>
      </c>
      <c r="B3382" s="441" t="s">
        <v>3536</v>
      </c>
      <c r="C3382" s="545">
        <v>7.6666666666666661</v>
      </c>
      <c r="D3382" s="545">
        <v>8.3333333333333339</v>
      </c>
      <c r="E3382" s="545">
        <v>7.6666666666666661</v>
      </c>
      <c r="F3382" s="545">
        <v>7.761904761904761</v>
      </c>
      <c r="G3382" s="545">
        <v>8.5</v>
      </c>
      <c r="H3382" s="545">
        <v>5.666666666666667</v>
      </c>
      <c r="I3382" s="545">
        <v>4</v>
      </c>
      <c r="J3382" s="545">
        <v>7.4523809523809517</v>
      </c>
    </row>
    <row r="3383" spans="1:10">
      <c r="A3383" s="441">
        <v>7430</v>
      </c>
      <c r="B3383" s="441" t="s">
        <v>3537</v>
      </c>
      <c r="C3383" s="545">
        <v>22.166666666666664</v>
      </c>
      <c r="D3383" s="545">
        <v>11</v>
      </c>
      <c r="E3383" s="545">
        <v>6</v>
      </c>
      <c r="F3383" s="545">
        <v>18.261904761904759</v>
      </c>
      <c r="G3383" s="545">
        <v>15.1</v>
      </c>
      <c r="H3383" s="545">
        <v>10.666666666666666</v>
      </c>
      <c r="I3383" s="545">
        <v>6.333333333333333</v>
      </c>
      <c r="J3383" s="545">
        <v>13.214285714285714</v>
      </c>
    </row>
    <row r="3384" spans="1:10">
      <c r="A3384" s="441">
        <v>7407</v>
      </c>
      <c r="B3384" s="441" t="s">
        <v>3538</v>
      </c>
      <c r="C3384" s="545">
        <v>147</v>
      </c>
      <c r="D3384" s="545">
        <v>99.666666666666657</v>
      </c>
      <c r="E3384" s="545">
        <v>99</v>
      </c>
      <c r="F3384" s="545">
        <v>133.38095238095238</v>
      </c>
      <c r="G3384" s="545">
        <v>168.65</v>
      </c>
      <c r="H3384" s="545">
        <v>111</v>
      </c>
      <c r="I3384" s="545">
        <v>97.333333333333329</v>
      </c>
      <c r="J3384" s="545">
        <v>150.22619047619045</v>
      </c>
    </row>
    <row r="3385" spans="1:10">
      <c r="A3385" s="441">
        <v>10137</v>
      </c>
      <c r="B3385" s="441" t="s">
        <v>3538</v>
      </c>
      <c r="C3385" s="545">
        <v>134.66666666666669</v>
      </c>
      <c r="D3385" s="545">
        <v>110.66666666666667</v>
      </c>
      <c r="E3385" s="545">
        <v>108.66666666666666</v>
      </c>
      <c r="F3385" s="545">
        <v>127.52380952380953</v>
      </c>
      <c r="G3385" s="545">
        <v>170.2</v>
      </c>
      <c r="H3385" s="545">
        <v>138.33333333333334</v>
      </c>
      <c r="I3385" s="545">
        <v>108.66666666666667</v>
      </c>
      <c r="J3385" s="545">
        <v>156.85714285714286</v>
      </c>
    </row>
    <row r="3386" spans="1:10">
      <c r="A3386" s="441">
        <v>7941</v>
      </c>
      <c r="B3386" s="441" t="s">
        <v>3539</v>
      </c>
      <c r="C3386" s="545">
        <v>3.833333333333333</v>
      </c>
      <c r="D3386" s="545">
        <v>0</v>
      </c>
      <c r="E3386" s="545">
        <v>0</v>
      </c>
      <c r="F3386" s="545">
        <v>2.7380952380952377</v>
      </c>
      <c r="G3386" s="545">
        <v>0.1</v>
      </c>
      <c r="H3386" s="545"/>
      <c r="I3386" s="545"/>
      <c r="J3386" s="545">
        <v>7.1428571428571425E-2</v>
      </c>
    </row>
    <row r="3387" spans="1:10">
      <c r="A3387" s="441">
        <v>8985</v>
      </c>
      <c r="B3387" s="441" t="s">
        <v>3539</v>
      </c>
      <c r="C3387" s="545">
        <v>3.1666666666666665</v>
      </c>
      <c r="D3387" s="545">
        <v>0</v>
      </c>
      <c r="E3387" s="545">
        <v>0</v>
      </c>
      <c r="F3387" s="545">
        <v>2.2619047619047619</v>
      </c>
      <c r="G3387" s="545">
        <v>0.35</v>
      </c>
      <c r="H3387" s="545"/>
      <c r="I3387" s="545"/>
      <c r="J3387" s="545">
        <v>0.25</v>
      </c>
    </row>
    <row r="3388" spans="1:10">
      <c r="A3388" s="441">
        <v>10692</v>
      </c>
      <c r="B3388" s="441" t="s">
        <v>3540</v>
      </c>
      <c r="C3388" s="545">
        <v>5.833333333333333</v>
      </c>
      <c r="D3388" s="545">
        <v>0</v>
      </c>
      <c r="E3388" s="545">
        <v>0</v>
      </c>
      <c r="F3388" s="545">
        <v>4.1666666666666661</v>
      </c>
      <c r="G3388" s="545">
        <v>0.95</v>
      </c>
      <c r="H3388" s="545"/>
      <c r="I3388" s="545"/>
      <c r="J3388" s="545">
        <v>0.6785714285714286</v>
      </c>
    </row>
    <row r="3389" spans="1:10">
      <c r="A3389" s="441">
        <v>7415</v>
      </c>
      <c r="B3389" s="441" t="s">
        <v>3541</v>
      </c>
      <c r="C3389" s="545">
        <v>14.166666666666668</v>
      </c>
      <c r="D3389" s="545">
        <v>8</v>
      </c>
      <c r="E3389" s="545">
        <v>6.6666666666666661</v>
      </c>
      <c r="F3389" s="545">
        <v>12.214285714285717</v>
      </c>
      <c r="G3389" s="545">
        <v>14.85</v>
      </c>
      <c r="H3389" s="545">
        <v>12.666666666666666</v>
      </c>
      <c r="I3389" s="545">
        <v>5.666666666666667</v>
      </c>
      <c r="J3389" s="545">
        <v>13.226190476190478</v>
      </c>
    </row>
    <row r="3390" spans="1:10">
      <c r="A3390" s="441">
        <v>11040</v>
      </c>
      <c r="B3390" s="441" t="s">
        <v>3541</v>
      </c>
      <c r="C3390" s="545">
        <v>6.833333333333333</v>
      </c>
      <c r="D3390" s="545">
        <v>8.3333333333333339</v>
      </c>
      <c r="E3390" s="545">
        <v>3.333333333333333</v>
      </c>
      <c r="F3390" s="545">
        <v>6.5476190476190483</v>
      </c>
      <c r="G3390" s="545">
        <v>12.75</v>
      </c>
      <c r="H3390" s="545">
        <v>7</v>
      </c>
      <c r="I3390" s="545">
        <v>2.6666666666666665</v>
      </c>
      <c r="J3390" s="545">
        <v>10.488095238095239</v>
      </c>
    </row>
    <row r="3391" spans="1:10">
      <c r="A3391" s="441">
        <v>7408</v>
      </c>
      <c r="B3391" s="441" t="s">
        <v>3542</v>
      </c>
      <c r="C3391" s="545">
        <v>15.166666666666668</v>
      </c>
      <c r="D3391" s="545">
        <v>9.6666666666666661</v>
      </c>
      <c r="E3391" s="545">
        <v>6</v>
      </c>
      <c r="F3391" s="545">
        <v>13.071428571428573</v>
      </c>
      <c r="G3391" s="545">
        <v>20.25</v>
      </c>
      <c r="H3391" s="545">
        <v>12.666666666666666</v>
      </c>
      <c r="I3391" s="545">
        <v>14.666666666666666</v>
      </c>
      <c r="J3391" s="545">
        <v>18.36904761904762</v>
      </c>
    </row>
    <row r="3392" spans="1:10">
      <c r="A3392" s="441">
        <v>7438</v>
      </c>
      <c r="B3392" s="441" t="s">
        <v>3542</v>
      </c>
      <c r="C3392" s="545">
        <v>17.5</v>
      </c>
      <c r="D3392" s="545">
        <v>16.666666666666664</v>
      </c>
      <c r="E3392" s="545">
        <v>4.666666666666667</v>
      </c>
      <c r="F3392" s="545">
        <v>15.547619047619047</v>
      </c>
      <c r="G3392" s="545">
        <v>22</v>
      </c>
      <c r="H3392" s="545">
        <v>19.333333333333332</v>
      </c>
      <c r="I3392" s="545">
        <v>10.333333333333334</v>
      </c>
      <c r="J3392" s="545">
        <v>19.952380952380956</v>
      </c>
    </row>
    <row r="3393" spans="1:10">
      <c r="A3393" s="441">
        <v>7420</v>
      </c>
      <c r="B3393" s="441" t="s">
        <v>3543</v>
      </c>
      <c r="C3393" s="545">
        <v>100.5</v>
      </c>
      <c r="D3393" s="545">
        <v>70</v>
      </c>
      <c r="E3393" s="545">
        <v>67.333333333333329</v>
      </c>
      <c r="F3393" s="545">
        <v>91.404761904761912</v>
      </c>
      <c r="G3393" s="545">
        <v>107.75</v>
      </c>
      <c r="H3393" s="545">
        <v>85.333333333333329</v>
      </c>
      <c r="I3393" s="545">
        <v>81.333333333333329</v>
      </c>
      <c r="J3393" s="545">
        <v>100.77380952380953</v>
      </c>
    </row>
    <row r="3394" spans="1:10">
      <c r="A3394" s="441">
        <v>7427</v>
      </c>
      <c r="B3394" s="441" t="s">
        <v>3543</v>
      </c>
      <c r="C3394" s="545">
        <v>113.66666666666667</v>
      </c>
      <c r="D3394" s="545">
        <v>75</v>
      </c>
      <c r="E3394" s="545">
        <v>77</v>
      </c>
      <c r="F3394" s="545">
        <v>102.90476190476191</v>
      </c>
      <c r="G3394" s="545">
        <v>139.9</v>
      </c>
      <c r="H3394" s="545">
        <v>115</v>
      </c>
      <c r="I3394" s="545">
        <v>89.333333333333329</v>
      </c>
      <c r="J3394" s="545">
        <v>129.11904761904762</v>
      </c>
    </row>
    <row r="3395" spans="1:10">
      <c r="A3395" s="441">
        <v>7421</v>
      </c>
      <c r="B3395" s="441" t="s">
        <v>3544</v>
      </c>
      <c r="C3395" s="545">
        <v>86</v>
      </c>
      <c r="D3395" s="545">
        <v>34.666666666666664</v>
      </c>
      <c r="E3395" s="545">
        <v>23.666666666666664</v>
      </c>
      <c r="F3395" s="545">
        <v>69.761904761904773</v>
      </c>
      <c r="G3395" s="545">
        <v>28.1</v>
      </c>
      <c r="H3395" s="545">
        <v>25.333333333333332</v>
      </c>
      <c r="I3395" s="545">
        <v>19</v>
      </c>
      <c r="J3395" s="545">
        <v>26.404761904761905</v>
      </c>
    </row>
    <row r="3396" spans="1:10">
      <c r="A3396" s="441">
        <v>13096</v>
      </c>
      <c r="B3396" s="441" t="s">
        <v>3544</v>
      </c>
      <c r="C3396" s="545">
        <v>60.333333333333336</v>
      </c>
      <c r="D3396" s="545">
        <v>33</v>
      </c>
      <c r="E3396" s="545">
        <v>18</v>
      </c>
      <c r="F3396" s="545">
        <v>50.380952380952387</v>
      </c>
      <c r="G3396" s="545">
        <v>29.9</v>
      </c>
      <c r="H3396" s="545">
        <v>26</v>
      </c>
      <c r="I3396" s="545">
        <v>19</v>
      </c>
      <c r="J3396" s="545">
        <v>27.785714285714285</v>
      </c>
    </row>
    <row r="3397" spans="1:10">
      <c r="A3397" s="441">
        <v>10412</v>
      </c>
      <c r="B3397" s="441" t="s">
        <v>3545</v>
      </c>
      <c r="C3397" s="545">
        <v>18.333333333333332</v>
      </c>
      <c r="D3397" s="545">
        <v>16.666666666666668</v>
      </c>
      <c r="E3397" s="545">
        <v>5</v>
      </c>
      <c r="F3397" s="545">
        <v>16.19047619047619</v>
      </c>
      <c r="G3397" s="545">
        <v>18.3</v>
      </c>
      <c r="H3397" s="545">
        <v>11</v>
      </c>
      <c r="I3397" s="545">
        <v>5.333333333333333</v>
      </c>
      <c r="J3397" s="545">
        <v>15.404761904761903</v>
      </c>
    </row>
    <row r="3398" spans="1:10">
      <c r="A3398" s="441">
        <v>7412</v>
      </c>
      <c r="B3398" s="441" t="s">
        <v>3546</v>
      </c>
      <c r="C3398" s="545">
        <v>70.666666666666657</v>
      </c>
      <c r="D3398" s="545">
        <v>39.333333333333329</v>
      </c>
      <c r="E3398" s="545">
        <v>33</v>
      </c>
      <c r="F3398" s="545">
        <v>60.809523809523796</v>
      </c>
      <c r="G3398" s="545">
        <v>48.4</v>
      </c>
      <c r="H3398" s="545">
        <v>20</v>
      </c>
      <c r="I3398" s="545">
        <v>15.666666666666666</v>
      </c>
      <c r="J3398" s="545">
        <v>39.666666666666671</v>
      </c>
    </row>
    <row r="3399" spans="1:10">
      <c r="A3399" s="441">
        <v>7434</v>
      </c>
      <c r="B3399" s="441" t="s">
        <v>3546</v>
      </c>
      <c r="C3399" s="545">
        <v>90.166666666666657</v>
      </c>
      <c r="D3399" s="545">
        <v>52</v>
      </c>
      <c r="E3399" s="545">
        <v>39</v>
      </c>
      <c r="F3399" s="545">
        <v>77.404761904761898</v>
      </c>
      <c r="G3399" s="545">
        <v>63.25</v>
      </c>
      <c r="H3399" s="545">
        <v>40.666666666666664</v>
      </c>
      <c r="I3399" s="545">
        <v>28</v>
      </c>
      <c r="J3399" s="545">
        <v>54.988095238095241</v>
      </c>
    </row>
    <row r="3400" spans="1:10">
      <c r="A3400" s="441">
        <v>10693</v>
      </c>
      <c r="B3400" s="441" t="s">
        <v>3547</v>
      </c>
      <c r="C3400" s="545">
        <v>8</v>
      </c>
      <c r="D3400" s="545">
        <v>0</v>
      </c>
      <c r="E3400" s="545">
        <v>0</v>
      </c>
      <c r="F3400" s="545">
        <v>5.7142857142857144</v>
      </c>
      <c r="G3400" s="545">
        <v>1.65</v>
      </c>
      <c r="H3400" s="545"/>
      <c r="I3400" s="545"/>
      <c r="J3400" s="545">
        <v>1.1785714285714286</v>
      </c>
    </row>
    <row r="3401" spans="1:10">
      <c r="A3401" s="441">
        <v>7418</v>
      </c>
      <c r="B3401" s="441" t="s">
        <v>3548</v>
      </c>
      <c r="C3401" s="545">
        <v>236.5</v>
      </c>
      <c r="D3401" s="545">
        <v>152.33333333333334</v>
      </c>
      <c r="E3401" s="545">
        <v>136.33333333333331</v>
      </c>
      <c r="F3401" s="545">
        <v>210.16666666666666</v>
      </c>
      <c r="G3401" s="545">
        <v>170.25</v>
      </c>
      <c r="H3401" s="545">
        <v>125.66666666666667</v>
      </c>
      <c r="I3401" s="545">
        <v>102.33333333333333</v>
      </c>
      <c r="J3401" s="545">
        <v>154.17857142857142</v>
      </c>
    </row>
    <row r="3402" spans="1:10">
      <c r="A3402" s="441">
        <v>10138</v>
      </c>
      <c r="B3402" s="441" t="s">
        <v>3548</v>
      </c>
      <c r="C3402" s="545">
        <v>280.83333333333331</v>
      </c>
      <c r="D3402" s="545">
        <v>208.33333333333331</v>
      </c>
      <c r="E3402" s="545">
        <v>161.66666666666669</v>
      </c>
      <c r="F3402" s="545">
        <v>253.45238095238093</v>
      </c>
      <c r="G3402" s="545">
        <v>208</v>
      </c>
      <c r="H3402" s="545">
        <v>155</v>
      </c>
      <c r="I3402" s="545">
        <v>120.66666666666667</v>
      </c>
      <c r="J3402" s="545">
        <v>187.95238095238096</v>
      </c>
    </row>
    <row r="3403" spans="1:10">
      <c r="A3403" s="441">
        <v>7409</v>
      </c>
      <c r="B3403" s="441" t="s">
        <v>3549</v>
      </c>
      <c r="C3403" s="545">
        <v>56.333333333333336</v>
      </c>
      <c r="D3403" s="545">
        <v>17.666666666666668</v>
      </c>
      <c r="E3403" s="545">
        <v>7.666666666666667</v>
      </c>
      <c r="F3403" s="545">
        <v>43.857142857142868</v>
      </c>
      <c r="G3403" s="545">
        <v>48.65</v>
      </c>
      <c r="H3403" s="545">
        <v>31</v>
      </c>
      <c r="I3403" s="545">
        <v>17.333333333333332</v>
      </c>
      <c r="J3403" s="545">
        <v>41.654761904761905</v>
      </c>
    </row>
    <row r="3404" spans="1:10">
      <c r="A3404" s="441">
        <v>7437</v>
      </c>
      <c r="B3404" s="441" t="s">
        <v>3549</v>
      </c>
      <c r="C3404" s="545">
        <v>58.333333333333329</v>
      </c>
      <c r="D3404" s="545">
        <v>20</v>
      </c>
      <c r="E3404" s="545">
        <v>15.666666666666668</v>
      </c>
      <c r="F3404" s="545">
        <v>46.761904761904759</v>
      </c>
      <c r="G3404" s="545">
        <v>47.5</v>
      </c>
      <c r="H3404" s="545">
        <v>32.333333333333336</v>
      </c>
      <c r="I3404" s="545">
        <v>20.666666666666668</v>
      </c>
      <c r="J3404" s="545">
        <v>41.5</v>
      </c>
    </row>
    <row r="3405" spans="1:10">
      <c r="A3405" s="441">
        <v>7423</v>
      </c>
      <c r="B3405" s="441" t="s">
        <v>3550</v>
      </c>
      <c r="C3405" s="545">
        <v>5</v>
      </c>
      <c r="D3405" s="545">
        <v>0</v>
      </c>
      <c r="E3405" s="545">
        <v>0</v>
      </c>
      <c r="F3405" s="545">
        <v>3.5714285714285716</v>
      </c>
      <c r="G3405" s="545">
        <v>1.1000000000000001</v>
      </c>
      <c r="H3405" s="545"/>
      <c r="I3405" s="545"/>
      <c r="J3405" s="545">
        <v>0.7857142857142857</v>
      </c>
    </row>
    <row r="3406" spans="1:10">
      <c r="A3406" s="441">
        <v>7424</v>
      </c>
      <c r="B3406" s="441" t="s">
        <v>3550</v>
      </c>
      <c r="C3406" s="545">
        <v>4.833333333333333</v>
      </c>
      <c r="D3406" s="545">
        <v>0</v>
      </c>
      <c r="E3406" s="545">
        <v>0</v>
      </c>
      <c r="F3406" s="545">
        <v>3.4523809523809521</v>
      </c>
      <c r="G3406" s="545">
        <v>5.15</v>
      </c>
      <c r="H3406" s="545"/>
      <c r="I3406" s="545"/>
      <c r="J3406" s="545">
        <v>3.6785714285714284</v>
      </c>
    </row>
    <row r="3407" spans="1:10">
      <c r="A3407" s="441">
        <v>7419</v>
      </c>
      <c r="B3407" s="441" t="s">
        <v>3551</v>
      </c>
      <c r="C3407" s="545">
        <v>20</v>
      </c>
      <c r="D3407" s="545">
        <v>14.333333333333332</v>
      </c>
      <c r="E3407" s="545">
        <v>9</v>
      </c>
      <c r="F3407" s="545">
        <v>17.619047619047617</v>
      </c>
      <c r="G3407" s="545">
        <v>9.5500000000000007</v>
      </c>
      <c r="H3407" s="545">
        <v>7.333333333333333</v>
      </c>
      <c r="I3407" s="545">
        <v>9.6666666666666661</v>
      </c>
      <c r="J3407" s="545">
        <v>9.25</v>
      </c>
    </row>
    <row r="3408" spans="1:10">
      <c r="A3408" s="441">
        <v>7428</v>
      </c>
      <c r="B3408" s="441" t="s">
        <v>3551</v>
      </c>
      <c r="C3408" s="545">
        <v>16</v>
      </c>
      <c r="D3408" s="545">
        <v>11.333333333333334</v>
      </c>
      <c r="E3408" s="545">
        <v>10</v>
      </c>
      <c r="F3408" s="545">
        <v>14.476190476190476</v>
      </c>
      <c r="G3408" s="545">
        <v>4.3499999999999996</v>
      </c>
      <c r="H3408" s="545">
        <v>6</v>
      </c>
      <c r="I3408" s="545">
        <v>8.3333333333333339</v>
      </c>
      <c r="J3408" s="545">
        <v>5.1547619047619051</v>
      </c>
    </row>
    <row r="3409" spans="1:10">
      <c r="A3409" s="441">
        <v>7433</v>
      </c>
      <c r="B3409" s="441" t="s">
        <v>3552</v>
      </c>
      <c r="C3409" s="545">
        <v>13.666666666666668</v>
      </c>
      <c r="D3409" s="545">
        <v>11.666666666666668</v>
      </c>
      <c r="E3409" s="545">
        <v>8.3333333333333339</v>
      </c>
      <c r="F3409" s="545">
        <v>12.61904761904762</v>
      </c>
      <c r="G3409" s="545">
        <v>15.15</v>
      </c>
      <c r="H3409" s="545">
        <v>15.333333333333334</v>
      </c>
      <c r="I3409" s="545">
        <v>9.3333333333333339</v>
      </c>
      <c r="J3409" s="545">
        <v>14.345238095238093</v>
      </c>
    </row>
    <row r="3410" spans="1:10">
      <c r="A3410" s="441">
        <v>7413</v>
      </c>
      <c r="B3410" s="441" t="s">
        <v>3553</v>
      </c>
      <c r="C3410" s="545">
        <v>5.166666666666667</v>
      </c>
      <c r="D3410" s="545">
        <v>11.666666666666668</v>
      </c>
      <c r="E3410" s="545">
        <v>5.3333333333333339</v>
      </c>
      <c r="F3410" s="545">
        <v>6.1190476190476195</v>
      </c>
      <c r="G3410" s="545">
        <v>3.8</v>
      </c>
      <c r="H3410" s="545">
        <v>4.333333333333333</v>
      </c>
      <c r="I3410" s="545">
        <v>10</v>
      </c>
      <c r="J3410" s="545">
        <v>4.761904761904761</v>
      </c>
    </row>
    <row r="3411" spans="1:10">
      <c r="A3411" s="441">
        <v>7940</v>
      </c>
      <c r="B3411" s="441" t="s">
        <v>3554</v>
      </c>
      <c r="C3411" s="545">
        <v>19.5</v>
      </c>
      <c r="D3411" s="545">
        <v>0</v>
      </c>
      <c r="E3411" s="545">
        <v>0</v>
      </c>
      <c r="F3411" s="545">
        <v>13.928571428571429</v>
      </c>
      <c r="G3411" s="545">
        <v>5.05</v>
      </c>
      <c r="H3411" s="545"/>
      <c r="I3411" s="545"/>
      <c r="J3411" s="545">
        <v>3.6071428571428572</v>
      </c>
    </row>
    <row r="3412" spans="1:10">
      <c r="A3412" s="441">
        <v>7945</v>
      </c>
      <c r="B3412" s="441" t="s">
        <v>3554</v>
      </c>
      <c r="C3412" s="545">
        <v>14</v>
      </c>
      <c r="D3412" s="545">
        <v>0</v>
      </c>
      <c r="E3412" s="545">
        <v>0</v>
      </c>
      <c r="F3412" s="545">
        <v>10</v>
      </c>
      <c r="G3412" s="545">
        <v>3.15</v>
      </c>
      <c r="H3412" s="545"/>
      <c r="I3412" s="545"/>
      <c r="J3412" s="545">
        <v>2.25</v>
      </c>
    </row>
    <row r="3413" spans="1:10">
      <c r="A3413" s="441">
        <v>13082</v>
      </c>
      <c r="B3413" s="441" t="s">
        <v>3555</v>
      </c>
      <c r="C3413" s="545">
        <v>23</v>
      </c>
      <c r="D3413" s="545">
        <v>15.666666666666666</v>
      </c>
      <c r="E3413" s="545">
        <v>15.333333333333332</v>
      </c>
      <c r="F3413" s="545">
        <v>20.857142857142858</v>
      </c>
      <c r="G3413" s="545">
        <v>30.3</v>
      </c>
      <c r="H3413" s="545">
        <v>11.666666666666666</v>
      </c>
      <c r="I3413" s="545">
        <v>16.333333333333332</v>
      </c>
      <c r="J3413" s="545">
        <v>25.642857142857142</v>
      </c>
    </row>
    <row r="3414" spans="1:10">
      <c r="A3414" s="441">
        <v>6212</v>
      </c>
      <c r="B3414" s="441" t="s">
        <v>3556</v>
      </c>
      <c r="C3414" s="545">
        <v>3</v>
      </c>
      <c r="D3414" s="545">
        <v>1</v>
      </c>
      <c r="E3414" s="545">
        <v>2</v>
      </c>
      <c r="F3414" s="545">
        <v>2.5714285714285716</v>
      </c>
      <c r="G3414" s="545">
        <v>1.4</v>
      </c>
      <c r="H3414" s="545">
        <v>1</v>
      </c>
      <c r="I3414" s="545">
        <v>1.3333333333333333</v>
      </c>
      <c r="J3414" s="545">
        <v>1.3333333333333335</v>
      </c>
    </row>
    <row r="3415" spans="1:10">
      <c r="A3415" s="441">
        <v>6213</v>
      </c>
      <c r="B3415" s="441" t="s">
        <v>3557</v>
      </c>
      <c r="C3415" s="545">
        <v>8.6666666666666661</v>
      </c>
      <c r="D3415" s="545">
        <v>10</v>
      </c>
      <c r="E3415" s="545">
        <v>9</v>
      </c>
      <c r="F3415" s="545">
        <v>8.9047619047619033</v>
      </c>
      <c r="G3415" s="545">
        <v>6.75</v>
      </c>
      <c r="H3415" s="545">
        <v>7.666666666666667</v>
      </c>
      <c r="I3415" s="545">
        <v>3</v>
      </c>
      <c r="J3415" s="545">
        <v>6.3452380952380949</v>
      </c>
    </row>
    <row r="3416" spans="1:10">
      <c r="A3416" s="441">
        <v>3354</v>
      </c>
      <c r="B3416" s="441" t="s">
        <v>3558</v>
      </c>
      <c r="C3416" s="545">
        <v>21</v>
      </c>
      <c r="D3416" s="545">
        <v>19</v>
      </c>
      <c r="E3416" s="545">
        <v>14.333333333333332</v>
      </c>
      <c r="F3416" s="545">
        <v>19.761904761904763</v>
      </c>
      <c r="G3416" s="545">
        <v>22.15</v>
      </c>
      <c r="H3416" s="545">
        <v>27.666666666666668</v>
      </c>
      <c r="I3416" s="545">
        <v>23</v>
      </c>
      <c r="J3416" s="545">
        <v>23.059523809523807</v>
      </c>
    </row>
    <row r="3417" spans="1:10">
      <c r="A3417" s="441">
        <v>6200</v>
      </c>
      <c r="B3417" s="441" t="s">
        <v>3559</v>
      </c>
      <c r="C3417" s="545">
        <v>9.6666666666666679</v>
      </c>
      <c r="D3417" s="545">
        <v>8</v>
      </c>
      <c r="E3417" s="545">
        <v>4.6666666666666661</v>
      </c>
      <c r="F3417" s="545">
        <v>8.7142857142857153</v>
      </c>
      <c r="G3417" s="545">
        <v>10.65</v>
      </c>
      <c r="H3417" s="545">
        <v>8</v>
      </c>
      <c r="I3417" s="545">
        <v>8.6666666666666661</v>
      </c>
      <c r="J3417" s="545">
        <v>9.988095238095239</v>
      </c>
    </row>
    <row r="3418" spans="1:10">
      <c r="A3418" s="441">
        <v>6201</v>
      </c>
      <c r="B3418" s="441" t="s">
        <v>3560</v>
      </c>
      <c r="C3418" s="545">
        <v>7</v>
      </c>
      <c r="D3418" s="545">
        <v>2.333333333333333</v>
      </c>
      <c r="E3418" s="545">
        <v>1.6666666666666667</v>
      </c>
      <c r="F3418" s="545">
        <v>5.5714285714285712</v>
      </c>
      <c r="G3418" s="545">
        <v>6.3</v>
      </c>
      <c r="H3418" s="545">
        <v>2.6666666666666665</v>
      </c>
      <c r="I3418" s="545">
        <v>1.6666666666666667</v>
      </c>
      <c r="J3418" s="545">
        <v>5.1190476190476186</v>
      </c>
    </row>
    <row r="3419" spans="1:10">
      <c r="A3419" s="441">
        <v>502</v>
      </c>
      <c r="B3419" s="441" t="s">
        <v>3561</v>
      </c>
      <c r="C3419" s="545">
        <v>12.166666666666666</v>
      </c>
      <c r="D3419" s="545">
        <v>10.666666666666666</v>
      </c>
      <c r="E3419" s="545">
        <v>10</v>
      </c>
      <c r="F3419" s="545">
        <v>11.642857142857142</v>
      </c>
      <c r="G3419" s="545">
        <v>4.75</v>
      </c>
      <c r="H3419" s="545">
        <v>2</v>
      </c>
      <c r="I3419" s="545">
        <v>2</v>
      </c>
      <c r="J3419" s="545">
        <v>3.9642857142857144</v>
      </c>
    </row>
    <row r="3420" spans="1:10">
      <c r="A3420" s="441">
        <v>3351</v>
      </c>
      <c r="B3420" s="441" t="s">
        <v>3561</v>
      </c>
      <c r="C3420" s="545">
        <v>16.333333333333336</v>
      </c>
      <c r="D3420" s="545">
        <v>14.666666666666668</v>
      </c>
      <c r="E3420" s="545">
        <v>10.666666666666666</v>
      </c>
      <c r="F3420" s="545">
        <v>15.28571428571429</v>
      </c>
      <c r="G3420" s="545">
        <v>5.25</v>
      </c>
      <c r="H3420" s="545">
        <v>5</v>
      </c>
      <c r="I3420" s="545">
        <v>8</v>
      </c>
      <c r="J3420" s="545">
        <v>5.6071428571428568</v>
      </c>
    </row>
    <row r="3421" spans="1:10">
      <c r="A3421" s="441">
        <v>3352</v>
      </c>
      <c r="B3421" s="441" t="s">
        <v>3561</v>
      </c>
      <c r="C3421" s="545">
        <v>10.333333333333332</v>
      </c>
      <c r="D3421" s="545">
        <v>18.666666666666664</v>
      </c>
      <c r="E3421" s="545">
        <v>2.666666666666667</v>
      </c>
      <c r="F3421" s="545">
        <v>10.428571428571427</v>
      </c>
      <c r="G3421" s="545">
        <v>14.45</v>
      </c>
      <c r="H3421" s="545">
        <v>8</v>
      </c>
      <c r="I3421" s="545">
        <v>5.666666666666667</v>
      </c>
      <c r="J3421" s="545">
        <v>12.273809523809524</v>
      </c>
    </row>
    <row r="3422" spans="1:10">
      <c r="A3422" s="441">
        <v>3353</v>
      </c>
      <c r="B3422" s="441" t="s">
        <v>3561</v>
      </c>
      <c r="C3422" s="545">
        <v>42</v>
      </c>
      <c r="D3422" s="545">
        <v>33.333333333333329</v>
      </c>
      <c r="E3422" s="545">
        <v>22.666666666666664</v>
      </c>
      <c r="F3422" s="545">
        <v>38</v>
      </c>
      <c r="G3422" s="545">
        <v>26.95</v>
      </c>
      <c r="H3422" s="545">
        <v>31</v>
      </c>
      <c r="I3422" s="545">
        <v>17.666666666666668</v>
      </c>
      <c r="J3422" s="545">
        <v>26.202380952380953</v>
      </c>
    </row>
    <row r="3423" spans="1:10">
      <c r="A3423" s="441">
        <v>6206</v>
      </c>
      <c r="B3423" s="441" t="s">
        <v>3562</v>
      </c>
      <c r="C3423" s="545">
        <v>14.833333333333332</v>
      </c>
      <c r="D3423" s="545">
        <v>8.3333333333333321</v>
      </c>
      <c r="E3423" s="545">
        <v>5.6666666666666661</v>
      </c>
      <c r="F3423" s="545">
        <v>12.595238095238093</v>
      </c>
      <c r="G3423" s="545">
        <v>10.050000000000001</v>
      </c>
      <c r="H3423" s="545">
        <v>5.333333333333333</v>
      </c>
      <c r="I3423" s="545">
        <v>8.6666666666666661</v>
      </c>
      <c r="J3423" s="545">
        <v>9.1785714285714288</v>
      </c>
    </row>
    <row r="3424" spans="1:10">
      <c r="A3424" s="441">
        <v>6207</v>
      </c>
      <c r="B3424" s="441" t="s">
        <v>3563</v>
      </c>
      <c r="C3424" s="545">
        <v>31.333333333333332</v>
      </c>
      <c r="D3424" s="545">
        <v>20</v>
      </c>
      <c r="E3424" s="545">
        <v>20.666666666666664</v>
      </c>
      <c r="F3424" s="545">
        <v>28.190476190476186</v>
      </c>
      <c r="G3424" s="545">
        <v>20.95</v>
      </c>
      <c r="H3424" s="545">
        <v>19.333333333333332</v>
      </c>
      <c r="I3424" s="545">
        <v>15</v>
      </c>
      <c r="J3424" s="545">
        <v>19.869047619047617</v>
      </c>
    </row>
    <row r="3425" spans="1:10">
      <c r="A3425" s="441">
        <v>6208</v>
      </c>
      <c r="B3425" s="441" t="s">
        <v>3564</v>
      </c>
      <c r="C3425" s="545">
        <v>5.8333333333333339</v>
      </c>
      <c r="D3425" s="545">
        <v>2.666666666666667</v>
      </c>
      <c r="E3425" s="545">
        <v>0</v>
      </c>
      <c r="F3425" s="545">
        <v>4.5476190476190483</v>
      </c>
      <c r="G3425" s="545">
        <v>2.4500000000000002</v>
      </c>
      <c r="H3425" s="545">
        <v>4.666666666666667</v>
      </c>
      <c r="I3425" s="545">
        <v>0</v>
      </c>
      <c r="J3425" s="545">
        <v>2.416666666666667</v>
      </c>
    </row>
    <row r="3426" spans="1:10">
      <c r="A3426" s="441">
        <v>6209</v>
      </c>
      <c r="B3426" s="441" t="s">
        <v>3565</v>
      </c>
      <c r="C3426" s="545">
        <v>31.166666666666668</v>
      </c>
      <c r="D3426" s="545">
        <v>13.666666666666666</v>
      </c>
      <c r="E3426" s="545">
        <v>2</v>
      </c>
      <c r="F3426" s="545">
        <v>24.5</v>
      </c>
      <c r="G3426" s="545">
        <v>28.8</v>
      </c>
      <c r="H3426" s="545">
        <v>4.666666666666667</v>
      </c>
      <c r="I3426" s="545">
        <v>1.6666666666666667</v>
      </c>
      <c r="J3426" s="545">
        <v>21.476190476190474</v>
      </c>
    </row>
    <row r="3427" spans="1:10">
      <c r="A3427" s="441">
        <v>6210</v>
      </c>
      <c r="B3427" s="441" t="s">
        <v>3566</v>
      </c>
      <c r="C3427" s="545">
        <v>11.333333333333334</v>
      </c>
      <c r="D3427" s="545">
        <v>4.666666666666667</v>
      </c>
      <c r="E3427" s="545">
        <v>3.333333333333333</v>
      </c>
      <c r="F3427" s="545">
        <v>9.238095238095239</v>
      </c>
      <c r="G3427" s="545">
        <v>10.050000000000001</v>
      </c>
      <c r="H3427" s="545">
        <v>3.6666666666666665</v>
      </c>
      <c r="I3427" s="545">
        <v>1.6666666666666667</v>
      </c>
      <c r="J3427" s="545">
        <v>7.9404761904761898</v>
      </c>
    </row>
    <row r="3428" spans="1:10">
      <c r="A3428" s="441">
        <v>6211</v>
      </c>
      <c r="B3428" s="441" t="s">
        <v>3567</v>
      </c>
      <c r="C3428" s="545">
        <v>4.1666666666666661</v>
      </c>
      <c r="D3428" s="545">
        <v>2.3333333333333335</v>
      </c>
      <c r="E3428" s="545">
        <v>0.33333333333333331</v>
      </c>
      <c r="F3428" s="545">
        <v>3.3571428571428563</v>
      </c>
      <c r="G3428" s="545">
        <v>3.2</v>
      </c>
      <c r="H3428" s="545">
        <v>4.333333333333333</v>
      </c>
      <c r="I3428" s="545">
        <v>3</v>
      </c>
      <c r="J3428" s="545">
        <v>3.333333333333333</v>
      </c>
    </row>
    <row r="3429" spans="1:10">
      <c r="A3429" s="441">
        <v>6203</v>
      </c>
      <c r="B3429" s="441" t="s">
        <v>3568</v>
      </c>
      <c r="C3429" s="545">
        <v>6.3333333333333339</v>
      </c>
      <c r="D3429" s="545">
        <v>8.6666666666666679</v>
      </c>
      <c r="E3429" s="545">
        <v>3.666666666666667</v>
      </c>
      <c r="F3429" s="545">
        <v>6.2857142857142865</v>
      </c>
      <c r="G3429" s="545">
        <v>7.75</v>
      </c>
      <c r="H3429" s="545">
        <v>3.3333333333333335</v>
      </c>
      <c r="I3429" s="545">
        <v>1.6666666666666667</v>
      </c>
      <c r="J3429" s="545">
        <v>6.25</v>
      </c>
    </row>
    <row r="3430" spans="1:10">
      <c r="A3430" s="441">
        <v>6204</v>
      </c>
      <c r="B3430" s="441" t="s">
        <v>3569</v>
      </c>
      <c r="C3430" s="545">
        <v>13.166666666666668</v>
      </c>
      <c r="D3430" s="545">
        <v>11.666666666666668</v>
      </c>
      <c r="E3430" s="545">
        <v>7</v>
      </c>
      <c r="F3430" s="545">
        <v>12.071428571428573</v>
      </c>
      <c r="G3430" s="545">
        <v>2.75</v>
      </c>
      <c r="H3430" s="545">
        <v>2.6666666666666665</v>
      </c>
      <c r="I3430" s="545">
        <v>2.6666666666666665</v>
      </c>
      <c r="J3430" s="545">
        <v>2.7261904761904767</v>
      </c>
    </row>
    <row r="3431" spans="1:10">
      <c r="A3431" s="441">
        <v>6205</v>
      </c>
      <c r="B3431" s="441" t="s">
        <v>3570</v>
      </c>
      <c r="C3431" s="545">
        <v>6.666666666666667</v>
      </c>
      <c r="D3431" s="545">
        <v>3.666666666666667</v>
      </c>
      <c r="E3431" s="545">
        <v>3.3333333333333335</v>
      </c>
      <c r="F3431" s="545">
        <v>5.7619047619047619</v>
      </c>
      <c r="G3431" s="545">
        <v>7.45</v>
      </c>
      <c r="H3431" s="545">
        <v>4.666666666666667</v>
      </c>
      <c r="I3431" s="545">
        <v>2.3333333333333335</v>
      </c>
      <c r="J3431" s="545">
        <v>6.3214285714285712</v>
      </c>
    </row>
    <row r="3432" spans="1:10">
      <c r="A3432" s="441">
        <v>3355</v>
      </c>
      <c r="B3432" s="441" t="s">
        <v>3571</v>
      </c>
      <c r="C3432" s="545">
        <v>2.5</v>
      </c>
      <c r="D3432" s="545">
        <v>1.3333333333333333</v>
      </c>
      <c r="E3432" s="545">
        <v>3</v>
      </c>
      <c r="F3432" s="545">
        <v>2.4047619047619051</v>
      </c>
      <c r="G3432" s="545">
        <v>1.95</v>
      </c>
      <c r="H3432" s="545">
        <v>1.6666666666666667</v>
      </c>
      <c r="I3432" s="545">
        <v>0.66666666666666663</v>
      </c>
      <c r="J3432" s="545">
        <v>1.7261904761904761</v>
      </c>
    </row>
    <row r="3433" spans="1:10">
      <c r="A3433" s="441">
        <v>6227</v>
      </c>
      <c r="B3433" s="441" t="s">
        <v>3571</v>
      </c>
      <c r="C3433" s="545">
        <v>11.166666666666666</v>
      </c>
      <c r="D3433" s="545">
        <v>6.666666666666667</v>
      </c>
      <c r="E3433" s="545">
        <v>5</v>
      </c>
      <c r="F3433" s="545">
        <v>9.6428571428571423</v>
      </c>
      <c r="G3433" s="545">
        <v>9.1</v>
      </c>
      <c r="H3433" s="545">
        <v>5.333333333333333</v>
      </c>
      <c r="I3433" s="545">
        <v>6</v>
      </c>
      <c r="J3433" s="545">
        <v>8.1190476190476186</v>
      </c>
    </row>
    <row r="3434" spans="1:10">
      <c r="A3434" s="441">
        <v>499</v>
      </c>
      <c r="B3434" s="441" t="s">
        <v>3572</v>
      </c>
      <c r="C3434" s="545">
        <v>37.5</v>
      </c>
      <c r="D3434" s="545">
        <v>28</v>
      </c>
      <c r="E3434" s="545">
        <v>27.666666666666668</v>
      </c>
      <c r="F3434" s="545">
        <v>34.738095238095234</v>
      </c>
      <c r="G3434" s="545">
        <v>32.549999999999997</v>
      </c>
      <c r="H3434" s="545">
        <v>38.333333333333336</v>
      </c>
      <c r="I3434" s="545">
        <v>22</v>
      </c>
      <c r="J3434" s="545">
        <v>31.86904761904762</v>
      </c>
    </row>
    <row r="3435" spans="1:10">
      <c r="A3435" s="441">
        <v>500</v>
      </c>
      <c r="B3435" s="441" t="s">
        <v>3572</v>
      </c>
      <c r="C3435" s="545">
        <v>45.5</v>
      </c>
      <c r="D3435" s="545">
        <v>39</v>
      </c>
      <c r="E3435" s="545">
        <v>30.666666666666668</v>
      </c>
      <c r="F3435" s="545">
        <v>42.452380952380956</v>
      </c>
      <c r="G3435" s="545">
        <v>34</v>
      </c>
      <c r="H3435" s="545">
        <v>26.666666666666668</v>
      </c>
      <c r="I3435" s="545">
        <v>23.333333333333332</v>
      </c>
      <c r="J3435" s="545">
        <v>31.428571428571427</v>
      </c>
    </row>
    <row r="3436" spans="1:10">
      <c r="A3436" s="441">
        <v>6221</v>
      </c>
      <c r="B3436" s="441" t="s">
        <v>3573</v>
      </c>
      <c r="C3436" s="545">
        <v>18.666666666666668</v>
      </c>
      <c r="D3436" s="545">
        <v>10.333333333333334</v>
      </c>
      <c r="E3436" s="545">
        <v>7.333333333333333</v>
      </c>
      <c r="F3436" s="545">
        <v>15.857142857142858</v>
      </c>
      <c r="G3436" s="545">
        <v>13.65</v>
      </c>
      <c r="H3436" s="545">
        <v>8.3333333333333339</v>
      </c>
      <c r="I3436" s="545">
        <v>11.333333333333334</v>
      </c>
      <c r="J3436" s="545">
        <v>12.559523809523808</v>
      </c>
    </row>
    <row r="3437" spans="1:10">
      <c r="A3437" s="441">
        <v>6220</v>
      </c>
      <c r="B3437" s="441" t="s">
        <v>3574</v>
      </c>
      <c r="C3437" s="545">
        <v>33.666666666666664</v>
      </c>
      <c r="D3437" s="545">
        <v>25.666666666666668</v>
      </c>
      <c r="E3437" s="545">
        <v>25.333333333333336</v>
      </c>
      <c r="F3437" s="545">
        <v>31.333333333333332</v>
      </c>
      <c r="G3437" s="545">
        <v>26.35</v>
      </c>
      <c r="H3437" s="545">
        <v>19.333333333333332</v>
      </c>
      <c r="I3437" s="545">
        <v>13.333333333333334</v>
      </c>
      <c r="J3437" s="545">
        <v>23.488095238095241</v>
      </c>
    </row>
    <row r="3438" spans="1:10">
      <c r="A3438" s="441">
        <v>6219</v>
      </c>
      <c r="B3438" s="441" t="s">
        <v>3575</v>
      </c>
      <c r="C3438" s="545">
        <v>5.166666666666667</v>
      </c>
      <c r="D3438" s="545">
        <v>0.66666666666666663</v>
      </c>
      <c r="E3438" s="545">
        <v>2</v>
      </c>
      <c r="F3438" s="545">
        <v>4.0714285714285721</v>
      </c>
      <c r="G3438" s="545">
        <v>3.3</v>
      </c>
      <c r="H3438" s="545">
        <v>2</v>
      </c>
      <c r="I3438" s="545">
        <v>1.3333333333333333</v>
      </c>
      <c r="J3438" s="545">
        <v>2.833333333333333</v>
      </c>
    </row>
    <row r="3439" spans="1:10">
      <c r="A3439" s="441">
        <v>6218</v>
      </c>
      <c r="B3439" s="441" t="s">
        <v>3576</v>
      </c>
      <c r="C3439" s="545">
        <v>25.666666666666664</v>
      </c>
      <c r="D3439" s="545">
        <v>12</v>
      </c>
      <c r="E3439" s="545">
        <v>4</v>
      </c>
      <c r="F3439" s="545">
        <v>20.619047619047617</v>
      </c>
      <c r="G3439" s="545">
        <v>19.350000000000001</v>
      </c>
      <c r="H3439" s="545">
        <v>5.666666666666667</v>
      </c>
      <c r="I3439" s="545">
        <v>1.3333333333333333</v>
      </c>
      <c r="J3439" s="545">
        <v>14.821428571428571</v>
      </c>
    </row>
    <row r="3440" spans="1:10">
      <c r="A3440" s="441">
        <v>6217</v>
      </c>
      <c r="B3440" s="441" t="s">
        <v>3577</v>
      </c>
      <c r="C3440" s="545">
        <v>11</v>
      </c>
      <c r="D3440" s="545">
        <v>6.3333333333333339</v>
      </c>
      <c r="E3440" s="545">
        <v>2.666666666666667</v>
      </c>
      <c r="F3440" s="545">
        <v>9.1428571428571423</v>
      </c>
      <c r="G3440" s="545">
        <v>14.75</v>
      </c>
      <c r="H3440" s="545">
        <v>7</v>
      </c>
      <c r="I3440" s="545">
        <v>4</v>
      </c>
      <c r="J3440" s="545">
        <v>12.107142857142858</v>
      </c>
    </row>
    <row r="3441" spans="1:10">
      <c r="A3441" s="441">
        <v>6216</v>
      </c>
      <c r="B3441" s="441" t="s">
        <v>3578</v>
      </c>
      <c r="C3441" s="545">
        <v>1.1666666666666667</v>
      </c>
      <c r="D3441" s="545">
        <v>1</v>
      </c>
      <c r="E3441" s="545">
        <v>0.33333333333333331</v>
      </c>
      <c r="F3441" s="545">
        <v>1.0238095238095239</v>
      </c>
      <c r="G3441" s="545">
        <v>4.1500000000000004</v>
      </c>
      <c r="H3441" s="545">
        <v>2</v>
      </c>
      <c r="I3441" s="545">
        <v>1.6666666666666667</v>
      </c>
      <c r="J3441" s="545">
        <v>3.4880952380952381</v>
      </c>
    </row>
    <row r="3442" spans="1:10">
      <c r="A3442" s="441">
        <v>6215</v>
      </c>
      <c r="B3442" s="441" t="s">
        <v>3579</v>
      </c>
      <c r="C3442" s="545">
        <v>4</v>
      </c>
      <c r="D3442" s="545">
        <v>1.3333333333333333</v>
      </c>
      <c r="E3442" s="545">
        <v>1.3333333333333333</v>
      </c>
      <c r="F3442" s="545">
        <v>3.2380952380952377</v>
      </c>
      <c r="G3442" s="545">
        <v>1.55</v>
      </c>
      <c r="H3442" s="545">
        <v>2</v>
      </c>
      <c r="I3442" s="545">
        <v>1.6666666666666667</v>
      </c>
      <c r="J3442" s="545">
        <v>1.6309523809523809</v>
      </c>
    </row>
    <row r="3443" spans="1:10">
      <c r="A3443" s="441">
        <v>6214</v>
      </c>
      <c r="B3443" s="441" t="s">
        <v>3580</v>
      </c>
      <c r="C3443" s="545">
        <v>7.5</v>
      </c>
      <c r="D3443" s="545">
        <v>3</v>
      </c>
      <c r="E3443" s="545">
        <v>2.3333333333333335</v>
      </c>
      <c r="F3443" s="545">
        <v>6.1190476190476195</v>
      </c>
      <c r="G3443" s="545">
        <v>4.9000000000000004</v>
      </c>
      <c r="H3443" s="545">
        <v>2.6666666666666665</v>
      </c>
      <c r="I3443" s="545">
        <v>3</v>
      </c>
      <c r="J3443" s="545">
        <v>4.3095238095238093</v>
      </c>
    </row>
    <row r="3444" spans="1:10">
      <c r="A3444" s="441">
        <v>6226</v>
      </c>
      <c r="B3444" s="441" t="s">
        <v>3581</v>
      </c>
      <c r="C3444" s="545">
        <v>15.5</v>
      </c>
      <c r="D3444" s="545">
        <v>5</v>
      </c>
      <c r="E3444" s="545">
        <v>1.6666666666666665</v>
      </c>
      <c r="F3444" s="545">
        <v>12.023809523809524</v>
      </c>
      <c r="G3444" s="545">
        <v>6.95</v>
      </c>
      <c r="H3444" s="545">
        <v>6.333333333333333</v>
      </c>
      <c r="I3444" s="545">
        <v>3.6666666666666665</v>
      </c>
      <c r="J3444" s="545">
        <v>6.3928571428571432</v>
      </c>
    </row>
    <row r="3445" spans="1:10">
      <c r="A3445" s="441">
        <v>6225</v>
      </c>
      <c r="B3445" s="441" t="s">
        <v>3582</v>
      </c>
      <c r="C3445" s="545">
        <v>13.166666666666666</v>
      </c>
      <c r="D3445" s="545">
        <v>7.6666666666666661</v>
      </c>
      <c r="E3445" s="545">
        <v>4.333333333333333</v>
      </c>
      <c r="F3445" s="545">
        <v>11.119047619047619</v>
      </c>
      <c r="G3445" s="545">
        <v>10.35</v>
      </c>
      <c r="H3445" s="545">
        <v>5.666666666666667</v>
      </c>
      <c r="I3445" s="545">
        <v>5.333333333333333</v>
      </c>
      <c r="J3445" s="545">
        <v>8.9642857142857135</v>
      </c>
    </row>
    <row r="3446" spans="1:10">
      <c r="A3446" s="441">
        <v>6224</v>
      </c>
      <c r="B3446" s="441" t="s">
        <v>3583</v>
      </c>
      <c r="C3446" s="545">
        <v>6.5</v>
      </c>
      <c r="D3446" s="545">
        <v>5</v>
      </c>
      <c r="E3446" s="545">
        <v>6.666666666666667</v>
      </c>
      <c r="F3446" s="545">
        <v>6.3095238095238093</v>
      </c>
      <c r="G3446" s="545">
        <v>6.65</v>
      </c>
      <c r="H3446" s="545">
        <v>4.666666666666667</v>
      </c>
      <c r="I3446" s="545">
        <v>3.6666666666666665</v>
      </c>
      <c r="J3446" s="545">
        <v>5.9404761904761898</v>
      </c>
    </row>
    <row r="3447" spans="1:10">
      <c r="A3447" s="441">
        <v>6223</v>
      </c>
      <c r="B3447" s="441" t="s">
        <v>3584</v>
      </c>
      <c r="C3447" s="545">
        <v>15.833333333333334</v>
      </c>
      <c r="D3447" s="545">
        <v>14.333333333333332</v>
      </c>
      <c r="E3447" s="545">
        <v>7</v>
      </c>
      <c r="F3447" s="545">
        <v>14.357142857142858</v>
      </c>
      <c r="G3447" s="545">
        <v>3.15</v>
      </c>
      <c r="H3447" s="545">
        <v>3.3333333333333335</v>
      </c>
      <c r="I3447" s="545">
        <v>2.6666666666666665</v>
      </c>
      <c r="J3447" s="545">
        <v>3.1071428571428572</v>
      </c>
    </row>
    <row r="3448" spans="1:10">
      <c r="A3448" s="441">
        <v>6222</v>
      </c>
      <c r="B3448" s="441" t="s">
        <v>3585</v>
      </c>
      <c r="C3448" s="545">
        <v>6.3333333333333339</v>
      </c>
      <c r="D3448" s="545">
        <v>2</v>
      </c>
      <c r="E3448" s="545">
        <v>1</v>
      </c>
      <c r="F3448" s="545">
        <v>4.9523809523809534</v>
      </c>
      <c r="G3448" s="545">
        <v>5.75</v>
      </c>
      <c r="H3448" s="545">
        <v>3</v>
      </c>
      <c r="I3448" s="545">
        <v>3.6666666666666665</v>
      </c>
      <c r="J3448" s="545">
        <v>5.0595238095238093</v>
      </c>
    </row>
    <row r="3449" spans="1:10">
      <c r="A3449" s="441">
        <v>6202</v>
      </c>
      <c r="B3449" s="441" t="s">
        <v>3586</v>
      </c>
      <c r="C3449" s="545">
        <v>17.166666666666668</v>
      </c>
      <c r="D3449" s="545">
        <v>9.6666666666666661</v>
      </c>
      <c r="E3449" s="545">
        <v>7</v>
      </c>
      <c r="F3449" s="545">
        <v>14.642857142857144</v>
      </c>
      <c r="G3449" s="545">
        <v>13.6</v>
      </c>
      <c r="H3449" s="545">
        <v>7.333333333333333</v>
      </c>
      <c r="I3449" s="545">
        <v>4.333333333333333</v>
      </c>
      <c r="J3449" s="545">
        <v>11.38095238095238</v>
      </c>
    </row>
    <row r="3450" spans="1:10">
      <c r="A3450" s="441">
        <v>2497</v>
      </c>
      <c r="B3450" s="441" t="s">
        <v>3587</v>
      </c>
      <c r="C3450" s="545">
        <v>78.666666666666671</v>
      </c>
      <c r="D3450" s="545">
        <v>40.333333333333329</v>
      </c>
      <c r="E3450" s="545">
        <v>34.333333333333336</v>
      </c>
      <c r="F3450" s="545">
        <v>66.857142857142861</v>
      </c>
      <c r="G3450" s="545">
        <v>42.2</v>
      </c>
      <c r="H3450" s="545">
        <v>33.333333333333336</v>
      </c>
      <c r="I3450" s="545">
        <v>21.333333333333332</v>
      </c>
      <c r="J3450" s="545">
        <v>37.952380952380956</v>
      </c>
    </row>
    <row r="3451" spans="1:10">
      <c r="A3451" s="441">
        <v>8539</v>
      </c>
      <c r="B3451" s="441" t="s">
        <v>3587</v>
      </c>
      <c r="C3451" s="545">
        <v>51.833333333333329</v>
      </c>
      <c r="D3451" s="545">
        <v>32.666666666666664</v>
      </c>
      <c r="E3451" s="545">
        <v>24.666666666666664</v>
      </c>
      <c r="F3451" s="545">
        <v>45.214285714285715</v>
      </c>
      <c r="G3451" s="545">
        <v>35.65</v>
      </c>
      <c r="H3451" s="545">
        <v>17.666666666666668</v>
      </c>
      <c r="I3451" s="545">
        <v>16</v>
      </c>
      <c r="J3451" s="545">
        <v>30.273809523809522</v>
      </c>
    </row>
    <row r="3452" spans="1:10">
      <c r="A3452" s="441">
        <v>11547</v>
      </c>
      <c r="B3452" s="441" t="s">
        <v>3587</v>
      </c>
      <c r="C3452" s="545">
        <v>7</v>
      </c>
      <c r="D3452" s="545">
        <v>4.6666666666666661</v>
      </c>
      <c r="E3452" s="545">
        <v>5</v>
      </c>
      <c r="F3452" s="545">
        <v>6.3809523809523805</v>
      </c>
      <c r="G3452" s="545">
        <v>8.1</v>
      </c>
      <c r="H3452" s="545">
        <v>17</v>
      </c>
      <c r="I3452" s="545">
        <v>3.3333333333333335</v>
      </c>
      <c r="J3452" s="545">
        <v>8.6904761904761916</v>
      </c>
    </row>
    <row r="3453" spans="1:10">
      <c r="A3453" s="441">
        <v>12571</v>
      </c>
      <c r="B3453" s="441" t="s">
        <v>3588</v>
      </c>
      <c r="C3453" s="545">
        <v>16.833333333333332</v>
      </c>
      <c r="D3453" s="545">
        <v>7.3333333333333339</v>
      </c>
      <c r="E3453" s="545">
        <v>8</v>
      </c>
      <c r="F3453" s="545">
        <v>14.214285714285712</v>
      </c>
      <c r="G3453" s="545">
        <v>9.15</v>
      </c>
      <c r="H3453" s="545">
        <v>2</v>
      </c>
      <c r="I3453" s="545">
        <v>0.33333333333333331</v>
      </c>
      <c r="J3453" s="545">
        <v>6.8690476190476195</v>
      </c>
    </row>
    <row r="3454" spans="1:10">
      <c r="A3454" s="441">
        <v>12572</v>
      </c>
      <c r="B3454" s="441" t="s">
        <v>3588</v>
      </c>
      <c r="C3454" s="545">
        <v>13</v>
      </c>
      <c r="D3454" s="545">
        <v>11.333333333333332</v>
      </c>
      <c r="E3454" s="545">
        <v>6.6666666666666661</v>
      </c>
      <c r="F3454" s="545">
        <v>11.857142857142858</v>
      </c>
      <c r="G3454" s="545">
        <v>10.6</v>
      </c>
      <c r="H3454" s="545">
        <v>5</v>
      </c>
      <c r="I3454" s="545">
        <v>7.333333333333333</v>
      </c>
      <c r="J3454" s="545">
        <v>9.3333333333333321</v>
      </c>
    </row>
    <row r="3455" spans="1:10">
      <c r="A3455" s="441">
        <v>8537</v>
      </c>
      <c r="B3455" s="441" t="s">
        <v>3589</v>
      </c>
      <c r="C3455" s="545">
        <v>16.666666666666664</v>
      </c>
      <c r="D3455" s="545">
        <v>10.333333333333332</v>
      </c>
      <c r="E3455" s="545">
        <v>9</v>
      </c>
      <c r="F3455" s="545">
        <v>14.666666666666663</v>
      </c>
      <c r="G3455" s="545">
        <v>9</v>
      </c>
      <c r="H3455" s="545">
        <v>4.666666666666667</v>
      </c>
      <c r="I3455" s="545">
        <v>3.6666666666666665</v>
      </c>
      <c r="J3455" s="545">
        <v>7.6190476190476186</v>
      </c>
    </row>
    <row r="3456" spans="1:10">
      <c r="A3456" s="441">
        <v>2498</v>
      </c>
      <c r="B3456" s="441" t="s">
        <v>3590</v>
      </c>
      <c r="C3456" s="545">
        <v>7.333333333333333</v>
      </c>
      <c r="D3456" s="545">
        <v>2</v>
      </c>
      <c r="E3456" s="545">
        <v>1</v>
      </c>
      <c r="F3456" s="545">
        <v>5.6666666666666661</v>
      </c>
      <c r="G3456" s="545">
        <v>3.2</v>
      </c>
      <c r="H3456" s="545">
        <v>0.66666666666666663</v>
      </c>
      <c r="I3456" s="545">
        <v>0.66666666666666663</v>
      </c>
      <c r="J3456" s="545">
        <v>2.4761904761904767</v>
      </c>
    </row>
    <row r="3457" spans="1:10">
      <c r="A3457" s="441">
        <v>8538</v>
      </c>
      <c r="B3457" s="441" t="s">
        <v>3590</v>
      </c>
      <c r="C3457" s="545">
        <v>12</v>
      </c>
      <c r="D3457" s="545">
        <v>3</v>
      </c>
      <c r="E3457" s="545">
        <v>1</v>
      </c>
      <c r="F3457" s="545">
        <v>9.1428571428571423</v>
      </c>
      <c r="G3457" s="545">
        <v>3.3</v>
      </c>
      <c r="H3457" s="545">
        <v>1.6666666666666667</v>
      </c>
      <c r="I3457" s="545">
        <v>1</v>
      </c>
      <c r="J3457" s="545">
        <v>2.7380952380952381</v>
      </c>
    </row>
    <row r="3458" spans="1:10">
      <c r="A3458" s="441">
        <v>11546</v>
      </c>
      <c r="B3458" s="441" t="s">
        <v>3590</v>
      </c>
      <c r="C3458" s="545">
        <v>8.6666666666666679</v>
      </c>
      <c r="D3458" s="545">
        <v>4.333333333333333</v>
      </c>
      <c r="E3458" s="545">
        <v>9</v>
      </c>
      <c r="F3458" s="545">
        <v>8.0952380952380967</v>
      </c>
      <c r="G3458" s="545">
        <v>10.85</v>
      </c>
      <c r="H3458" s="545">
        <v>5.666666666666667</v>
      </c>
      <c r="I3458" s="545">
        <v>5.333333333333333</v>
      </c>
      <c r="J3458" s="545">
        <v>9.3214285714285712</v>
      </c>
    </row>
    <row r="3459" spans="1:10">
      <c r="A3459" s="441">
        <v>8898</v>
      </c>
      <c r="B3459" s="441" t="s">
        <v>3591</v>
      </c>
      <c r="C3459" s="545">
        <v>78</v>
      </c>
      <c r="D3459" s="545">
        <v>48</v>
      </c>
      <c r="E3459" s="545">
        <v>50</v>
      </c>
      <c r="F3459" s="545">
        <v>69.714285714285708</v>
      </c>
      <c r="G3459" s="545">
        <v>29.45</v>
      </c>
      <c r="H3459" s="545">
        <v>22.666666666666668</v>
      </c>
      <c r="I3459" s="545">
        <v>16.333333333333332</v>
      </c>
      <c r="J3459" s="545">
        <v>26.607142857142858</v>
      </c>
    </row>
    <row r="3460" spans="1:10">
      <c r="A3460" s="441">
        <v>2442</v>
      </c>
      <c r="B3460" s="441" t="s">
        <v>3592</v>
      </c>
      <c r="C3460" s="545">
        <v>201.33333333333331</v>
      </c>
      <c r="D3460" s="545">
        <v>126.66666666666666</v>
      </c>
      <c r="E3460" s="545">
        <v>114.66666666666666</v>
      </c>
      <c r="F3460" s="545">
        <v>178.28571428571428</v>
      </c>
      <c r="G3460" s="545">
        <v>115.1</v>
      </c>
      <c r="H3460" s="545">
        <v>76</v>
      </c>
      <c r="I3460" s="545">
        <v>57.666666666666664</v>
      </c>
      <c r="J3460" s="545">
        <v>101.30952380952381</v>
      </c>
    </row>
    <row r="3461" spans="1:10">
      <c r="A3461" s="441">
        <v>10068</v>
      </c>
      <c r="B3461" s="441" t="s">
        <v>3593</v>
      </c>
      <c r="C3461" s="545">
        <v>121.66666666666667</v>
      </c>
      <c r="D3461" s="545">
        <v>43.666666666666664</v>
      </c>
      <c r="E3461" s="545">
        <v>31</v>
      </c>
      <c r="F3461" s="545">
        <v>97.571428571428569</v>
      </c>
      <c r="G3461" s="545">
        <v>61.15</v>
      </c>
      <c r="H3461" s="545">
        <v>32.333333333333336</v>
      </c>
      <c r="I3461" s="545">
        <v>31.333333333333332</v>
      </c>
      <c r="J3461" s="545">
        <v>52.773809523809518</v>
      </c>
    </row>
    <row r="3462" spans="1:10">
      <c r="A3462" s="441">
        <v>2500</v>
      </c>
      <c r="B3462" s="441" t="s">
        <v>3594</v>
      </c>
      <c r="C3462" s="545">
        <v>53</v>
      </c>
      <c r="D3462" s="545">
        <v>27</v>
      </c>
      <c r="E3462" s="545">
        <v>22.333333333333332</v>
      </c>
      <c r="F3462" s="545">
        <v>44.904761904761905</v>
      </c>
      <c r="G3462" s="545">
        <v>34.35</v>
      </c>
      <c r="H3462" s="545">
        <v>18</v>
      </c>
      <c r="I3462" s="545">
        <v>21.333333333333332</v>
      </c>
      <c r="J3462" s="545">
        <v>30.154761904761905</v>
      </c>
    </row>
    <row r="3463" spans="1:10">
      <c r="A3463" s="441">
        <v>8536</v>
      </c>
      <c r="B3463" s="441" t="s">
        <v>3594</v>
      </c>
      <c r="C3463" s="545">
        <v>19.333333333333336</v>
      </c>
      <c r="D3463" s="545">
        <v>5</v>
      </c>
      <c r="E3463" s="545">
        <v>4.3333333333333339</v>
      </c>
      <c r="F3463" s="545">
        <v>15.142857142857144</v>
      </c>
      <c r="G3463" s="545">
        <v>12.55</v>
      </c>
      <c r="H3463" s="545">
        <v>2.3333333333333335</v>
      </c>
      <c r="I3463" s="545">
        <v>4.333333333333333</v>
      </c>
      <c r="J3463" s="545">
        <v>9.9166666666666661</v>
      </c>
    </row>
    <row r="3464" spans="1:10">
      <c r="A3464" s="441">
        <v>11052</v>
      </c>
      <c r="B3464" s="441" t="s">
        <v>3595</v>
      </c>
      <c r="C3464" s="545">
        <v>43.333333333333329</v>
      </c>
      <c r="D3464" s="545">
        <v>36.333333333333336</v>
      </c>
      <c r="E3464" s="545">
        <v>45.666666666666664</v>
      </c>
      <c r="F3464" s="545">
        <v>42.666666666666664</v>
      </c>
      <c r="G3464" s="545">
        <v>7.5</v>
      </c>
      <c r="H3464" s="545">
        <v>7.666666666666667</v>
      </c>
      <c r="I3464" s="545">
        <v>4.666666666666667</v>
      </c>
      <c r="J3464" s="545">
        <v>7.1190476190476186</v>
      </c>
    </row>
    <row r="3465" spans="1:10">
      <c r="A3465" s="441">
        <v>11053</v>
      </c>
      <c r="B3465" s="441" t="s">
        <v>3595</v>
      </c>
      <c r="C3465" s="545">
        <v>39.166666666666671</v>
      </c>
      <c r="D3465" s="545">
        <v>21</v>
      </c>
      <c r="E3465" s="545">
        <v>13.333333333333334</v>
      </c>
      <c r="F3465" s="545">
        <v>32.880952380952387</v>
      </c>
      <c r="G3465" s="545">
        <v>7.1</v>
      </c>
      <c r="H3465" s="545">
        <v>4.666666666666667</v>
      </c>
      <c r="I3465" s="545">
        <v>4</v>
      </c>
      <c r="J3465" s="545">
        <v>6.3095238095238093</v>
      </c>
    </row>
    <row r="3466" spans="1:10">
      <c r="A3466" s="441">
        <v>2499</v>
      </c>
      <c r="B3466" s="441" t="s">
        <v>3596</v>
      </c>
      <c r="C3466" s="545">
        <v>13</v>
      </c>
      <c r="D3466" s="545">
        <v>8</v>
      </c>
      <c r="E3466" s="545">
        <v>5</v>
      </c>
      <c r="F3466" s="545">
        <v>11.142857142857142</v>
      </c>
      <c r="G3466" s="545">
        <v>7.45</v>
      </c>
      <c r="H3466" s="545">
        <v>2.6666666666666665</v>
      </c>
      <c r="I3466" s="545">
        <v>4.333333333333333</v>
      </c>
      <c r="J3466" s="545">
        <v>6.3214285714285712</v>
      </c>
    </row>
    <row r="3467" spans="1:10">
      <c r="A3467" s="441">
        <v>6532</v>
      </c>
      <c r="B3467" s="441" t="s">
        <v>3597</v>
      </c>
      <c r="C3467" s="545">
        <v>4.5</v>
      </c>
      <c r="D3467" s="545">
        <v>0.66666666666666663</v>
      </c>
      <c r="E3467" s="545">
        <v>0.33333333333333331</v>
      </c>
      <c r="F3467" s="545">
        <v>3.3571428571428572</v>
      </c>
      <c r="G3467" s="545">
        <v>0.8</v>
      </c>
      <c r="H3467" s="545">
        <v>0.66666666666666663</v>
      </c>
      <c r="I3467" s="545">
        <v>0</v>
      </c>
      <c r="J3467" s="545">
        <v>0.66666666666666674</v>
      </c>
    </row>
    <row r="3468" spans="1:10">
      <c r="A3468" s="441">
        <v>6533</v>
      </c>
      <c r="B3468" s="441" t="s">
        <v>3597</v>
      </c>
      <c r="C3468" s="545">
        <v>2.8333333333333335</v>
      </c>
      <c r="D3468" s="545">
        <v>2</v>
      </c>
      <c r="E3468" s="545">
        <v>0</v>
      </c>
      <c r="F3468" s="545">
        <v>2.3095238095238098</v>
      </c>
      <c r="G3468" s="545">
        <v>1.3</v>
      </c>
      <c r="H3468" s="545">
        <v>0.33333333333333331</v>
      </c>
      <c r="I3468" s="545">
        <v>0</v>
      </c>
      <c r="J3468" s="545">
        <v>0.97619047619047616</v>
      </c>
    </row>
    <row r="3469" spans="1:10">
      <c r="A3469" s="441">
        <v>8897</v>
      </c>
      <c r="B3469" s="441" t="s">
        <v>3598</v>
      </c>
      <c r="C3469" s="545">
        <v>454</v>
      </c>
      <c r="D3469" s="545">
        <v>136.33333333333331</v>
      </c>
      <c r="E3469" s="545">
        <v>138</v>
      </c>
      <c r="F3469" s="545">
        <v>363.47619047619048</v>
      </c>
      <c r="G3469" s="545">
        <v>163.4</v>
      </c>
      <c r="H3469" s="545">
        <v>90.333333333333329</v>
      </c>
      <c r="I3469" s="545">
        <v>79.666666666666671</v>
      </c>
      <c r="J3469" s="545">
        <v>141</v>
      </c>
    </row>
    <row r="3470" spans="1:10">
      <c r="A3470" s="441">
        <v>8896</v>
      </c>
      <c r="B3470" s="441" t="s">
        <v>3599</v>
      </c>
      <c r="C3470" s="545">
        <v>1</v>
      </c>
      <c r="D3470" s="545">
        <v>0</v>
      </c>
      <c r="E3470" s="545">
        <v>0</v>
      </c>
      <c r="F3470" s="545">
        <v>0.7142857142857143</v>
      </c>
      <c r="G3470" s="545">
        <v>0.35</v>
      </c>
      <c r="H3470" s="545">
        <v>0</v>
      </c>
      <c r="I3470" s="545">
        <v>0</v>
      </c>
      <c r="J3470" s="545">
        <v>0.25</v>
      </c>
    </row>
    <row r="3471" spans="1:10">
      <c r="A3471" s="441">
        <v>11013</v>
      </c>
      <c r="B3471" s="441" t="s">
        <v>3599</v>
      </c>
      <c r="C3471" s="545">
        <v>6.8333333333333339</v>
      </c>
      <c r="D3471" s="545">
        <v>0</v>
      </c>
      <c r="E3471" s="545">
        <v>0</v>
      </c>
      <c r="F3471" s="545">
        <v>4.8809523809523814</v>
      </c>
      <c r="G3471" s="545">
        <v>1.1000000000000001</v>
      </c>
      <c r="H3471" s="545">
        <v>0</v>
      </c>
      <c r="I3471" s="545">
        <v>0.66666666666666663</v>
      </c>
      <c r="J3471" s="545">
        <v>0.88095238095238104</v>
      </c>
    </row>
    <row r="3472" spans="1:10">
      <c r="A3472" s="441">
        <v>12569</v>
      </c>
      <c r="B3472" s="441" t="s">
        <v>3600</v>
      </c>
      <c r="C3472" s="545">
        <v>8.8333333333333339</v>
      </c>
      <c r="D3472" s="545">
        <v>4</v>
      </c>
      <c r="E3472" s="545">
        <v>1.6666666666666665</v>
      </c>
      <c r="F3472" s="545">
        <v>7.1190476190476195</v>
      </c>
      <c r="G3472" s="545">
        <v>15.8</v>
      </c>
      <c r="H3472" s="545">
        <v>6.666666666666667</v>
      </c>
      <c r="I3472" s="545">
        <v>3</v>
      </c>
      <c r="J3472" s="545">
        <v>12.666666666666668</v>
      </c>
    </row>
    <row r="3473" spans="1:10">
      <c r="A3473" s="441">
        <v>12570</v>
      </c>
      <c r="B3473" s="441" t="s">
        <v>3600</v>
      </c>
      <c r="C3473" s="545">
        <v>8.6666666666666661</v>
      </c>
      <c r="D3473" s="545">
        <v>3.666666666666667</v>
      </c>
      <c r="E3473" s="545">
        <v>3</v>
      </c>
      <c r="F3473" s="545">
        <v>7.1428571428571415</v>
      </c>
      <c r="G3473" s="545">
        <v>26.6</v>
      </c>
      <c r="H3473" s="545">
        <v>3.3333333333333335</v>
      </c>
      <c r="I3473" s="545">
        <v>7</v>
      </c>
      <c r="J3473" s="545">
        <v>20.476190476190478</v>
      </c>
    </row>
    <row r="3474" spans="1:10">
      <c r="A3474" s="441">
        <v>11298</v>
      </c>
      <c r="B3474" s="441" t="s">
        <v>3601</v>
      </c>
      <c r="C3474" s="545">
        <v>15.166666666666668</v>
      </c>
      <c r="D3474" s="545">
        <v>9</v>
      </c>
      <c r="E3474" s="545">
        <v>4.6666666666666661</v>
      </c>
      <c r="F3474" s="545">
        <v>12.785714285714288</v>
      </c>
      <c r="G3474" s="545">
        <v>8.6</v>
      </c>
      <c r="H3474" s="545">
        <v>11</v>
      </c>
      <c r="I3474" s="545">
        <v>11</v>
      </c>
      <c r="J3474" s="545">
        <v>9.2857142857142865</v>
      </c>
    </row>
    <row r="3475" spans="1:10">
      <c r="A3475" s="441">
        <v>6365</v>
      </c>
      <c r="B3475" s="441" t="s">
        <v>3602</v>
      </c>
      <c r="C3475" s="545">
        <v>64.666666666666671</v>
      </c>
      <c r="D3475" s="545">
        <v>50.333333333333336</v>
      </c>
      <c r="E3475" s="545">
        <v>51</v>
      </c>
      <c r="F3475" s="545">
        <v>60.666666666666671</v>
      </c>
      <c r="G3475" s="545">
        <v>56.05</v>
      </c>
      <c r="H3475" s="545">
        <v>16.333333333333332</v>
      </c>
      <c r="I3475" s="545">
        <v>25.333333333333332</v>
      </c>
      <c r="J3475" s="545">
        <v>45.988095238095234</v>
      </c>
    </row>
    <row r="3476" spans="1:10">
      <c r="A3476" s="441">
        <v>6342</v>
      </c>
      <c r="B3476" s="441" t="s">
        <v>3603</v>
      </c>
      <c r="C3476" s="545">
        <v>4.166666666666667</v>
      </c>
      <c r="D3476" s="545">
        <v>2.6666666666666665</v>
      </c>
      <c r="E3476" s="545">
        <v>0.66666666666666663</v>
      </c>
      <c r="F3476" s="545">
        <v>3.452380952380953</v>
      </c>
      <c r="G3476" s="545">
        <v>8.3000000000000007</v>
      </c>
      <c r="H3476" s="545">
        <v>3</v>
      </c>
      <c r="I3476" s="545">
        <v>0.33333333333333331</v>
      </c>
      <c r="J3476" s="545">
        <v>6.4047619047619051</v>
      </c>
    </row>
    <row r="3477" spans="1:10">
      <c r="A3477" s="441">
        <v>6356</v>
      </c>
      <c r="B3477" s="441" t="s">
        <v>3603</v>
      </c>
      <c r="C3477" s="545">
        <v>5</v>
      </c>
      <c r="D3477" s="545">
        <v>1</v>
      </c>
      <c r="E3477" s="545">
        <v>0.66666666666666663</v>
      </c>
      <c r="F3477" s="545">
        <v>3.8095238095238098</v>
      </c>
      <c r="G3477" s="545">
        <v>4.5999999999999996</v>
      </c>
      <c r="H3477" s="545">
        <v>2</v>
      </c>
      <c r="I3477" s="545">
        <v>2</v>
      </c>
      <c r="J3477" s="545">
        <v>3.8571428571428572</v>
      </c>
    </row>
    <row r="3478" spans="1:10">
      <c r="A3478" s="441">
        <v>6351</v>
      </c>
      <c r="B3478" s="441" t="s">
        <v>3604</v>
      </c>
      <c r="C3478" s="545">
        <v>31.5</v>
      </c>
      <c r="D3478" s="545">
        <v>16.333333333333336</v>
      </c>
      <c r="E3478" s="545">
        <v>19.666666666666664</v>
      </c>
      <c r="F3478" s="545">
        <v>27.642857142857142</v>
      </c>
      <c r="G3478" s="545">
        <v>21.85</v>
      </c>
      <c r="H3478" s="545">
        <v>17.666666666666668</v>
      </c>
      <c r="I3478" s="545">
        <v>11</v>
      </c>
      <c r="J3478" s="545">
        <v>19.702380952380956</v>
      </c>
    </row>
    <row r="3479" spans="1:10">
      <c r="A3479" s="441">
        <v>6127</v>
      </c>
      <c r="B3479" s="441" t="s">
        <v>3605</v>
      </c>
      <c r="C3479" s="545">
        <v>118.16666666666667</v>
      </c>
      <c r="D3479" s="545">
        <v>94</v>
      </c>
      <c r="E3479" s="545">
        <v>82.666666666666671</v>
      </c>
      <c r="F3479" s="545">
        <v>109.64285714285714</v>
      </c>
      <c r="G3479" s="545">
        <v>78.599999999999994</v>
      </c>
      <c r="H3479" s="545">
        <v>52.666666666666664</v>
      </c>
      <c r="I3479" s="545">
        <v>41.666666666666664</v>
      </c>
      <c r="J3479" s="545">
        <v>69.61904761904762</v>
      </c>
    </row>
    <row r="3480" spans="1:10">
      <c r="A3480" s="441">
        <v>10053</v>
      </c>
      <c r="B3480" s="441" t="s">
        <v>3605</v>
      </c>
      <c r="C3480" s="545">
        <v>113.66666666666666</v>
      </c>
      <c r="D3480" s="545">
        <v>80</v>
      </c>
      <c r="E3480" s="545">
        <v>88.666666666666657</v>
      </c>
      <c r="F3480" s="545">
        <v>105.28571428571426</v>
      </c>
      <c r="G3480" s="545">
        <v>81.7</v>
      </c>
      <c r="H3480" s="545">
        <v>57.333333333333336</v>
      </c>
      <c r="I3480" s="545">
        <v>58.666666666666664</v>
      </c>
      <c r="J3480" s="545">
        <v>74.928571428571431</v>
      </c>
    </row>
    <row r="3481" spans="1:10">
      <c r="A3481" s="441">
        <v>6113</v>
      </c>
      <c r="B3481" s="441" t="s">
        <v>3606</v>
      </c>
      <c r="C3481" s="545">
        <v>151.83333333333331</v>
      </c>
      <c r="D3481" s="545">
        <v>113</v>
      </c>
      <c r="E3481" s="545">
        <v>98.333333333333343</v>
      </c>
      <c r="F3481" s="545">
        <v>138.64285714285714</v>
      </c>
      <c r="G3481" s="545">
        <v>153.05000000000001</v>
      </c>
      <c r="H3481" s="545">
        <v>139.66666666666666</v>
      </c>
      <c r="I3481" s="545">
        <v>111.33333333333333</v>
      </c>
      <c r="J3481" s="545">
        <v>145.17857142857142</v>
      </c>
    </row>
    <row r="3482" spans="1:10">
      <c r="A3482" s="441">
        <v>6134</v>
      </c>
      <c r="B3482" s="441" t="s">
        <v>3606</v>
      </c>
      <c r="C3482" s="545">
        <v>105.83333333333334</v>
      </c>
      <c r="D3482" s="545">
        <v>61.666666666666671</v>
      </c>
      <c r="E3482" s="545">
        <v>48.666666666666664</v>
      </c>
      <c r="F3482" s="545">
        <v>91.357142857142861</v>
      </c>
      <c r="G3482" s="545">
        <v>67.3</v>
      </c>
      <c r="H3482" s="545">
        <v>43</v>
      </c>
      <c r="I3482" s="545">
        <v>53.333333333333336</v>
      </c>
      <c r="J3482" s="545">
        <v>61.833333333333329</v>
      </c>
    </row>
    <row r="3483" spans="1:10">
      <c r="A3483" s="441">
        <v>6340</v>
      </c>
      <c r="B3483" s="441" t="s">
        <v>3607</v>
      </c>
      <c r="C3483" s="545">
        <v>99.166666666666657</v>
      </c>
      <c r="D3483" s="545">
        <v>66.333333333333329</v>
      </c>
      <c r="E3483" s="545">
        <v>55</v>
      </c>
      <c r="F3483" s="545">
        <v>88.166666666666657</v>
      </c>
      <c r="G3483" s="545">
        <v>80.5</v>
      </c>
      <c r="H3483" s="545">
        <v>48.333333333333336</v>
      </c>
      <c r="I3483" s="545">
        <v>55</v>
      </c>
      <c r="J3483" s="545">
        <v>72.261904761904759</v>
      </c>
    </row>
    <row r="3484" spans="1:10">
      <c r="A3484" s="441">
        <v>7700</v>
      </c>
      <c r="B3484" s="441" t="s">
        <v>3608</v>
      </c>
      <c r="C3484" s="545">
        <v>67.166666666666671</v>
      </c>
      <c r="D3484" s="545">
        <v>33</v>
      </c>
      <c r="E3484" s="545">
        <v>28.666666666666668</v>
      </c>
      <c r="F3484" s="545">
        <v>56.785714285714292</v>
      </c>
      <c r="G3484" s="545">
        <v>97.35</v>
      </c>
      <c r="H3484" s="545">
        <v>31</v>
      </c>
      <c r="I3484" s="545">
        <v>38.666666666666664</v>
      </c>
      <c r="J3484" s="545">
        <v>79.488095238095227</v>
      </c>
    </row>
    <row r="3485" spans="1:10">
      <c r="A3485" s="441">
        <v>7712</v>
      </c>
      <c r="B3485" s="441" t="s">
        <v>3608</v>
      </c>
      <c r="C3485" s="545">
        <v>24</v>
      </c>
      <c r="D3485" s="545">
        <v>16.333333333333336</v>
      </c>
      <c r="E3485" s="545">
        <v>10.333333333333334</v>
      </c>
      <c r="F3485" s="545">
        <v>20.952380952380956</v>
      </c>
      <c r="G3485" s="545">
        <v>39.15</v>
      </c>
      <c r="H3485" s="545">
        <v>22.666666666666668</v>
      </c>
      <c r="I3485" s="545">
        <v>18</v>
      </c>
      <c r="J3485" s="545">
        <v>33.773809523809526</v>
      </c>
    </row>
    <row r="3486" spans="1:10">
      <c r="A3486" s="441">
        <v>6121</v>
      </c>
      <c r="B3486" s="441" t="s">
        <v>3609</v>
      </c>
      <c r="C3486" s="545">
        <v>2.8333333333333335</v>
      </c>
      <c r="D3486" s="545">
        <v>0.33333333333333331</v>
      </c>
      <c r="E3486" s="545">
        <v>0</v>
      </c>
      <c r="F3486" s="545">
        <v>2.0714285714285716</v>
      </c>
      <c r="G3486" s="545">
        <v>2.8</v>
      </c>
      <c r="H3486" s="545">
        <v>1.6666666666666667</v>
      </c>
      <c r="I3486" s="545">
        <v>0.33333333333333331</v>
      </c>
      <c r="J3486" s="545">
        <v>2.2857142857142856</v>
      </c>
    </row>
    <row r="3487" spans="1:10">
      <c r="A3487" s="441">
        <v>6124</v>
      </c>
      <c r="B3487" s="441" t="s">
        <v>3609</v>
      </c>
      <c r="C3487" s="545">
        <v>2.1666666666666665</v>
      </c>
      <c r="D3487" s="545">
        <v>2.3333333333333335</v>
      </c>
      <c r="E3487" s="545">
        <v>1.6666666666666665</v>
      </c>
      <c r="F3487" s="545">
        <v>2.1190476190476191</v>
      </c>
      <c r="G3487" s="545">
        <v>1.95</v>
      </c>
      <c r="H3487" s="545">
        <v>0.66666666666666663</v>
      </c>
      <c r="I3487" s="545">
        <v>1</v>
      </c>
      <c r="J3487" s="545">
        <v>1.6309523809523809</v>
      </c>
    </row>
    <row r="3488" spans="1:10">
      <c r="A3488" s="441">
        <v>6118</v>
      </c>
      <c r="B3488" s="441" t="s">
        <v>3610</v>
      </c>
      <c r="C3488" s="545">
        <v>118</v>
      </c>
      <c r="D3488" s="545">
        <v>78</v>
      </c>
      <c r="E3488" s="545">
        <v>65</v>
      </c>
      <c r="F3488" s="545">
        <v>104.71428571428571</v>
      </c>
      <c r="G3488" s="545">
        <v>89.8</v>
      </c>
      <c r="H3488" s="545">
        <v>58</v>
      </c>
      <c r="I3488" s="545">
        <v>45.333333333333336</v>
      </c>
      <c r="J3488" s="545">
        <v>78.904761904761912</v>
      </c>
    </row>
    <row r="3489" spans="1:10">
      <c r="A3489" s="441">
        <v>6129</v>
      </c>
      <c r="B3489" s="441" t="s">
        <v>3610</v>
      </c>
      <c r="C3489" s="545">
        <v>157.83333333333331</v>
      </c>
      <c r="D3489" s="545">
        <v>113.33333333333334</v>
      </c>
      <c r="E3489" s="545">
        <v>86.666666666666657</v>
      </c>
      <c r="F3489" s="545">
        <v>141.3095238095238</v>
      </c>
      <c r="G3489" s="545">
        <v>108.5</v>
      </c>
      <c r="H3489" s="545">
        <v>80</v>
      </c>
      <c r="I3489" s="545">
        <v>56</v>
      </c>
      <c r="J3489" s="545">
        <v>96.928571428571431</v>
      </c>
    </row>
    <row r="3490" spans="1:10">
      <c r="A3490" s="441">
        <v>11637</v>
      </c>
      <c r="B3490" s="441" t="s">
        <v>3610</v>
      </c>
      <c r="C3490" s="545">
        <v>47.333333333333336</v>
      </c>
      <c r="D3490" s="545">
        <v>34</v>
      </c>
      <c r="E3490" s="545">
        <v>34.666666666666664</v>
      </c>
      <c r="F3490" s="545">
        <v>43.619047619047628</v>
      </c>
      <c r="G3490" s="545">
        <v>30.9</v>
      </c>
      <c r="H3490" s="545">
        <v>18.666666666666668</v>
      </c>
      <c r="I3490" s="545">
        <v>23.666666666666668</v>
      </c>
      <c r="J3490" s="545">
        <v>28.119047619047617</v>
      </c>
    </row>
    <row r="3491" spans="1:10">
      <c r="A3491" s="441">
        <v>6348</v>
      </c>
      <c r="B3491" s="441" t="s">
        <v>3611</v>
      </c>
      <c r="C3491" s="545">
        <v>17.5</v>
      </c>
      <c r="D3491" s="545">
        <v>14.666666666666668</v>
      </c>
      <c r="E3491" s="545">
        <v>16.666666666666668</v>
      </c>
      <c r="F3491" s="545">
        <v>16.976190476190478</v>
      </c>
      <c r="G3491" s="545">
        <v>31.9</v>
      </c>
      <c r="H3491" s="545">
        <v>19.333333333333332</v>
      </c>
      <c r="I3491" s="545">
        <v>29.666666666666668</v>
      </c>
      <c r="J3491" s="545">
        <v>29.785714285714285</v>
      </c>
    </row>
    <row r="3492" spans="1:10">
      <c r="A3492" s="441">
        <v>6350</v>
      </c>
      <c r="B3492" s="441" t="s">
        <v>3611</v>
      </c>
      <c r="C3492" s="545">
        <v>21</v>
      </c>
      <c r="D3492" s="545">
        <v>22</v>
      </c>
      <c r="E3492" s="545">
        <v>15.333333333333334</v>
      </c>
      <c r="F3492" s="545">
        <v>20.333333333333336</v>
      </c>
      <c r="G3492" s="545">
        <v>26.1</v>
      </c>
      <c r="H3492" s="545">
        <v>10</v>
      </c>
      <c r="I3492" s="545">
        <v>19</v>
      </c>
      <c r="J3492" s="545">
        <v>22.785714285714285</v>
      </c>
    </row>
    <row r="3493" spans="1:10">
      <c r="A3493" s="441">
        <v>6122</v>
      </c>
      <c r="B3493" s="441" t="s">
        <v>3612</v>
      </c>
      <c r="C3493" s="545">
        <v>37.166666666666671</v>
      </c>
      <c r="D3493" s="545">
        <v>27.333333333333332</v>
      </c>
      <c r="E3493" s="545">
        <v>20</v>
      </c>
      <c r="F3493" s="545">
        <v>33.309523809523817</v>
      </c>
      <c r="G3493" s="545">
        <v>26</v>
      </c>
      <c r="H3493" s="545">
        <v>17.666666666666668</v>
      </c>
      <c r="I3493" s="545">
        <v>19.333333333333332</v>
      </c>
      <c r="J3493" s="545">
        <v>23.857142857142858</v>
      </c>
    </row>
    <row r="3494" spans="1:10">
      <c r="A3494" s="441">
        <v>6123</v>
      </c>
      <c r="B3494" s="441" t="s">
        <v>3612</v>
      </c>
      <c r="C3494" s="545">
        <v>46.666666666666664</v>
      </c>
      <c r="D3494" s="545">
        <v>36.333333333333329</v>
      </c>
      <c r="E3494" s="545">
        <v>27.333333333333336</v>
      </c>
      <c r="F3494" s="545">
        <v>42.428571428571423</v>
      </c>
      <c r="G3494" s="545">
        <v>35.299999999999997</v>
      </c>
      <c r="H3494" s="545">
        <v>24</v>
      </c>
      <c r="I3494" s="545">
        <v>26.666666666666668</v>
      </c>
      <c r="J3494" s="545">
        <v>32.452380952380949</v>
      </c>
    </row>
    <row r="3495" spans="1:10">
      <c r="A3495" s="441">
        <v>6338</v>
      </c>
      <c r="B3495" s="441" t="s">
        <v>3613</v>
      </c>
      <c r="C3495" s="545">
        <v>3.8333333333333335</v>
      </c>
      <c r="D3495" s="545">
        <v>2</v>
      </c>
      <c r="E3495" s="545">
        <v>1.6666666666666667</v>
      </c>
      <c r="F3495" s="545">
        <v>3.2619047619047623</v>
      </c>
      <c r="G3495" s="545">
        <v>2.5</v>
      </c>
      <c r="H3495" s="545">
        <v>1.3333333333333333</v>
      </c>
      <c r="I3495" s="545">
        <v>1</v>
      </c>
      <c r="J3495" s="545">
        <v>2.1190476190476191</v>
      </c>
    </row>
    <row r="3496" spans="1:10">
      <c r="A3496" s="441">
        <v>6360</v>
      </c>
      <c r="B3496" s="441" t="s">
        <v>3613</v>
      </c>
      <c r="C3496" s="545">
        <v>4.333333333333333</v>
      </c>
      <c r="D3496" s="545">
        <v>5</v>
      </c>
      <c r="E3496" s="545">
        <v>3</v>
      </c>
      <c r="F3496" s="545">
        <v>4.2380952380952381</v>
      </c>
      <c r="G3496" s="545">
        <v>3.2</v>
      </c>
      <c r="H3496" s="545">
        <v>3</v>
      </c>
      <c r="I3496" s="545">
        <v>1.3333333333333333</v>
      </c>
      <c r="J3496" s="545">
        <v>2.9047619047619047</v>
      </c>
    </row>
    <row r="3497" spans="1:10">
      <c r="A3497" s="441">
        <v>6344</v>
      </c>
      <c r="B3497" s="441" t="s">
        <v>3614</v>
      </c>
      <c r="C3497" s="545">
        <v>4.833333333333333</v>
      </c>
      <c r="D3497" s="545">
        <v>2.666666666666667</v>
      </c>
      <c r="E3497" s="545">
        <v>15.333333333333332</v>
      </c>
      <c r="F3497" s="545">
        <v>6.0238095238095237</v>
      </c>
      <c r="G3497" s="545">
        <v>4.3499999999999996</v>
      </c>
      <c r="H3497" s="545">
        <v>4.333333333333333</v>
      </c>
      <c r="I3497" s="545">
        <v>6.666666666666667</v>
      </c>
      <c r="J3497" s="545">
        <v>4.6785714285714288</v>
      </c>
    </row>
    <row r="3498" spans="1:10">
      <c r="A3498" s="441">
        <v>6354</v>
      </c>
      <c r="B3498" s="441" t="s">
        <v>3614</v>
      </c>
      <c r="C3498" s="545">
        <v>4.666666666666667</v>
      </c>
      <c r="D3498" s="545">
        <v>5.6666666666666661</v>
      </c>
      <c r="E3498" s="545">
        <v>11.666666666666666</v>
      </c>
      <c r="F3498" s="545">
        <v>5.8095238095238093</v>
      </c>
      <c r="G3498" s="545">
        <v>5.55</v>
      </c>
      <c r="H3498" s="545">
        <v>2</v>
      </c>
      <c r="I3498" s="545">
        <v>5.666666666666667</v>
      </c>
      <c r="J3498" s="545">
        <v>5.0595238095238093</v>
      </c>
    </row>
    <row r="3499" spans="1:10">
      <c r="A3499" s="441">
        <v>6111</v>
      </c>
      <c r="B3499" s="441" t="s">
        <v>3615</v>
      </c>
      <c r="C3499" s="545">
        <v>69</v>
      </c>
      <c r="D3499" s="545">
        <v>42.333333333333336</v>
      </c>
      <c r="E3499" s="545">
        <v>31</v>
      </c>
      <c r="F3499" s="545">
        <v>59.761904761904759</v>
      </c>
      <c r="G3499" s="545">
        <v>102.1</v>
      </c>
      <c r="H3499" s="545">
        <v>74.333333333333329</v>
      </c>
      <c r="I3499" s="545">
        <v>67.666666666666671</v>
      </c>
      <c r="J3499" s="545">
        <v>93.214285714285708</v>
      </c>
    </row>
    <row r="3500" spans="1:10">
      <c r="A3500" s="441">
        <v>6136</v>
      </c>
      <c r="B3500" s="441" t="s">
        <v>3615</v>
      </c>
      <c r="C3500" s="545">
        <v>98.333333333333329</v>
      </c>
      <c r="D3500" s="545">
        <v>50.333333333333329</v>
      </c>
      <c r="E3500" s="545">
        <v>39.333333333333329</v>
      </c>
      <c r="F3500" s="545">
        <v>83.047619047619051</v>
      </c>
      <c r="G3500" s="545">
        <v>119.45</v>
      </c>
      <c r="H3500" s="545">
        <v>80.666666666666671</v>
      </c>
      <c r="I3500" s="545">
        <v>76</v>
      </c>
      <c r="J3500" s="545">
        <v>107.70238095238095</v>
      </c>
    </row>
    <row r="3501" spans="1:10">
      <c r="A3501" s="441">
        <v>6112</v>
      </c>
      <c r="B3501" s="441" t="s">
        <v>3616</v>
      </c>
      <c r="C3501" s="545">
        <v>135.16666666666666</v>
      </c>
      <c r="D3501" s="545">
        <v>93.666666666666671</v>
      </c>
      <c r="E3501" s="545">
        <v>79.666666666666657</v>
      </c>
      <c r="F3501" s="545">
        <v>121.30952380952378</v>
      </c>
      <c r="G3501" s="545">
        <v>148.25</v>
      </c>
      <c r="H3501" s="545">
        <v>91.666666666666671</v>
      </c>
      <c r="I3501" s="545">
        <v>90.666666666666671</v>
      </c>
      <c r="J3501" s="545">
        <v>131.94047619047618</v>
      </c>
    </row>
    <row r="3502" spans="1:10">
      <c r="A3502" s="441">
        <v>6135</v>
      </c>
      <c r="B3502" s="441" t="s">
        <v>3616</v>
      </c>
      <c r="C3502" s="545">
        <v>223.16666666666666</v>
      </c>
      <c r="D3502" s="545">
        <v>167.66666666666666</v>
      </c>
      <c r="E3502" s="545">
        <v>135</v>
      </c>
      <c r="F3502" s="545">
        <v>202.64285714285714</v>
      </c>
      <c r="G3502" s="545">
        <v>241.6</v>
      </c>
      <c r="H3502" s="545">
        <v>204.66666666666666</v>
      </c>
      <c r="I3502" s="545">
        <v>168.33333333333334</v>
      </c>
      <c r="J3502" s="545">
        <v>225.85714285714286</v>
      </c>
    </row>
    <row r="3503" spans="1:10">
      <c r="A3503" s="441">
        <v>6334</v>
      </c>
      <c r="B3503" s="441" t="s">
        <v>3617</v>
      </c>
      <c r="C3503" s="545">
        <v>2.333333333333333</v>
      </c>
      <c r="D3503" s="545">
        <v>3.666666666666667</v>
      </c>
      <c r="E3503" s="545">
        <v>1.6666666666666665</v>
      </c>
      <c r="F3503" s="545">
        <v>2.4285714285714284</v>
      </c>
      <c r="G3503" s="545">
        <v>8.65</v>
      </c>
      <c r="H3503" s="545">
        <v>6.333333333333333</v>
      </c>
      <c r="I3503" s="545">
        <v>1</v>
      </c>
      <c r="J3503" s="545">
        <v>7.2261904761904763</v>
      </c>
    </row>
    <row r="3504" spans="1:10">
      <c r="A3504" s="441">
        <v>6364</v>
      </c>
      <c r="B3504" s="441" t="s">
        <v>3617</v>
      </c>
      <c r="C3504" s="545">
        <v>5.666666666666667</v>
      </c>
      <c r="D3504" s="545">
        <v>6.666666666666667</v>
      </c>
      <c r="E3504" s="545">
        <v>3.3333333333333335</v>
      </c>
      <c r="F3504" s="545">
        <v>5.4761904761904763</v>
      </c>
      <c r="G3504" s="545">
        <v>8.35</v>
      </c>
      <c r="H3504" s="545">
        <v>7.666666666666667</v>
      </c>
      <c r="I3504" s="545">
        <v>4</v>
      </c>
      <c r="J3504" s="545">
        <v>7.6309523809523805</v>
      </c>
    </row>
    <row r="3505" spans="1:10">
      <c r="A3505" s="441">
        <v>6336</v>
      </c>
      <c r="B3505" s="441" t="s">
        <v>3618</v>
      </c>
      <c r="C3505" s="545">
        <v>5.5</v>
      </c>
      <c r="D3505" s="545">
        <v>3.3333333333333335</v>
      </c>
      <c r="E3505" s="545">
        <v>3</v>
      </c>
      <c r="F3505" s="545">
        <v>4.833333333333333</v>
      </c>
      <c r="G3505" s="545">
        <v>3.3</v>
      </c>
      <c r="H3505" s="545">
        <v>1.6666666666666667</v>
      </c>
      <c r="I3505" s="545">
        <v>3.6666666666666665</v>
      </c>
      <c r="J3505" s="545">
        <v>3.1190476190476195</v>
      </c>
    </row>
    <row r="3506" spans="1:10">
      <c r="A3506" s="441">
        <v>6362</v>
      </c>
      <c r="B3506" s="441" t="s">
        <v>3618</v>
      </c>
      <c r="C3506" s="545">
        <v>6.3333333333333339</v>
      </c>
      <c r="D3506" s="545">
        <v>4.6666666666666661</v>
      </c>
      <c r="E3506" s="545">
        <v>2.6666666666666665</v>
      </c>
      <c r="F3506" s="545">
        <v>5.5714285714285712</v>
      </c>
      <c r="G3506" s="545">
        <v>5.95</v>
      </c>
      <c r="H3506" s="545">
        <v>2</v>
      </c>
      <c r="I3506" s="545">
        <v>2.6666666666666665</v>
      </c>
      <c r="J3506" s="545">
        <v>4.9166666666666661</v>
      </c>
    </row>
    <row r="3507" spans="1:10">
      <c r="A3507" s="441">
        <v>6114</v>
      </c>
      <c r="B3507" s="441" t="s">
        <v>3619</v>
      </c>
      <c r="C3507" s="545">
        <v>41</v>
      </c>
      <c r="D3507" s="545">
        <v>19</v>
      </c>
      <c r="E3507" s="545">
        <v>15.333333333333332</v>
      </c>
      <c r="F3507" s="545">
        <v>34.19047619047619</v>
      </c>
      <c r="G3507" s="545">
        <v>33.700000000000003</v>
      </c>
      <c r="H3507" s="545">
        <v>23.666666666666668</v>
      </c>
      <c r="I3507" s="545">
        <v>17</v>
      </c>
      <c r="J3507" s="545">
        <v>29.88095238095238</v>
      </c>
    </row>
    <row r="3508" spans="1:10">
      <c r="A3508" s="441">
        <v>6133</v>
      </c>
      <c r="B3508" s="441" t="s">
        <v>3619</v>
      </c>
      <c r="C3508" s="545">
        <v>17</v>
      </c>
      <c r="D3508" s="545">
        <v>6.3333333333333339</v>
      </c>
      <c r="E3508" s="545">
        <v>12</v>
      </c>
      <c r="F3508" s="545">
        <v>14.761904761904761</v>
      </c>
      <c r="G3508" s="545">
        <v>21.15</v>
      </c>
      <c r="H3508" s="545">
        <v>22.666666666666668</v>
      </c>
      <c r="I3508" s="545">
        <v>12</v>
      </c>
      <c r="J3508" s="545">
        <v>20.059523809523807</v>
      </c>
    </row>
    <row r="3509" spans="1:10">
      <c r="A3509" s="441">
        <v>6130</v>
      </c>
      <c r="B3509" s="441" t="s">
        <v>3620</v>
      </c>
      <c r="C3509" s="545">
        <v>20.5</v>
      </c>
      <c r="D3509" s="545">
        <v>10.333333333333334</v>
      </c>
      <c r="E3509" s="545">
        <v>9</v>
      </c>
      <c r="F3509" s="545">
        <v>17.404761904761905</v>
      </c>
      <c r="G3509" s="545">
        <v>10.95</v>
      </c>
      <c r="H3509" s="545">
        <v>6.333333333333333</v>
      </c>
      <c r="I3509" s="545">
        <v>7.666666666666667</v>
      </c>
      <c r="J3509" s="545">
        <v>9.8214285714285712</v>
      </c>
    </row>
    <row r="3510" spans="1:10">
      <c r="A3510" s="441">
        <v>6120</v>
      </c>
      <c r="B3510" s="441" t="s">
        <v>3621</v>
      </c>
      <c r="C3510" s="545">
        <v>2.833333333333333</v>
      </c>
      <c r="D3510" s="545">
        <v>1.3333333333333333</v>
      </c>
      <c r="E3510" s="545">
        <v>1.3333333333333333</v>
      </c>
      <c r="F3510" s="545">
        <v>2.4047619047619047</v>
      </c>
      <c r="G3510" s="545">
        <v>2.4</v>
      </c>
      <c r="H3510" s="545">
        <v>0.33333333333333331</v>
      </c>
      <c r="I3510" s="545">
        <v>2.3333333333333335</v>
      </c>
      <c r="J3510" s="545">
        <v>2.0952380952380953</v>
      </c>
    </row>
    <row r="3511" spans="1:10">
      <c r="A3511" s="441">
        <v>6107</v>
      </c>
      <c r="B3511" s="441" t="s">
        <v>3622</v>
      </c>
      <c r="C3511" s="545">
        <v>136.33333333333334</v>
      </c>
      <c r="D3511" s="545">
        <v>76.666666666666657</v>
      </c>
      <c r="E3511" s="545">
        <v>54.333333333333329</v>
      </c>
      <c r="F3511" s="545">
        <v>116.0952380952381</v>
      </c>
      <c r="G3511" s="545">
        <v>121.1</v>
      </c>
      <c r="H3511" s="545">
        <v>58.333333333333336</v>
      </c>
      <c r="I3511" s="545">
        <v>39.333333333333336</v>
      </c>
      <c r="J3511" s="545">
        <v>100.45238095238096</v>
      </c>
    </row>
    <row r="3512" spans="1:10">
      <c r="A3512" s="441">
        <v>6139</v>
      </c>
      <c r="B3512" s="441" t="s">
        <v>3622</v>
      </c>
      <c r="C3512" s="545">
        <v>212.5</v>
      </c>
      <c r="D3512" s="545">
        <v>128.66666666666666</v>
      </c>
      <c r="E3512" s="545">
        <v>86.333333333333329</v>
      </c>
      <c r="F3512" s="545">
        <v>182.5</v>
      </c>
      <c r="G3512" s="545">
        <v>166.7</v>
      </c>
      <c r="H3512" s="545">
        <v>99.333333333333329</v>
      </c>
      <c r="I3512" s="545">
        <v>71.666666666666671</v>
      </c>
      <c r="J3512" s="545">
        <v>143.5</v>
      </c>
    </row>
    <row r="3513" spans="1:10">
      <c r="A3513" s="441">
        <v>7704</v>
      </c>
      <c r="B3513" s="441" t="s">
        <v>3623</v>
      </c>
      <c r="C3513" s="545">
        <v>104.83333333333334</v>
      </c>
      <c r="D3513" s="545">
        <v>72.666666666666657</v>
      </c>
      <c r="E3513" s="545">
        <v>51.333333333333329</v>
      </c>
      <c r="F3513" s="545">
        <v>92.595238095238102</v>
      </c>
      <c r="G3513" s="545">
        <v>80.8</v>
      </c>
      <c r="H3513" s="545">
        <v>52.666666666666664</v>
      </c>
      <c r="I3513" s="545">
        <v>39.333333333333336</v>
      </c>
      <c r="J3513" s="545">
        <v>70.857142857142861</v>
      </c>
    </row>
    <row r="3514" spans="1:10">
      <c r="A3514" s="441">
        <v>7707</v>
      </c>
      <c r="B3514" s="441" t="s">
        <v>3623</v>
      </c>
      <c r="C3514" s="545">
        <v>93</v>
      </c>
      <c r="D3514" s="545">
        <v>71</v>
      </c>
      <c r="E3514" s="545">
        <v>58</v>
      </c>
      <c r="F3514" s="545">
        <v>84.857142857142861</v>
      </c>
      <c r="G3514" s="545">
        <v>135.05000000000001</v>
      </c>
      <c r="H3514" s="545">
        <v>77</v>
      </c>
      <c r="I3514" s="545">
        <v>65</v>
      </c>
      <c r="J3514" s="545">
        <v>116.75</v>
      </c>
    </row>
    <row r="3515" spans="1:10">
      <c r="A3515" s="441">
        <v>6119</v>
      </c>
      <c r="B3515" s="441" t="s">
        <v>3624</v>
      </c>
      <c r="C3515" s="545">
        <v>9.8333333333333339</v>
      </c>
      <c r="D3515" s="545">
        <v>5.3333333333333339</v>
      </c>
      <c r="E3515" s="545">
        <v>3</v>
      </c>
      <c r="F3515" s="545">
        <v>8.2142857142857153</v>
      </c>
      <c r="G3515" s="545">
        <v>4.75</v>
      </c>
      <c r="H3515" s="545">
        <v>4.333333333333333</v>
      </c>
      <c r="I3515" s="545">
        <v>3</v>
      </c>
      <c r="J3515" s="545">
        <v>4.4404761904761907</v>
      </c>
    </row>
    <row r="3516" spans="1:10">
      <c r="A3516" s="441">
        <v>6128</v>
      </c>
      <c r="B3516" s="441" t="s">
        <v>3624</v>
      </c>
      <c r="C3516" s="545">
        <v>8.1666666666666661</v>
      </c>
      <c r="D3516" s="545">
        <v>3.666666666666667</v>
      </c>
      <c r="E3516" s="545">
        <v>2</v>
      </c>
      <c r="F3516" s="545">
        <v>6.6428571428571415</v>
      </c>
      <c r="G3516" s="545">
        <v>12.8</v>
      </c>
      <c r="H3516" s="545">
        <v>3</v>
      </c>
      <c r="I3516" s="545">
        <v>2.3333333333333335</v>
      </c>
      <c r="J3516" s="545">
        <v>9.9047619047619033</v>
      </c>
    </row>
    <row r="3517" spans="1:10">
      <c r="A3517" s="441">
        <v>6110</v>
      </c>
      <c r="B3517" s="441" t="s">
        <v>3625</v>
      </c>
      <c r="C3517" s="545">
        <v>161.83333333333331</v>
      </c>
      <c r="D3517" s="545">
        <v>57</v>
      </c>
      <c r="E3517" s="545">
        <v>51</v>
      </c>
      <c r="F3517" s="545">
        <v>131.02380952380949</v>
      </c>
      <c r="G3517" s="545">
        <v>98.95</v>
      </c>
      <c r="H3517" s="545">
        <v>37.333333333333336</v>
      </c>
      <c r="I3517" s="545">
        <v>35</v>
      </c>
      <c r="J3517" s="545">
        <v>81.011904761904773</v>
      </c>
    </row>
    <row r="3518" spans="1:10">
      <c r="A3518" s="441">
        <v>7698</v>
      </c>
      <c r="B3518" s="441" t="s">
        <v>3626</v>
      </c>
      <c r="C3518" s="545">
        <v>8.3333333333333339</v>
      </c>
      <c r="D3518" s="545">
        <v>3.666666666666667</v>
      </c>
      <c r="E3518" s="545">
        <v>5</v>
      </c>
      <c r="F3518" s="545">
        <v>7.1904761904761907</v>
      </c>
      <c r="G3518" s="545">
        <v>10.25</v>
      </c>
      <c r="H3518" s="545">
        <v>5.333333333333333</v>
      </c>
      <c r="I3518" s="545">
        <v>3.3333333333333335</v>
      </c>
      <c r="J3518" s="545">
        <v>8.5595238095238102</v>
      </c>
    </row>
    <row r="3519" spans="1:10">
      <c r="A3519" s="441">
        <v>6126</v>
      </c>
      <c r="B3519" s="441" t="s">
        <v>3627</v>
      </c>
      <c r="C3519" s="545">
        <v>1.3333333333333335</v>
      </c>
      <c r="D3519" s="545">
        <v>1.3333333333333333</v>
      </c>
      <c r="E3519" s="545">
        <v>0.33333333333333331</v>
      </c>
      <c r="F3519" s="545">
        <v>1.1904761904761909</v>
      </c>
      <c r="G3519" s="545">
        <v>0.95</v>
      </c>
      <c r="H3519" s="545">
        <v>1.3333333333333333</v>
      </c>
      <c r="I3519" s="545">
        <v>1</v>
      </c>
      <c r="J3519" s="545">
        <v>1.0119047619047619</v>
      </c>
    </row>
    <row r="3520" spans="1:10">
      <c r="A3520" s="441">
        <v>6125</v>
      </c>
      <c r="B3520" s="441" t="s">
        <v>3628</v>
      </c>
      <c r="C3520" s="545">
        <v>0.5</v>
      </c>
      <c r="D3520" s="545">
        <v>0</v>
      </c>
      <c r="E3520" s="545">
        <v>0</v>
      </c>
      <c r="F3520" s="545">
        <v>0.35714285714285715</v>
      </c>
      <c r="G3520" s="545">
        <v>1.35</v>
      </c>
      <c r="H3520" s="545">
        <v>0.66666666666666663</v>
      </c>
      <c r="I3520" s="545">
        <v>2</v>
      </c>
      <c r="J3520" s="545">
        <v>1.3452380952380953</v>
      </c>
    </row>
    <row r="3521" spans="1:10">
      <c r="A3521" s="441">
        <v>6132</v>
      </c>
      <c r="B3521" s="441" t="s">
        <v>3629</v>
      </c>
      <c r="C3521" s="545">
        <v>16.5</v>
      </c>
      <c r="D3521" s="545">
        <v>11.666666666666666</v>
      </c>
      <c r="E3521" s="545">
        <v>7</v>
      </c>
      <c r="F3521" s="545">
        <v>14.452380952380953</v>
      </c>
      <c r="G3521" s="545">
        <v>13.65</v>
      </c>
      <c r="H3521" s="545">
        <v>3.3333333333333335</v>
      </c>
      <c r="I3521" s="545">
        <v>5.666666666666667</v>
      </c>
      <c r="J3521" s="545">
        <v>11.035714285714286</v>
      </c>
    </row>
    <row r="3522" spans="1:10">
      <c r="A3522" s="441">
        <v>6337</v>
      </c>
      <c r="B3522" s="441" t="s">
        <v>3630</v>
      </c>
      <c r="C3522" s="545">
        <v>9.1666666666666661</v>
      </c>
      <c r="D3522" s="545">
        <v>7</v>
      </c>
      <c r="E3522" s="545">
        <v>4.333333333333333</v>
      </c>
      <c r="F3522" s="545">
        <v>8.1666666666666661</v>
      </c>
      <c r="G3522" s="545">
        <v>7.2</v>
      </c>
      <c r="H3522" s="545">
        <v>4</v>
      </c>
      <c r="I3522" s="545">
        <v>5.666666666666667</v>
      </c>
      <c r="J3522" s="545">
        <v>6.5238095238095237</v>
      </c>
    </row>
    <row r="3523" spans="1:10">
      <c r="A3523" s="441">
        <v>6361</v>
      </c>
      <c r="B3523" s="441" t="s">
        <v>3630</v>
      </c>
      <c r="C3523" s="545">
        <v>14.333333333333332</v>
      </c>
      <c r="D3523" s="545">
        <v>9.3333333333333339</v>
      </c>
      <c r="E3523" s="545">
        <v>5.333333333333333</v>
      </c>
      <c r="F3523" s="545">
        <v>12.33333333333333</v>
      </c>
      <c r="G3523" s="545">
        <v>5.2</v>
      </c>
      <c r="H3523" s="545">
        <v>4</v>
      </c>
      <c r="I3523" s="545">
        <v>6</v>
      </c>
      <c r="J3523" s="545">
        <v>5.1428571428571432</v>
      </c>
    </row>
    <row r="3524" spans="1:10">
      <c r="A3524" s="441">
        <v>6339</v>
      </c>
      <c r="B3524" s="441" t="s">
        <v>3631</v>
      </c>
      <c r="C3524" s="545">
        <v>1.1666666666666667</v>
      </c>
      <c r="D3524" s="545">
        <v>0.33333333333333331</v>
      </c>
      <c r="E3524" s="545">
        <v>1</v>
      </c>
      <c r="F3524" s="545">
        <v>1.0238095238095239</v>
      </c>
      <c r="G3524" s="545">
        <v>1.25</v>
      </c>
      <c r="H3524" s="545">
        <v>1</v>
      </c>
      <c r="I3524" s="545">
        <v>2</v>
      </c>
      <c r="J3524" s="545">
        <v>1.3214285714285714</v>
      </c>
    </row>
    <row r="3525" spans="1:10">
      <c r="A3525" s="441">
        <v>6359</v>
      </c>
      <c r="B3525" s="441" t="s">
        <v>3631</v>
      </c>
      <c r="C3525" s="545">
        <v>1</v>
      </c>
      <c r="D3525" s="545">
        <v>1.6666666666666665</v>
      </c>
      <c r="E3525" s="545">
        <v>0.33333333333333331</v>
      </c>
      <c r="F3525" s="545">
        <v>0.99999999999999989</v>
      </c>
      <c r="G3525" s="545">
        <v>3.45</v>
      </c>
      <c r="H3525" s="545">
        <v>1.6666666666666667</v>
      </c>
      <c r="I3525" s="545">
        <v>1</v>
      </c>
      <c r="J3525" s="545">
        <v>2.8452380952380953</v>
      </c>
    </row>
    <row r="3526" spans="1:10">
      <c r="A3526" s="441">
        <v>6116</v>
      </c>
      <c r="B3526" s="441" t="s">
        <v>3632</v>
      </c>
      <c r="C3526" s="545">
        <v>18.333333333333332</v>
      </c>
      <c r="D3526" s="545">
        <v>12.666666666666666</v>
      </c>
      <c r="E3526" s="545">
        <v>14.333333333333332</v>
      </c>
      <c r="F3526" s="545">
        <v>16.952380952380953</v>
      </c>
      <c r="G3526" s="545">
        <v>20.149999999999999</v>
      </c>
      <c r="H3526" s="545">
        <v>10</v>
      </c>
      <c r="I3526" s="545">
        <v>4.333333333333333</v>
      </c>
      <c r="J3526" s="545">
        <v>16.44047619047619</v>
      </c>
    </row>
    <row r="3527" spans="1:10">
      <c r="A3527" s="441">
        <v>6131</v>
      </c>
      <c r="B3527" s="441" t="s">
        <v>3632</v>
      </c>
      <c r="C3527" s="545">
        <v>25.833333333333336</v>
      </c>
      <c r="D3527" s="545">
        <v>18.333333333333332</v>
      </c>
      <c r="E3527" s="545">
        <v>12.333333333333334</v>
      </c>
      <c r="F3527" s="545">
        <v>22.833333333333339</v>
      </c>
      <c r="G3527" s="545">
        <v>15.05</v>
      </c>
      <c r="H3527" s="545">
        <v>9</v>
      </c>
      <c r="I3527" s="545">
        <v>6.333333333333333</v>
      </c>
      <c r="J3527" s="545">
        <v>12.94047619047619</v>
      </c>
    </row>
    <row r="3528" spans="1:10">
      <c r="A3528" s="441">
        <v>6341</v>
      </c>
      <c r="B3528" s="441" t="s">
        <v>3633</v>
      </c>
      <c r="C3528" s="545">
        <v>5.166666666666667</v>
      </c>
      <c r="D3528" s="545">
        <v>4</v>
      </c>
      <c r="E3528" s="545">
        <v>4</v>
      </c>
      <c r="F3528" s="545">
        <v>4.8333333333333339</v>
      </c>
      <c r="G3528" s="545">
        <v>2.35</v>
      </c>
      <c r="H3528" s="545">
        <v>0.66666666666666663</v>
      </c>
      <c r="I3528" s="545">
        <v>0.66666666666666663</v>
      </c>
      <c r="J3528" s="545">
        <v>1.8690476190476188</v>
      </c>
    </row>
    <row r="3529" spans="1:10">
      <c r="A3529" s="441">
        <v>6357</v>
      </c>
      <c r="B3529" s="441" t="s">
        <v>3633</v>
      </c>
      <c r="C3529" s="545">
        <v>4.833333333333333</v>
      </c>
      <c r="D3529" s="545">
        <v>4.333333333333333</v>
      </c>
      <c r="E3529" s="545">
        <v>8.3333333333333321</v>
      </c>
      <c r="F3529" s="545">
        <v>5.261904761904761</v>
      </c>
      <c r="G3529" s="545">
        <v>4.1500000000000004</v>
      </c>
      <c r="H3529" s="545">
        <v>2</v>
      </c>
      <c r="I3529" s="545">
        <v>1</v>
      </c>
      <c r="J3529" s="545">
        <v>3.3928571428571428</v>
      </c>
    </row>
    <row r="3530" spans="1:10">
      <c r="A3530" s="441">
        <v>7699</v>
      </c>
      <c r="B3530" s="441" t="s">
        <v>3634</v>
      </c>
      <c r="C3530" s="545">
        <v>113.16666666666666</v>
      </c>
      <c r="D3530" s="545">
        <v>68.666666666666671</v>
      </c>
      <c r="E3530" s="545">
        <v>61.666666666666671</v>
      </c>
      <c r="F3530" s="545">
        <v>99.452380952380935</v>
      </c>
      <c r="G3530" s="545">
        <v>87.3</v>
      </c>
      <c r="H3530" s="545">
        <v>41</v>
      </c>
      <c r="I3530" s="545">
        <v>41</v>
      </c>
      <c r="J3530" s="545">
        <v>74.071428571428569</v>
      </c>
    </row>
    <row r="3531" spans="1:10">
      <c r="A3531" s="441">
        <v>7713</v>
      </c>
      <c r="B3531" s="441" t="s">
        <v>3634</v>
      </c>
      <c r="C3531" s="545">
        <v>100.33333333333334</v>
      </c>
      <c r="D3531" s="545">
        <v>61.333333333333329</v>
      </c>
      <c r="E3531" s="545">
        <v>54.666666666666664</v>
      </c>
      <c r="F3531" s="545">
        <v>88.238095238095255</v>
      </c>
      <c r="G3531" s="545">
        <v>101.7</v>
      </c>
      <c r="H3531" s="545">
        <v>55</v>
      </c>
      <c r="I3531" s="545">
        <v>48.666666666666664</v>
      </c>
      <c r="J3531" s="545">
        <v>87.452380952380949</v>
      </c>
    </row>
    <row r="3532" spans="1:10">
      <c r="A3532" s="441">
        <v>6117</v>
      </c>
      <c r="B3532" s="441" t="s">
        <v>3635</v>
      </c>
      <c r="C3532" s="545">
        <v>9.6666666666666679</v>
      </c>
      <c r="D3532" s="545">
        <v>12</v>
      </c>
      <c r="E3532" s="545">
        <v>3.3333333333333335</v>
      </c>
      <c r="F3532" s="545">
        <v>9.0952380952380967</v>
      </c>
      <c r="G3532" s="545">
        <v>13.8</v>
      </c>
      <c r="H3532" s="545">
        <v>5.333333333333333</v>
      </c>
      <c r="I3532" s="545">
        <v>3.6666666666666665</v>
      </c>
      <c r="J3532" s="545">
        <v>11.142857142857142</v>
      </c>
    </row>
    <row r="3533" spans="1:10">
      <c r="A3533" s="441">
        <v>6346</v>
      </c>
      <c r="B3533" s="441" t="s">
        <v>3636</v>
      </c>
      <c r="C3533" s="545">
        <v>8.3333333333333339</v>
      </c>
      <c r="D3533" s="545">
        <v>4.333333333333333</v>
      </c>
      <c r="E3533" s="545">
        <v>6.6666666666666661</v>
      </c>
      <c r="F3533" s="545">
        <v>7.5238095238095246</v>
      </c>
      <c r="G3533" s="545">
        <v>6</v>
      </c>
      <c r="H3533" s="545">
        <v>4</v>
      </c>
      <c r="I3533" s="545">
        <v>4.333333333333333</v>
      </c>
      <c r="J3533" s="545">
        <v>5.4761904761904763</v>
      </c>
    </row>
    <row r="3534" spans="1:10">
      <c r="A3534" s="441">
        <v>6352</v>
      </c>
      <c r="B3534" s="441" t="s">
        <v>3636</v>
      </c>
      <c r="C3534" s="545">
        <v>3.6666666666666665</v>
      </c>
      <c r="D3534" s="545">
        <v>0.66666666666666663</v>
      </c>
      <c r="E3534" s="545">
        <v>1.6666666666666665</v>
      </c>
      <c r="F3534" s="545">
        <v>2.9523809523809526</v>
      </c>
      <c r="G3534" s="545">
        <v>1.65</v>
      </c>
      <c r="H3534" s="545">
        <v>1.3333333333333333</v>
      </c>
      <c r="I3534" s="545">
        <v>0.33333333333333331</v>
      </c>
      <c r="J3534" s="545">
        <v>1.4166666666666667</v>
      </c>
    </row>
    <row r="3535" spans="1:10">
      <c r="A3535" s="441">
        <v>6109</v>
      </c>
      <c r="B3535" s="441" t="s">
        <v>3637</v>
      </c>
      <c r="C3535" s="545">
        <v>103.83333333333333</v>
      </c>
      <c r="D3535" s="545">
        <v>56.333333333333336</v>
      </c>
      <c r="E3535" s="545">
        <v>43.666666666666671</v>
      </c>
      <c r="F3535" s="545">
        <v>88.452380952380949</v>
      </c>
      <c r="G3535" s="545">
        <v>128.15</v>
      </c>
      <c r="H3535" s="545">
        <v>69.333333333333329</v>
      </c>
      <c r="I3535" s="545">
        <v>44</v>
      </c>
      <c r="J3535" s="545">
        <v>107.72619047619048</v>
      </c>
    </row>
    <row r="3536" spans="1:10">
      <c r="A3536" s="441">
        <v>6138</v>
      </c>
      <c r="B3536" s="441" t="s">
        <v>3637</v>
      </c>
      <c r="C3536" s="545">
        <v>32.833333333333336</v>
      </c>
      <c r="D3536" s="545">
        <v>16</v>
      </c>
      <c r="E3536" s="545">
        <v>11.666666666666668</v>
      </c>
      <c r="F3536" s="545">
        <v>27.404761904761905</v>
      </c>
      <c r="G3536" s="545">
        <v>42.05</v>
      </c>
      <c r="H3536" s="545">
        <v>16.333333333333332</v>
      </c>
      <c r="I3536" s="545">
        <v>15.333333333333334</v>
      </c>
      <c r="J3536" s="545">
        <v>34.55952380952381</v>
      </c>
    </row>
    <row r="3537" spans="1:10">
      <c r="A3537" s="441">
        <v>6115</v>
      </c>
      <c r="B3537" s="441" t="s">
        <v>3638</v>
      </c>
      <c r="C3537" s="545">
        <v>18.833333333333336</v>
      </c>
      <c r="D3537" s="545">
        <v>14</v>
      </c>
      <c r="E3537" s="545">
        <v>8</v>
      </c>
      <c r="F3537" s="545">
        <v>16.595238095238098</v>
      </c>
      <c r="G3537" s="545">
        <v>12.3</v>
      </c>
      <c r="H3537" s="545">
        <v>6.333333333333333</v>
      </c>
      <c r="I3537" s="545">
        <v>2</v>
      </c>
      <c r="J3537" s="545">
        <v>9.9761904761904763</v>
      </c>
    </row>
    <row r="3538" spans="1:10">
      <c r="A3538" s="441">
        <v>7701</v>
      </c>
      <c r="B3538" s="441" t="s">
        <v>3639</v>
      </c>
      <c r="C3538" s="545">
        <v>115</v>
      </c>
      <c r="D3538" s="545">
        <v>53.333333333333329</v>
      </c>
      <c r="E3538" s="545">
        <v>39.333333333333336</v>
      </c>
      <c r="F3538" s="545">
        <v>95.380952380952394</v>
      </c>
      <c r="G3538" s="545">
        <v>119.5</v>
      </c>
      <c r="H3538" s="545">
        <v>54.666666666666664</v>
      </c>
      <c r="I3538" s="545">
        <v>43.333333333333336</v>
      </c>
      <c r="J3538" s="545">
        <v>99.357142857142861</v>
      </c>
    </row>
    <row r="3539" spans="1:10">
      <c r="A3539" s="441">
        <v>7711</v>
      </c>
      <c r="B3539" s="441" t="s">
        <v>3639</v>
      </c>
      <c r="C3539" s="545">
        <v>150.5</v>
      </c>
      <c r="D3539" s="545">
        <v>51.666666666666671</v>
      </c>
      <c r="E3539" s="545">
        <v>25.333333333333332</v>
      </c>
      <c r="F3539" s="545">
        <v>118.5</v>
      </c>
      <c r="G3539" s="545">
        <v>162.5</v>
      </c>
      <c r="H3539" s="545">
        <v>51.666666666666664</v>
      </c>
      <c r="I3539" s="545">
        <v>40.333333333333336</v>
      </c>
      <c r="J3539" s="545">
        <v>129.21428571428572</v>
      </c>
    </row>
    <row r="3540" spans="1:10">
      <c r="A3540" s="441">
        <v>106</v>
      </c>
      <c r="B3540" s="441" t="s">
        <v>3640</v>
      </c>
      <c r="C3540" s="545">
        <v>48</v>
      </c>
      <c r="D3540" s="545">
        <v>29.333333333333332</v>
      </c>
      <c r="E3540" s="545">
        <v>29.666666666666664</v>
      </c>
      <c r="F3540" s="545">
        <v>42.714285714285715</v>
      </c>
      <c r="G3540" s="545">
        <v>44.3</v>
      </c>
      <c r="H3540" s="545">
        <v>38.333333333333336</v>
      </c>
      <c r="I3540" s="545">
        <v>28.666666666666668</v>
      </c>
      <c r="J3540" s="545">
        <v>41.214285714285715</v>
      </c>
    </row>
    <row r="3541" spans="1:10">
      <c r="A3541" s="441">
        <v>7706</v>
      </c>
      <c r="B3541" s="441" t="s">
        <v>3640</v>
      </c>
      <c r="C3541" s="545">
        <v>54.166666666666671</v>
      </c>
      <c r="D3541" s="545">
        <v>29</v>
      </c>
      <c r="E3541" s="545">
        <v>37</v>
      </c>
      <c r="F3541" s="545">
        <v>48.119047619047628</v>
      </c>
      <c r="G3541" s="545">
        <v>28.4</v>
      </c>
      <c r="H3541" s="545">
        <v>26</v>
      </c>
      <c r="I3541" s="545">
        <v>25.333333333333332</v>
      </c>
      <c r="J3541" s="545">
        <v>27.61904761904762</v>
      </c>
    </row>
    <row r="3542" spans="1:10">
      <c r="A3542" s="441">
        <v>7714</v>
      </c>
      <c r="B3542" s="441" t="s">
        <v>3641</v>
      </c>
      <c r="C3542" s="545">
        <v>67.833333333333329</v>
      </c>
      <c r="D3542" s="545">
        <v>46.333333333333336</v>
      </c>
      <c r="E3542" s="545">
        <v>40.333333333333336</v>
      </c>
      <c r="F3542" s="545">
        <v>60.833333333333321</v>
      </c>
      <c r="G3542" s="545">
        <v>69.95</v>
      </c>
      <c r="H3542" s="545">
        <v>43.666666666666664</v>
      </c>
      <c r="I3542" s="545">
        <v>38</v>
      </c>
      <c r="J3542" s="545">
        <v>61.630952380952387</v>
      </c>
    </row>
    <row r="3543" spans="1:10">
      <c r="A3543" s="441">
        <v>6335</v>
      </c>
      <c r="B3543" s="441" t="s">
        <v>3642</v>
      </c>
      <c r="C3543" s="545">
        <v>67.666666666666671</v>
      </c>
      <c r="D3543" s="545">
        <v>47.333333333333329</v>
      </c>
      <c r="E3543" s="545">
        <v>41.666666666666664</v>
      </c>
      <c r="F3543" s="545">
        <v>61.047619047619051</v>
      </c>
      <c r="G3543" s="545">
        <v>40.6</v>
      </c>
      <c r="H3543" s="545">
        <v>25</v>
      </c>
      <c r="I3543" s="545">
        <v>25.333333333333332</v>
      </c>
      <c r="J3543" s="545">
        <v>36.19047619047619</v>
      </c>
    </row>
    <row r="3544" spans="1:10">
      <c r="A3544" s="441">
        <v>6363</v>
      </c>
      <c r="B3544" s="441" t="s">
        <v>3642</v>
      </c>
      <c r="C3544" s="545">
        <v>48.333333333333336</v>
      </c>
      <c r="D3544" s="545">
        <v>28.666666666666668</v>
      </c>
      <c r="E3544" s="545">
        <v>35.666666666666664</v>
      </c>
      <c r="F3544" s="545">
        <v>43.714285714285722</v>
      </c>
      <c r="G3544" s="545">
        <v>40</v>
      </c>
      <c r="H3544" s="545">
        <v>23.666666666666668</v>
      </c>
      <c r="I3544" s="545">
        <v>19</v>
      </c>
      <c r="J3544" s="545">
        <v>34.666666666666664</v>
      </c>
    </row>
    <row r="3545" spans="1:10">
      <c r="A3545" s="441">
        <v>6358</v>
      </c>
      <c r="B3545" s="441" t="s">
        <v>3643</v>
      </c>
      <c r="C3545" s="545">
        <v>88</v>
      </c>
      <c r="D3545" s="545">
        <v>70</v>
      </c>
      <c r="E3545" s="545">
        <v>44.666666666666671</v>
      </c>
      <c r="F3545" s="545">
        <v>79.238095238095227</v>
      </c>
      <c r="G3545" s="545">
        <v>88.3</v>
      </c>
      <c r="H3545" s="545">
        <v>53</v>
      </c>
      <c r="I3545" s="545">
        <v>47.333333333333336</v>
      </c>
      <c r="J3545" s="545">
        <v>77.404761904761912</v>
      </c>
    </row>
    <row r="3546" spans="1:10">
      <c r="A3546" s="441">
        <v>7697</v>
      </c>
      <c r="B3546" s="441" t="s">
        <v>3644</v>
      </c>
      <c r="C3546" s="545">
        <v>197</v>
      </c>
      <c r="D3546" s="545">
        <v>155</v>
      </c>
      <c r="E3546" s="545">
        <v>146.66666666666666</v>
      </c>
      <c r="F3546" s="545">
        <v>183.80952380952382</v>
      </c>
      <c r="G3546" s="545">
        <v>148.25</v>
      </c>
      <c r="H3546" s="545">
        <v>108</v>
      </c>
      <c r="I3546" s="545">
        <v>115.33333333333333</v>
      </c>
      <c r="J3546" s="545">
        <v>137.79761904761907</v>
      </c>
    </row>
    <row r="3547" spans="1:10">
      <c r="A3547" s="441">
        <v>7703</v>
      </c>
      <c r="B3547" s="441" t="s">
        <v>3645</v>
      </c>
      <c r="C3547" s="545">
        <v>32.5</v>
      </c>
      <c r="D3547" s="545">
        <v>9</v>
      </c>
      <c r="E3547" s="545">
        <v>15.333333333333334</v>
      </c>
      <c r="F3547" s="545">
        <v>26.690476190476193</v>
      </c>
      <c r="G3547" s="545">
        <v>16.75</v>
      </c>
      <c r="H3547" s="545">
        <v>13.333333333333334</v>
      </c>
      <c r="I3547" s="545">
        <v>7.333333333333333</v>
      </c>
      <c r="J3547" s="545">
        <v>14.916666666666666</v>
      </c>
    </row>
    <row r="3548" spans="1:10">
      <c r="A3548" s="441">
        <v>7709</v>
      </c>
      <c r="B3548" s="441" t="s">
        <v>3645</v>
      </c>
      <c r="C3548" s="545">
        <v>39.666666666666664</v>
      </c>
      <c r="D3548" s="545">
        <v>12.333333333333334</v>
      </c>
      <c r="E3548" s="545">
        <v>13</v>
      </c>
      <c r="F3548" s="545">
        <v>31.952380952380953</v>
      </c>
      <c r="G3548" s="545">
        <v>21.4</v>
      </c>
      <c r="H3548" s="545">
        <v>12.666666666666666</v>
      </c>
      <c r="I3548" s="545">
        <v>14.666666666666666</v>
      </c>
      <c r="J3548" s="545">
        <v>19.190476190476193</v>
      </c>
    </row>
    <row r="3549" spans="1:10">
      <c r="A3549" s="441">
        <v>6137</v>
      </c>
      <c r="B3549" s="441" t="s">
        <v>3646</v>
      </c>
      <c r="C3549" s="545">
        <v>164.5</v>
      </c>
      <c r="D3549" s="545">
        <v>88.333333333333343</v>
      </c>
      <c r="E3549" s="545">
        <v>61.666666666666671</v>
      </c>
      <c r="F3549" s="545">
        <v>138.92857142857142</v>
      </c>
      <c r="G3549" s="545">
        <v>153.19999999999999</v>
      </c>
      <c r="H3549" s="545">
        <v>80.666666666666671</v>
      </c>
      <c r="I3549" s="545">
        <v>71.333333333333329</v>
      </c>
      <c r="J3549" s="545">
        <v>131.14285714285714</v>
      </c>
    </row>
    <row r="3550" spans="1:10">
      <c r="A3550" s="441">
        <v>6343</v>
      </c>
      <c r="B3550" s="441" t="s">
        <v>3647</v>
      </c>
      <c r="C3550" s="545">
        <v>17</v>
      </c>
      <c r="D3550" s="545">
        <v>8.3333333333333339</v>
      </c>
      <c r="E3550" s="545">
        <v>13</v>
      </c>
      <c r="F3550" s="545">
        <v>15.19047619047619</v>
      </c>
      <c r="G3550" s="545">
        <v>12.95</v>
      </c>
      <c r="H3550" s="545">
        <v>3.6666666666666665</v>
      </c>
      <c r="I3550" s="545">
        <v>7</v>
      </c>
      <c r="J3550" s="545">
        <v>10.773809523809524</v>
      </c>
    </row>
    <row r="3551" spans="1:10">
      <c r="A3551" s="441">
        <v>6355</v>
      </c>
      <c r="B3551" s="441" t="s">
        <v>3647</v>
      </c>
      <c r="C3551" s="545">
        <v>17.666666666666664</v>
      </c>
      <c r="D3551" s="545">
        <v>7.666666666666667</v>
      </c>
      <c r="E3551" s="545">
        <v>7.333333333333333</v>
      </c>
      <c r="F3551" s="545">
        <v>14.761904761904759</v>
      </c>
      <c r="G3551" s="545">
        <v>12.75</v>
      </c>
      <c r="H3551" s="545">
        <v>6</v>
      </c>
      <c r="I3551" s="545">
        <v>5.666666666666667</v>
      </c>
      <c r="J3551" s="545">
        <v>10.773809523809524</v>
      </c>
    </row>
    <row r="3552" spans="1:10">
      <c r="A3552" s="441">
        <v>7702</v>
      </c>
      <c r="B3552" s="441" t="s">
        <v>3648</v>
      </c>
      <c r="C3552" s="545">
        <v>142.66666666666666</v>
      </c>
      <c r="D3552" s="545">
        <v>123.33333333333334</v>
      </c>
      <c r="E3552" s="545">
        <v>157</v>
      </c>
      <c r="F3552" s="545">
        <v>141.95238095238093</v>
      </c>
      <c r="G3552" s="545">
        <v>128.6</v>
      </c>
      <c r="H3552" s="545">
        <v>121.33333333333333</v>
      </c>
      <c r="I3552" s="545">
        <v>129.33333333333334</v>
      </c>
      <c r="J3552" s="545">
        <v>127.66666666666667</v>
      </c>
    </row>
    <row r="3553" spans="1:10">
      <c r="A3553" s="441">
        <v>7710</v>
      </c>
      <c r="B3553" s="441" t="s">
        <v>3648</v>
      </c>
      <c r="C3553" s="545">
        <v>172</v>
      </c>
      <c r="D3553" s="545">
        <v>137.66666666666666</v>
      </c>
      <c r="E3553" s="545">
        <v>157.33333333333334</v>
      </c>
      <c r="F3553" s="545">
        <v>165</v>
      </c>
      <c r="G3553" s="545">
        <v>127.95</v>
      </c>
      <c r="H3553" s="545">
        <v>119.66666666666667</v>
      </c>
      <c r="I3553" s="545">
        <v>129</v>
      </c>
      <c r="J3553" s="545">
        <v>126.91666666666666</v>
      </c>
    </row>
    <row r="3554" spans="1:10">
      <c r="A3554" s="441">
        <v>6345</v>
      </c>
      <c r="B3554" s="441" t="s">
        <v>3649</v>
      </c>
      <c r="C3554" s="545">
        <v>2.666666666666667</v>
      </c>
      <c r="D3554" s="545">
        <v>1.3333333333333333</v>
      </c>
      <c r="E3554" s="545">
        <v>0.66666666666666663</v>
      </c>
      <c r="F3554" s="545">
        <v>2.1904761904761907</v>
      </c>
      <c r="G3554" s="545">
        <v>2.0499999999999998</v>
      </c>
      <c r="H3554" s="545">
        <v>0</v>
      </c>
      <c r="I3554" s="545">
        <v>0.33333333333333331</v>
      </c>
      <c r="J3554" s="545">
        <v>1.5119047619047621</v>
      </c>
    </row>
    <row r="3555" spans="1:10">
      <c r="A3555" s="441">
        <v>6353</v>
      </c>
      <c r="B3555" s="441" t="s">
        <v>3649</v>
      </c>
      <c r="C3555" s="545">
        <v>1.1666666666666667</v>
      </c>
      <c r="D3555" s="545">
        <v>0.66666666666666663</v>
      </c>
      <c r="E3555" s="545">
        <v>1</v>
      </c>
      <c r="F3555" s="545">
        <v>1.0714285714285716</v>
      </c>
      <c r="G3555" s="545">
        <v>1.3</v>
      </c>
      <c r="H3555" s="545">
        <v>0</v>
      </c>
      <c r="I3555" s="545">
        <v>0</v>
      </c>
      <c r="J3555" s="545">
        <v>0.9285714285714286</v>
      </c>
    </row>
    <row r="3556" spans="1:10">
      <c r="A3556" s="441">
        <v>71</v>
      </c>
      <c r="B3556" s="441" t="s">
        <v>3650</v>
      </c>
      <c r="C3556" s="545">
        <v>1693.8333333333333</v>
      </c>
      <c r="D3556" s="545">
        <v>325</v>
      </c>
      <c r="E3556" s="545">
        <v>292</v>
      </c>
      <c r="F3556" s="545">
        <v>1298.0238095238094</v>
      </c>
      <c r="G3556" s="545">
        <v>635.5</v>
      </c>
      <c r="H3556" s="545">
        <v>282</v>
      </c>
      <c r="I3556" s="545">
        <v>365.66666666666669</v>
      </c>
      <c r="J3556" s="545">
        <v>546.45238095238096</v>
      </c>
    </row>
    <row r="3557" spans="1:10">
      <c r="A3557" s="441">
        <v>5800</v>
      </c>
      <c r="B3557" s="441" t="s">
        <v>3651</v>
      </c>
      <c r="C3557" s="545">
        <v>1.1666666666666667</v>
      </c>
      <c r="D3557" s="545">
        <v>0</v>
      </c>
      <c r="E3557" s="545">
        <v>2.333333333333333</v>
      </c>
      <c r="F3557" s="545">
        <v>1.1666666666666667</v>
      </c>
      <c r="G3557" s="545">
        <v>3.4</v>
      </c>
      <c r="H3557" s="545">
        <v>1.3333333333333333</v>
      </c>
      <c r="I3557" s="545">
        <v>1</v>
      </c>
      <c r="J3557" s="545">
        <v>2.7619047619047619</v>
      </c>
    </row>
    <row r="3558" spans="1:10">
      <c r="A3558" s="441">
        <v>4760</v>
      </c>
      <c r="B3558" s="441" t="s">
        <v>3652</v>
      </c>
      <c r="C3558" s="545">
        <v>22.666666666666664</v>
      </c>
      <c r="D3558" s="545">
        <v>11.333333333333334</v>
      </c>
      <c r="E3558" s="545">
        <v>9</v>
      </c>
      <c r="F3558" s="545">
        <v>19.095238095238091</v>
      </c>
      <c r="G3558" s="545">
        <v>16.100000000000001</v>
      </c>
      <c r="H3558" s="545">
        <v>5.333333333333333</v>
      </c>
      <c r="I3558" s="545">
        <v>6.666666666666667</v>
      </c>
      <c r="J3558" s="545">
        <v>13.214285714285714</v>
      </c>
    </row>
    <row r="3559" spans="1:10">
      <c r="A3559" s="441">
        <v>5795</v>
      </c>
      <c r="B3559" s="441" t="s">
        <v>3652</v>
      </c>
      <c r="C3559" s="545">
        <v>18.333333333333332</v>
      </c>
      <c r="D3559" s="545">
        <v>5</v>
      </c>
      <c r="E3559" s="545">
        <v>6.6666666666666661</v>
      </c>
      <c r="F3559" s="545">
        <v>14.761904761904761</v>
      </c>
      <c r="G3559" s="545">
        <v>16.149999999999999</v>
      </c>
      <c r="H3559" s="545">
        <v>5.333333333333333</v>
      </c>
      <c r="I3559" s="545">
        <v>5.333333333333333</v>
      </c>
      <c r="J3559" s="545">
        <v>13.059523809523808</v>
      </c>
    </row>
    <row r="3560" spans="1:10">
      <c r="A3560" s="441">
        <v>4762</v>
      </c>
      <c r="B3560" s="441" t="s">
        <v>3653</v>
      </c>
      <c r="C3560" s="545">
        <v>4.5</v>
      </c>
      <c r="D3560" s="545">
        <v>2.3333333333333335</v>
      </c>
      <c r="E3560" s="545">
        <v>0</v>
      </c>
      <c r="F3560" s="545">
        <v>3.5476190476190474</v>
      </c>
      <c r="G3560" s="545">
        <v>3.6</v>
      </c>
      <c r="H3560" s="545">
        <v>0.66666666666666663</v>
      </c>
      <c r="I3560" s="545">
        <v>1</v>
      </c>
      <c r="J3560" s="545">
        <v>2.8095238095238098</v>
      </c>
    </row>
    <row r="3561" spans="1:10">
      <c r="A3561" s="441">
        <v>5793</v>
      </c>
      <c r="B3561" s="441" t="s">
        <v>3653</v>
      </c>
      <c r="C3561" s="545">
        <v>5.6666666666666661</v>
      </c>
      <c r="D3561" s="545">
        <v>5</v>
      </c>
      <c r="E3561" s="545">
        <v>3</v>
      </c>
      <c r="F3561" s="545">
        <v>5.1904761904761898</v>
      </c>
      <c r="G3561" s="545">
        <v>6.55</v>
      </c>
      <c r="H3561" s="545">
        <v>4.666666666666667</v>
      </c>
      <c r="I3561" s="545">
        <v>3</v>
      </c>
      <c r="J3561" s="545">
        <v>5.7738095238095237</v>
      </c>
    </row>
    <row r="3562" spans="1:10">
      <c r="A3562" s="441">
        <v>5799</v>
      </c>
      <c r="B3562" s="441" t="s">
        <v>3654</v>
      </c>
      <c r="C3562" s="545">
        <v>1.1666666666666665</v>
      </c>
      <c r="D3562" s="545">
        <v>1</v>
      </c>
      <c r="E3562" s="545">
        <v>2</v>
      </c>
      <c r="F3562" s="545">
        <v>1.2619047619047616</v>
      </c>
      <c r="G3562" s="545">
        <v>1.95</v>
      </c>
      <c r="H3562" s="545">
        <v>1</v>
      </c>
      <c r="I3562" s="545">
        <v>0</v>
      </c>
      <c r="J3562" s="545">
        <v>1.5357142857142858</v>
      </c>
    </row>
    <row r="3563" spans="1:10">
      <c r="A3563" s="441">
        <v>5802</v>
      </c>
      <c r="B3563" s="441" t="s">
        <v>3655</v>
      </c>
      <c r="C3563" s="545">
        <v>0</v>
      </c>
      <c r="D3563" s="545">
        <v>0</v>
      </c>
      <c r="E3563" s="545">
        <v>0.66666666666666663</v>
      </c>
      <c r="F3563" s="545">
        <v>9.5238095238095233E-2</v>
      </c>
      <c r="G3563" s="545">
        <v>13.5</v>
      </c>
      <c r="H3563" s="545">
        <v>0</v>
      </c>
      <c r="I3563" s="545">
        <v>0</v>
      </c>
      <c r="J3563" s="545">
        <v>9.6428571428571423</v>
      </c>
    </row>
    <row r="3564" spans="1:10">
      <c r="A3564" s="441">
        <v>5798</v>
      </c>
      <c r="B3564" s="441" t="s">
        <v>3656</v>
      </c>
      <c r="C3564" s="545">
        <v>2.166666666666667</v>
      </c>
      <c r="D3564" s="545">
        <v>0.33333333333333331</v>
      </c>
      <c r="E3564" s="545">
        <v>0.33333333333333331</v>
      </c>
      <c r="F3564" s="545">
        <v>1.6428571428571435</v>
      </c>
      <c r="G3564" s="545">
        <v>0.2</v>
      </c>
      <c r="H3564" s="545">
        <v>0</v>
      </c>
      <c r="I3564" s="545">
        <v>0</v>
      </c>
      <c r="J3564" s="545">
        <v>0.14285714285714285</v>
      </c>
    </row>
    <row r="3565" spans="1:10">
      <c r="A3565" s="441">
        <v>5792</v>
      </c>
      <c r="B3565" s="441" t="s">
        <v>3657</v>
      </c>
      <c r="C3565" s="545">
        <v>0.83333333333333337</v>
      </c>
      <c r="D3565" s="545">
        <v>0</v>
      </c>
      <c r="E3565" s="545">
        <v>0.33333333333333331</v>
      </c>
      <c r="F3565" s="545">
        <v>0.6428571428571429</v>
      </c>
      <c r="G3565" s="545">
        <v>2.0499999999999998</v>
      </c>
      <c r="H3565" s="545">
        <v>1.3333333333333333</v>
      </c>
      <c r="I3565" s="545">
        <v>0.33333333333333331</v>
      </c>
      <c r="J3565" s="545">
        <v>1.7023809523809526</v>
      </c>
    </row>
    <row r="3566" spans="1:10">
      <c r="A3566" s="441">
        <v>13034</v>
      </c>
      <c r="B3566" s="441" t="s">
        <v>3658</v>
      </c>
      <c r="C3566" s="545">
        <v>1.1666666666666667</v>
      </c>
      <c r="D3566" s="545">
        <v>3</v>
      </c>
      <c r="E3566" s="545">
        <v>2.333333333333333</v>
      </c>
      <c r="F3566" s="545">
        <v>1.5952380952380953</v>
      </c>
      <c r="G3566" s="545">
        <v>33.65</v>
      </c>
      <c r="H3566" s="545">
        <v>11</v>
      </c>
      <c r="I3566" s="545">
        <v>8.6666666666666661</v>
      </c>
      <c r="J3566" s="545">
        <v>26.845238095238095</v>
      </c>
    </row>
    <row r="3567" spans="1:10">
      <c r="A3567" s="441">
        <v>5801</v>
      </c>
      <c r="B3567" s="441" t="s">
        <v>3659</v>
      </c>
      <c r="C3567" s="545">
        <v>6.166666666666667</v>
      </c>
      <c r="D3567" s="545">
        <v>2.333333333333333</v>
      </c>
      <c r="E3567" s="545">
        <v>0</v>
      </c>
      <c r="F3567" s="545">
        <v>4.738095238095239</v>
      </c>
      <c r="G3567" s="545">
        <v>3.8</v>
      </c>
      <c r="H3567" s="545">
        <v>0.33333333333333331</v>
      </c>
      <c r="I3567" s="545">
        <v>0.66666666666666663</v>
      </c>
      <c r="J3567" s="545">
        <v>2.8571428571428572</v>
      </c>
    </row>
    <row r="3568" spans="1:10">
      <c r="A3568" s="441">
        <v>5803</v>
      </c>
      <c r="B3568" s="441" t="s">
        <v>3660</v>
      </c>
      <c r="C3568" s="545">
        <v>2.3333333333333335</v>
      </c>
      <c r="D3568" s="545">
        <v>1.6666666666666665</v>
      </c>
      <c r="E3568" s="545">
        <v>0</v>
      </c>
      <c r="F3568" s="545">
        <v>1.9047619047619049</v>
      </c>
      <c r="G3568" s="545">
        <v>0.6</v>
      </c>
      <c r="H3568" s="545">
        <v>0.33333333333333331</v>
      </c>
      <c r="I3568" s="545">
        <v>0</v>
      </c>
      <c r="J3568" s="545">
        <v>0.47619047619047622</v>
      </c>
    </row>
    <row r="3569" spans="1:10">
      <c r="A3569" s="441">
        <v>4768</v>
      </c>
      <c r="B3569" s="441" t="s">
        <v>3661</v>
      </c>
      <c r="C3569" s="545">
        <v>5.8333333333333339</v>
      </c>
      <c r="D3569" s="545">
        <v>2.3333333333333335</v>
      </c>
      <c r="E3569" s="545">
        <v>2.3333333333333335</v>
      </c>
      <c r="F3569" s="545">
        <v>4.8333333333333339</v>
      </c>
      <c r="G3569" s="545">
        <v>1.5</v>
      </c>
      <c r="H3569" s="545">
        <v>2</v>
      </c>
      <c r="I3569" s="545">
        <v>2</v>
      </c>
      <c r="J3569" s="545">
        <v>1.6428571428571428</v>
      </c>
    </row>
    <row r="3570" spans="1:10">
      <c r="A3570" s="441">
        <v>5791</v>
      </c>
      <c r="B3570" s="441" t="s">
        <v>3661</v>
      </c>
      <c r="C3570" s="545">
        <v>1.6666666666666665</v>
      </c>
      <c r="D3570" s="545">
        <v>0</v>
      </c>
      <c r="E3570" s="545">
        <v>0.66666666666666663</v>
      </c>
      <c r="F3570" s="545">
        <v>1.2857142857142854</v>
      </c>
      <c r="G3570" s="545">
        <v>2.5499999999999998</v>
      </c>
      <c r="H3570" s="545">
        <v>1</v>
      </c>
      <c r="I3570" s="545">
        <v>0</v>
      </c>
      <c r="J3570" s="545">
        <v>1.9642857142857142</v>
      </c>
    </row>
    <row r="3571" spans="1:10">
      <c r="A3571" s="441">
        <v>5804</v>
      </c>
      <c r="B3571" s="441" t="s">
        <v>3662</v>
      </c>
      <c r="C3571" s="545">
        <v>2.3333333333333335</v>
      </c>
      <c r="D3571" s="545">
        <v>0.66666666666666663</v>
      </c>
      <c r="E3571" s="545">
        <v>0.33333333333333331</v>
      </c>
      <c r="F3571" s="545">
        <v>1.8095238095238098</v>
      </c>
      <c r="G3571" s="545">
        <v>1.1000000000000001</v>
      </c>
      <c r="H3571" s="545">
        <v>0</v>
      </c>
      <c r="I3571" s="545">
        <v>0</v>
      </c>
      <c r="J3571" s="545">
        <v>0.7857142857142857</v>
      </c>
    </row>
    <row r="3572" spans="1:10">
      <c r="A3572" s="441">
        <v>5794</v>
      </c>
      <c r="B3572" s="441" t="s">
        <v>3663</v>
      </c>
      <c r="C3572" s="545">
        <v>33.833333333333336</v>
      </c>
      <c r="D3572" s="545">
        <v>14</v>
      </c>
      <c r="E3572" s="545">
        <v>13.666666666666666</v>
      </c>
      <c r="F3572" s="545">
        <v>28.11904761904762</v>
      </c>
      <c r="G3572" s="545">
        <v>19.600000000000001</v>
      </c>
      <c r="H3572" s="545">
        <v>11</v>
      </c>
      <c r="I3572" s="545">
        <v>5.666666666666667</v>
      </c>
      <c r="J3572" s="545">
        <v>16.380952380952383</v>
      </c>
    </row>
    <row r="3573" spans="1:10">
      <c r="A3573" s="441">
        <v>11531</v>
      </c>
      <c r="B3573" s="441" t="s">
        <v>3664</v>
      </c>
      <c r="C3573" s="545">
        <v>6.5</v>
      </c>
      <c r="D3573" s="545">
        <v>0</v>
      </c>
      <c r="E3573" s="545">
        <v>0.66666666666666663</v>
      </c>
      <c r="F3573" s="545">
        <v>4.7380952380952381</v>
      </c>
      <c r="G3573" s="545">
        <v>1.25</v>
      </c>
      <c r="H3573" s="545">
        <v>1</v>
      </c>
      <c r="I3573" s="545">
        <v>0</v>
      </c>
      <c r="J3573" s="545">
        <v>1.0357142857142858</v>
      </c>
    </row>
    <row r="3574" spans="1:10">
      <c r="A3574" s="441">
        <v>4763</v>
      </c>
      <c r="B3574" s="441" t="s">
        <v>3665</v>
      </c>
      <c r="C3574" s="545">
        <v>20.5</v>
      </c>
      <c r="D3574" s="545">
        <v>10</v>
      </c>
      <c r="E3574" s="545">
        <v>7.666666666666667</v>
      </c>
      <c r="F3574" s="545">
        <v>17.166666666666668</v>
      </c>
      <c r="G3574" s="545">
        <v>13.65</v>
      </c>
      <c r="H3574" s="545">
        <v>7.666666666666667</v>
      </c>
      <c r="I3574" s="545">
        <v>5.666666666666667</v>
      </c>
      <c r="J3574" s="545">
        <v>11.654761904761907</v>
      </c>
    </row>
    <row r="3575" spans="1:10">
      <c r="A3575" s="441">
        <v>5797</v>
      </c>
      <c r="B3575" s="441" t="s">
        <v>3666</v>
      </c>
      <c r="C3575" s="545">
        <v>28.5</v>
      </c>
      <c r="D3575" s="545">
        <v>12</v>
      </c>
      <c r="E3575" s="545">
        <v>15</v>
      </c>
      <c r="F3575" s="545">
        <v>24.214285714285715</v>
      </c>
      <c r="G3575" s="545">
        <v>39.049999999999997</v>
      </c>
      <c r="H3575" s="545">
        <v>11.666666666666666</v>
      </c>
      <c r="I3575" s="545">
        <v>7.666666666666667</v>
      </c>
      <c r="J3575" s="545">
        <v>30.654761904761902</v>
      </c>
    </row>
    <row r="3576" spans="1:10">
      <c r="A3576" s="441">
        <v>5805</v>
      </c>
      <c r="B3576" s="441" t="s">
        <v>3666</v>
      </c>
      <c r="C3576" s="545">
        <v>29</v>
      </c>
      <c r="D3576" s="545">
        <v>20</v>
      </c>
      <c r="E3576" s="545">
        <v>12.333333333333332</v>
      </c>
      <c r="F3576" s="545">
        <v>25.333333333333336</v>
      </c>
      <c r="G3576" s="545">
        <v>24.6</v>
      </c>
      <c r="H3576" s="545">
        <v>10.333333333333334</v>
      </c>
      <c r="I3576" s="545">
        <v>6.333333333333333</v>
      </c>
      <c r="J3576" s="545">
        <v>19.952380952380956</v>
      </c>
    </row>
    <row r="3577" spans="1:10">
      <c r="A3577" s="441">
        <v>4761</v>
      </c>
      <c r="B3577" s="441" t="s">
        <v>3667</v>
      </c>
      <c r="C3577" s="545">
        <v>34.333333333333329</v>
      </c>
      <c r="D3577" s="545">
        <v>19</v>
      </c>
      <c r="E3577" s="545">
        <v>13.666666666666666</v>
      </c>
      <c r="F3577" s="545">
        <v>29.190476190476183</v>
      </c>
      <c r="G3577" s="545">
        <v>22.05</v>
      </c>
      <c r="H3577" s="545">
        <v>9.6666666666666661</v>
      </c>
      <c r="I3577" s="545">
        <v>5.333333333333333</v>
      </c>
      <c r="J3577" s="545">
        <v>17.892857142857142</v>
      </c>
    </row>
    <row r="3578" spans="1:10">
      <c r="A3578" s="441">
        <v>73</v>
      </c>
      <c r="B3578" s="441" t="s">
        <v>3668</v>
      </c>
      <c r="C3578" s="545">
        <v>1304.3333333333335</v>
      </c>
      <c r="D3578" s="545">
        <v>924.33333333333326</v>
      </c>
      <c r="E3578" s="545">
        <v>740</v>
      </c>
      <c r="F3578" s="545">
        <v>1169.4285714285716</v>
      </c>
      <c r="G3578" s="545">
        <v>999.2</v>
      </c>
      <c r="H3578" s="545">
        <v>705</v>
      </c>
      <c r="I3578" s="545">
        <v>641.33333333333337</v>
      </c>
      <c r="J3578" s="545">
        <v>906.04761904761904</v>
      </c>
    </row>
    <row r="3579" spans="1:10">
      <c r="A3579" s="441">
        <v>2568</v>
      </c>
      <c r="B3579" s="441" t="s">
        <v>3669</v>
      </c>
      <c r="C3579" s="545">
        <v>25.333333333333332</v>
      </c>
      <c r="D3579" s="545">
        <v>26.333333333333336</v>
      </c>
      <c r="E3579" s="545">
        <v>25</v>
      </c>
      <c r="F3579" s="545">
        <v>25.428571428571427</v>
      </c>
      <c r="G3579" s="545">
        <v>30.65</v>
      </c>
      <c r="H3579" s="545">
        <v>25.333333333333332</v>
      </c>
      <c r="I3579" s="545">
        <v>23.666666666666668</v>
      </c>
      <c r="J3579" s="545">
        <v>28.892857142857142</v>
      </c>
    </row>
    <row r="3580" spans="1:10">
      <c r="A3580" s="441">
        <v>2582</v>
      </c>
      <c r="B3580" s="441" t="s">
        <v>3669</v>
      </c>
      <c r="C3580" s="545">
        <v>24</v>
      </c>
      <c r="D3580" s="545">
        <v>21.333333333333332</v>
      </c>
      <c r="E3580" s="545">
        <v>17.333333333333336</v>
      </c>
      <c r="F3580" s="545">
        <v>22.666666666666668</v>
      </c>
      <c r="G3580" s="545">
        <v>40.4</v>
      </c>
      <c r="H3580" s="545">
        <v>24.333333333333332</v>
      </c>
      <c r="I3580" s="545">
        <v>22.666666666666668</v>
      </c>
      <c r="J3580" s="545">
        <v>35.571428571428569</v>
      </c>
    </row>
    <row r="3581" spans="1:10">
      <c r="A3581" s="441">
        <v>2940</v>
      </c>
      <c r="B3581" s="441" t="s">
        <v>3670</v>
      </c>
      <c r="C3581" s="545">
        <v>2.6666666666666665</v>
      </c>
      <c r="D3581" s="545">
        <v>3</v>
      </c>
      <c r="E3581" s="545">
        <v>4</v>
      </c>
      <c r="F3581" s="545">
        <v>2.9047619047619047</v>
      </c>
      <c r="G3581" s="545">
        <v>2.65</v>
      </c>
      <c r="H3581" s="545">
        <v>5.333333333333333</v>
      </c>
      <c r="I3581" s="545">
        <v>2</v>
      </c>
      <c r="J3581" s="545">
        <v>2.9404761904761902</v>
      </c>
    </row>
    <row r="3582" spans="1:10">
      <c r="A3582" s="441">
        <v>2578</v>
      </c>
      <c r="B3582" s="441" t="s">
        <v>3671</v>
      </c>
      <c r="C3582" s="545">
        <v>5.666666666666667</v>
      </c>
      <c r="D3582" s="545">
        <v>3</v>
      </c>
      <c r="E3582" s="545">
        <v>0.33333333333333331</v>
      </c>
      <c r="F3582" s="545">
        <v>4.5238095238095237</v>
      </c>
      <c r="G3582" s="545">
        <v>5.5</v>
      </c>
      <c r="H3582" s="545">
        <v>2.3333333333333335</v>
      </c>
      <c r="I3582" s="545">
        <v>3.3333333333333335</v>
      </c>
      <c r="J3582" s="545">
        <v>4.7380952380952381</v>
      </c>
    </row>
    <row r="3583" spans="1:10">
      <c r="A3583" s="441">
        <v>13017</v>
      </c>
      <c r="B3583" s="441" t="s">
        <v>3671</v>
      </c>
      <c r="C3583" s="545">
        <v>5.666666666666667</v>
      </c>
      <c r="D3583" s="545">
        <v>2</v>
      </c>
      <c r="E3583" s="545">
        <v>0.33333333333333331</v>
      </c>
      <c r="F3583" s="545">
        <v>4.3809523809523814</v>
      </c>
      <c r="G3583" s="545">
        <v>3.35</v>
      </c>
      <c r="H3583" s="545">
        <v>2.6666666666666665</v>
      </c>
      <c r="I3583" s="545">
        <v>0.66666666666666663</v>
      </c>
      <c r="J3583" s="545">
        <v>2.8690476190476195</v>
      </c>
    </row>
    <row r="3584" spans="1:10">
      <c r="A3584" s="441">
        <v>2021</v>
      </c>
      <c r="B3584" s="441" t="s">
        <v>3672</v>
      </c>
      <c r="C3584" s="545">
        <v>94.666666666666671</v>
      </c>
      <c r="D3584" s="545">
        <v>59.333333333333329</v>
      </c>
      <c r="E3584" s="545">
        <v>53.666666666666671</v>
      </c>
      <c r="F3584" s="545">
        <v>83.761904761904773</v>
      </c>
      <c r="G3584" s="545">
        <v>53.9</v>
      </c>
      <c r="H3584" s="545">
        <v>41.333333333333336</v>
      </c>
      <c r="I3584" s="545">
        <v>29</v>
      </c>
      <c r="J3584" s="545">
        <v>48.547619047619044</v>
      </c>
    </row>
    <row r="3585" spans="1:10">
      <c r="A3585" s="441">
        <v>2043</v>
      </c>
      <c r="B3585" s="441" t="s">
        <v>3672</v>
      </c>
      <c r="C3585" s="545">
        <v>90.166666666666671</v>
      </c>
      <c r="D3585" s="545">
        <v>58.333333333333336</v>
      </c>
      <c r="E3585" s="545">
        <v>47.333333333333329</v>
      </c>
      <c r="F3585" s="545">
        <v>79.5</v>
      </c>
      <c r="G3585" s="545">
        <v>48.7</v>
      </c>
      <c r="H3585" s="545">
        <v>39.333333333333336</v>
      </c>
      <c r="I3585" s="545">
        <v>31</v>
      </c>
      <c r="J3585" s="545">
        <v>44.833333333333329</v>
      </c>
    </row>
    <row r="3586" spans="1:10">
      <c r="A3586" s="441">
        <v>1439</v>
      </c>
      <c r="B3586" s="441" t="s">
        <v>3673</v>
      </c>
      <c r="C3586" s="545">
        <v>8.3333333333333321</v>
      </c>
      <c r="D3586" s="545">
        <v>2.666666666666667</v>
      </c>
      <c r="E3586" s="545">
        <v>3</v>
      </c>
      <c r="F3586" s="545">
        <v>6.7619047619047601</v>
      </c>
      <c r="G3586" s="545">
        <v>5.45</v>
      </c>
      <c r="H3586" s="545">
        <v>4.333333333333333</v>
      </c>
      <c r="I3586" s="545">
        <v>3.3333333333333335</v>
      </c>
      <c r="J3586" s="545">
        <v>4.9880952380952381</v>
      </c>
    </row>
    <row r="3587" spans="1:10">
      <c r="A3587" s="441">
        <v>1444</v>
      </c>
      <c r="B3587" s="441" t="s">
        <v>3673</v>
      </c>
      <c r="C3587" s="545">
        <v>8.5</v>
      </c>
      <c r="D3587" s="545">
        <v>6</v>
      </c>
      <c r="E3587" s="545">
        <v>3.3333333333333335</v>
      </c>
      <c r="F3587" s="545">
        <v>7.4047619047619051</v>
      </c>
      <c r="G3587" s="545">
        <v>5.85</v>
      </c>
      <c r="H3587" s="545">
        <v>3.6666666666666665</v>
      </c>
      <c r="I3587" s="545">
        <v>4</v>
      </c>
      <c r="J3587" s="545">
        <v>5.2738095238095237</v>
      </c>
    </row>
    <row r="3588" spans="1:10">
      <c r="A3588" s="441">
        <v>2567</v>
      </c>
      <c r="B3588" s="441" t="s">
        <v>3674</v>
      </c>
      <c r="C3588" s="545">
        <v>3.5</v>
      </c>
      <c r="D3588" s="545">
        <v>3.666666666666667</v>
      </c>
      <c r="E3588" s="545">
        <v>3.666666666666667</v>
      </c>
      <c r="F3588" s="545">
        <v>3.5476190476190479</v>
      </c>
      <c r="G3588" s="545">
        <v>3.35</v>
      </c>
      <c r="H3588" s="545">
        <v>4.666666666666667</v>
      </c>
      <c r="I3588" s="545">
        <v>4.333333333333333</v>
      </c>
      <c r="J3588" s="545">
        <v>3.6785714285714284</v>
      </c>
    </row>
    <row r="3589" spans="1:10">
      <c r="A3589" s="441">
        <v>2583</v>
      </c>
      <c r="B3589" s="441" t="s">
        <v>3674</v>
      </c>
      <c r="C3589" s="545">
        <v>5.166666666666667</v>
      </c>
      <c r="D3589" s="545">
        <v>6.6666666666666661</v>
      </c>
      <c r="E3589" s="545">
        <v>3.666666666666667</v>
      </c>
      <c r="F3589" s="545">
        <v>5.1666666666666661</v>
      </c>
      <c r="G3589" s="545">
        <v>4.1500000000000004</v>
      </c>
      <c r="H3589" s="545">
        <v>2</v>
      </c>
      <c r="I3589" s="545">
        <v>5.666666666666667</v>
      </c>
      <c r="J3589" s="545">
        <v>4.0595238095238093</v>
      </c>
    </row>
    <row r="3590" spans="1:10">
      <c r="A3590" s="441">
        <v>2565</v>
      </c>
      <c r="B3590" s="441" t="s">
        <v>3675</v>
      </c>
      <c r="C3590" s="545">
        <v>24.333333333333332</v>
      </c>
      <c r="D3590" s="545">
        <v>19.666666666666664</v>
      </c>
      <c r="E3590" s="545">
        <v>16.666666666666668</v>
      </c>
      <c r="F3590" s="545">
        <v>22.571428571428566</v>
      </c>
      <c r="G3590" s="545">
        <v>21.8</v>
      </c>
      <c r="H3590" s="545">
        <v>12.333333333333334</v>
      </c>
      <c r="I3590" s="545">
        <v>20</v>
      </c>
      <c r="J3590" s="545">
        <v>20.190476190476186</v>
      </c>
    </row>
    <row r="3591" spans="1:10">
      <c r="A3591" s="441">
        <v>2566</v>
      </c>
      <c r="B3591" s="441" t="s">
        <v>3676</v>
      </c>
      <c r="C3591" s="545">
        <v>10.833333333333334</v>
      </c>
      <c r="D3591" s="545">
        <v>7.333333333333333</v>
      </c>
      <c r="E3591" s="545">
        <v>6</v>
      </c>
      <c r="F3591" s="545">
        <v>9.6428571428571423</v>
      </c>
      <c r="G3591" s="545">
        <v>38</v>
      </c>
      <c r="H3591" s="545">
        <v>29</v>
      </c>
      <c r="I3591" s="545">
        <v>19.666666666666668</v>
      </c>
      <c r="J3591" s="545">
        <v>34.095238095238095</v>
      </c>
    </row>
    <row r="3592" spans="1:10">
      <c r="A3592" s="441">
        <v>2584</v>
      </c>
      <c r="B3592" s="441" t="s">
        <v>3676</v>
      </c>
      <c r="C3592" s="545">
        <v>12.666666666666666</v>
      </c>
      <c r="D3592" s="545">
        <v>6.3333333333333339</v>
      </c>
      <c r="E3592" s="545">
        <v>5</v>
      </c>
      <c r="F3592" s="545">
        <v>10.666666666666666</v>
      </c>
      <c r="G3592" s="545">
        <v>35.450000000000003</v>
      </c>
      <c r="H3592" s="545">
        <v>25.333333333333332</v>
      </c>
      <c r="I3592" s="545">
        <v>21.333333333333332</v>
      </c>
      <c r="J3592" s="545">
        <v>31.988095238095241</v>
      </c>
    </row>
    <row r="3593" spans="1:10">
      <c r="A3593" s="441">
        <v>2585</v>
      </c>
      <c r="B3593" s="441" t="s">
        <v>3677</v>
      </c>
      <c r="C3593" s="545">
        <v>17.166666666666668</v>
      </c>
      <c r="D3593" s="545">
        <v>16.666666666666664</v>
      </c>
      <c r="E3593" s="545">
        <v>6</v>
      </c>
      <c r="F3593" s="545">
        <v>15.5</v>
      </c>
      <c r="G3593" s="545">
        <v>14.85</v>
      </c>
      <c r="H3593" s="545">
        <v>12.666666666666666</v>
      </c>
      <c r="I3593" s="545">
        <v>10.666666666666666</v>
      </c>
      <c r="J3593" s="545">
        <v>13.940476190476192</v>
      </c>
    </row>
    <row r="3594" spans="1:10">
      <c r="A3594" s="441">
        <v>2575</v>
      </c>
      <c r="B3594" s="441" t="s">
        <v>3678</v>
      </c>
      <c r="C3594" s="545">
        <v>12.666666666666668</v>
      </c>
      <c r="D3594" s="545">
        <v>3</v>
      </c>
      <c r="E3594" s="545">
        <v>4.666666666666667</v>
      </c>
      <c r="F3594" s="545">
        <v>10.142857142857144</v>
      </c>
      <c r="G3594" s="545">
        <v>5.75</v>
      </c>
      <c r="H3594" s="545">
        <v>6.666666666666667</v>
      </c>
      <c r="I3594" s="545">
        <v>21.666666666666668</v>
      </c>
      <c r="J3594" s="545">
        <v>8.1547619047619033</v>
      </c>
    </row>
    <row r="3595" spans="1:10">
      <c r="A3595" s="441">
        <v>2576</v>
      </c>
      <c r="B3595" s="441" t="s">
        <v>3678</v>
      </c>
      <c r="C3595" s="545">
        <v>9.3333333333333321</v>
      </c>
      <c r="D3595" s="545">
        <v>1.3333333333333333</v>
      </c>
      <c r="E3595" s="545">
        <v>1.3333333333333333</v>
      </c>
      <c r="F3595" s="545">
        <v>7.0476190476190466</v>
      </c>
      <c r="G3595" s="545">
        <v>2.65</v>
      </c>
      <c r="H3595" s="545">
        <v>0.33333333333333331</v>
      </c>
      <c r="I3595" s="545">
        <v>1</v>
      </c>
      <c r="J3595" s="545">
        <v>2.0833333333333335</v>
      </c>
    </row>
    <row r="3596" spans="1:10">
      <c r="A3596" s="441">
        <v>1438</v>
      </c>
      <c r="B3596" s="441" t="s">
        <v>3679</v>
      </c>
      <c r="C3596" s="545">
        <v>1.3333333333333335</v>
      </c>
      <c r="D3596" s="545">
        <v>6.3333333333333339</v>
      </c>
      <c r="E3596" s="545">
        <v>0.33333333333333331</v>
      </c>
      <c r="F3596" s="545">
        <v>1.9047619047619051</v>
      </c>
      <c r="G3596" s="545">
        <v>2.6</v>
      </c>
      <c r="H3596" s="545">
        <v>1.3333333333333333</v>
      </c>
      <c r="I3596" s="545">
        <v>1.6666666666666667</v>
      </c>
      <c r="J3596" s="545">
        <v>2.2857142857142856</v>
      </c>
    </row>
    <row r="3597" spans="1:10">
      <c r="A3597" s="441">
        <v>1445</v>
      </c>
      <c r="B3597" s="441" t="s">
        <v>3679</v>
      </c>
      <c r="C3597" s="545">
        <v>1.1666666666666665</v>
      </c>
      <c r="D3597" s="545">
        <v>2</v>
      </c>
      <c r="E3597" s="545">
        <v>1.6666666666666665</v>
      </c>
      <c r="F3597" s="545">
        <v>1.357142857142857</v>
      </c>
      <c r="G3597" s="545">
        <v>2.65</v>
      </c>
      <c r="H3597" s="545">
        <v>2</v>
      </c>
      <c r="I3597" s="545">
        <v>2.3333333333333335</v>
      </c>
      <c r="J3597" s="545">
        <v>2.5119047619047619</v>
      </c>
    </row>
    <row r="3598" spans="1:10">
      <c r="A3598" s="441">
        <v>2574</v>
      </c>
      <c r="B3598" s="441" t="s">
        <v>3680</v>
      </c>
      <c r="C3598" s="545">
        <v>11.5</v>
      </c>
      <c r="D3598" s="545">
        <v>6</v>
      </c>
      <c r="E3598" s="545">
        <v>4.666666666666667</v>
      </c>
      <c r="F3598" s="545">
        <v>9.738095238095239</v>
      </c>
      <c r="G3598" s="545">
        <v>5.65</v>
      </c>
      <c r="H3598" s="545">
        <v>15.666666666666666</v>
      </c>
      <c r="I3598" s="545">
        <v>4.666666666666667</v>
      </c>
      <c r="J3598" s="545">
        <v>6.9404761904761898</v>
      </c>
    </row>
    <row r="3599" spans="1:10">
      <c r="A3599" s="441">
        <v>2577</v>
      </c>
      <c r="B3599" s="441" t="s">
        <v>3680</v>
      </c>
      <c r="C3599" s="545">
        <v>19.666666666666668</v>
      </c>
      <c r="D3599" s="545">
        <v>10.666666666666668</v>
      </c>
      <c r="E3599" s="545">
        <v>6</v>
      </c>
      <c r="F3599" s="545">
        <v>16.428571428571431</v>
      </c>
      <c r="G3599" s="545">
        <v>13.7</v>
      </c>
      <c r="H3599" s="545">
        <v>7</v>
      </c>
      <c r="I3599" s="545">
        <v>6.666666666666667</v>
      </c>
      <c r="J3599" s="545">
        <v>11.738095238095239</v>
      </c>
    </row>
    <row r="3600" spans="1:10">
      <c r="A3600" s="441">
        <v>2941</v>
      </c>
      <c r="B3600" s="441" t="s">
        <v>3681</v>
      </c>
      <c r="C3600" s="545">
        <v>2.1666666666666665</v>
      </c>
      <c r="D3600" s="545">
        <v>1.3333333333333333</v>
      </c>
      <c r="E3600" s="545">
        <v>0</v>
      </c>
      <c r="F3600" s="545">
        <v>1.7380952380952379</v>
      </c>
      <c r="G3600" s="545">
        <v>5.8</v>
      </c>
      <c r="H3600" s="545">
        <v>1.6666666666666667</v>
      </c>
      <c r="I3600" s="545">
        <v>0.33333333333333331</v>
      </c>
      <c r="J3600" s="545">
        <v>4.4285714285714288</v>
      </c>
    </row>
    <row r="3601" spans="1:10">
      <c r="A3601" s="441">
        <v>2018</v>
      </c>
      <c r="B3601" s="441" t="s">
        <v>3682</v>
      </c>
      <c r="C3601" s="545">
        <v>4.3333333333333339</v>
      </c>
      <c r="D3601" s="545">
        <v>0.66666666666666663</v>
      </c>
      <c r="E3601" s="545">
        <v>1.6666666666666665</v>
      </c>
      <c r="F3601" s="545">
        <v>3.4285714285714297</v>
      </c>
      <c r="G3601" s="545">
        <v>3.5</v>
      </c>
      <c r="H3601" s="545">
        <v>1.6666666666666667</v>
      </c>
      <c r="I3601" s="545">
        <v>3.6666666666666665</v>
      </c>
      <c r="J3601" s="545">
        <v>3.2619047619047623</v>
      </c>
    </row>
    <row r="3602" spans="1:10">
      <c r="A3602" s="441">
        <v>2046</v>
      </c>
      <c r="B3602" s="441" t="s">
        <v>3682</v>
      </c>
      <c r="C3602" s="545">
        <v>3</v>
      </c>
      <c r="D3602" s="545">
        <v>1.3333333333333333</v>
      </c>
      <c r="E3602" s="545">
        <v>1.6666666666666665</v>
      </c>
      <c r="F3602" s="545">
        <v>2.5714285714285716</v>
      </c>
      <c r="G3602" s="545">
        <v>1.3</v>
      </c>
      <c r="H3602" s="545">
        <v>0.33333333333333331</v>
      </c>
      <c r="I3602" s="545">
        <v>1.6666666666666667</v>
      </c>
      <c r="J3602" s="545">
        <v>1.2142857142857142</v>
      </c>
    </row>
    <row r="3603" spans="1:10">
      <c r="A3603" s="441">
        <v>2019</v>
      </c>
      <c r="B3603" s="441" t="s">
        <v>3683</v>
      </c>
      <c r="C3603" s="545">
        <v>13.333333333333334</v>
      </c>
      <c r="D3603" s="545">
        <v>4</v>
      </c>
      <c r="E3603" s="545">
        <v>6.6666666666666661</v>
      </c>
      <c r="F3603" s="545">
        <v>11.047619047619049</v>
      </c>
      <c r="G3603" s="545">
        <v>7.35</v>
      </c>
      <c r="H3603" s="545">
        <v>9.3333333333333339</v>
      </c>
      <c r="I3603" s="545">
        <v>2.6666666666666665</v>
      </c>
      <c r="J3603" s="545">
        <v>6.9642857142857144</v>
      </c>
    </row>
    <row r="3604" spans="1:10">
      <c r="A3604" s="441">
        <v>2045</v>
      </c>
      <c r="B3604" s="441" t="s">
        <v>3683</v>
      </c>
      <c r="C3604" s="545">
        <v>10.333333333333334</v>
      </c>
      <c r="D3604" s="545">
        <v>2.333333333333333</v>
      </c>
      <c r="E3604" s="545">
        <v>3.333333333333333</v>
      </c>
      <c r="F3604" s="545">
        <v>8.1904761904761916</v>
      </c>
      <c r="G3604" s="545">
        <v>7.4</v>
      </c>
      <c r="H3604" s="545">
        <v>5.666666666666667</v>
      </c>
      <c r="I3604" s="545">
        <v>5</v>
      </c>
      <c r="J3604" s="545">
        <v>6.8095238095238093</v>
      </c>
    </row>
    <row r="3605" spans="1:10">
      <c r="A3605" s="441">
        <v>2563</v>
      </c>
      <c r="B3605" s="441" t="s">
        <v>3684</v>
      </c>
      <c r="C3605" s="545">
        <v>13.5</v>
      </c>
      <c r="D3605" s="545">
        <v>8</v>
      </c>
      <c r="E3605" s="545">
        <v>9</v>
      </c>
      <c r="F3605" s="545">
        <v>12.071428571428571</v>
      </c>
      <c r="G3605" s="545">
        <v>14.55</v>
      </c>
      <c r="H3605" s="545">
        <v>11.666666666666666</v>
      </c>
      <c r="I3605" s="545">
        <v>16</v>
      </c>
      <c r="J3605" s="545">
        <v>14.345238095238097</v>
      </c>
    </row>
    <row r="3606" spans="1:10">
      <c r="A3606" s="441">
        <v>2020</v>
      </c>
      <c r="B3606" s="441" t="s">
        <v>3685</v>
      </c>
      <c r="C3606" s="545">
        <v>25</v>
      </c>
      <c r="D3606" s="545">
        <v>9</v>
      </c>
      <c r="E3606" s="545">
        <v>13.333333333333334</v>
      </c>
      <c r="F3606" s="545">
        <v>21.047619047619047</v>
      </c>
      <c r="G3606" s="545">
        <v>8.3000000000000007</v>
      </c>
      <c r="H3606" s="545">
        <v>13.333333333333334</v>
      </c>
      <c r="I3606" s="545">
        <v>6.333333333333333</v>
      </c>
      <c r="J3606" s="545">
        <v>8.738095238095239</v>
      </c>
    </row>
    <row r="3607" spans="1:10">
      <c r="A3607" s="441">
        <v>2044</v>
      </c>
      <c r="B3607" s="441" t="s">
        <v>3685</v>
      </c>
      <c r="C3607" s="545">
        <v>12</v>
      </c>
      <c r="D3607" s="545">
        <v>10</v>
      </c>
      <c r="E3607" s="545">
        <v>9.6666666666666661</v>
      </c>
      <c r="F3607" s="545">
        <v>11.380952380952381</v>
      </c>
      <c r="G3607" s="545">
        <v>11.2</v>
      </c>
      <c r="H3607" s="545">
        <v>10.666666666666666</v>
      </c>
      <c r="I3607" s="545">
        <v>8.6666666666666661</v>
      </c>
      <c r="J3607" s="545">
        <v>10.761904761904763</v>
      </c>
    </row>
    <row r="3608" spans="1:10">
      <c r="A3608" s="441">
        <v>2564</v>
      </c>
      <c r="B3608" s="441" t="s">
        <v>3686</v>
      </c>
      <c r="C3608" s="545">
        <v>7</v>
      </c>
      <c r="D3608" s="545">
        <v>4.666666666666667</v>
      </c>
      <c r="E3608" s="545">
        <v>2</v>
      </c>
      <c r="F3608" s="545">
        <v>5.9523809523809517</v>
      </c>
      <c r="G3608" s="545">
        <v>3.95</v>
      </c>
      <c r="H3608" s="545">
        <v>0.66666666666666663</v>
      </c>
      <c r="I3608" s="545">
        <v>1.3333333333333333</v>
      </c>
      <c r="J3608" s="545">
        <v>3.1071428571428572</v>
      </c>
    </row>
    <row r="3609" spans="1:10">
      <c r="A3609" s="441">
        <v>2586</v>
      </c>
      <c r="B3609" s="441" t="s">
        <v>3687</v>
      </c>
      <c r="C3609" s="545">
        <v>12</v>
      </c>
      <c r="D3609" s="545">
        <v>6.666666666666667</v>
      </c>
      <c r="E3609" s="545">
        <v>5.3333333333333339</v>
      </c>
      <c r="F3609" s="545">
        <v>10.285714285714286</v>
      </c>
      <c r="G3609" s="545">
        <v>8.25</v>
      </c>
      <c r="H3609" s="545">
        <v>6.333333333333333</v>
      </c>
      <c r="I3609" s="545">
        <v>2.3333333333333335</v>
      </c>
      <c r="J3609" s="545">
        <v>7.1309523809523814</v>
      </c>
    </row>
    <row r="3610" spans="1:10">
      <c r="A3610" s="441">
        <v>2587</v>
      </c>
      <c r="B3610" s="441" t="s">
        <v>3688</v>
      </c>
      <c r="C3610" s="545">
        <v>20.833333333333332</v>
      </c>
      <c r="D3610" s="545">
        <v>12.333333333333334</v>
      </c>
      <c r="E3610" s="545">
        <v>14.333333333333332</v>
      </c>
      <c r="F3610" s="545">
        <v>18.690476190476186</v>
      </c>
      <c r="G3610" s="545">
        <v>17.350000000000001</v>
      </c>
      <c r="H3610" s="545">
        <v>15.666666666666666</v>
      </c>
      <c r="I3610" s="545">
        <v>16.666666666666668</v>
      </c>
      <c r="J3610" s="545">
        <v>17.011904761904763</v>
      </c>
    </row>
    <row r="3611" spans="1:10">
      <c r="A3611" s="441">
        <v>13045</v>
      </c>
      <c r="B3611" s="441" t="s">
        <v>3689</v>
      </c>
      <c r="C3611" s="545">
        <v>16.833333333333336</v>
      </c>
      <c r="D3611" s="545">
        <v>10.666666666666666</v>
      </c>
      <c r="E3611" s="545">
        <v>7.6666666666666661</v>
      </c>
      <c r="F3611" s="545">
        <v>14.642857142857148</v>
      </c>
      <c r="G3611" s="545">
        <v>13.25</v>
      </c>
      <c r="H3611" s="545">
        <v>9</v>
      </c>
      <c r="I3611" s="545">
        <v>14.666666666666666</v>
      </c>
      <c r="J3611" s="545">
        <v>12.845238095238097</v>
      </c>
    </row>
    <row r="3612" spans="1:10">
      <c r="A3612" s="441">
        <v>13046</v>
      </c>
      <c r="B3612" s="441" t="s">
        <v>3689</v>
      </c>
      <c r="C3612" s="545">
        <v>8.5</v>
      </c>
      <c r="D3612" s="545">
        <v>11</v>
      </c>
      <c r="E3612" s="545">
        <v>8.3333333333333339</v>
      </c>
      <c r="F3612" s="545">
        <v>8.8333333333333339</v>
      </c>
      <c r="G3612" s="545">
        <v>9.8000000000000007</v>
      </c>
      <c r="H3612" s="545">
        <v>8</v>
      </c>
      <c r="I3612" s="545">
        <v>10.333333333333334</v>
      </c>
      <c r="J3612" s="545">
        <v>9.6190476190476186</v>
      </c>
    </row>
    <row r="3613" spans="1:10">
      <c r="A3613" s="441">
        <v>10567</v>
      </c>
      <c r="B3613" s="441" t="s">
        <v>3690</v>
      </c>
      <c r="C3613" s="545">
        <v>1840.3333333333335</v>
      </c>
      <c r="D3613" s="545">
        <v>1214</v>
      </c>
      <c r="E3613" s="545">
        <v>885.66666666666663</v>
      </c>
      <c r="F3613" s="545">
        <v>1614.4761904761906</v>
      </c>
      <c r="G3613" s="545">
        <v>1506.3</v>
      </c>
      <c r="H3613" s="545">
        <v>1156.6666666666667</v>
      </c>
      <c r="I3613" s="545">
        <v>905</v>
      </c>
      <c r="J3613" s="545">
        <v>1370.452380952381</v>
      </c>
    </row>
    <row r="3614" spans="1:10">
      <c r="A3614" s="441">
        <v>3219</v>
      </c>
      <c r="B3614" s="441" t="s">
        <v>3691</v>
      </c>
      <c r="C3614" s="545">
        <v>9.8333333333333339</v>
      </c>
      <c r="D3614" s="545">
        <v>9.6666666666666679</v>
      </c>
      <c r="E3614" s="545">
        <v>9.6666666666666661</v>
      </c>
      <c r="F3614" s="545">
        <v>9.7857142857142883</v>
      </c>
      <c r="G3614" s="545">
        <v>9</v>
      </c>
      <c r="H3614" s="545">
        <v>6.666666666666667</v>
      </c>
      <c r="I3614" s="545">
        <v>7.666666666666667</v>
      </c>
      <c r="J3614" s="545">
        <v>8.4761904761904763</v>
      </c>
    </row>
    <row r="3615" spans="1:10">
      <c r="A3615" s="441">
        <v>3225</v>
      </c>
      <c r="B3615" s="441" t="s">
        <v>3691</v>
      </c>
      <c r="C3615" s="545">
        <v>13.5</v>
      </c>
      <c r="D3615" s="545">
        <v>11.666666666666668</v>
      </c>
      <c r="E3615" s="545">
        <v>8.3333333333333321</v>
      </c>
      <c r="F3615" s="545">
        <v>12.5</v>
      </c>
      <c r="G3615" s="545">
        <v>9.5</v>
      </c>
      <c r="H3615" s="545">
        <v>6.333333333333333</v>
      </c>
      <c r="I3615" s="545">
        <v>7</v>
      </c>
      <c r="J3615" s="545">
        <v>8.6904761904761916</v>
      </c>
    </row>
    <row r="3616" spans="1:10">
      <c r="A3616" s="441">
        <v>3220</v>
      </c>
      <c r="B3616" s="441" t="s">
        <v>3692</v>
      </c>
      <c r="C3616" s="545">
        <v>19</v>
      </c>
      <c r="D3616" s="545">
        <v>18.333333333333332</v>
      </c>
      <c r="E3616" s="545">
        <v>12.666666666666668</v>
      </c>
      <c r="F3616" s="545">
        <v>18</v>
      </c>
      <c r="G3616" s="545">
        <v>18.45</v>
      </c>
      <c r="H3616" s="545">
        <v>12</v>
      </c>
      <c r="I3616" s="545">
        <v>10.666666666666666</v>
      </c>
      <c r="J3616" s="545">
        <v>16.416666666666668</v>
      </c>
    </row>
    <row r="3617" spans="1:10">
      <c r="A3617" s="441">
        <v>3218</v>
      </c>
      <c r="B3617" s="441" t="s">
        <v>3693</v>
      </c>
      <c r="C3617" s="545">
        <v>38.333333333333329</v>
      </c>
      <c r="D3617" s="545">
        <v>31</v>
      </c>
      <c r="E3617" s="545">
        <v>20.333333333333336</v>
      </c>
      <c r="F3617" s="545">
        <v>34.714285714285708</v>
      </c>
      <c r="G3617" s="545">
        <v>19.05</v>
      </c>
      <c r="H3617" s="545">
        <v>20</v>
      </c>
      <c r="I3617" s="545">
        <v>19.666666666666668</v>
      </c>
      <c r="J3617" s="545">
        <v>19.273809523809522</v>
      </c>
    </row>
    <row r="3618" spans="1:10">
      <c r="A3618" s="441">
        <v>3227</v>
      </c>
      <c r="B3618" s="441" t="s">
        <v>3693</v>
      </c>
      <c r="C3618" s="545">
        <v>25.833333333333336</v>
      </c>
      <c r="D3618" s="545">
        <v>24</v>
      </c>
      <c r="E3618" s="545">
        <v>27.666666666666664</v>
      </c>
      <c r="F3618" s="545">
        <v>25.833333333333336</v>
      </c>
      <c r="G3618" s="545">
        <v>10.9</v>
      </c>
      <c r="H3618" s="545">
        <v>12</v>
      </c>
      <c r="I3618" s="545">
        <v>13.666666666666666</v>
      </c>
      <c r="J3618" s="545">
        <v>11.452380952380953</v>
      </c>
    </row>
    <row r="3619" spans="1:10">
      <c r="A3619" s="441">
        <v>3226</v>
      </c>
      <c r="B3619" s="441" t="s">
        <v>3694</v>
      </c>
      <c r="C3619" s="545">
        <v>5.166666666666667</v>
      </c>
      <c r="D3619" s="545">
        <v>5</v>
      </c>
      <c r="E3619" s="545">
        <v>6</v>
      </c>
      <c r="F3619" s="545">
        <v>5.2619047619047619</v>
      </c>
      <c r="G3619" s="545">
        <v>12.35</v>
      </c>
      <c r="H3619" s="545">
        <v>4.333333333333333</v>
      </c>
      <c r="I3619" s="545">
        <v>1.6666666666666667</v>
      </c>
      <c r="J3619" s="545">
        <v>9.6785714285714288</v>
      </c>
    </row>
    <row r="3620" spans="1:10">
      <c r="A3620" s="441">
        <v>3217</v>
      </c>
      <c r="B3620" s="441" t="s">
        <v>3695</v>
      </c>
      <c r="C3620" s="545">
        <v>9.3333333333333339</v>
      </c>
      <c r="D3620" s="545">
        <v>3</v>
      </c>
      <c r="E3620" s="545">
        <v>10.333333333333332</v>
      </c>
      <c r="F3620" s="545">
        <v>8.5714285714285712</v>
      </c>
      <c r="G3620" s="545">
        <v>7.35</v>
      </c>
      <c r="H3620" s="545">
        <v>5.333333333333333</v>
      </c>
      <c r="I3620" s="545">
        <v>6</v>
      </c>
      <c r="J3620" s="545">
        <v>6.8690476190476195</v>
      </c>
    </row>
    <row r="3621" spans="1:10">
      <c r="A3621" s="441">
        <v>3228</v>
      </c>
      <c r="B3621" s="441" t="s">
        <v>3695</v>
      </c>
      <c r="C3621" s="545">
        <v>16.166666666666668</v>
      </c>
      <c r="D3621" s="545">
        <v>5.3333333333333339</v>
      </c>
      <c r="E3621" s="545">
        <v>11.333333333333334</v>
      </c>
      <c r="F3621" s="545">
        <v>13.928571428571429</v>
      </c>
      <c r="G3621" s="545">
        <v>10.4</v>
      </c>
      <c r="H3621" s="545">
        <v>3.6666666666666665</v>
      </c>
      <c r="I3621" s="545">
        <v>5.333333333333333</v>
      </c>
      <c r="J3621" s="545">
        <v>8.7142857142857135</v>
      </c>
    </row>
    <row r="3622" spans="1:10">
      <c r="A3622" s="441">
        <v>9625</v>
      </c>
      <c r="B3622" s="441" t="s">
        <v>3696</v>
      </c>
      <c r="C3622" s="545">
        <v>4.666666666666667</v>
      </c>
      <c r="D3622" s="545">
        <v>2.333333333333333</v>
      </c>
      <c r="E3622" s="545">
        <v>0.66666666666666663</v>
      </c>
      <c r="F3622" s="545">
        <v>3.7619047619047623</v>
      </c>
      <c r="G3622" s="545">
        <v>1.65</v>
      </c>
      <c r="H3622" s="545">
        <v>0.33333333333333331</v>
      </c>
      <c r="I3622" s="545">
        <v>0</v>
      </c>
      <c r="J3622" s="545">
        <v>1.2261904761904763</v>
      </c>
    </row>
    <row r="3623" spans="1:10">
      <c r="A3623" s="441">
        <v>9634</v>
      </c>
      <c r="B3623" s="441" t="s">
        <v>3696</v>
      </c>
      <c r="C3623" s="545">
        <v>7.8333333333333339</v>
      </c>
      <c r="D3623" s="545">
        <v>4.666666666666667</v>
      </c>
      <c r="E3623" s="545">
        <v>3.3333333333333335</v>
      </c>
      <c r="F3623" s="545">
        <v>6.738095238095239</v>
      </c>
      <c r="G3623" s="545">
        <v>1.1000000000000001</v>
      </c>
      <c r="H3623" s="545">
        <v>1.3333333333333333</v>
      </c>
      <c r="I3623" s="545">
        <v>0.66666666666666663</v>
      </c>
      <c r="J3623" s="545">
        <v>1.0714285714285714</v>
      </c>
    </row>
    <row r="3624" spans="1:10">
      <c r="A3624" s="441">
        <v>9842</v>
      </c>
      <c r="B3624" s="441" t="s">
        <v>3697</v>
      </c>
      <c r="C3624" s="545">
        <v>30.166666666666664</v>
      </c>
      <c r="D3624" s="545">
        <v>10.666666666666666</v>
      </c>
      <c r="E3624" s="545">
        <v>6</v>
      </c>
      <c r="F3624" s="545">
        <v>23.928571428571423</v>
      </c>
      <c r="G3624" s="545">
        <v>21.95</v>
      </c>
      <c r="H3624" s="545">
        <v>7.666666666666667</v>
      </c>
      <c r="I3624" s="545">
        <v>8.3333333333333339</v>
      </c>
      <c r="J3624" s="545">
        <v>17.964285714285715</v>
      </c>
    </row>
    <row r="3625" spans="1:10">
      <c r="A3625" s="441">
        <v>9847</v>
      </c>
      <c r="B3625" s="441" t="s">
        <v>3697</v>
      </c>
      <c r="C3625" s="545">
        <v>26.833333333333332</v>
      </c>
      <c r="D3625" s="545">
        <v>6.6666666666666661</v>
      </c>
      <c r="E3625" s="545">
        <v>6.3333333333333339</v>
      </c>
      <c r="F3625" s="545">
        <v>21.023809523809522</v>
      </c>
      <c r="G3625" s="545">
        <v>24.25</v>
      </c>
      <c r="H3625" s="545">
        <v>9</v>
      </c>
      <c r="I3625" s="545">
        <v>5.333333333333333</v>
      </c>
      <c r="J3625" s="545">
        <v>19.36904761904762</v>
      </c>
    </row>
    <row r="3626" spans="1:10">
      <c r="A3626" s="441">
        <v>9629</v>
      </c>
      <c r="B3626" s="441" t="s">
        <v>3698</v>
      </c>
      <c r="C3626" s="545">
        <v>4</v>
      </c>
      <c r="D3626" s="545">
        <v>2</v>
      </c>
      <c r="E3626" s="545">
        <v>0</v>
      </c>
      <c r="F3626" s="545">
        <v>3.1428571428571428</v>
      </c>
      <c r="G3626" s="545">
        <v>0.2</v>
      </c>
      <c r="H3626" s="545">
        <v>0</v>
      </c>
      <c r="I3626" s="545">
        <v>0</v>
      </c>
      <c r="J3626" s="545">
        <v>0.14285714285714285</v>
      </c>
    </row>
    <row r="3627" spans="1:10">
      <c r="A3627" s="441">
        <v>9631</v>
      </c>
      <c r="B3627" s="441" t="s">
        <v>3698</v>
      </c>
      <c r="C3627" s="545">
        <v>10.5</v>
      </c>
      <c r="D3627" s="545">
        <v>2</v>
      </c>
      <c r="E3627" s="545">
        <v>2</v>
      </c>
      <c r="F3627" s="545">
        <v>8.0714285714285712</v>
      </c>
      <c r="G3627" s="545">
        <v>1</v>
      </c>
      <c r="H3627" s="545">
        <v>1.3333333333333333</v>
      </c>
      <c r="I3627" s="545">
        <v>3</v>
      </c>
      <c r="J3627" s="545">
        <v>1.3333333333333333</v>
      </c>
    </row>
    <row r="3628" spans="1:10">
      <c r="A3628" s="441">
        <v>5455</v>
      </c>
      <c r="B3628" s="441" t="s">
        <v>3699</v>
      </c>
      <c r="C3628" s="545">
        <v>27.166666666666664</v>
      </c>
      <c r="D3628" s="545">
        <v>19</v>
      </c>
      <c r="E3628" s="545">
        <v>16.333333333333332</v>
      </c>
      <c r="F3628" s="545">
        <v>24.452380952380953</v>
      </c>
      <c r="G3628" s="545">
        <v>8.9</v>
      </c>
      <c r="H3628" s="545">
        <v>12.666666666666666</v>
      </c>
      <c r="I3628" s="545">
        <v>5.333333333333333</v>
      </c>
      <c r="J3628" s="545">
        <v>8.9285714285714288</v>
      </c>
    </row>
    <row r="3629" spans="1:10">
      <c r="A3629" s="441">
        <v>11527</v>
      </c>
      <c r="B3629" s="441" t="s">
        <v>3700</v>
      </c>
      <c r="C3629" s="545">
        <v>48.833333333333329</v>
      </c>
      <c r="D3629" s="545">
        <v>33</v>
      </c>
      <c r="E3629" s="545">
        <v>30.333333333333332</v>
      </c>
      <c r="F3629" s="545">
        <v>43.928571428571423</v>
      </c>
      <c r="G3629" s="545">
        <v>34.15</v>
      </c>
      <c r="H3629" s="545">
        <v>21.333333333333332</v>
      </c>
      <c r="I3629" s="545">
        <v>17</v>
      </c>
      <c r="J3629" s="545">
        <v>29.86904761904762</v>
      </c>
    </row>
    <row r="3630" spans="1:10">
      <c r="A3630" s="441">
        <v>9621</v>
      </c>
      <c r="B3630" s="441" t="s">
        <v>3701</v>
      </c>
      <c r="C3630" s="545">
        <v>7</v>
      </c>
      <c r="D3630" s="545">
        <v>0.33333333333333331</v>
      </c>
      <c r="E3630" s="545">
        <v>0.33333333333333331</v>
      </c>
      <c r="F3630" s="545">
        <v>5.0952380952380958</v>
      </c>
      <c r="G3630" s="545">
        <v>2</v>
      </c>
      <c r="H3630" s="545">
        <v>0</v>
      </c>
      <c r="I3630" s="545">
        <v>0</v>
      </c>
      <c r="J3630" s="545">
        <v>1.4285714285714286</v>
      </c>
    </row>
    <row r="3631" spans="1:10">
      <c r="A3631" s="441">
        <v>9638</v>
      </c>
      <c r="B3631" s="441" t="s">
        <v>3701</v>
      </c>
      <c r="C3631" s="545">
        <v>40.666666666666671</v>
      </c>
      <c r="D3631" s="545">
        <v>0</v>
      </c>
      <c r="E3631" s="545">
        <v>0.33333333333333331</v>
      </c>
      <c r="F3631" s="545">
        <v>29.095238095238102</v>
      </c>
      <c r="G3631" s="545">
        <v>6.4</v>
      </c>
      <c r="H3631" s="545">
        <v>0.66666666666666663</v>
      </c>
      <c r="I3631" s="545">
        <v>0.33333333333333331</v>
      </c>
      <c r="J3631" s="545">
        <v>4.7142857142857144</v>
      </c>
    </row>
    <row r="3632" spans="1:10">
      <c r="A3632" s="441">
        <v>9841</v>
      </c>
      <c r="B3632" s="441" t="s">
        <v>3702</v>
      </c>
      <c r="C3632" s="545">
        <v>56.833333333333336</v>
      </c>
      <c r="D3632" s="545">
        <v>25</v>
      </c>
      <c r="E3632" s="545">
        <v>14.333333333333332</v>
      </c>
      <c r="F3632" s="545">
        <v>46.214285714285715</v>
      </c>
      <c r="G3632" s="545">
        <v>39.5</v>
      </c>
      <c r="H3632" s="545">
        <v>15.333333333333334</v>
      </c>
      <c r="I3632" s="545">
        <v>8.3333333333333339</v>
      </c>
      <c r="J3632" s="545">
        <v>31.595238095238098</v>
      </c>
    </row>
    <row r="3633" spans="1:10">
      <c r="A3633" s="441">
        <v>9848</v>
      </c>
      <c r="B3633" s="441" t="s">
        <v>3702</v>
      </c>
      <c r="C3633" s="545">
        <v>68.5</v>
      </c>
      <c r="D3633" s="545">
        <v>21</v>
      </c>
      <c r="E3633" s="545">
        <v>17.666666666666668</v>
      </c>
      <c r="F3633" s="545">
        <v>54.452380952380956</v>
      </c>
      <c r="G3633" s="545">
        <v>35.200000000000003</v>
      </c>
      <c r="H3633" s="545">
        <v>12.333333333333334</v>
      </c>
      <c r="I3633" s="545">
        <v>6</v>
      </c>
      <c r="J3633" s="545">
        <v>27.761904761904763</v>
      </c>
    </row>
    <row r="3634" spans="1:10">
      <c r="A3634" s="441">
        <v>9849</v>
      </c>
      <c r="B3634" s="441" t="s">
        <v>3703</v>
      </c>
      <c r="C3634" s="545">
        <v>47.666666666666671</v>
      </c>
      <c r="D3634" s="545">
        <v>25.333333333333336</v>
      </c>
      <c r="E3634" s="545">
        <v>35</v>
      </c>
      <c r="F3634" s="545">
        <v>42.666666666666671</v>
      </c>
      <c r="G3634" s="545">
        <v>14.45</v>
      </c>
      <c r="H3634" s="545">
        <v>9</v>
      </c>
      <c r="I3634" s="545">
        <v>9</v>
      </c>
      <c r="J3634" s="545">
        <v>12.892857142857142</v>
      </c>
    </row>
    <row r="3635" spans="1:10">
      <c r="A3635" s="441">
        <v>9623</v>
      </c>
      <c r="B3635" s="441" t="s">
        <v>3704</v>
      </c>
      <c r="C3635" s="545">
        <v>1</v>
      </c>
      <c r="D3635" s="545">
        <v>1</v>
      </c>
      <c r="E3635" s="545">
        <v>0.33333333333333331</v>
      </c>
      <c r="F3635" s="545">
        <v>0.90476190476190477</v>
      </c>
      <c r="G3635" s="545">
        <v>1.4</v>
      </c>
      <c r="H3635" s="545">
        <v>0.33333333333333331</v>
      </c>
      <c r="I3635" s="545">
        <v>1.6666666666666667</v>
      </c>
      <c r="J3635" s="545">
        <v>1.2857142857142858</v>
      </c>
    </row>
    <row r="3636" spans="1:10">
      <c r="A3636" s="441">
        <v>9636</v>
      </c>
      <c r="B3636" s="441" t="s">
        <v>3704</v>
      </c>
      <c r="C3636" s="545">
        <v>2</v>
      </c>
      <c r="D3636" s="545">
        <v>0.66666666666666663</v>
      </c>
      <c r="E3636" s="545">
        <v>0.66666666666666663</v>
      </c>
      <c r="F3636" s="545">
        <v>1.6190476190476188</v>
      </c>
      <c r="G3636" s="545">
        <v>0.7</v>
      </c>
      <c r="H3636" s="545">
        <v>0</v>
      </c>
      <c r="I3636" s="545">
        <v>0</v>
      </c>
      <c r="J3636" s="545">
        <v>0.5</v>
      </c>
    </row>
    <row r="3637" spans="1:10">
      <c r="A3637" s="441">
        <v>9632</v>
      </c>
      <c r="B3637" s="441" t="s">
        <v>3705</v>
      </c>
      <c r="C3637" s="545">
        <v>0.66666666666666663</v>
      </c>
      <c r="D3637" s="545">
        <v>0</v>
      </c>
      <c r="E3637" s="545">
        <v>0.33333333333333331</v>
      </c>
      <c r="F3637" s="545">
        <v>0.52380952380952384</v>
      </c>
      <c r="G3637" s="545">
        <v>0.05</v>
      </c>
      <c r="H3637" s="545">
        <v>0</v>
      </c>
      <c r="I3637" s="545">
        <v>0</v>
      </c>
      <c r="J3637" s="545">
        <v>3.5714285714285712E-2</v>
      </c>
    </row>
    <row r="3638" spans="1:10">
      <c r="A3638" s="441">
        <v>9590</v>
      </c>
      <c r="B3638" s="441" t="s">
        <v>3706</v>
      </c>
      <c r="C3638" s="545">
        <v>113.16666666666667</v>
      </c>
      <c r="D3638" s="545">
        <v>32.333333333333336</v>
      </c>
      <c r="E3638" s="545">
        <v>35.333333333333336</v>
      </c>
      <c r="F3638" s="545">
        <v>90.500000000000014</v>
      </c>
      <c r="G3638" s="545">
        <v>51</v>
      </c>
      <c r="H3638" s="545">
        <v>31.333333333333332</v>
      </c>
      <c r="I3638" s="545">
        <v>22</v>
      </c>
      <c r="J3638" s="545">
        <v>44.047619047619044</v>
      </c>
    </row>
    <row r="3639" spans="1:10">
      <c r="A3639" s="441">
        <v>9627</v>
      </c>
      <c r="B3639" s="441" t="s">
        <v>3707</v>
      </c>
      <c r="C3639" s="545">
        <v>2.833333333333333</v>
      </c>
      <c r="D3639" s="545">
        <v>0</v>
      </c>
      <c r="E3639" s="545">
        <v>0</v>
      </c>
      <c r="F3639" s="545">
        <v>2.0238095238095233</v>
      </c>
      <c r="G3639" s="545">
        <v>0.7</v>
      </c>
      <c r="H3639" s="545">
        <v>0.66666666666666663</v>
      </c>
      <c r="I3639" s="545">
        <v>1.3333333333333333</v>
      </c>
      <c r="J3639" s="545">
        <v>0.7857142857142857</v>
      </c>
    </row>
    <row r="3640" spans="1:10">
      <c r="A3640" s="441">
        <v>9628</v>
      </c>
      <c r="B3640" s="441" t="s">
        <v>3707</v>
      </c>
      <c r="C3640" s="545">
        <v>10.166666666666666</v>
      </c>
      <c r="D3640" s="545">
        <v>1.3333333333333333</v>
      </c>
      <c r="E3640" s="545">
        <v>2.6666666666666665</v>
      </c>
      <c r="F3640" s="545">
        <v>7.833333333333333</v>
      </c>
      <c r="G3640" s="545">
        <v>0.7</v>
      </c>
      <c r="H3640" s="545">
        <v>0.33333333333333331</v>
      </c>
      <c r="I3640" s="545">
        <v>1</v>
      </c>
      <c r="J3640" s="545">
        <v>0.69047619047619058</v>
      </c>
    </row>
    <row r="3641" spans="1:10">
      <c r="A3641" s="441">
        <v>5456</v>
      </c>
      <c r="B3641" s="441" t="s">
        <v>3708</v>
      </c>
      <c r="C3641" s="545">
        <v>45.833333333333329</v>
      </c>
      <c r="D3641" s="545">
        <v>39.666666666666671</v>
      </c>
      <c r="E3641" s="545">
        <v>30</v>
      </c>
      <c r="F3641" s="545">
        <v>42.69047619047619</v>
      </c>
      <c r="G3641" s="545">
        <v>110.75</v>
      </c>
      <c r="H3641" s="545">
        <v>94.333333333333329</v>
      </c>
      <c r="I3641" s="545">
        <v>60</v>
      </c>
      <c r="J3641" s="545">
        <v>101.15476190476191</v>
      </c>
    </row>
    <row r="3642" spans="1:10">
      <c r="A3642" s="441">
        <v>9588</v>
      </c>
      <c r="B3642" s="441" t="s">
        <v>3708</v>
      </c>
      <c r="C3642" s="545">
        <v>76</v>
      </c>
      <c r="D3642" s="545">
        <v>50.333333333333336</v>
      </c>
      <c r="E3642" s="545">
        <v>41.333333333333336</v>
      </c>
      <c r="F3642" s="545">
        <v>67.38095238095238</v>
      </c>
      <c r="G3642" s="545">
        <v>119.5</v>
      </c>
      <c r="H3642" s="545">
        <v>102</v>
      </c>
      <c r="I3642" s="545">
        <v>81</v>
      </c>
      <c r="J3642" s="545">
        <v>111.5</v>
      </c>
    </row>
    <row r="3643" spans="1:10">
      <c r="A3643" s="441">
        <v>11658</v>
      </c>
      <c r="B3643" s="441" t="s">
        <v>3709</v>
      </c>
      <c r="C3643" s="545">
        <v>108.5</v>
      </c>
      <c r="D3643" s="545">
        <v>51.333333333333329</v>
      </c>
      <c r="E3643" s="545">
        <v>29.333333333333332</v>
      </c>
      <c r="F3643" s="545">
        <v>89.023809523809533</v>
      </c>
      <c r="G3643" s="545">
        <v>52.25</v>
      </c>
      <c r="H3643" s="545">
        <v>19</v>
      </c>
      <c r="I3643" s="545">
        <v>11.333333333333334</v>
      </c>
      <c r="J3643" s="545">
        <v>41.654761904761905</v>
      </c>
    </row>
    <row r="3644" spans="1:10">
      <c r="A3644" s="441">
        <v>11659</v>
      </c>
      <c r="B3644" s="441" t="s">
        <v>3709</v>
      </c>
      <c r="C3644" s="545">
        <v>99.666666666666657</v>
      </c>
      <c r="D3644" s="545">
        <v>48.333333333333329</v>
      </c>
      <c r="E3644" s="545">
        <v>32.333333333333329</v>
      </c>
      <c r="F3644" s="545">
        <v>82.714285714285708</v>
      </c>
      <c r="G3644" s="545">
        <v>53.15</v>
      </c>
      <c r="H3644" s="545">
        <v>27.666666666666668</v>
      </c>
      <c r="I3644" s="545">
        <v>19.333333333333332</v>
      </c>
      <c r="J3644" s="545">
        <v>44.678571428571431</v>
      </c>
    </row>
    <row r="3645" spans="1:10">
      <c r="A3645" s="441">
        <v>9589</v>
      </c>
      <c r="B3645" s="441" t="s">
        <v>3710</v>
      </c>
      <c r="C3645" s="545">
        <v>35.5</v>
      </c>
      <c r="D3645" s="545">
        <v>14.333333333333332</v>
      </c>
      <c r="E3645" s="545">
        <v>12.333333333333334</v>
      </c>
      <c r="F3645" s="545">
        <v>29.166666666666668</v>
      </c>
      <c r="G3645" s="545">
        <v>21.55</v>
      </c>
      <c r="H3645" s="545">
        <v>21.666666666666668</v>
      </c>
      <c r="I3645" s="545">
        <v>15.333333333333334</v>
      </c>
      <c r="J3645" s="545">
        <v>20.678571428571427</v>
      </c>
    </row>
    <row r="3646" spans="1:10">
      <c r="A3646" s="441">
        <v>692</v>
      </c>
      <c r="B3646" s="441" t="s">
        <v>3711</v>
      </c>
      <c r="C3646" s="545">
        <v>11.5</v>
      </c>
      <c r="D3646" s="545">
        <v>4.3333333333333339</v>
      </c>
      <c r="E3646" s="545">
        <v>1.3333333333333333</v>
      </c>
      <c r="F3646" s="545">
        <v>9.0238095238095237</v>
      </c>
      <c r="G3646" s="545">
        <v>3.1</v>
      </c>
      <c r="H3646" s="545">
        <v>1.3333333333333333</v>
      </c>
      <c r="I3646" s="545">
        <v>1</v>
      </c>
      <c r="J3646" s="545">
        <v>2.5476190476190474</v>
      </c>
    </row>
    <row r="3647" spans="1:10">
      <c r="A3647" s="441">
        <v>5450</v>
      </c>
      <c r="B3647" s="441" t="s">
        <v>3711</v>
      </c>
      <c r="C3647" s="545">
        <v>10.166666666666666</v>
      </c>
      <c r="D3647" s="545">
        <v>1.3333333333333333</v>
      </c>
      <c r="E3647" s="545">
        <v>2.3333333333333335</v>
      </c>
      <c r="F3647" s="545">
        <v>7.7857142857142856</v>
      </c>
      <c r="G3647" s="545">
        <v>4.0999999999999996</v>
      </c>
      <c r="H3647" s="545">
        <v>2.6666666666666665</v>
      </c>
      <c r="I3647" s="545">
        <v>0.66666666666666663</v>
      </c>
      <c r="J3647" s="545">
        <v>3.4047619047619051</v>
      </c>
    </row>
    <row r="3648" spans="1:10">
      <c r="A3648" s="441">
        <v>5454</v>
      </c>
      <c r="B3648" s="441" t="s">
        <v>3712</v>
      </c>
      <c r="C3648" s="545">
        <v>35.166666666666664</v>
      </c>
      <c r="D3648" s="545">
        <v>17.333333333333332</v>
      </c>
      <c r="E3648" s="545">
        <v>18.333333333333332</v>
      </c>
      <c r="F3648" s="545">
        <v>30.214285714285715</v>
      </c>
      <c r="G3648" s="545">
        <v>38.700000000000003</v>
      </c>
      <c r="H3648" s="545">
        <v>59.666666666666664</v>
      </c>
      <c r="I3648" s="545">
        <v>17.333333333333332</v>
      </c>
      <c r="J3648" s="545">
        <v>38.642857142857146</v>
      </c>
    </row>
    <row r="3649" spans="1:10">
      <c r="A3649" s="441">
        <v>9844</v>
      </c>
      <c r="B3649" s="441" t="s">
        <v>3713</v>
      </c>
      <c r="C3649" s="545">
        <v>13.166666666666668</v>
      </c>
      <c r="D3649" s="545">
        <v>6.6666666666666661</v>
      </c>
      <c r="E3649" s="545">
        <v>6.666666666666667</v>
      </c>
      <c r="F3649" s="545">
        <v>11.309523809523812</v>
      </c>
      <c r="G3649" s="545">
        <v>13.9</v>
      </c>
      <c r="H3649" s="545">
        <v>9.3333333333333339</v>
      </c>
      <c r="I3649" s="545">
        <v>10.666666666666666</v>
      </c>
      <c r="J3649" s="545">
        <v>12.785714285714286</v>
      </c>
    </row>
    <row r="3650" spans="1:10">
      <c r="A3650" s="441">
        <v>9845</v>
      </c>
      <c r="B3650" s="441" t="s">
        <v>3713</v>
      </c>
      <c r="C3650" s="545">
        <v>24.333333333333336</v>
      </c>
      <c r="D3650" s="545">
        <v>13</v>
      </c>
      <c r="E3650" s="545">
        <v>6.333333333333333</v>
      </c>
      <c r="F3650" s="545">
        <v>20.142857142857146</v>
      </c>
      <c r="G3650" s="545">
        <v>13.25</v>
      </c>
      <c r="H3650" s="545">
        <v>11</v>
      </c>
      <c r="I3650" s="545">
        <v>9</v>
      </c>
      <c r="J3650" s="545">
        <v>12.321428571428571</v>
      </c>
    </row>
    <row r="3651" spans="1:10">
      <c r="A3651" s="441">
        <v>10206</v>
      </c>
      <c r="B3651" s="441" t="s">
        <v>3714</v>
      </c>
      <c r="C3651" s="545">
        <v>32.833333333333336</v>
      </c>
      <c r="D3651" s="545">
        <v>8.3333333333333339</v>
      </c>
      <c r="E3651" s="545">
        <v>6</v>
      </c>
      <c r="F3651" s="545">
        <v>25.500000000000004</v>
      </c>
      <c r="G3651" s="545">
        <v>30.95</v>
      </c>
      <c r="H3651" s="545">
        <v>11.333333333333334</v>
      </c>
      <c r="I3651" s="545">
        <v>10.333333333333334</v>
      </c>
      <c r="J3651" s="545">
        <v>25.202380952380956</v>
      </c>
    </row>
    <row r="3652" spans="1:10">
      <c r="A3652" s="441">
        <v>9624</v>
      </c>
      <c r="B3652" s="441" t="s">
        <v>3715</v>
      </c>
      <c r="C3652" s="545">
        <v>4.5</v>
      </c>
      <c r="D3652" s="545">
        <v>0</v>
      </c>
      <c r="E3652" s="545">
        <v>0.33333333333333331</v>
      </c>
      <c r="F3652" s="545">
        <v>3.2619047619047619</v>
      </c>
      <c r="G3652" s="545">
        <v>1.5</v>
      </c>
      <c r="H3652" s="545">
        <v>0</v>
      </c>
      <c r="I3652" s="545">
        <v>0</v>
      </c>
      <c r="J3652" s="545">
        <v>1.0714285714285714</v>
      </c>
    </row>
    <row r="3653" spans="1:10">
      <c r="A3653" s="441">
        <v>9635</v>
      </c>
      <c r="B3653" s="441" t="s">
        <v>3715</v>
      </c>
      <c r="C3653" s="545">
        <v>6.833333333333333</v>
      </c>
      <c r="D3653" s="545">
        <v>0.66666666666666663</v>
      </c>
      <c r="E3653" s="545">
        <v>0.66666666666666663</v>
      </c>
      <c r="F3653" s="545">
        <v>5.0714285714285703</v>
      </c>
      <c r="G3653" s="545">
        <v>2.95</v>
      </c>
      <c r="H3653" s="545">
        <v>0.33333333333333331</v>
      </c>
      <c r="I3653" s="545">
        <v>0</v>
      </c>
      <c r="J3653" s="545">
        <v>2.1547619047619047</v>
      </c>
    </row>
    <row r="3654" spans="1:10">
      <c r="A3654" s="441">
        <v>9626</v>
      </c>
      <c r="B3654" s="441" t="s">
        <v>3716</v>
      </c>
      <c r="C3654" s="545">
        <v>21.333333333333332</v>
      </c>
      <c r="D3654" s="545">
        <v>3.333333333333333</v>
      </c>
      <c r="E3654" s="545">
        <v>1.6666666666666667</v>
      </c>
      <c r="F3654" s="545">
        <v>15.952380952380951</v>
      </c>
      <c r="G3654" s="545">
        <v>6.35</v>
      </c>
      <c r="H3654" s="545">
        <v>2.6666666666666665</v>
      </c>
      <c r="I3654" s="545">
        <v>2.6666666666666665</v>
      </c>
      <c r="J3654" s="545">
        <v>5.2976190476190466</v>
      </c>
    </row>
    <row r="3655" spans="1:10">
      <c r="A3655" s="441">
        <v>9633</v>
      </c>
      <c r="B3655" s="441" t="s">
        <v>3716</v>
      </c>
      <c r="C3655" s="545">
        <v>17.666666666666668</v>
      </c>
      <c r="D3655" s="545">
        <v>1</v>
      </c>
      <c r="E3655" s="545">
        <v>1</v>
      </c>
      <c r="F3655" s="545">
        <v>12.904761904761907</v>
      </c>
      <c r="G3655" s="545">
        <v>6.2</v>
      </c>
      <c r="H3655" s="545">
        <v>0.66666666666666663</v>
      </c>
      <c r="I3655" s="545">
        <v>1</v>
      </c>
      <c r="J3655" s="545">
        <v>4.666666666666667</v>
      </c>
    </row>
    <row r="3656" spans="1:10">
      <c r="A3656" s="441">
        <v>9622</v>
      </c>
      <c r="B3656" s="441" t="s">
        <v>3717</v>
      </c>
      <c r="C3656" s="545">
        <v>1</v>
      </c>
      <c r="D3656" s="545">
        <v>0.33333333333333331</v>
      </c>
      <c r="E3656" s="545">
        <v>0</v>
      </c>
      <c r="F3656" s="545">
        <v>0.76190476190476186</v>
      </c>
      <c r="G3656" s="545">
        <v>0.35</v>
      </c>
      <c r="H3656" s="545">
        <v>0</v>
      </c>
      <c r="I3656" s="545">
        <v>0</v>
      </c>
      <c r="J3656" s="545">
        <v>0.25</v>
      </c>
    </row>
    <row r="3657" spans="1:10">
      <c r="A3657" s="441">
        <v>9637</v>
      </c>
      <c r="B3657" s="441" t="s">
        <v>3717</v>
      </c>
      <c r="C3657" s="545">
        <v>0.16666666666666666</v>
      </c>
      <c r="D3657" s="545">
        <v>0.66666666666666663</v>
      </c>
      <c r="E3657" s="545">
        <v>0.66666666666666663</v>
      </c>
      <c r="F3657" s="545">
        <v>0.30952380952380948</v>
      </c>
      <c r="G3657" s="545">
        <v>1.35</v>
      </c>
      <c r="H3657" s="545">
        <v>0</v>
      </c>
      <c r="I3657" s="545">
        <v>0.33333333333333331</v>
      </c>
      <c r="J3657" s="545">
        <v>1.0119047619047619</v>
      </c>
    </row>
    <row r="3658" spans="1:10">
      <c r="A3658" s="441">
        <v>9840</v>
      </c>
      <c r="B3658" s="441" t="s">
        <v>3718</v>
      </c>
      <c r="C3658" s="545">
        <v>89.5</v>
      </c>
      <c r="D3658" s="545">
        <v>65.333333333333329</v>
      </c>
      <c r="E3658" s="545">
        <v>47.333333333333329</v>
      </c>
      <c r="F3658" s="545">
        <v>80.023809523809533</v>
      </c>
      <c r="G3658" s="545">
        <v>49.45</v>
      </c>
      <c r="H3658" s="545">
        <v>34.333333333333336</v>
      </c>
      <c r="I3658" s="545">
        <v>28</v>
      </c>
      <c r="J3658" s="545">
        <v>44.226190476190474</v>
      </c>
    </row>
    <row r="3659" spans="1:10">
      <c r="A3659" s="441">
        <v>8432</v>
      </c>
      <c r="B3659" s="441" t="s">
        <v>3719</v>
      </c>
      <c r="C3659" s="545">
        <v>15</v>
      </c>
      <c r="D3659" s="545">
        <v>2</v>
      </c>
      <c r="E3659" s="545">
        <v>0</v>
      </c>
      <c r="F3659" s="545">
        <v>11</v>
      </c>
      <c r="G3659" s="545">
        <v>7.85</v>
      </c>
      <c r="H3659" s="545">
        <v>4</v>
      </c>
      <c r="I3659" s="545">
        <v>5</v>
      </c>
      <c r="J3659" s="545">
        <v>6.8928571428571432</v>
      </c>
    </row>
    <row r="3660" spans="1:10">
      <c r="A3660" s="441">
        <v>13189</v>
      </c>
      <c r="B3660" s="441" t="s">
        <v>3720</v>
      </c>
      <c r="C3660" s="545" t="e">
        <v>#N/A</v>
      </c>
      <c r="D3660" s="545" t="e">
        <v>#N/A</v>
      </c>
      <c r="E3660" s="545" t="e">
        <v>#N/A</v>
      </c>
      <c r="F3660" s="545" t="e">
        <v>#N/A</v>
      </c>
      <c r="G3660" s="545">
        <v>22.5</v>
      </c>
      <c r="H3660" s="545">
        <v>5.666666666666667</v>
      </c>
      <c r="I3660" s="545">
        <v>6</v>
      </c>
      <c r="J3660" s="545">
        <v>17.738095238095237</v>
      </c>
    </row>
    <row r="3661" spans="1:10">
      <c r="A3661" s="441">
        <v>12761</v>
      </c>
      <c r="B3661" s="441" t="s">
        <v>3721</v>
      </c>
      <c r="C3661" s="545">
        <v>61.5</v>
      </c>
      <c r="D3661" s="545">
        <v>48.666666666666664</v>
      </c>
      <c r="E3661" s="545">
        <v>37.333333333333336</v>
      </c>
      <c r="F3661" s="545">
        <v>56.214285714285715</v>
      </c>
      <c r="G3661" s="545">
        <v>46.2</v>
      </c>
      <c r="H3661" s="545">
        <v>26.333333333333332</v>
      </c>
      <c r="I3661" s="545">
        <v>28</v>
      </c>
      <c r="J3661" s="545">
        <v>40.761904761904759</v>
      </c>
    </row>
    <row r="3662" spans="1:10">
      <c r="A3662" s="441">
        <v>12762</v>
      </c>
      <c r="B3662" s="441" t="s">
        <v>3721</v>
      </c>
      <c r="C3662" s="545">
        <v>72.166666666666657</v>
      </c>
      <c r="D3662" s="545">
        <v>45</v>
      </c>
      <c r="E3662" s="545">
        <v>46</v>
      </c>
      <c r="F3662" s="545">
        <v>64.547619047619037</v>
      </c>
      <c r="G3662" s="545">
        <v>50.65</v>
      </c>
      <c r="H3662" s="545">
        <v>35</v>
      </c>
      <c r="I3662" s="545">
        <v>32.666666666666664</v>
      </c>
      <c r="J3662" s="545">
        <v>45.845238095238095</v>
      </c>
    </row>
    <row r="3663" spans="1:10">
      <c r="A3663" s="441">
        <v>12764</v>
      </c>
      <c r="B3663" s="441" t="s">
        <v>3722</v>
      </c>
      <c r="C3663" s="545">
        <v>53.666666666666664</v>
      </c>
      <c r="D3663" s="545">
        <v>31.333333333333332</v>
      </c>
      <c r="E3663" s="545">
        <v>27</v>
      </c>
      <c r="F3663" s="545">
        <v>46.666666666666664</v>
      </c>
      <c r="G3663" s="545">
        <v>37.700000000000003</v>
      </c>
      <c r="H3663" s="545">
        <v>18</v>
      </c>
      <c r="I3663" s="545">
        <v>23.666666666666668</v>
      </c>
      <c r="J3663" s="545">
        <v>32.88095238095238</v>
      </c>
    </row>
    <row r="3664" spans="1:10">
      <c r="A3664" s="441">
        <v>12763</v>
      </c>
      <c r="B3664" s="441" t="s">
        <v>3723</v>
      </c>
      <c r="C3664" s="545">
        <v>49.166666666666664</v>
      </c>
      <c r="D3664" s="545">
        <v>35.333333333333329</v>
      </c>
      <c r="E3664" s="545">
        <v>28.333333333333332</v>
      </c>
      <c r="F3664" s="545">
        <v>44.214285714285708</v>
      </c>
      <c r="G3664" s="545">
        <v>33</v>
      </c>
      <c r="H3664" s="545">
        <v>20.666666666666668</v>
      </c>
      <c r="I3664" s="545">
        <v>20.666666666666668</v>
      </c>
      <c r="J3664" s="545">
        <v>29.476190476190474</v>
      </c>
    </row>
    <row r="3665" spans="1:10">
      <c r="A3665" s="441">
        <v>9233</v>
      </c>
      <c r="B3665" s="441" t="s">
        <v>3724</v>
      </c>
      <c r="C3665" s="545">
        <v>12.166666666666666</v>
      </c>
      <c r="D3665" s="545">
        <v>2</v>
      </c>
      <c r="E3665" s="545">
        <v>2.3333333333333335</v>
      </c>
      <c r="F3665" s="545">
        <v>9.3095238095238084</v>
      </c>
      <c r="G3665" s="545">
        <v>3.2</v>
      </c>
      <c r="H3665" s="545">
        <v>0.66666666666666663</v>
      </c>
      <c r="I3665" s="545">
        <v>0.66666666666666663</v>
      </c>
      <c r="J3665" s="545">
        <v>2.4761904761904767</v>
      </c>
    </row>
    <row r="3666" spans="1:10">
      <c r="A3666" s="441">
        <v>9241</v>
      </c>
      <c r="B3666" s="441" t="s">
        <v>3724</v>
      </c>
      <c r="C3666" s="545">
        <v>14.666666666666668</v>
      </c>
      <c r="D3666" s="545">
        <v>12.333333333333334</v>
      </c>
      <c r="E3666" s="545">
        <v>4</v>
      </c>
      <c r="F3666" s="545">
        <v>12.80952380952381</v>
      </c>
      <c r="G3666" s="545">
        <v>74.25</v>
      </c>
      <c r="H3666" s="545">
        <v>8.6666666666666661</v>
      </c>
      <c r="I3666" s="545">
        <v>7.666666666666667</v>
      </c>
      <c r="J3666" s="545">
        <v>55.369047619047628</v>
      </c>
    </row>
    <row r="3667" spans="1:10">
      <c r="A3667" s="441">
        <v>11902</v>
      </c>
      <c r="B3667" s="441" t="s">
        <v>3724</v>
      </c>
      <c r="C3667" s="545">
        <v>7</v>
      </c>
      <c r="D3667" s="545">
        <v>5</v>
      </c>
      <c r="E3667" s="545">
        <v>5.3333333333333339</v>
      </c>
      <c r="F3667" s="545">
        <v>6.4761904761904763</v>
      </c>
      <c r="G3667" s="545">
        <v>18.399999999999999</v>
      </c>
      <c r="H3667" s="545">
        <v>8.3333333333333339</v>
      </c>
      <c r="I3667" s="545">
        <v>3.3333333333333335</v>
      </c>
      <c r="J3667" s="545">
        <v>14.809523809523808</v>
      </c>
    </row>
    <row r="3668" spans="1:10">
      <c r="A3668" s="441">
        <v>9234</v>
      </c>
      <c r="B3668" s="441" t="s">
        <v>3725</v>
      </c>
      <c r="C3668" s="545">
        <v>14.666666666666666</v>
      </c>
      <c r="D3668" s="545">
        <v>3.666666666666667</v>
      </c>
      <c r="E3668" s="545">
        <v>4.333333333333333</v>
      </c>
      <c r="F3668" s="545">
        <v>11.619047619047619</v>
      </c>
      <c r="G3668" s="545">
        <v>25.65</v>
      </c>
      <c r="H3668" s="545">
        <v>1.6666666666666667</v>
      </c>
      <c r="I3668" s="545">
        <v>2.6666666666666665</v>
      </c>
      <c r="J3668" s="545">
        <v>18.940476190476186</v>
      </c>
    </row>
    <row r="3669" spans="1:10">
      <c r="A3669" s="441">
        <v>9235</v>
      </c>
      <c r="B3669" s="441" t="s">
        <v>3725</v>
      </c>
      <c r="C3669" s="545">
        <v>110</v>
      </c>
      <c r="D3669" s="545">
        <v>39.666666666666671</v>
      </c>
      <c r="E3669" s="545">
        <v>31.666666666666668</v>
      </c>
      <c r="F3669" s="545">
        <v>88.761904761904745</v>
      </c>
      <c r="G3669" s="545">
        <v>142.25</v>
      </c>
      <c r="H3669" s="545">
        <v>36</v>
      </c>
      <c r="I3669" s="545">
        <v>21.333333333333332</v>
      </c>
      <c r="J3669" s="545">
        <v>109.79761904761905</v>
      </c>
    </row>
    <row r="3670" spans="1:10">
      <c r="A3670" s="441">
        <v>9239</v>
      </c>
      <c r="B3670" s="441" t="s">
        <v>3725</v>
      </c>
      <c r="C3670" s="545">
        <v>8.3333333333333339</v>
      </c>
      <c r="D3670" s="545">
        <v>3.333333333333333</v>
      </c>
      <c r="E3670" s="545">
        <v>3.3333333333333335</v>
      </c>
      <c r="F3670" s="545">
        <v>6.904761904761906</v>
      </c>
      <c r="G3670" s="545">
        <v>19.75</v>
      </c>
      <c r="H3670" s="545">
        <v>1.6666666666666667</v>
      </c>
      <c r="I3670" s="545">
        <v>2.3333333333333335</v>
      </c>
      <c r="J3670" s="545">
        <v>14.678571428571429</v>
      </c>
    </row>
    <row r="3671" spans="1:10">
      <c r="A3671" s="441">
        <v>9240</v>
      </c>
      <c r="B3671" s="441" t="s">
        <v>3726</v>
      </c>
      <c r="C3671" s="545">
        <v>10.666666666666668</v>
      </c>
      <c r="D3671" s="545">
        <v>1</v>
      </c>
      <c r="E3671" s="545">
        <v>4.666666666666667</v>
      </c>
      <c r="F3671" s="545">
        <v>8.4285714285714288</v>
      </c>
      <c r="G3671" s="545">
        <v>31.05</v>
      </c>
      <c r="H3671" s="545">
        <v>0.33333333333333331</v>
      </c>
      <c r="I3671" s="545">
        <v>0.33333333333333331</v>
      </c>
      <c r="J3671" s="545">
        <v>22.273809523809526</v>
      </c>
    </row>
    <row r="3672" spans="1:10">
      <c r="A3672" s="441">
        <v>9229</v>
      </c>
      <c r="B3672" s="441" t="s">
        <v>3727</v>
      </c>
      <c r="C3672" s="545">
        <v>80.333333333333329</v>
      </c>
      <c r="D3672" s="545">
        <v>37</v>
      </c>
      <c r="E3672" s="545">
        <v>29</v>
      </c>
      <c r="F3672" s="545">
        <v>66.80952380952381</v>
      </c>
      <c r="G3672" s="545">
        <v>126.5</v>
      </c>
      <c r="H3672" s="545">
        <v>22.666666666666668</v>
      </c>
      <c r="I3672" s="545">
        <v>20.666666666666668</v>
      </c>
      <c r="J3672" s="545">
        <v>96.547619047619037</v>
      </c>
    </row>
    <row r="3673" spans="1:10">
      <c r="A3673" s="441">
        <v>9230</v>
      </c>
      <c r="B3673" s="441" t="s">
        <v>3727</v>
      </c>
      <c r="C3673" s="545">
        <v>76</v>
      </c>
      <c r="D3673" s="545">
        <v>4.6666666666666661</v>
      </c>
      <c r="E3673" s="545">
        <v>2</v>
      </c>
      <c r="F3673" s="545">
        <v>55.238095238095241</v>
      </c>
      <c r="G3673" s="545">
        <v>137.1</v>
      </c>
      <c r="H3673" s="545">
        <v>10.333333333333334</v>
      </c>
      <c r="I3673" s="545">
        <v>8.3333333333333339</v>
      </c>
      <c r="J3673" s="545">
        <v>100.5952380952381</v>
      </c>
    </row>
    <row r="3674" spans="1:10">
      <c r="A3674" s="441">
        <v>9244</v>
      </c>
      <c r="B3674" s="441" t="s">
        <v>3727</v>
      </c>
      <c r="C3674" s="545">
        <v>46.5</v>
      </c>
      <c r="D3674" s="545">
        <v>28</v>
      </c>
      <c r="E3674" s="545">
        <v>22.333333333333332</v>
      </c>
      <c r="F3674" s="545">
        <v>40.404761904761905</v>
      </c>
      <c r="G3674" s="545">
        <v>82.7</v>
      </c>
      <c r="H3674" s="545">
        <v>21</v>
      </c>
      <c r="I3674" s="545">
        <v>17.666666666666668</v>
      </c>
      <c r="J3674" s="545">
        <v>64.595238095238102</v>
      </c>
    </row>
    <row r="3675" spans="1:10">
      <c r="A3675" s="441">
        <v>9231</v>
      </c>
      <c r="B3675" s="441" t="s">
        <v>3728</v>
      </c>
      <c r="C3675" s="545">
        <v>22.5</v>
      </c>
      <c r="D3675" s="545">
        <v>2.6666666666666665</v>
      </c>
      <c r="E3675" s="545">
        <v>1.3333333333333333</v>
      </c>
      <c r="F3675" s="545">
        <v>16.642857142857142</v>
      </c>
      <c r="G3675" s="545">
        <v>27.4</v>
      </c>
      <c r="H3675" s="545">
        <v>1</v>
      </c>
      <c r="I3675" s="545">
        <v>2.3333333333333335</v>
      </c>
      <c r="J3675" s="545">
        <v>20.047619047619047</v>
      </c>
    </row>
    <row r="3676" spans="1:10">
      <c r="A3676" s="441">
        <v>9242</v>
      </c>
      <c r="B3676" s="441" t="s">
        <v>3728</v>
      </c>
      <c r="C3676" s="545">
        <v>5.8333333333333339</v>
      </c>
      <c r="D3676" s="545">
        <v>1.3333333333333333</v>
      </c>
      <c r="E3676" s="545">
        <v>3</v>
      </c>
      <c r="F3676" s="545">
        <v>4.7857142857142856</v>
      </c>
      <c r="G3676" s="545">
        <v>4.75</v>
      </c>
      <c r="H3676" s="545">
        <v>1.3333333333333333</v>
      </c>
      <c r="I3676" s="545">
        <v>4</v>
      </c>
      <c r="J3676" s="545">
        <v>4.1547619047619042</v>
      </c>
    </row>
    <row r="3677" spans="1:10">
      <c r="A3677" s="441">
        <v>9243</v>
      </c>
      <c r="B3677" s="441" t="s">
        <v>3728</v>
      </c>
      <c r="C3677" s="545">
        <v>34.166666666666664</v>
      </c>
      <c r="D3677" s="545">
        <v>1.3333333333333333</v>
      </c>
      <c r="E3677" s="545">
        <v>0.33333333333333331</v>
      </c>
      <c r="F3677" s="545">
        <v>24.642857142857142</v>
      </c>
      <c r="G3677" s="545">
        <v>74.5</v>
      </c>
      <c r="H3677" s="545">
        <v>3</v>
      </c>
      <c r="I3677" s="545">
        <v>2.3333333333333335</v>
      </c>
      <c r="J3677" s="545">
        <v>53.976190476190474</v>
      </c>
    </row>
    <row r="3678" spans="1:10">
      <c r="A3678" s="441">
        <v>9236</v>
      </c>
      <c r="B3678" s="441" t="s">
        <v>3729</v>
      </c>
      <c r="C3678" s="545">
        <v>97.666666666666657</v>
      </c>
      <c r="D3678" s="545">
        <v>41.333333333333329</v>
      </c>
      <c r="E3678" s="545">
        <v>40.333333333333336</v>
      </c>
      <c r="F3678" s="545">
        <v>81.428571428571431</v>
      </c>
      <c r="G3678" s="545">
        <v>149.65</v>
      </c>
      <c r="H3678" s="545">
        <v>37</v>
      </c>
      <c r="I3678" s="545">
        <v>27.666666666666668</v>
      </c>
      <c r="J3678" s="545">
        <v>116.13095238095238</v>
      </c>
    </row>
    <row r="3679" spans="1:10">
      <c r="A3679" s="441">
        <v>9238</v>
      </c>
      <c r="B3679" s="441" t="s">
        <v>3729</v>
      </c>
      <c r="C3679" s="545">
        <v>107</v>
      </c>
      <c r="D3679" s="545">
        <v>43</v>
      </c>
      <c r="E3679" s="545">
        <v>41.666666666666671</v>
      </c>
      <c r="F3679" s="545">
        <v>88.523809523809518</v>
      </c>
      <c r="G3679" s="545">
        <v>139.75</v>
      </c>
      <c r="H3679" s="545">
        <v>36.666666666666664</v>
      </c>
      <c r="I3679" s="545">
        <v>26</v>
      </c>
      <c r="J3679" s="545">
        <v>108.77380952380952</v>
      </c>
    </row>
    <row r="3680" spans="1:10">
      <c r="A3680" s="441">
        <v>11006</v>
      </c>
      <c r="B3680" s="441" t="s">
        <v>3729</v>
      </c>
      <c r="C3680" s="545">
        <v>108.33333333333334</v>
      </c>
      <c r="D3680" s="545">
        <v>32.666666666666671</v>
      </c>
      <c r="E3680" s="545">
        <v>25.333333333333336</v>
      </c>
      <c r="F3680" s="545">
        <v>85.666666666666671</v>
      </c>
      <c r="G3680" s="545">
        <v>170.8</v>
      </c>
      <c r="H3680" s="545">
        <v>12.666666666666666</v>
      </c>
      <c r="I3680" s="545">
        <v>10.333333333333334</v>
      </c>
      <c r="J3680" s="545">
        <v>125.28571428571429</v>
      </c>
    </row>
    <row r="3681" spans="1:10">
      <c r="A3681" s="441">
        <v>9563</v>
      </c>
      <c r="B3681" s="441" t="s">
        <v>3730</v>
      </c>
      <c r="C3681" s="545">
        <v>75.666666666666657</v>
      </c>
      <c r="D3681" s="545">
        <v>9</v>
      </c>
      <c r="E3681" s="545">
        <v>2.6666666666666665</v>
      </c>
      <c r="F3681" s="545">
        <v>55.714285714285708</v>
      </c>
      <c r="G3681" s="545">
        <v>34.65</v>
      </c>
      <c r="H3681" s="545">
        <v>6.333333333333333</v>
      </c>
      <c r="I3681" s="545">
        <v>2.3333333333333335</v>
      </c>
      <c r="J3681" s="545">
        <v>25.988095238095241</v>
      </c>
    </row>
    <row r="3682" spans="1:10">
      <c r="A3682" s="441">
        <v>9566</v>
      </c>
      <c r="B3682" s="441" t="s">
        <v>3730</v>
      </c>
      <c r="C3682" s="545">
        <v>43.833333333333329</v>
      </c>
      <c r="D3682" s="545">
        <v>7.666666666666667</v>
      </c>
      <c r="E3682" s="545">
        <v>3</v>
      </c>
      <c r="F3682" s="545">
        <v>32.833333333333329</v>
      </c>
      <c r="G3682" s="545">
        <v>24.1</v>
      </c>
      <c r="H3682" s="545">
        <v>4.333333333333333</v>
      </c>
      <c r="I3682" s="545">
        <v>2.6666666666666665</v>
      </c>
      <c r="J3682" s="545">
        <v>18.214285714285715</v>
      </c>
    </row>
    <row r="3683" spans="1:10">
      <c r="A3683" s="441">
        <v>1603</v>
      </c>
      <c r="B3683" s="441" t="s">
        <v>3731</v>
      </c>
      <c r="C3683" s="545">
        <v>13</v>
      </c>
      <c r="D3683" s="545">
        <v>4.6666666666666661</v>
      </c>
      <c r="E3683" s="545">
        <v>5.3333333333333339</v>
      </c>
      <c r="F3683" s="545">
        <v>10.714285714285714</v>
      </c>
      <c r="G3683" s="545">
        <v>8.5500000000000007</v>
      </c>
      <c r="H3683" s="545">
        <v>7.333333333333333</v>
      </c>
      <c r="I3683" s="545">
        <v>5</v>
      </c>
      <c r="J3683" s="545">
        <v>7.8690476190476195</v>
      </c>
    </row>
    <row r="3684" spans="1:10">
      <c r="A3684" s="441">
        <v>1937</v>
      </c>
      <c r="B3684" s="441" t="s">
        <v>3731</v>
      </c>
      <c r="C3684" s="545">
        <v>13.666666666666668</v>
      </c>
      <c r="D3684" s="545">
        <v>8</v>
      </c>
      <c r="E3684" s="545">
        <v>7.666666666666667</v>
      </c>
      <c r="F3684" s="545">
        <v>12.000000000000002</v>
      </c>
      <c r="G3684" s="545">
        <v>7.75</v>
      </c>
      <c r="H3684" s="545">
        <v>5</v>
      </c>
      <c r="I3684" s="545">
        <v>6</v>
      </c>
      <c r="J3684" s="545">
        <v>7.1071428571428568</v>
      </c>
    </row>
    <row r="3685" spans="1:10">
      <c r="A3685" s="441">
        <v>1607</v>
      </c>
      <c r="B3685" s="441" t="s">
        <v>3732</v>
      </c>
      <c r="C3685" s="545">
        <v>2.6666666666666665</v>
      </c>
      <c r="D3685" s="545">
        <v>1</v>
      </c>
      <c r="E3685" s="545">
        <v>0.33333333333333331</v>
      </c>
      <c r="F3685" s="545">
        <v>2.0952380952380953</v>
      </c>
      <c r="G3685" s="545">
        <v>2.85</v>
      </c>
      <c r="H3685" s="545">
        <v>3</v>
      </c>
      <c r="I3685" s="545">
        <v>0.66666666666666663</v>
      </c>
      <c r="J3685" s="545">
        <v>2.5595238095238098</v>
      </c>
    </row>
    <row r="3686" spans="1:10">
      <c r="A3686" s="441">
        <v>9564</v>
      </c>
      <c r="B3686" s="441" t="s">
        <v>3733</v>
      </c>
      <c r="C3686" s="545">
        <v>43.666666666666671</v>
      </c>
      <c r="D3686" s="545">
        <v>8</v>
      </c>
      <c r="E3686" s="545">
        <v>5.666666666666667</v>
      </c>
      <c r="F3686" s="545">
        <v>33.142857142857146</v>
      </c>
      <c r="G3686" s="545">
        <v>22.25</v>
      </c>
      <c r="H3686" s="545">
        <v>4.666666666666667</v>
      </c>
      <c r="I3686" s="545">
        <v>2.6666666666666665</v>
      </c>
      <c r="J3686" s="545">
        <v>16.940476190476193</v>
      </c>
    </row>
    <row r="3687" spans="1:10">
      <c r="A3687" s="441">
        <v>1610</v>
      </c>
      <c r="B3687" s="441" t="s">
        <v>3734</v>
      </c>
      <c r="C3687" s="545">
        <v>436.66666666666669</v>
      </c>
      <c r="D3687" s="545">
        <v>115</v>
      </c>
      <c r="E3687" s="545">
        <v>46.666666666666671</v>
      </c>
      <c r="F3687" s="545">
        <v>335</v>
      </c>
      <c r="G3687" s="545">
        <v>392</v>
      </c>
      <c r="H3687" s="545">
        <v>88.333333333333329</v>
      </c>
      <c r="I3687" s="545">
        <v>41.666666666666664</v>
      </c>
      <c r="J3687" s="545">
        <v>298.57142857142856</v>
      </c>
    </row>
    <row r="3688" spans="1:10">
      <c r="A3688" s="441">
        <v>1600</v>
      </c>
      <c r="B3688" s="441" t="s">
        <v>3735</v>
      </c>
      <c r="C3688" s="545">
        <v>18.666666666666668</v>
      </c>
      <c r="D3688" s="545">
        <v>12.333333333333332</v>
      </c>
      <c r="E3688" s="545">
        <v>6.333333333333333</v>
      </c>
      <c r="F3688" s="545">
        <v>16</v>
      </c>
      <c r="G3688" s="545">
        <v>8.65</v>
      </c>
      <c r="H3688" s="545">
        <v>11.333333333333334</v>
      </c>
      <c r="I3688" s="545">
        <v>6.666666666666667</v>
      </c>
      <c r="J3688" s="545">
        <v>8.75</v>
      </c>
    </row>
    <row r="3689" spans="1:10">
      <c r="A3689" s="441">
        <v>1940</v>
      </c>
      <c r="B3689" s="441" t="s">
        <v>3735</v>
      </c>
      <c r="C3689" s="545">
        <v>28.166666666666664</v>
      </c>
      <c r="D3689" s="545">
        <v>13.666666666666666</v>
      </c>
      <c r="E3689" s="545">
        <v>6.6666666666666661</v>
      </c>
      <c r="F3689" s="545">
        <v>23.023809523809518</v>
      </c>
      <c r="G3689" s="545">
        <v>10.65</v>
      </c>
      <c r="H3689" s="545">
        <v>14.333333333333334</v>
      </c>
      <c r="I3689" s="545">
        <v>6.666666666666667</v>
      </c>
      <c r="J3689" s="545">
        <v>10.607142857142858</v>
      </c>
    </row>
    <row r="3690" spans="1:10">
      <c r="A3690" s="441">
        <v>1942</v>
      </c>
      <c r="B3690" s="441" t="s">
        <v>3736</v>
      </c>
      <c r="C3690" s="545">
        <v>12.166666666666668</v>
      </c>
      <c r="D3690" s="545">
        <v>7.3333333333333339</v>
      </c>
      <c r="E3690" s="545">
        <v>6.3333333333333339</v>
      </c>
      <c r="F3690" s="545">
        <v>10.642857142857142</v>
      </c>
      <c r="G3690" s="545">
        <v>7.15</v>
      </c>
      <c r="H3690" s="545">
        <v>7.333333333333333</v>
      </c>
      <c r="I3690" s="545">
        <v>3.3333333333333335</v>
      </c>
      <c r="J3690" s="545">
        <v>6.6309523809523814</v>
      </c>
    </row>
    <row r="3691" spans="1:10">
      <c r="A3691" s="441">
        <v>1601</v>
      </c>
      <c r="B3691" s="441" t="s">
        <v>3737</v>
      </c>
      <c r="C3691" s="545">
        <v>39.333333333333336</v>
      </c>
      <c r="D3691" s="545">
        <v>14</v>
      </c>
      <c r="E3691" s="545">
        <v>9.3333333333333339</v>
      </c>
      <c r="F3691" s="545">
        <v>31.428571428571434</v>
      </c>
      <c r="G3691" s="545">
        <v>21.3</v>
      </c>
      <c r="H3691" s="545">
        <v>11.666666666666666</v>
      </c>
      <c r="I3691" s="545">
        <v>3.6666666666666665</v>
      </c>
      <c r="J3691" s="545">
        <v>17.404761904761905</v>
      </c>
    </row>
    <row r="3692" spans="1:10">
      <c r="A3692" s="441">
        <v>1939</v>
      </c>
      <c r="B3692" s="441" t="s">
        <v>3737</v>
      </c>
      <c r="C3692" s="545">
        <v>39.666666666666671</v>
      </c>
      <c r="D3692" s="545">
        <v>13.666666666666668</v>
      </c>
      <c r="E3692" s="545">
        <v>10</v>
      </c>
      <c r="F3692" s="545">
        <v>31.714285714285719</v>
      </c>
      <c r="G3692" s="545">
        <v>19.5</v>
      </c>
      <c r="H3692" s="545">
        <v>16</v>
      </c>
      <c r="I3692" s="545">
        <v>5</v>
      </c>
      <c r="J3692" s="545">
        <v>16.928571428571427</v>
      </c>
    </row>
    <row r="3693" spans="1:10">
      <c r="A3693" s="441">
        <v>9561</v>
      </c>
      <c r="B3693" s="441" t="s">
        <v>3738</v>
      </c>
      <c r="C3693" s="545">
        <v>20.333333333333332</v>
      </c>
      <c r="D3693" s="545">
        <v>3.6666666666666665</v>
      </c>
      <c r="E3693" s="545">
        <v>7.3333333333333339</v>
      </c>
      <c r="F3693" s="545">
        <v>16.095238095238095</v>
      </c>
      <c r="G3693" s="545">
        <v>9.15</v>
      </c>
      <c r="H3693" s="545">
        <v>5.666666666666667</v>
      </c>
      <c r="I3693" s="545">
        <v>3.6666666666666665</v>
      </c>
      <c r="J3693" s="545">
        <v>7.8690476190476186</v>
      </c>
    </row>
    <row r="3694" spans="1:10">
      <c r="A3694" s="441">
        <v>9568</v>
      </c>
      <c r="B3694" s="441" t="s">
        <v>3738</v>
      </c>
      <c r="C3694" s="545">
        <v>63.5</v>
      </c>
      <c r="D3694" s="545">
        <v>23</v>
      </c>
      <c r="E3694" s="545">
        <v>23.666666666666668</v>
      </c>
      <c r="F3694" s="545">
        <v>52.023809523809526</v>
      </c>
      <c r="G3694" s="545">
        <v>25.65</v>
      </c>
      <c r="H3694" s="545">
        <v>18.666666666666668</v>
      </c>
      <c r="I3694" s="545">
        <v>11.333333333333334</v>
      </c>
      <c r="J3694" s="545">
        <v>22.607142857142858</v>
      </c>
    </row>
    <row r="3695" spans="1:10">
      <c r="A3695" s="441">
        <v>1599</v>
      </c>
      <c r="B3695" s="441" t="s">
        <v>3739</v>
      </c>
      <c r="C3695" s="545">
        <v>25.666666666666668</v>
      </c>
      <c r="D3695" s="545">
        <v>11.666666666666668</v>
      </c>
      <c r="E3695" s="545">
        <v>8.3333333333333339</v>
      </c>
      <c r="F3695" s="545">
        <v>21.190476190476193</v>
      </c>
      <c r="G3695" s="545">
        <v>16</v>
      </c>
      <c r="H3695" s="545">
        <v>9.6666666666666661</v>
      </c>
      <c r="I3695" s="545">
        <v>7.333333333333333</v>
      </c>
      <c r="J3695" s="545">
        <v>13.857142857142858</v>
      </c>
    </row>
    <row r="3696" spans="1:10">
      <c r="A3696" s="441">
        <v>1941</v>
      </c>
      <c r="B3696" s="441" t="s">
        <v>3739</v>
      </c>
      <c r="C3696" s="545">
        <v>21.833333333333332</v>
      </c>
      <c r="D3696" s="545">
        <v>10.333333333333334</v>
      </c>
      <c r="E3696" s="545">
        <v>5.666666666666667</v>
      </c>
      <c r="F3696" s="545">
        <v>17.88095238095238</v>
      </c>
      <c r="G3696" s="545">
        <v>13.9</v>
      </c>
      <c r="H3696" s="545">
        <v>12.333333333333334</v>
      </c>
      <c r="I3696" s="545">
        <v>13</v>
      </c>
      <c r="J3696" s="545">
        <v>13.547619047619047</v>
      </c>
    </row>
    <row r="3697" spans="1:10">
      <c r="A3697" s="441">
        <v>9560</v>
      </c>
      <c r="B3697" s="441" t="s">
        <v>3740</v>
      </c>
      <c r="C3697" s="545">
        <v>180.16666666666669</v>
      </c>
      <c r="D3697" s="545">
        <v>82.333333333333343</v>
      </c>
      <c r="E3697" s="545">
        <v>66.666666666666671</v>
      </c>
      <c r="F3697" s="545">
        <v>149.97619047619051</v>
      </c>
      <c r="G3697" s="545">
        <v>116</v>
      </c>
      <c r="H3697" s="545">
        <v>81</v>
      </c>
      <c r="I3697" s="545">
        <v>58.666666666666664</v>
      </c>
      <c r="J3697" s="545">
        <v>102.80952380952381</v>
      </c>
    </row>
    <row r="3698" spans="1:10">
      <c r="A3698" s="441">
        <v>1934</v>
      </c>
      <c r="B3698" s="441" t="s">
        <v>3741</v>
      </c>
      <c r="C3698" s="545">
        <v>9.1666666666666679</v>
      </c>
      <c r="D3698" s="545">
        <v>7</v>
      </c>
      <c r="E3698" s="545">
        <v>4</v>
      </c>
      <c r="F3698" s="545">
        <v>8.1190476190476204</v>
      </c>
      <c r="G3698" s="545">
        <v>7.25</v>
      </c>
      <c r="H3698" s="545">
        <v>6.666666666666667</v>
      </c>
      <c r="I3698" s="545">
        <v>4.333333333333333</v>
      </c>
      <c r="J3698" s="545">
        <v>6.75</v>
      </c>
    </row>
    <row r="3699" spans="1:10">
      <c r="A3699" s="441">
        <v>1604</v>
      </c>
      <c r="B3699" s="441" t="s">
        <v>3742</v>
      </c>
      <c r="C3699" s="545">
        <v>9.6666666666666679</v>
      </c>
      <c r="D3699" s="545">
        <v>6</v>
      </c>
      <c r="E3699" s="545">
        <v>5.6666666666666661</v>
      </c>
      <c r="F3699" s="545">
        <v>8.571428571428573</v>
      </c>
      <c r="G3699" s="545">
        <v>6.05</v>
      </c>
      <c r="H3699" s="545">
        <v>3.6666666666666665</v>
      </c>
      <c r="I3699" s="545">
        <v>3</v>
      </c>
      <c r="J3699" s="545">
        <v>5.2738095238095237</v>
      </c>
    </row>
    <row r="3700" spans="1:10">
      <c r="A3700" s="441">
        <v>1936</v>
      </c>
      <c r="B3700" s="441" t="s">
        <v>3742</v>
      </c>
      <c r="C3700" s="545">
        <v>10.166666666666666</v>
      </c>
      <c r="D3700" s="545">
        <v>5.3333333333333339</v>
      </c>
      <c r="E3700" s="545">
        <v>4.333333333333333</v>
      </c>
      <c r="F3700" s="545">
        <v>8.6428571428571423</v>
      </c>
      <c r="G3700" s="545">
        <v>4.9000000000000004</v>
      </c>
      <c r="H3700" s="545">
        <v>5.666666666666667</v>
      </c>
      <c r="I3700" s="545">
        <v>1.6666666666666667</v>
      </c>
      <c r="J3700" s="545">
        <v>4.5476190476190483</v>
      </c>
    </row>
    <row r="3701" spans="1:10">
      <c r="A3701" s="441">
        <v>1606</v>
      </c>
      <c r="B3701" s="441" t="s">
        <v>3743</v>
      </c>
      <c r="C3701" s="545">
        <v>15</v>
      </c>
      <c r="D3701" s="545">
        <v>6.3333333333333339</v>
      </c>
      <c r="E3701" s="545">
        <v>1</v>
      </c>
      <c r="F3701" s="545">
        <v>11.761904761904761</v>
      </c>
      <c r="G3701" s="545">
        <v>8.0500000000000007</v>
      </c>
      <c r="H3701" s="545">
        <v>5.333333333333333</v>
      </c>
      <c r="I3701" s="545">
        <v>3.6666666666666665</v>
      </c>
      <c r="J3701" s="545">
        <v>7.0357142857142856</v>
      </c>
    </row>
    <row r="3702" spans="1:10">
      <c r="A3702" s="441">
        <v>10157</v>
      </c>
      <c r="B3702" s="441" t="s">
        <v>3743</v>
      </c>
      <c r="C3702" s="545">
        <v>18.333333333333332</v>
      </c>
      <c r="D3702" s="545">
        <v>7.3333333333333339</v>
      </c>
      <c r="E3702" s="545">
        <v>4.6666666666666661</v>
      </c>
      <c r="F3702" s="545">
        <v>14.809523809523808</v>
      </c>
      <c r="G3702" s="545">
        <v>9.6999999999999993</v>
      </c>
      <c r="H3702" s="545">
        <v>7.666666666666667</v>
      </c>
      <c r="I3702" s="545">
        <v>3.6666666666666665</v>
      </c>
      <c r="J3702" s="545">
        <v>8.5476190476190474</v>
      </c>
    </row>
    <row r="3703" spans="1:10">
      <c r="A3703" s="441">
        <v>9562</v>
      </c>
      <c r="B3703" s="441" t="s">
        <v>3744</v>
      </c>
      <c r="C3703" s="545">
        <v>30.833333333333336</v>
      </c>
      <c r="D3703" s="545">
        <v>5.666666666666667</v>
      </c>
      <c r="E3703" s="545">
        <v>4.333333333333333</v>
      </c>
      <c r="F3703" s="545">
        <v>23.452380952380956</v>
      </c>
      <c r="G3703" s="545">
        <v>11.5</v>
      </c>
      <c r="H3703" s="545">
        <v>5.666666666666667</v>
      </c>
      <c r="I3703" s="545">
        <v>3.6666666666666665</v>
      </c>
      <c r="J3703" s="545">
        <v>9.5476190476190474</v>
      </c>
    </row>
    <row r="3704" spans="1:10">
      <c r="A3704" s="441">
        <v>9567</v>
      </c>
      <c r="B3704" s="441" t="s">
        <v>3744</v>
      </c>
      <c r="C3704" s="545">
        <v>60.666666666666664</v>
      </c>
      <c r="D3704" s="545">
        <v>6.666666666666667</v>
      </c>
      <c r="E3704" s="545">
        <v>3.666666666666667</v>
      </c>
      <c r="F3704" s="545">
        <v>44.80952380952381</v>
      </c>
      <c r="G3704" s="545">
        <v>16.7</v>
      </c>
      <c r="H3704" s="545">
        <v>5.666666666666667</v>
      </c>
      <c r="I3704" s="545">
        <v>4.666666666666667</v>
      </c>
      <c r="J3704" s="545">
        <v>13.404761904761907</v>
      </c>
    </row>
    <row r="3705" spans="1:10">
      <c r="A3705" s="441">
        <v>1602</v>
      </c>
      <c r="B3705" s="441" t="s">
        <v>3745</v>
      </c>
      <c r="C3705" s="545">
        <v>9.8333333333333339</v>
      </c>
      <c r="D3705" s="545">
        <v>5</v>
      </c>
      <c r="E3705" s="545">
        <v>5</v>
      </c>
      <c r="F3705" s="545">
        <v>8.4523809523809526</v>
      </c>
      <c r="G3705" s="545">
        <v>9.85</v>
      </c>
      <c r="H3705" s="545">
        <v>10.333333333333334</v>
      </c>
      <c r="I3705" s="545">
        <v>4.333333333333333</v>
      </c>
      <c r="J3705" s="545">
        <v>9.1309523809523814</v>
      </c>
    </row>
    <row r="3706" spans="1:10">
      <c r="A3706" s="441">
        <v>1938</v>
      </c>
      <c r="B3706" s="441" t="s">
        <v>3745</v>
      </c>
      <c r="C3706" s="545">
        <v>9</v>
      </c>
      <c r="D3706" s="545">
        <v>3.333333333333333</v>
      </c>
      <c r="E3706" s="545">
        <v>4.333333333333333</v>
      </c>
      <c r="F3706" s="545">
        <v>7.5238095238095246</v>
      </c>
      <c r="G3706" s="545">
        <v>6.95</v>
      </c>
      <c r="H3706" s="545">
        <v>6.333333333333333</v>
      </c>
      <c r="I3706" s="545">
        <v>3</v>
      </c>
      <c r="J3706" s="545">
        <v>6.2976190476190483</v>
      </c>
    </row>
    <row r="3707" spans="1:10">
      <c r="A3707" s="441">
        <v>1608</v>
      </c>
      <c r="B3707" s="441" t="s">
        <v>3746</v>
      </c>
      <c r="C3707" s="545">
        <v>61.5</v>
      </c>
      <c r="D3707" s="545">
        <v>37</v>
      </c>
      <c r="E3707" s="545">
        <v>28</v>
      </c>
      <c r="F3707" s="545">
        <v>53.214285714285715</v>
      </c>
      <c r="G3707" s="545">
        <v>43.05</v>
      </c>
      <c r="H3707" s="545">
        <v>27</v>
      </c>
      <c r="I3707" s="545">
        <v>16.666666666666668</v>
      </c>
      <c r="J3707" s="545">
        <v>36.988095238095241</v>
      </c>
    </row>
    <row r="3708" spans="1:10">
      <c r="A3708" s="441">
        <v>1933</v>
      </c>
      <c r="B3708" s="441" t="s">
        <v>3746</v>
      </c>
      <c r="C3708" s="545">
        <v>56.333333333333329</v>
      </c>
      <c r="D3708" s="545">
        <v>26.666666666666668</v>
      </c>
      <c r="E3708" s="545">
        <v>32</v>
      </c>
      <c r="F3708" s="545">
        <v>48.619047619047613</v>
      </c>
      <c r="G3708" s="545">
        <v>33.950000000000003</v>
      </c>
      <c r="H3708" s="545">
        <v>23.666666666666668</v>
      </c>
      <c r="I3708" s="545">
        <v>12.333333333333334</v>
      </c>
      <c r="J3708" s="545">
        <v>29.392857142857142</v>
      </c>
    </row>
    <row r="3709" spans="1:10">
      <c r="A3709" s="441">
        <v>1605</v>
      </c>
      <c r="B3709" s="441" t="s">
        <v>3747</v>
      </c>
      <c r="C3709" s="545">
        <v>12.333333333333332</v>
      </c>
      <c r="D3709" s="545">
        <v>3.3333333333333335</v>
      </c>
      <c r="E3709" s="545">
        <v>4.3333333333333339</v>
      </c>
      <c r="F3709" s="545">
        <v>9.9047619047619015</v>
      </c>
      <c r="G3709" s="545">
        <v>6.2</v>
      </c>
      <c r="H3709" s="545">
        <v>5</v>
      </c>
      <c r="I3709" s="545">
        <v>9</v>
      </c>
      <c r="J3709" s="545">
        <v>6.4285714285714288</v>
      </c>
    </row>
    <row r="3710" spans="1:10">
      <c r="A3710" s="441">
        <v>1935</v>
      </c>
      <c r="B3710" s="441" t="s">
        <v>3747</v>
      </c>
      <c r="C3710" s="545">
        <v>6.3333333333333339</v>
      </c>
      <c r="D3710" s="545">
        <v>1.6666666666666667</v>
      </c>
      <c r="E3710" s="545">
        <v>2.3333333333333335</v>
      </c>
      <c r="F3710" s="545">
        <v>5.0952380952380958</v>
      </c>
      <c r="G3710" s="545">
        <v>4.9000000000000004</v>
      </c>
      <c r="H3710" s="545">
        <v>1.3333333333333333</v>
      </c>
      <c r="I3710" s="545">
        <v>10</v>
      </c>
      <c r="J3710" s="545">
        <v>5.1190476190476186</v>
      </c>
    </row>
    <row r="3711" spans="1:10">
      <c r="A3711" s="441">
        <v>9559</v>
      </c>
      <c r="B3711" s="441" t="s">
        <v>3748</v>
      </c>
      <c r="C3711" s="545">
        <v>6.6666666666666661</v>
      </c>
      <c r="D3711" s="545">
        <v>5</v>
      </c>
      <c r="E3711" s="545">
        <v>0.66666666666666663</v>
      </c>
      <c r="F3711" s="545">
        <v>5.5714285714285703</v>
      </c>
      <c r="G3711" s="545">
        <v>6.9</v>
      </c>
      <c r="H3711" s="545">
        <v>3.3333333333333335</v>
      </c>
      <c r="I3711" s="545">
        <v>3.6666666666666665</v>
      </c>
      <c r="J3711" s="545">
        <v>5.9285714285714288</v>
      </c>
    </row>
    <row r="3712" spans="1:10">
      <c r="A3712" s="441">
        <v>9570</v>
      </c>
      <c r="B3712" s="441" t="s">
        <v>3748</v>
      </c>
      <c r="C3712" s="545">
        <v>121</v>
      </c>
      <c r="D3712" s="545">
        <v>43</v>
      </c>
      <c r="E3712" s="545">
        <v>43.333333333333329</v>
      </c>
      <c r="F3712" s="545">
        <v>98.761904761904773</v>
      </c>
      <c r="G3712" s="545">
        <v>88.75</v>
      </c>
      <c r="H3712" s="545">
        <v>58.666666666666664</v>
      </c>
      <c r="I3712" s="545">
        <v>37</v>
      </c>
      <c r="J3712" s="545">
        <v>77.059523809523824</v>
      </c>
    </row>
    <row r="3713" spans="1:10">
      <c r="A3713" s="441">
        <v>1685</v>
      </c>
      <c r="B3713" s="441" t="s">
        <v>3749</v>
      </c>
      <c r="C3713" s="545">
        <v>7</v>
      </c>
      <c r="D3713" s="545">
        <v>0</v>
      </c>
      <c r="E3713" s="545">
        <v>0.66666666666666663</v>
      </c>
      <c r="F3713" s="545">
        <v>5.0952380952380949</v>
      </c>
      <c r="G3713" s="545">
        <v>3.9</v>
      </c>
      <c r="H3713" s="545">
        <v>2.3333333333333335</v>
      </c>
      <c r="I3713" s="545">
        <v>2</v>
      </c>
      <c r="J3713" s="545">
        <v>3.4047619047619047</v>
      </c>
    </row>
    <row r="3714" spans="1:10">
      <c r="A3714" s="441">
        <v>1686</v>
      </c>
      <c r="B3714" s="441" t="s">
        <v>3750</v>
      </c>
      <c r="C3714" s="545">
        <v>1.5</v>
      </c>
      <c r="D3714" s="545">
        <v>0.33333333333333331</v>
      </c>
      <c r="E3714" s="545">
        <v>0</v>
      </c>
      <c r="F3714" s="545">
        <v>1.1190476190476191</v>
      </c>
      <c r="G3714" s="545">
        <v>0.1</v>
      </c>
      <c r="H3714" s="545">
        <v>0</v>
      </c>
      <c r="I3714" s="545">
        <v>0</v>
      </c>
      <c r="J3714" s="545">
        <v>7.1428571428571425E-2</v>
      </c>
    </row>
    <row r="3715" spans="1:10">
      <c r="A3715" s="441">
        <v>2871</v>
      </c>
      <c r="B3715" s="441" t="s">
        <v>3751</v>
      </c>
      <c r="C3715" s="545">
        <v>14.333333333333332</v>
      </c>
      <c r="D3715" s="545">
        <v>7</v>
      </c>
      <c r="E3715" s="545">
        <v>8.6666666666666679</v>
      </c>
      <c r="F3715" s="545">
        <v>12.476190476190476</v>
      </c>
      <c r="G3715" s="545">
        <v>12.65</v>
      </c>
      <c r="H3715" s="545">
        <v>6.333333333333333</v>
      </c>
      <c r="I3715" s="545">
        <v>7.666666666666667</v>
      </c>
      <c r="J3715" s="545">
        <v>11.035714285714286</v>
      </c>
    </row>
    <row r="3716" spans="1:10">
      <c r="A3716" s="441">
        <v>2912</v>
      </c>
      <c r="B3716" s="441" t="s">
        <v>3751</v>
      </c>
      <c r="C3716" s="545">
        <v>8.5</v>
      </c>
      <c r="D3716" s="545">
        <v>3.6666666666666665</v>
      </c>
      <c r="E3716" s="545">
        <v>4.666666666666667</v>
      </c>
      <c r="F3716" s="545">
        <v>7.261904761904761</v>
      </c>
      <c r="G3716" s="545">
        <v>5.0999999999999996</v>
      </c>
      <c r="H3716" s="545">
        <v>1.6666666666666667</v>
      </c>
      <c r="I3716" s="545">
        <v>3.6666666666666665</v>
      </c>
      <c r="J3716" s="545">
        <v>4.4047619047619051</v>
      </c>
    </row>
    <row r="3717" spans="1:10">
      <c r="A3717" s="441">
        <v>2913</v>
      </c>
      <c r="B3717" s="441" t="s">
        <v>3751</v>
      </c>
      <c r="C3717" s="545">
        <v>19.666666666666668</v>
      </c>
      <c r="D3717" s="545">
        <v>11.333333333333334</v>
      </c>
      <c r="E3717" s="545">
        <v>5.666666666666667</v>
      </c>
      <c r="F3717" s="545">
        <v>16.476190476190478</v>
      </c>
      <c r="G3717" s="545">
        <v>15.25</v>
      </c>
      <c r="H3717" s="545">
        <v>6</v>
      </c>
      <c r="I3717" s="545">
        <v>8</v>
      </c>
      <c r="J3717" s="545">
        <v>12.892857142857142</v>
      </c>
    </row>
    <row r="3718" spans="1:10">
      <c r="A3718" s="441">
        <v>2867</v>
      </c>
      <c r="B3718" s="441" t="s">
        <v>3752</v>
      </c>
      <c r="C3718" s="545">
        <v>4.5</v>
      </c>
      <c r="D3718" s="545">
        <v>2.3333333333333335</v>
      </c>
      <c r="E3718" s="545">
        <v>3</v>
      </c>
      <c r="F3718" s="545">
        <v>3.9761904761904758</v>
      </c>
      <c r="G3718" s="545">
        <v>3.75</v>
      </c>
      <c r="H3718" s="545">
        <v>2.3333333333333335</v>
      </c>
      <c r="I3718" s="545">
        <v>0.66666666666666663</v>
      </c>
      <c r="J3718" s="545">
        <v>3.1071428571428572</v>
      </c>
    </row>
    <row r="3719" spans="1:10">
      <c r="A3719" s="441">
        <v>2880</v>
      </c>
      <c r="B3719" s="441" t="s">
        <v>3753</v>
      </c>
      <c r="C3719" s="545">
        <v>5.666666666666667</v>
      </c>
      <c r="D3719" s="545">
        <v>3.3333333333333335</v>
      </c>
      <c r="E3719" s="545">
        <v>2.666666666666667</v>
      </c>
      <c r="F3719" s="545">
        <v>4.9047619047619051</v>
      </c>
      <c r="G3719" s="545">
        <v>3.9</v>
      </c>
      <c r="H3719" s="545">
        <v>4.333333333333333</v>
      </c>
      <c r="I3719" s="545">
        <v>1.6666666666666667</v>
      </c>
      <c r="J3719" s="545">
        <v>3.6428571428571428</v>
      </c>
    </row>
    <row r="3720" spans="1:10">
      <c r="A3720" s="441">
        <v>2903</v>
      </c>
      <c r="B3720" s="441" t="s">
        <v>3753</v>
      </c>
      <c r="C3720" s="545">
        <v>3.1666666666666665</v>
      </c>
      <c r="D3720" s="545">
        <v>1.6666666666666667</v>
      </c>
      <c r="E3720" s="545">
        <v>1.3333333333333333</v>
      </c>
      <c r="F3720" s="545">
        <v>2.6904761904761902</v>
      </c>
      <c r="G3720" s="545">
        <v>1.55</v>
      </c>
      <c r="H3720" s="545">
        <v>0.66666666666666663</v>
      </c>
      <c r="I3720" s="545">
        <v>0.33333333333333331</v>
      </c>
      <c r="J3720" s="545">
        <v>1.25</v>
      </c>
    </row>
    <row r="3721" spans="1:10">
      <c r="A3721" s="441">
        <v>1687</v>
      </c>
      <c r="B3721" s="441" t="s">
        <v>3754</v>
      </c>
      <c r="C3721" s="545">
        <v>4.5</v>
      </c>
      <c r="D3721" s="545">
        <v>0.66666666666666663</v>
      </c>
      <c r="E3721" s="545">
        <v>0.33333333333333331</v>
      </c>
      <c r="F3721" s="545">
        <v>3.3571428571428572</v>
      </c>
      <c r="G3721" s="545">
        <v>3.45</v>
      </c>
      <c r="H3721" s="545">
        <v>0.33333333333333331</v>
      </c>
      <c r="I3721" s="545">
        <v>0.33333333333333331</v>
      </c>
      <c r="J3721" s="545">
        <v>2.5595238095238093</v>
      </c>
    </row>
    <row r="3722" spans="1:10">
      <c r="A3722" s="441">
        <v>1688</v>
      </c>
      <c r="B3722" s="441" t="s">
        <v>3754</v>
      </c>
      <c r="C3722" s="545">
        <v>1.5</v>
      </c>
      <c r="D3722" s="545">
        <v>0</v>
      </c>
      <c r="E3722" s="545">
        <v>0.33333333333333331</v>
      </c>
      <c r="F3722" s="545">
        <v>1.1190476190476191</v>
      </c>
      <c r="G3722" s="545">
        <v>0.8</v>
      </c>
      <c r="H3722" s="545">
        <v>0</v>
      </c>
      <c r="I3722" s="545">
        <v>0</v>
      </c>
      <c r="J3722" s="545">
        <v>0.5714285714285714</v>
      </c>
    </row>
    <row r="3723" spans="1:10">
      <c r="A3723" s="441">
        <v>11798</v>
      </c>
      <c r="B3723" s="441" t="s">
        <v>3754</v>
      </c>
      <c r="C3723" s="545">
        <v>4.5</v>
      </c>
      <c r="D3723" s="545">
        <v>1.6666666666666665</v>
      </c>
      <c r="E3723" s="545">
        <v>0.33333333333333331</v>
      </c>
      <c r="F3723" s="545">
        <v>3.5</v>
      </c>
      <c r="G3723" s="545">
        <v>5</v>
      </c>
      <c r="H3723" s="545">
        <v>1.3333333333333333</v>
      </c>
      <c r="I3723" s="545">
        <v>0.66666666666666663</v>
      </c>
      <c r="J3723" s="545">
        <v>3.8571428571428572</v>
      </c>
    </row>
    <row r="3724" spans="1:10">
      <c r="A3724" s="441">
        <v>1692</v>
      </c>
      <c r="B3724" s="441" t="s">
        <v>3755</v>
      </c>
      <c r="C3724" s="545">
        <v>1.5</v>
      </c>
      <c r="D3724" s="545">
        <v>0</v>
      </c>
      <c r="E3724" s="545">
        <v>0</v>
      </c>
      <c r="F3724" s="545">
        <v>1.0714285714285714</v>
      </c>
      <c r="G3724" s="545">
        <v>0.6</v>
      </c>
      <c r="H3724" s="545">
        <v>0</v>
      </c>
      <c r="I3724" s="545">
        <v>0</v>
      </c>
      <c r="J3724" s="545">
        <v>0.42857142857142855</v>
      </c>
    </row>
    <row r="3725" spans="1:10">
      <c r="A3725" s="441">
        <v>2868</v>
      </c>
      <c r="B3725" s="441" t="s">
        <v>3756</v>
      </c>
      <c r="C3725" s="545">
        <v>5.8333333333333339</v>
      </c>
      <c r="D3725" s="545">
        <v>4.666666666666667</v>
      </c>
      <c r="E3725" s="545">
        <v>5</v>
      </c>
      <c r="F3725" s="545">
        <v>5.5476190476190483</v>
      </c>
      <c r="G3725" s="545">
        <v>5.05</v>
      </c>
      <c r="H3725" s="545">
        <v>2</v>
      </c>
      <c r="I3725" s="545">
        <v>1.3333333333333333</v>
      </c>
      <c r="J3725" s="545">
        <v>4.083333333333333</v>
      </c>
    </row>
    <row r="3726" spans="1:10">
      <c r="A3726" s="441">
        <v>2915</v>
      </c>
      <c r="B3726" s="441" t="s">
        <v>3756</v>
      </c>
      <c r="C3726" s="545">
        <v>12.833333333333332</v>
      </c>
      <c r="D3726" s="545">
        <v>10.333333333333332</v>
      </c>
      <c r="E3726" s="545">
        <v>7</v>
      </c>
      <c r="F3726" s="545">
        <v>11.642857142857141</v>
      </c>
      <c r="G3726" s="545">
        <v>12.85</v>
      </c>
      <c r="H3726" s="545">
        <v>7.666666666666667</v>
      </c>
      <c r="I3726" s="545">
        <v>7.333333333333333</v>
      </c>
      <c r="J3726" s="545">
        <v>11.321428571428571</v>
      </c>
    </row>
    <row r="3727" spans="1:10">
      <c r="A3727" s="441">
        <v>2916</v>
      </c>
      <c r="B3727" s="441" t="s">
        <v>3756</v>
      </c>
      <c r="C3727" s="545">
        <v>6.666666666666667</v>
      </c>
      <c r="D3727" s="545">
        <v>2.3333333333333335</v>
      </c>
      <c r="E3727" s="545">
        <v>2.3333333333333335</v>
      </c>
      <c r="F3727" s="545">
        <v>5.4285714285714297</v>
      </c>
      <c r="G3727" s="545">
        <v>2.9</v>
      </c>
      <c r="H3727" s="545">
        <v>3</v>
      </c>
      <c r="I3727" s="545">
        <v>2</v>
      </c>
      <c r="J3727" s="545">
        <v>2.7857142857142856</v>
      </c>
    </row>
    <row r="3728" spans="1:10">
      <c r="A3728" s="441">
        <v>2865</v>
      </c>
      <c r="B3728" s="441" t="s">
        <v>3757</v>
      </c>
      <c r="C3728" s="545">
        <v>26.666666666666664</v>
      </c>
      <c r="D3728" s="545">
        <v>13</v>
      </c>
      <c r="E3728" s="545">
        <v>11</v>
      </c>
      <c r="F3728" s="545">
        <v>22.476190476190474</v>
      </c>
      <c r="G3728" s="545">
        <v>24.65</v>
      </c>
      <c r="H3728" s="545">
        <v>15.333333333333334</v>
      </c>
      <c r="I3728" s="545">
        <v>12.333333333333334</v>
      </c>
      <c r="J3728" s="545">
        <v>21.559523809523814</v>
      </c>
    </row>
    <row r="3729" spans="1:10">
      <c r="A3729" s="441">
        <v>2918</v>
      </c>
      <c r="B3729" s="441" t="s">
        <v>3757</v>
      </c>
      <c r="C3729" s="545">
        <v>7.8333333333333339</v>
      </c>
      <c r="D3729" s="545">
        <v>6.6666666666666661</v>
      </c>
      <c r="E3729" s="545">
        <v>6</v>
      </c>
      <c r="F3729" s="545">
        <v>7.4047619047619051</v>
      </c>
      <c r="G3729" s="545">
        <v>7.65</v>
      </c>
      <c r="H3729" s="545">
        <v>4.333333333333333</v>
      </c>
      <c r="I3729" s="545">
        <v>2.3333333333333335</v>
      </c>
      <c r="J3729" s="545">
        <v>6.416666666666667</v>
      </c>
    </row>
    <row r="3730" spans="1:10">
      <c r="A3730" s="441">
        <v>2901</v>
      </c>
      <c r="B3730" s="441" t="s">
        <v>3758</v>
      </c>
      <c r="C3730" s="545">
        <v>2</v>
      </c>
      <c r="D3730" s="545">
        <v>1</v>
      </c>
      <c r="E3730" s="545">
        <v>0</v>
      </c>
      <c r="F3730" s="545">
        <v>1.5714285714285714</v>
      </c>
      <c r="G3730" s="545">
        <v>0.55000000000000004</v>
      </c>
      <c r="H3730" s="545">
        <v>2</v>
      </c>
      <c r="I3730" s="545">
        <v>0</v>
      </c>
      <c r="J3730" s="545">
        <v>0.6785714285714286</v>
      </c>
    </row>
    <row r="3731" spans="1:10">
      <c r="A3731" s="441">
        <v>2875</v>
      </c>
      <c r="B3731" s="441" t="s">
        <v>3759</v>
      </c>
      <c r="C3731" s="545">
        <v>5.5</v>
      </c>
      <c r="D3731" s="545">
        <v>3.3333333333333335</v>
      </c>
      <c r="E3731" s="545">
        <v>5.333333333333333</v>
      </c>
      <c r="F3731" s="545">
        <v>5.1666666666666661</v>
      </c>
      <c r="G3731" s="545">
        <v>4.4000000000000004</v>
      </c>
      <c r="H3731" s="545">
        <v>6</v>
      </c>
      <c r="I3731" s="545">
        <v>6.333333333333333</v>
      </c>
      <c r="J3731" s="545">
        <v>4.9047619047619051</v>
      </c>
    </row>
    <row r="3732" spans="1:10">
      <c r="A3732" s="441">
        <v>2876</v>
      </c>
      <c r="B3732" s="441" t="s">
        <v>3759</v>
      </c>
      <c r="C3732" s="545">
        <v>4.3333333333333339</v>
      </c>
      <c r="D3732" s="545">
        <v>0</v>
      </c>
      <c r="E3732" s="545">
        <v>1.3333333333333333</v>
      </c>
      <c r="F3732" s="545">
        <v>3.285714285714286</v>
      </c>
      <c r="G3732" s="545">
        <v>1.55</v>
      </c>
      <c r="H3732" s="545">
        <v>1.6666666666666667</v>
      </c>
      <c r="I3732" s="545">
        <v>1</v>
      </c>
      <c r="J3732" s="545">
        <v>1.4880952380952379</v>
      </c>
    </row>
    <row r="3733" spans="1:10">
      <c r="A3733" s="441">
        <v>2908</v>
      </c>
      <c r="B3733" s="441" t="s">
        <v>3759</v>
      </c>
      <c r="C3733" s="545">
        <v>5.8333333333333339</v>
      </c>
      <c r="D3733" s="545">
        <v>3.333333333333333</v>
      </c>
      <c r="E3733" s="545">
        <v>2</v>
      </c>
      <c r="F3733" s="545">
        <v>4.9285714285714297</v>
      </c>
      <c r="G3733" s="545">
        <v>3.4</v>
      </c>
      <c r="H3733" s="545">
        <v>6</v>
      </c>
      <c r="I3733" s="545">
        <v>6</v>
      </c>
      <c r="J3733" s="545">
        <v>4.1428571428571432</v>
      </c>
    </row>
    <row r="3734" spans="1:10">
      <c r="A3734" s="441">
        <v>2909</v>
      </c>
      <c r="B3734" s="441" t="s">
        <v>3759</v>
      </c>
      <c r="C3734" s="545">
        <v>30.666666666666668</v>
      </c>
      <c r="D3734" s="545">
        <v>15</v>
      </c>
      <c r="E3734" s="545">
        <v>8.3333333333333339</v>
      </c>
      <c r="F3734" s="545">
        <v>25.238095238095241</v>
      </c>
      <c r="G3734" s="545">
        <v>17.25</v>
      </c>
      <c r="H3734" s="545">
        <v>11.333333333333334</v>
      </c>
      <c r="I3734" s="545">
        <v>12</v>
      </c>
      <c r="J3734" s="545">
        <v>15.654761904761903</v>
      </c>
    </row>
    <row r="3735" spans="1:10">
      <c r="A3735" s="441">
        <v>2872</v>
      </c>
      <c r="B3735" s="441" t="s">
        <v>3760</v>
      </c>
      <c r="C3735" s="545">
        <v>13.166666666666668</v>
      </c>
      <c r="D3735" s="545">
        <v>6.6666666666666661</v>
      </c>
      <c r="E3735" s="545">
        <v>11.333333333333332</v>
      </c>
      <c r="F3735" s="545">
        <v>11.976190476190478</v>
      </c>
      <c r="G3735" s="545">
        <v>12.45</v>
      </c>
      <c r="H3735" s="545">
        <v>7</v>
      </c>
      <c r="I3735" s="545">
        <v>5.666666666666667</v>
      </c>
      <c r="J3735" s="545">
        <v>10.702380952380953</v>
      </c>
    </row>
    <row r="3736" spans="1:10">
      <c r="A3736" s="441">
        <v>2911</v>
      </c>
      <c r="B3736" s="441" t="s">
        <v>3760</v>
      </c>
      <c r="C3736" s="545">
        <v>19.5</v>
      </c>
      <c r="D3736" s="545">
        <v>12.666666666666668</v>
      </c>
      <c r="E3736" s="545">
        <v>11.666666666666666</v>
      </c>
      <c r="F3736" s="545">
        <v>17.404761904761905</v>
      </c>
      <c r="G3736" s="545">
        <v>24.05</v>
      </c>
      <c r="H3736" s="545">
        <v>14.333333333333334</v>
      </c>
      <c r="I3736" s="545">
        <v>13.333333333333334</v>
      </c>
      <c r="J3736" s="545">
        <v>21.130952380952383</v>
      </c>
    </row>
    <row r="3737" spans="1:10">
      <c r="A3737" s="441">
        <v>2863</v>
      </c>
      <c r="B3737" s="441" t="s">
        <v>3761</v>
      </c>
      <c r="C3737" s="545">
        <v>0.16666666666666666</v>
      </c>
      <c r="D3737" s="545">
        <v>0</v>
      </c>
      <c r="E3737" s="545">
        <v>0</v>
      </c>
      <c r="F3737" s="545">
        <v>0.11904761904761904</v>
      </c>
      <c r="G3737" s="545">
        <v>0.3</v>
      </c>
      <c r="H3737" s="545">
        <v>0</v>
      </c>
      <c r="I3737" s="545">
        <v>0</v>
      </c>
      <c r="J3737" s="545">
        <v>0.21428571428571427</v>
      </c>
    </row>
    <row r="3738" spans="1:10">
      <c r="A3738" s="441">
        <v>10987</v>
      </c>
      <c r="B3738" s="441" t="s">
        <v>3761</v>
      </c>
      <c r="C3738" s="545">
        <v>0</v>
      </c>
      <c r="D3738" s="545">
        <v>0.66666666666666663</v>
      </c>
      <c r="E3738" s="545">
        <v>0</v>
      </c>
      <c r="F3738" s="545">
        <v>9.5238095238095233E-2</v>
      </c>
      <c r="G3738" s="545">
        <v>0</v>
      </c>
      <c r="H3738" s="545">
        <v>0.33333333333333331</v>
      </c>
      <c r="I3738" s="545">
        <v>0</v>
      </c>
      <c r="J3738" s="545">
        <v>4.7619047619047616E-2</v>
      </c>
    </row>
    <row r="3739" spans="1:10">
      <c r="A3739" s="441">
        <v>2882</v>
      </c>
      <c r="B3739" s="441" t="s">
        <v>3762</v>
      </c>
      <c r="C3739" s="545">
        <v>4</v>
      </c>
      <c r="D3739" s="545">
        <v>0</v>
      </c>
      <c r="E3739" s="545">
        <v>3</v>
      </c>
      <c r="F3739" s="545">
        <v>3.2857142857142856</v>
      </c>
      <c r="G3739" s="545">
        <v>2.75</v>
      </c>
      <c r="H3739" s="545">
        <v>2.6666666666666665</v>
      </c>
      <c r="I3739" s="545">
        <v>0.66666666666666663</v>
      </c>
      <c r="J3739" s="545">
        <v>2.4404761904761907</v>
      </c>
    </row>
    <row r="3740" spans="1:10">
      <c r="A3740" s="441">
        <v>2866</v>
      </c>
      <c r="B3740" s="441" t="s">
        <v>3763</v>
      </c>
      <c r="C3740" s="545">
        <v>16.833333333333336</v>
      </c>
      <c r="D3740" s="545">
        <v>9.6666666666666661</v>
      </c>
      <c r="E3740" s="545">
        <v>13</v>
      </c>
      <c r="F3740" s="545">
        <v>15.261904761904765</v>
      </c>
      <c r="G3740" s="545">
        <v>14.95</v>
      </c>
      <c r="H3740" s="545">
        <v>8</v>
      </c>
      <c r="I3740" s="545">
        <v>6.666666666666667</v>
      </c>
      <c r="J3740" s="545">
        <v>12.773809523809524</v>
      </c>
    </row>
    <row r="3741" spans="1:10">
      <c r="A3741" s="441">
        <v>2917</v>
      </c>
      <c r="B3741" s="441" t="s">
        <v>3763</v>
      </c>
      <c r="C3741" s="545">
        <v>8.3333333333333339</v>
      </c>
      <c r="D3741" s="545">
        <v>2.666666666666667</v>
      </c>
      <c r="E3741" s="545">
        <v>6.333333333333333</v>
      </c>
      <c r="F3741" s="545">
        <v>7.238095238095239</v>
      </c>
      <c r="G3741" s="545">
        <v>10.15</v>
      </c>
      <c r="H3741" s="545">
        <v>4</v>
      </c>
      <c r="I3741" s="545">
        <v>4.666666666666667</v>
      </c>
      <c r="J3741" s="545">
        <v>8.4880952380952372</v>
      </c>
    </row>
    <row r="3742" spans="1:10">
      <c r="A3742" s="441">
        <v>10973</v>
      </c>
      <c r="B3742" s="441" t="s">
        <v>3764</v>
      </c>
      <c r="C3742" s="545">
        <v>0</v>
      </c>
      <c r="D3742" s="545">
        <v>0.66666666666666663</v>
      </c>
      <c r="E3742" s="545">
        <v>0</v>
      </c>
      <c r="F3742" s="545">
        <v>9.5238095238095233E-2</v>
      </c>
      <c r="G3742" s="545">
        <v>0.1</v>
      </c>
      <c r="H3742" s="545">
        <v>0</v>
      </c>
      <c r="I3742" s="545">
        <v>0.66666666666666663</v>
      </c>
      <c r="J3742" s="545">
        <v>0.16666666666666666</v>
      </c>
    </row>
    <row r="3743" spans="1:10">
      <c r="A3743" s="441">
        <v>10988</v>
      </c>
      <c r="B3743" s="441" t="s">
        <v>3764</v>
      </c>
      <c r="C3743" s="545">
        <v>0.16666666666666666</v>
      </c>
      <c r="D3743" s="545">
        <v>1.3333333333333333</v>
      </c>
      <c r="E3743" s="545">
        <v>0.33333333333333331</v>
      </c>
      <c r="F3743" s="545">
        <v>0.35714285714285715</v>
      </c>
      <c r="G3743" s="545">
        <v>0.05</v>
      </c>
      <c r="H3743" s="545">
        <v>0</v>
      </c>
      <c r="I3743" s="545">
        <v>0</v>
      </c>
      <c r="J3743" s="545">
        <v>3.5714285714285712E-2</v>
      </c>
    </row>
    <row r="3744" spans="1:10">
      <c r="A3744" s="441">
        <v>2907</v>
      </c>
      <c r="B3744" s="441" t="s">
        <v>3765</v>
      </c>
      <c r="C3744" s="545">
        <v>4.333333333333333</v>
      </c>
      <c r="D3744" s="545">
        <v>0.33333333333333331</v>
      </c>
      <c r="E3744" s="545">
        <v>1.3333333333333333</v>
      </c>
      <c r="F3744" s="545">
        <v>3.3333333333333326</v>
      </c>
      <c r="G3744" s="545">
        <v>1.7</v>
      </c>
      <c r="H3744" s="545">
        <v>1.3333333333333333</v>
      </c>
      <c r="I3744" s="545">
        <v>2.6666666666666665</v>
      </c>
      <c r="J3744" s="545">
        <v>1.7857142857142858</v>
      </c>
    </row>
    <row r="3745" spans="1:10">
      <c r="A3745" s="441">
        <v>1689</v>
      </c>
      <c r="B3745" s="441" t="s">
        <v>3766</v>
      </c>
      <c r="C3745" s="545">
        <v>0</v>
      </c>
      <c r="D3745" s="545">
        <v>0</v>
      </c>
      <c r="E3745" s="545">
        <v>0.66666666666666663</v>
      </c>
      <c r="F3745" s="545">
        <v>9.5238095238095233E-2</v>
      </c>
      <c r="G3745" s="545">
        <v>0.4</v>
      </c>
      <c r="H3745" s="545">
        <v>0.33333333333333331</v>
      </c>
      <c r="I3745" s="545">
        <v>0</v>
      </c>
      <c r="J3745" s="545">
        <v>0.33333333333333337</v>
      </c>
    </row>
    <row r="3746" spans="1:10">
      <c r="A3746" s="441">
        <v>1690</v>
      </c>
      <c r="B3746" s="441" t="s">
        <v>3766</v>
      </c>
      <c r="C3746" s="545">
        <v>0.16666666666666666</v>
      </c>
      <c r="D3746" s="545">
        <v>0</v>
      </c>
      <c r="E3746" s="545">
        <v>0.33333333333333331</v>
      </c>
      <c r="F3746" s="545">
        <v>0.16666666666666666</v>
      </c>
      <c r="G3746" s="545">
        <v>0.1</v>
      </c>
      <c r="H3746" s="545">
        <v>0</v>
      </c>
      <c r="I3746" s="545">
        <v>0</v>
      </c>
      <c r="J3746" s="545">
        <v>7.1428571428571425E-2</v>
      </c>
    </row>
    <row r="3747" spans="1:10">
      <c r="A3747" s="441">
        <v>1691</v>
      </c>
      <c r="B3747" s="441" t="s">
        <v>3766</v>
      </c>
      <c r="C3747" s="545">
        <v>1.1666666666666667</v>
      </c>
      <c r="D3747" s="545">
        <v>0</v>
      </c>
      <c r="E3747" s="545">
        <v>0</v>
      </c>
      <c r="F3747" s="545">
        <v>0.83333333333333337</v>
      </c>
      <c r="G3747" s="545">
        <v>2.4</v>
      </c>
      <c r="H3747" s="545">
        <v>0</v>
      </c>
      <c r="I3747" s="545">
        <v>0</v>
      </c>
      <c r="J3747" s="545">
        <v>1.7142857142857142</v>
      </c>
    </row>
    <row r="3748" spans="1:10">
      <c r="A3748" s="441">
        <v>13137</v>
      </c>
      <c r="B3748" s="441" t="s">
        <v>3767</v>
      </c>
      <c r="C3748" s="545">
        <v>8.5</v>
      </c>
      <c r="D3748" s="545">
        <v>6.6666666666666661</v>
      </c>
      <c r="E3748" s="545">
        <v>3.333333333333333</v>
      </c>
      <c r="F3748" s="545">
        <v>7.5</v>
      </c>
      <c r="G3748" s="545">
        <v>14.85</v>
      </c>
      <c r="H3748" s="545">
        <v>7.333333333333333</v>
      </c>
      <c r="I3748" s="545">
        <v>4.333333333333333</v>
      </c>
      <c r="J3748" s="545">
        <v>12.273809523809522</v>
      </c>
    </row>
    <row r="3749" spans="1:10">
      <c r="A3749" s="441">
        <v>10023</v>
      </c>
      <c r="B3749" s="441" t="s">
        <v>3768</v>
      </c>
      <c r="C3749" s="545">
        <v>21.5</v>
      </c>
      <c r="D3749" s="545">
        <v>9</v>
      </c>
      <c r="E3749" s="545">
        <v>5.666666666666667</v>
      </c>
      <c r="F3749" s="545">
        <v>17.452380952380953</v>
      </c>
      <c r="G3749" s="545">
        <v>8.8000000000000007</v>
      </c>
      <c r="H3749" s="545">
        <v>9.3333333333333339</v>
      </c>
      <c r="I3749" s="545">
        <v>7.666666666666667</v>
      </c>
      <c r="J3749" s="545">
        <v>8.7142857142857135</v>
      </c>
    </row>
    <row r="3750" spans="1:10">
      <c r="A3750" s="441">
        <v>2862</v>
      </c>
      <c r="B3750" s="441" t="s">
        <v>3769</v>
      </c>
      <c r="C3750" s="545">
        <v>0.83333333333333326</v>
      </c>
      <c r="D3750" s="545">
        <v>0.66666666666666663</v>
      </c>
      <c r="E3750" s="545">
        <v>1.3333333333333333</v>
      </c>
      <c r="F3750" s="545">
        <v>0.88095238095238082</v>
      </c>
      <c r="G3750" s="545">
        <v>1.35</v>
      </c>
      <c r="H3750" s="545">
        <v>2</v>
      </c>
      <c r="I3750" s="545">
        <v>1</v>
      </c>
      <c r="J3750" s="545">
        <v>1.3928571428571428</v>
      </c>
    </row>
    <row r="3751" spans="1:10">
      <c r="A3751" s="441">
        <v>10989</v>
      </c>
      <c r="B3751" s="441" t="s">
        <v>3769</v>
      </c>
      <c r="C3751" s="545">
        <v>1.1666666666666667</v>
      </c>
      <c r="D3751" s="545">
        <v>2.3333333333333335</v>
      </c>
      <c r="E3751" s="545">
        <v>0.66666666666666663</v>
      </c>
      <c r="F3751" s="545">
        <v>1.2619047619047621</v>
      </c>
      <c r="G3751" s="545">
        <v>2.25</v>
      </c>
      <c r="H3751" s="545">
        <v>3.3333333333333335</v>
      </c>
      <c r="I3751" s="545">
        <v>5.333333333333333</v>
      </c>
      <c r="J3751" s="545">
        <v>2.8452380952380953</v>
      </c>
    </row>
    <row r="3752" spans="1:10">
      <c r="A3752" s="441">
        <v>1693</v>
      </c>
      <c r="B3752" s="441" t="s">
        <v>3770</v>
      </c>
      <c r="C3752" s="545">
        <v>9</v>
      </c>
      <c r="D3752" s="545">
        <v>0</v>
      </c>
      <c r="E3752" s="545">
        <v>2.666666666666667</v>
      </c>
      <c r="F3752" s="545">
        <v>6.8095238095238093</v>
      </c>
      <c r="G3752" s="545">
        <v>5.7</v>
      </c>
      <c r="H3752" s="545">
        <v>4.666666666666667</v>
      </c>
      <c r="I3752" s="545">
        <v>3.3333333333333335</v>
      </c>
      <c r="J3752" s="545">
        <v>5.2142857142857144</v>
      </c>
    </row>
    <row r="3753" spans="1:10">
      <c r="A3753" s="441">
        <v>2891</v>
      </c>
      <c r="B3753" s="441" t="s">
        <v>3770</v>
      </c>
      <c r="C3753" s="545">
        <v>9.1666666666666661</v>
      </c>
      <c r="D3753" s="545">
        <v>2.6666666666666665</v>
      </c>
      <c r="E3753" s="545">
        <v>3</v>
      </c>
      <c r="F3753" s="545">
        <v>7.3571428571428559</v>
      </c>
      <c r="G3753" s="545">
        <v>4.2</v>
      </c>
      <c r="H3753" s="545">
        <v>7.666666666666667</v>
      </c>
      <c r="I3753" s="545">
        <v>3</v>
      </c>
      <c r="J3753" s="545">
        <v>4.5238095238095237</v>
      </c>
    </row>
    <row r="3754" spans="1:10">
      <c r="A3754" s="441">
        <v>2892</v>
      </c>
      <c r="B3754" s="441" t="s">
        <v>3770</v>
      </c>
      <c r="C3754" s="545">
        <v>11.5</v>
      </c>
      <c r="D3754" s="545">
        <v>3.333333333333333</v>
      </c>
      <c r="E3754" s="545">
        <v>8.3333333333333339</v>
      </c>
      <c r="F3754" s="545">
        <v>9.8809523809523814</v>
      </c>
      <c r="G3754" s="545">
        <v>5.35</v>
      </c>
      <c r="H3754" s="545">
        <v>2.3333333333333335</v>
      </c>
      <c r="I3754" s="545">
        <v>3.6666666666666665</v>
      </c>
      <c r="J3754" s="545">
        <v>4.6785714285714288</v>
      </c>
    </row>
    <row r="3755" spans="1:10">
      <c r="A3755" s="441">
        <v>2869</v>
      </c>
      <c r="B3755" s="441" t="s">
        <v>3771</v>
      </c>
      <c r="C3755" s="545">
        <v>5.1666666666666661</v>
      </c>
      <c r="D3755" s="545">
        <v>2</v>
      </c>
      <c r="E3755" s="545">
        <v>6.333333333333333</v>
      </c>
      <c r="F3755" s="545">
        <v>4.8809523809523805</v>
      </c>
      <c r="G3755" s="545">
        <v>4.0999999999999996</v>
      </c>
      <c r="H3755" s="545">
        <v>1.6666666666666667</v>
      </c>
      <c r="I3755" s="545">
        <v>4.666666666666667</v>
      </c>
      <c r="J3755" s="545">
        <v>3.8333333333333335</v>
      </c>
    </row>
    <row r="3756" spans="1:10">
      <c r="A3756" s="441">
        <v>2914</v>
      </c>
      <c r="B3756" s="441" t="s">
        <v>3771</v>
      </c>
      <c r="C3756" s="545">
        <v>21.5</v>
      </c>
      <c r="D3756" s="545">
        <v>15.666666666666666</v>
      </c>
      <c r="E3756" s="545">
        <v>12.666666666666668</v>
      </c>
      <c r="F3756" s="545">
        <v>19.404761904761905</v>
      </c>
      <c r="G3756" s="545">
        <v>19.25</v>
      </c>
      <c r="H3756" s="545">
        <v>13.666666666666666</v>
      </c>
      <c r="I3756" s="545">
        <v>13.333333333333334</v>
      </c>
      <c r="J3756" s="545">
        <v>17.607142857142858</v>
      </c>
    </row>
    <row r="3757" spans="1:10">
      <c r="A3757" s="441">
        <v>2870</v>
      </c>
      <c r="B3757" s="441" t="s">
        <v>3772</v>
      </c>
      <c r="C3757" s="545">
        <v>11</v>
      </c>
      <c r="D3757" s="545">
        <v>4</v>
      </c>
      <c r="E3757" s="545">
        <v>3.3333333333333335</v>
      </c>
      <c r="F3757" s="545">
        <v>8.9047619047619051</v>
      </c>
      <c r="G3757" s="545">
        <v>3.45</v>
      </c>
      <c r="H3757" s="545">
        <v>2</v>
      </c>
      <c r="I3757" s="545">
        <v>3.6666666666666665</v>
      </c>
      <c r="J3757" s="545">
        <v>3.2738095238095242</v>
      </c>
    </row>
    <row r="3758" spans="1:10">
      <c r="A3758" s="441">
        <v>11892</v>
      </c>
      <c r="B3758" s="441" t="s">
        <v>3773</v>
      </c>
      <c r="C3758" s="545">
        <v>1.5</v>
      </c>
      <c r="D3758" s="545">
        <v>0.66666666666666663</v>
      </c>
      <c r="E3758" s="545">
        <v>3.6666666666666665</v>
      </c>
      <c r="F3758" s="545">
        <v>1.6904761904761902</v>
      </c>
      <c r="G3758" s="545">
        <v>2.15</v>
      </c>
      <c r="H3758" s="545">
        <v>1.6666666666666667</v>
      </c>
      <c r="I3758" s="545">
        <v>2</v>
      </c>
      <c r="J3758" s="545">
        <v>2.0595238095238093</v>
      </c>
    </row>
    <row r="3759" spans="1:10">
      <c r="A3759" s="441">
        <v>11893</v>
      </c>
      <c r="B3759" s="441" t="s">
        <v>3773</v>
      </c>
      <c r="C3759" s="545">
        <v>0.83333333333333337</v>
      </c>
      <c r="D3759" s="545">
        <v>1.6666666666666667</v>
      </c>
      <c r="E3759" s="545">
        <v>3.333333333333333</v>
      </c>
      <c r="F3759" s="545">
        <v>1.3095238095238098</v>
      </c>
      <c r="G3759" s="545">
        <v>0.7</v>
      </c>
      <c r="H3759" s="545">
        <v>1.3333333333333333</v>
      </c>
      <c r="I3759" s="545">
        <v>2</v>
      </c>
      <c r="J3759" s="545">
        <v>0.97619047619047616</v>
      </c>
    </row>
    <row r="3760" spans="1:10">
      <c r="A3760" s="441">
        <v>2873</v>
      </c>
      <c r="B3760" s="441" t="s">
        <v>3774</v>
      </c>
      <c r="C3760" s="545">
        <v>133.16666666666669</v>
      </c>
      <c r="D3760" s="545">
        <v>68.666666666666657</v>
      </c>
      <c r="E3760" s="545">
        <v>62.666666666666671</v>
      </c>
      <c r="F3760" s="545">
        <v>113.88095238095239</v>
      </c>
      <c r="G3760" s="545">
        <v>77.349999999999994</v>
      </c>
      <c r="H3760" s="545">
        <v>52</v>
      </c>
      <c r="I3760" s="545">
        <v>44.333333333333336</v>
      </c>
      <c r="J3760" s="545">
        <v>69.011904761904759</v>
      </c>
    </row>
    <row r="3761" spans="1:10">
      <c r="A3761" s="441">
        <v>2874</v>
      </c>
      <c r="B3761" s="441" t="s">
        <v>3774</v>
      </c>
      <c r="C3761" s="545">
        <v>25.5</v>
      </c>
      <c r="D3761" s="545">
        <v>10.666666666666666</v>
      </c>
      <c r="E3761" s="545">
        <v>15</v>
      </c>
      <c r="F3761" s="545">
        <v>21.88095238095238</v>
      </c>
      <c r="G3761" s="545">
        <v>11.7</v>
      </c>
      <c r="H3761" s="545">
        <v>8</v>
      </c>
      <c r="I3761" s="545">
        <v>6</v>
      </c>
      <c r="J3761" s="545">
        <v>10.357142857142858</v>
      </c>
    </row>
    <row r="3762" spans="1:10">
      <c r="A3762" s="441">
        <v>2910</v>
      </c>
      <c r="B3762" s="441" t="s">
        <v>3774</v>
      </c>
      <c r="C3762" s="545">
        <v>122.83333333333334</v>
      </c>
      <c r="D3762" s="545">
        <v>68.666666666666671</v>
      </c>
      <c r="E3762" s="545">
        <v>58.333333333333329</v>
      </c>
      <c r="F3762" s="545">
        <v>105.88095238095239</v>
      </c>
      <c r="G3762" s="545">
        <v>72.05</v>
      </c>
      <c r="H3762" s="545">
        <v>65.666666666666671</v>
      </c>
      <c r="I3762" s="545">
        <v>45.333333333333336</v>
      </c>
      <c r="J3762" s="545">
        <v>67.321428571428569</v>
      </c>
    </row>
    <row r="3763" spans="1:10">
      <c r="A3763" s="441">
        <v>2864</v>
      </c>
      <c r="B3763" s="441" t="s">
        <v>3775</v>
      </c>
      <c r="C3763" s="545">
        <v>2.1666666666666665</v>
      </c>
      <c r="D3763" s="545">
        <v>0</v>
      </c>
      <c r="E3763" s="545">
        <v>1</v>
      </c>
      <c r="F3763" s="545">
        <v>1.6904761904761902</v>
      </c>
      <c r="G3763" s="545">
        <v>2.5499999999999998</v>
      </c>
      <c r="H3763" s="545">
        <v>0</v>
      </c>
      <c r="I3763" s="545">
        <v>0.33333333333333331</v>
      </c>
      <c r="J3763" s="545">
        <v>1.8690476190476191</v>
      </c>
    </row>
    <row r="3764" spans="1:10">
      <c r="A3764" s="441">
        <v>10986</v>
      </c>
      <c r="B3764" s="441" t="s">
        <v>3775</v>
      </c>
      <c r="C3764" s="545">
        <v>0.16666666666666666</v>
      </c>
      <c r="D3764" s="545">
        <v>0</v>
      </c>
      <c r="E3764" s="545">
        <v>0.33333333333333331</v>
      </c>
      <c r="F3764" s="545">
        <v>0.16666666666666666</v>
      </c>
      <c r="G3764" s="545">
        <v>0.95</v>
      </c>
      <c r="H3764" s="545">
        <v>0.33333333333333331</v>
      </c>
      <c r="I3764" s="545">
        <v>0.33333333333333331</v>
      </c>
      <c r="J3764" s="545">
        <v>0.77380952380952372</v>
      </c>
    </row>
    <row r="3765" spans="1:10">
      <c r="A3765" s="441">
        <v>2881</v>
      </c>
      <c r="B3765" s="441" t="s">
        <v>3776</v>
      </c>
      <c r="C3765" s="545">
        <v>12.5</v>
      </c>
      <c r="D3765" s="545">
        <v>9</v>
      </c>
      <c r="E3765" s="545">
        <v>6.6666666666666661</v>
      </c>
      <c r="F3765" s="545">
        <v>11.166666666666668</v>
      </c>
      <c r="G3765" s="545">
        <v>10.25</v>
      </c>
      <c r="H3765" s="545">
        <v>6.333333333333333</v>
      </c>
      <c r="I3765" s="545">
        <v>7.333333333333333</v>
      </c>
      <c r="J3765" s="545">
        <v>9.2738095238095237</v>
      </c>
    </row>
    <row r="3766" spans="1:10">
      <c r="A3766" s="441">
        <v>2902</v>
      </c>
      <c r="B3766" s="441" t="s">
        <v>3776</v>
      </c>
      <c r="C3766" s="545">
        <v>21.166666666666668</v>
      </c>
      <c r="D3766" s="545">
        <v>7</v>
      </c>
      <c r="E3766" s="545">
        <v>16.666666666666668</v>
      </c>
      <c r="F3766" s="545">
        <v>18.5</v>
      </c>
      <c r="G3766" s="545">
        <v>14</v>
      </c>
      <c r="H3766" s="545">
        <v>11</v>
      </c>
      <c r="I3766" s="545">
        <v>9.6666666666666661</v>
      </c>
      <c r="J3766" s="545">
        <v>12.952380952380953</v>
      </c>
    </row>
    <row r="3767" spans="1:10">
      <c r="A3767" s="441">
        <v>10981</v>
      </c>
      <c r="B3767" s="441" t="s">
        <v>3777</v>
      </c>
      <c r="C3767" s="545">
        <v>7.6666666666666661</v>
      </c>
      <c r="D3767" s="545">
        <v>5.666666666666667</v>
      </c>
      <c r="E3767" s="545">
        <v>3.666666666666667</v>
      </c>
      <c r="F3767" s="545">
        <v>6.8095238095238084</v>
      </c>
      <c r="G3767" s="545">
        <v>2</v>
      </c>
      <c r="H3767" s="545">
        <v>2.6666666666666665</v>
      </c>
      <c r="I3767" s="545">
        <v>0</v>
      </c>
      <c r="J3767" s="545">
        <v>1.8095238095238095</v>
      </c>
    </row>
    <row r="3768" spans="1:10">
      <c r="A3768" s="441">
        <v>2857</v>
      </c>
      <c r="B3768" s="441" t="s">
        <v>3778</v>
      </c>
      <c r="C3768" s="545">
        <v>7.333333333333333</v>
      </c>
      <c r="D3768" s="545">
        <v>5</v>
      </c>
      <c r="E3768" s="545">
        <v>2.666666666666667</v>
      </c>
      <c r="F3768" s="545">
        <v>6.333333333333333</v>
      </c>
      <c r="G3768" s="545">
        <v>4.2</v>
      </c>
      <c r="H3768" s="545">
        <v>2.6666666666666665</v>
      </c>
      <c r="I3768" s="545">
        <v>2</v>
      </c>
      <c r="J3768" s="545">
        <v>3.666666666666667</v>
      </c>
    </row>
    <row r="3769" spans="1:10">
      <c r="A3769" s="441">
        <v>11626</v>
      </c>
      <c r="B3769" s="441" t="s">
        <v>3779</v>
      </c>
      <c r="C3769" s="545">
        <v>1.8333333333333335</v>
      </c>
      <c r="D3769" s="545">
        <v>2.3333333333333335</v>
      </c>
      <c r="E3769" s="545">
        <v>0</v>
      </c>
      <c r="F3769" s="545">
        <v>1.642857142857143</v>
      </c>
      <c r="G3769" s="545">
        <v>0.8</v>
      </c>
      <c r="H3769" s="545">
        <v>0.66666666666666663</v>
      </c>
      <c r="I3769" s="545">
        <v>0.33333333333333331</v>
      </c>
      <c r="J3769" s="545">
        <v>0.7142857142857143</v>
      </c>
    </row>
    <row r="3770" spans="1:10">
      <c r="A3770" s="441">
        <v>2855</v>
      </c>
      <c r="B3770" s="441" t="s">
        <v>3780</v>
      </c>
      <c r="C3770" s="545">
        <v>0.5</v>
      </c>
      <c r="D3770" s="545">
        <v>0</v>
      </c>
      <c r="E3770" s="545">
        <v>0.33333333333333331</v>
      </c>
      <c r="F3770" s="545">
        <v>0.40476190476190477</v>
      </c>
      <c r="G3770" s="545">
        <v>0.6</v>
      </c>
      <c r="H3770" s="545">
        <v>0.33333333333333331</v>
      </c>
      <c r="I3770" s="545">
        <v>0</v>
      </c>
      <c r="J3770" s="545">
        <v>0.47619047619047622</v>
      </c>
    </row>
    <row r="3771" spans="1:10">
      <c r="A3771" s="441">
        <v>10980</v>
      </c>
      <c r="B3771" s="441" t="s">
        <v>3780</v>
      </c>
      <c r="C3771" s="545">
        <v>1.6666666666666667</v>
      </c>
      <c r="D3771" s="545">
        <v>0.33333333333333331</v>
      </c>
      <c r="E3771" s="545">
        <v>0.66666666666666663</v>
      </c>
      <c r="F3771" s="545">
        <v>1.3333333333333335</v>
      </c>
      <c r="G3771" s="545">
        <v>1.1499999999999999</v>
      </c>
      <c r="H3771" s="545">
        <v>1</v>
      </c>
      <c r="I3771" s="545">
        <v>0</v>
      </c>
      <c r="J3771" s="545">
        <v>0.9642857142857143</v>
      </c>
    </row>
    <row r="3772" spans="1:10">
      <c r="A3772" s="441">
        <v>2856</v>
      </c>
      <c r="B3772" s="441" t="s">
        <v>3781</v>
      </c>
      <c r="C3772" s="545">
        <v>0.66666666666666663</v>
      </c>
      <c r="D3772" s="545">
        <v>0.33333333333333331</v>
      </c>
      <c r="E3772" s="545">
        <v>0</v>
      </c>
      <c r="F3772" s="545">
        <v>0.52380952380952384</v>
      </c>
      <c r="G3772" s="545">
        <v>1.4</v>
      </c>
      <c r="H3772" s="545">
        <v>0</v>
      </c>
      <c r="I3772" s="545">
        <v>0</v>
      </c>
      <c r="J3772" s="545">
        <v>1</v>
      </c>
    </row>
    <row r="3773" spans="1:10">
      <c r="A3773" s="441">
        <v>10979</v>
      </c>
      <c r="B3773" s="441" t="s">
        <v>3781</v>
      </c>
      <c r="C3773" s="545">
        <v>1.3333333333333333</v>
      </c>
      <c r="D3773" s="545">
        <v>0</v>
      </c>
      <c r="E3773" s="545">
        <v>0.33333333333333331</v>
      </c>
      <c r="F3773" s="545">
        <v>0.99999999999999989</v>
      </c>
      <c r="G3773" s="545">
        <v>0.3</v>
      </c>
      <c r="H3773" s="545">
        <v>0.33333333333333331</v>
      </c>
      <c r="I3773" s="545">
        <v>0.66666666666666663</v>
      </c>
      <c r="J3773" s="545">
        <v>0.35714285714285715</v>
      </c>
    </row>
    <row r="3774" spans="1:10">
      <c r="A3774" s="441">
        <v>13180</v>
      </c>
      <c r="B3774" s="441" t="s">
        <v>3782</v>
      </c>
      <c r="C3774" s="545" t="e">
        <v>#N/A</v>
      </c>
      <c r="D3774" s="545" t="e">
        <v>#N/A</v>
      </c>
      <c r="E3774" s="545" t="e">
        <v>#N/A</v>
      </c>
      <c r="F3774" s="545" t="e">
        <v>#N/A</v>
      </c>
      <c r="G3774" s="545">
        <v>21.25</v>
      </c>
      <c r="H3774" s="545">
        <v>13</v>
      </c>
      <c r="I3774" s="545">
        <v>14.666666666666666</v>
      </c>
      <c r="J3774" s="545">
        <v>19.13095238095238</v>
      </c>
    </row>
    <row r="3775" spans="1:10">
      <c r="A3775" s="441">
        <v>13181</v>
      </c>
      <c r="B3775" s="441" t="s">
        <v>3782</v>
      </c>
      <c r="C3775" s="545" t="e">
        <v>#N/A</v>
      </c>
      <c r="D3775" s="545" t="e">
        <v>#N/A</v>
      </c>
      <c r="E3775" s="545" t="e">
        <v>#N/A</v>
      </c>
      <c r="F3775" s="545" t="e">
        <v>#N/A</v>
      </c>
      <c r="G3775" s="545">
        <v>37.549999999999997</v>
      </c>
      <c r="H3775" s="545">
        <v>21.666666666666668</v>
      </c>
      <c r="I3775" s="545">
        <v>9.6666666666666661</v>
      </c>
      <c r="J3775" s="545">
        <v>31.297619047619044</v>
      </c>
    </row>
    <row r="3776" spans="1:10">
      <c r="A3776" s="441">
        <v>2076</v>
      </c>
      <c r="B3776" s="441" t="s">
        <v>3783</v>
      </c>
      <c r="C3776" s="545">
        <v>19.666666666666664</v>
      </c>
      <c r="D3776" s="545">
        <v>3.3333333333333335</v>
      </c>
      <c r="E3776" s="545">
        <v>2.666666666666667</v>
      </c>
      <c r="F3776" s="545">
        <v>14.904761904761902</v>
      </c>
      <c r="G3776" s="545">
        <v>16.100000000000001</v>
      </c>
      <c r="H3776" s="545">
        <v>3</v>
      </c>
      <c r="I3776" s="545">
        <v>3</v>
      </c>
      <c r="J3776" s="545">
        <v>12.357142857142858</v>
      </c>
    </row>
    <row r="3777" spans="1:10">
      <c r="A3777" s="441">
        <v>2077</v>
      </c>
      <c r="B3777" s="441" t="s">
        <v>3783</v>
      </c>
      <c r="C3777" s="545">
        <v>22</v>
      </c>
      <c r="D3777" s="545">
        <v>0.66666666666666663</v>
      </c>
      <c r="E3777" s="545">
        <v>5.3333333333333339</v>
      </c>
      <c r="F3777" s="545">
        <v>16.571428571428573</v>
      </c>
      <c r="G3777" s="545">
        <v>21.3</v>
      </c>
      <c r="H3777" s="545">
        <v>4.333333333333333</v>
      </c>
      <c r="I3777" s="545">
        <v>2</v>
      </c>
      <c r="J3777" s="545">
        <v>16.119047619047617</v>
      </c>
    </row>
    <row r="3778" spans="1:10">
      <c r="A3778" s="441">
        <v>2080</v>
      </c>
      <c r="B3778" s="441" t="s">
        <v>3784</v>
      </c>
      <c r="C3778" s="545">
        <v>11.166666666666666</v>
      </c>
      <c r="D3778" s="545">
        <v>2.333333333333333</v>
      </c>
      <c r="E3778" s="545">
        <v>3.3333333333333335</v>
      </c>
      <c r="F3778" s="545">
        <v>8.7857142857142865</v>
      </c>
      <c r="G3778" s="545">
        <v>11.35</v>
      </c>
      <c r="H3778" s="545">
        <v>3.3333333333333335</v>
      </c>
      <c r="I3778" s="545">
        <v>3</v>
      </c>
      <c r="J3778" s="545">
        <v>9.0119047619047628</v>
      </c>
    </row>
    <row r="3779" spans="1:10">
      <c r="A3779" s="441">
        <v>2099</v>
      </c>
      <c r="B3779" s="441" t="s">
        <v>3784</v>
      </c>
      <c r="C3779" s="545">
        <v>7.1666666666666661</v>
      </c>
      <c r="D3779" s="545">
        <v>2.666666666666667</v>
      </c>
      <c r="E3779" s="545">
        <v>1.3333333333333333</v>
      </c>
      <c r="F3779" s="545">
        <v>5.6904761904761898</v>
      </c>
      <c r="G3779" s="545">
        <v>6.05</v>
      </c>
      <c r="H3779" s="545">
        <v>3.3333333333333335</v>
      </c>
      <c r="I3779" s="545">
        <v>3.3333333333333335</v>
      </c>
      <c r="J3779" s="545">
        <v>5.2738095238095246</v>
      </c>
    </row>
    <row r="3780" spans="1:10">
      <c r="A3780" s="441">
        <v>2079</v>
      </c>
      <c r="B3780" s="441" t="s">
        <v>3785</v>
      </c>
      <c r="C3780" s="545">
        <v>10.166666666666668</v>
      </c>
      <c r="D3780" s="545">
        <v>7</v>
      </c>
      <c r="E3780" s="545">
        <v>6.333333333333333</v>
      </c>
      <c r="F3780" s="545">
        <v>9.1666666666666679</v>
      </c>
      <c r="G3780" s="545">
        <v>6.05</v>
      </c>
      <c r="H3780" s="545">
        <v>6.666666666666667</v>
      </c>
      <c r="I3780" s="545">
        <v>1.3333333333333333</v>
      </c>
      <c r="J3780" s="545">
        <v>5.4642857142857144</v>
      </c>
    </row>
    <row r="3781" spans="1:10">
      <c r="A3781" s="441">
        <v>2100</v>
      </c>
      <c r="B3781" s="441" t="s">
        <v>3785</v>
      </c>
      <c r="C3781" s="545">
        <v>13</v>
      </c>
      <c r="D3781" s="545">
        <v>5.6666666666666661</v>
      </c>
      <c r="E3781" s="545">
        <v>3.3333333333333335</v>
      </c>
      <c r="F3781" s="545">
        <v>10.571428571428571</v>
      </c>
      <c r="G3781" s="545">
        <v>3.9</v>
      </c>
      <c r="H3781" s="545">
        <v>3</v>
      </c>
      <c r="I3781" s="545">
        <v>0.66666666666666663</v>
      </c>
      <c r="J3781" s="545">
        <v>3.3095238095238098</v>
      </c>
    </row>
    <row r="3782" spans="1:10">
      <c r="A3782" s="441">
        <v>2081</v>
      </c>
      <c r="B3782" s="441" t="s">
        <v>3786</v>
      </c>
      <c r="C3782" s="545">
        <v>12.166666666666666</v>
      </c>
      <c r="D3782" s="545">
        <v>17</v>
      </c>
      <c r="E3782" s="545">
        <v>8.6666666666666661</v>
      </c>
      <c r="F3782" s="545">
        <v>12.357142857142858</v>
      </c>
      <c r="G3782" s="545">
        <v>6.35</v>
      </c>
      <c r="H3782" s="545">
        <v>3.3333333333333335</v>
      </c>
      <c r="I3782" s="545">
        <v>0.66666666666666663</v>
      </c>
      <c r="J3782" s="545">
        <v>5.1071428571428568</v>
      </c>
    </row>
    <row r="3783" spans="1:10">
      <c r="A3783" s="441">
        <v>2089</v>
      </c>
      <c r="B3783" s="441" t="s">
        <v>3786</v>
      </c>
      <c r="C3783" s="545">
        <v>23.166666666666668</v>
      </c>
      <c r="D3783" s="545">
        <v>20</v>
      </c>
      <c r="E3783" s="545">
        <v>10</v>
      </c>
      <c r="F3783" s="545">
        <v>20.833333333333336</v>
      </c>
      <c r="G3783" s="545">
        <v>10.95</v>
      </c>
      <c r="H3783" s="545">
        <v>5.666666666666667</v>
      </c>
      <c r="I3783" s="545">
        <v>3</v>
      </c>
      <c r="J3783" s="545">
        <v>9.0595238095238084</v>
      </c>
    </row>
    <row r="3784" spans="1:10">
      <c r="A3784" s="441">
        <v>2083</v>
      </c>
      <c r="B3784" s="441" t="s">
        <v>3787</v>
      </c>
      <c r="C3784" s="545">
        <v>13.333333333333334</v>
      </c>
      <c r="D3784" s="545">
        <v>6.6666666666666661</v>
      </c>
      <c r="E3784" s="545">
        <v>7</v>
      </c>
      <c r="F3784" s="545">
        <v>11.476190476190478</v>
      </c>
      <c r="G3784" s="545">
        <v>8.3000000000000007</v>
      </c>
      <c r="H3784" s="545">
        <v>4</v>
      </c>
      <c r="I3784" s="545">
        <v>10.333333333333334</v>
      </c>
      <c r="J3784" s="545">
        <v>7.9761904761904763</v>
      </c>
    </row>
    <row r="3785" spans="1:10">
      <c r="A3785" s="441">
        <v>10274</v>
      </c>
      <c r="B3785" s="441" t="s">
        <v>3787</v>
      </c>
      <c r="C3785" s="545">
        <v>13.333333333333334</v>
      </c>
      <c r="D3785" s="545">
        <v>3.6666666666666665</v>
      </c>
      <c r="E3785" s="545">
        <v>1.6666666666666665</v>
      </c>
      <c r="F3785" s="545">
        <v>10.285714285714288</v>
      </c>
      <c r="G3785" s="545">
        <v>6.15</v>
      </c>
      <c r="H3785" s="545">
        <v>1.6666666666666667</v>
      </c>
      <c r="I3785" s="545">
        <v>0.66666666666666663</v>
      </c>
      <c r="J3785" s="545">
        <v>4.7261904761904754</v>
      </c>
    </row>
    <row r="3786" spans="1:10">
      <c r="A3786" s="441">
        <v>6469</v>
      </c>
      <c r="B3786" s="441" t="s">
        <v>3788</v>
      </c>
      <c r="C3786" s="545">
        <v>10.666666666666666</v>
      </c>
      <c r="D3786" s="545">
        <v>2.333333333333333</v>
      </c>
      <c r="E3786" s="545">
        <v>3.3333333333333335</v>
      </c>
      <c r="F3786" s="545">
        <v>8.4285714285714288</v>
      </c>
      <c r="G3786" s="545">
        <v>3.7</v>
      </c>
      <c r="H3786" s="545">
        <v>0.33333333333333331</v>
      </c>
      <c r="I3786" s="545">
        <v>4.333333333333333</v>
      </c>
      <c r="J3786" s="545">
        <v>3.3095238095238093</v>
      </c>
    </row>
    <row r="3787" spans="1:10">
      <c r="A3787" s="441">
        <v>6466</v>
      </c>
      <c r="B3787" s="441" t="s">
        <v>3789</v>
      </c>
      <c r="C3787" s="545">
        <v>2.1666666666666665</v>
      </c>
      <c r="D3787" s="545">
        <v>1</v>
      </c>
      <c r="E3787" s="545">
        <v>1.3333333333333333</v>
      </c>
      <c r="F3787" s="545">
        <v>1.8809523809523809</v>
      </c>
      <c r="G3787" s="545">
        <v>2</v>
      </c>
      <c r="H3787" s="545">
        <v>3.3333333333333335</v>
      </c>
      <c r="I3787" s="545">
        <v>2.3333333333333335</v>
      </c>
      <c r="J3787" s="545">
        <v>2.2380952380952381</v>
      </c>
    </row>
    <row r="3788" spans="1:10">
      <c r="A3788" s="441">
        <v>6468</v>
      </c>
      <c r="B3788" s="441" t="s">
        <v>3789</v>
      </c>
      <c r="C3788" s="545">
        <v>1.1666666666666665</v>
      </c>
      <c r="D3788" s="545">
        <v>0.33333333333333331</v>
      </c>
      <c r="E3788" s="545">
        <v>0</v>
      </c>
      <c r="F3788" s="545">
        <v>0.88095238095238071</v>
      </c>
      <c r="G3788" s="545">
        <v>1.45</v>
      </c>
      <c r="H3788" s="545">
        <v>0.66666666666666663</v>
      </c>
      <c r="I3788" s="545">
        <v>0</v>
      </c>
      <c r="J3788" s="545">
        <v>1.1309523809523809</v>
      </c>
    </row>
    <row r="3789" spans="1:10">
      <c r="A3789" s="441">
        <v>6465</v>
      </c>
      <c r="B3789" s="441" t="s">
        <v>3790</v>
      </c>
      <c r="C3789" s="545">
        <v>8.6666666666666661</v>
      </c>
      <c r="D3789" s="545">
        <v>4</v>
      </c>
      <c r="E3789" s="545">
        <v>4.666666666666667</v>
      </c>
      <c r="F3789" s="545">
        <v>7.4285714285714279</v>
      </c>
      <c r="G3789" s="545">
        <v>4.05</v>
      </c>
      <c r="H3789" s="545">
        <v>1</v>
      </c>
      <c r="I3789" s="545">
        <v>1.3333333333333333</v>
      </c>
      <c r="J3789" s="545">
        <v>3.2261904761904758</v>
      </c>
    </row>
    <row r="3790" spans="1:10">
      <c r="A3790" s="441">
        <v>2075</v>
      </c>
      <c r="B3790" s="441" t="s">
        <v>3791</v>
      </c>
      <c r="C3790" s="545">
        <v>17.833333333333336</v>
      </c>
      <c r="D3790" s="545">
        <v>4</v>
      </c>
      <c r="E3790" s="545">
        <v>2.6666666666666665</v>
      </c>
      <c r="F3790" s="545">
        <v>13.690476190476193</v>
      </c>
      <c r="G3790" s="545">
        <v>11.8</v>
      </c>
      <c r="H3790" s="545">
        <v>5</v>
      </c>
      <c r="I3790" s="545">
        <v>5</v>
      </c>
      <c r="J3790" s="545">
        <v>9.8571428571428577</v>
      </c>
    </row>
    <row r="3791" spans="1:10">
      <c r="A3791" s="441">
        <v>2078</v>
      </c>
      <c r="B3791" s="441" t="s">
        <v>3791</v>
      </c>
      <c r="C3791" s="545">
        <v>20.666666666666668</v>
      </c>
      <c r="D3791" s="545">
        <v>6</v>
      </c>
      <c r="E3791" s="545">
        <v>3.666666666666667</v>
      </c>
      <c r="F3791" s="545">
        <v>16.142857142857146</v>
      </c>
      <c r="G3791" s="545">
        <v>13.85</v>
      </c>
      <c r="H3791" s="545">
        <v>4.333333333333333</v>
      </c>
      <c r="I3791" s="545">
        <v>4</v>
      </c>
      <c r="J3791" s="545">
        <v>11.083333333333332</v>
      </c>
    </row>
    <row r="3792" spans="1:10">
      <c r="A3792" s="441">
        <v>2082</v>
      </c>
      <c r="B3792" s="441" t="s">
        <v>3792</v>
      </c>
      <c r="C3792" s="545">
        <v>15.333333333333334</v>
      </c>
      <c r="D3792" s="545">
        <v>8.3333333333333339</v>
      </c>
      <c r="E3792" s="545">
        <v>9.3333333333333339</v>
      </c>
      <c r="F3792" s="545">
        <v>13.476190476190476</v>
      </c>
      <c r="G3792" s="545">
        <v>5.95</v>
      </c>
      <c r="H3792" s="545">
        <v>6.333333333333333</v>
      </c>
      <c r="I3792" s="545">
        <v>5.333333333333333</v>
      </c>
      <c r="J3792" s="545">
        <v>5.916666666666667</v>
      </c>
    </row>
    <row r="3793" spans="1:10">
      <c r="A3793" s="441">
        <v>2088</v>
      </c>
      <c r="B3793" s="441" t="s">
        <v>3792</v>
      </c>
      <c r="C3793" s="545">
        <v>7.8333333333333339</v>
      </c>
      <c r="D3793" s="545">
        <v>9</v>
      </c>
      <c r="E3793" s="545">
        <v>5.6666666666666661</v>
      </c>
      <c r="F3793" s="545">
        <v>7.6904761904761907</v>
      </c>
      <c r="G3793" s="545">
        <v>4.95</v>
      </c>
      <c r="H3793" s="545">
        <v>2</v>
      </c>
      <c r="I3793" s="545">
        <v>2.3333333333333335</v>
      </c>
      <c r="J3793" s="545">
        <v>4.1547619047619042</v>
      </c>
    </row>
    <row r="3794" spans="1:10">
      <c r="A3794" s="441">
        <v>6467</v>
      </c>
      <c r="B3794" s="441" t="s">
        <v>3793</v>
      </c>
      <c r="C3794" s="545">
        <v>10.333333333333332</v>
      </c>
      <c r="D3794" s="545">
        <v>8</v>
      </c>
      <c r="E3794" s="545">
        <v>6.3333333333333339</v>
      </c>
      <c r="F3794" s="545">
        <v>9.428571428571427</v>
      </c>
      <c r="G3794" s="545">
        <v>22.35</v>
      </c>
      <c r="H3794" s="545">
        <v>10</v>
      </c>
      <c r="I3794" s="545">
        <v>3.3333333333333335</v>
      </c>
      <c r="J3794" s="545">
        <v>17.869047619047617</v>
      </c>
    </row>
    <row r="3795" spans="1:10">
      <c r="A3795" s="441">
        <v>11504</v>
      </c>
      <c r="B3795" s="441" t="s">
        <v>3794</v>
      </c>
      <c r="C3795" s="545">
        <v>13.5</v>
      </c>
      <c r="D3795" s="545">
        <v>9</v>
      </c>
      <c r="E3795" s="545">
        <v>6.3333333333333339</v>
      </c>
      <c r="F3795" s="545">
        <v>11.833333333333332</v>
      </c>
      <c r="G3795" s="545">
        <v>8.85</v>
      </c>
      <c r="H3795" s="545">
        <v>5.666666666666667</v>
      </c>
      <c r="I3795" s="545">
        <v>3.6666666666666665</v>
      </c>
      <c r="J3795" s="545">
        <v>7.6547619047619042</v>
      </c>
    </row>
    <row r="3796" spans="1:10">
      <c r="A3796" s="441">
        <v>2360</v>
      </c>
      <c r="B3796" s="441" t="s">
        <v>3795</v>
      </c>
      <c r="C3796" s="545">
        <v>75.5</v>
      </c>
      <c r="D3796" s="545">
        <v>58</v>
      </c>
      <c r="E3796" s="545">
        <v>40</v>
      </c>
      <c r="F3796" s="545">
        <v>67.928571428571431</v>
      </c>
      <c r="G3796" s="545">
        <v>44.2</v>
      </c>
      <c r="H3796" s="545">
        <v>33.333333333333336</v>
      </c>
      <c r="I3796" s="545">
        <v>29.333333333333332</v>
      </c>
      <c r="J3796" s="545">
        <v>40.523809523809526</v>
      </c>
    </row>
    <row r="3797" spans="1:10">
      <c r="A3797" s="441">
        <v>2361</v>
      </c>
      <c r="B3797" s="441" t="s">
        <v>3795</v>
      </c>
      <c r="C3797" s="545">
        <v>36.333333333333329</v>
      </c>
      <c r="D3797" s="545">
        <v>28.333333333333336</v>
      </c>
      <c r="E3797" s="545">
        <v>11.666666666666668</v>
      </c>
      <c r="F3797" s="545">
        <v>31.666666666666661</v>
      </c>
      <c r="G3797" s="545">
        <v>15.95</v>
      </c>
      <c r="H3797" s="545">
        <v>14.333333333333334</v>
      </c>
      <c r="I3797" s="545">
        <v>9.3333333333333339</v>
      </c>
      <c r="J3797" s="545">
        <v>14.773809523809522</v>
      </c>
    </row>
    <row r="3798" spans="1:10">
      <c r="A3798" s="441">
        <v>2362</v>
      </c>
      <c r="B3798" s="441" t="s">
        <v>3795</v>
      </c>
      <c r="C3798" s="545">
        <v>62.666666666666664</v>
      </c>
      <c r="D3798" s="545">
        <v>44</v>
      </c>
      <c r="E3798" s="545">
        <v>35.666666666666664</v>
      </c>
      <c r="F3798" s="545">
        <v>56.142857142857146</v>
      </c>
      <c r="G3798" s="545">
        <v>43.95</v>
      </c>
      <c r="H3798" s="545">
        <v>24</v>
      </c>
      <c r="I3798" s="545">
        <v>20</v>
      </c>
      <c r="J3798" s="545">
        <v>37.678571428571431</v>
      </c>
    </row>
    <row r="3799" spans="1:10">
      <c r="A3799" s="441">
        <v>2363</v>
      </c>
      <c r="B3799" s="441" t="s">
        <v>3795</v>
      </c>
      <c r="C3799" s="545">
        <v>60.833333333333329</v>
      </c>
      <c r="D3799" s="545">
        <v>38.333333333333336</v>
      </c>
      <c r="E3799" s="545">
        <v>34.666666666666664</v>
      </c>
      <c r="F3799" s="545">
        <v>53.880952380952372</v>
      </c>
      <c r="G3799" s="545">
        <v>42.35</v>
      </c>
      <c r="H3799" s="545">
        <v>25</v>
      </c>
      <c r="I3799" s="545">
        <v>18.666666666666668</v>
      </c>
      <c r="J3799" s="545">
        <v>36.488095238095234</v>
      </c>
    </row>
    <row r="3800" spans="1:10">
      <c r="A3800" s="441">
        <v>875</v>
      </c>
      <c r="B3800" s="441" t="s">
        <v>3796</v>
      </c>
      <c r="C3800" s="545">
        <v>1.5</v>
      </c>
      <c r="D3800" s="545">
        <v>0</v>
      </c>
      <c r="E3800" s="545">
        <v>0</v>
      </c>
      <c r="F3800" s="545">
        <v>1.0714285714285714</v>
      </c>
      <c r="G3800" s="545">
        <v>14.75</v>
      </c>
      <c r="H3800" s="545">
        <v>8.6666666666666661</v>
      </c>
      <c r="I3800" s="545">
        <v>10.333333333333334</v>
      </c>
      <c r="J3800" s="545">
        <v>13.25</v>
      </c>
    </row>
    <row r="3801" spans="1:10">
      <c r="A3801" s="441">
        <v>12320</v>
      </c>
      <c r="B3801" s="441" t="s">
        <v>3797</v>
      </c>
      <c r="C3801" s="545">
        <v>3.3333333333333335</v>
      </c>
      <c r="D3801" s="545">
        <v>2.3333333333333335</v>
      </c>
      <c r="E3801" s="545">
        <v>6.3333333333333339</v>
      </c>
      <c r="F3801" s="545">
        <v>3.6190476190476195</v>
      </c>
      <c r="G3801" s="545">
        <v>6.05</v>
      </c>
      <c r="H3801" s="545">
        <v>4.333333333333333</v>
      </c>
      <c r="I3801" s="545">
        <v>7</v>
      </c>
      <c r="J3801" s="545">
        <v>5.9404761904761907</v>
      </c>
    </row>
    <row r="3802" spans="1:10">
      <c r="A3802" s="441">
        <v>12321</v>
      </c>
      <c r="B3802" s="441" t="s">
        <v>3797</v>
      </c>
      <c r="C3802" s="545">
        <v>7.6666666666666661</v>
      </c>
      <c r="D3802" s="545">
        <v>1</v>
      </c>
      <c r="E3802" s="545">
        <v>2.6666666666666665</v>
      </c>
      <c r="F3802" s="545">
        <v>5.9999999999999991</v>
      </c>
      <c r="G3802" s="545">
        <v>5.35</v>
      </c>
      <c r="H3802" s="545">
        <v>2</v>
      </c>
      <c r="I3802" s="545">
        <v>4.333333333333333</v>
      </c>
      <c r="J3802" s="545">
        <v>4.7261904761904763</v>
      </c>
    </row>
    <row r="3803" spans="1:10">
      <c r="A3803" s="441">
        <v>12322</v>
      </c>
      <c r="B3803" s="441" t="s">
        <v>3798</v>
      </c>
      <c r="C3803" s="545">
        <v>45</v>
      </c>
      <c r="D3803" s="545">
        <v>18.333333333333336</v>
      </c>
      <c r="E3803" s="545">
        <v>17.333333333333332</v>
      </c>
      <c r="F3803" s="545">
        <v>37.238095238095241</v>
      </c>
      <c r="G3803" s="545">
        <v>37.25</v>
      </c>
      <c r="H3803" s="545">
        <v>15.666666666666666</v>
      </c>
      <c r="I3803" s="545">
        <v>8.3333333333333339</v>
      </c>
      <c r="J3803" s="545">
        <v>30.035714285714285</v>
      </c>
    </row>
    <row r="3804" spans="1:10">
      <c r="A3804" s="441">
        <v>12323</v>
      </c>
      <c r="B3804" s="441" t="s">
        <v>3798</v>
      </c>
      <c r="C3804" s="545">
        <v>32.666666666666671</v>
      </c>
      <c r="D3804" s="545">
        <v>18.666666666666668</v>
      </c>
      <c r="E3804" s="545">
        <v>7.6666666666666661</v>
      </c>
      <c r="F3804" s="545">
        <v>27.095238095238098</v>
      </c>
      <c r="G3804" s="545">
        <v>20.45</v>
      </c>
      <c r="H3804" s="545">
        <v>7.666666666666667</v>
      </c>
      <c r="I3804" s="545">
        <v>11.666666666666666</v>
      </c>
      <c r="J3804" s="545">
        <v>17.36904761904762</v>
      </c>
    </row>
    <row r="3805" spans="1:10">
      <c r="A3805" s="441">
        <v>2354</v>
      </c>
      <c r="B3805" s="441" t="s">
        <v>3799</v>
      </c>
      <c r="C3805" s="545">
        <v>122.16666666666666</v>
      </c>
      <c r="D3805" s="545">
        <v>43</v>
      </c>
      <c r="E3805" s="545">
        <v>19.333333333333336</v>
      </c>
      <c r="F3805" s="545">
        <v>96.166666666666657</v>
      </c>
      <c r="G3805" s="545">
        <v>46.7</v>
      </c>
      <c r="H3805" s="545">
        <v>41.666666666666664</v>
      </c>
      <c r="I3805" s="545">
        <v>11.333333333333334</v>
      </c>
      <c r="J3805" s="545">
        <v>40.928571428571431</v>
      </c>
    </row>
    <row r="3806" spans="1:10">
      <c r="A3806" s="441">
        <v>12124</v>
      </c>
      <c r="B3806" s="441" t="s">
        <v>3800</v>
      </c>
      <c r="C3806" s="545">
        <v>19</v>
      </c>
      <c r="D3806" s="545">
        <v>5.333333333333333</v>
      </c>
      <c r="E3806" s="545">
        <v>0</v>
      </c>
      <c r="F3806" s="545">
        <v>14.333333333333332</v>
      </c>
      <c r="G3806" s="545">
        <v>9.3000000000000007</v>
      </c>
      <c r="H3806" s="545">
        <v>0.66666666666666663</v>
      </c>
      <c r="I3806" s="545"/>
      <c r="J3806" s="545">
        <v>6.7380952380952381</v>
      </c>
    </row>
    <row r="3807" spans="1:10">
      <c r="A3807" s="441">
        <v>12836</v>
      </c>
      <c r="B3807" s="441" t="s">
        <v>3801</v>
      </c>
      <c r="C3807" s="545">
        <v>37.333333333333329</v>
      </c>
      <c r="D3807" s="545">
        <v>16</v>
      </c>
      <c r="E3807" s="545">
        <v>21</v>
      </c>
      <c r="F3807" s="545">
        <v>31.952380952380945</v>
      </c>
      <c r="G3807" s="545">
        <v>26.65</v>
      </c>
      <c r="H3807" s="545">
        <v>14.666666666666666</v>
      </c>
      <c r="I3807" s="545">
        <v>7.666666666666667</v>
      </c>
      <c r="J3807" s="545">
        <v>22.226190476190474</v>
      </c>
    </row>
    <row r="3808" spans="1:10">
      <c r="A3808" s="441">
        <v>12837</v>
      </c>
      <c r="B3808" s="441" t="s">
        <v>3801</v>
      </c>
      <c r="C3808" s="545">
        <v>34</v>
      </c>
      <c r="D3808" s="545">
        <v>11.333333333333332</v>
      </c>
      <c r="E3808" s="545">
        <v>13.666666666666668</v>
      </c>
      <c r="F3808" s="545">
        <v>27.857142857142858</v>
      </c>
      <c r="G3808" s="545">
        <v>24.45</v>
      </c>
      <c r="H3808" s="545">
        <v>8.6666666666666661</v>
      </c>
      <c r="I3808" s="545">
        <v>8</v>
      </c>
      <c r="J3808" s="545">
        <v>19.845238095238095</v>
      </c>
    </row>
    <row r="3809" spans="1:10">
      <c r="A3809" s="441">
        <v>4020</v>
      </c>
      <c r="B3809" s="441" t="s">
        <v>3802</v>
      </c>
      <c r="C3809" s="545">
        <v>123.5</v>
      </c>
      <c r="D3809" s="545">
        <v>102.66666666666667</v>
      </c>
      <c r="E3809" s="545">
        <v>122</v>
      </c>
      <c r="F3809" s="545">
        <v>120.30952380952381</v>
      </c>
      <c r="G3809" s="545">
        <v>96.2</v>
      </c>
      <c r="H3809" s="545">
        <v>88.666666666666671</v>
      </c>
      <c r="I3809" s="545">
        <v>129.66666666666666</v>
      </c>
      <c r="J3809" s="545">
        <v>99.904761904761898</v>
      </c>
    </row>
    <row r="3810" spans="1:10">
      <c r="A3810" s="441">
        <v>10970</v>
      </c>
      <c r="B3810" s="441" t="s">
        <v>3802</v>
      </c>
      <c r="C3810" s="545">
        <v>136.5</v>
      </c>
      <c r="D3810" s="545">
        <v>92.333333333333329</v>
      </c>
      <c r="E3810" s="545">
        <v>114</v>
      </c>
      <c r="F3810" s="545">
        <v>126.97619047619048</v>
      </c>
      <c r="G3810" s="545">
        <v>98.4</v>
      </c>
      <c r="H3810" s="545">
        <v>86</v>
      </c>
      <c r="I3810" s="545">
        <v>110.66666666666667</v>
      </c>
      <c r="J3810" s="545">
        <v>98.38095238095238</v>
      </c>
    </row>
    <row r="3811" spans="1:10">
      <c r="A3811" s="441">
        <v>3985</v>
      </c>
      <c r="B3811" s="441" t="s">
        <v>3803</v>
      </c>
      <c r="C3811" s="545">
        <v>82.333333333333329</v>
      </c>
      <c r="D3811" s="545">
        <v>65</v>
      </c>
      <c r="E3811" s="545">
        <v>63.666666666666664</v>
      </c>
      <c r="F3811" s="545">
        <v>77.190476190476176</v>
      </c>
      <c r="G3811" s="545">
        <v>61.3</v>
      </c>
      <c r="H3811" s="545">
        <v>65.666666666666671</v>
      </c>
      <c r="I3811" s="545">
        <v>58</v>
      </c>
      <c r="J3811" s="545">
        <v>61.452380952380956</v>
      </c>
    </row>
    <row r="3812" spans="1:10">
      <c r="A3812" s="441">
        <v>11108</v>
      </c>
      <c r="B3812" s="441" t="s">
        <v>3803</v>
      </c>
      <c r="C3812" s="545">
        <v>109.33333333333334</v>
      </c>
      <c r="D3812" s="545">
        <v>90</v>
      </c>
      <c r="E3812" s="545">
        <v>73.666666666666657</v>
      </c>
      <c r="F3812" s="545">
        <v>101.47619047619048</v>
      </c>
      <c r="G3812" s="545">
        <v>83.5</v>
      </c>
      <c r="H3812" s="545">
        <v>71.666666666666671</v>
      </c>
      <c r="I3812" s="545">
        <v>74.666666666666671</v>
      </c>
      <c r="J3812" s="545">
        <v>80.547619047619051</v>
      </c>
    </row>
    <row r="3813" spans="1:10">
      <c r="A3813" s="441">
        <v>11569</v>
      </c>
      <c r="B3813" s="441" t="s">
        <v>3804</v>
      </c>
      <c r="C3813" s="545">
        <v>41.666666666666671</v>
      </c>
      <c r="D3813" s="545">
        <v>30.666666666666664</v>
      </c>
      <c r="E3813" s="545">
        <v>25.666666666666668</v>
      </c>
      <c r="F3813" s="545">
        <v>37.80952380952381</v>
      </c>
      <c r="G3813" s="545">
        <v>33.75</v>
      </c>
      <c r="H3813" s="545">
        <v>33.666666666666664</v>
      </c>
      <c r="I3813" s="545">
        <v>38</v>
      </c>
      <c r="J3813" s="545">
        <v>34.345238095238095</v>
      </c>
    </row>
    <row r="3814" spans="1:10">
      <c r="A3814" s="441">
        <v>12840</v>
      </c>
      <c r="B3814" s="441" t="s">
        <v>3805</v>
      </c>
      <c r="C3814" s="545">
        <v>6.5</v>
      </c>
      <c r="D3814" s="545">
        <v>5.333333333333333</v>
      </c>
      <c r="E3814" s="545">
        <v>2</v>
      </c>
      <c r="F3814" s="545">
        <v>5.6904761904761907</v>
      </c>
      <c r="G3814" s="545">
        <v>3.7</v>
      </c>
      <c r="H3814" s="545">
        <v>0.66666666666666663</v>
      </c>
      <c r="I3814" s="545">
        <v>2</v>
      </c>
      <c r="J3814" s="545">
        <v>3.0238095238095242</v>
      </c>
    </row>
    <row r="3815" spans="1:10">
      <c r="A3815" s="441">
        <v>12822</v>
      </c>
      <c r="B3815" s="441" t="s">
        <v>3806</v>
      </c>
      <c r="C3815" s="545">
        <v>30.333333333333332</v>
      </c>
      <c r="D3815" s="545">
        <v>2.3333333333333335</v>
      </c>
      <c r="E3815" s="545">
        <v>2.666666666666667</v>
      </c>
      <c r="F3815" s="545">
        <v>22.38095238095238</v>
      </c>
      <c r="G3815" s="545">
        <v>16.3</v>
      </c>
      <c r="H3815" s="545">
        <v>5</v>
      </c>
      <c r="I3815" s="545">
        <v>2</v>
      </c>
      <c r="J3815" s="545">
        <v>12.642857142857142</v>
      </c>
    </row>
    <row r="3816" spans="1:10">
      <c r="A3816" s="441">
        <v>12823</v>
      </c>
      <c r="B3816" s="441" t="s">
        <v>3806</v>
      </c>
      <c r="C3816" s="545">
        <v>23.5</v>
      </c>
      <c r="D3816" s="545">
        <v>5.666666666666667</v>
      </c>
      <c r="E3816" s="545">
        <v>2.3333333333333335</v>
      </c>
      <c r="F3816" s="545">
        <v>17.928571428571427</v>
      </c>
      <c r="G3816" s="545">
        <v>11.25</v>
      </c>
      <c r="H3816" s="545">
        <v>4.666666666666667</v>
      </c>
      <c r="I3816" s="545">
        <v>1.6666666666666667</v>
      </c>
      <c r="J3816" s="545">
        <v>8.9404761904761898</v>
      </c>
    </row>
    <row r="3817" spans="1:10">
      <c r="A3817" s="441">
        <v>4031</v>
      </c>
      <c r="B3817" s="441" t="s">
        <v>3807</v>
      </c>
      <c r="C3817" s="545">
        <v>56.166666666666671</v>
      </c>
      <c r="D3817" s="545">
        <v>34</v>
      </c>
      <c r="E3817" s="545">
        <v>38</v>
      </c>
      <c r="F3817" s="545">
        <v>50.404761904761912</v>
      </c>
      <c r="G3817" s="545">
        <v>37.75</v>
      </c>
      <c r="H3817" s="545">
        <v>30</v>
      </c>
      <c r="I3817" s="545">
        <v>32.333333333333336</v>
      </c>
      <c r="J3817" s="545">
        <v>35.86904761904762</v>
      </c>
    </row>
    <row r="3818" spans="1:10">
      <c r="A3818" s="441">
        <v>3989</v>
      </c>
      <c r="B3818" s="441" t="s">
        <v>3808</v>
      </c>
      <c r="C3818" s="545">
        <v>386.16666666666663</v>
      </c>
      <c r="D3818" s="545">
        <v>282.33333333333331</v>
      </c>
      <c r="E3818" s="545">
        <v>270.66666666666663</v>
      </c>
      <c r="F3818" s="545">
        <v>354.83333333333331</v>
      </c>
      <c r="G3818" s="545">
        <v>210.95</v>
      </c>
      <c r="H3818" s="545">
        <v>171</v>
      </c>
      <c r="I3818" s="545">
        <v>191</v>
      </c>
      <c r="J3818" s="545">
        <v>202.39285714285714</v>
      </c>
    </row>
    <row r="3819" spans="1:10">
      <c r="A3819" s="441">
        <v>11105</v>
      </c>
      <c r="B3819" s="441" t="s">
        <v>3808</v>
      </c>
      <c r="C3819" s="545">
        <v>423.16666666666669</v>
      </c>
      <c r="D3819" s="545">
        <v>319</v>
      </c>
      <c r="E3819" s="545">
        <v>284</v>
      </c>
      <c r="F3819" s="545">
        <v>388.40476190476193</v>
      </c>
      <c r="G3819" s="545">
        <v>226.65</v>
      </c>
      <c r="H3819" s="545">
        <v>184</v>
      </c>
      <c r="I3819" s="545">
        <v>183.33333333333334</v>
      </c>
      <c r="J3819" s="545">
        <v>214.36904761904762</v>
      </c>
    </row>
    <row r="3820" spans="1:10">
      <c r="A3820" s="441">
        <v>12848</v>
      </c>
      <c r="B3820" s="441" t="s">
        <v>3808</v>
      </c>
      <c r="C3820" s="545">
        <v>150.5</v>
      </c>
      <c r="D3820" s="545">
        <v>118</v>
      </c>
      <c r="E3820" s="545">
        <v>98.333333333333329</v>
      </c>
      <c r="F3820" s="545">
        <v>138.4047619047619</v>
      </c>
      <c r="G3820" s="545">
        <v>100.55</v>
      </c>
      <c r="H3820" s="545">
        <v>57.666666666666664</v>
      </c>
      <c r="I3820" s="545">
        <v>46.666666666666664</v>
      </c>
      <c r="J3820" s="545">
        <v>86.726190476190467</v>
      </c>
    </row>
    <row r="3821" spans="1:10">
      <c r="A3821" s="441">
        <v>13077</v>
      </c>
      <c r="B3821" s="441" t="s">
        <v>3808</v>
      </c>
      <c r="C3821" s="545">
        <v>192.16666666666669</v>
      </c>
      <c r="D3821" s="545">
        <v>115</v>
      </c>
      <c r="E3821" s="545">
        <v>92</v>
      </c>
      <c r="F3821" s="545">
        <v>166.83333333333334</v>
      </c>
      <c r="G3821" s="545">
        <v>124.25</v>
      </c>
      <c r="H3821" s="545">
        <v>76.666666666666671</v>
      </c>
      <c r="I3821" s="545">
        <v>49.666666666666664</v>
      </c>
      <c r="J3821" s="545">
        <v>106.79761904761904</v>
      </c>
    </row>
    <row r="3822" spans="1:10">
      <c r="A3822" s="441">
        <v>12846</v>
      </c>
      <c r="B3822" s="441" t="s">
        <v>3809</v>
      </c>
      <c r="C3822" s="545">
        <v>36.5</v>
      </c>
      <c r="D3822" s="545">
        <v>26.333333333333336</v>
      </c>
      <c r="E3822" s="545">
        <v>21.333333333333332</v>
      </c>
      <c r="F3822" s="545">
        <v>32.880952380952387</v>
      </c>
      <c r="G3822" s="545">
        <v>15.75</v>
      </c>
      <c r="H3822" s="545">
        <v>9.3333333333333339</v>
      </c>
      <c r="I3822" s="545">
        <v>7</v>
      </c>
      <c r="J3822" s="545">
        <v>13.583333333333332</v>
      </c>
    </row>
    <row r="3823" spans="1:10">
      <c r="A3823" s="441">
        <v>12847</v>
      </c>
      <c r="B3823" s="441" t="s">
        <v>3809</v>
      </c>
      <c r="C3823" s="545">
        <v>21.166666666666668</v>
      </c>
      <c r="D3823" s="545">
        <v>10</v>
      </c>
      <c r="E3823" s="545">
        <v>13.666666666666666</v>
      </c>
      <c r="F3823" s="545">
        <v>18.5</v>
      </c>
      <c r="G3823" s="545">
        <v>12.55</v>
      </c>
      <c r="H3823" s="545">
        <v>4</v>
      </c>
      <c r="I3823" s="545">
        <v>5.666666666666667</v>
      </c>
      <c r="J3823" s="545">
        <v>10.345238095238097</v>
      </c>
    </row>
    <row r="3824" spans="1:10">
      <c r="A3824" s="441">
        <v>12769</v>
      </c>
      <c r="B3824" s="441" t="s">
        <v>3810</v>
      </c>
      <c r="C3824" s="545">
        <v>14.333333333333334</v>
      </c>
      <c r="D3824" s="545">
        <v>10.333333333333334</v>
      </c>
      <c r="E3824" s="545">
        <v>7</v>
      </c>
      <c r="F3824" s="545">
        <v>12.714285714285714</v>
      </c>
      <c r="G3824" s="545">
        <v>13</v>
      </c>
      <c r="H3824" s="545">
        <v>9</v>
      </c>
      <c r="I3824" s="545">
        <v>6.333333333333333</v>
      </c>
      <c r="J3824" s="545">
        <v>11.476190476190476</v>
      </c>
    </row>
    <row r="3825" spans="1:10">
      <c r="A3825" s="441">
        <v>12770</v>
      </c>
      <c r="B3825" s="441" t="s">
        <v>3810</v>
      </c>
      <c r="C3825" s="545">
        <v>18.333333333333332</v>
      </c>
      <c r="D3825" s="545">
        <v>15.666666666666666</v>
      </c>
      <c r="E3825" s="545">
        <v>6.333333333333333</v>
      </c>
      <c r="F3825" s="545">
        <v>16.238095238095237</v>
      </c>
      <c r="G3825" s="545">
        <v>16.899999999999999</v>
      </c>
      <c r="H3825" s="545">
        <v>16.333333333333332</v>
      </c>
      <c r="I3825" s="545">
        <v>14.333333333333334</v>
      </c>
      <c r="J3825" s="545">
        <v>16.452380952380953</v>
      </c>
    </row>
    <row r="3826" spans="1:10">
      <c r="A3826" s="441">
        <v>3984</v>
      </c>
      <c r="B3826" s="441" t="s">
        <v>3811</v>
      </c>
      <c r="C3826" s="545">
        <v>93.666666666666657</v>
      </c>
      <c r="D3826" s="545">
        <v>48.666666666666671</v>
      </c>
      <c r="E3826" s="545">
        <v>49</v>
      </c>
      <c r="F3826" s="545">
        <v>80.857142857142847</v>
      </c>
      <c r="G3826" s="545">
        <v>76.2</v>
      </c>
      <c r="H3826" s="545">
        <v>51</v>
      </c>
      <c r="I3826" s="545">
        <v>46.666666666666664</v>
      </c>
      <c r="J3826" s="545">
        <v>68.38095238095238</v>
      </c>
    </row>
    <row r="3827" spans="1:10">
      <c r="A3827" s="441">
        <v>11021</v>
      </c>
      <c r="B3827" s="441" t="s">
        <v>3811</v>
      </c>
      <c r="C3827" s="545">
        <v>86.666666666666657</v>
      </c>
      <c r="D3827" s="545">
        <v>41.666666666666664</v>
      </c>
      <c r="E3827" s="545">
        <v>36</v>
      </c>
      <c r="F3827" s="545">
        <v>72.999999999999986</v>
      </c>
      <c r="G3827" s="545">
        <v>58.4</v>
      </c>
      <c r="H3827" s="545">
        <v>44.666666666666664</v>
      </c>
      <c r="I3827" s="545">
        <v>39</v>
      </c>
      <c r="J3827" s="545">
        <v>53.666666666666671</v>
      </c>
    </row>
    <row r="3828" spans="1:10">
      <c r="A3828" s="441">
        <v>12824</v>
      </c>
      <c r="B3828" s="441" t="s">
        <v>3812</v>
      </c>
      <c r="C3828" s="545">
        <v>4.5</v>
      </c>
      <c r="D3828" s="545">
        <v>4</v>
      </c>
      <c r="E3828" s="545">
        <v>3</v>
      </c>
      <c r="F3828" s="545">
        <v>4.2142857142857144</v>
      </c>
      <c r="G3828" s="545">
        <v>5.0999999999999996</v>
      </c>
      <c r="H3828" s="545">
        <v>4</v>
      </c>
      <c r="I3828" s="545">
        <v>3.3333333333333335</v>
      </c>
      <c r="J3828" s="545">
        <v>4.6904761904761907</v>
      </c>
    </row>
    <row r="3829" spans="1:10">
      <c r="A3829" s="441">
        <v>12825</v>
      </c>
      <c r="B3829" s="441" t="s">
        <v>3812</v>
      </c>
      <c r="C3829" s="545">
        <v>6.1666666666666661</v>
      </c>
      <c r="D3829" s="545">
        <v>4</v>
      </c>
      <c r="E3829" s="545">
        <v>4.6666666666666661</v>
      </c>
      <c r="F3829" s="545">
        <v>5.6428571428571415</v>
      </c>
      <c r="G3829" s="545">
        <v>7</v>
      </c>
      <c r="H3829" s="545">
        <v>3.3333333333333335</v>
      </c>
      <c r="I3829" s="545">
        <v>3</v>
      </c>
      <c r="J3829" s="545">
        <v>5.9047619047619051</v>
      </c>
    </row>
    <row r="3830" spans="1:10">
      <c r="A3830" s="441">
        <v>12834</v>
      </c>
      <c r="B3830" s="441" t="s">
        <v>3813</v>
      </c>
      <c r="C3830" s="545">
        <v>26</v>
      </c>
      <c r="D3830" s="545">
        <v>8</v>
      </c>
      <c r="E3830" s="545">
        <v>3.333333333333333</v>
      </c>
      <c r="F3830" s="545">
        <v>20.190476190476193</v>
      </c>
      <c r="G3830" s="545">
        <v>28.55</v>
      </c>
      <c r="H3830" s="545">
        <v>7</v>
      </c>
      <c r="I3830" s="545">
        <v>5</v>
      </c>
      <c r="J3830" s="545">
        <v>22.107142857142858</v>
      </c>
    </row>
    <row r="3831" spans="1:10">
      <c r="A3831" s="441">
        <v>12835</v>
      </c>
      <c r="B3831" s="441" t="s">
        <v>3813</v>
      </c>
      <c r="C3831" s="545">
        <v>23.666666666666668</v>
      </c>
      <c r="D3831" s="545">
        <v>4.6666666666666661</v>
      </c>
      <c r="E3831" s="545">
        <v>6.3333333333333339</v>
      </c>
      <c r="F3831" s="545">
        <v>18.476190476190478</v>
      </c>
      <c r="G3831" s="545">
        <v>26.05</v>
      </c>
      <c r="H3831" s="545">
        <v>8.3333333333333339</v>
      </c>
      <c r="I3831" s="545">
        <v>6</v>
      </c>
      <c r="J3831" s="545">
        <v>20.654761904761905</v>
      </c>
    </row>
    <row r="3832" spans="1:10">
      <c r="A3832" s="441">
        <v>12830</v>
      </c>
      <c r="B3832" s="441" t="s">
        <v>3814</v>
      </c>
      <c r="C3832" s="545">
        <v>10</v>
      </c>
      <c r="D3832" s="545">
        <v>8</v>
      </c>
      <c r="E3832" s="545">
        <v>6.333333333333333</v>
      </c>
      <c r="F3832" s="545">
        <v>9.1904761904761898</v>
      </c>
      <c r="G3832" s="545">
        <v>11.05</v>
      </c>
      <c r="H3832" s="545">
        <v>3.6666666666666665</v>
      </c>
      <c r="I3832" s="545">
        <v>3</v>
      </c>
      <c r="J3832" s="545">
        <v>8.8452380952380949</v>
      </c>
    </row>
    <row r="3833" spans="1:10">
      <c r="A3833" s="441">
        <v>12831</v>
      </c>
      <c r="B3833" s="441" t="s">
        <v>3814</v>
      </c>
      <c r="C3833" s="545">
        <v>7.5</v>
      </c>
      <c r="D3833" s="545">
        <v>6.333333333333333</v>
      </c>
      <c r="E3833" s="545">
        <v>6.6666666666666661</v>
      </c>
      <c r="F3833" s="545">
        <v>7.2142857142857144</v>
      </c>
      <c r="G3833" s="545">
        <v>7.5</v>
      </c>
      <c r="H3833" s="545">
        <v>4.666666666666667</v>
      </c>
      <c r="I3833" s="545">
        <v>1.6666666666666667</v>
      </c>
      <c r="J3833" s="545">
        <v>6.261904761904761</v>
      </c>
    </row>
    <row r="3834" spans="1:10">
      <c r="A3834" s="441">
        <v>12828</v>
      </c>
      <c r="B3834" s="441" t="s">
        <v>3815</v>
      </c>
      <c r="C3834" s="545">
        <v>8.1666666666666679</v>
      </c>
      <c r="D3834" s="545">
        <v>5.333333333333333</v>
      </c>
      <c r="E3834" s="545">
        <v>3.6666666666666665</v>
      </c>
      <c r="F3834" s="545">
        <v>7.1190476190476204</v>
      </c>
      <c r="G3834" s="545">
        <v>7.85</v>
      </c>
      <c r="H3834" s="545">
        <v>2.6666666666666665</v>
      </c>
      <c r="I3834" s="545">
        <v>2.6666666666666665</v>
      </c>
      <c r="J3834" s="545">
        <v>6.3690476190476186</v>
      </c>
    </row>
    <row r="3835" spans="1:10">
      <c r="A3835" s="441">
        <v>12829</v>
      </c>
      <c r="B3835" s="441" t="s">
        <v>3815</v>
      </c>
      <c r="C3835" s="545">
        <v>7</v>
      </c>
      <c r="D3835" s="545">
        <v>6.333333333333333</v>
      </c>
      <c r="E3835" s="545">
        <v>1.6666666666666665</v>
      </c>
      <c r="F3835" s="545">
        <v>6.1428571428571432</v>
      </c>
      <c r="G3835" s="545">
        <v>9.9</v>
      </c>
      <c r="H3835" s="545">
        <v>6.333333333333333</v>
      </c>
      <c r="I3835" s="545">
        <v>4</v>
      </c>
      <c r="J3835" s="545">
        <v>8.5476190476190474</v>
      </c>
    </row>
    <row r="3836" spans="1:10">
      <c r="A3836" s="441">
        <v>12826</v>
      </c>
      <c r="B3836" s="441" t="s">
        <v>3816</v>
      </c>
      <c r="C3836" s="545">
        <v>57.833333333333336</v>
      </c>
      <c r="D3836" s="545">
        <v>38.333333333333336</v>
      </c>
      <c r="E3836" s="545">
        <v>28.666666666666664</v>
      </c>
      <c r="F3836" s="545">
        <v>50.880952380952387</v>
      </c>
      <c r="G3836" s="545">
        <v>31.25</v>
      </c>
      <c r="H3836" s="545">
        <v>20</v>
      </c>
      <c r="I3836" s="545">
        <v>13</v>
      </c>
      <c r="J3836" s="545">
        <v>27.035714285714285</v>
      </c>
    </row>
    <row r="3837" spans="1:10">
      <c r="A3837" s="441">
        <v>12827</v>
      </c>
      <c r="B3837" s="441" t="s">
        <v>3816</v>
      </c>
      <c r="C3837" s="545">
        <v>61.5</v>
      </c>
      <c r="D3837" s="545">
        <v>38.666666666666671</v>
      </c>
      <c r="E3837" s="545">
        <v>32.333333333333336</v>
      </c>
      <c r="F3837" s="545">
        <v>54.071428571428569</v>
      </c>
      <c r="G3837" s="545">
        <v>31.15</v>
      </c>
      <c r="H3837" s="545">
        <v>15.666666666666666</v>
      </c>
      <c r="I3837" s="545">
        <v>12.333333333333334</v>
      </c>
      <c r="J3837" s="545">
        <v>26.25</v>
      </c>
    </row>
    <row r="3838" spans="1:10">
      <c r="A3838" s="441">
        <v>12768</v>
      </c>
      <c r="B3838" s="441" t="s">
        <v>3817</v>
      </c>
      <c r="C3838" s="545">
        <v>15</v>
      </c>
      <c r="D3838" s="545">
        <v>16</v>
      </c>
      <c r="E3838" s="545">
        <v>6.333333333333333</v>
      </c>
      <c r="F3838" s="545">
        <v>13.904761904761903</v>
      </c>
      <c r="G3838" s="545">
        <v>16.350000000000001</v>
      </c>
      <c r="H3838" s="545">
        <v>12</v>
      </c>
      <c r="I3838" s="545">
        <v>10.333333333333334</v>
      </c>
      <c r="J3838" s="545">
        <v>14.869047619047619</v>
      </c>
    </row>
    <row r="3839" spans="1:10">
      <c r="A3839" s="441">
        <v>12841</v>
      </c>
      <c r="B3839" s="441" t="s">
        <v>3818</v>
      </c>
      <c r="C3839" s="545">
        <v>42.166666666666664</v>
      </c>
      <c r="D3839" s="545">
        <v>16</v>
      </c>
      <c r="E3839" s="545">
        <v>16</v>
      </c>
      <c r="F3839" s="545">
        <v>34.69047619047619</v>
      </c>
      <c r="G3839" s="545">
        <v>29.3</v>
      </c>
      <c r="H3839" s="545">
        <v>10.666666666666666</v>
      </c>
      <c r="I3839" s="545">
        <v>9</v>
      </c>
      <c r="J3839" s="545">
        <v>23.738095238095237</v>
      </c>
    </row>
    <row r="3840" spans="1:10">
      <c r="A3840" s="441">
        <v>12843</v>
      </c>
      <c r="B3840" s="441" t="s">
        <v>3818</v>
      </c>
      <c r="C3840" s="545">
        <v>35.333333333333329</v>
      </c>
      <c r="D3840" s="545">
        <v>15</v>
      </c>
      <c r="E3840" s="545">
        <v>12.333333333333334</v>
      </c>
      <c r="F3840" s="545">
        <v>29.142857142857139</v>
      </c>
      <c r="G3840" s="545">
        <v>23.75</v>
      </c>
      <c r="H3840" s="545">
        <v>12.333333333333334</v>
      </c>
      <c r="I3840" s="545">
        <v>7</v>
      </c>
      <c r="J3840" s="545">
        <v>19.726190476190478</v>
      </c>
    </row>
    <row r="3841" spans="1:10">
      <c r="A3841" s="441">
        <v>12844</v>
      </c>
      <c r="B3841" s="441" t="s">
        <v>3819</v>
      </c>
      <c r="C3841" s="545">
        <v>21.833333333333332</v>
      </c>
      <c r="D3841" s="545">
        <v>6.3333333333333339</v>
      </c>
      <c r="E3841" s="545">
        <v>5</v>
      </c>
      <c r="F3841" s="545">
        <v>17.214285714285712</v>
      </c>
      <c r="G3841" s="545">
        <v>10.55</v>
      </c>
      <c r="H3841" s="545">
        <v>5.666666666666667</v>
      </c>
      <c r="I3841" s="545">
        <v>3</v>
      </c>
      <c r="J3841" s="545">
        <v>8.7738095238095237</v>
      </c>
    </row>
    <row r="3842" spans="1:10">
      <c r="A3842" s="441">
        <v>12845</v>
      </c>
      <c r="B3842" s="441" t="s">
        <v>3819</v>
      </c>
      <c r="C3842" s="545">
        <v>12.833333333333332</v>
      </c>
      <c r="D3842" s="545">
        <v>6</v>
      </c>
      <c r="E3842" s="545">
        <v>2.333333333333333</v>
      </c>
      <c r="F3842" s="545">
        <v>10.357142857142856</v>
      </c>
      <c r="G3842" s="545">
        <v>5.85</v>
      </c>
      <c r="H3842" s="545">
        <v>5</v>
      </c>
      <c r="I3842" s="545">
        <v>3.3333333333333335</v>
      </c>
      <c r="J3842" s="545">
        <v>5.3690476190476195</v>
      </c>
    </row>
    <row r="3843" spans="1:10">
      <c r="A3843" s="441">
        <v>12838</v>
      </c>
      <c r="B3843" s="441" t="s">
        <v>3820</v>
      </c>
      <c r="C3843" s="545">
        <v>49.833333333333329</v>
      </c>
      <c r="D3843" s="545">
        <v>28</v>
      </c>
      <c r="E3843" s="545">
        <v>25</v>
      </c>
      <c r="F3843" s="545">
        <v>43.166666666666664</v>
      </c>
      <c r="G3843" s="545">
        <v>25.7</v>
      </c>
      <c r="H3843" s="545">
        <v>16.666666666666668</v>
      </c>
      <c r="I3843" s="545">
        <v>9.3333333333333339</v>
      </c>
      <c r="J3843" s="545">
        <v>22.071428571428573</v>
      </c>
    </row>
    <row r="3844" spans="1:10">
      <c r="A3844" s="441">
        <v>12839</v>
      </c>
      <c r="B3844" s="441" t="s">
        <v>3820</v>
      </c>
      <c r="C3844" s="545">
        <v>44.666666666666671</v>
      </c>
      <c r="D3844" s="545">
        <v>25.333333333333332</v>
      </c>
      <c r="E3844" s="545">
        <v>22.666666666666664</v>
      </c>
      <c r="F3844" s="545">
        <v>38.761904761904766</v>
      </c>
      <c r="G3844" s="545">
        <v>26.85</v>
      </c>
      <c r="H3844" s="545">
        <v>14.666666666666666</v>
      </c>
      <c r="I3844" s="545">
        <v>10</v>
      </c>
      <c r="J3844" s="545">
        <v>22.702380952380953</v>
      </c>
    </row>
    <row r="3845" spans="1:10">
      <c r="A3845" s="441">
        <v>12832</v>
      </c>
      <c r="B3845" s="441" t="s">
        <v>3821</v>
      </c>
      <c r="C3845" s="545">
        <v>30.333333333333336</v>
      </c>
      <c r="D3845" s="545">
        <v>9.3333333333333321</v>
      </c>
      <c r="E3845" s="545">
        <v>11</v>
      </c>
      <c r="F3845" s="545">
        <v>24.571428571428577</v>
      </c>
      <c r="G3845" s="545">
        <v>19.25</v>
      </c>
      <c r="H3845" s="545">
        <v>7.666666666666667</v>
      </c>
      <c r="I3845" s="545">
        <v>3.3333333333333335</v>
      </c>
      <c r="J3845" s="545">
        <v>15.321428571428571</v>
      </c>
    </row>
    <row r="3846" spans="1:10">
      <c r="A3846" s="441">
        <v>12833</v>
      </c>
      <c r="B3846" s="441" t="s">
        <v>3821</v>
      </c>
      <c r="C3846" s="545">
        <v>22</v>
      </c>
      <c r="D3846" s="545">
        <v>16.666666666666668</v>
      </c>
      <c r="E3846" s="545">
        <v>11.666666666666666</v>
      </c>
      <c r="F3846" s="545">
        <v>19.761904761904763</v>
      </c>
      <c r="G3846" s="545">
        <v>20.6</v>
      </c>
      <c r="H3846" s="545">
        <v>10.333333333333334</v>
      </c>
      <c r="I3846" s="545">
        <v>5</v>
      </c>
      <c r="J3846" s="545">
        <v>16.904761904761905</v>
      </c>
    </row>
    <row r="3847" spans="1:10">
      <c r="A3847" s="441">
        <v>4018</v>
      </c>
      <c r="B3847" s="441" t="s">
        <v>3822</v>
      </c>
      <c r="C3847" s="545">
        <v>140</v>
      </c>
      <c r="D3847" s="545">
        <v>89</v>
      </c>
      <c r="E3847" s="545">
        <v>77.666666666666671</v>
      </c>
      <c r="F3847" s="545">
        <v>123.80952380952381</v>
      </c>
      <c r="G3847" s="545">
        <v>68.3</v>
      </c>
      <c r="H3847" s="545">
        <v>41.333333333333336</v>
      </c>
      <c r="I3847" s="545">
        <v>45</v>
      </c>
      <c r="J3847" s="545">
        <v>61.119047619047613</v>
      </c>
    </row>
    <row r="3848" spans="1:10">
      <c r="A3848" s="441">
        <v>4032</v>
      </c>
      <c r="B3848" s="441" t="s">
        <v>3822</v>
      </c>
      <c r="C3848" s="545">
        <v>112.16666666666667</v>
      </c>
      <c r="D3848" s="545">
        <v>64.666666666666671</v>
      </c>
      <c r="E3848" s="545">
        <v>56.333333333333329</v>
      </c>
      <c r="F3848" s="545">
        <v>97.404761904761912</v>
      </c>
      <c r="G3848" s="545">
        <v>52.35</v>
      </c>
      <c r="H3848" s="545">
        <v>37.333333333333336</v>
      </c>
      <c r="I3848" s="545">
        <v>35</v>
      </c>
      <c r="J3848" s="545">
        <v>47.726190476190474</v>
      </c>
    </row>
    <row r="3849" spans="1:10">
      <c r="A3849" s="441">
        <v>3986</v>
      </c>
      <c r="B3849" s="441" t="s">
        <v>3823</v>
      </c>
      <c r="C3849" s="545">
        <v>258.33333333333331</v>
      </c>
      <c r="D3849" s="545">
        <v>196.33333333333334</v>
      </c>
      <c r="E3849" s="545">
        <v>173.66666666666666</v>
      </c>
      <c r="F3849" s="545">
        <v>237.38095238095235</v>
      </c>
      <c r="G3849" s="545">
        <v>177.8</v>
      </c>
      <c r="H3849" s="545">
        <v>164.33333333333334</v>
      </c>
      <c r="I3849" s="545">
        <v>135.66666666666666</v>
      </c>
      <c r="J3849" s="545">
        <v>169.85714285714286</v>
      </c>
    </row>
    <row r="3850" spans="1:10">
      <c r="A3850" s="441">
        <v>11106</v>
      </c>
      <c r="B3850" s="441" t="s">
        <v>3823</v>
      </c>
      <c r="C3850" s="545">
        <v>219.83333333333331</v>
      </c>
      <c r="D3850" s="545">
        <v>176.33333333333334</v>
      </c>
      <c r="E3850" s="545">
        <v>161</v>
      </c>
      <c r="F3850" s="545">
        <v>205.21428571428569</v>
      </c>
      <c r="G3850" s="545">
        <v>149.19999999999999</v>
      </c>
      <c r="H3850" s="545">
        <v>137.33333333333334</v>
      </c>
      <c r="I3850" s="545">
        <v>130</v>
      </c>
      <c r="J3850" s="545">
        <v>144.76190476190476</v>
      </c>
    </row>
    <row r="3851" spans="1:10">
      <c r="A3851" s="441">
        <v>4208</v>
      </c>
      <c r="B3851" s="441" t="s">
        <v>3824</v>
      </c>
      <c r="C3851" s="545">
        <v>3.166666666666667</v>
      </c>
      <c r="D3851" s="545">
        <v>2</v>
      </c>
      <c r="E3851" s="545">
        <v>0.33333333333333331</v>
      </c>
      <c r="F3851" s="545">
        <v>2.5952380952380953</v>
      </c>
      <c r="G3851" s="545">
        <v>2.95</v>
      </c>
      <c r="H3851" s="545">
        <v>1</v>
      </c>
      <c r="I3851" s="545">
        <v>1.6666666666666667</v>
      </c>
      <c r="J3851" s="545">
        <v>2.4880952380952381</v>
      </c>
    </row>
    <row r="3852" spans="1:10">
      <c r="A3852" s="441">
        <v>4211</v>
      </c>
      <c r="B3852" s="441" t="s">
        <v>3824</v>
      </c>
      <c r="C3852" s="545">
        <v>6.333333333333333</v>
      </c>
      <c r="D3852" s="545">
        <v>1.3333333333333333</v>
      </c>
      <c r="E3852" s="545">
        <v>2</v>
      </c>
      <c r="F3852" s="545">
        <v>5</v>
      </c>
      <c r="G3852" s="545">
        <v>2.5</v>
      </c>
      <c r="H3852" s="545">
        <v>1</v>
      </c>
      <c r="I3852" s="545">
        <v>2.3333333333333335</v>
      </c>
      <c r="J3852" s="545">
        <v>2.2619047619047619</v>
      </c>
    </row>
    <row r="3853" spans="1:10">
      <c r="A3853" s="441">
        <v>4136</v>
      </c>
      <c r="B3853" s="441" t="s">
        <v>3825</v>
      </c>
      <c r="C3853" s="545">
        <v>0.66666666666666663</v>
      </c>
      <c r="D3853" s="545">
        <v>0.33333333333333331</v>
      </c>
      <c r="E3853" s="545">
        <v>0</v>
      </c>
      <c r="F3853" s="545">
        <v>0.52380952380952384</v>
      </c>
      <c r="G3853" s="545">
        <v>1.5</v>
      </c>
      <c r="H3853" s="545">
        <v>0</v>
      </c>
      <c r="I3853" s="545">
        <v>0</v>
      </c>
      <c r="J3853" s="545">
        <v>1.0714285714285714</v>
      </c>
    </row>
    <row r="3854" spans="1:10">
      <c r="A3854" s="441">
        <v>4694</v>
      </c>
      <c r="B3854" s="441" t="s">
        <v>3825</v>
      </c>
      <c r="C3854" s="545">
        <v>3</v>
      </c>
      <c r="D3854" s="545">
        <v>0.66666666666666663</v>
      </c>
      <c r="E3854" s="545">
        <v>0</v>
      </c>
      <c r="F3854" s="545">
        <v>2.2380952380952381</v>
      </c>
      <c r="G3854" s="545">
        <v>2.0499999999999998</v>
      </c>
      <c r="H3854" s="545">
        <v>0.33333333333333331</v>
      </c>
      <c r="I3854" s="545">
        <v>0.33333333333333331</v>
      </c>
      <c r="J3854" s="545">
        <v>1.5595238095238098</v>
      </c>
    </row>
    <row r="3855" spans="1:10">
      <c r="A3855" s="441">
        <v>4702</v>
      </c>
      <c r="B3855" s="441" t="s">
        <v>3825</v>
      </c>
      <c r="C3855" s="545">
        <v>2.666666666666667</v>
      </c>
      <c r="D3855" s="545">
        <v>0.66666666666666663</v>
      </c>
      <c r="E3855" s="545">
        <v>0</v>
      </c>
      <c r="F3855" s="545">
        <v>2.0000000000000004</v>
      </c>
      <c r="G3855" s="545">
        <v>0.85</v>
      </c>
      <c r="H3855" s="545">
        <v>0</v>
      </c>
      <c r="I3855" s="545">
        <v>0</v>
      </c>
      <c r="J3855" s="545">
        <v>0.6071428571428571</v>
      </c>
    </row>
    <row r="3856" spans="1:10">
      <c r="A3856" s="441">
        <v>4685</v>
      </c>
      <c r="B3856" s="441" t="s">
        <v>3826</v>
      </c>
      <c r="C3856" s="545">
        <v>8.6666666666666661</v>
      </c>
      <c r="D3856" s="545">
        <v>4.6666666666666661</v>
      </c>
      <c r="E3856" s="545">
        <v>5</v>
      </c>
      <c r="F3856" s="545">
        <v>7.5714285714285703</v>
      </c>
      <c r="G3856" s="545">
        <v>5.55</v>
      </c>
      <c r="H3856" s="545">
        <v>7</v>
      </c>
      <c r="I3856" s="545">
        <v>8.3333333333333339</v>
      </c>
      <c r="J3856" s="545">
        <v>6.1547619047619051</v>
      </c>
    </row>
    <row r="3857" spans="1:10">
      <c r="A3857" s="441">
        <v>4202</v>
      </c>
      <c r="B3857" s="441" t="s">
        <v>3827</v>
      </c>
      <c r="C3857" s="545">
        <v>1.1666666666666665</v>
      </c>
      <c r="D3857" s="545">
        <v>0.33333333333333331</v>
      </c>
      <c r="E3857" s="545">
        <v>0</v>
      </c>
      <c r="F3857" s="545">
        <v>0.88095238095238071</v>
      </c>
      <c r="G3857" s="545">
        <v>1.1499999999999999</v>
      </c>
      <c r="H3857" s="545">
        <v>1.3333333333333333</v>
      </c>
      <c r="I3857" s="545">
        <v>1</v>
      </c>
      <c r="J3857" s="545">
        <v>1.1547619047619047</v>
      </c>
    </row>
    <row r="3858" spans="1:10">
      <c r="A3858" s="441">
        <v>4217</v>
      </c>
      <c r="B3858" s="441" t="s">
        <v>3827</v>
      </c>
      <c r="C3858" s="545">
        <v>8.3333333333333339</v>
      </c>
      <c r="D3858" s="545">
        <v>3</v>
      </c>
      <c r="E3858" s="545">
        <v>0.33333333333333331</v>
      </c>
      <c r="F3858" s="545">
        <v>6.4285714285714297</v>
      </c>
      <c r="G3858" s="545">
        <v>2.75</v>
      </c>
      <c r="H3858" s="545">
        <v>2</v>
      </c>
      <c r="I3858" s="545">
        <v>0.66666666666666663</v>
      </c>
      <c r="J3858" s="545">
        <v>2.3452380952380953</v>
      </c>
    </row>
    <row r="3859" spans="1:10">
      <c r="A3859" s="441">
        <v>4698</v>
      </c>
      <c r="B3859" s="441" t="s">
        <v>3828</v>
      </c>
      <c r="C3859" s="545">
        <v>8.6666666666666679</v>
      </c>
      <c r="D3859" s="545">
        <v>4</v>
      </c>
      <c r="E3859" s="545">
        <v>2</v>
      </c>
      <c r="F3859" s="545">
        <v>7.0476190476190492</v>
      </c>
      <c r="G3859" s="545">
        <v>5.2</v>
      </c>
      <c r="H3859" s="545">
        <v>1</v>
      </c>
      <c r="I3859" s="545">
        <v>4</v>
      </c>
      <c r="J3859" s="545">
        <v>4.4285714285714288</v>
      </c>
    </row>
    <row r="3860" spans="1:10">
      <c r="A3860" s="441">
        <v>4203</v>
      </c>
      <c r="B3860" s="441" t="s">
        <v>3829</v>
      </c>
      <c r="C3860" s="545">
        <v>16.166666666666668</v>
      </c>
      <c r="D3860" s="545">
        <v>7</v>
      </c>
      <c r="E3860" s="545">
        <v>3</v>
      </c>
      <c r="F3860" s="545">
        <v>12.976190476190478</v>
      </c>
      <c r="G3860" s="545">
        <v>8</v>
      </c>
      <c r="H3860" s="545">
        <v>11</v>
      </c>
      <c r="I3860" s="545">
        <v>5</v>
      </c>
      <c r="J3860" s="545">
        <v>8</v>
      </c>
    </row>
    <row r="3861" spans="1:10">
      <c r="A3861" s="441">
        <v>4216</v>
      </c>
      <c r="B3861" s="441" t="s">
        <v>3829</v>
      </c>
      <c r="C3861" s="545">
        <v>18.333333333333332</v>
      </c>
      <c r="D3861" s="545">
        <v>8</v>
      </c>
      <c r="E3861" s="545">
        <v>6.6666666666666661</v>
      </c>
      <c r="F3861" s="545">
        <v>15.19047619047619</v>
      </c>
      <c r="G3861" s="545">
        <v>6.05</v>
      </c>
      <c r="H3861" s="545">
        <v>3.3333333333333335</v>
      </c>
      <c r="I3861" s="545">
        <v>4.666666666666667</v>
      </c>
      <c r="J3861" s="545">
        <v>5.4642857142857144</v>
      </c>
    </row>
    <row r="3862" spans="1:10">
      <c r="A3862" s="441">
        <v>4209</v>
      </c>
      <c r="B3862" s="441" t="s">
        <v>3830</v>
      </c>
      <c r="C3862" s="545">
        <v>6.8333333333333339</v>
      </c>
      <c r="D3862" s="545">
        <v>2.666666666666667</v>
      </c>
      <c r="E3862" s="545">
        <v>3</v>
      </c>
      <c r="F3862" s="545">
        <v>5.6904761904761907</v>
      </c>
      <c r="G3862" s="545">
        <v>3.55</v>
      </c>
      <c r="H3862" s="545">
        <v>4.333333333333333</v>
      </c>
      <c r="I3862" s="545">
        <v>3.3333333333333335</v>
      </c>
      <c r="J3862" s="545">
        <v>3.6309523809523805</v>
      </c>
    </row>
    <row r="3863" spans="1:10">
      <c r="A3863" s="441">
        <v>4210</v>
      </c>
      <c r="B3863" s="441" t="s">
        <v>3830</v>
      </c>
      <c r="C3863" s="545">
        <v>4.5</v>
      </c>
      <c r="D3863" s="545">
        <v>1.3333333333333333</v>
      </c>
      <c r="E3863" s="545">
        <v>1.6666666666666665</v>
      </c>
      <c r="F3863" s="545">
        <v>3.6428571428571428</v>
      </c>
      <c r="G3863" s="545">
        <v>5.2</v>
      </c>
      <c r="H3863" s="545">
        <v>4</v>
      </c>
      <c r="I3863" s="545">
        <v>3.6666666666666665</v>
      </c>
      <c r="J3863" s="545">
        <v>4.8095238095238093</v>
      </c>
    </row>
    <row r="3864" spans="1:10">
      <c r="A3864" s="441">
        <v>4144</v>
      </c>
      <c r="B3864" s="441" t="s">
        <v>3831</v>
      </c>
      <c r="C3864" s="545">
        <v>19.333333333333336</v>
      </c>
      <c r="D3864" s="545">
        <v>0</v>
      </c>
      <c r="E3864" s="545">
        <v>0.66666666666666663</v>
      </c>
      <c r="F3864" s="545">
        <v>13.904761904761909</v>
      </c>
      <c r="G3864" s="545">
        <v>4.0999999999999996</v>
      </c>
      <c r="H3864" s="545">
        <v>2.3333333333333335</v>
      </c>
      <c r="I3864" s="545">
        <v>1.6666666666666667</v>
      </c>
      <c r="J3864" s="545">
        <v>3.5</v>
      </c>
    </row>
    <row r="3865" spans="1:10">
      <c r="A3865" s="441">
        <v>4682</v>
      </c>
      <c r="B3865" s="441" t="s">
        <v>3831</v>
      </c>
      <c r="C3865" s="545">
        <v>17.333333333333336</v>
      </c>
      <c r="D3865" s="545">
        <v>0</v>
      </c>
      <c r="E3865" s="545">
        <v>0</v>
      </c>
      <c r="F3865" s="545">
        <v>12.380952380952383</v>
      </c>
      <c r="G3865" s="545">
        <v>10.050000000000001</v>
      </c>
      <c r="H3865" s="545">
        <v>2.6666666666666665</v>
      </c>
      <c r="I3865" s="545">
        <v>2</v>
      </c>
      <c r="J3865" s="545">
        <v>7.8452380952380949</v>
      </c>
    </row>
    <row r="3866" spans="1:10">
      <c r="A3866" s="441">
        <v>4142</v>
      </c>
      <c r="B3866" s="441" t="s">
        <v>3832</v>
      </c>
      <c r="C3866" s="545">
        <v>2.5</v>
      </c>
      <c r="D3866" s="545">
        <v>0.66666666666666663</v>
      </c>
      <c r="E3866" s="545">
        <v>1.3333333333333333</v>
      </c>
      <c r="F3866" s="545">
        <v>2.0714285714285716</v>
      </c>
      <c r="G3866" s="545">
        <v>1.8</v>
      </c>
      <c r="H3866" s="545">
        <v>3.3333333333333335</v>
      </c>
      <c r="I3866" s="545">
        <v>1.6666666666666667</v>
      </c>
      <c r="J3866" s="545">
        <v>2</v>
      </c>
    </row>
    <row r="3867" spans="1:10">
      <c r="A3867" s="441">
        <v>4684</v>
      </c>
      <c r="B3867" s="441" t="s">
        <v>3832</v>
      </c>
      <c r="C3867" s="545">
        <v>4</v>
      </c>
      <c r="D3867" s="545">
        <v>2</v>
      </c>
      <c r="E3867" s="545">
        <v>0.66666666666666663</v>
      </c>
      <c r="F3867" s="545">
        <v>3.2380952380952381</v>
      </c>
      <c r="G3867" s="545">
        <v>1.4</v>
      </c>
      <c r="H3867" s="545">
        <v>1.3333333333333333</v>
      </c>
      <c r="I3867" s="545">
        <v>2.3333333333333335</v>
      </c>
      <c r="J3867" s="545">
        <v>1.5238095238095239</v>
      </c>
    </row>
    <row r="3868" spans="1:10">
      <c r="A3868" s="441">
        <v>4693</v>
      </c>
      <c r="B3868" s="441" t="s">
        <v>3833</v>
      </c>
      <c r="C3868" s="545">
        <v>0.83333333333333326</v>
      </c>
      <c r="D3868" s="545">
        <v>1</v>
      </c>
      <c r="E3868" s="545">
        <v>1.3333333333333333</v>
      </c>
      <c r="F3868" s="545">
        <v>0.92857142857142849</v>
      </c>
      <c r="G3868" s="545">
        <v>1.65</v>
      </c>
      <c r="H3868" s="545">
        <v>0.33333333333333331</v>
      </c>
      <c r="I3868" s="545">
        <v>2</v>
      </c>
      <c r="J3868" s="545">
        <v>1.5119047619047621</v>
      </c>
    </row>
    <row r="3869" spans="1:10">
      <c r="A3869" s="441">
        <v>4703</v>
      </c>
      <c r="B3869" s="441" t="s">
        <v>3833</v>
      </c>
      <c r="C3869" s="545">
        <v>1.5</v>
      </c>
      <c r="D3869" s="545">
        <v>1.3333333333333333</v>
      </c>
      <c r="E3869" s="545">
        <v>0.33333333333333331</v>
      </c>
      <c r="F3869" s="545">
        <v>1.3095238095238098</v>
      </c>
      <c r="G3869" s="545">
        <v>2.7</v>
      </c>
      <c r="H3869" s="545">
        <v>1</v>
      </c>
      <c r="I3869" s="545">
        <v>2.6666666666666665</v>
      </c>
      <c r="J3869" s="545">
        <v>2.4523809523809526</v>
      </c>
    </row>
    <row r="3870" spans="1:10">
      <c r="A3870" s="441">
        <v>4197</v>
      </c>
      <c r="B3870" s="441" t="s">
        <v>3834</v>
      </c>
      <c r="C3870" s="545">
        <v>3.5</v>
      </c>
      <c r="D3870" s="545">
        <v>1.6666666666666665</v>
      </c>
      <c r="E3870" s="545">
        <v>1</v>
      </c>
      <c r="F3870" s="545">
        <v>2.8809523809523809</v>
      </c>
      <c r="G3870" s="545">
        <v>1.3</v>
      </c>
      <c r="H3870" s="545">
        <v>0</v>
      </c>
      <c r="I3870" s="545">
        <v>1</v>
      </c>
      <c r="J3870" s="545">
        <v>1.0714285714285714</v>
      </c>
    </row>
    <row r="3871" spans="1:10">
      <c r="A3871" s="441">
        <v>4222</v>
      </c>
      <c r="B3871" s="441" t="s">
        <v>3834</v>
      </c>
      <c r="C3871" s="545">
        <v>3.6666666666666665</v>
      </c>
      <c r="D3871" s="545">
        <v>2.6666666666666665</v>
      </c>
      <c r="E3871" s="545">
        <v>1</v>
      </c>
      <c r="F3871" s="545">
        <v>3.1428571428571428</v>
      </c>
      <c r="G3871" s="545">
        <v>1.8</v>
      </c>
      <c r="H3871" s="545">
        <v>0.66666666666666663</v>
      </c>
      <c r="I3871" s="545">
        <v>1.6666666666666667</v>
      </c>
      <c r="J3871" s="545">
        <v>1.6190476190476188</v>
      </c>
    </row>
    <row r="3872" spans="1:10">
      <c r="A3872" s="441">
        <v>4200</v>
      </c>
      <c r="B3872" s="441" t="s">
        <v>3835</v>
      </c>
      <c r="C3872" s="545">
        <v>2.5</v>
      </c>
      <c r="D3872" s="545">
        <v>1.3333333333333333</v>
      </c>
      <c r="E3872" s="545">
        <v>0.66666666666666663</v>
      </c>
      <c r="F3872" s="545">
        <v>2.0714285714285716</v>
      </c>
      <c r="G3872" s="545">
        <v>0.4</v>
      </c>
      <c r="H3872" s="545">
        <v>0</v>
      </c>
      <c r="I3872" s="545">
        <v>0</v>
      </c>
      <c r="J3872" s="545">
        <v>0.2857142857142857</v>
      </c>
    </row>
    <row r="3873" spans="1:10">
      <c r="A3873" s="441">
        <v>4219</v>
      </c>
      <c r="B3873" s="441" t="s">
        <v>3835</v>
      </c>
      <c r="C3873" s="545">
        <v>2.1666666666666665</v>
      </c>
      <c r="D3873" s="545">
        <v>4</v>
      </c>
      <c r="E3873" s="545">
        <v>0.33333333333333331</v>
      </c>
      <c r="F3873" s="545">
        <v>2.1666666666666665</v>
      </c>
      <c r="G3873" s="545">
        <v>0.5</v>
      </c>
      <c r="H3873" s="545">
        <v>0</v>
      </c>
      <c r="I3873" s="545">
        <v>0</v>
      </c>
      <c r="J3873" s="545">
        <v>0.35714285714285715</v>
      </c>
    </row>
    <row r="3874" spans="1:10">
      <c r="A3874" s="441">
        <v>4207</v>
      </c>
      <c r="B3874" s="441" t="s">
        <v>3836</v>
      </c>
      <c r="C3874" s="545">
        <v>7.5</v>
      </c>
      <c r="D3874" s="545">
        <v>2</v>
      </c>
      <c r="E3874" s="545">
        <v>5.3333333333333339</v>
      </c>
      <c r="F3874" s="545">
        <v>6.4047619047619051</v>
      </c>
      <c r="G3874" s="545">
        <v>1.5</v>
      </c>
      <c r="H3874" s="545">
        <v>1</v>
      </c>
      <c r="I3874" s="545">
        <v>1.3333333333333333</v>
      </c>
      <c r="J3874" s="545">
        <v>1.4047619047619049</v>
      </c>
    </row>
    <row r="3875" spans="1:10">
      <c r="A3875" s="441">
        <v>4212</v>
      </c>
      <c r="B3875" s="441" t="s">
        <v>3836</v>
      </c>
      <c r="C3875" s="545">
        <v>9.5</v>
      </c>
      <c r="D3875" s="545">
        <v>1.3333333333333333</v>
      </c>
      <c r="E3875" s="545">
        <v>2</v>
      </c>
      <c r="F3875" s="545">
        <v>7.2619047619047619</v>
      </c>
      <c r="G3875" s="545">
        <v>3.05</v>
      </c>
      <c r="H3875" s="545">
        <v>2.3333333333333335</v>
      </c>
      <c r="I3875" s="545">
        <v>2.3333333333333335</v>
      </c>
      <c r="J3875" s="545">
        <v>2.8452380952380949</v>
      </c>
    </row>
    <row r="3876" spans="1:10">
      <c r="A3876" s="441">
        <v>4204</v>
      </c>
      <c r="B3876" s="441" t="s">
        <v>3837</v>
      </c>
      <c r="C3876" s="545">
        <v>5.5</v>
      </c>
      <c r="D3876" s="545">
        <v>3.6666666666666665</v>
      </c>
      <c r="E3876" s="545">
        <v>4.6666666666666661</v>
      </c>
      <c r="F3876" s="545">
        <v>5.1190476190476195</v>
      </c>
      <c r="G3876" s="545">
        <v>3.85</v>
      </c>
      <c r="H3876" s="545">
        <v>0.66666666666666663</v>
      </c>
      <c r="I3876" s="545">
        <v>2</v>
      </c>
      <c r="J3876" s="545">
        <v>3.1309523809523809</v>
      </c>
    </row>
    <row r="3877" spans="1:10">
      <c r="A3877" s="441">
        <v>4215</v>
      </c>
      <c r="B3877" s="441" t="s">
        <v>3837</v>
      </c>
      <c r="C3877" s="545">
        <v>8.3333333333333339</v>
      </c>
      <c r="D3877" s="545">
        <v>2</v>
      </c>
      <c r="E3877" s="545">
        <v>1</v>
      </c>
      <c r="F3877" s="545">
        <v>6.3809523809523814</v>
      </c>
      <c r="G3877" s="545">
        <v>3.25</v>
      </c>
      <c r="H3877" s="545">
        <v>2.3333333333333335</v>
      </c>
      <c r="I3877" s="545">
        <v>1</v>
      </c>
      <c r="J3877" s="545">
        <v>2.7976190476190474</v>
      </c>
    </row>
    <row r="3878" spans="1:10">
      <c r="A3878" s="441">
        <v>4695</v>
      </c>
      <c r="B3878" s="441" t="s">
        <v>3838</v>
      </c>
      <c r="C3878" s="545">
        <v>6</v>
      </c>
      <c r="D3878" s="545">
        <v>0.33333333333333331</v>
      </c>
      <c r="E3878" s="545">
        <v>0</v>
      </c>
      <c r="F3878" s="545">
        <v>4.333333333333333</v>
      </c>
      <c r="G3878" s="545">
        <v>0.95</v>
      </c>
      <c r="H3878" s="545">
        <v>0.33333333333333331</v>
      </c>
      <c r="I3878" s="545">
        <v>0</v>
      </c>
      <c r="J3878" s="545">
        <v>0.72619047619047616</v>
      </c>
    </row>
    <row r="3879" spans="1:10">
      <c r="A3879" s="441">
        <v>4700</v>
      </c>
      <c r="B3879" s="441" t="s">
        <v>3838</v>
      </c>
      <c r="C3879" s="545">
        <v>2.5</v>
      </c>
      <c r="D3879" s="545">
        <v>0</v>
      </c>
      <c r="E3879" s="545">
        <v>1</v>
      </c>
      <c r="F3879" s="545">
        <v>1.9285714285714286</v>
      </c>
      <c r="G3879" s="545">
        <v>7.3</v>
      </c>
      <c r="H3879" s="545">
        <v>2.6666666666666665</v>
      </c>
      <c r="I3879" s="545">
        <v>0</v>
      </c>
      <c r="J3879" s="545">
        <v>5.5952380952380949</v>
      </c>
    </row>
    <row r="3880" spans="1:10">
      <c r="A3880" s="441">
        <v>4701</v>
      </c>
      <c r="B3880" s="441" t="s">
        <v>3839</v>
      </c>
      <c r="C3880" s="545">
        <v>0.16666666666666666</v>
      </c>
      <c r="D3880" s="545">
        <v>0.66666666666666663</v>
      </c>
      <c r="E3880" s="545">
        <v>0</v>
      </c>
      <c r="F3880" s="545">
        <v>0.21428571428571427</v>
      </c>
      <c r="G3880" s="545">
        <v>0.35</v>
      </c>
      <c r="H3880" s="545">
        <v>0</v>
      </c>
      <c r="I3880" s="545">
        <v>0</v>
      </c>
      <c r="J3880" s="545">
        <v>0.25</v>
      </c>
    </row>
    <row r="3881" spans="1:10">
      <c r="A3881" s="441">
        <v>4201</v>
      </c>
      <c r="B3881" s="441" t="s">
        <v>3840</v>
      </c>
      <c r="C3881" s="545">
        <v>2.333333333333333</v>
      </c>
      <c r="D3881" s="545">
        <v>0.33333333333333331</v>
      </c>
      <c r="E3881" s="545">
        <v>0.66666666666666663</v>
      </c>
      <c r="F3881" s="545">
        <v>1.8095238095238091</v>
      </c>
      <c r="G3881" s="545">
        <v>0.7</v>
      </c>
      <c r="H3881" s="545">
        <v>1</v>
      </c>
      <c r="I3881" s="545">
        <v>1.3333333333333333</v>
      </c>
      <c r="J3881" s="545">
        <v>0.83333333333333326</v>
      </c>
    </row>
    <row r="3882" spans="1:10">
      <c r="A3882" s="441">
        <v>4218</v>
      </c>
      <c r="B3882" s="441" t="s">
        <v>3840</v>
      </c>
      <c r="C3882" s="545">
        <v>2.333333333333333</v>
      </c>
      <c r="D3882" s="545">
        <v>0.33333333333333331</v>
      </c>
      <c r="E3882" s="545">
        <v>0.66666666666666663</v>
      </c>
      <c r="F3882" s="545">
        <v>1.8095238095238091</v>
      </c>
      <c r="G3882" s="545">
        <v>1</v>
      </c>
      <c r="H3882" s="545">
        <v>0.33333333333333331</v>
      </c>
      <c r="I3882" s="545">
        <v>0.33333333333333331</v>
      </c>
      <c r="J3882" s="545">
        <v>0.80952380952380942</v>
      </c>
    </row>
    <row r="3883" spans="1:10">
      <c r="A3883" s="441">
        <v>4696</v>
      </c>
      <c r="B3883" s="441" t="s">
        <v>3841</v>
      </c>
      <c r="C3883" s="545">
        <v>9.3333333333333321</v>
      </c>
      <c r="D3883" s="545">
        <v>3</v>
      </c>
      <c r="E3883" s="545">
        <v>1.6666666666666665</v>
      </c>
      <c r="F3883" s="545">
        <v>7.3333333333333313</v>
      </c>
      <c r="G3883" s="545">
        <v>2.4500000000000002</v>
      </c>
      <c r="H3883" s="545">
        <v>3.3333333333333335</v>
      </c>
      <c r="I3883" s="545">
        <v>1</v>
      </c>
      <c r="J3883" s="545">
        <v>2.3690476190476195</v>
      </c>
    </row>
    <row r="3884" spans="1:10">
      <c r="A3884" s="441">
        <v>4699</v>
      </c>
      <c r="B3884" s="441" t="s">
        <v>3841</v>
      </c>
      <c r="C3884" s="545">
        <v>12.166666666666666</v>
      </c>
      <c r="D3884" s="545">
        <v>2.3333333333333335</v>
      </c>
      <c r="E3884" s="545">
        <v>2.6666666666666665</v>
      </c>
      <c r="F3884" s="545">
        <v>9.4047619047619033</v>
      </c>
      <c r="G3884" s="545">
        <v>2.95</v>
      </c>
      <c r="H3884" s="545">
        <v>3.3333333333333335</v>
      </c>
      <c r="I3884" s="545">
        <v>0.33333333333333331</v>
      </c>
      <c r="J3884" s="545">
        <v>2.6309523809523805</v>
      </c>
    </row>
    <row r="3885" spans="1:10">
      <c r="A3885" s="441">
        <v>4141</v>
      </c>
      <c r="B3885" s="441" t="s">
        <v>3842</v>
      </c>
      <c r="C3885" s="545">
        <v>6.833333333333333</v>
      </c>
      <c r="D3885" s="545">
        <v>5.333333333333333</v>
      </c>
      <c r="E3885" s="545">
        <v>7</v>
      </c>
      <c r="F3885" s="545">
        <v>6.6428571428571432</v>
      </c>
      <c r="G3885" s="545">
        <v>5.0999999999999996</v>
      </c>
      <c r="H3885" s="545">
        <v>4</v>
      </c>
      <c r="I3885" s="545">
        <v>5.333333333333333</v>
      </c>
      <c r="J3885" s="545">
        <v>4.9761904761904763</v>
      </c>
    </row>
    <row r="3886" spans="1:10">
      <c r="A3886" s="441">
        <v>11447</v>
      </c>
      <c r="B3886" s="441" t="s">
        <v>3842</v>
      </c>
      <c r="C3886" s="545">
        <v>2.1666666666666665</v>
      </c>
      <c r="D3886" s="545">
        <v>2.6666666666666665</v>
      </c>
      <c r="E3886" s="545">
        <v>1</v>
      </c>
      <c r="F3886" s="545">
        <v>2.0714285714285712</v>
      </c>
      <c r="G3886" s="545">
        <v>0.7</v>
      </c>
      <c r="H3886" s="545">
        <v>0</v>
      </c>
      <c r="I3886" s="545">
        <v>1</v>
      </c>
      <c r="J3886" s="545">
        <v>0.6428571428571429</v>
      </c>
    </row>
    <row r="3887" spans="1:10">
      <c r="A3887" s="441">
        <v>4199</v>
      </c>
      <c r="B3887" s="441" t="s">
        <v>3843</v>
      </c>
      <c r="C3887" s="545">
        <v>1.3333333333333335</v>
      </c>
      <c r="D3887" s="545">
        <v>0</v>
      </c>
      <c r="E3887" s="545">
        <v>0.33333333333333331</v>
      </c>
      <c r="F3887" s="545">
        <v>1.0000000000000002</v>
      </c>
      <c r="G3887" s="545">
        <v>1.1000000000000001</v>
      </c>
      <c r="H3887" s="545">
        <v>1.3333333333333333</v>
      </c>
      <c r="I3887" s="545">
        <v>0.66666666666666663</v>
      </c>
      <c r="J3887" s="545">
        <v>1.0714285714285714</v>
      </c>
    </row>
    <row r="3888" spans="1:10">
      <c r="A3888" s="441">
        <v>4220</v>
      </c>
      <c r="B3888" s="441" t="s">
        <v>3843</v>
      </c>
      <c r="C3888" s="545">
        <v>1.1666666666666667</v>
      </c>
      <c r="D3888" s="545">
        <v>0.66666666666666663</v>
      </c>
      <c r="E3888" s="545">
        <v>0</v>
      </c>
      <c r="F3888" s="545">
        <v>0.92857142857142871</v>
      </c>
      <c r="G3888" s="545">
        <v>0.75</v>
      </c>
      <c r="H3888" s="545">
        <v>0</v>
      </c>
      <c r="I3888" s="545">
        <v>0.66666666666666663</v>
      </c>
      <c r="J3888" s="545">
        <v>0.63095238095238104</v>
      </c>
    </row>
    <row r="3889" spans="1:10">
      <c r="A3889" s="441">
        <v>4206</v>
      </c>
      <c r="B3889" s="441" t="s">
        <v>3844</v>
      </c>
      <c r="C3889" s="545">
        <v>13.833333333333332</v>
      </c>
      <c r="D3889" s="545">
        <v>4.333333333333333</v>
      </c>
      <c r="E3889" s="545">
        <v>2.3333333333333335</v>
      </c>
      <c r="F3889" s="545">
        <v>10.83333333333333</v>
      </c>
      <c r="G3889" s="545">
        <v>4.5999999999999996</v>
      </c>
      <c r="H3889" s="545">
        <v>5</v>
      </c>
      <c r="I3889" s="545">
        <v>1.6666666666666667</v>
      </c>
      <c r="J3889" s="545">
        <v>4.2380952380952381</v>
      </c>
    </row>
    <row r="3890" spans="1:10">
      <c r="A3890" s="441">
        <v>4213</v>
      </c>
      <c r="B3890" s="441" t="s">
        <v>3844</v>
      </c>
      <c r="C3890" s="545">
        <v>13.833333333333332</v>
      </c>
      <c r="D3890" s="545">
        <v>8.3333333333333339</v>
      </c>
      <c r="E3890" s="545">
        <v>5.3333333333333339</v>
      </c>
      <c r="F3890" s="545">
        <v>11.83333333333333</v>
      </c>
      <c r="G3890" s="545">
        <v>5</v>
      </c>
      <c r="H3890" s="545">
        <v>3</v>
      </c>
      <c r="I3890" s="545">
        <v>2</v>
      </c>
      <c r="J3890" s="545">
        <v>4.2857142857142856</v>
      </c>
    </row>
    <row r="3891" spans="1:10">
      <c r="A3891" s="441">
        <v>4690</v>
      </c>
      <c r="B3891" s="441" t="s">
        <v>3845</v>
      </c>
      <c r="C3891" s="545">
        <v>4.333333333333333</v>
      </c>
      <c r="D3891" s="545">
        <v>2.3333333333333335</v>
      </c>
      <c r="E3891" s="545">
        <v>1.3333333333333333</v>
      </c>
      <c r="F3891" s="545">
        <v>3.6190476190476182</v>
      </c>
      <c r="G3891" s="545">
        <v>2.65</v>
      </c>
      <c r="H3891" s="545">
        <v>1.6666666666666667</v>
      </c>
      <c r="I3891" s="545">
        <v>1.6666666666666667</v>
      </c>
      <c r="J3891" s="545">
        <v>2.3690476190476191</v>
      </c>
    </row>
    <row r="3892" spans="1:10">
      <c r="A3892" s="441">
        <v>4706</v>
      </c>
      <c r="B3892" s="441" t="s">
        <v>3845</v>
      </c>
      <c r="C3892" s="545">
        <v>7.8333333333333339</v>
      </c>
      <c r="D3892" s="545">
        <v>3</v>
      </c>
      <c r="E3892" s="545">
        <v>2.666666666666667</v>
      </c>
      <c r="F3892" s="545">
        <v>6.4047619047619051</v>
      </c>
      <c r="G3892" s="545">
        <v>3.85</v>
      </c>
      <c r="H3892" s="545">
        <v>2</v>
      </c>
      <c r="I3892" s="545">
        <v>4.333333333333333</v>
      </c>
      <c r="J3892" s="545">
        <v>3.6547619047619047</v>
      </c>
    </row>
    <row r="3893" spans="1:10">
      <c r="A3893" s="441">
        <v>4697</v>
      </c>
      <c r="B3893" s="441" t="s">
        <v>3846</v>
      </c>
      <c r="C3893" s="545">
        <v>8.5</v>
      </c>
      <c r="D3893" s="545">
        <v>3</v>
      </c>
      <c r="E3893" s="545">
        <v>4</v>
      </c>
      <c r="F3893" s="545">
        <v>7.0714285714285712</v>
      </c>
      <c r="G3893" s="545">
        <v>2.4500000000000002</v>
      </c>
      <c r="H3893" s="545">
        <v>2.6666666666666665</v>
      </c>
      <c r="I3893" s="545">
        <v>1</v>
      </c>
      <c r="J3893" s="545">
        <v>2.2738095238095237</v>
      </c>
    </row>
    <row r="3894" spans="1:10">
      <c r="A3894" s="441">
        <v>4143</v>
      </c>
      <c r="B3894" s="441" t="s">
        <v>3847</v>
      </c>
      <c r="C3894" s="545">
        <v>7.8333333333333339</v>
      </c>
      <c r="D3894" s="545">
        <v>1.6666666666666665</v>
      </c>
      <c r="E3894" s="545">
        <v>1.3333333333333333</v>
      </c>
      <c r="F3894" s="545">
        <v>6.0238095238095246</v>
      </c>
      <c r="G3894" s="545">
        <v>2.4500000000000002</v>
      </c>
      <c r="H3894" s="545">
        <v>1.3333333333333333</v>
      </c>
      <c r="I3894" s="545">
        <v>1.3333333333333333</v>
      </c>
      <c r="J3894" s="545">
        <v>2.1309523809523809</v>
      </c>
    </row>
    <row r="3895" spans="1:10">
      <c r="A3895" s="441">
        <v>4683</v>
      </c>
      <c r="B3895" s="441" t="s">
        <v>3847</v>
      </c>
      <c r="C3895" s="545">
        <v>7.6666666666666661</v>
      </c>
      <c r="D3895" s="545">
        <v>2</v>
      </c>
      <c r="E3895" s="545">
        <v>1</v>
      </c>
      <c r="F3895" s="545">
        <v>5.9047619047619042</v>
      </c>
      <c r="G3895" s="545">
        <v>3.75</v>
      </c>
      <c r="H3895" s="545">
        <v>1</v>
      </c>
      <c r="I3895" s="545">
        <v>2.3333333333333335</v>
      </c>
      <c r="J3895" s="545">
        <v>3.1547619047619047</v>
      </c>
    </row>
    <row r="3896" spans="1:10">
      <c r="A3896" s="441">
        <v>4691</v>
      </c>
      <c r="B3896" s="441" t="s">
        <v>3848</v>
      </c>
      <c r="C3896" s="545">
        <v>0.16666666666666666</v>
      </c>
      <c r="D3896" s="545">
        <v>0</v>
      </c>
      <c r="E3896" s="545">
        <v>4.666666666666667</v>
      </c>
      <c r="F3896" s="545">
        <v>0.7857142857142857</v>
      </c>
      <c r="G3896" s="545">
        <v>0.75</v>
      </c>
      <c r="H3896" s="545">
        <v>0</v>
      </c>
      <c r="I3896" s="545">
        <v>0</v>
      </c>
      <c r="J3896" s="545">
        <v>0.5357142857142857</v>
      </c>
    </row>
    <row r="3897" spans="1:10">
      <c r="A3897" s="441">
        <v>4705</v>
      </c>
      <c r="B3897" s="441" t="s">
        <v>3848</v>
      </c>
      <c r="C3897" s="545">
        <v>1.6666666666666667</v>
      </c>
      <c r="D3897" s="545">
        <v>0.66666666666666663</v>
      </c>
      <c r="E3897" s="545">
        <v>0</v>
      </c>
      <c r="F3897" s="545">
        <v>1.2857142857142858</v>
      </c>
      <c r="G3897" s="545">
        <v>1.2</v>
      </c>
      <c r="H3897" s="545">
        <v>0.66666666666666663</v>
      </c>
      <c r="I3897" s="545">
        <v>0.66666666666666663</v>
      </c>
      <c r="J3897" s="545">
        <v>1.0476190476190477</v>
      </c>
    </row>
    <row r="3898" spans="1:10">
      <c r="A3898" s="441">
        <v>4205</v>
      </c>
      <c r="B3898" s="441" t="s">
        <v>3849</v>
      </c>
      <c r="C3898" s="545">
        <v>1.1666666666666667</v>
      </c>
      <c r="D3898" s="545">
        <v>1</v>
      </c>
      <c r="E3898" s="545">
        <v>1</v>
      </c>
      <c r="F3898" s="545">
        <v>1.1190476190476191</v>
      </c>
      <c r="G3898" s="545">
        <v>1.1000000000000001</v>
      </c>
      <c r="H3898" s="545">
        <v>1.3333333333333333</v>
      </c>
      <c r="I3898" s="545">
        <v>1</v>
      </c>
      <c r="J3898" s="545">
        <v>1.1190476190476191</v>
      </c>
    </row>
    <row r="3899" spans="1:10">
      <c r="A3899" s="441">
        <v>4214</v>
      </c>
      <c r="B3899" s="441" t="s">
        <v>3849</v>
      </c>
      <c r="C3899" s="545">
        <v>3.5</v>
      </c>
      <c r="D3899" s="545">
        <v>0.66666666666666663</v>
      </c>
      <c r="E3899" s="545">
        <v>0.33333333333333331</v>
      </c>
      <c r="F3899" s="545">
        <v>2.6428571428571428</v>
      </c>
      <c r="G3899" s="545">
        <v>0.9</v>
      </c>
      <c r="H3899" s="545">
        <v>1</v>
      </c>
      <c r="I3899" s="545">
        <v>1</v>
      </c>
      <c r="J3899" s="545">
        <v>0.9285714285714286</v>
      </c>
    </row>
    <row r="3900" spans="1:10">
      <c r="A3900" s="441">
        <v>4692</v>
      </c>
      <c r="B3900" s="441" t="s">
        <v>3850</v>
      </c>
      <c r="C3900" s="545">
        <v>1.5</v>
      </c>
      <c r="D3900" s="545">
        <v>0.33333333333333331</v>
      </c>
      <c r="E3900" s="545">
        <v>0</v>
      </c>
      <c r="F3900" s="545">
        <v>1.1190476190476191</v>
      </c>
      <c r="G3900" s="545">
        <v>2.8</v>
      </c>
      <c r="H3900" s="545">
        <v>0</v>
      </c>
      <c r="I3900" s="545">
        <v>0</v>
      </c>
      <c r="J3900" s="545">
        <v>2</v>
      </c>
    </row>
    <row r="3901" spans="1:10">
      <c r="A3901" s="441">
        <v>4704</v>
      </c>
      <c r="B3901" s="441" t="s">
        <v>3850</v>
      </c>
      <c r="C3901" s="545">
        <v>2.5</v>
      </c>
      <c r="D3901" s="545">
        <v>1</v>
      </c>
      <c r="E3901" s="545">
        <v>0.66666666666666663</v>
      </c>
      <c r="F3901" s="545">
        <v>2.0238095238095237</v>
      </c>
      <c r="G3901" s="545">
        <v>0.95</v>
      </c>
      <c r="H3901" s="545">
        <v>0</v>
      </c>
      <c r="I3901" s="545">
        <v>0</v>
      </c>
      <c r="J3901" s="545">
        <v>0.6785714285714286</v>
      </c>
    </row>
    <row r="3902" spans="1:10">
      <c r="A3902" s="441">
        <v>4198</v>
      </c>
      <c r="B3902" s="441" t="s">
        <v>3851</v>
      </c>
      <c r="C3902" s="545">
        <v>1.3333333333333335</v>
      </c>
      <c r="D3902" s="545">
        <v>0.66666666666666663</v>
      </c>
      <c r="E3902" s="545">
        <v>0</v>
      </c>
      <c r="F3902" s="545">
        <v>1.0476190476190479</v>
      </c>
      <c r="G3902" s="545">
        <v>1.2</v>
      </c>
      <c r="H3902" s="545">
        <v>0.66666666666666663</v>
      </c>
      <c r="I3902" s="545">
        <v>1.6666666666666667</v>
      </c>
      <c r="J3902" s="545">
        <v>1.1904761904761905</v>
      </c>
    </row>
    <row r="3903" spans="1:10">
      <c r="A3903" s="441">
        <v>4221</v>
      </c>
      <c r="B3903" s="441" t="s">
        <v>3851</v>
      </c>
      <c r="C3903" s="545">
        <v>1.6666666666666667</v>
      </c>
      <c r="D3903" s="545">
        <v>0.66666666666666663</v>
      </c>
      <c r="E3903" s="545">
        <v>1.3333333333333333</v>
      </c>
      <c r="F3903" s="545">
        <v>1.4761904761904763</v>
      </c>
      <c r="G3903" s="545">
        <v>1.85</v>
      </c>
      <c r="H3903" s="545">
        <v>0.33333333333333331</v>
      </c>
      <c r="I3903" s="545">
        <v>0.66666666666666663</v>
      </c>
      <c r="J3903" s="545">
        <v>1.4642857142857142</v>
      </c>
    </row>
    <row r="3904" spans="1:10">
      <c r="A3904" s="441">
        <v>329</v>
      </c>
      <c r="B3904" s="441" t="s">
        <v>3852</v>
      </c>
      <c r="C3904" s="545">
        <v>375.83333333333331</v>
      </c>
      <c r="D3904" s="545">
        <v>0</v>
      </c>
      <c r="E3904" s="545">
        <v>0</v>
      </c>
      <c r="F3904" s="545">
        <v>268.45238095238091</v>
      </c>
      <c r="G3904" s="545">
        <v>112.05</v>
      </c>
      <c r="H3904" s="545"/>
      <c r="I3904" s="545"/>
      <c r="J3904" s="545">
        <v>80.035714285714292</v>
      </c>
    </row>
    <row r="3905" spans="1:10">
      <c r="A3905" s="441">
        <v>90114</v>
      </c>
      <c r="B3905" s="441" t="s">
        <v>3853</v>
      </c>
      <c r="C3905" s="545">
        <v>0.33333333333333331</v>
      </c>
      <c r="D3905" s="545">
        <v>0</v>
      </c>
      <c r="E3905" s="545">
        <v>0</v>
      </c>
      <c r="F3905" s="545">
        <v>0.23809523809523808</v>
      </c>
      <c r="G3905" s="545">
        <v>0.1</v>
      </c>
      <c r="H3905" s="545">
        <v>0</v>
      </c>
      <c r="I3905" s="545">
        <v>0</v>
      </c>
      <c r="J3905" s="545">
        <v>7.1428571428571425E-2</v>
      </c>
    </row>
    <row r="3906" spans="1:10">
      <c r="A3906" s="441">
        <v>4893</v>
      </c>
      <c r="B3906" s="441" t="s">
        <v>3854</v>
      </c>
      <c r="C3906" s="545">
        <v>23</v>
      </c>
      <c r="D3906" s="545">
        <v>15.333333333333332</v>
      </c>
      <c r="E3906" s="545">
        <v>11.666666666666668</v>
      </c>
      <c r="F3906" s="545">
        <v>20.285714285714285</v>
      </c>
      <c r="G3906" s="545">
        <v>17</v>
      </c>
      <c r="H3906" s="545">
        <v>8</v>
      </c>
      <c r="I3906" s="545">
        <v>8.3333333333333339</v>
      </c>
      <c r="J3906" s="545">
        <v>14.476190476190476</v>
      </c>
    </row>
    <row r="3907" spans="1:10">
      <c r="A3907" s="441">
        <v>1427</v>
      </c>
      <c r="B3907" s="441" t="s">
        <v>3855</v>
      </c>
      <c r="C3907" s="545">
        <v>116.33333333333333</v>
      </c>
      <c r="D3907" s="545">
        <v>27.333333333333332</v>
      </c>
      <c r="E3907" s="545">
        <v>33.666666666666664</v>
      </c>
      <c r="F3907" s="545">
        <v>91.80952380952381</v>
      </c>
      <c r="G3907" s="545">
        <v>87.5</v>
      </c>
      <c r="H3907" s="545">
        <v>11</v>
      </c>
      <c r="I3907" s="545">
        <v>39.666666666666664</v>
      </c>
      <c r="J3907" s="545">
        <v>69.738095238095241</v>
      </c>
    </row>
    <row r="3908" spans="1:10">
      <c r="A3908" s="441">
        <v>3718</v>
      </c>
      <c r="B3908" s="441" t="s">
        <v>3856</v>
      </c>
      <c r="C3908" s="545">
        <v>0.83333333333333326</v>
      </c>
      <c r="D3908" s="545">
        <v>0.66666666666666663</v>
      </c>
      <c r="E3908" s="545">
        <v>1</v>
      </c>
      <c r="F3908" s="545">
        <v>0.83333333333333326</v>
      </c>
      <c r="G3908" s="545">
        <v>5.35</v>
      </c>
      <c r="H3908" s="545">
        <v>4</v>
      </c>
      <c r="I3908" s="545">
        <v>1</v>
      </c>
      <c r="J3908" s="545">
        <v>4.5357142857142856</v>
      </c>
    </row>
    <row r="3909" spans="1:10">
      <c r="A3909" s="441">
        <v>3748</v>
      </c>
      <c r="B3909" s="441" t="s">
        <v>3856</v>
      </c>
      <c r="C3909" s="545">
        <v>5.3333333333333339</v>
      </c>
      <c r="D3909" s="545">
        <v>2.6666666666666665</v>
      </c>
      <c r="E3909" s="545">
        <v>0.66666666666666663</v>
      </c>
      <c r="F3909" s="545">
        <v>4.2857142857142865</v>
      </c>
      <c r="G3909" s="545">
        <v>11.8</v>
      </c>
      <c r="H3909" s="545">
        <v>7.333333333333333</v>
      </c>
      <c r="I3909" s="545">
        <v>2</v>
      </c>
      <c r="J3909" s="545">
        <v>9.761904761904761</v>
      </c>
    </row>
    <row r="3910" spans="1:10">
      <c r="A3910" s="441">
        <v>4903</v>
      </c>
      <c r="B3910" s="441" t="s">
        <v>3857</v>
      </c>
      <c r="C3910" s="545">
        <v>30.5</v>
      </c>
      <c r="D3910" s="545">
        <v>25.333333333333336</v>
      </c>
      <c r="E3910" s="545">
        <v>21.333333333333332</v>
      </c>
      <c r="F3910" s="545">
        <v>28.452380952380956</v>
      </c>
      <c r="G3910" s="545">
        <v>35.4</v>
      </c>
      <c r="H3910" s="545">
        <v>37</v>
      </c>
      <c r="I3910" s="545">
        <v>24.333333333333332</v>
      </c>
      <c r="J3910" s="545">
        <v>34.047619047619051</v>
      </c>
    </row>
    <row r="3911" spans="1:10">
      <c r="A3911" s="441">
        <v>4914</v>
      </c>
      <c r="B3911" s="441" t="s">
        <v>3857</v>
      </c>
      <c r="C3911" s="545">
        <v>33.166666666666664</v>
      </c>
      <c r="D3911" s="545">
        <v>20.333333333333336</v>
      </c>
      <c r="E3911" s="545">
        <v>16.666666666666668</v>
      </c>
      <c r="F3911" s="545">
        <v>28.976190476190474</v>
      </c>
      <c r="G3911" s="545">
        <v>29.35</v>
      </c>
      <c r="H3911" s="545">
        <v>28</v>
      </c>
      <c r="I3911" s="545">
        <v>23.333333333333332</v>
      </c>
      <c r="J3911" s="545">
        <v>28.297619047619047</v>
      </c>
    </row>
    <row r="3912" spans="1:10">
      <c r="A3912" s="441">
        <v>4896</v>
      </c>
      <c r="B3912" s="441" t="s">
        <v>3858</v>
      </c>
      <c r="C3912" s="545">
        <v>19.5</v>
      </c>
      <c r="D3912" s="545">
        <v>23</v>
      </c>
      <c r="E3912" s="545">
        <v>14</v>
      </c>
      <c r="F3912" s="545">
        <v>19.214285714285715</v>
      </c>
      <c r="G3912" s="545">
        <v>20.5</v>
      </c>
      <c r="H3912" s="545">
        <v>13</v>
      </c>
      <c r="I3912" s="545">
        <v>13</v>
      </c>
      <c r="J3912" s="545">
        <v>18.357142857142858</v>
      </c>
    </row>
    <row r="3913" spans="1:10">
      <c r="A3913" s="441">
        <v>4921</v>
      </c>
      <c r="B3913" s="441" t="s">
        <v>3858</v>
      </c>
      <c r="C3913" s="545">
        <v>12.166666666666666</v>
      </c>
      <c r="D3913" s="545">
        <v>7.666666666666667</v>
      </c>
      <c r="E3913" s="545">
        <v>9.6666666666666661</v>
      </c>
      <c r="F3913" s="545">
        <v>11.166666666666668</v>
      </c>
      <c r="G3913" s="545">
        <v>19.2</v>
      </c>
      <c r="H3913" s="545">
        <v>14.333333333333334</v>
      </c>
      <c r="I3913" s="545">
        <v>12.666666666666666</v>
      </c>
      <c r="J3913" s="545">
        <v>17.571428571428573</v>
      </c>
    </row>
    <row r="3914" spans="1:10">
      <c r="A3914" s="441">
        <v>4897</v>
      </c>
      <c r="B3914" s="441" t="s">
        <v>3859</v>
      </c>
      <c r="C3914" s="545">
        <v>7.6666666666666661</v>
      </c>
      <c r="D3914" s="545">
        <v>5</v>
      </c>
      <c r="E3914" s="545">
        <v>5.3333333333333339</v>
      </c>
      <c r="F3914" s="545">
        <v>6.9523809523809517</v>
      </c>
      <c r="G3914" s="545">
        <v>9.6999999999999993</v>
      </c>
      <c r="H3914" s="545">
        <v>5.666666666666667</v>
      </c>
      <c r="I3914" s="545">
        <v>10.666666666666666</v>
      </c>
      <c r="J3914" s="545">
        <v>9.261904761904761</v>
      </c>
    </row>
    <row r="3915" spans="1:10">
      <c r="A3915" s="441">
        <v>4920</v>
      </c>
      <c r="B3915" s="441" t="s">
        <v>3859</v>
      </c>
      <c r="C3915" s="545">
        <v>9.8333333333333321</v>
      </c>
      <c r="D3915" s="545">
        <v>5.3333333333333339</v>
      </c>
      <c r="E3915" s="545">
        <v>4.333333333333333</v>
      </c>
      <c r="F3915" s="545">
        <v>8.4047619047619033</v>
      </c>
      <c r="G3915" s="545">
        <v>10.050000000000001</v>
      </c>
      <c r="H3915" s="545">
        <v>9.3333333333333339</v>
      </c>
      <c r="I3915" s="545">
        <v>9.6666666666666661</v>
      </c>
      <c r="J3915" s="545">
        <v>9.8928571428571423</v>
      </c>
    </row>
    <row r="3916" spans="1:10">
      <c r="A3916" s="441">
        <v>3731</v>
      </c>
      <c r="B3916" s="441" t="s">
        <v>3860</v>
      </c>
      <c r="C3916" s="545">
        <v>3.1666666666666665</v>
      </c>
      <c r="D3916" s="545">
        <v>0.33333333333333331</v>
      </c>
      <c r="E3916" s="545">
        <v>0</v>
      </c>
      <c r="F3916" s="545">
        <v>2.3095238095238093</v>
      </c>
      <c r="G3916" s="545">
        <v>2.2999999999999998</v>
      </c>
      <c r="H3916" s="545">
        <v>0</v>
      </c>
      <c r="I3916" s="545">
        <v>0</v>
      </c>
      <c r="J3916" s="545">
        <v>1.6428571428571428</v>
      </c>
    </row>
    <row r="3917" spans="1:10">
      <c r="A3917" s="441">
        <v>1425</v>
      </c>
      <c r="B3917" s="441" t="s">
        <v>3861</v>
      </c>
      <c r="C3917" s="545">
        <v>3.6666666666666665</v>
      </c>
      <c r="D3917" s="545">
        <v>2.6666666666666665</v>
      </c>
      <c r="E3917" s="545">
        <v>1.3333333333333333</v>
      </c>
      <c r="F3917" s="545">
        <v>3.1904761904761902</v>
      </c>
      <c r="G3917" s="545">
        <v>5</v>
      </c>
      <c r="H3917" s="545">
        <v>1.6666666666666667</v>
      </c>
      <c r="I3917" s="545">
        <v>0.33333333333333331</v>
      </c>
      <c r="J3917" s="545">
        <v>3.8571428571428572</v>
      </c>
    </row>
    <row r="3918" spans="1:10">
      <c r="A3918" s="441">
        <v>3736</v>
      </c>
      <c r="B3918" s="441" t="s">
        <v>3862</v>
      </c>
      <c r="C3918" s="545">
        <v>12.666666666666668</v>
      </c>
      <c r="D3918" s="545">
        <v>3.666666666666667</v>
      </c>
      <c r="E3918" s="545">
        <v>3</v>
      </c>
      <c r="F3918" s="545">
        <v>10.000000000000002</v>
      </c>
      <c r="G3918" s="545">
        <v>7.4</v>
      </c>
      <c r="H3918" s="545">
        <v>1.6666666666666667</v>
      </c>
      <c r="I3918" s="545">
        <v>2.6666666666666665</v>
      </c>
      <c r="J3918" s="545">
        <v>5.9047619047619042</v>
      </c>
    </row>
    <row r="3919" spans="1:10">
      <c r="A3919" s="441">
        <v>3726</v>
      </c>
      <c r="B3919" s="441" t="s">
        <v>3863</v>
      </c>
      <c r="C3919" s="545">
        <v>13</v>
      </c>
      <c r="D3919" s="545">
        <v>14.666666666666668</v>
      </c>
      <c r="E3919" s="545">
        <v>9.3333333333333339</v>
      </c>
      <c r="F3919" s="545">
        <v>12.714285714285714</v>
      </c>
      <c r="G3919" s="545">
        <v>7.85</v>
      </c>
      <c r="H3919" s="545">
        <v>6</v>
      </c>
      <c r="I3919" s="545">
        <v>10.333333333333334</v>
      </c>
      <c r="J3919" s="545">
        <v>7.9404761904761907</v>
      </c>
    </row>
    <row r="3920" spans="1:10">
      <c r="A3920" s="441">
        <v>4905</v>
      </c>
      <c r="B3920" s="441" t="s">
        <v>3864</v>
      </c>
      <c r="C3920" s="545">
        <v>8.5</v>
      </c>
      <c r="D3920" s="545">
        <v>3.666666666666667</v>
      </c>
      <c r="E3920" s="545">
        <v>5</v>
      </c>
      <c r="F3920" s="545">
        <v>7.3095238095238093</v>
      </c>
      <c r="G3920" s="545">
        <v>9</v>
      </c>
      <c r="H3920" s="545">
        <v>4.666666666666667</v>
      </c>
      <c r="I3920" s="545">
        <v>4.666666666666667</v>
      </c>
      <c r="J3920" s="545">
        <v>7.761904761904761</v>
      </c>
    </row>
    <row r="3921" spans="1:10">
      <c r="A3921" s="441">
        <v>4912</v>
      </c>
      <c r="B3921" s="441" t="s">
        <v>3864</v>
      </c>
      <c r="C3921" s="545">
        <v>16.666666666666664</v>
      </c>
      <c r="D3921" s="545">
        <v>7.6666666666666661</v>
      </c>
      <c r="E3921" s="545">
        <v>6.3333333333333339</v>
      </c>
      <c r="F3921" s="545">
        <v>13.904761904761902</v>
      </c>
      <c r="G3921" s="545">
        <v>14.8</v>
      </c>
      <c r="H3921" s="545">
        <v>4.666666666666667</v>
      </c>
      <c r="I3921" s="545">
        <v>4.333333333333333</v>
      </c>
      <c r="J3921" s="545">
        <v>11.857142857142858</v>
      </c>
    </row>
    <row r="3922" spans="1:10">
      <c r="A3922" s="441">
        <v>3717</v>
      </c>
      <c r="B3922" s="441" t="s">
        <v>3865</v>
      </c>
      <c r="C3922" s="545">
        <v>52.5</v>
      </c>
      <c r="D3922" s="545">
        <v>30.333333333333336</v>
      </c>
      <c r="E3922" s="545">
        <v>31.666666666666664</v>
      </c>
      <c r="F3922" s="545">
        <v>46.357142857142854</v>
      </c>
      <c r="G3922" s="545">
        <v>39.25</v>
      </c>
      <c r="H3922" s="545">
        <v>29.666666666666668</v>
      </c>
      <c r="I3922" s="545">
        <v>15.333333333333334</v>
      </c>
      <c r="J3922" s="545">
        <v>34.464285714285715</v>
      </c>
    </row>
    <row r="3923" spans="1:10">
      <c r="A3923" s="441">
        <v>3749</v>
      </c>
      <c r="B3923" s="441" t="s">
        <v>3865</v>
      </c>
      <c r="C3923" s="545">
        <v>47.666666666666671</v>
      </c>
      <c r="D3923" s="545">
        <v>28</v>
      </c>
      <c r="E3923" s="545">
        <v>19.666666666666664</v>
      </c>
      <c r="F3923" s="545">
        <v>40.857142857142868</v>
      </c>
      <c r="G3923" s="545">
        <v>33.65</v>
      </c>
      <c r="H3923" s="545">
        <v>19.333333333333332</v>
      </c>
      <c r="I3923" s="545">
        <v>10.666666666666666</v>
      </c>
      <c r="J3923" s="545">
        <v>28.321428571428573</v>
      </c>
    </row>
    <row r="3924" spans="1:10">
      <c r="A3924" s="441">
        <v>1424</v>
      </c>
      <c r="B3924" s="441" t="s">
        <v>3866</v>
      </c>
      <c r="C3924" s="545">
        <v>10.166666666666666</v>
      </c>
      <c r="D3924" s="545">
        <v>4</v>
      </c>
      <c r="E3924" s="545">
        <v>8</v>
      </c>
      <c r="F3924" s="545">
        <v>8.9761904761904763</v>
      </c>
      <c r="G3924" s="545">
        <v>10.75</v>
      </c>
      <c r="H3924" s="545">
        <v>4.666666666666667</v>
      </c>
      <c r="I3924" s="545">
        <v>3.6666666666666665</v>
      </c>
      <c r="J3924" s="545">
        <v>8.8690476190476186</v>
      </c>
    </row>
    <row r="3925" spans="1:10">
      <c r="A3925" s="441">
        <v>90931</v>
      </c>
      <c r="B3925" s="441" t="s">
        <v>3867</v>
      </c>
      <c r="C3925" s="545">
        <v>0</v>
      </c>
      <c r="D3925" s="545">
        <v>0</v>
      </c>
      <c r="E3925" s="545">
        <v>0</v>
      </c>
      <c r="F3925" s="545">
        <v>0</v>
      </c>
      <c r="G3925" s="545">
        <v>0</v>
      </c>
      <c r="H3925" s="545">
        <v>0</v>
      </c>
      <c r="I3925" s="545">
        <v>0</v>
      </c>
      <c r="J3925" s="545">
        <v>0</v>
      </c>
    </row>
    <row r="3926" spans="1:10">
      <c r="A3926" s="441">
        <v>3720</v>
      </c>
      <c r="B3926" s="441" t="s">
        <v>3868</v>
      </c>
      <c r="C3926" s="545">
        <v>65.166666666666671</v>
      </c>
      <c r="D3926" s="545">
        <v>47.333333333333329</v>
      </c>
      <c r="E3926" s="545">
        <v>36.333333333333329</v>
      </c>
      <c r="F3926" s="545">
        <v>58.5</v>
      </c>
      <c r="G3926" s="545">
        <v>49.2</v>
      </c>
      <c r="H3926" s="545">
        <v>37.666666666666664</v>
      </c>
      <c r="I3926" s="545">
        <v>35.333333333333336</v>
      </c>
      <c r="J3926" s="545">
        <v>45.571428571428569</v>
      </c>
    </row>
    <row r="3927" spans="1:10">
      <c r="A3927" s="441">
        <v>3746</v>
      </c>
      <c r="B3927" s="441" t="s">
        <v>3868</v>
      </c>
      <c r="C3927" s="545">
        <v>67.166666666666657</v>
      </c>
      <c r="D3927" s="545">
        <v>49.666666666666671</v>
      </c>
      <c r="E3927" s="545">
        <v>44</v>
      </c>
      <c r="F3927" s="545">
        <v>61.357142857142847</v>
      </c>
      <c r="G3927" s="545">
        <v>48.75</v>
      </c>
      <c r="H3927" s="545">
        <v>39.666666666666664</v>
      </c>
      <c r="I3927" s="545">
        <v>30.666666666666668</v>
      </c>
      <c r="J3927" s="545">
        <v>44.869047619047628</v>
      </c>
    </row>
    <row r="3928" spans="1:10">
      <c r="A3928" s="441">
        <v>3719</v>
      </c>
      <c r="B3928" s="441" t="s">
        <v>3869</v>
      </c>
      <c r="C3928" s="545">
        <v>3.5</v>
      </c>
      <c r="D3928" s="545">
        <v>0</v>
      </c>
      <c r="E3928" s="545">
        <v>1.3333333333333333</v>
      </c>
      <c r="F3928" s="545">
        <v>2.6904761904761902</v>
      </c>
      <c r="G3928" s="545">
        <v>3.9</v>
      </c>
      <c r="H3928" s="545">
        <v>2</v>
      </c>
      <c r="I3928" s="545">
        <v>0.66666666666666663</v>
      </c>
      <c r="J3928" s="545">
        <v>3.166666666666667</v>
      </c>
    </row>
    <row r="3929" spans="1:10">
      <c r="A3929" s="441">
        <v>3747</v>
      </c>
      <c r="B3929" s="441" t="s">
        <v>3869</v>
      </c>
      <c r="C3929" s="545">
        <v>7.8333333333333339</v>
      </c>
      <c r="D3929" s="545">
        <v>3.666666666666667</v>
      </c>
      <c r="E3929" s="545">
        <v>2</v>
      </c>
      <c r="F3929" s="545">
        <v>6.4047619047619051</v>
      </c>
      <c r="G3929" s="545">
        <v>5.8</v>
      </c>
      <c r="H3929" s="545">
        <v>3.6666666666666665</v>
      </c>
      <c r="I3929" s="545">
        <v>1.6666666666666667</v>
      </c>
      <c r="J3929" s="545">
        <v>4.9047619047619042</v>
      </c>
    </row>
    <row r="3930" spans="1:10">
      <c r="A3930" s="441">
        <v>4900</v>
      </c>
      <c r="B3930" s="441" t="s">
        <v>3870</v>
      </c>
      <c r="C3930" s="545">
        <v>68.333333333333343</v>
      </c>
      <c r="D3930" s="545">
        <v>44</v>
      </c>
      <c r="E3930" s="545">
        <v>34.333333333333336</v>
      </c>
      <c r="F3930" s="545">
        <v>60.000000000000007</v>
      </c>
      <c r="G3930" s="545">
        <v>59.65</v>
      </c>
      <c r="H3930" s="545">
        <v>54</v>
      </c>
      <c r="I3930" s="545">
        <v>36</v>
      </c>
      <c r="J3930" s="545">
        <v>55.464285714285715</v>
      </c>
    </row>
    <row r="3931" spans="1:10">
      <c r="A3931" s="441">
        <v>4917</v>
      </c>
      <c r="B3931" s="441" t="s">
        <v>3870</v>
      </c>
      <c r="C3931" s="545">
        <v>83.666666666666671</v>
      </c>
      <c r="D3931" s="545">
        <v>60.333333333333329</v>
      </c>
      <c r="E3931" s="545">
        <v>43.333333333333329</v>
      </c>
      <c r="F3931" s="545">
        <v>74.571428571428569</v>
      </c>
      <c r="G3931" s="545">
        <v>73.95</v>
      </c>
      <c r="H3931" s="545">
        <v>45.333333333333336</v>
      </c>
      <c r="I3931" s="545">
        <v>58</v>
      </c>
      <c r="J3931" s="545">
        <v>67.583333333333329</v>
      </c>
    </row>
    <row r="3932" spans="1:10">
      <c r="A3932" s="441">
        <v>4898</v>
      </c>
      <c r="B3932" s="441" t="s">
        <v>3871</v>
      </c>
      <c r="C3932" s="545">
        <v>8</v>
      </c>
      <c r="D3932" s="545">
        <v>7</v>
      </c>
      <c r="E3932" s="545">
        <v>7.333333333333333</v>
      </c>
      <c r="F3932" s="545">
        <v>7.7619047619047619</v>
      </c>
      <c r="G3932" s="545">
        <v>6.4</v>
      </c>
      <c r="H3932" s="545">
        <v>1.6666666666666667</v>
      </c>
      <c r="I3932" s="545">
        <v>3.3333333333333335</v>
      </c>
      <c r="J3932" s="545">
        <v>5.2857142857142856</v>
      </c>
    </row>
    <row r="3933" spans="1:10">
      <c r="A3933" s="441">
        <v>4919</v>
      </c>
      <c r="B3933" s="441" t="s">
        <v>3871</v>
      </c>
      <c r="C3933" s="545">
        <v>6.1666666666666661</v>
      </c>
      <c r="D3933" s="545">
        <v>4.3333333333333339</v>
      </c>
      <c r="E3933" s="545">
        <v>3.6666666666666665</v>
      </c>
      <c r="F3933" s="545">
        <v>5.5476190476190466</v>
      </c>
      <c r="G3933" s="545">
        <v>4.8499999999999996</v>
      </c>
      <c r="H3933" s="545">
        <v>2.3333333333333335</v>
      </c>
      <c r="I3933" s="545">
        <v>2</v>
      </c>
      <c r="J3933" s="545">
        <v>4.083333333333333</v>
      </c>
    </row>
    <row r="3934" spans="1:10">
      <c r="A3934" s="441">
        <v>4886</v>
      </c>
      <c r="B3934" s="441" t="s">
        <v>3872</v>
      </c>
      <c r="C3934" s="545">
        <v>0.16666666666666666</v>
      </c>
      <c r="D3934" s="545">
        <v>0.66666666666666663</v>
      </c>
      <c r="E3934" s="545">
        <v>0</v>
      </c>
      <c r="F3934" s="545">
        <v>0.21428571428571427</v>
      </c>
      <c r="G3934" s="545">
        <v>0.8</v>
      </c>
      <c r="H3934" s="545">
        <v>0.33333333333333331</v>
      </c>
      <c r="I3934" s="545">
        <v>0.66666666666666663</v>
      </c>
      <c r="J3934" s="545">
        <v>0.7142857142857143</v>
      </c>
    </row>
    <row r="3935" spans="1:10">
      <c r="A3935" s="441">
        <v>4932</v>
      </c>
      <c r="B3935" s="441" t="s">
        <v>3872</v>
      </c>
      <c r="C3935" s="545">
        <v>2.1666666666666665</v>
      </c>
      <c r="D3935" s="545">
        <v>0.66666666666666663</v>
      </c>
      <c r="E3935" s="545">
        <v>0.66666666666666663</v>
      </c>
      <c r="F3935" s="545">
        <v>1.7380952380952377</v>
      </c>
      <c r="G3935" s="545">
        <v>2.4500000000000002</v>
      </c>
      <c r="H3935" s="545">
        <v>2</v>
      </c>
      <c r="I3935" s="545">
        <v>1.3333333333333333</v>
      </c>
      <c r="J3935" s="545">
        <v>2.2261904761904763</v>
      </c>
    </row>
    <row r="3936" spans="1:10">
      <c r="A3936" s="441">
        <v>1423</v>
      </c>
      <c r="B3936" s="441" t="s">
        <v>3873</v>
      </c>
      <c r="C3936" s="545">
        <v>14.833333333333332</v>
      </c>
      <c r="D3936" s="545">
        <v>7</v>
      </c>
      <c r="E3936" s="545">
        <v>10.666666666666668</v>
      </c>
      <c r="F3936" s="545">
        <v>13.119047619047619</v>
      </c>
      <c r="G3936" s="545">
        <v>9.5</v>
      </c>
      <c r="H3936" s="545">
        <v>1</v>
      </c>
      <c r="I3936" s="545">
        <v>2.3333333333333335</v>
      </c>
      <c r="J3936" s="545">
        <v>7.2619047619047619</v>
      </c>
    </row>
    <row r="3937" spans="1:10">
      <c r="A3937" s="441">
        <v>1432</v>
      </c>
      <c r="B3937" s="441" t="s">
        <v>3873</v>
      </c>
      <c r="C3937" s="545">
        <v>29.666666666666668</v>
      </c>
      <c r="D3937" s="545">
        <v>13.333333333333334</v>
      </c>
      <c r="E3937" s="545">
        <v>12.666666666666666</v>
      </c>
      <c r="F3937" s="545">
        <v>24.904761904761905</v>
      </c>
      <c r="G3937" s="545">
        <v>17.600000000000001</v>
      </c>
      <c r="H3937" s="545">
        <v>11.333333333333334</v>
      </c>
      <c r="I3937" s="545">
        <v>9.6666666666666661</v>
      </c>
      <c r="J3937" s="545">
        <v>15.571428571428571</v>
      </c>
    </row>
    <row r="3938" spans="1:10">
      <c r="A3938" s="441">
        <v>4933</v>
      </c>
      <c r="B3938" s="441" t="s">
        <v>3874</v>
      </c>
      <c r="C3938" s="545">
        <v>17.166666666666668</v>
      </c>
      <c r="D3938" s="545">
        <v>11.666666666666668</v>
      </c>
      <c r="E3938" s="545">
        <v>9</v>
      </c>
      <c r="F3938" s="545">
        <v>15.214285714285717</v>
      </c>
      <c r="G3938" s="545">
        <v>15.55</v>
      </c>
      <c r="H3938" s="545">
        <v>9</v>
      </c>
      <c r="I3938" s="545">
        <v>5.666666666666667</v>
      </c>
      <c r="J3938" s="545">
        <v>13.202380952380953</v>
      </c>
    </row>
    <row r="3939" spans="1:10">
      <c r="A3939" s="441">
        <v>3721</v>
      </c>
      <c r="B3939" s="441" t="s">
        <v>3875</v>
      </c>
      <c r="C3939" s="545">
        <v>4.333333333333333</v>
      </c>
      <c r="D3939" s="545">
        <v>9.6666666666666679</v>
      </c>
      <c r="E3939" s="545">
        <v>5.333333333333333</v>
      </c>
      <c r="F3939" s="545">
        <v>5.2380952380952381</v>
      </c>
      <c r="G3939" s="545">
        <v>3.95</v>
      </c>
      <c r="H3939" s="545">
        <v>3</v>
      </c>
      <c r="I3939" s="545">
        <v>1.3333333333333333</v>
      </c>
      <c r="J3939" s="545">
        <v>3.4404761904761902</v>
      </c>
    </row>
    <row r="3940" spans="1:10">
      <c r="A3940" s="441">
        <v>3745</v>
      </c>
      <c r="B3940" s="441" t="s">
        <v>3875</v>
      </c>
      <c r="C3940" s="545">
        <v>2</v>
      </c>
      <c r="D3940" s="545">
        <v>3.6666666666666665</v>
      </c>
      <c r="E3940" s="545">
        <v>2.3333333333333335</v>
      </c>
      <c r="F3940" s="545">
        <v>2.2857142857142856</v>
      </c>
      <c r="G3940" s="545">
        <v>4.0999999999999996</v>
      </c>
      <c r="H3940" s="545">
        <v>3.3333333333333335</v>
      </c>
      <c r="I3940" s="545">
        <v>2.3333333333333335</v>
      </c>
      <c r="J3940" s="545">
        <v>3.7380952380952377</v>
      </c>
    </row>
    <row r="3941" spans="1:10">
      <c r="A3941" s="441">
        <v>3723</v>
      </c>
      <c r="B3941" s="441" t="s">
        <v>3876</v>
      </c>
      <c r="C3941" s="545">
        <v>5.6666666666666661</v>
      </c>
      <c r="D3941" s="545">
        <v>2.666666666666667</v>
      </c>
      <c r="E3941" s="545">
        <v>2.3333333333333335</v>
      </c>
      <c r="F3941" s="545">
        <v>4.761904761904761</v>
      </c>
      <c r="G3941" s="545">
        <v>1.8</v>
      </c>
      <c r="H3941" s="545">
        <v>0.66666666666666663</v>
      </c>
      <c r="I3941" s="545">
        <v>1.6666666666666667</v>
      </c>
      <c r="J3941" s="545">
        <v>1.6190476190476188</v>
      </c>
    </row>
    <row r="3942" spans="1:10">
      <c r="A3942" s="441">
        <v>3743</v>
      </c>
      <c r="B3942" s="441" t="s">
        <v>3876</v>
      </c>
      <c r="C3942" s="545">
        <v>7.5</v>
      </c>
      <c r="D3942" s="545">
        <v>6.6666666666666661</v>
      </c>
      <c r="E3942" s="545">
        <v>3.6666666666666665</v>
      </c>
      <c r="F3942" s="545">
        <v>6.833333333333333</v>
      </c>
      <c r="G3942" s="545">
        <v>3.1</v>
      </c>
      <c r="H3942" s="545">
        <v>2</v>
      </c>
      <c r="I3942" s="545">
        <v>0.33333333333333331</v>
      </c>
      <c r="J3942" s="545">
        <v>2.5476190476190474</v>
      </c>
    </row>
    <row r="3943" spans="1:10">
      <c r="A3943" s="441">
        <v>1426</v>
      </c>
      <c r="B3943" s="441" t="s">
        <v>3877</v>
      </c>
      <c r="C3943" s="545">
        <v>3.5</v>
      </c>
      <c r="D3943" s="545">
        <v>0.33333333333333331</v>
      </c>
      <c r="E3943" s="545">
        <v>0.33333333333333331</v>
      </c>
      <c r="F3943" s="545">
        <v>2.5952380952380949</v>
      </c>
      <c r="G3943" s="545">
        <v>0.35</v>
      </c>
      <c r="H3943" s="545">
        <v>0</v>
      </c>
      <c r="I3943" s="545">
        <v>0</v>
      </c>
      <c r="J3943" s="545">
        <v>0.25</v>
      </c>
    </row>
    <row r="3944" spans="1:10">
      <c r="A3944" s="441">
        <v>4890</v>
      </c>
      <c r="B3944" s="441" t="s">
        <v>3878</v>
      </c>
      <c r="C3944" s="545">
        <v>47.666666666666664</v>
      </c>
      <c r="D3944" s="545">
        <v>27.666666666666668</v>
      </c>
      <c r="E3944" s="545">
        <v>16.666666666666668</v>
      </c>
      <c r="F3944" s="545">
        <v>40.380952380952387</v>
      </c>
      <c r="G3944" s="545">
        <v>15.95</v>
      </c>
      <c r="H3944" s="545">
        <v>10</v>
      </c>
      <c r="I3944" s="545">
        <v>3.6666666666666665</v>
      </c>
      <c r="J3944" s="545">
        <v>13.345238095238097</v>
      </c>
    </row>
    <row r="3945" spans="1:10">
      <c r="A3945" s="441">
        <v>4928</v>
      </c>
      <c r="B3945" s="441" t="s">
        <v>3878</v>
      </c>
      <c r="C3945" s="545">
        <v>5.8333333333333339</v>
      </c>
      <c r="D3945" s="545">
        <v>4.333333333333333</v>
      </c>
      <c r="E3945" s="545">
        <v>2.3333333333333335</v>
      </c>
      <c r="F3945" s="545">
        <v>5.1190476190476204</v>
      </c>
      <c r="G3945" s="545">
        <v>7.2</v>
      </c>
      <c r="H3945" s="545">
        <v>8.6666666666666661</v>
      </c>
      <c r="I3945" s="545">
        <v>5.333333333333333</v>
      </c>
      <c r="J3945" s="545">
        <v>7.1428571428571432</v>
      </c>
    </row>
    <row r="3946" spans="1:10">
      <c r="A3946" s="441">
        <v>3733</v>
      </c>
      <c r="B3946" s="441" t="s">
        <v>3879</v>
      </c>
      <c r="C3946" s="545">
        <v>0.16666666666666666</v>
      </c>
      <c r="D3946" s="545">
        <v>0</v>
      </c>
      <c r="E3946" s="545">
        <v>0</v>
      </c>
      <c r="F3946" s="545">
        <v>0.11904761904761904</v>
      </c>
      <c r="G3946" s="545">
        <v>1.05</v>
      </c>
      <c r="H3946" s="545">
        <v>0</v>
      </c>
      <c r="I3946" s="545">
        <v>0.66666666666666663</v>
      </c>
      <c r="J3946" s="545">
        <v>0.84523809523809523</v>
      </c>
    </row>
    <row r="3947" spans="1:10">
      <c r="A3947" s="441">
        <v>4889</v>
      </c>
      <c r="B3947" s="441" t="s">
        <v>3880</v>
      </c>
      <c r="C3947" s="545">
        <v>1.8333333333333333</v>
      </c>
      <c r="D3947" s="545">
        <v>2.6666666666666665</v>
      </c>
      <c r="E3947" s="545">
        <v>1.6666666666666665</v>
      </c>
      <c r="F3947" s="545">
        <v>1.9285714285714284</v>
      </c>
      <c r="G3947" s="545">
        <v>2.95</v>
      </c>
      <c r="H3947" s="545">
        <v>1</v>
      </c>
      <c r="I3947" s="545">
        <v>0.33333333333333331</v>
      </c>
      <c r="J3947" s="545">
        <v>2.2976190476190474</v>
      </c>
    </row>
    <row r="3948" spans="1:10">
      <c r="A3948" s="441">
        <v>4929</v>
      </c>
      <c r="B3948" s="441" t="s">
        <v>3880</v>
      </c>
      <c r="C3948" s="545">
        <v>4.5</v>
      </c>
      <c r="D3948" s="545">
        <v>3</v>
      </c>
      <c r="E3948" s="545">
        <v>0.66666666666666663</v>
      </c>
      <c r="F3948" s="545">
        <v>3.7380952380952381</v>
      </c>
      <c r="G3948" s="545">
        <v>2.4</v>
      </c>
      <c r="H3948" s="545">
        <v>0.66666666666666663</v>
      </c>
      <c r="I3948" s="545">
        <v>0</v>
      </c>
      <c r="J3948" s="545">
        <v>1.8095238095238095</v>
      </c>
    </row>
    <row r="3949" spans="1:10">
      <c r="A3949" s="441">
        <v>4892</v>
      </c>
      <c r="B3949" s="441" t="s">
        <v>3881</v>
      </c>
      <c r="C3949" s="545">
        <v>37.333333333333336</v>
      </c>
      <c r="D3949" s="545">
        <v>26</v>
      </c>
      <c r="E3949" s="545">
        <v>23</v>
      </c>
      <c r="F3949" s="545">
        <v>33.666666666666671</v>
      </c>
      <c r="G3949" s="545">
        <v>29.15</v>
      </c>
      <c r="H3949" s="545">
        <v>27</v>
      </c>
      <c r="I3949" s="545">
        <v>25.333333333333332</v>
      </c>
      <c r="J3949" s="545">
        <v>28.297619047619047</v>
      </c>
    </row>
    <row r="3950" spans="1:10">
      <c r="A3950" s="441">
        <v>4925</v>
      </c>
      <c r="B3950" s="441" t="s">
        <v>3881</v>
      </c>
      <c r="C3950" s="545">
        <v>9.3333333333333321</v>
      </c>
      <c r="D3950" s="545">
        <v>11.666666666666666</v>
      </c>
      <c r="E3950" s="545">
        <v>6.6666666666666661</v>
      </c>
      <c r="F3950" s="545">
        <v>9.2857142857142829</v>
      </c>
      <c r="G3950" s="545">
        <v>7.85</v>
      </c>
      <c r="H3950" s="545">
        <v>5.666666666666667</v>
      </c>
      <c r="I3950" s="545">
        <v>6</v>
      </c>
      <c r="J3950" s="545">
        <v>7.2738095238095237</v>
      </c>
    </row>
    <row r="3951" spans="1:10">
      <c r="A3951" s="441">
        <v>3715</v>
      </c>
      <c r="B3951" s="441" t="s">
        <v>3882</v>
      </c>
      <c r="C3951" s="545">
        <v>5.666666666666667</v>
      </c>
      <c r="D3951" s="545">
        <v>2.6666666666666665</v>
      </c>
      <c r="E3951" s="545">
        <v>5</v>
      </c>
      <c r="F3951" s="545">
        <v>5.1428571428571432</v>
      </c>
      <c r="G3951" s="545">
        <v>3.6</v>
      </c>
      <c r="H3951" s="545">
        <v>1</v>
      </c>
      <c r="I3951" s="545">
        <v>0.66666666666666663</v>
      </c>
      <c r="J3951" s="545">
        <v>2.8095238095238098</v>
      </c>
    </row>
    <row r="3952" spans="1:10">
      <c r="A3952" s="441">
        <v>3751</v>
      </c>
      <c r="B3952" s="441" t="s">
        <v>3882</v>
      </c>
      <c r="C3952" s="545">
        <v>9</v>
      </c>
      <c r="D3952" s="545">
        <v>5</v>
      </c>
      <c r="E3952" s="545">
        <v>6</v>
      </c>
      <c r="F3952" s="545">
        <v>8</v>
      </c>
      <c r="G3952" s="545">
        <v>1.25</v>
      </c>
      <c r="H3952" s="545">
        <v>1.6666666666666667</v>
      </c>
      <c r="I3952" s="545">
        <v>1.6666666666666667</v>
      </c>
      <c r="J3952" s="545">
        <v>1.3690476190476191</v>
      </c>
    </row>
    <row r="3953" spans="1:10">
      <c r="A3953" s="441">
        <v>3722</v>
      </c>
      <c r="B3953" s="441" t="s">
        <v>3883</v>
      </c>
      <c r="C3953" s="545">
        <v>0.83333333333333337</v>
      </c>
      <c r="D3953" s="545">
        <v>0.66666666666666663</v>
      </c>
      <c r="E3953" s="545">
        <v>1.6666666666666667</v>
      </c>
      <c r="F3953" s="545">
        <v>0.92857142857142871</v>
      </c>
      <c r="G3953" s="545">
        <v>2.2999999999999998</v>
      </c>
      <c r="H3953" s="545">
        <v>4.333333333333333</v>
      </c>
      <c r="I3953" s="545">
        <v>1.6666666666666667</v>
      </c>
      <c r="J3953" s="545">
        <v>2.5</v>
      </c>
    </row>
    <row r="3954" spans="1:10">
      <c r="A3954" s="441">
        <v>3744</v>
      </c>
      <c r="B3954" s="441" t="s">
        <v>3883</v>
      </c>
      <c r="C3954" s="545">
        <v>2.5</v>
      </c>
      <c r="D3954" s="545">
        <v>2.333333333333333</v>
      </c>
      <c r="E3954" s="545">
        <v>2</v>
      </c>
      <c r="F3954" s="545">
        <v>2.4047619047619047</v>
      </c>
      <c r="G3954" s="545">
        <v>2</v>
      </c>
      <c r="H3954" s="545">
        <v>3.6666666666666665</v>
      </c>
      <c r="I3954" s="545">
        <v>1.3333333333333333</v>
      </c>
      <c r="J3954" s="545">
        <v>2.1428571428571428</v>
      </c>
    </row>
    <row r="3955" spans="1:10">
      <c r="A3955" s="441">
        <v>4907</v>
      </c>
      <c r="B3955" s="441" t="s">
        <v>3884</v>
      </c>
      <c r="C3955" s="545">
        <v>21.666666666666664</v>
      </c>
      <c r="D3955" s="545">
        <v>12.333333333333332</v>
      </c>
      <c r="E3955" s="545">
        <v>11.333333333333334</v>
      </c>
      <c r="F3955" s="545">
        <v>18.857142857142854</v>
      </c>
      <c r="G3955" s="545">
        <v>28.85</v>
      </c>
      <c r="H3955" s="545">
        <v>17.333333333333332</v>
      </c>
      <c r="I3955" s="545">
        <v>14</v>
      </c>
      <c r="J3955" s="545">
        <v>25.083333333333336</v>
      </c>
    </row>
    <row r="3956" spans="1:10">
      <c r="A3956" s="441">
        <v>4911</v>
      </c>
      <c r="B3956" s="441" t="s">
        <v>3884</v>
      </c>
      <c r="C3956" s="545">
        <v>53.166666666666664</v>
      </c>
      <c r="D3956" s="545">
        <v>33.666666666666671</v>
      </c>
      <c r="E3956" s="545">
        <v>24</v>
      </c>
      <c r="F3956" s="545">
        <v>46.214285714285715</v>
      </c>
      <c r="G3956" s="545">
        <v>41.95</v>
      </c>
      <c r="H3956" s="545">
        <v>23.333333333333332</v>
      </c>
      <c r="I3956" s="545">
        <v>18.666666666666668</v>
      </c>
      <c r="J3956" s="545">
        <v>35.964285714285715</v>
      </c>
    </row>
    <row r="3957" spans="1:10">
      <c r="A3957" s="441">
        <v>1429</v>
      </c>
      <c r="B3957" s="441" t="s">
        <v>3885</v>
      </c>
      <c r="C3957" s="545">
        <v>49</v>
      </c>
      <c r="D3957" s="545">
        <v>13.333333333333334</v>
      </c>
      <c r="E3957" s="545">
        <v>2.6666666666666665</v>
      </c>
      <c r="F3957" s="545">
        <v>37.285714285714285</v>
      </c>
      <c r="G3957" s="545">
        <v>23.4</v>
      </c>
      <c r="H3957" s="545">
        <v>3</v>
      </c>
      <c r="I3957" s="545">
        <v>3.3333333333333335</v>
      </c>
      <c r="J3957" s="545">
        <v>17.619047619047617</v>
      </c>
    </row>
    <row r="3958" spans="1:10">
      <c r="A3958" s="441">
        <v>4904</v>
      </c>
      <c r="B3958" s="441" t="s">
        <v>3886</v>
      </c>
      <c r="C3958" s="545">
        <v>20.833333333333336</v>
      </c>
      <c r="D3958" s="545">
        <v>15.666666666666668</v>
      </c>
      <c r="E3958" s="545">
        <v>9.3333333333333339</v>
      </c>
      <c r="F3958" s="545">
        <v>18.452380952380956</v>
      </c>
      <c r="G3958" s="545">
        <v>13.5</v>
      </c>
      <c r="H3958" s="545">
        <v>14.666666666666666</v>
      </c>
      <c r="I3958" s="545">
        <v>6.666666666666667</v>
      </c>
      <c r="J3958" s="545">
        <v>12.690476190476192</v>
      </c>
    </row>
    <row r="3959" spans="1:10">
      <c r="A3959" s="441">
        <v>4913</v>
      </c>
      <c r="B3959" s="441" t="s">
        <v>3886</v>
      </c>
      <c r="C3959" s="545">
        <v>17.833333333333336</v>
      </c>
      <c r="D3959" s="545">
        <v>6.333333333333333</v>
      </c>
      <c r="E3959" s="545">
        <v>7</v>
      </c>
      <c r="F3959" s="545">
        <v>14.642857142857144</v>
      </c>
      <c r="G3959" s="545">
        <v>11.7</v>
      </c>
      <c r="H3959" s="545">
        <v>10</v>
      </c>
      <c r="I3959" s="545">
        <v>9</v>
      </c>
      <c r="J3959" s="545">
        <v>11.071428571428571</v>
      </c>
    </row>
    <row r="3960" spans="1:10">
      <c r="A3960" s="441">
        <v>4885</v>
      </c>
      <c r="B3960" s="441" t="s">
        <v>3887</v>
      </c>
      <c r="C3960" s="545">
        <v>28.166666666666664</v>
      </c>
      <c r="D3960" s="545">
        <v>29</v>
      </c>
      <c r="E3960" s="545">
        <v>26.666666666666664</v>
      </c>
      <c r="F3960" s="545">
        <v>28.071428571428566</v>
      </c>
      <c r="G3960" s="545">
        <v>14.3</v>
      </c>
      <c r="H3960" s="545">
        <v>18</v>
      </c>
      <c r="I3960" s="545">
        <v>15.666666666666666</v>
      </c>
      <c r="J3960" s="545">
        <v>15.023809523809524</v>
      </c>
    </row>
    <row r="3961" spans="1:10">
      <c r="A3961" s="441">
        <v>3716</v>
      </c>
      <c r="B3961" s="441" t="s">
        <v>3888</v>
      </c>
      <c r="C3961" s="545">
        <v>2.6666666666666665</v>
      </c>
      <c r="D3961" s="545">
        <v>0</v>
      </c>
      <c r="E3961" s="545">
        <v>0</v>
      </c>
      <c r="F3961" s="545">
        <v>1.9047619047619047</v>
      </c>
      <c r="G3961" s="545">
        <v>1.05</v>
      </c>
      <c r="H3961" s="545">
        <v>0.33333333333333331</v>
      </c>
      <c r="I3961" s="545">
        <v>0.33333333333333331</v>
      </c>
      <c r="J3961" s="545">
        <v>0.84523809523809512</v>
      </c>
    </row>
    <row r="3962" spans="1:10">
      <c r="A3962" s="441">
        <v>3750</v>
      </c>
      <c r="B3962" s="441" t="s">
        <v>3888</v>
      </c>
      <c r="C3962" s="545">
        <v>0.5</v>
      </c>
      <c r="D3962" s="545">
        <v>0</v>
      </c>
      <c r="E3962" s="545">
        <v>1.3333333333333333</v>
      </c>
      <c r="F3962" s="545">
        <v>0.54761904761904756</v>
      </c>
      <c r="G3962" s="545">
        <v>2</v>
      </c>
      <c r="H3962" s="545">
        <v>1</v>
      </c>
      <c r="I3962" s="545">
        <v>3.3333333333333335</v>
      </c>
      <c r="J3962" s="545">
        <v>2.0476190476190479</v>
      </c>
    </row>
    <row r="3963" spans="1:10">
      <c r="A3963" s="441">
        <v>3727</v>
      </c>
      <c r="B3963" s="441" t="s">
        <v>3889</v>
      </c>
      <c r="C3963" s="545">
        <v>18.333333333333332</v>
      </c>
      <c r="D3963" s="545">
        <v>12.666666666666668</v>
      </c>
      <c r="E3963" s="545">
        <v>11.333333333333332</v>
      </c>
      <c r="F3963" s="545">
        <v>16.523809523809522</v>
      </c>
      <c r="G3963" s="545">
        <v>15.05</v>
      </c>
      <c r="H3963" s="545">
        <v>13</v>
      </c>
      <c r="I3963" s="545">
        <v>12</v>
      </c>
      <c r="J3963" s="545">
        <v>14.321428571428571</v>
      </c>
    </row>
    <row r="3964" spans="1:10">
      <c r="A3964" s="441">
        <v>3740</v>
      </c>
      <c r="B3964" s="441" t="s">
        <v>3889</v>
      </c>
      <c r="C3964" s="545">
        <v>20.666666666666668</v>
      </c>
      <c r="D3964" s="545">
        <v>20</v>
      </c>
      <c r="E3964" s="545">
        <v>11.333333333333334</v>
      </c>
      <c r="F3964" s="545">
        <v>19.238095238095241</v>
      </c>
      <c r="G3964" s="545">
        <v>19.649999999999999</v>
      </c>
      <c r="H3964" s="545">
        <v>12</v>
      </c>
      <c r="I3964" s="545">
        <v>12.333333333333334</v>
      </c>
      <c r="J3964" s="545">
        <v>17.511904761904763</v>
      </c>
    </row>
    <row r="3965" spans="1:10">
      <c r="A3965" s="441">
        <v>4906</v>
      </c>
      <c r="B3965" s="441" t="s">
        <v>3890</v>
      </c>
      <c r="C3965" s="545">
        <v>26.666666666666664</v>
      </c>
      <c r="D3965" s="545">
        <v>15</v>
      </c>
      <c r="E3965" s="545">
        <v>11</v>
      </c>
      <c r="F3965" s="545">
        <v>22.761904761904759</v>
      </c>
      <c r="G3965" s="545">
        <v>11.95</v>
      </c>
      <c r="H3965" s="545">
        <v>7.333333333333333</v>
      </c>
      <c r="I3965" s="545">
        <v>4.666666666666667</v>
      </c>
      <c r="J3965" s="545">
        <v>10.25</v>
      </c>
    </row>
    <row r="3966" spans="1:10">
      <c r="A3966" s="441">
        <v>3729</v>
      </c>
      <c r="B3966" s="441" t="s">
        <v>3891</v>
      </c>
      <c r="C3966" s="545">
        <v>31.666666666666664</v>
      </c>
      <c r="D3966" s="545">
        <v>16.333333333333332</v>
      </c>
      <c r="E3966" s="545">
        <v>18</v>
      </c>
      <c r="F3966" s="545">
        <v>27.523809523809522</v>
      </c>
      <c r="G3966" s="545">
        <v>19.5</v>
      </c>
      <c r="H3966" s="545">
        <v>12.666666666666666</v>
      </c>
      <c r="I3966" s="545">
        <v>16.666666666666668</v>
      </c>
      <c r="J3966" s="545">
        <v>18.11904761904762</v>
      </c>
    </row>
    <row r="3967" spans="1:10">
      <c r="A3967" s="441">
        <v>3738</v>
      </c>
      <c r="B3967" s="441" t="s">
        <v>3891</v>
      </c>
      <c r="C3967" s="545">
        <v>31.833333333333332</v>
      </c>
      <c r="D3967" s="545">
        <v>20</v>
      </c>
      <c r="E3967" s="545">
        <v>10.333333333333334</v>
      </c>
      <c r="F3967" s="545">
        <v>27.071428571428573</v>
      </c>
      <c r="G3967" s="545">
        <v>17.45</v>
      </c>
      <c r="H3967" s="545">
        <v>13.333333333333334</v>
      </c>
      <c r="I3967" s="545">
        <v>17.333333333333332</v>
      </c>
      <c r="J3967" s="545">
        <v>16.845238095238095</v>
      </c>
    </row>
    <row r="3968" spans="1:10">
      <c r="A3968" s="441">
        <v>4895</v>
      </c>
      <c r="B3968" s="441" t="s">
        <v>3892</v>
      </c>
      <c r="C3968" s="545">
        <v>14.166666666666666</v>
      </c>
      <c r="D3968" s="545">
        <v>16</v>
      </c>
      <c r="E3968" s="545">
        <v>9.3333333333333321</v>
      </c>
      <c r="F3968" s="545">
        <v>13.738095238095237</v>
      </c>
      <c r="G3968" s="545">
        <v>12.55</v>
      </c>
      <c r="H3968" s="545">
        <v>7.666666666666667</v>
      </c>
      <c r="I3968" s="545">
        <v>14</v>
      </c>
      <c r="J3968" s="545">
        <v>12.05952380952381</v>
      </c>
    </row>
    <row r="3969" spans="1:10">
      <c r="A3969" s="441">
        <v>4922</v>
      </c>
      <c r="B3969" s="441" t="s">
        <v>3892</v>
      </c>
      <c r="C3969" s="545">
        <v>21.166666666666668</v>
      </c>
      <c r="D3969" s="545">
        <v>19.333333333333332</v>
      </c>
      <c r="E3969" s="545">
        <v>12.333333333333334</v>
      </c>
      <c r="F3969" s="545">
        <v>19.642857142857142</v>
      </c>
      <c r="G3969" s="545">
        <v>10.3</v>
      </c>
      <c r="H3969" s="545">
        <v>5.666666666666667</v>
      </c>
      <c r="I3969" s="545">
        <v>4</v>
      </c>
      <c r="J3969" s="545">
        <v>8.7380952380952372</v>
      </c>
    </row>
    <row r="3970" spans="1:10">
      <c r="A3970" s="441">
        <v>3732</v>
      </c>
      <c r="B3970" s="441" t="s">
        <v>3893</v>
      </c>
      <c r="C3970" s="545">
        <v>38.666666666666664</v>
      </c>
      <c r="D3970" s="545">
        <v>18</v>
      </c>
      <c r="E3970" s="545">
        <v>18.666666666666664</v>
      </c>
      <c r="F3970" s="545">
        <v>32.857142857142854</v>
      </c>
      <c r="G3970" s="545">
        <v>30.35</v>
      </c>
      <c r="H3970" s="545">
        <v>21</v>
      </c>
      <c r="I3970" s="545">
        <v>18</v>
      </c>
      <c r="J3970" s="545">
        <v>27.25</v>
      </c>
    </row>
    <row r="3971" spans="1:10">
      <c r="A3971" s="441">
        <v>3735</v>
      </c>
      <c r="B3971" s="441" t="s">
        <v>3893</v>
      </c>
      <c r="C3971" s="545">
        <v>32</v>
      </c>
      <c r="D3971" s="545">
        <v>16</v>
      </c>
      <c r="E3971" s="545">
        <v>22.666666666666664</v>
      </c>
      <c r="F3971" s="545">
        <v>28.38095238095238</v>
      </c>
      <c r="G3971" s="545">
        <v>26.9</v>
      </c>
      <c r="H3971" s="545">
        <v>19</v>
      </c>
      <c r="I3971" s="545">
        <v>16.333333333333332</v>
      </c>
      <c r="J3971" s="545">
        <v>24.261904761904763</v>
      </c>
    </row>
    <row r="3972" spans="1:10">
      <c r="A3972" s="441">
        <v>4899</v>
      </c>
      <c r="B3972" s="441" t="s">
        <v>3894</v>
      </c>
      <c r="C3972" s="545">
        <v>3.6666666666666665</v>
      </c>
      <c r="D3972" s="545">
        <v>2</v>
      </c>
      <c r="E3972" s="545">
        <v>7</v>
      </c>
      <c r="F3972" s="545">
        <v>3.9047619047619047</v>
      </c>
      <c r="G3972" s="545">
        <v>3.9</v>
      </c>
      <c r="H3972" s="545">
        <v>6</v>
      </c>
      <c r="I3972" s="545">
        <v>11.333333333333334</v>
      </c>
      <c r="J3972" s="545">
        <v>5.2619047619047619</v>
      </c>
    </row>
    <row r="3973" spans="1:10">
      <c r="A3973" s="441">
        <v>4918</v>
      </c>
      <c r="B3973" s="441" t="s">
        <v>3894</v>
      </c>
      <c r="C3973" s="545">
        <v>8.3333333333333339</v>
      </c>
      <c r="D3973" s="545">
        <v>4.6666666666666661</v>
      </c>
      <c r="E3973" s="545">
        <v>7.333333333333333</v>
      </c>
      <c r="F3973" s="545">
        <v>7.666666666666667</v>
      </c>
      <c r="G3973" s="545">
        <v>7</v>
      </c>
      <c r="H3973" s="545">
        <v>7.333333333333333</v>
      </c>
      <c r="I3973" s="545">
        <v>7.333333333333333</v>
      </c>
      <c r="J3973" s="545">
        <v>7.0952380952380958</v>
      </c>
    </row>
    <row r="3974" spans="1:10">
      <c r="A3974" s="441">
        <v>3730</v>
      </c>
      <c r="B3974" s="441" t="s">
        <v>3895</v>
      </c>
      <c r="C3974" s="545">
        <v>9</v>
      </c>
      <c r="D3974" s="545">
        <v>7.666666666666667</v>
      </c>
      <c r="E3974" s="545">
        <v>8.6666666666666661</v>
      </c>
      <c r="F3974" s="545">
        <v>8.761904761904761</v>
      </c>
      <c r="G3974" s="545">
        <v>2.65</v>
      </c>
      <c r="H3974" s="545">
        <v>1.6666666666666667</v>
      </c>
      <c r="I3974" s="545">
        <v>2</v>
      </c>
      <c r="J3974" s="545">
        <v>2.4166666666666665</v>
      </c>
    </row>
    <row r="3975" spans="1:10">
      <c r="A3975" s="441">
        <v>3737</v>
      </c>
      <c r="B3975" s="441" t="s">
        <v>3895</v>
      </c>
      <c r="C3975" s="545">
        <v>10.833333333333334</v>
      </c>
      <c r="D3975" s="545">
        <v>8</v>
      </c>
      <c r="E3975" s="545">
        <v>9</v>
      </c>
      <c r="F3975" s="545">
        <v>10.166666666666668</v>
      </c>
      <c r="G3975" s="545">
        <v>3.35</v>
      </c>
      <c r="H3975" s="545">
        <v>3</v>
      </c>
      <c r="I3975" s="545">
        <v>1.3333333333333333</v>
      </c>
      <c r="J3975" s="545">
        <v>3.0119047619047619</v>
      </c>
    </row>
    <row r="3976" spans="1:10">
      <c r="A3976" s="441">
        <v>3714</v>
      </c>
      <c r="B3976" s="441" t="s">
        <v>3896</v>
      </c>
      <c r="C3976" s="545">
        <v>9.1666666666666661</v>
      </c>
      <c r="D3976" s="545">
        <v>6.333333333333333</v>
      </c>
      <c r="E3976" s="545">
        <v>6</v>
      </c>
      <c r="F3976" s="545">
        <v>8.3095238095238084</v>
      </c>
      <c r="G3976" s="545">
        <v>7.55</v>
      </c>
      <c r="H3976" s="545">
        <v>4</v>
      </c>
      <c r="I3976" s="545">
        <v>6.333333333333333</v>
      </c>
      <c r="J3976" s="545">
        <v>6.8690476190476195</v>
      </c>
    </row>
    <row r="3977" spans="1:10">
      <c r="A3977" s="441">
        <v>3752</v>
      </c>
      <c r="B3977" s="441" t="s">
        <v>3896</v>
      </c>
      <c r="C3977" s="545">
        <v>4.666666666666667</v>
      </c>
      <c r="D3977" s="545">
        <v>3.666666666666667</v>
      </c>
      <c r="E3977" s="545">
        <v>1.6666666666666665</v>
      </c>
      <c r="F3977" s="545">
        <v>4.0952380952380958</v>
      </c>
      <c r="G3977" s="545">
        <v>4.0999999999999996</v>
      </c>
      <c r="H3977" s="545">
        <v>5</v>
      </c>
      <c r="I3977" s="545">
        <v>4.333333333333333</v>
      </c>
      <c r="J3977" s="545">
        <v>4.2619047619047619</v>
      </c>
    </row>
    <row r="3978" spans="1:10">
      <c r="A3978" s="441">
        <v>3724</v>
      </c>
      <c r="B3978" s="441" t="s">
        <v>3897</v>
      </c>
      <c r="C3978" s="545">
        <v>5.3333333333333339</v>
      </c>
      <c r="D3978" s="545">
        <v>6</v>
      </c>
      <c r="E3978" s="545">
        <v>6</v>
      </c>
      <c r="F3978" s="545">
        <v>5.5238095238095246</v>
      </c>
      <c r="G3978" s="545">
        <v>2.15</v>
      </c>
      <c r="H3978" s="545">
        <v>1.3333333333333333</v>
      </c>
      <c r="I3978" s="545">
        <v>2.3333333333333335</v>
      </c>
      <c r="J3978" s="545">
        <v>2.0595238095238098</v>
      </c>
    </row>
    <row r="3979" spans="1:10">
      <c r="A3979" s="441">
        <v>3742</v>
      </c>
      <c r="B3979" s="441" t="s">
        <v>3897</v>
      </c>
      <c r="C3979" s="545">
        <v>4.333333333333333</v>
      </c>
      <c r="D3979" s="545">
        <v>3</v>
      </c>
      <c r="E3979" s="545">
        <v>4</v>
      </c>
      <c r="F3979" s="545">
        <v>4.0952380952380949</v>
      </c>
      <c r="G3979" s="545">
        <v>2.6</v>
      </c>
      <c r="H3979" s="545">
        <v>2.6666666666666665</v>
      </c>
      <c r="I3979" s="545">
        <v>3</v>
      </c>
      <c r="J3979" s="545">
        <v>2.6666666666666665</v>
      </c>
    </row>
    <row r="3980" spans="1:10">
      <c r="A3980" s="441">
        <v>10042</v>
      </c>
      <c r="B3980" s="441" t="s">
        <v>3898</v>
      </c>
      <c r="C3980" s="545">
        <v>0.16666666666666666</v>
      </c>
      <c r="D3980" s="545">
        <v>0</v>
      </c>
      <c r="E3980" s="545">
        <v>0</v>
      </c>
      <c r="F3980" s="545">
        <v>0.11904761904761904</v>
      </c>
      <c r="G3980" s="545">
        <v>0.5</v>
      </c>
      <c r="H3980" s="545">
        <v>1</v>
      </c>
      <c r="I3980" s="545">
        <v>1.3333333333333333</v>
      </c>
      <c r="J3980" s="545">
        <v>0.69047619047619047</v>
      </c>
    </row>
    <row r="3981" spans="1:10">
      <c r="A3981" s="441">
        <v>4887</v>
      </c>
      <c r="B3981" s="441" t="s">
        <v>3899</v>
      </c>
      <c r="C3981" s="545">
        <v>33.833333333333329</v>
      </c>
      <c r="D3981" s="545">
        <v>12.333333333333332</v>
      </c>
      <c r="E3981" s="545">
        <v>8</v>
      </c>
      <c r="F3981" s="545">
        <v>27.071428571428566</v>
      </c>
      <c r="G3981" s="545">
        <v>19.649999999999999</v>
      </c>
      <c r="H3981" s="545">
        <v>13</v>
      </c>
      <c r="I3981" s="545">
        <v>6</v>
      </c>
      <c r="J3981" s="545">
        <v>16.75</v>
      </c>
    </row>
    <row r="3982" spans="1:10">
      <c r="A3982" s="441">
        <v>4931</v>
      </c>
      <c r="B3982" s="441" t="s">
        <v>3899</v>
      </c>
      <c r="C3982" s="545">
        <v>27.666666666666664</v>
      </c>
      <c r="D3982" s="545">
        <v>18.333333333333336</v>
      </c>
      <c r="E3982" s="545">
        <v>12</v>
      </c>
      <c r="F3982" s="545">
        <v>24.095238095238095</v>
      </c>
      <c r="G3982" s="545">
        <v>20.05</v>
      </c>
      <c r="H3982" s="545">
        <v>16.666666666666668</v>
      </c>
      <c r="I3982" s="545">
        <v>12.333333333333334</v>
      </c>
      <c r="J3982" s="545">
        <v>18.464285714285715</v>
      </c>
    </row>
    <row r="3983" spans="1:10">
      <c r="A3983" s="441">
        <v>3734</v>
      </c>
      <c r="B3983" s="441" t="s">
        <v>3900</v>
      </c>
      <c r="C3983" s="545">
        <v>1.1666666666666667</v>
      </c>
      <c r="D3983" s="545">
        <v>0</v>
      </c>
      <c r="E3983" s="545">
        <v>0</v>
      </c>
      <c r="F3983" s="545">
        <v>0.83333333333333337</v>
      </c>
      <c r="G3983" s="545">
        <v>1.1499999999999999</v>
      </c>
      <c r="H3983" s="545">
        <v>0</v>
      </c>
      <c r="I3983" s="545">
        <v>0</v>
      </c>
      <c r="J3983" s="545">
        <v>0.8214285714285714</v>
      </c>
    </row>
    <row r="3984" spans="1:10">
      <c r="A3984" s="441">
        <v>10041</v>
      </c>
      <c r="B3984" s="441" t="s">
        <v>3900</v>
      </c>
      <c r="C3984" s="545">
        <v>2.5</v>
      </c>
      <c r="D3984" s="545">
        <v>0.66666666666666663</v>
      </c>
      <c r="E3984" s="545">
        <v>1</v>
      </c>
      <c r="F3984" s="545">
        <v>2.0238095238095237</v>
      </c>
      <c r="G3984" s="545">
        <v>0.6</v>
      </c>
      <c r="H3984" s="545">
        <v>0</v>
      </c>
      <c r="I3984" s="545">
        <v>0</v>
      </c>
      <c r="J3984" s="545">
        <v>0.42857142857142855</v>
      </c>
    </row>
    <row r="3985" spans="1:10">
      <c r="A3985" s="441">
        <v>3725</v>
      </c>
      <c r="B3985" s="441" t="s">
        <v>3901</v>
      </c>
      <c r="C3985" s="545">
        <v>48.666666666666671</v>
      </c>
      <c r="D3985" s="545">
        <v>41</v>
      </c>
      <c r="E3985" s="545">
        <v>33.333333333333329</v>
      </c>
      <c r="F3985" s="545">
        <v>45.380952380952387</v>
      </c>
      <c r="G3985" s="545">
        <v>34.4</v>
      </c>
      <c r="H3985" s="545">
        <v>27.333333333333332</v>
      </c>
      <c r="I3985" s="545">
        <v>31</v>
      </c>
      <c r="J3985" s="545">
        <v>32.904761904761905</v>
      </c>
    </row>
    <row r="3986" spans="1:10">
      <c r="A3986" s="441">
        <v>3741</v>
      </c>
      <c r="B3986" s="441" t="s">
        <v>3901</v>
      </c>
      <c r="C3986" s="545">
        <v>76.333333333333329</v>
      </c>
      <c r="D3986" s="545">
        <v>55</v>
      </c>
      <c r="E3986" s="545">
        <v>51</v>
      </c>
      <c r="F3986" s="545">
        <v>69.666666666666657</v>
      </c>
      <c r="G3986" s="545">
        <v>48.3</v>
      </c>
      <c r="H3986" s="545">
        <v>37.666666666666664</v>
      </c>
      <c r="I3986" s="545">
        <v>38</v>
      </c>
      <c r="J3986" s="545">
        <v>45.30952380952381</v>
      </c>
    </row>
    <row r="3987" spans="1:10">
      <c r="A3987" s="441">
        <v>1431</v>
      </c>
      <c r="B3987" s="441" t="s">
        <v>3902</v>
      </c>
      <c r="C3987" s="545">
        <v>7.8333333333333339</v>
      </c>
      <c r="D3987" s="545">
        <v>3.3333333333333335</v>
      </c>
      <c r="E3987" s="545">
        <v>3.333333333333333</v>
      </c>
      <c r="F3987" s="545">
        <v>6.5476190476190492</v>
      </c>
      <c r="G3987" s="545">
        <v>5.0999999999999996</v>
      </c>
      <c r="H3987" s="545">
        <v>3.3333333333333335</v>
      </c>
      <c r="I3987" s="545">
        <v>2</v>
      </c>
      <c r="J3987" s="545">
        <v>4.4047619047619042</v>
      </c>
    </row>
    <row r="3988" spans="1:10">
      <c r="A3988" s="441">
        <v>10681</v>
      </c>
      <c r="B3988" s="441" t="s">
        <v>3903</v>
      </c>
      <c r="C3988" s="545">
        <v>47.333333333333329</v>
      </c>
      <c r="D3988" s="545">
        <v>35</v>
      </c>
      <c r="E3988" s="545">
        <v>34.666666666666664</v>
      </c>
      <c r="F3988" s="545">
        <v>43.761904761904759</v>
      </c>
      <c r="G3988" s="545">
        <v>33.25</v>
      </c>
      <c r="H3988" s="545">
        <v>24.666666666666668</v>
      </c>
      <c r="I3988" s="545">
        <v>24</v>
      </c>
      <c r="J3988" s="545">
        <v>30.702380952380953</v>
      </c>
    </row>
    <row r="3989" spans="1:10">
      <c r="A3989" s="441">
        <v>4894</v>
      </c>
      <c r="B3989" s="441" t="s">
        <v>3904</v>
      </c>
      <c r="C3989" s="545">
        <v>37.833333333333336</v>
      </c>
      <c r="D3989" s="545">
        <v>29.333333333333332</v>
      </c>
      <c r="E3989" s="545">
        <v>22.666666666666664</v>
      </c>
      <c r="F3989" s="545">
        <v>34.452380952380956</v>
      </c>
      <c r="G3989" s="545">
        <v>14.85</v>
      </c>
      <c r="H3989" s="545">
        <v>6</v>
      </c>
      <c r="I3989" s="545">
        <v>9.3333333333333339</v>
      </c>
      <c r="J3989" s="545">
        <v>12.797619047619047</v>
      </c>
    </row>
    <row r="3990" spans="1:10">
      <c r="A3990" s="441">
        <v>4923</v>
      </c>
      <c r="B3990" s="441" t="s">
        <v>3904</v>
      </c>
      <c r="C3990" s="545">
        <v>33.333333333333336</v>
      </c>
      <c r="D3990" s="545">
        <v>18.666666666666668</v>
      </c>
      <c r="E3990" s="545">
        <v>18.666666666666668</v>
      </c>
      <c r="F3990" s="545">
        <v>29.142857142857142</v>
      </c>
      <c r="G3990" s="545">
        <v>21.95</v>
      </c>
      <c r="H3990" s="545">
        <v>17.666666666666668</v>
      </c>
      <c r="I3990" s="545">
        <v>14.666666666666666</v>
      </c>
      <c r="J3990" s="545">
        <v>20.297619047619047</v>
      </c>
    </row>
    <row r="3991" spans="1:10">
      <c r="A3991" s="441">
        <v>1430</v>
      </c>
      <c r="B3991" s="441" t="s">
        <v>3905</v>
      </c>
      <c r="C3991" s="545">
        <v>5.333333333333333</v>
      </c>
      <c r="D3991" s="545">
        <v>1.6666666666666665</v>
      </c>
      <c r="E3991" s="545">
        <v>0.66666666666666663</v>
      </c>
      <c r="F3991" s="545">
        <v>4.1428571428571432</v>
      </c>
      <c r="G3991" s="545">
        <v>7.9</v>
      </c>
      <c r="H3991" s="545">
        <v>1.6666666666666667</v>
      </c>
      <c r="I3991" s="545">
        <v>2.3333333333333335</v>
      </c>
      <c r="J3991" s="545">
        <v>6.2142857142857144</v>
      </c>
    </row>
    <row r="3992" spans="1:10">
      <c r="A3992" s="441">
        <v>3728</v>
      </c>
      <c r="B3992" s="441" t="s">
        <v>3906</v>
      </c>
      <c r="C3992" s="545">
        <v>25.5</v>
      </c>
      <c r="D3992" s="545">
        <v>20</v>
      </c>
      <c r="E3992" s="545">
        <v>16.666666666666664</v>
      </c>
      <c r="F3992" s="545">
        <v>23.452380952380953</v>
      </c>
      <c r="G3992" s="545">
        <v>22.95</v>
      </c>
      <c r="H3992" s="545">
        <v>19</v>
      </c>
      <c r="I3992" s="545">
        <v>22.333333333333332</v>
      </c>
      <c r="J3992" s="545">
        <v>22.297619047619047</v>
      </c>
    </row>
    <row r="3993" spans="1:10">
      <c r="A3993" s="441">
        <v>3739</v>
      </c>
      <c r="B3993" s="441" t="s">
        <v>3906</v>
      </c>
      <c r="C3993" s="545">
        <v>25.833333333333332</v>
      </c>
      <c r="D3993" s="545">
        <v>25</v>
      </c>
      <c r="E3993" s="545">
        <v>24.666666666666668</v>
      </c>
      <c r="F3993" s="545">
        <v>25.547619047619044</v>
      </c>
      <c r="G3993" s="545">
        <v>22.05</v>
      </c>
      <c r="H3993" s="545">
        <v>13.333333333333334</v>
      </c>
      <c r="I3993" s="545">
        <v>20.666666666666668</v>
      </c>
      <c r="J3993" s="545">
        <v>20.607142857142858</v>
      </c>
    </row>
    <row r="3994" spans="1:10">
      <c r="A3994" s="441">
        <v>4891</v>
      </c>
      <c r="B3994" s="441" t="s">
        <v>3907</v>
      </c>
      <c r="C3994" s="545">
        <v>165.16666666666666</v>
      </c>
      <c r="D3994" s="545">
        <v>110.66666666666666</v>
      </c>
      <c r="E3994" s="545">
        <v>79.666666666666671</v>
      </c>
      <c r="F3994" s="545">
        <v>145.16666666666666</v>
      </c>
      <c r="G3994" s="545">
        <v>130.5</v>
      </c>
      <c r="H3994" s="545">
        <v>90.666666666666671</v>
      </c>
      <c r="I3994" s="545">
        <v>82.333333333333329</v>
      </c>
      <c r="J3994" s="545">
        <v>117.92857142857143</v>
      </c>
    </row>
    <row r="3995" spans="1:10">
      <c r="A3995" s="441">
        <v>4926</v>
      </c>
      <c r="B3995" s="441" t="s">
        <v>3907</v>
      </c>
      <c r="C3995" s="545">
        <v>208.5</v>
      </c>
      <c r="D3995" s="545">
        <v>153</v>
      </c>
      <c r="E3995" s="545">
        <v>133.33333333333334</v>
      </c>
      <c r="F3995" s="545">
        <v>189.83333333333331</v>
      </c>
      <c r="G3995" s="545">
        <v>144.6</v>
      </c>
      <c r="H3995" s="545">
        <v>105</v>
      </c>
      <c r="I3995" s="545">
        <v>86.666666666666671</v>
      </c>
      <c r="J3995" s="545">
        <v>130.66666666666666</v>
      </c>
    </row>
    <row r="3996" spans="1:10">
      <c r="A3996" s="441">
        <v>4888</v>
      </c>
      <c r="B3996" s="441" t="s">
        <v>3908</v>
      </c>
      <c r="C3996" s="545">
        <v>4.5</v>
      </c>
      <c r="D3996" s="545">
        <v>6</v>
      </c>
      <c r="E3996" s="545">
        <v>4</v>
      </c>
      <c r="F3996" s="545">
        <v>4.6428571428571432</v>
      </c>
      <c r="G3996" s="545">
        <v>4.45</v>
      </c>
      <c r="H3996" s="545">
        <v>7</v>
      </c>
      <c r="I3996" s="545">
        <v>5</v>
      </c>
      <c r="J3996" s="545">
        <v>4.8928571428571432</v>
      </c>
    </row>
    <row r="3997" spans="1:10">
      <c r="A3997" s="441">
        <v>4930</v>
      </c>
      <c r="B3997" s="441" t="s">
        <v>3908</v>
      </c>
      <c r="C3997" s="545">
        <v>1.5</v>
      </c>
      <c r="D3997" s="545">
        <v>1.6666666666666665</v>
      </c>
      <c r="E3997" s="545">
        <v>0.33333333333333331</v>
      </c>
      <c r="F3997" s="545">
        <v>1.3571428571428572</v>
      </c>
      <c r="G3997" s="545">
        <v>2.9</v>
      </c>
      <c r="H3997" s="545">
        <v>4.333333333333333</v>
      </c>
      <c r="I3997" s="545">
        <v>7</v>
      </c>
      <c r="J3997" s="545">
        <v>3.6904761904761902</v>
      </c>
    </row>
    <row r="3998" spans="1:10">
      <c r="A3998" s="441">
        <v>4902</v>
      </c>
      <c r="B3998" s="441" t="s">
        <v>3909</v>
      </c>
      <c r="C3998" s="545">
        <v>15.833333333333334</v>
      </c>
      <c r="D3998" s="545">
        <v>11.666666666666668</v>
      </c>
      <c r="E3998" s="545">
        <v>12</v>
      </c>
      <c r="F3998" s="545">
        <v>14.690476190476192</v>
      </c>
      <c r="G3998" s="545">
        <v>15.25</v>
      </c>
      <c r="H3998" s="545">
        <v>10.333333333333334</v>
      </c>
      <c r="I3998" s="545">
        <v>13</v>
      </c>
      <c r="J3998" s="545">
        <v>14.226190476190476</v>
      </c>
    </row>
    <row r="3999" spans="1:10">
      <c r="A3999" s="441">
        <v>4915</v>
      </c>
      <c r="B3999" s="441" t="s">
        <v>3909</v>
      </c>
      <c r="C3999" s="545">
        <v>17.166666666666668</v>
      </c>
      <c r="D3999" s="545">
        <v>13.666666666666666</v>
      </c>
      <c r="E3999" s="545">
        <v>11</v>
      </c>
      <c r="F3999" s="545">
        <v>15.785714285714288</v>
      </c>
      <c r="G3999" s="545">
        <v>10.8</v>
      </c>
      <c r="H3999" s="545">
        <v>9.3333333333333339</v>
      </c>
      <c r="I3999" s="545">
        <v>10.666666666666666</v>
      </c>
      <c r="J3999" s="545">
        <v>10.571428571428571</v>
      </c>
    </row>
    <row r="4000" spans="1:10">
      <c r="A4000" s="441">
        <v>4901</v>
      </c>
      <c r="B4000" s="441" t="s">
        <v>3910</v>
      </c>
      <c r="C4000" s="545">
        <v>15.666666666666668</v>
      </c>
      <c r="D4000" s="545">
        <v>11.666666666666666</v>
      </c>
      <c r="E4000" s="545">
        <v>14.666666666666668</v>
      </c>
      <c r="F4000" s="545">
        <v>14.952380952380954</v>
      </c>
      <c r="G4000" s="545">
        <v>14.6</v>
      </c>
      <c r="H4000" s="545">
        <v>18.333333333333332</v>
      </c>
      <c r="I4000" s="545">
        <v>14.666666666666666</v>
      </c>
      <c r="J4000" s="545">
        <v>15.142857142857142</v>
      </c>
    </row>
    <row r="4001" spans="1:10">
      <c r="A4001" s="441">
        <v>4916</v>
      </c>
      <c r="B4001" s="441" t="s">
        <v>3910</v>
      </c>
      <c r="C4001" s="545">
        <v>11</v>
      </c>
      <c r="D4001" s="545">
        <v>5</v>
      </c>
      <c r="E4001" s="545">
        <v>7.666666666666667</v>
      </c>
      <c r="F4001" s="545">
        <v>9.6666666666666679</v>
      </c>
      <c r="G4001" s="545">
        <v>10.5</v>
      </c>
      <c r="H4001" s="545">
        <v>11.333333333333334</v>
      </c>
      <c r="I4001" s="545">
        <v>11</v>
      </c>
      <c r="J4001" s="545">
        <v>10.690476190476192</v>
      </c>
    </row>
    <row r="4002" spans="1:10">
      <c r="A4002" s="441">
        <v>4924</v>
      </c>
      <c r="B4002" s="441" t="s">
        <v>3911</v>
      </c>
      <c r="C4002" s="545">
        <v>20.833333333333332</v>
      </c>
      <c r="D4002" s="545">
        <v>10.333333333333332</v>
      </c>
      <c r="E4002" s="545">
        <v>4.666666666666667</v>
      </c>
      <c r="F4002" s="545">
        <v>17.023809523809522</v>
      </c>
      <c r="G4002" s="545">
        <v>11.4</v>
      </c>
      <c r="H4002" s="545">
        <v>6.666666666666667</v>
      </c>
      <c r="I4002" s="545">
        <v>4.333333333333333</v>
      </c>
      <c r="J4002" s="545">
        <v>9.7142857142857135</v>
      </c>
    </row>
    <row r="4003" spans="1:10">
      <c r="A4003" s="441">
        <v>4908</v>
      </c>
      <c r="B4003" s="441" t="s">
        <v>3912</v>
      </c>
      <c r="C4003" s="545">
        <v>3.666666666666667</v>
      </c>
      <c r="D4003" s="545">
        <v>2</v>
      </c>
      <c r="E4003" s="545">
        <v>2.333333333333333</v>
      </c>
      <c r="F4003" s="545">
        <v>3.2380952380952381</v>
      </c>
      <c r="G4003" s="545">
        <v>5.15</v>
      </c>
      <c r="H4003" s="545">
        <v>2.6666666666666665</v>
      </c>
      <c r="I4003" s="545">
        <v>6.333333333333333</v>
      </c>
      <c r="J4003" s="545">
        <v>4.9642857142857144</v>
      </c>
    </row>
    <row r="4004" spans="1:10">
      <c r="A4004" s="441">
        <v>4909</v>
      </c>
      <c r="B4004" s="441" t="s">
        <v>3912</v>
      </c>
      <c r="C4004" s="545">
        <v>2.5</v>
      </c>
      <c r="D4004" s="545">
        <v>1.6666666666666667</v>
      </c>
      <c r="E4004" s="545">
        <v>2.6666666666666665</v>
      </c>
      <c r="F4004" s="545">
        <v>2.4047619047619047</v>
      </c>
      <c r="G4004" s="545">
        <v>2.4</v>
      </c>
      <c r="H4004" s="545">
        <v>6</v>
      </c>
      <c r="I4004" s="545">
        <v>3.3333333333333335</v>
      </c>
      <c r="J4004" s="545">
        <v>3.0476190476190474</v>
      </c>
    </row>
    <row r="4005" spans="1:10">
      <c r="A4005" s="441">
        <v>4846</v>
      </c>
      <c r="B4005" s="441" t="s">
        <v>3913</v>
      </c>
      <c r="C4005" s="545">
        <v>4.1666666666666661</v>
      </c>
      <c r="D4005" s="545">
        <v>3.666666666666667</v>
      </c>
      <c r="E4005" s="545">
        <v>1</v>
      </c>
      <c r="F4005" s="545">
        <v>3.6428571428571423</v>
      </c>
      <c r="G4005" s="545">
        <v>7.7</v>
      </c>
      <c r="H4005" s="545">
        <v>6</v>
      </c>
      <c r="I4005" s="545">
        <v>2.6666666666666665</v>
      </c>
      <c r="J4005" s="545">
        <v>6.7380952380952381</v>
      </c>
    </row>
    <row r="4006" spans="1:10">
      <c r="A4006" s="441">
        <v>792</v>
      </c>
      <c r="B4006" s="441" t="s">
        <v>3914</v>
      </c>
      <c r="C4006" s="545">
        <v>2.5</v>
      </c>
      <c r="D4006" s="545">
        <v>3</v>
      </c>
      <c r="E4006" s="545">
        <v>1</v>
      </c>
      <c r="F4006" s="545">
        <v>2.3571428571428572</v>
      </c>
      <c r="G4006" s="545">
        <v>0.3</v>
      </c>
      <c r="H4006" s="545">
        <v>0.66666666666666663</v>
      </c>
      <c r="I4006" s="545">
        <v>0</v>
      </c>
      <c r="J4006" s="545">
        <v>0.30952380952380948</v>
      </c>
    </row>
    <row r="4007" spans="1:10">
      <c r="A4007" s="441">
        <v>805</v>
      </c>
      <c r="B4007" s="441" t="s">
        <v>3915</v>
      </c>
      <c r="C4007" s="545">
        <v>5.666666666666667</v>
      </c>
      <c r="D4007" s="545">
        <v>2</v>
      </c>
      <c r="E4007" s="545">
        <v>1.6666666666666667</v>
      </c>
      <c r="F4007" s="545">
        <v>4.5714285714285712</v>
      </c>
      <c r="G4007" s="545">
        <v>0.05</v>
      </c>
      <c r="H4007" s="545">
        <v>0</v>
      </c>
      <c r="I4007" s="545">
        <v>0</v>
      </c>
      <c r="J4007" s="545">
        <v>3.5714285714285712E-2</v>
      </c>
    </row>
    <row r="4008" spans="1:10">
      <c r="A4008" s="441">
        <v>807</v>
      </c>
      <c r="B4008" s="441" t="s">
        <v>3916</v>
      </c>
      <c r="C4008" s="545">
        <v>0</v>
      </c>
      <c r="D4008" s="545">
        <v>0</v>
      </c>
      <c r="E4008" s="545">
        <v>0.33333333333333331</v>
      </c>
      <c r="F4008" s="545">
        <v>4.7619047619047616E-2</v>
      </c>
      <c r="G4008" s="545">
        <v>0.05</v>
      </c>
      <c r="H4008" s="545">
        <v>0</v>
      </c>
      <c r="I4008" s="545">
        <v>0</v>
      </c>
      <c r="J4008" s="545">
        <v>3.5714285714285712E-2</v>
      </c>
    </row>
    <row r="4009" spans="1:10">
      <c r="A4009" s="441">
        <v>4845</v>
      </c>
      <c r="B4009" s="441" t="s">
        <v>3917</v>
      </c>
      <c r="C4009" s="545">
        <v>36</v>
      </c>
      <c r="D4009" s="545">
        <v>36</v>
      </c>
      <c r="E4009" s="545">
        <v>17.333333333333336</v>
      </c>
      <c r="F4009" s="545">
        <v>33.333333333333336</v>
      </c>
      <c r="G4009" s="545">
        <v>35.5</v>
      </c>
      <c r="H4009" s="545">
        <v>26</v>
      </c>
      <c r="I4009" s="545">
        <v>23.666666666666668</v>
      </c>
      <c r="J4009" s="545">
        <v>32.452380952380949</v>
      </c>
    </row>
    <row r="4010" spans="1:10">
      <c r="A4010" s="441">
        <v>10603</v>
      </c>
      <c r="B4010" s="441" t="s">
        <v>3918</v>
      </c>
      <c r="C4010" s="545">
        <v>9.1666666666666679</v>
      </c>
      <c r="D4010" s="545">
        <v>4.3333333333333339</v>
      </c>
      <c r="E4010" s="545">
        <v>1.3333333333333333</v>
      </c>
      <c r="F4010" s="545">
        <v>7.3571428571428594</v>
      </c>
      <c r="G4010" s="545">
        <v>9.15</v>
      </c>
      <c r="H4010" s="545">
        <v>4.666666666666667</v>
      </c>
      <c r="I4010" s="545">
        <v>3</v>
      </c>
      <c r="J4010" s="545">
        <v>7.6309523809523805</v>
      </c>
    </row>
    <row r="4011" spans="1:10">
      <c r="A4011" s="441">
        <v>12672</v>
      </c>
      <c r="B4011" s="441" t="s">
        <v>3919</v>
      </c>
      <c r="C4011" s="545">
        <v>11.5</v>
      </c>
      <c r="D4011" s="545">
        <v>5.3333333333333339</v>
      </c>
      <c r="E4011" s="545">
        <v>2.666666666666667</v>
      </c>
      <c r="F4011" s="545">
        <v>9.3571428571428577</v>
      </c>
      <c r="G4011" s="545">
        <v>8.9</v>
      </c>
      <c r="H4011" s="545">
        <v>6.333333333333333</v>
      </c>
      <c r="I4011" s="545">
        <v>3.3333333333333335</v>
      </c>
      <c r="J4011" s="545">
        <v>7.738095238095239</v>
      </c>
    </row>
    <row r="4012" spans="1:10">
      <c r="A4012" s="441">
        <v>12673</v>
      </c>
      <c r="B4012" s="441" t="s">
        <v>3920</v>
      </c>
      <c r="C4012" s="545">
        <v>4.333333333333333</v>
      </c>
      <c r="D4012" s="545">
        <v>2.3333333333333335</v>
      </c>
      <c r="E4012" s="545">
        <v>1.3333333333333333</v>
      </c>
      <c r="F4012" s="545">
        <v>3.6190476190476182</v>
      </c>
      <c r="G4012" s="545">
        <v>2</v>
      </c>
      <c r="H4012" s="545">
        <v>2.3333333333333335</v>
      </c>
      <c r="I4012" s="545">
        <v>0.66666666666666663</v>
      </c>
      <c r="J4012" s="545">
        <v>1.8571428571428572</v>
      </c>
    </row>
    <row r="4013" spans="1:10">
      <c r="A4013" s="441">
        <v>4848</v>
      </c>
      <c r="B4013" s="441" t="s">
        <v>3921</v>
      </c>
      <c r="C4013" s="545">
        <v>4.5</v>
      </c>
      <c r="D4013" s="545">
        <v>4.666666666666667</v>
      </c>
      <c r="E4013" s="545">
        <v>3.3333333333333335</v>
      </c>
      <c r="F4013" s="545">
        <v>4.3571428571428568</v>
      </c>
      <c r="G4013" s="545">
        <v>3.15</v>
      </c>
      <c r="H4013" s="545">
        <v>3</v>
      </c>
      <c r="I4013" s="545">
        <v>1</v>
      </c>
      <c r="J4013" s="545">
        <v>2.8214285714285716</v>
      </c>
    </row>
    <row r="4014" spans="1:10">
      <c r="A4014" s="441">
        <v>10607</v>
      </c>
      <c r="B4014" s="441" t="s">
        <v>3921</v>
      </c>
      <c r="C4014" s="545">
        <v>6.5</v>
      </c>
      <c r="D4014" s="545">
        <v>3.6666666666666665</v>
      </c>
      <c r="E4014" s="545">
        <v>4</v>
      </c>
      <c r="F4014" s="545">
        <v>5.7380952380952381</v>
      </c>
      <c r="G4014" s="545">
        <v>7.9</v>
      </c>
      <c r="H4014" s="545">
        <v>8.3333333333333339</v>
      </c>
      <c r="I4014" s="545">
        <v>3</v>
      </c>
      <c r="J4014" s="545">
        <v>7.2619047619047619</v>
      </c>
    </row>
    <row r="4015" spans="1:10">
      <c r="A4015" s="441">
        <v>12675</v>
      </c>
      <c r="B4015" s="441" t="s">
        <v>3922</v>
      </c>
      <c r="C4015" s="545">
        <v>3.333333333333333</v>
      </c>
      <c r="D4015" s="545">
        <v>1.3333333333333333</v>
      </c>
      <c r="E4015" s="545">
        <v>1.6666666666666665</v>
      </c>
      <c r="F4015" s="545">
        <v>2.8095238095238093</v>
      </c>
      <c r="G4015" s="545">
        <v>2.6</v>
      </c>
      <c r="H4015" s="545">
        <v>1.3333333333333333</v>
      </c>
      <c r="I4015" s="545">
        <v>0.33333333333333331</v>
      </c>
      <c r="J4015" s="545">
        <v>2.0952380952380953</v>
      </c>
    </row>
    <row r="4016" spans="1:10">
      <c r="A4016" s="441">
        <v>12676</v>
      </c>
      <c r="B4016" s="441" t="s">
        <v>3922</v>
      </c>
      <c r="C4016" s="545">
        <v>1.8333333333333335</v>
      </c>
      <c r="D4016" s="545">
        <v>1</v>
      </c>
      <c r="E4016" s="545">
        <v>1</v>
      </c>
      <c r="F4016" s="545">
        <v>1.5952380952380953</v>
      </c>
      <c r="G4016" s="545">
        <v>3</v>
      </c>
      <c r="H4016" s="545">
        <v>0.33333333333333331</v>
      </c>
      <c r="I4016" s="545">
        <v>1</v>
      </c>
      <c r="J4016" s="545">
        <v>2.3333333333333335</v>
      </c>
    </row>
    <row r="4017" spans="1:10">
      <c r="A4017" s="441">
        <v>3193</v>
      </c>
      <c r="B4017" s="441" t="s">
        <v>3923</v>
      </c>
      <c r="C4017" s="545">
        <v>23.833333333333332</v>
      </c>
      <c r="D4017" s="545">
        <v>11.333333333333332</v>
      </c>
      <c r="E4017" s="545">
        <v>6.6666666666666661</v>
      </c>
      <c r="F4017" s="545">
        <v>19.595238095238095</v>
      </c>
      <c r="G4017" s="545">
        <v>12.25</v>
      </c>
      <c r="H4017" s="545">
        <v>10</v>
      </c>
      <c r="I4017" s="545">
        <v>9</v>
      </c>
      <c r="J4017" s="545">
        <v>11.464285714285714</v>
      </c>
    </row>
    <row r="4018" spans="1:10">
      <c r="A4018" s="441">
        <v>3194</v>
      </c>
      <c r="B4018" s="441" t="s">
        <v>3923</v>
      </c>
      <c r="C4018" s="545">
        <v>9.6666666666666679</v>
      </c>
      <c r="D4018" s="545">
        <v>9</v>
      </c>
      <c r="E4018" s="545">
        <v>5.6666666666666661</v>
      </c>
      <c r="F4018" s="545">
        <v>9.0000000000000018</v>
      </c>
      <c r="G4018" s="545">
        <v>7.8</v>
      </c>
      <c r="H4018" s="545">
        <v>7</v>
      </c>
      <c r="I4018" s="545">
        <v>5.333333333333333</v>
      </c>
      <c r="J4018" s="545">
        <v>7.3333333333333339</v>
      </c>
    </row>
    <row r="4019" spans="1:10">
      <c r="A4019" s="441">
        <v>10602</v>
      </c>
      <c r="B4019" s="441" t="s">
        <v>3924</v>
      </c>
      <c r="C4019" s="545">
        <v>8.3333333333333321</v>
      </c>
      <c r="D4019" s="545">
        <v>6.3333333333333339</v>
      </c>
      <c r="E4019" s="545">
        <v>0.33333333333333331</v>
      </c>
      <c r="F4019" s="545">
        <v>6.9047619047619042</v>
      </c>
      <c r="G4019" s="545">
        <v>9.0500000000000007</v>
      </c>
      <c r="H4019" s="545">
        <v>5.666666666666667</v>
      </c>
      <c r="I4019" s="545">
        <v>0</v>
      </c>
      <c r="J4019" s="545">
        <v>7.2738095238095237</v>
      </c>
    </row>
    <row r="4020" spans="1:10">
      <c r="A4020" s="441">
        <v>10605</v>
      </c>
      <c r="B4020" s="441" t="s">
        <v>3924</v>
      </c>
      <c r="C4020" s="545">
        <v>10.5</v>
      </c>
      <c r="D4020" s="545">
        <v>7.6666666666666661</v>
      </c>
      <c r="E4020" s="545">
        <v>0.66666666666666663</v>
      </c>
      <c r="F4020" s="545">
        <v>8.6904761904761898</v>
      </c>
      <c r="G4020" s="545">
        <v>11.85</v>
      </c>
      <c r="H4020" s="545">
        <v>11.333333333333334</v>
      </c>
      <c r="I4020" s="545">
        <v>2</v>
      </c>
      <c r="J4020" s="545">
        <v>10.369047619047619</v>
      </c>
    </row>
    <row r="4021" spans="1:10">
      <c r="A4021" s="441">
        <v>3191</v>
      </c>
      <c r="B4021" s="441" t="s">
        <v>3925</v>
      </c>
      <c r="C4021" s="545">
        <v>7</v>
      </c>
      <c r="D4021" s="545">
        <v>7.6666666666666661</v>
      </c>
      <c r="E4021" s="545">
        <v>3</v>
      </c>
      <c r="F4021" s="545">
        <v>6.5238095238095237</v>
      </c>
      <c r="G4021" s="545">
        <v>9.35</v>
      </c>
      <c r="H4021" s="545">
        <v>6.666666666666667</v>
      </c>
      <c r="I4021" s="545">
        <v>7.666666666666667</v>
      </c>
      <c r="J4021" s="545">
        <v>8.7261904761904763</v>
      </c>
    </row>
    <row r="4022" spans="1:10">
      <c r="A4022" s="441">
        <v>4849</v>
      </c>
      <c r="B4022" s="441" t="s">
        <v>3926</v>
      </c>
      <c r="C4022" s="545">
        <v>12.5</v>
      </c>
      <c r="D4022" s="545">
        <v>6</v>
      </c>
      <c r="E4022" s="545">
        <v>7.3333333333333339</v>
      </c>
      <c r="F4022" s="545">
        <v>10.833333333333332</v>
      </c>
      <c r="G4022" s="545">
        <v>6.05</v>
      </c>
      <c r="H4022" s="545">
        <v>8.3333333333333339</v>
      </c>
      <c r="I4022" s="545">
        <v>3</v>
      </c>
      <c r="J4022" s="545">
        <v>5.9404761904761907</v>
      </c>
    </row>
    <row r="4023" spans="1:10">
      <c r="A4023" s="441">
        <v>10606</v>
      </c>
      <c r="B4023" s="441" t="s">
        <v>3926</v>
      </c>
      <c r="C4023" s="545">
        <v>13</v>
      </c>
      <c r="D4023" s="545">
        <v>8</v>
      </c>
      <c r="E4023" s="545">
        <v>6</v>
      </c>
      <c r="F4023" s="545">
        <v>11.285714285714286</v>
      </c>
      <c r="G4023" s="545">
        <v>6.25</v>
      </c>
      <c r="H4023" s="545">
        <v>4.666666666666667</v>
      </c>
      <c r="I4023" s="545">
        <v>4</v>
      </c>
      <c r="J4023" s="545">
        <v>5.7023809523809517</v>
      </c>
    </row>
    <row r="4024" spans="1:10">
      <c r="A4024" s="441">
        <v>794</v>
      </c>
      <c r="B4024" s="441" t="s">
        <v>3927</v>
      </c>
      <c r="C4024" s="545">
        <v>5.5</v>
      </c>
      <c r="D4024" s="545">
        <v>6</v>
      </c>
      <c r="E4024" s="545">
        <v>5.666666666666667</v>
      </c>
      <c r="F4024" s="545">
        <v>5.5952380952380949</v>
      </c>
      <c r="G4024" s="545">
        <v>12.9</v>
      </c>
      <c r="H4024" s="545">
        <v>5.333333333333333</v>
      </c>
      <c r="I4024" s="545">
        <v>11</v>
      </c>
      <c r="J4024" s="545">
        <v>11.547619047619047</v>
      </c>
    </row>
    <row r="4025" spans="1:10">
      <c r="A4025" s="441">
        <v>808</v>
      </c>
      <c r="B4025" s="441" t="s">
        <v>3927</v>
      </c>
      <c r="C4025" s="545">
        <v>1.8333333333333333</v>
      </c>
      <c r="D4025" s="545">
        <v>3.3333333333333335</v>
      </c>
      <c r="E4025" s="545">
        <v>0.66666666666666663</v>
      </c>
      <c r="F4025" s="545">
        <v>1.8809523809523809</v>
      </c>
      <c r="G4025" s="545">
        <v>3.75</v>
      </c>
      <c r="H4025" s="545">
        <v>4.333333333333333</v>
      </c>
      <c r="I4025" s="545">
        <v>1.6666666666666667</v>
      </c>
      <c r="J4025" s="545">
        <v>3.5357142857142856</v>
      </c>
    </row>
    <row r="4026" spans="1:10">
      <c r="A4026" s="441">
        <v>4847</v>
      </c>
      <c r="B4026" s="441" t="s">
        <v>3928</v>
      </c>
      <c r="C4026" s="545">
        <v>3.5</v>
      </c>
      <c r="D4026" s="545">
        <v>2.666666666666667</v>
      </c>
      <c r="E4026" s="545">
        <v>0</v>
      </c>
      <c r="F4026" s="545">
        <v>2.8809523809523809</v>
      </c>
      <c r="G4026" s="545">
        <v>0.95</v>
      </c>
      <c r="H4026" s="545">
        <v>1</v>
      </c>
      <c r="I4026" s="545">
        <v>0.33333333333333331</v>
      </c>
      <c r="J4026" s="545">
        <v>0.86904761904761896</v>
      </c>
    </row>
    <row r="4027" spans="1:10">
      <c r="A4027" s="441">
        <v>12679</v>
      </c>
      <c r="B4027" s="441" t="s">
        <v>3929</v>
      </c>
      <c r="C4027" s="545">
        <v>66.166666666666671</v>
      </c>
      <c r="D4027" s="545">
        <v>43</v>
      </c>
      <c r="E4027" s="545">
        <v>29.333333333333336</v>
      </c>
      <c r="F4027" s="545">
        <v>57.595238095238095</v>
      </c>
      <c r="G4027" s="545">
        <v>51.45</v>
      </c>
      <c r="H4027" s="545">
        <v>57</v>
      </c>
      <c r="I4027" s="545">
        <v>49.666666666666664</v>
      </c>
      <c r="J4027" s="545">
        <v>51.988095238095241</v>
      </c>
    </row>
    <row r="4028" spans="1:10">
      <c r="A4028" s="441">
        <v>812</v>
      </c>
      <c r="B4028" s="441" t="s">
        <v>3930</v>
      </c>
      <c r="C4028" s="545">
        <v>56.333333333333336</v>
      </c>
      <c r="D4028" s="545">
        <v>38</v>
      </c>
      <c r="E4028" s="545">
        <v>26.666666666666664</v>
      </c>
      <c r="F4028" s="545">
        <v>49.476190476190482</v>
      </c>
      <c r="G4028" s="545">
        <v>22.55</v>
      </c>
      <c r="H4028" s="545">
        <v>16</v>
      </c>
      <c r="I4028" s="545">
        <v>18</v>
      </c>
      <c r="J4028" s="545">
        <v>20.964285714285715</v>
      </c>
    </row>
    <row r="4029" spans="1:10">
      <c r="A4029" s="441">
        <v>3192</v>
      </c>
      <c r="B4029" s="441" t="s">
        <v>3930</v>
      </c>
      <c r="C4029" s="545">
        <v>134.83333333333334</v>
      </c>
      <c r="D4029" s="545">
        <v>99</v>
      </c>
      <c r="E4029" s="545">
        <v>90</v>
      </c>
      <c r="F4029" s="545">
        <v>123.30952380952382</v>
      </c>
      <c r="G4029" s="545">
        <v>117.85</v>
      </c>
      <c r="H4029" s="545">
        <v>107.33333333333333</v>
      </c>
      <c r="I4029" s="545">
        <v>94.666666666666671</v>
      </c>
      <c r="J4029" s="545">
        <v>113.03571428571429</v>
      </c>
    </row>
    <row r="4030" spans="1:10">
      <c r="A4030" s="441">
        <v>3195</v>
      </c>
      <c r="B4030" s="441" t="s">
        <v>3930</v>
      </c>
      <c r="C4030" s="545">
        <v>99.5</v>
      </c>
      <c r="D4030" s="545">
        <v>64</v>
      </c>
      <c r="E4030" s="545">
        <v>54.666666666666671</v>
      </c>
      <c r="F4030" s="545">
        <v>88.023809523809518</v>
      </c>
      <c r="G4030" s="545">
        <v>76.900000000000006</v>
      </c>
      <c r="H4030" s="545">
        <v>64.666666666666671</v>
      </c>
      <c r="I4030" s="545">
        <v>60.333333333333336</v>
      </c>
      <c r="J4030" s="545">
        <v>72.785714285714292</v>
      </c>
    </row>
    <row r="4031" spans="1:10">
      <c r="A4031" s="441">
        <v>13112</v>
      </c>
      <c r="B4031" s="441" t="s">
        <v>3931</v>
      </c>
      <c r="C4031" s="545">
        <v>11.5</v>
      </c>
      <c r="D4031" s="545">
        <v>6</v>
      </c>
      <c r="E4031" s="545">
        <v>4.333333333333333</v>
      </c>
      <c r="F4031" s="545">
        <v>9.6904761904761898</v>
      </c>
      <c r="G4031" s="545">
        <v>5</v>
      </c>
      <c r="H4031" s="545">
        <v>1.6666666666666667</v>
      </c>
      <c r="I4031" s="545">
        <v>1</v>
      </c>
      <c r="J4031" s="545">
        <v>3.9523809523809526</v>
      </c>
    </row>
    <row r="4032" spans="1:10">
      <c r="A4032" s="441">
        <v>793</v>
      </c>
      <c r="B4032" s="441" t="s">
        <v>3932</v>
      </c>
      <c r="C4032" s="545">
        <v>0.66666666666666663</v>
      </c>
      <c r="D4032" s="545">
        <v>0.66666666666666663</v>
      </c>
      <c r="E4032" s="545">
        <v>0</v>
      </c>
      <c r="F4032" s="545">
        <v>0.5714285714285714</v>
      </c>
      <c r="G4032" s="545">
        <v>0.95</v>
      </c>
      <c r="H4032" s="545">
        <v>0</v>
      </c>
      <c r="I4032" s="545">
        <v>0</v>
      </c>
      <c r="J4032" s="545">
        <v>0.6785714285714286</v>
      </c>
    </row>
    <row r="4033" spans="1:10">
      <c r="A4033" s="441">
        <v>806</v>
      </c>
      <c r="B4033" s="441" t="s">
        <v>3933</v>
      </c>
      <c r="C4033" s="545">
        <v>0.33333333333333331</v>
      </c>
      <c r="D4033" s="545">
        <v>0</v>
      </c>
      <c r="E4033" s="545">
        <v>0.66666666666666663</v>
      </c>
      <c r="F4033" s="545">
        <v>0.33333333333333331</v>
      </c>
      <c r="G4033" s="545">
        <v>2.5</v>
      </c>
      <c r="H4033" s="545">
        <v>2.6666666666666665</v>
      </c>
      <c r="I4033" s="545">
        <v>1.3333333333333333</v>
      </c>
      <c r="J4033" s="545">
        <v>2.3571428571428572</v>
      </c>
    </row>
    <row r="4034" spans="1:10">
      <c r="A4034" s="441">
        <v>809</v>
      </c>
      <c r="B4034" s="441" t="s">
        <v>3933</v>
      </c>
      <c r="C4034" s="545">
        <v>0</v>
      </c>
      <c r="D4034" s="545">
        <v>0</v>
      </c>
      <c r="E4034" s="545">
        <v>0</v>
      </c>
      <c r="F4034" s="545">
        <v>0</v>
      </c>
      <c r="G4034" s="545">
        <v>1.1499999999999999</v>
      </c>
      <c r="H4034" s="545">
        <v>0.66666666666666663</v>
      </c>
      <c r="I4034" s="545">
        <v>2</v>
      </c>
      <c r="J4034" s="545">
        <v>1.2023809523809526</v>
      </c>
    </row>
    <row r="4035" spans="1:10">
      <c r="A4035" s="441">
        <v>810</v>
      </c>
      <c r="B4035" s="441" t="s">
        <v>3934</v>
      </c>
      <c r="C4035" s="545">
        <v>0.83333333333333326</v>
      </c>
      <c r="D4035" s="545">
        <v>1</v>
      </c>
      <c r="E4035" s="545">
        <v>0</v>
      </c>
      <c r="F4035" s="545">
        <v>0.73809523809523803</v>
      </c>
      <c r="G4035" s="545">
        <v>0.1</v>
      </c>
      <c r="H4035" s="545">
        <v>0</v>
      </c>
      <c r="I4035" s="545">
        <v>0</v>
      </c>
      <c r="J4035" s="545">
        <v>7.1428571428571425E-2</v>
      </c>
    </row>
    <row r="4036" spans="1:10">
      <c r="A4036" s="441">
        <v>9966</v>
      </c>
      <c r="B4036" s="441" t="s">
        <v>3935</v>
      </c>
      <c r="C4036" s="545">
        <v>2.5</v>
      </c>
      <c r="D4036" s="545">
        <v>0.33333333333333331</v>
      </c>
      <c r="E4036" s="545">
        <v>0</v>
      </c>
      <c r="F4036" s="545">
        <v>1.8333333333333335</v>
      </c>
      <c r="G4036" s="545">
        <v>1.75</v>
      </c>
      <c r="H4036" s="545">
        <v>0.33333333333333331</v>
      </c>
      <c r="I4036" s="545">
        <v>0</v>
      </c>
      <c r="J4036" s="545">
        <v>1.2976190476190477</v>
      </c>
    </row>
    <row r="4037" spans="1:10">
      <c r="A4037" s="441">
        <v>12084</v>
      </c>
      <c r="B4037" s="441" t="s">
        <v>3936</v>
      </c>
      <c r="C4037" s="545">
        <v>4.166666666666667</v>
      </c>
      <c r="D4037" s="545">
        <v>0.66666666666666663</v>
      </c>
      <c r="E4037" s="545">
        <v>1</v>
      </c>
      <c r="F4037" s="545">
        <v>3.2142857142857149</v>
      </c>
      <c r="G4037" s="545">
        <v>4.0999999999999996</v>
      </c>
      <c r="H4037" s="545">
        <v>1.3333333333333333</v>
      </c>
      <c r="I4037" s="545">
        <v>1.3333333333333333</v>
      </c>
      <c r="J4037" s="545">
        <v>3.3095238095238093</v>
      </c>
    </row>
    <row r="4038" spans="1:10">
      <c r="A4038" s="441">
        <v>12950</v>
      </c>
      <c r="B4038" s="441" t="s">
        <v>3937</v>
      </c>
      <c r="C4038" s="545">
        <v>40.666666666666664</v>
      </c>
      <c r="D4038" s="545">
        <v>25</v>
      </c>
      <c r="E4038" s="545">
        <v>25.666666666666664</v>
      </c>
      <c r="F4038" s="545">
        <v>36.285714285714285</v>
      </c>
      <c r="G4038" s="545">
        <v>27.2</v>
      </c>
      <c r="H4038" s="545">
        <v>30.333333333333332</v>
      </c>
      <c r="I4038" s="545">
        <v>20</v>
      </c>
      <c r="J4038" s="545">
        <v>26.61904761904762</v>
      </c>
    </row>
    <row r="4039" spans="1:10">
      <c r="A4039" s="441">
        <v>12985</v>
      </c>
      <c r="B4039" s="441" t="s">
        <v>3938</v>
      </c>
      <c r="C4039" s="545">
        <v>27.666666666666668</v>
      </c>
      <c r="D4039" s="545">
        <v>10</v>
      </c>
      <c r="E4039" s="545">
        <v>12</v>
      </c>
      <c r="F4039" s="545">
        <v>22.904761904761905</v>
      </c>
      <c r="G4039" s="545">
        <v>25.8</v>
      </c>
      <c r="H4039" s="545">
        <v>7</v>
      </c>
      <c r="I4039" s="545">
        <v>9.3333333333333339</v>
      </c>
      <c r="J4039" s="545">
        <v>20.761904761904763</v>
      </c>
    </row>
    <row r="4040" spans="1:10">
      <c r="A4040" s="441">
        <v>12984</v>
      </c>
      <c r="B4040" s="441" t="s">
        <v>3939</v>
      </c>
      <c r="C4040" s="545">
        <v>7.166666666666667</v>
      </c>
      <c r="D4040" s="545">
        <v>5</v>
      </c>
      <c r="E4040" s="545">
        <v>2.333333333333333</v>
      </c>
      <c r="F4040" s="545">
        <v>6.166666666666667</v>
      </c>
      <c r="G4040" s="545">
        <v>12.7</v>
      </c>
      <c r="H4040" s="545">
        <v>3</v>
      </c>
      <c r="I4040" s="545">
        <v>4.666666666666667</v>
      </c>
      <c r="J4040" s="545">
        <v>10.166666666666668</v>
      </c>
    </row>
    <row r="4041" spans="1:10">
      <c r="A4041" s="441">
        <v>76</v>
      </c>
      <c r="B4041" s="441" t="s">
        <v>3940</v>
      </c>
      <c r="C4041" s="545">
        <v>3549.8333333333335</v>
      </c>
      <c r="D4041" s="545">
        <v>1970.6666666666665</v>
      </c>
      <c r="E4041" s="545">
        <v>1556.6666666666665</v>
      </c>
      <c r="F4041" s="545">
        <v>3039.5000000000005</v>
      </c>
      <c r="G4041" s="545">
        <v>2497.6</v>
      </c>
      <c r="H4041" s="545">
        <v>1727.6666666666667</v>
      </c>
      <c r="I4041" s="545">
        <v>1482</v>
      </c>
      <c r="J4041" s="545">
        <v>2242.5238095238096</v>
      </c>
    </row>
    <row r="4042" spans="1:10">
      <c r="A4042" s="441">
        <v>11814</v>
      </c>
      <c r="B4042" s="441" t="s">
        <v>3941</v>
      </c>
      <c r="C4042" s="545">
        <v>16.833333333333332</v>
      </c>
      <c r="D4042" s="545">
        <v>13</v>
      </c>
      <c r="E4042" s="545">
        <v>12.333333333333332</v>
      </c>
      <c r="F4042" s="545">
        <v>15.642857142857141</v>
      </c>
      <c r="G4042" s="545">
        <v>9.15</v>
      </c>
      <c r="H4042" s="545">
        <v>9.3333333333333339</v>
      </c>
      <c r="I4042" s="545">
        <v>5.666666666666667</v>
      </c>
      <c r="J4042" s="545">
        <v>8.6785714285714288</v>
      </c>
    </row>
    <row r="4043" spans="1:10">
      <c r="A4043" s="441">
        <v>8871</v>
      </c>
      <c r="B4043" s="441" t="s">
        <v>3942</v>
      </c>
      <c r="C4043" s="545">
        <v>6.5</v>
      </c>
      <c r="D4043" s="545">
        <v>4</v>
      </c>
      <c r="E4043" s="545">
        <v>1.3333333333333333</v>
      </c>
      <c r="F4043" s="545">
        <v>5.4047619047619051</v>
      </c>
      <c r="G4043" s="545">
        <v>5.05</v>
      </c>
      <c r="H4043" s="545">
        <v>2.3333333333333335</v>
      </c>
      <c r="I4043" s="545">
        <v>1.6666666666666667</v>
      </c>
      <c r="J4043" s="545">
        <v>4.1785714285714288</v>
      </c>
    </row>
    <row r="4044" spans="1:10">
      <c r="A4044" s="441">
        <v>12781</v>
      </c>
      <c r="B4044" s="441" t="s">
        <v>3943</v>
      </c>
      <c r="C4044" s="545">
        <v>15.666666666666668</v>
      </c>
      <c r="D4044" s="545">
        <v>16.666666666666664</v>
      </c>
      <c r="E4044" s="545">
        <v>11</v>
      </c>
      <c r="F4044" s="545">
        <v>15.142857142857142</v>
      </c>
      <c r="G4044" s="545">
        <v>9.75</v>
      </c>
      <c r="H4044" s="545">
        <v>6</v>
      </c>
      <c r="I4044" s="545">
        <v>6</v>
      </c>
      <c r="J4044" s="545">
        <v>8.6785714285714288</v>
      </c>
    </row>
    <row r="4045" spans="1:10">
      <c r="A4045" s="441">
        <v>12800</v>
      </c>
      <c r="B4045" s="441" t="s">
        <v>3943</v>
      </c>
      <c r="C4045" s="545">
        <v>26.166666666666668</v>
      </c>
      <c r="D4045" s="545">
        <v>17</v>
      </c>
      <c r="E4045" s="545">
        <v>12.333333333333334</v>
      </c>
      <c r="F4045" s="545">
        <v>22.880952380952383</v>
      </c>
      <c r="G4045" s="545">
        <v>11.8</v>
      </c>
      <c r="H4045" s="545">
        <v>6</v>
      </c>
      <c r="I4045" s="545">
        <v>8</v>
      </c>
      <c r="J4045" s="545">
        <v>10.428571428571429</v>
      </c>
    </row>
    <row r="4046" spans="1:10">
      <c r="A4046" s="441">
        <v>8369</v>
      </c>
      <c r="B4046" s="441" t="s">
        <v>3944</v>
      </c>
      <c r="C4046" s="545">
        <v>9.5</v>
      </c>
      <c r="D4046" s="545">
        <v>7.6666666666666661</v>
      </c>
      <c r="E4046" s="545">
        <v>6</v>
      </c>
      <c r="F4046" s="545">
        <v>8.7380952380952372</v>
      </c>
      <c r="G4046" s="545">
        <v>7.75</v>
      </c>
      <c r="H4046" s="545">
        <v>6.333333333333333</v>
      </c>
      <c r="I4046" s="545">
        <v>3</v>
      </c>
      <c r="J4046" s="545">
        <v>6.8690476190476195</v>
      </c>
    </row>
    <row r="4047" spans="1:10">
      <c r="A4047" s="441">
        <v>12802</v>
      </c>
      <c r="B4047" s="441" t="s">
        <v>3945</v>
      </c>
      <c r="C4047" s="545">
        <v>4.1666666666666661</v>
      </c>
      <c r="D4047" s="545">
        <v>1.6666666666666665</v>
      </c>
      <c r="E4047" s="545">
        <v>1</v>
      </c>
      <c r="F4047" s="545">
        <v>3.3571428571428568</v>
      </c>
      <c r="G4047" s="545">
        <v>2.9</v>
      </c>
      <c r="H4047" s="545">
        <v>0.66666666666666663</v>
      </c>
      <c r="I4047" s="545">
        <v>0.33333333333333331</v>
      </c>
      <c r="J4047" s="545">
        <v>2.2142857142857144</v>
      </c>
    </row>
    <row r="4048" spans="1:10">
      <c r="A4048" s="441">
        <v>8255</v>
      </c>
      <c r="B4048" s="441" t="s">
        <v>3946</v>
      </c>
      <c r="C4048" s="545">
        <v>17.333333333333332</v>
      </c>
      <c r="D4048" s="545">
        <v>8.6666666666666679</v>
      </c>
      <c r="E4048" s="545">
        <v>10.666666666666668</v>
      </c>
      <c r="F4048" s="545">
        <v>15.142857142857142</v>
      </c>
      <c r="G4048" s="545">
        <v>16.5</v>
      </c>
      <c r="H4048" s="545">
        <v>8.6666666666666661</v>
      </c>
      <c r="I4048" s="545">
        <v>10.333333333333334</v>
      </c>
      <c r="J4048" s="545">
        <v>14.5</v>
      </c>
    </row>
    <row r="4049" spans="1:10">
      <c r="A4049" s="441">
        <v>12788</v>
      </c>
      <c r="B4049" s="441" t="s">
        <v>3947</v>
      </c>
      <c r="C4049" s="545">
        <v>1.5</v>
      </c>
      <c r="D4049" s="545">
        <v>0.33333333333333331</v>
      </c>
      <c r="E4049" s="545">
        <v>0</v>
      </c>
      <c r="F4049" s="545">
        <v>1.1190476190476191</v>
      </c>
      <c r="G4049" s="545">
        <v>0.95</v>
      </c>
      <c r="H4049" s="545">
        <v>0.66666666666666663</v>
      </c>
      <c r="I4049" s="545">
        <v>1.6666666666666667</v>
      </c>
      <c r="J4049" s="545">
        <v>1.0119047619047621</v>
      </c>
    </row>
    <row r="4050" spans="1:10">
      <c r="A4050" s="441">
        <v>12792</v>
      </c>
      <c r="B4050" s="441" t="s">
        <v>3947</v>
      </c>
      <c r="C4050" s="545">
        <v>3.666666666666667</v>
      </c>
      <c r="D4050" s="545">
        <v>1.6666666666666667</v>
      </c>
      <c r="E4050" s="545">
        <v>1</v>
      </c>
      <c r="F4050" s="545">
        <v>3.0000000000000004</v>
      </c>
      <c r="G4050" s="545">
        <v>0.7</v>
      </c>
      <c r="H4050" s="545">
        <v>0</v>
      </c>
      <c r="I4050" s="545">
        <v>0</v>
      </c>
      <c r="J4050" s="545">
        <v>0.5</v>
      </c>
    </row>
    <row r="4051" spans="1:10">
      <c r="A4051" s="441">
        <v>8375</v>
      </c>
      <c r="B4051" s="441" t="s">
        <v>3948</v>
      </c>
      <c r="C4051" s="545">
        <v>3.833333333333333</v>
      </c>
      <c r="D4051" s="545">
        <v>5</v>
      </c>
      <c r="E4051" s="545">
        <v>5.333333333333333</v>
      </c>
      <c r="F4051" s="545">
        <v>4.2142857142857135</v>
      </c>
      <c r="G4051" s="545">
        <v>4.55</v>
      </c>
      <c r="H4051" s="545">
        <v>2</v>
      </c>
      <c r="I4051" s="545">
        <v>2.3333333333333335</v>
      </c>
      <c r="J4051" s="545">
        <v>3.8690476190476191</v>
      </c>
    </row>
    <row r="4052" spans="1:10">
      <c r="A4052" s="441">
        <v>12784</v>
      </c>
      <c r="B4052" s="441" t="s">
        <v>3949</v>
      </c>
      <c r="C4052" s="545">
        <v>13.666666666666666</v>
      </c>
      <c r="D4052" s="545">
        <v>12</v>
      </c>
      <c r="E4052" s="545">
        <v>12.333333333333332</v>
      </c>
      <c r="F4052" s="545">
        <v>13.238095238095237</v>
      </c>
      <c r="G4052" s="545">
        <v>11.6</v>
      </c>
      <c r="H4052" s="545">
        <v>7</v>
      </c>
      <c r="I4052" s="545">
        <v>7</v>
      </c>
      <c r="J4052" s="545">
        <v>10.285714285714286</v>
      </c>
    </row>
    <row r="4053" spans="1:10">
      <c r="A4053" s="441">
        <v>12783</v>
      </c>
      <c r="B4053" s="441" t="s">
        <v>3950</v>
      </c>
      <c r="C4053" s="545">
        <v>1.8333333333333333</v>
      </c>
      <c r="D4053" s="545">
        <v>2.333333333333333</v>
      </c>
      <c r="E4053" s="545">
        <v>0</v>
      </c>
      <c r="F4053" s="545">
        <v>1.6428571428571428</v>
      </c>
      <c r="G4053" s="545">
        <v>2.4500000000000002</v>
      </c>
      <c r="H4053" s="545">
        <v>0.33333333333333331</v>
      </c>
      <c r="I4053" s="545">
        <v>0.66666666666666663</v>
      </c>
      <c r="J4053" s="545">
        <v>1.8928571428571428</v>
      </c>
    </row>
    <row r="4054" spans="1:10">
      <c r="A4054" s="441">
        <v>12796</v>
      </c>
      <c r="B4054" s="441" t="s">
        <v>3951</v>
      </c>
      <c r="C4054" s="545">
        <v>16.333333333333332</v>
      </c>
      <c r="D4054" s="545">
        <v>6.666666666666667</v>
      </c>
      <c r="E4054" s="545">
        <v>4</v>
      </c>
      <c r="F4054" s="545">
        <v>13.19047619047619</v>
      </c>
      <c r="G4054" s="545">
        <v>8.5</v>
      </c>
      <c r="H4054" s="545">
        <v>1</v>
      </c>
      <c r="I4054" s="545">
        <v>1.3333333333333333</v>
      </c>
      <c r="J4054" s="545">
        <v>6.4047619047619051</v>
      </c>
    </row>
    <row r="4055" spans="1:10">
      <c r="A4055" s="441">
        <v>12787</v>
      </c>
      <c r="B4055" s="441" t="s">
        <v>3952</v>
      </c>
      <c r="C4055" s="545">
        <v>1.6666666666666665</v>
      </c>
      <c r="D4055" s="545">
        <v>3.3333333333333335</v>
      </c>
      <c r="E4055" s="545">
        <v>2.6666666666666665</v>
      </c>
      <c r="F4055" s="545">
        <v>2.0476190476190474</v>
      </c>
      <c r="G4055" s="545">
        <v>0.4</v>
      </c>
      <c r="H4055" s="545">
        <v>0</v>
      </c>
      <c r="I4055" s="545">
        <v>0</v>
      </c>
      <c r="J4055" s="545">
        <v>0.2857142857142857</v>
      </c>
    </row>
    <row r="4056" spans="1:10">
      <c r="A4056" s="441">
        <v>8371</v>
      </c>
      <c r="B4056" s="441" t="s">
        <v>3953</v>
      </c>
      <c r="C4056" s="545">
        <v>30</v>
      </c>
      <c r="D4056" s="545">
        <v>23.333333333333336</v>
      </c>
      <c r="E4056" s="545">
        <v>17.333333333333332</v>
      </c>
      <c r="F4056" s="545">
        <v>27.238095238095241</v>
      </c>
      <c r="G4056" s="545">
        <v>24.45</v>
      </c>
      <c r="H4056" s="545">
        <v>11.666666666666666</v>
      </c>
      <c r="I4056" s="545">
        <v>15</v>
      </c>
      <c r="J4056" s="545">
        <v>21.273809523809522</v>
      </c>
    </row>
    <row r="4057" spans="1:10">
      <c r="A4057" s="441">
        <v>8357</v>
      </c>
      <c r="B4057" s="441" t="s">
        <v>3954</v>
      </c>
      <c r="C4057" s="545">
        <v>25</v>
      </c>
      <c r="D4057" s="545">
        <v>10.333333333333332</v>
      </c>
      <c r="E4057" s="545">
        <v>7</v>
      </c>
      <c r="F4057" s="545">
        <v>20.333333333333336</v>
      </c>
      <c r="G4057" s="545">
        <v>13.9</v>
      </c>
      <c r="H4057" s="545">
        <v>12.666666666666666</v>
      </c>
      <c r="I4057" s="545">
        <v>8.3333333333333339</v>
      </c>
      <c r="J4057" s="545">
        <v>12.928571428571429</v>
      </c>
    </row>
    <row r="4058" spans="1:10">
      <c r="A4058" s="441">
        <v>8361</v>
      </c>
      <c r="B4058" s="441" t="s">
        <v>3954</v>
      </c>
      <c r="C4058" s="545">
        <v>167.83333333333331</v>
      </c>
      <c r="D4058" s="545">
        <v>162.33333333333334</v>
      </c>
      <c r="E4058" s="545">
        <v>138.33333333333334</v>
      </c>
      <c r="F4058" s="545">
        <v>162.83333333333331</v>
      </c>
      <c r="G4058" s="545">
        <v>91.3</v>
      </c>
      <c r="H4058" s="545">
        <v>69.666666666666671</v>
      </c>
      <c r="I4058" s="545">
        <v>60.666666666666664</v>
      </c>
      <c r="J4058" s="545">
        <v>83.833333333333329</v>
      </c>
    </row>
    <row r="4059" spans="1:10">
      <c r="A4059" s="441">
        <v>12786</v>
      </c>
      <c r="B4059" s="441" t="s">
        <v>3954</v>
      </c>
      <c r="C4059" s="545">
        <v>35.666666666666671</v>
      </c>
      <c r="D4059" s="545">
        <v>26</v>
      </c>
      <c r="E4059" s="545">
        <v>19.333333333333332</v>
      </c>
      <c r="F4059" s="545">
        <v>31.95238095238096</v>
      </c>
      <c r="G4059" s="545">
        <v>22.4</v>
      </c>
      <c r="H4059" s="545">
        <v>11.333333333333334</v>
      </c>
      <c r="I4059" s="545">
        <v>6.666666666666667</v>
      </c>
      <c r="J4059" s="545">
        <v>18.571428571428573</v>
      </c>
    </row>
    <row r="4060" spans="1:10">
      <c r="A4060" s="441">
        <v>13132</v>
      </c>
      <c r="B4060" s="441" t="s">
        <v>3954</v>
      </c>
      <c r="C4060" s="545">
        <v>8.3333333333333339</v>
      </c>
      <c r="D4060" s="545">
        <v>6</v>
      </c>
      <c r="E4060" s="545">
        <v>5.333333333333333</v>
      </c>
      <c r="F4060" s="545">
        <v>7.5714285714285721</v>
      </c>
      <c r="G4060" s="545">
        <v>9.15</v>
      </c>
      <c r="H4060" s="545">
        <v>6</v>
      </c>
      <c r="I4060" s="545">
        <v>4.333333333333333</v>
      </c>
      <c r="J4060" s="545">
        <v>8.0119047619047628</v>
      </c>
    </row>
    <row r="4061" spans="1:10">
      <c r="A4061" s="441">
        <v>12798</v>
      </c>
      <c r="B4061" s="441" t="s">
        <v>3955</v>
      </c>
      <c r="C4061" s="545">
        <v>1.6666666666666667</v>
      </c>
      <c r="D4061" s="545">
        <v>0.33333333333333331</v>
      </c>
      <c r="E4061" s="545">
        <v>0</v>
      </c>
      <c r="F4061" s="545">
        <v>1.2380952380952384</v>
      </c>
      <c r="G4061" s="545">
        <v>0.75</v>
      </c>
      <c r="H4061" s="545">
        <v>1</v>
      </c>
      <c r="I4061" s="545">
        <v>0</v>
      </c>
      <c r="J4061" s="545">
        <v>0.6785714285714286</v>
      </c>
    </row>
    <row r="4062" spans="1:10">
      <c r="A4062" s="441">
        <v>11270</v>
      </c>
      <c r="B4062" s="441" t="s">
        <v>3956</v>
      </c>
      <c r="C4062" s="545">
        <v>25.166666666666664</v>
      </c>
      <c r="D4062" s="545">
        <v>10.333333333333334</v>
      </c>
      <c r="E4062" s="545">
        <v>7.3333333333333339</v>
      </c>
      <c r="F4062" s="545">
        <v>20.5</v>
      </c>
      <c r="G4062" s="545">
        <v>11.9</v>
      </c>
      <c r="H4062" s="545">
        <v>3</v>
      </c>
      <c r="I4062" s="545">
        <v>2.3333333333333335</v>
      </c>
      <c r="J4062" s="545">
        <v>9.261904761904761</v>
      </c>
    </row>
    <row r="4063" spans="1:10">
      <c r="A4063" s="441">
        <v>8366</v>
      </c>
      <c r="B4063" s="441" t="s">
        <v>3957</v>
      </c>
      <c r="C4063" s="545">
        <v>40.666666666666671</v>
      </c>
      <c r="D4063" s="545">
        <v>30</v>
      </c>
      <c r="E4063" s="545">
        <v>15.666666666666666</v>
      </c>
      <c r="F4063" s="545">
        <v>35.571428571428577</v>
      </c>
      <c r="G4063" s="545">
        <v>12.85</v>
      </c>
      <c r="H4063" s="545">
        <v>6</v>
      </c>
      <c r="I4063" s="545">
        <v>11</v>
      </c>
      <c r="J4063" s="545">
        <v>11.607142857142858</v>
      </c>
    </row>
    <row r="4064" spans="1:10">
      <c r="A4064" s="441">
        <v>12795</v>
      </c>
      <c r="B4064" s="441" t="s">
        <v>3957</v>
      </c>
      <c r="C4064" s="545">
        <v>6</v>
      </c>
      <c r="D4064" s="545">
        <v>5.3333333333333339</v>
      </c>
      <c r="E4064" s="545">
        <v>4</v>
      </c>
      <c r="F4064" s="545">
        <v>5.6190476190476195</v>
      </c>
      <c r="G4064" s="545">
        <v>2.35</v>
      </c>
      <c r="H4064" s="545">
        <v>0.33333333333333331</v>
      </c>
      <c r="I4064" s="545">
        <v>0.66666666666666663</v>
      </c>
      <c r="J4064" s="545">
        <v>1.8214285714285714</v>
      </c>
    </row>
    <row r="4065" spans="1:10">
      <c r="A4065" s="441">
        <v>8376</v>
      </c>
      <c r="B4065" s="441" t="s">
        <v>3958</v>
      </c>
      <c r="C4065" s="545">
        <v>10.5</v>
      </c>
      <c r="D4065" s="545">
        <v>6</v>
      </c>
      <c r="E4065" s="545">
        <v>6.333333333333333</v>
      </c>
      <c r="F4065" s="545">
        <v>9.261904761904761</v>
      </c>
      <c r="G4065" s="545">
        <v>4.25</v>
      </c>
      <c r="H4065" s="545">
        <v>0.33333333333333331</v>
      </c>
      <c r="I4065" s="545">
        <v>5.666666666666667</v>
      </c>
      <c r="J4065" s="545">
        <v>3.8928571428571428</v>
      </c>
    </row>
    <row r="4066" spans="1:10">
      <c r="A4066" s="441">
        <v>8370</v>
      </c>
      <c r="B4066" s="441" t="s">
        <v>3959</v>
      </c>
      <c r="C4066" s="545">
        <v>14.833333333333334</v>
      </c>
      <c r="D4066" s="545">
        <v>12.333333333333334</v>
      </c>
      <c r="E4066" s="545">
        <v>11.666666666666668</v>
      </c>
      <c r="F4066" s="545">
        <v>14.023809523809524</v>
      </c>
      <c r="G4066" s="545">
        <v>6.65</v>
      </c>
      <c r="H4066" s="545">
        <v>3.3333333333333335</v>
      </c>
      <c r="I4066" s="545">
        <v>4</v>
      </c>
      <c r="J4066" s="545">
        <v>5.7976190476190483</v>
      </c>
    </row>
    <row r="4067" spans="1:10">
      <c r="A4067" s="441">
        <v>11269</v>
      </c>
      <c r="B4067" s="441" t="s">
        <v>3960</v>
      </c>
      <c r="C4067" s="545">
        <v>4</v>
      </c>
      <c r="D4067" s="545">
        <v>2</v>
      </c>
      <c r="E4067" s="545">
        <v>2.666666666666667</v>
      </c>
      <c r="F4067" s="545">
        <v>3.5238095238095242</v>
      </c>
      <c r="G4067" s="545">
        <v>3.6</v>
      </c>
      <c r="H4067" s="545">
        <v>1.6666666666666667</v>
      </c>
      <c r="I4067" s="545">
        <v>0</v>
      </c>
      <c r="J4067" s="545">
        <v>2.8095238095238098</v>
      </c>
    </row>
    <row r="4068" spans="1:10">
      <c r="A4068" s="441">
        <v>12790</v>
      </c>
      <c r="B4068" s="441" t="s">
        <v>3961</v>
      </c>
      <c r="C4068" s="545">
        <v>12.166666666666668</v>
      </c>
      <c r="D4068" s="545">
        <v>12.333333333333334</v>
      </c>
      <c r="E4068" s="545">
        <v>7.3333333333333339</v>
      </c>
      <c r="F4068" s="545">
        <v>11.5</v>
      </c>
      <c r="G4068" s="545">
        <v>10.55</v>
      </c>
      <c r="H4068" s="545">
        <v>7.333333333333333</v>
      </c>
      <c r="I4068" s="545">
        <v>3.3333333333333335</v>
      </c>
      <c r="J4068" s="545">
        <v>9.0595238095238102</v>
      </c>
    </row>
    <row r="4069" spans="1:10">
      <c r="A4069" s="441">
        <v>8372</v>
      </c>
      <c r="B4069" s="441" t="s">
        <v>3962</v>
      </c>
      <c r="C4069" s="545">
        <v>5.1666666666666661</v>
      </c>
      <c r="D4069" s="545">
        <v>2.6666666666666665</v>
      </c>
      <c r="E4069" s="545">
        <v>0.66666666666666663</v>
      </c>
      <c r="F4069" s="545">
        <v>4.1666666666666661</v>
      </c>
      <c r="G4069" s="545">
        <v>4.1500000000000004</v>
      </c>
      <c r="H4069" s="545">
        <v>1</v>
      </c>
      <c r="I4069" s="545">
        <v>1.3333333333333333</v>
      </c>
      <c r="J4069" s="545">
        <v>3.2976190476190474</v>
      </c>
    </row>
    <row r="4070" spans="1:10">
      <c r="A4070" s="441">
        <v>2443</v>
      </c>
      <c r="B4070" s="441" t="s">
        <v>3963</v>
      </c>
      <c r="C4070" s="545">
        <v>7.333333333333333</v>
      </c>
      <c r="D4070" s="545">
        <v>4.333333333333333</v>
      </c>
      <c r="E4070" s="545">
        <v>4.3333333333333339</v>
      </c>
      <c r="F4070" s="545">
        <v>6.4761904761904763</v>
      </c>
      <c r="G4070" s="545">
        <v>19.2</v>
      </c>
      <c r="H4070" s="545">
        <v>10</v>
      </c>
      <c r="I4070" s="545">
        <v>2.3333333333333335</v>
      </c>
      <c r="J4070" s="545">
        <v>15.476190476190476</v>
      </c>
    </row>
    <row r="4071" spans="1:10">
      <c r="A4071" s="441">
        <v>12378</v>
      </c>
      <c r="B4071" s="441" t="s">
        <v>3964</v>
      </c>
      <c r="C4071" s="545">
        <v>0.66666666666666663</v>
      </c>
      <c r="D4071" s="545">
        <v>2</v>
      </c>
      <c r="E4071" s="545">
        <v>0</v>
      </c>
      <c r="F4071" s="545">
        <v>0.76190476190476186</v>
      </c>
      <c r="G4071" s="545">
        <v>1.1499999999999999</v>
      </c>
      <c r="H4071" s="545">
        <v>0</v>
      </c>
      <c r="I4071" s="545">
        <v>0</v>
      </c>
      <c r="J4071" s="545">
        <v>0.8214285714285714</v>
      </c>
    </row>
    <row r="4072" spans="1:10">
      <c r="A4072" s="441">
        <v>12379</v>
      </c>
      <c r="B4072" s="441" t="s">
        <v>3964</v>
      </c>
      <c r="C4072" s="545">
        <v>1.6666666666666665</v>
      </c>
      <c r="D4072" s="545">
        <v>0</v>
      </c>
      <c r="E4072" s="545">
        <v>0</v>
      </c>
      <c r="F4072" s="545">
        <v>1.1904761904761902</v>
      </c>
      <c r="G4072" s="545">
        <v>0.15</v>
      </c>
      <c r="H4072" s="545">
        <v>0</v>
      </c>
      <c r="I4072" s="545">
        <v>0</v>
      </c>
      <c r="J4072" s="545">
        <v>0.10714285714285714</v>
      </c>
    </row>
    <row r="4073" spans="1:10">
      <c r="A4073" s="441">
        <v>12380</v>
      </c>
      <c r="B4073" s="441" t="s">
        <v>3965</v>
      </c>
      <c r="C4073" s="545">
        <v>9.3333333333333339</v>
      </c>
      <c r="D4073" s="545">
        <v>4.333333333333333</v>
      </c>
      <c r="E4073" s="545">
        <v>6</v>
      </c>
      <c r="F4073" s="545">
        <v>8.1428571428571441</v>
      </c>
      <c r="G4073" s="545">
        <v>8.35</v>
      </c>
      <c r="H4073" s="545">
        <v>4</v>
      </c>
      <c r="I4073" s="545">
        <v>3.6666666666666665</v>
      </c>
      <c r="J4073" s="545">
        <v>7.0595238095238093</v>
      </c>
    </row>
    <row r="4074" spans="1:10">
      <c r="A4074" s="441">
        <v>12381</v>
      </c>
      <c r="B4074" s="441" t="s">
        <v>3965</v>
      </c>
      <c r="C4074" s="545">
        <v>10.333333333333334</v>
      </c>
      <c r="D4074" s="545">
        <v>8</v>
      </c>
      <c r="E4074" s="545">
        <v>3.3333333333333335</v>
      </c>
      <c r="F4074" s="545">
        <v>9.0000000000000018</v>
      </c>
      <c r="G4074" s="545">
        <v>9.1999999999999993</v>
      </c>
      <c r="H4074" s="545">
        <v>12</v>
      </c>
      <c r="I4074" s="545">
        <v>4.666666666666667</v>
      </c>
      <c r="J4074" s="545">
        <v>8.9523809523809526</v>
      </c>
    </row>
    <row r="4075" spans="1:10">
      <c r="A4075" s="441">
        <v>8374</v>
      </c>
      <c r="B4075" s="441" t="s">
        <v>3966</v>
      </c>
      <c r="C4075" s="545">
        <v>9.3333333333333321</v>
      </c>
      <c r="D4075" s="545">
        <v>7</v>
      </c>
      <c r="E4075" s="545">
        <v>4.333333333333333</v>
      </c>
      <c r="F4075" s="545">
        <v>8.2857142857142847</v>
      </c>
      <c r="G4075" s="545">
        <v>5.6</v>
      </c>
      <c r="H4075" s="545">
        <v>5.333333333333333</v>
      </c>
      <c r="I4075" s="545">
        <v>3.3333333333333335</v>
      </c>
      <c r="J4075" s="545">
        <v>5.238095238095239</v>
      </c>
    </row>
    <row r="4076" spans="1:10">
      <c r="A4076" s="441">
        <v>11397</v>
      </c>
      <c r="B4076" s="441" t="s">
        <v>3966</v>
      </c>
      <c r="C4076" s="545">
        <v>26.833333333333336</v>
      </c>
      <c r="D4076" s="545">
        <v>24.666666666666664</v>
      </c>
      <c r="E4076" s="545">
        <v>15.333333333333332</v>
      </c>
      <c r="F4076" s="545">
        <v>24.880952380952383</v>
      </c>
      <c r="G4076" s="545">
        <v>30.75</v>
      </c>
      <c r="H4076" s="545">
        <v>47.333333333333336</v>
      </c>
      <c r="I4076" s="545">
        <v>22.666666666666668</v>
      </c>
      <c r="J4076" s="545">
        <v>31.964285714285715</v>
      </c>
    </row>
    <row r="4077" spans="1:10">
      <c r="A4077" s="441">
        <v>12801</v>
      </c>
      <c r="B4077" s="441" t="s">
        <v>3966</v>
      </c>
      <c r="C4077" s="545">
        <v>23</v>
      </c>
      <c r="D4077" s="545">
        <v>20.666666666666668</v>
      </c>
      <c r="E4077" s="545">
        <v>13</v>
      </c>
      <c r="F4077" s="545">
        <v>21.238095238095237</v>
      </c>
      <c r="G4077" s="545">
        <v>17.25</v>
      </c>
      <c r="H4077" s="545">
        <v>15</v>
      </c>
      <c r="I4077" s="545">
        <v>14.333333333333334</v>
      </c>
      <c r="J4077" s="545">
        <v>16.511904761904763</v>
      </c>
    </row>
    <row r="4078" spans="1:10">
      <c r="A4078" s="441">
        <v>12376</v>
      </c>
      <c r="B4078" s="441" t="s">
        <v>3967</v>
      </c>
      <c r="C4078" s="545">
        <v>4.833333333333333</v>
      </c>
      <c r="D4078" s="545">
        <v>3</v>
      </c>
      <c r="E4078" s="545">
        <v>3.333333333333333</v>
      </c>
      <c r="F4078" s="545">
        <v>4.3571428571428568</v>
      </c>
      <c r="G4078" s="545">
        <v>1.3</v>
      </c>
      <c r="H4078" s="545">
        <v>0.66666666666666663</v>
      </c>
      <c r="I4078" s="545">
        <v>0.33333333333333331</v>
      </c>
      <c r="J4078" s="545">
        <v>1.0714285714285714</v>
      </c>
    </row>
    <row r="4079" spans="1:10">
      <c r="A4079" s="441">
        <v>12377</v>
      </c>
      <c r="B4079" s="441" t="s">
        <v>3967</v>
      </c>
      <c r="C4079" s="545">
        <v>0.83333333333333326</v>
      </c>
      <c r="D4079" s="545">
        <v>0.33333333333333331</v>
      </c>
      <c r="E4079" s="545">
        <v>0</v>
      </c>
      <c r="F4079" s="545">
        <v>0.64285714285714268</v>
      </c>
      <c r="G4079" s="545">
        <v>0.5</v>
      </c>
      <c r="H4079" s="545">
        <v>0</v>
      </c>
      <c r="I4079" s="545">
        <v>1.6666666666666667</v>
      </c>
      <c r="J4079" s="545">
        <v>0.59523809523809523</v>
      </c>
    </row>
    <row r="4080" spans="1:10">
      <c r="A4080" s="441">
        <v>8356</v>
      </c>
      <c r="B4080" s="441" t="s">
        <v>3968</v>
      </c>
      <c r="C4080" s="545">
        <v>16.666666666666668</v>
      </c>
      <c r="D4080" s="545">
        <v>14.666666666666666</v>
      </c>
      <c r="E4080" s="545">
        <v>7.666666666666667</v>
      </c>
      <c r="F4080" s="545">
        <v>15.095238095238098</v>
      </c>
      <c r="G4080" s="545">
        <v>8.1999999999999993</v>
      </c>
      <c r="H4080" s="545">
        <v>6</v>
      </c>
      <c r="I4080" s="545">
        <v>1.3333333333333333</v>
      </c>
      <c r="J4080" s="545">
        <v>6.9047619047619051</v>
      </c>
    </row>
    <row r="4081" spans="1:10">
      <c r="A4081" s="441">
        <v>8920</v>
      </c>
      <c r="B4081" s="441" t="s">
        <v>3969</v>
      </c>
      <c r="C4081" s="545">
        <v>9.5</v>
      </c>
      <c r="D4081" s="545">
        <v>6.666666666666667</v>
      </c>
      <c r="E4081" s="545">
        <v>4.333333333333333</v>
      </c>
      <c r="F4081" s="545">
        <v>8.3571428571428577</v>
      </c>
      <c r="G4081" s="545">
        <v>5.75</v>
      </c>
      <c r="H4081" s="545">
        <v>3.6666666666666665</v>
      </c>
      <c r="I4081" s="545">
        <v>4</v>
      </c>
      <c r="J4081" s="545">
        <v>5.2023809523809517</v>
      </c>
    </row>
    <row r="4082" spans="1:10">
      <c r="A4082" s="441">
        <v>12999</v>
      </c>
      <c r="B4082" s="441" t="s">
        <v>3970</v>
      </c>
      <c r="C4082" s="545">
        <v>3.1666666666666665</v>
      </c>
      <c r="D4082" s="545">
        <v>1.3333333333333333</v>
      </c>
      <c r="E4082" s="545">
        <v>2</v>
      </c>
      <c r="F4082" s="545">
        <v>2.7380952380952377</v>
      </c>
      <c r="G4082" s="545">
        <v>3</v>
      </c>
      <c r="H4082" s="545">
        <v>2.3333333333333335</v>
      </c>
      <c r="I4082" s="545">
        <v>0.66666666666666663</v>
      </c>
      <c r="J4082" s="545">
        <v>2.5714285714285716</v>
      </c>
    </row>
    <row r="4083" spans="1:10">
      <c r="A4083" s="441">
        <v>12793</v>
      </c>
      <c r="B4083" s="441" t="s">
        <v>3971</v>
      </c>
      <c r="C4083" s="545">
        <v>0.83333333333333326</v>
      </c>
      <c r="D4083" s="545">
        <v>0.66666666666666663</v>
      </c>
      <c r="E4083" s="545">
        <v>0</v>
      </c>
      <c r="F4083" s="545">
        <v>0.69047619047619047</v>
      </c>
      <c r="G4083" s="545">
        <v>0.85</v>
      </c>
      <c r="H4083" s="545">
        <v>0.33333333333333331</v>
      </c>
      <c r="I4083" s="545">
        <v>0.33333333333333331</v>
      </c>
      <c r="J4083" s="545">
        <v>0.70238095238095233</v>
      </c>
    </row>
    <row r="4084" spans="1:10">
      <c r="A4084" s="441">
        <v>12791</v>
      </c>
      <c r="B4084" s="441" t="s">
        <v>3972</v>
      </c>
      <c r="C4084" s="545">
        <v>12.333333333333334</v>
      </c>
      <c r="D4084" s="545">
        <v>3.3333333333333335</v>
      </c>
      <c r="E4084" s="545">
        <v>5.333333333333333</v>
      </c>
      <c r="F4084" s="545">
        <v>10.047619047619047</v>
      </c>
      <c r="G4084" s="545">
        <v>8.4499999999999993</v>
      </c>
      <c r="H4084" s="545">
        <v>7.333333333333333</v>
      </c>
      <c r="I4084" s="545">
        <v>3</v>
      </c>
      <c r="J4084" s="545">
        <v>7.5119047619047619</v>
      </c>
    </row>
    <row r="4085" spans="1:10">
      <c r="A4085" s="441">
        <v>12782</v>
      </c>
      <c r="B4085" s="441" t="s">
        <v>3973</v>
      </c>
      <c r="C4085" s="545">
        <v>4.5</v>
      </c>
      <c r="D4085" s="545">
        <v>4</v>
      </c>
      <c r="E4085" s="545">
        <v>4.666666666666667</v>
      </c>
      <c r="F4085" s="545">
        <v>4.4523809523809526</v>
      </c>
      <c r="G4085" s="545">
        <v>4</v>
      </c>
      <c r="H4085" s="545">
        <v>3.3333333333333335</v>
      </c>
      <c r="I4085" s="545">
        <v>2</v>
      </c>
      <c r="J4085" s="545">
        <v>3.6190476190476191</v>
      </c>
    </row>
    <row r="4086" spans="1:10">
      <c r="A4086" s="441">
        <v>12799</v>
      </c>
      <c r="B4086" s="441" t="s">
        <v>3973</v>
      </c>
      <c r="C4086" s="545">
        <v>12.166666666666668</v>
      </c>
      <c r="D4086" s="545">
        <v>5.3333333333333339</v>
      </c>
      <c r="E4086" s="545">
        <v>6</v>
      </c>
      <c r="F4086" s="545">
        <v>10.30952380952381</v>
      </c>
      <c r="G4086" s="545">
        <v>9.6</v>
      </c>
      <c r="H4086" s="545">
        <v>4</v>
      </c>
      <c r="I4086" s="545">
        <v>4</v>
      </c>
      <c r="J4086" s="545">
        <v>8</v>
      </c>
    </row>
    <row r="4087" spans="1:10">
      <c r="A4087" s="441">
        <v>12906</v>
      </c>
      <c r="B4087" s="441" t="s">
        <v>3973</v>
      </c>
      <c r="C4087" s="545">
        <v>10.333333333333332</v>
      </c>
      <c r="D4087" s="545">
        <v>1.3333333333333333</v>
      </c>
      <c r="E4087" s="545">
        <v>2.3333333333333335</v>
      </c>
      <c r="F4087" s="545">
        <v>7.9047619047619042</v>
      </c>
      <c r="G4087" s="545">
        <v>7.05</v>
      </c>
      <c r="H4087" s="545">
        <v>4</v>
      </c>
      <c r="I4087" s="545">
        <v>3.6666666666666665</v>
      </c>
      <c r="J4087" s="545">
        <v>6.1309523809523805</v>
      </c>
    </row>
    <row r="4088" spans="1:10">
      <c r="A4088" s="441">
        <v>12785</v>
      </c>
      <c r="B4088" s="441" t="s">
        <v>3974</v>
      </c>
      <c r="C4088" s="545">
        <v>8.6666666666666661</v>
      </c>
      <c r="D4088" s="545">
        <v>8.6666666666666679</v>
      </c>
      <c r="E4088" s="545">
        <v>7</v>
      </c>
      <c r="F4088" s="545">
        <v>8.4285714285714288</v>
      </c>
      <c r="G4088" s="545">
        <v>7.55</v>
      </c>
      <c r="H4088" s="545">
        <v>7</v>
      </c>
      <c r="I4088" s="545">
        <v>4.333333333333333</v>
      </c>
      <c r="J4088" s="545">
        <v>7.0119047619047619</v>
      </c>
    </row>
    <row r="4089" spans="1:10">
      <c r="A4089" s="441">
        <v>12382</v>
      </c>
      <c r="B4089" s="441" t="s">
        <v>3975</v>
      </c>
      <c r="C4089" s="545">
        <v>3.166666666666667</v>
      </c>
      <c r="D4089" s="545">
        <v>4.333333333333333</v>
      </c>
      <c r="E4089" s="545">
        <v>5.6666666666666661</v>
      </c>
      <c r="F4089" s="545">
        <v>3.6904761904761907</v>
      </c>
      <c r="G4089" s="545">
        <v>4.2</v>
      </c>
      <c r="H4089" s="545">
        <v>5</v>
      </c>
      <c r="I4089" s="545">
        <v>3.3333333333333335</v>
      </c>
      <c r="J4089" s="545">
        <v>4.1904761904761907</v>
      </c>
    </row>
    <row r="4090" spans="1:10">
      <c r="A4090" s="441">
        <v>12383</v>
      </c>
      <c r="B4090" s="441" t="s">
        <v>3975</v>
      </c>
      <c r="C4090" s="545">
        <v>6.666666666666667</v>
      </c>
      <c r="D4090" s="545">
        <v>6</v>
      </c>
      <c r="E4090" s="545">
        <v>5</v>
      </c>
      <c r="F4090" s="545">
        <v>6.3333333333333339</v>
      </c>
      <c r="G4090" s="545">
        <v>4.05</v>
      </c>
      <c r="H4090" s="545">
        <v>2</v>
      </c>
      <c r="I4090" s="545">
        <v>3.3333333333333335</v>
      </c>
      <c r="J4090" s="545">
        <v>3.6547619047619047</v>
      </c>
    </row>
    <row r="4091" spans="1:10">
      <c r="A4091" s="441">
        <v>4441</v>
      </c>
      <c r="B4091" s="441" t="s">
        <v>3976</v>
      </c>
      <c r="C4091" s="545">
        <v>13.833333333333332</v>
      </c>
      <c r="D4091" s="545">
        <v>8.6666666666666661</v>
      </c>
      <c r="E4091" s="545">
        <v>9</v>
      </c>
      <c r="F4091" s="545">
        <v>12.404761904761903</v>
      </c>
      <c r="G4091" s="545">
        <v>9.9</v>
      </c>
      <c r="H4091" s="545">
        <v>5</v>
      </c>
      <c r="I4091" s="545">
        <v>5</v>
      </c>
      <c r="J4091" s="545">
        <v>8.5</v>
      </c>
    </row>
    <row r="4092" spans="1:10">
      <c r="A4092" s="441">
        <v>4433</v>
      </c>
      <c r="B4092" s="441" t="s">
        <v>3977</v>
      </c>
      <c r="C4092" s="545">
        <v>3.333333333333333</v>
      </c>
      <c r="D4092" s="545">
        <v>0.33333333333333331</v>
      </c>
      <c r="E4092" s="545">
        <v>0</v>
      </c>
      <c r="F4092" s="545">
        <v>2.4285714285714279</v>
      </c>
      <c r="G4092" s="545">
        <v>2.2999999999999998</v>
      </c>
      <c r="H4092" s="545">
        <v>0.66666666666666663</v>
      </c>
      <c r="I4092" s="545">
        <v>0.33333333333333331</v>
      </c>
      <c r="J4092" s="545">
        <v>1.7857142857142858</v>
      </c>
    </row>
    <row r="4093" spans="1:10">
      <c r="A4093" s="441">
        <v>4443</v>
      </c>
      <c r="B4093" s="441" t="s">
        <v>3977</v>
      </c>
      <c r="C4093" s="545">
        <v>3.5</v>
      </c>
      <c r="D4093" s="545">
        <v>0.33333333333333331</v>
      </c>
      <c r="E4093" s="545">
        <v>0</v>
      </c>
      <c r="F4093" s="545">
        <v>2.5476190476190474</v>
      </c>
      <c r="G4093" s="545">
        <v>5.0999999999999996</v>
      </c>
      <c r="H4093" s="545">
        <v>0.33333333333333331</v>
      </c>
      <c r="I4093" s="545">
        <v>0.33333333333333331</v>
      </c>
      <c r="J4093" s="545">
        <v>3.7380952380952377</v>
      </c>
    </row>
    <row r="4094" spans="1:10">
      <c r="A4094" s="441">
        <v>11352</v>
      </c>
      <c r="B4094" s="441" t="s">
        <v>3977</v>
      </c>
      <c r="C4094" s="545">
        <v>19.333333333333332</v>
      </c>
      <c r="D4094" s="545">
        <v>3.6666666666666665</v>
      </c>
      <c r="E4094" s="545">
        <v>2.6666666666666665</v>
      </c>
      <c r="F4094" s="545">
        <v>14.714285714285714</v>
      </c>
      <c r="G4094" s="545">
        <v>5.3</v>
      </c>
      <c r="H4094" s="545">
        <v>1.3333333333333333</v>
      </c>
      <c r="I4094" s="545">
        <v>2.3333333333333335</v>
      </c>
      <c r="J4094" s="545">
        <v>4.3095238095238093</v>
      </c>
    </row>
    <row r="4095" spans="1:10">
      <c r="A4095" s="441">
        <v>4436</v>
      </c>
      <c r="B4095" s="441" t="s">
        <v>3978</v>
      </c>
      <c r="C4095" s="545">
        <v>7.6666666666666661</v>
      </c>
      <c r="D4095" s="545">
        <v>8.6666666666666661</v>
      </c>
      <c r="E4095" s="545">
        <v>7.3333333333333339</v>
      </c>
      <c r="F4095" s="545">
        <v>7.761904761904761</v>
      </c>
      <c r="G4095" s="545">
        <v>4.5</v>
      </c>
      <c r="H4095" s="545">
        <v>4.333333333333333</v>
      </c>
      <c r="I4095" s="545">
        <v>2.3333333333333335</v>
      </c>
      <c r="J4095" s="545">
        <v>4.1666666666666661</v>
      </c>
    </row>
    <row r="4096" spans="1:10">
      <c r="A4096" s="441">
        <v>4440</v>
      </c>
      <c r="B4096" s="441" t="s">
        <v>3978</v>
      </c>
      <c r="C4096" s="545">
        <v>5.5</v>
      </c>
      <c r="D4096" s="545">
        <v>11</v>
      </c>
      <c r="E4096" s="545">
        <v>7</v>
      </c>
      <c r="F4096" s="545">
        <v>6.5</v>
      </c>
      <c r="G4096" s="545">
        <v>4.0999999999999996</v>
      </c>
      <c r="H4096" s="545">
        <v>1.6666666666666667</v>
      </c>
      <c r="I4096" s="545">
        <v>2.6666666666666665</v>
      </c>
      <c r="J4096" s="545">
        <v>3.5476190476190479</v>
      </c>
    </row>
    <row r="4097" spans="1:10">
      <c r="A4097" s="441">
        <v>2665</v>
      </c>
      <c r="B4097" s="441" t="s">
        <v>3979</v>
      </c>
      <c r="C4097" s="545">
        <v>0</v>
      </c>
      <c r="D4097" s="545">
        <v>0.33333333333333331</v>
      </c>
      <c r="E4097" s="545">
        <v>0</v>
      </c>
      <c r="F4097" s="545">
        <v>4.7619047619047616E-2</v>
      </c>
      <c r="G4097" s="545">
        <v>0.05</v>
      </c>
      <c r="H4097" s="545">
        <v>0</v>
      </c>
      <c r="I4097" s="545">
        <v>0.33333333333333331</v>
      </c>
      <c r="J4097" s="545">
        <v>8.3333333333333329E-2</v>
      </c>
    </row>
    <row r="4098" spans="1:10">
      <c r="A4098" s="441">
        <v>4434</v>
      </c>
      <c r="B4098" s="441" t="s">
        <v>3980</v>
      </c>
      <c r="C4098" s="545">
        <v>51.833333333333336</v>
      </c>
      <c r="D4098" s="545">
        <v>37</v>
      </c>
      <c r="E4098" s="545">
        <v>22.666666666666664</v>
      </c>
      <c r="F4098" s="545">
        <v>45.547619047619051</v>
      </c>
      <c r="G4098" s="545">
        <v>44</v>
      </c>
      <c r="H4098" s="545">
        <v>22.666666666666668</v>
      </c>
      <c r="I4098" s="545">
        <v>17</v>
      </c>
      <c r="J4098" s="545">
        <v>37.095238095238088</v>
      </c>
    </row>
    <row r="4099" spans="1:10">
      <c r="A4099" s="441">
        <v>4442</v>
      </c>
      <c r="B4099" s="441" t="s">
        <v>3980</v>
      </c>
      <c r="C4099" s="545">
        <v>53.166666666666671</v>
      </c>
      <c r="D4099" s="545">
        <v>40</v>
      </c>
      <c r="E4099" s="545">
        <v>23.666666666666668</v>
      </c>
      <c r="F4099" s="545">
        <v>47.071428571428577</v>
      </c>
      <c r="G4099" s="545">
        <v>51.45</v>
      </c>
      <c r="H4099" s="545">
        <v>23.666666666666668</v>
      </c>
      <c r="I4099" s="545">
        <v>20</v>
      </c>
      <c r="J4099" s="545">
        <v>42.988095238095241</v>
      </c>
    </row>
    <row r="4100" spans="1:10">
      <c r="A4100" s="441">
        <v>2652</v>
      </c>
      <c r="B4100" s="441" t="s">
        <v>3981</v>
      </c>
      <c r="C4100" s="545">
        <v>40</v>
      </c>
      <c r="D4100" s="545">
        <v>23.666666666666668</v>
      </c>
      <c r="E4100" s="545">
        <v>14</v>
      </c>
      <c r="F4100" s="545">
        <v>33.952380952380949</v>
      </c>
      <c r="G4100" s="545">
        <v>29.25</v>
      </c>
      <c r="H4100" s="545">
        <v>14</v>
      </c>
      <c r="I4100" s="545">
        <v>13</v>
      </c>
      <c r="J4100" s="545">
        <v>24.75</v>
      </c>
    </row>
    <row r="4101" spans="1:10">
      <c r="A4101" s="441">
        <v>2662</v>
      </c>
      <c r="B4101" s="441" t="s">
        <v>3981</v>
      </c>
      <c r="C4101" s="545">
        <v>62.166666666666671</v>
      </c>
      <c r="D4101" s="545">
        <v>31.333333333333332</v>
      </c>
      <c r="E4101" s="545">
        <v>24</v>
      </c>
      <c r="F4101" s="545">
        <v>52.30952380952381</v>
      </c>
      <c r="G4101" s="545">
        <v>24.25</v>
      </c>
      <c r="H4101" s="545">
        <v>15</v>
      </c>
      <c r="I4101" s="545">
        <v>8.3333333333333339</v>
      </c>
      <c r="J4101" s="545">
        <v>20.654761904761905</v>
      </c>
    </row>
    <row r="4102" spans="1:10">
      <c r="A4102" s="441">
        <v>2651</v>
      </c>
      <c r="B4102" s="441" t="s">
        <v>3982</v>
      </c>
      <c r="C4102" s="545">
        <v>0</v>
      </c>
      <c r="D4102" s="545">
        <v>0</v>
      </c>
      <c r="E4102" s="545">
        <v>0</v>
      </c>
      <c r="F4102" s="545">
        <v>0</v>
      </c>
      <c r="G4102" s="545">
        <v>0.15</v>
      </c>
      <c r="H4102" s="545">
        <v>0</v>
      </c>
      <c r="I4102" s="545">
        <v>0</v>
      </c>
      <c r="J4102" s="545">
        <v>0.10714285714285714</v>
      </c>
    </row>
    <row r="4103" spans="1:10">
      <c r="A4103" s="441">
        <v>2663</v>
      </c>
      <c r="B4103" s="441" t="s">
        <v>3982</v>
      </c>
      <c r="C4103" s="545">
        <v>0.66666666666666663</v>
      </c>
      <c r="D4103" s="545">
        <v>7</v>
      </c>
      <c r="E4103" s="545">
        <v>0</v>
      </c>
      <c r="F4103" s="545">
        <v>1.4761904761904761</v>
      </c>
      <c r="G4103" s="545">
        <v>0.15</v>
      </c>
      <c r="H4103" s="545">
        <v>0</v>
      </c>
      <c r="I4103" s="545">
        <v>0</v>
      </c>
      <c r="J4103" s="545">
        <v>0.10714285714285714</v>
      </c>
    </row>
    <row r="4104" spans="1:10">
      <c r="A4104" s="441">
        <v>2656</v>
      </c>
      <c r="B4104" s="441" t="s">
        <v>3983</v>
      </c>
      <c r="C4104" s="545">
        <v>21.833333333333332</v>
      </c>
      <c r="D4104" s="545">
        <v>14.333333333333334</v>
      </c>
      <c r="E4104" s="545">
        <v>14.333333333333332</v>
      </c>
      <c r="F4104" s="545">
        <v>19.690476190476186</v>
      </c>
      <c r="G4104" s="545">
        <v>11.9</v>
      </c>
      <c r="H4104" s="545">
        <v>9.6666666666666661</v>
      </c>
      <c r="I4104" s="545">
        <v>7.333333333333333</v>
      </c>
      <c r="J4104" s="545">
        <v>10.928571428571429</v>
      </c>
    </row>
    <row r="4105" spans="1:10">
      <c r="A4105" s="441">
        <v>2658</v>
      </c>
      <c r="B4105" s="441" t="s">
        <v>3983</v>
      </c>
      <c r="C4105" s="545">
        <v>23.166666666666668</v>
      </c>
      <c r="D4105" s="545">
        <v>7</v>
      </c>
      <c r="E4105" s="545">
        <v>12.666666666666668</v>
      </c>
      <c r="F4105" s="545">
        <v>19.357142857142858</v>
      </c>
      <c r="G4105" s="545">
        <v>12</v>
      </c>
      <c r="H4105" s="545">
        <v>7.333333333333333</v>
      </c>
      <c r="I4105" s="545">
        <v>6</v>
      </c>
      <c r="J4105" s="545">
        <v>10.476190476190476</v>
      </c>
    </row>
    <row r="4106" spans="1:10">
      <c r="A4106" s="441">
        <v>4435</v>
      </c>
      <c r="B4106" s="441" t="s">
        <v>3984</v>
      </c>
      <c r="C4106" s="545">
        <v>16.666666666666668</v>
      </c>
      <c r="D4106" s="545">
        <v>9.6666666666666661</v>
      </c>
      <c r="E4106" s="545">
        <v>10</v>
      </c>
      <c r="F4106" s="545">
        <v>14.714285714285717</v>
      </c>
      <c r="G4106" s="545">
        <v>12.15</v>
      </c>
      <c r="H4106" s="545">
        <v>6</v>
      </c>
      <c r="I4106" s="545">
        <v>5.666666666666667</v>
      </c>
      <c r="J4106" s="545">
        <v>10.345238095238097</v>
      </c>
    </row>
    <row r="4107" spans="1:10">
      <c r="A4107" s="441">
        <v>2657</v>
      </c>
      <c r="B4107" s="441" t="s">
        <v>3985</v>
      </c>
      <c r="C4107" s="545">
        <v>14.833333333333332</v>
      </c>
      <c r="D4107" s="545">
        <v>2</v>
      </c>
      <c r="E4107" s="545">
        <v>3</v>
      </c>
      <c r="F4107" s="545">
        <v>11.309523809523808</v>
      </c>
      <c r="G4107" s="545">
        <v>4.05</v>
      </c>
      <c r="H4107" s="545">
        <v>1.6666666666666667</v>
      </c>
      <c r="I4107" s="545">
        <v>4</v>
      </c>
      <c r="J4107" s="545">
        <v>3.7023809523809526</v>
      </c>
    </row>
    <row r="4108" spans="1:10">
      <c r="A4108" s="441">
        <v>2654</v>
      </c>
      <c r="B4108" s="441" t="s">
        <v>3986</v>
      </c>
      <c r="C4108" s="545">
        <v>20.833333333333332</v>
      </c>
      <c r="D4108" s="545">
        <v>27.333333333333336</v>
      </c>
      <c r="E4108" s="545">
        <v>13.666666666666668</v>
      </c>
      <c r="F4108" s="545">
        <v>20.738095238095237</v>
      </c>
      <c r="G4108" s="545">
        <v>9.5</v>
      </c>
      <c r="H4108" s="545">
        <v>7.333333333333333</v>
      </c>
      <c r="I4108" s="545">
        <v>18</v>
      </c>
      <c r="J4108" s="545">
        <v>10.404761904761907</v>
      </c>
    </row>
    <row r="4109" spans="1:10">
      <c r="A4109" s="441">
        <v>2660</v>
      </c>
      <c r="B4109" s="441" t="s">
        <v>3986</v>
      </c>
      <c r="C4109" s="545">
        <v>34.166666666666664</v>
      </c>
      <c r="D4109" s="545">
        <v>20</v>
      </c>
      <c r="E4109" s="545">
        <v>15.333333333333334</v>
      </c>
      <c r="F4109" s="545">
        <v>29.452380952380953</v>
      </c>
      <c r="G4109" s="545">
        <v>13.2</v>
      </c>
      <c r="H4109" s="545">
        <v>6.666666666666667</v>
      </c>
      <c r="I4109" s="545">
        <v>11</v>
      </c>
      <c r="J4109" s="545">
        <v>11.952380952380953</v>
      </c>
    </row>
    <row r="4110" spans="1:10">
      <c r="A4110" s="441">
        <v>8618</v>
      </c>
      <c r="B4110" s="441" t="s">
        <v>3987</v>
      </c>
      <c r="C4110" s="545">
        <v>1</v>
      </c>
      <c r="D4110" s="545">
        <v>1.6666666666666667</v>
      </c>
      <c r="E4110" s="545">
        <v>1</v>
      </c>
      <c r="F4110" s="545">
        <v>1.0952380952380953</v>
      </c>
      <c r="G4110" s="545">
        <v>0.1</v>
      </c>
      <c r="H4110" s="545">
        <v>0</v>
      </c>
      <c r="I4110" s="545">
        <v>0</v>
      </c>
      <c r="J4110" s="545">
        <v>7.1428571428571425E-2</v>
      </c>
    </row>
    <row r="4111" spans="1:10">
      <c r="A4111" s="441">
        <v>10482</v>
      </c>
      <c r="B4111" s="441" t="s">
        <v>3987</v>
      </c>
      <c r="C4111" s="545">
        <v>0.83333333333333337</v>
      </c>
      <c r="D4111" s="545">
        <v>0.33333333333333331</v>
      </c>
      <c r="E4111" s="545">
        <v>1</v>
      </c>
      <c r="F4111" s="545">
        <v>0.7857142857142857</v>
      </c>
      <c r="G4111" s="545">
        <v>0</v>
      </c>
      <c r="H4111" s="545">
        <v>0</v>
      </c>
      <c r="I4111" s="545">
        <v>0</v>
      </c>
      <c r="J4111" s="545">
        <v>0</v>
      </c>
    </row>
    <row r="4112" spans="1:10">
      <c r="A4112" s="441">
        <v>8603</v>
      </c>
      <c r="B4112" s="441" t="s">
        <v>3988</v>
      </c>
      <c r="C4112" s="545">
        <v>22.833333333333332</v>
      </c>
      <c r="D4112" s="545">
        <v>15.666666666666668</v>
      </c>
      <c r="E4112" s="545">
        <v>12</v>
      </c>
      <c r="F4112" s="545">
        <v>20.261904761904759</v>
      </c>
      <c r="G4112" s="545">
        <v>16.5</v>
      </c>
      <c r="H4112" s="545">
        <v>12</v>
      </c>
      <c r="I4112" s="545">
        <v>7.666666666666667</v>
      </c>
      <c r="J4112" s="545">
        <v>14.595238095238097</v>
      </c>
    </row>
    <row r="4113" spans="1:10">
      <c r="A4113" s="441">
        <v>8799</v>
      </c>
      <c r="B4113" s="441" t="s">
        <v>3988</v>
      </c>
      <c r="C4113" s="545">
        <v>24.166666666666664</v>
      </c>
      <c r="D4113" s="545">
        <v>17</v>
      </c>
      <c r="E4113" s="545">
        <v>12.666666666666668</v>
      </c>
      <c r="F4113" s="545">
        <v>21.499999999999996</v>
      </c>
      <c r="G4113" s="545">
        <v>17.3</v>
      </c>
      <c r="H4113" s="545">
        <v>12</v>
      </c>
      <c r="I4113" s="545">
        <v>10</v>
      </c>
      <c r="J4113" s="545">
        <v>15.5</v>
      </c>
    </row>
    <row r="4114" spans="1:10">
      <c r="A4114" s="441">
        <v>10150</v>
      </c>
      <c r="B4114" s="441" t="s">
        <v>3988</v>
      </c>
      <c r="C4114" s="545">
        <v>11.833333333333334</v>
      </c>
      <c r="D4114" s="545">
        <v>2</v>
      </c>
      <c r="E4114" s="545">
        <v>0.33333333333333331</v>
      </c>
      <c r="F4114" s="545">
        <v>8.7857142857142865</v>
      </c>
      <c r="G4114" s="545">
        <v>6.5</v>
      </c>
      <c r="H4114" s="545">
        <v>3</v>
      </c>
      <c r="I4114" s="545">
        <v>0</v>
      </c>
      <c r="J4114" s="545">
        <v>5.0714285714285712</v>
      </c>
    </row>
    <row r="4115" spans="1:10">
      <c r="A4115" s="441">
        <v>8571</v>
      </c>
      <c r="B4115" s="441" t="s">
        <v>3989</v>
      </c>
      <c r="C4115" s="545">
        <v>4.8333333333333339</v>
      </c>
      <c r="D4115" s="545">
        <v>1</v>
      </c>
      <c r="E4115" s="545">
        <v>0</v>
      </c>
      <c r="F4115" s="545">
        <v>3.5952380952380958</v>
      </c>
      <c r="G4115" s="545">
        <v>4.25</v>
      </c>
      <c r="H4115" s="545">
        <v>3</v>
      </c>
      <c r="I4115" s="545">
        <v>2.6666666666666665</v>
      </c>
      <c r="J4115" s="545">
        <v>3.8452380952380953</v>
      </c>
    </row>
    <row r="4116" spans="1:10">
      <c r="A4116" s="441">
        <v>8609</v>
      </c>
      <c r="B4116" s="441" t="s">
        <v>3990</v>
      </c>
      <c r="C4116" s="545">
        <v>62</v>
      </c>
      <c r="D4116" s="545">
        <v>52</v>
      </c>
      <c r="E4116" s="545">
        <v>37.666666666666671</v>
      </c>
      <c r="F4116" s="545">
        <v>57.095238095238095</v>
      </c>
      <c r="G4116" s="545">
        <v>47.4</v>
      </c>
      <c r="H4116" s="545">
        <v>48.666666666666664</v>
      </c>
      <c r="I4116" s="545">
        <v>40</v>
      </c>
      <c r="J4116" s="545">
        <v>46.523809523809526</v>
      </c>
    </row>
    <row r="4117" spans="1:10">
      <c r="A4117" s="441">
        <v>8792</v>
      </c>
      <c r="B4117" s="441" t="s">
        <v>3990</v>
      </c>
      <c r="C4117" s="545">
        <v>67</v>
      </c>
      <c r="D4117" s="545">
        <v>64</v>
      </c>
      <c r="E4117" s="545">
        <v>54.666666666666671</v>
      </c>
      <c r="F4117" s="545">
        <v>64.80952380952381</v>
      </c>
      <c r="G4117" s="545">
        <v>48.35</v>
      </c>
      <c r="H4117" s="545">
        <v>48</v>
      </c>
      <c r="I4117" s="545">
        <v>43</v>
      </c>
      <c r="J4117" s="545">
        <v>47.535714285714285</v>
      </c>
    </row>
    <row r="4118" spans="1:10">
      <c r="A4118" s="441">
        <v>8610</v>
      </c>
      <c r="B4118" s="441" t="s">
        <v>3991</v>
      </c>
      <c r="C4118" s="545">
        <v>35.666666666666671</v>
      </c>
      <c r="D4118" s="545">
        <v>29.666666666666664</v>
      </c>
      <c r="E4118" s="545">
        <v>20.666666666666668</v>
      </c>
      <c r="F4118" s="545">
        <v>32.666666666666671</v>
      </c>
      <c r="G4118" s="545">
        <v>30.3</v>
      </c>
      <c r="H4118" s="545">
        <v>29.666666666666668</v>
      </c>
      <c r="I4118" s="545">
        <v>18</v>
      </c>
      <c r="J4118" s="545">
        <v>28.452380952380953</v>
      </c>
    </row>
    <row r="4119" spans="1:10">
      <c r="A4119" s="441">
        <v>8791</v>
      </c>
      <c r="B4119" s="441" t="s">
        <v>3991</v>
      </c>
      <c r="C4119" s="545">
        <v>33.333333333333336</v>
      </c>
      <c r="D4119" s="545">
        <v>22</v>
      </c>
      <c r="E4119" s="545">
        <v>21.666666666666668</v>
      </c>
      <c r="F4119" s="545">
        <v>30.047619047619047</v>
      </c>
      <c r="G4119" s="545">
        <v>35.1</v>
      </c>
      <c r="H4119" s="545">
        <v>26.666666666666668</v>
      </c>
      <c r="I4119" s="545">
        <v>22.333333333333332</v>
      </c>
      <c r="J4119" s="545">
        <v>32.071428571428569</v>
      </c>
    </row>
    <row r="4120" spans="1:10">
      <c r="A4120" s="441">
        <v>8789</v>
      </c>
      <c r="B4120" s="441" t="s">
        <v>3992</v>
      </c>
      <c r="C4120" s="545">
        <v>27.833333333333336</v>
      </c>
      <c r="D4120" s="545">
        <v>13.666666666666668</v>
      </c>
      <c r="E4120" s="545">
        <v>9.6666666666666679</v>
      </c>
      <c r="F4120" s="545">
        <v>23.214285714285715</v>
      </c>
      <c r="G4120" s="545">
        <v>19.95</v>
      </c>
      <c r="H4120" s="545">
        <v>15</v>
      </c>
      <c r="I4120" s="545">
        <v>16.333333333333332</v>
      </c>
      <c r="J4120" s="545">
        <v>18.726190476190478</v>
      </c>
    </row>
    <row r="4121" spans="1:10">
      <c r="A4121" s="441">
        <v>8619</v>
      </c>
      <c r="B4121" s="441" t="s">
        <v>3993</v>
      </c>
      <c r="C4121" s="545">
        <v>1</v>
      </c>
      <c r="D4121" s="545">
        <v>0.33333333333333331</v>
      </c>
      <c r="E4121" s="545">
        <v>0</v>
      </c>
      <c r="F4121" s="545">
        <v>0.76190476190476186</v>
      </c>
      <c r="G4121" s="545">
        <v>0.65</v>
      </c>
      <c r="H4121" s="545">
        <v>0</v>
      </c>
      <c r="I4121" s="545">
        <v>0</v>
      </c>
      <c r="J4121" s="545">
        <v>0.4642857142857143</v>
      </c>
    </row>
    <row r="4122" spans="1:10">
      <c r="A4122" s="441">
        <v>8781</v>
      </c>
      <c r="B4122" s="441" t="s">
        <v>3993</v>
      </c>
      <c r="C4122" s="545">
        <v>0</v>
      </c>
      <c r="D4122" s="545">
        <v>0</v>
      </c>
      <c r="E4122" s="545">
        <v>0</v>
      </c>
      <c r="F4122" s="545">
        <v>0</v>
      </c>
      <c r="G4122" s="545">
        <v>0.4</v>
      </c>
      <c r="H4122" s="545">
        <v>0.66666666666666663</v>
      </c>
      <c r="I4122" s="545">
        <v>0</v>
      </c>
      <c r="J4122" s="545">
        <v>0.38095238095238093</v>
      </c>
    </row>
    <row r="4123" spans="1:10">
      <c r="A4123" s="441">
        <v>8784</v>
      </c>
      <c r="B4123" s="441" t="s">
        <v>3994</v>
      </c>
      <c r="C4123" s="545">
        <v>176.33333333333331</v>
      </c>
      <c r="D4123" s="545">
        <v>145.33333333333334</v>
      </c>
      <c r="E4123" s="545">
        <v>106.33333333333333</v>
      </c>
      <c r="F4123" s="545">
        <v>161.90476190476187</v>
      </c>
      <c r="G4123" s="545">
        <v>126.4</v>
      </c>
      <c r="H4123" s="545">
        <v>111.33333333333333</v>
      </c>
      <c r="I4123" s="545">
        <v>77.333333333333329</v>
      </c>
      <c r="J4123" s="545">
        <v>117.23809523809526</v>
      </c>
    </row>
    <row r="4124" spans="1:10">
      <c r="A4124" s="441">
        <v>10146</v>
      </c>
      <c r="B4124" s="441" t="s">
        <v>3994</v>
      </c>
      <c r="C4124" s="545">
        <v>183.83333333333334</v>
      </c>
      <c r="D4124" s="545">
        <v>139.66666666666669</v>
      </c>
      <c r="E4124" s="545">
        <v>86</v>
      </c>
      <c r="F4124" s="545">
        <v>163.54761904761907</v>
      </c>
      <c r="G4124" s="545">
        <v>141.05000000000001</v>
      </c>
      <c r="H4124" s="545">
        <v>118</v>
      </c>
      <c r="I4124" s="545">
        <v>75.333333333333329</v>
      </c>
      <c r="J4124" s="545">
        <v>128.36904761904762</v>
      </c>
    </row>
    <row r="4125" spans="1:10">
      <c r="A4125" s="441">
        <v>8606</v>
      </c>
      <c r="B4125" s="441" t="s">
        <v>3995</v>
      </c>
      <c r="C4125" s="545">
        <v>26.333333333333336</v>
      </c>
      <c r="D4125" s="545">
        <v>26</v>
      </c>
      <c r="E4125" s="545">
        <v>16.333333333333332</v>
      </c>
      <c r="F4125" s="545">
        <v>24.857142857142861</v>
      </c>
      <c r="G4125" s="545">
        <v>21.9</v>
      </c>
      <c r="H4125" s="545">
        <v>20.333333333333332</v>
      </c>
      <c r="I4125" s="545">
        <v>20.333333333333332</v>
      </c>
      <c r="J4125" s="545">
        <v>21.452380952380956</v>
      </c>
    </row>
    <row r="4126" spans="1:10">
      <c r="A4126" s="441">
        <v>8607</v>
      </c>
      <c r="B4126" s="441" t="s">
        <v>3995</v>
      </c>
      <c r="C4126" s="545">
        <v>22.666666666666664</v>
      </c>
      <c r="D4126" s="545">
        <v>14</v>
      </c>
      <c r="E4126" s="545">
        <v>21.333333333333332</v>
      </c>
      <c r="F4126" s="545">
        <v>21.238095238095237</v>
      </c>
      <c r="G4126" s="545">
        <v>13.55</v>
      </c>
      <c r="H4126" s="545">
        <v>5.666666666666667</v>
      </c>
      <c r="I4126" s="545">
        <v>25.666666666666668</v>
      </c>
      <c r="J4126" s="545">
        <v>14.154761904761907</v>
      </c>
    </row>
    <row r="4127" spans="1:10">
      <c r="A4127" s="441">
        <v>8795</v>
      </c>
      <c r="B4127" s="441" t="s">
        <v>3995</v>
      </c>
      <c r="C4127" s="545">
        <v>21</v>
      </c>
      <c r="D4127" s="545">
        <v>14</v>
      </c>
      <c r="E4127" s="545">
        <v>30.666666666666664</v>
      </c>
      <c r="F4127" s="545">
        <v>21.38095238095238</v>
      </c>
      <c r="G4127" s="545">
        <v>10.45</v>
      </c>
      <c r="H4127" s="545">
        <v>9.3333333333333339</v>
      </c>
      <c r="I4127" s="545">
        <v>20.666666666666668</v>
      </c>
      <c r="J4127" s="545">
        <v>11.75</v>
      </c>
    </row>
    <row r="4128" spans="1:10">
      <c r="A4128" s="441">
        <v>8796</v>
      </c>
      <c r="B4128" s="441" t="s">
        <v>3995</v>
      </c>
      <c r="C4128" s="545">
        <v>17.333333333333336</v>
      </c>
      <c r="D4128" s="545">
        <v>16.666666666666664</v>
      </c>
      <c r="E4128" s="545">
        <v>7.333333333333333</v>
      </c>
      <c r="F4128" s="545">
        <v>15.80952380952381</v>
      </c>
      <c r="G4128" s="545">
        <v>16.350000000000001</v>
      </c>
      <c r="H4128" s="545">
        <v>13</v>
      </c>
      <c r="I4128" s="545">
        <v>7</v>
      </c>
      <c r="J4128" s="545">
        <v>14.535714285714286</v>
      </c>
    </row>
    <row r="4129" spans="1:10">
      <c r="A4129" s="441">
        <v>8780</v>
      </c>
      <c r="B4129" s="441" t="s">
        <v>3996</v>
      </c>
      <c r="C4129" s="545">
        <v>0</v>
      </c>
      <c r="D4129" s="545">
        <v>0</v>
      </c>
      <c r="E4129" s="545">
        <v>0</v>
      </c>
      <c r="F4129" s="545">
        <v>0</v>
      </c>
      <c r="G4129" s="545">
        <v>0.95</v>
      </c>
      <c r="H4129" s="545">
        <v>0</v>
      </c>
      <c r="I4129" s="545">
        <v>1.3333333333333333</v>
      </c>
      <c r="J4129" s="545">
        <v>0.86904761904761896</v>
      </c>
    </row>
    <row r="4130" spans="1:10">
      <c r="A4130" s="441">
        <v>10478</v>
      </c>
      <c r="B4130" s="441" t="s">
        <v>3996</v>
      </c>
      <c r="C4130" s="545">
        <v>1</v>
      </c>
      <c r="D4130" s="545">
        <v>0.33333333333333331</v>
      </c>
      <c r="E4130" s="545">
        <v>0</v>
      </c>
      <c r="F4130" s="545">
        <v>0.76190476190476186</v>
      </c>
      <c r="G4130" s="545">
        <v>0.4</v>
      </c>
      <c r="H4130" s="545">
        <v>0</v>
      </c>
      <c r="I4130" s="545">
        <v>0.66666666666666663</v>
      </c>
      <c r="J4130" s="545">
        <v>0.38095238095238093</v>
      </c>
    </row>
    <row r="4131" spans="1:10">
      <c r="A4131" s="441">
        <v>8613</v>
      </c>
      <c r="B4131" s="441" t="s">
        <v>3997</v>
      </c>
      <c r="C4131" s="545">
        <v>13</v>
      </c>
      <c r="D4131" s="545">
        <v>5.3333333333333339</v>
      </c>
      <c r="E4131" s="545">
        <v>3.666666666666667</v>
      </c>
      <c r="F4131" s="545">
        <v>10.571428571428571</v>
      </c>
      <c r="G4131" s="545">
        <v>2.6</v>
      </c>
      <c r="H4131" s="545">
        <v>0.66666666666666663</v>
      </c>
      <c r="I4131" s="545">
        <v>1.3333333333333333</v>
      </c>
      <c r="J4131" s="545">
        <v>2.1428571428571428</v>
      </c>
    </row>
    <row r="4132" spans="1:10">
      <c r="A4132" s="441">
        <v>8788</v>
      </c>
      <c r="B4132" s="441" t="s">
        <v>3997</v>
      </c>
      <c r="C4132" s="545">
        <v>5.166666666666667</v>
      </c>
      <c r="D4132" s="545">
        <v>2</v>
      </c>
      <c r="E4132" s="545">
        <v>0</v>
      </c>
      <c r="F4132" s="545">
        <v>3.9761904761904767</v>
      </c>
      <c r="G4132" s="545">
        <v>2.95</v>
      </c>
      <c r="H4132" s="545">
        <v>1.6666666666666667</v>
      </c>
      <c r="I4132" s="545">
        <v>1.6666666666666667</v>
      </c>
      <c r="J4132" s="545">
        <v>2.5833333333333335</v>
      </c>
    </row>
    <row r="4133" spans="1:10">
      <c r="A4133" s="441">
        <v>8604</v>
      </c>
      <c r="B4133" s="441" t="s">
        <v>3998</v>
      </c>
      <c r="C4133" s="545">
        <v>8.1666666666666679</v>
      </c>
      <c r="D4133" s="545">
        <v>8.3333333333333339</v>
      </c>
      <c r="E4133" s="545">
        <v>4.666666666666667</v>
      </c>
      <c r="F4133" s="545">
        <v>7.6904761904761916</v>
      </c>
      <c r="G4133" s="545">
        <v>3.6</v>
      </c>
      <c r="H4133" s="545">
        <v>4</v>
      </c>
      <c r="I4133" s="545">
        <v>4</v>
      </c>
      <c r="J4133" s="545">
        <v>3.7142857142857144</v>
      </c>
    </row>
    <row r="4134" spans="1:10">
      <c r="A4134" s="441">
        <v>8798</v>
      </c>
      <c r="B4134" s="441" t="s">
        <v>3998</v>
      </c>
      <c r="C4134" s="545">
        <v>5.6666666666666661</v>
      </c>
      <c r="D4134" s="545">
        <v>10</v>
      </c>
      <c r="E4134" s="545">
        <v>2.666666666666667</v>
      </c>
      <c r="F4134" s="545">
        <v>5.8571428571428559</v>
      </c>
      <c r="G4134" s="545">
        <v>2.6</v>
      </c>
      <c r="H4134" s="545">
        <v>2.3333333333333335</v>
      </c>
      <c r="I4134" s="545">
        <v>2</v>
      </c>
      <c r="J4134" s="545">
        <v>2.4761904761904767</v>
      </c>
    </row>
    <row r="4135" spans="1:10">
      <c r="A4135" s="441">
        <v>8794</v>
      </c>
      <c r="B4135" s="441" t="s">
        <v>3999</v>
      </c>
      <c r="C4135" s="545">
        <v>18.166666666666668</v>
      </c>
      <c r="D4135" s="545">
        <v>10.333333333333334</v>
      </c>
      <c r="E4135" s="545">
        <v>7.666666666666667</v>
      </c>
      <c r="F4135" s="545">
        <v>15.547619047619049</v>
      </c>
      <c r="G4135" s="545">
        <v>15.4</v>
      </c>
      <c r="H4135" s="545">
        <v>18.333333333333332</v>
      </c>
      <c r="I4135" s="545">
        <v>21.333333333333332</v>
      </c>
      <c r="J4135" s="545">
        <v>16.666666666666664</v>
      </c>
    </row>
    <row r="4136" spans="1:10">
      <c r="A4136" s="441">
        <v>12081</v>
      </c>
      <c r="B4136" s="441" t="s">
        <v>4000</v>
      </c>
      <c r="C4136" s="545">
        <v>11.166666666666666</v>
      </c>
      <c r="D4136" s="545">
        <v>6.6666666666666661</v>
      </c>
      <c r="E4136" s="545">
        <v>8</v>
      </c>
      <c r="F4136" s="545">
        <v>10.071428571428571</v>
      </c>
      <c r="G4136" s="545">
        <v>6</v>
      </c>
      <c r="H4136" s="545">
        <v>3</v>
      </c>
      <c r="I4136" s="545">
        <v>3.3333333333333335</v>
      </c>
      <c r="J4136" s="545">
        <v>5.1904761904761907</v>
      </c>
    </row>
    <row r="4137" spans="1:10">
      <c r="A4137" s="441">
        <v>8614</v>
      </c>
      <c r="B4137" s="441" t="s">
        <v>4001</v>
      </c>
      <c r="C4137" s="545">
        <v>6.833333333333333</v>
      </c>
      <c r="D4137" s="545">
        <v>3</v>
      </c>
      <c r="E4137" s="545">
        <v>1</v>
      </c>
      <c r="F4137" s="545">
        <v>5.4523809523809517</v>
      </c>
      <c r="G4137" s="545">
        <v>1.7</v>
      </c>
      <c r="H4137" s="545">
        <v>0.66666666666666663</v>
      </c>
      <c r="I4137" s="545">
        <v>1</v>
      </c>
      <c r="J4137" s="545">
        <v>1.4523809523809523</v>
      </c>
    </row>
    <row r="4138" spans="1:10">
      <c r="A4138" s="441">
        <v>8615</v>
      </c>
      <c r="B4138" s="441" t="s">
        <v>4001</v>
      </c>
      <c r="C4138" s="545">
        <v>12.666666666666666</v>
      </c>
      <c r="D4138" s="545">
        <v>7.3333333333333339</v>
      </c>
      <c r="E4138" s="545">
        <v>4.666666666666667</v>
      </c>
      <c r="F4138" s="545">
        <v>10.761904761904761</v>
      </c>
      <c r="G4138" s="545">
        <v>7.6</v>
      </c>
      <c r="H4138" s="545">
        <v>4.333333333333333</v>
      </c>
      <c r="I4138" s="545">
        <v>5.666666666666667</v>
      </c>
      <c r="J4138" s="545">
        <v>6.8571428571428568</v>
      </c>
    </row>
    <row r="4139" spans="1:10">
      <c r="A4139" s="441">
        <v>8787</v>
      </c>
      <c r="B4139" s="441" t="s">
        <v>4001</v>
      </c>
      <c r="C4139" s="545">
        <v>3.6666666666666665</v>
      </c>
      <c r="D4139" s="545">
        <v>1.3333333333333333</v>
      </c>
      <c r="E4139" s="545">
        <v>1.3333333333333333</v>
      </c>
      <c r="F4139" s="545">
        <v>2.9999999999999996</v>
      </c>
      <c r="G4139" s="545">
        <v>1.75</v>
      </c>
      <c r="H4139" s="545">
        <v>2</v>
      </c>
      <c r="I4139" s="545">
        <v>1</v>
      </c>
      <c r="J4139" s="545">
        <v>1.6785714285714286</v>
      </c>
    </row>
    <row r="4140" spans="1:10">
      <c r="A4140" s="441">
        <v>8605</v>
      </c>
      <c r="B4140" s="441" t="s">
        <v>4002</v>
      </c>
      <c r="C4140" s="545">
        <v>7.5</v>
      </c>
      <c r="D4140" s="545">
        <v>12</v>
      </c>
      <c r="E4140" s="545">
        <v>4.666666666666667</v>
      </c>
      <c r="F4140" s="545">
        <v>7.7380952380952381</v>
      </c>
      <c r="G4140" s="545">
        <v>3.7</v>
      </c>
      <c r="H4140" s="545">
        <v>2.3333333333333335</v>
      </c>
      <c r="I4140" s="545">
        <v>2</v>
      </c>
      <c r="J4140" s="545">
        <v>3.2619047619047619</v>
      </c>
    </row>
    <row r="4141" spans="1:10">
      <c r="A4141" s="441">
        <v>8797</v>
      </c>
      <c r="B4141" s="441" t="s">
        <v>4002</v>
      </c>
      <c r="C4141" s="545">
        <v>7</v>
      </c>
      <c r="D4141" s="545">
        <v>7</v>
      </c>
      <c r="E4141" s="545">
        <v>3.3333333333333335</v>
      </c>
      <c r="F4141" s="545">
        <v>6.4761904761904763</v>
      </c>
      <c r="G4141" s="545">
        <v>4.0999999999999996</v>
      </c>
      <c r="H4141" s="545">
        <v>1</v>
      </c>
      <c r="I4141" s="545">
        <v>0.66666666666666663</v>
      </c>
      <c r="J4141" s="545">
        <v>3.166666666666667</v>
      </c>
    </row>
    <row r="4142" spans="1:10">
      <c r="A4142" s="441">
        <v>8572</v>
      </c>
      <c r="B4142" s="441" t="s">
        <v>4003</v>
      </c>
      <c r="C4142" s="545">
        <v>12.5</v>
      </c>
      <c r="D4142" s="545">
        <v>1.6666666666666665</v>
      </c>
      <c r="E4142" s="545">
        <v>0</v>
      </c>
      <c r="F4142" s="545">
        <v>9.1666666666666679</v>
      </c>
      <c r="G4142" s="545">
        <v>6.6</v>
      </c>
      <c r="H4142" s="545">
        <v>2</v>
      </c>
      <c r="I4142" s="545">
        <v>0.33333333333333331</v>
      </c>
      <c r="J4142" s="545">
        <v>5.0476190476190483</v>
      </c>
    </row>
    <row r="4143" spans="1:10">
      <c r="A4143" s="441">
        <v>8600</v>
      </c>
      <c r="B4143" s="441" t="s">
        <v>4003</v>
      </c>
      <c r="C4143" s="545">
        <v>14.666666666666668</v>
      </c>
      <c r="D4143" s="545">
        <v>1.3333333333333333</v>
      </c>
      <c r="E4143" s="545">
        <v>0.66666666666666663</v>
      </c>
      <c r="F4143" s="545">
        <v>10.761904761904763</v>
      </c>
      <c r="G4143" s="545">
        <v>9.4</v>
      </c>
      <c r="H4143" s="545">
        <v>3</v>
      </c>
      <c r="I4143" s="545">
        <v>1.3333333333333333</v>
      </c>
      <c r="J4143" s="545">
        <v>7.3333333333333339</v>
      </c>
    </row>
    <row r="4144" spans="1:10">
      <c r="A4144" s="441">
        <v>8601</v>
      </c>
      <c r="B4144" s="441" t="s">
        <v>4004</v>
      </c>
      <c r="C4144" s="545">
        <v>14.5</v>
      </c>
      <c r="D4144" s="545">
        <v>1.6666666666666665</v>
      </c>
      <c r="E4144" s="545">
        <v>0</v>
      </c>
      <c r="F4144" s="545">
        <v>10.595238095238097</v>
      </c>
      <c r="G4144" s="545">
        <v>4.8</v>
      </c>
      <c r="H4144" s="545">
        <v>2.3333333333333335</v>
      </c>
      <c r="I4144" s="545">
        <v>0.66666666666666663</v>
      </c>
      <c r="J4144" s="545">
        <v>3.8571428571428572</v>
      </c>
    </row>
    <row r="4145" spans="1:10">
      <c r="A4145" s="441">
        <v>8611</v>
      </c>
      <c r="B4145" s="441" t="s">
        <v>4005</v>
      </c>
      <c r="C4145" s="545">
        <v>32.333333333333336</v>
      </c>
      <c r="D4145" s="545">
        <v>14.333333333333332</v>
      </c>
      <c r="E4145" s="545">
        <v>12.666666666666668</v>
      </c>
      <c r="F4145" s="545">
        <v>26.952380952380956</v>
      </c>
      <c r="G4145" s="545">
        <v>26</v>
      </c>
      <c r="H4145" s="545">
        <v>24.333333333333332</v>
      </c>
      <c r="I4145" s="545">
        <v>16.666666666666668</v>
      </c>
      <c r="J4145" s="545">
        <v>24.428571428571427</v>
      </c>
    </row>
    <row r="4146" spans="1:10">
      <c r="A4146" s="441">
        <v>8790</v>
      </c>
      <c r="B4146" s="441" t="s">
        <v>4005</v>
      </c>
      <c r="C4146" s="545">
        <v>21.666666666666668</v>
      </c>
      <c r="D4146" s="545">
        <v>11.333333333333332</v>
      </c>
      <c r="E4146" s="545">
        <v>8</v>
      </c>
      <c r="F4146" s="545">
        <v>18.238095238095237</v>
      </c>
      <c r="G4146" s="545">
        <v>8.8000000000000007</v>
      </c>
      <c r="H4146" s="545">
        <v>10</v>
      </c>
      <c r="I4146" s="545">
        <v>8.3333333333333339</v>
      </c>
      <c r="J4146" s="545">
        <v>8.9047619047619051</v>
      </c>
    </row>
    <row r="4147" spans="1:10">
      <c r="A4147" s="441">
        <v>8617</v>
      </c>
      <c r="B4147" s="441" t="s">
        <v>4006</v>
      </c>
      <c r="C4147" s="545">
        <v>9.5</v>
      </c>
      <c r="D4147" s="545">
        <v>11</v>
      </c>
      <c r="E4147" s="545">
        <v>11</v>
      </c>
      <c r="F4147" s="545">
        <v>9.9285714285714288</v>
      </c>
      <c r="G4147" s="545">
        <v>8.75</v>
      </c>
      <c r="H4147" s="545">
        <v>12</v>
      </c>
      <c r="I4147" s="545">
        <v>10.333333333333334</v>
      </c>
      <c r="J4147" s="545">
        <v>9.4404761904761898</v>
      </c>
    </row>
    <row r="4148" spans="1:10">
      <c r="A4148" s="441">
        <v>8782</v>
      </c>
      <c r="B4148" s="441" t="s">
        <v>4006</v>
      </c>
      <c r="C4148" s="545">
        <v>2.833333333333333</v>
      </c>
      <c r="D4148" s="545">
        <v>1</v>
      </c>
      <c r="E4148" s="545">
        <v>0.33333333333333331</v>
      </c>
      <c r="F4148" s="545">
        <v>2.214285714285714</v>
      </c>
      <c r="G4148" s="545">
        <v>1.85</v>
      </c>
      <c r="H4148" s="545">
        <v>1</v>
      </c>
      <c r="I4148" s="545">
        <v>1</v>
      </c>
      <c r="J4148" s="545">
        <v>1.6071428571428572</v>
      </c>
    </row>
    <row r="4149" spans="1:10">
      <c r="A4149" s="441">
        <v>8783</v>
      </c>
      <c r="B4149" s="441" t="s">
        <v>4006</v>
      </c>
      <c r="C4149" s="545">
        <v>28.833333333333332</v>
      </c>
      <c r="D4149" s="545">
        <v>21</v>
      </c>
      <c r="E4149" s="545">
        <v>15</v>
      </c>
      <c r="F4149" s="545">
        <v>25.738095238095237</v>
      </c>
      <c r="G4149" s="545">
        <v>19.399999999999999</v>
      </c>
      <c r="H4149" s="545">
        <v>21</v>
      </c>
      <c r="I4149" s="545">
        <v>12.333333333333334</v>
      </c>
      <c r="J4149" s="545">
        <v>18.61904761904762</v>
      </c>
    </row>
    <row r="4150" spans="1:10">
      <c r="A4150" s="441">
        <v>8616</v>
      </c>
      <c r="B4150" s="441" t="s">
        <v>4007</v>
      </c>
      <c r="C4150" s="545">
        <v>9.3333333333333321</v>
      </c>
      <c r="D4150" s="545">
        <v>6.6666666666666661</v>
      </c>
      <c r="E4150" s="545">
        <v>8.3333333333333339</v>
      </c>
      <c r="F4150" s="545">
        <v>8.8095238095238084</v>
      </c>
      <c r="G4150" s="545">
        <v>8.85</v>
      </c>
      <c r="H4150" s="545">
        <v>6</v>
      </c>
      <c r="I4150" s="545">
        <v>6.333333333333333</v>
      </c>
      <c r="J4150" s="545">
        <v>8.0833333333333339</v>
      </c>
    </row>
    <row r="4151" spans="1:10">
      <c r="A4151" s="441">
        <v>8785</v>
      </c>
      <c r="B4151" s="441" t="s">
        <v>4007</v>
      </c>
      <c r="C4151" s="545">
        <v>18.666666666666668</v>
      </c>
      <c r="D4151" s="545">
        <v>12</v>
      </c>
      <c r="E4151" s="545">
        <v>11</v>
      </c>
      <c r="F4151" s="545">
        <v>16.61904761904762</v>
      </c>
      <c r="G4151" s="545">
        <v>12.5</v>
      </c>
      <c r="H4151" s="545">
        <v>17.333333333333332</v>
      </c>
      <c r="I4151" s="545">
        <v>8.3333333333333339</v>
      </c>
      <c r="J4151" s="545">
        <v>12.595238095238093</v>
      </c>
    </row>
    <row r="4152" spans="1:10">
      <c r="A4152" s="441">
        <v>8786</v>
      </c>
      <c r="B4152" s="441" t="s">
        <v>4007</v>
      </c>
      <c r="C4152" s="545">
        <v>14.833333333333334</v>
      </c>
      <c r="D4152" s="545">
        <v>7</v>
      </c>
      <c r="E4152" s="545">
        <v>6.3333333333333339</v>
      </c>
      <c r="F4152" s="545">
        <v>12.5</v>
      </c>
      <c r="G4152" s="545">
        <v>6.75</v>
      </c>
      <c r="H4152" s="545">
        <v>5.666666666666667</v>
      </c>
      <c r="I4152" s="545">
        <v>3.6666666666666665</v>
      </c>
      <c r="J4152" s="545">
        <v>6.1547619047619042</v>
      </c>
    </row>
    <row r="4153" spans="1:10">
      <c r="A4153" s="441">
        <v>8608</v>
      </c>
      <c r="B4153" s="441" t="s">
        <v>4008</v>
      </c>
      <c r="C4153" s="545">
        <v>5.3333333333333339</v>
      </c>
      <c r="D4153" s="545">
        <v>2.3333333333333335</v>
      </c>
      <c r="E4153" s="545">
        <v>1.6666666666666665</v>
      </c>
      <c r="F4153" s="545">
        <v>4.3809523809523814</v>
      </c>
      <c r="G4153" s="545">
        <v>4.6500000000000004</v>
      </c>
      <c r="H4153" s="545">
        <v>2.3333333333333335</v>
      </c>
      <c r="I4153" s="545">
        <v>2.6666666666666665</v>
      </c>
      <c r="J4153" s="545">
        <v>4.0357142857142856</v>
      </c>
    </row>
    <row r="4154" spans="1:10">
      <c r="A4154" s="441">
        <v>8793</v>
      </c>
      <c r="B4154" s="441" t="s">
        <v>4008</v>
      </c>
      <c r="C4154" s="545">
        <v>4.166666666666667</v>
      </c>
      <c r="D4154" s="545">
        <v>4.333333333333333</v>
      </c>
      <c r="E4154" s="545">
        <v>2.6666666666666665</v>
      </c>
      <c r="F4154" s="545">
        <v>3.9761904761904767</v>
      </c>
      <c r="G4154" s="545">
        <v>3.8</v>
      </c>
      <c r="H4154" s="545">
        <v>1</v>
      </c>
      <c r="I4154" s="545">
        <v>0.66666666666666663</v>
      </c>
      <c r="J4154" s="545">
        <v>2.9523809523809526</v>
      </c>
    </row>
    <row r="4155" spans="1:10">
      <c r="A4155" s="441">
        <v>8574</v>
      </c>
      <c r="B4155" s="441" t="s">
        <v>4009</v>
      </c>
      <c r="C4155" s="545">
        <v>7.5</v>
      </c>
      <c r="D4155" s="545">
        <v>6</v>
      </c>
      <c r="E4155" s="545">
        <v>4.666666666666667</v>
      </c>
      <c r="F4155" s="545">
        <v>6.8809523809523805</v>
      </c>
      <c r="G4155" s="545">
        <v>5.15</v>
      </c>
      <c r="H4155" s="545">
        <v>3.3333333333333335</v>
      </c>
      <c r="I4155" s="545">
        <v>5.666666666666667</v>
      </c>
      <c r="J4155" s="545">
        <v>4.9642857142857144</v>
      </c>
    </row>
    <row r="4156" spans="1:10">
      <c r="A4156" s="441">
        <v>8598</v>
      </c>
      <c r="B4156" s="441" t="s">
        <v>4009</v>
      </c>
      <c r="C4156" s="545">
        <v>5</v>
      </c>
      <c r="D4156" s="545">
        <v>4.333333333333333</v>
      </c>
      <c r="E4156" s="545">
        <v>2.666666666666667</v>
      </c>
      <c r="F4156" s="545">
        <v>4.5714285714285712</v>
      </c>
      <c r="G4156" s="545">
        <v>3.15</v>
      </c>
      <c r="H4156" s="545">
        <v>3</v>
      </c>
      <c r="I4156" s="545">
        <v>1.6666666666666667</v>
      </c>
      <c r="J4156" s="545">
        <v>2.916666666666667</v>
      </c>
    </row>
    <row r="4157" spans="1:10">
      <c r="A4157" s="441">
        <v>12082</v>
      </c>
      <c r="B4157" s="441" t="s">
        <v>4010</v>
      </c>
      <c r="C4157" s="545">
        <v>10.833333333333334</v>
      </c>
      <c r="D4157" s="545">
        <v>7</v>
      </c>
      <c r="E4157" s="545">
        <v>7.333333333333333</v>
      </c>
      <c r="F4157" s="545">
        <v>9.7857142857142865</v>
      </c>
      <c r="G4157" s="545">
        <v>4.5999999999999996</v>
      </c>
      <c r="H4157" s="545">
        <v>3.3333333333333335</v>
      </c>
      <c r="I4157" s="545">
        <v>3</v>
      </c>
      <c r="J4157" s="545">
        <v>4.1904761904761907</v>
      </c>
    </row>
    <row r="4158" spans="1:10">
      <c r="A4158" s="441">
        <v>8573</v>
      </c>
      <c r="B4158" s="441" t="s">
        <v>4011</v>
      </c>
      <c r="C4158" s="545">
        <v>40.166666666666671</v>
      </c>
      <c r="D4158" s="545">
        <v>31.333333333333336</v>
      </c>
      <c r="E4158" s="545">
        <v>25</v>
      </c>
      <c r="F4158" s="545">
        <v>36.738095238095248</v>
      </c>
      <c r="G4158" s="545">
        <v>28.5</v>
      </c>
      <c r="H4158" s="545">
        <v>24.666666666666668</v>
      </c>
      <c r="I4158" s="545">
        <v>20.333333333333332</v>
      </c>
      <c r="J4158" s="545">
        <v>26.785714285714285</v>
      </c>
    </row>
    <row r="4159" spans="1:10">
      <c r="A4159" s="441">
        <v>8599</v>
      </c>
      <c r="B4159" s="441" t="s">
        <v>4011</v>
      </c>
      <c r="C4159" s="545">
        <v>47.166666666666671</v>
      </c>
      <c r="D4159" s="545">
        <v>26</v>
      </c>
      <c r="E4159" s="545">
        <v>25</v>
      </c>
      <c r="F4159" s="545">
        <v>40.976190476190482</v>
      </c>
      <c r="G4159" s="545">
        <v>46.25</v>
      </c>
      <c r="H4159" s="545">
        <v>23</v>
      </c>
      <c r="I4159" s="545">
        <v>22</v>
      </c>
      <c r="J4159" s="545">
        <v>39.464285714285715</v>
      </c>
    </row>
    <row r="4160" spans="1:10">
      <c r="A4160" s="441">
        <v>11607</v>
      </c>
      <c r="B4160" s="441" t="s">
        <v>4012</v>
      </c>
      <c r="C4160" s="545">
        <v>9.1666666666666661</v>
      </c>
      <c r="D4160" s="545">
        <v>6.333333333333333</v>
      </c>
      <c r="E4160" s="545">
        <v>3.666666666666667</v>
      </c>
      <c r="F4160" s="545">
        <v>7.9761904761904754</v>
      </c>
      <c r="G4160" s="545">
        <v>20.7</v>
      </c>
      <c r="H4160" s="545">
        <v>3</v>
      </c>
      <c r="I4160" s="545">
        <v>3.6666666666666665</v>
      </c>
      <c r="J4160" s="545">
        <v>15.738095238095239</v>
      </c>
    </row>
    <row r="4161" spans="1:10">
      <c r="A4161" s="441">
        <v>86</v>
      </c>
      <c r="B4161" s="441" t="s">
        <v>4013</v>
      </c>
      <c r="C4161" s="545">
        <v>3156</v>
      </c>
      <c r="D4161" s="545">
        <v>0</v>
      </c>
      <c r="E4161" s="545">
        <v>0</v>
      </c>
      <c r="F4161" s="545">
        <v>2254.2857142857142</v>
      </c>
      <c r="G4161" s="545">
        <v>1091</v>
      </c>
      <c r="H4161" s="545"/>
      <c r="I4161" s="545"/>
      <c r="J4161" s="545">
        <v>779.28571428571433</v>
      </c>
    </row>
    <row r="4162" spans="1:10">
      <c r="A4162" s="441">
        <v>789</v>
      </c>
      <c r="B4162" s="441" t="s">
        <v>4014</v>
      </c>
      <c r="C4162" s="545">
        <v>15.833333333333334</v>
      </c>
      <c r="D4162" s="545">
        <v>11.333333333333332</v>
      </c>
      <c r="E4162" s="545">
        <v>9</v>
      </c>
      <c r="F4162" s="545">
        <v>14.214285714285714</v>
      </c>
      <c r="G4162" s="545">
        <v>13.15</v>
      </c>
      <c r="H4162" s="545">
        <v>12</v>
      </c>
      <c r="I4162" s="545">
        <v>7.666666666666667</v>
      </c>
      <c r="J4162" s="545">
        <v>12.202380952380953</v>
      </c>
    </row>
    <row r="4163" spans="1:10">
      <c r="A4163" s="441">
        <v>8358</v>
      </c>
      <c r="B4163" s="441" t="s">
        <v>4015</v>
      </c>
      <c r="C4163" s="545">
        <v>3.333333333333333</v>
      </c>
      <c r="D4163" s="545">
        <v>9</v>
      </c>
      <c r="E4163" s="545">
        <v>2</v>
      </c>
      <c r="F4163" s="545">
        <v>3.9523809523809521</v>
      </c>
      <c r="G4163" s="545">
        <v>2.4500000000000002</v>
      </c>
      <c r="H4163" s="545">
        <v>2.6666666666666665</v>
      </c>
      <c r="I4163" s="545">
        <v>1.6666666666666667</v>
      </c>
      <c r="J4163" s="545">
        <v>2.3690476190476191</v>
      </c>
    </row>
    <row r="4164" spans="1:10">
      <c r="A4164" s="441">
        <v>4581</v>
      </c>
      <c r="B4164" s="441" t="s">
        <v>4016</v>
      </c>
      <c r="C4164" s="545">
        <v>3.1666666666666665</v>
      </c>
      <c r="D4164" s="545">
        <v>1.6666666666666665</v>
      </c>
      <c r="E4164" s="545">
        <v>0.66666666666666663</v>
      </c>
      <c r="F4164" s="545">
        <v>2.5952380952380953</v>
      </c>
      <c r="G4164" s="545">
        <v>0.25</v>
      </c>
      <c r="H4164" s="545">
        <v>0.66666666666666663</v>
      </c>
      <c r="I4164" s="545">
        <v>0</v>
      </c>
      <c r="J4164" s="545">
        <v>0.27380952380952378</v>
      </c>
    </row>
    <row r="4165" spans="1:10">
      <c r="A4165" s="441">
        <v>5560</v>
      </c>
      <c r="B4165" s="441" t="s">
        <v>4017</v>
      </c>
      <c r="C4165" s="545">
        <v>17.666666666666668</v>
      </c>
      <c r="D4165" s="545">
        <v>13.333333333333334</v>
      </c>
      <c r="E4165" s="545">
        <v>9</v>
      </c>
      <c r="F4165" s="545">
        <v>15.80952380952381</v>
      </c>
      <c r="G4165" s="545">
        <v>5.4</v>
      </c>
      <c r="H4165" s="545">
        <v>9</v>
      </c>
      <c r="I4165" s="545">
        <v>4.333333333333333</v>
      </c>
      <c r="J4165" s="545">
        <v>5.7619047619047619</v>
      </c>
    </row>
    <row r="4166" spans="1:10">
      <c r="A4166" s="441">
        <v>5567</v>
      </c>
      <c r="B4166" s="441" t="s">
        <v>4017</v>
      </c>
      <c r="C4166" s="545">
        <v>13.833333333333334</v>
      </c>
      <c r="D4166" s="545">
        <v>12.666666666666666</v>
      </c>
      <c r="E4166" s="545">
        <v>3.3333333333333335</v>
      </c>
      <c r="F4166" s="545">
        <v>12.166666666666668</v>
      </c>
      <c r="G4166" s="545">
        <v>18.149999999999999</v>
      </c>
      <c r="H4166" s="545">
        <v>6</v>
      </c>
      <c r="I4166" s="545">
        <v>8</v>
      </c>
      <c r="J4166" s="545">
        <v>14.964285714285714</v>
      </c>
    </row>
    <row r="4167" spans="1:10">
      <c r="A4167" s="441">
        <v>5563</v>
      </c>
      <c r="B4167" s="441" t="s">
        <v>4018</v>
      </c>
      <c r="C4167" s="545">
        <v>11.5</v>
      </c>
      <c r="D4167" s="545">
        <v>5.3333333333333339</v>
      </c>
      <c r="E4167" s="545">
        <v>6.3333333333333339</v>
      </c>
      <c r="F4167" s="545">
        <v>9.8809523809523814</v>
      </c>
      <c r="G4167" s="545">
        <v>4.2</v>
      </c>
      <c r="H4167" s="545">
        <v>4.666666666666667</v>
      </c>
      <c r="I4167" s="545">
        <v>6.666666666666667</v>
      </c>
      <c r="J4167" s="545">
        <v>4.6190476190476195</v>
      </c>
    </row>
    <row r="4168" spans="1:10">
      <c r="A4168" s="441">
        <v>5564</v>
      </c>
      <c r="B4168" s="441" t="s">
        <v>4018</v>
      </c>
      <c r="C4168" s="545">
        <v>15.833333333333332</v>
      </c>
      <c r="D4168" s="545">
        <v>8</v>
      </c>
      <c r="E4168" s="545">
        <v>6</v>
      </c>
      <c r="F4168" s="545">
        <v>13.309523809523808</v>
      </c>
      <c r="G4168" s="545">
        <v>22.55</v>
      </c>
      <c r="H4168" s="545">
        <v>4</v>
      </c>
      <c r="I4168" s="545">
        <v>4</v>
      </c>
      <c r="J4168" s="545">
        <v>17.25</v>
      </c>
    </row>
    <row r="4169" spans="1:10">
      <c r="A4169" s="441">
        <v>5556</v>
      </c>
      <c r="B4169" s="441" t="s">
        <v>4019</v>
      </c>
      <c r="C4169" s="545">
        <v>4.333333333333333</v>
      </c>
      <c r="D4169" s="545">
        <v>0.66666666666666663</v>
      </c>
      <c r="E4169" s="545">
        <v>0</v>
      </c>
      <c r="F4169" s="545">
        <v>3.1904761904761902</v>
      </c>
      <c r="G4169" s="545">
        <v>8.5</v>
      </c>
      <c r="H4169" s="545">
        <v>14.333333333333334</v>
      </c>
      <c r="I4169" s="545">
        <v>2.6666666666666665</v>
      </c>
      <c r="J4169" s="545">
        <v>8.5</v>
      </c>
    </row>
    <row r="4170" spans="1:10">
      <c r="A4170" s="441">
        <v>5571</v>
      </c>
      <c r="B4170" s="441" t="s">
        <v>4019</v>
      </c>
      <c r="C4170" s="545">
        <v>3.333333333333333</v>
      </c>
      <c r="D4170" s="545">
        <v>1.3333333333333333</v>
      </c>
      <c r="E4170" s="545">
        <v>0.66666666666666663</v>
      </c>
      <c r="F4170" s="545">
        <v>2.6666666666666665</v>
      </c>
      <c r="G4170" s="545">
        <v>9.6</v>
      </c>
      <c r="H4170" s="545">
        <v>0</v>
      </c>
      <c r="I4170" s="545">
        <v>0.33333333333333331</v>
      </c>
      <c r="J4170" s="545">
        <v>6.9047619047619051</v>
      </c>
    </row>
    <row r="4171" spans="1:10">
      <c r="A4171" s="441">
        <v>4555</v>
      </c>
      <c r="B4171" s="441" t="s">
        <v>4020</v>
      </c>
      <c r="C4171" s="545">
        <v>21.333333333333336</v>
      </c>
      <c r="D4171" s="545">
        <v>7.6666666666666661</v>
      </c>
      <c r="E4171" s="545">
        <v>4.6666666666666661</v>
      </c>
      <c r="F4171" s="545">
        <v>17.000000000000004</v>
      </c>
      <c r="G4171" s="545">
        <v>19.399999999999999</v>
      </c>
      <c r="H4171" s="545">
        <v>7</v>
      </c>
      <c r="I4171" s="545">
        <v>3.6666666666666665</v>
      </c>
      <c r="J4171" s="545">
        <v>15.380952380952381</v>
      </c>
    </row>
    <row r="4172" spans="1:10">
      <c r="A4172" s="441">
        <v>4576</v>
      </c>
      <c r="B4172" s="441" t="s">
        <v>4020</v>
      </c>
      <c r="C4172" s="545">
        <v>22.166666666666664</v>
      </c>
      <c r="D4172" s="545">
        <v>17.333333333333332</v>
      </c>
      <c r="E4172" s="545">
        <v>6.3333333333333339</v>
      </c>
      <c r="F4172" s="545">
        <v>19.214285714285715</v>
      </c>
      <c r="G4172" s="545">
        <v>18.100000000000001</v>
      </c>
      <c r="H4172" s="545">
        <v>8</v>
      </c>
      <c r="I4172" s="545">
        <v>2.6666666666666665</v>
      </c>
      <c r="J4172" s="545">
        <v>14.452380952380953</v>
      </c>
    </row>
    <row r="4173" spans="1:10">
      <c r="A4173" s="441">
        <v>4543</v>
      </c>
      <c r="B4173" s="441" t="s">
        <v>4021</v>
      </c>
      <c r="C4173" s="545">
        <v>16.333333333333332</v>
      </c>
      <c r="D4173" s="545">
        <v>13.666666666666668</v>
      </c>
      <c r="E4173" s="545">
        <v>7</v>
      </c>
      <c r="F4173" s="545">
        <v>14.619047619047619</v>
      </c>
      <c r="G4173" s="545">
        <v>12.3</v>
      </c>
      <c r="H4173" s="545">
        <v>9</v>
      </c>
      <c r="I4173" s="545">
        <v>8.6666666666666661</v>
      </c>
      <c r="J4173" s="545">
        <v>11.30952380952381</v>
      </c>
    </row>
    <row r="4174" spans="1:10">
      <c r="A4174" s="441">
        <v>4588</v>
      </c>
      <c r="B4174" s="441" t="s">
        <v>4022</v>
      </c>
      <c r="C4174" s="545">
        <v>38.5</v>
      </c>
      <c r="D4174" s="545">
        <v>24.666666666666668</v>
      </c>
      <c r="E4174" s="545">
        <v>15.333333333333332</v>
      </c>
      <c r="F4174" s="545">
        <v>33.214285714285715</v>
      </c>
      <c r="G4174" s="545">
        <v>27.5</v>
      </c>
      <c r="H4174" s="545">
        <v>9.3333333333333339</v>
      </c>
      <c r="I4174" s="545">
        <v>10</v>
      </c>
      <c r="J4174" s="545">
        <v>22.404761904761905</v>
      </c>
    </row>
    <row r="4175" spans="1:10">
      <c r="A4175" s="441">
        <v>4558</v>
      </c>
      <c r="B4175" s="441" t="s">
        <v>4023</v>
      </c>
      <c r="C4175" s="545">
        <v>26.666666666666668</v>
      </c>
      <c r="D4175" s="545">
        <v>11.666666666666666</v>
      </c>
      <c r="E4175" s="545">
        <v>6.666666666666667</v>
      </c>
      <c r="F4175" s="545">
        <v>21.666666666666664</v>
      </c>
      <c r="G4175" s="545">
        <v>13.25</v>
      </c>
      <c r="H4175" s="545">
        <v>6</v>
      </c>
      <c r="I4175" s="545">
        <v>7.666666666666667</v>
      </c>
      <c r="J4175" s="545">
        <v>11.416666666666668</v>
      </c>
    </row>
    <row r="4176" spans="1:10">
      <c r="A4176" s="441">
        <v>4573</v>
      </c>
      <c r="B4176" s="441" t="s">
        <v>4023</v>
      </c>
      <c r="C4176" s="545">
        <v>15.5</v>
      </c>
      <c r="D4176" s="545">
        <v>7</v>
      </c>
      <c r="E4176" s="545">
        <v>5.666666666666667</v>
      </c>
      <c r="F4176" s="545">
        <v>12.880952380952381</v>
      </c>
      <c r="G4176" s="545">
        <v>7.1</v>
      </c>
      <c r="H4176" s="545">
        <v>4</v>
      </c>
      <c r="I4176" s="545">
        <v>2.3333333333333335</v>
      </c>
      <c r="J4176" s="545">
        <v>5.9761904761904763</v>
      </c>
    </row>
    <row r="4177" spans="1:10">
      <c r="A4177" s="441">
        <v>4559</v>
      </c>
      <c r="B4177" s="441" t="s">
        <v>4024</v>
      </c>
      <c r="C4177" s="545">
        <v>25.833333333333332</v>
      </c>
      <c r="D4177" s="545">
        <v>22.333333333333336</v>
      </c>
      <c r="E4177" s="545">
        <v>7.333333333333333</v>
      </c>
      <c r="F4177" s="545">
        <v>22.690476190476193</v>
      </c>
      <c r="G4177" s="545">
        <v>17.8</v>
      </c>
      <c r="H4177" s="545">
        <v>18</v>
      </c>
      <c r="I4177" s="545">
        <v>7.333333333333333</v>
      </c>
      <c r="J4177" s="545">
        <v>16.333333333333332</v>
      </c>
    </row>
    <row r="4178" spans="1:10">
      <c r="A4178" s="441">
        <v>4549</v>
      </c>
      <c r="B4178" s="441" t="s">
        <v>4025</v>
      </c>
      <c r="C4178" s="545">
        <v>5</v>
      </c>
      <c r="D4178" s="545">
        <v>1</v>
      </c>
      <c r="E4178" s="545">
        <v>0</v>
      </c>
      <c r="F4178" s="545">
        <v>3.7142857142857144</v>
      </c>
      <c r="G4178" s="545">
        <v>0.4</v>
      </c>
      <c r="H4178" s="545">
        <v>0</v>
      </c>
      <c r="I4178" s="545">
        <v>0</v>
      </c>
      <c r="J4178" s="545">
        <v>0.2857142857142857</v>
      </c>
    </row>
    <row r="4179" spans="1:10">
      <c r="A4179" s="441">
        <v>4550</v>
      </c>
      <c r="B4179" s="441" t="s">
        <v>4026</v>
      </c>
      <c r="C4179" s="545">
        <v>0.83333333333333337</v>
      </c>
      <c r="D4179" s="545">
        <v>1</v>
      </c>
      <c r="E4179" s="545">
        <v>0.66666666666666663</v>
      </c>
      <c r="F4179" s="545">
        <v>0.83333333333333337</v>
      </c>
      <c r="G4179" s="545">
        <v>0.25</v>
      </c>
      <c r="H4179" s="545">
        <v>0</v>
      </c>
      <c r="I4179" s="545">
        <v>0</v>
      </c>
      <c r="J4179" s="545">
        <v>0.17857142857142858</v>
      </c>
    </row>
    <row r="4180" spans="1:10">
      <c r="A4180" s="441">
        <v>4582</v>
      </c>
      <c r="B4180" s="441" t="s">
        <v>4027</v>
      </c>
      <c r="C4180" s="545">
        <v>2.8333333333333335</v>
      </c>
      <c r="D4180" s="545">
        <v>3</v>
      </c>
      <c r="E4180" s="545">
        <v>1</v>
      </c>
      <c r="F4180" s="545">
        <v>2.5952380952380953</v>
      </c>
      <c r="G4180" s="545">
        <v>16.5</v>
      </c>
      <c r="H4180" s="545">
        <v>2</v>
      </c>
      <c r="I4180" s="545">
        <v>0.33333333333333331</v>
      </c>
      <c r="J4180" s="545">
        <v>12.119047619047619</v>
      </c>
    </row>
    <row r="4181" spans="1:10">
      <c r="A4181" s="441">
        <v>4585</v>
      </c>
      <c r="B4181" s="441" t="s">
        <v>4028</v>
      </c>
      <c r="C4181" s="545">
        <v>33.333333333333336</v>
      </c>
      <c r="D4181" s="545">
        <v>21</v>
      </c>
      <c r="E4181" s="545">
        <v>14.333333333333334</v>
      </c>
      <c r="F4181" s="545">
        <v>28.857142857142861</v>
      </c>
      <c r="G4181" s="545">
        <v>17.5</v>
      </c>
      <c r="H4181" s="545">
        <v>9.6666666666666661</v>
      </c>
      <c r="I4181" s="545">
        <v>7</v>
      </c>
      <c r="J4181" s="545">
        <v>14.880952380952381</v>
      </c>
    </row>
    <row r="4182" spans="1:10">
      <c r="A4182" s="441">
        <v>4556</v>
      </c>
      <c r="B4182" s="441" t="s">
        <v>4029</v>
      </c>
      <c r="C4182" s="545">
        <v>2.1666666666666665</v>
      </c>
      <c r="D4182" s="545">
        <v>0.33333333333333331</v>
      </c>
      <c r="E4182" s="545">
        <v>0</v>
      </c>
      <c r="F4182" s="545">
        <v>1.5952380952380951</v>
      </c>
      <c r="G4182" s="545">
        <v>6.4</v>
      </c>
      <c r="H4182" s="545">
        <v>1</v>
      </c>
      <c r="I4182" s="545">
        <v>0</v>
      </c>
      <c r="J4182" s="545">
        <v>4.7142857142857144</v>
      </c>
    </row>
    <row r="4183" spans="1:10">
      <c r="A4183" s="441">
        <v>4575</v>
      </c>
      <c r="B4183" s="441" t="s">
        <v>4029</v>
      </c>
      <c r="C4183" s="545">
        <v>2.1666666666666665</v>
      </c>
      <c r="D4183" s="545">
        <v>1</v>
      </c>
      <c r="E4183" s="545">
        <v>0.33333333333333331</v>
      </c>
      <c r="F4183" s="545">
        <v>1.7380952380952379</v>
      </c>
      <c r="G4183" s="545">
        <v>1.1499999999999999</v>
      </c>
      <c r="H4183" s="545">
        <v>0.33333333333333331</v>
      </c>
      <c r="I4183" s="545">
        <v>0.33333333333333331</v>
      </c>
      <c r="J4183" s="545">
        <v>0.91666666666666663</v>
      </c>
    </row>
    <row r="4184" spans="1:10">
      <c r="A4184" s="441">
        <v>4580</v>
      </c>
      <c r="B4184" s="441" t="s">
        <v>4030</v>
      </c>
      <c r="C4184" s="545">
        <v>1.1666666666666665</v>
      </c>
      <c r="D4184" s="545">
        <v>0</v>
      </c>
      <c r="E4184" s="545">
        <v>0.33333333333333331</v>
      </c>
      <c r="F4184" s="545">
        <v>0.88095238095238071</v>
      </c>
      <c r="G4184" s="545">
        <v>9</v>
      </c>
      <c r="H4184" s="545">
        <v>0</v>
      </c>
      <c r="I4184" s="545">
        <v>1</v>
      </c>
      <c r="J4184" s="545">
        <v>6.5714285714285712</v>
      </c>
    </row>
    <row r="4185" spans="1:10">
      <c r="A4185" s="441">
        <v>4553</v>
      </c>
      <c r="B4185" s="441" t="s">
        <v>4031</v>
      </c>
      <c r="C4185" s="545">
        <v>25.166666666666668</v>
      </c>
      <c r="D4185" s="545">
        <v>15.333333333333334</v>
      </c>
      <c r="E4185" s="545">
        <v>11</v>
      </c>
      <c r="F4185" s="545">
        <v>21.738095238095241</v>
      </c>
      <c r="G4185" s="545">
        <v>29.75</v>
      </c>
      <c r="H4185" s="545">
        <v>12.666666666666666</v>
      </c>
      <c r="I4185" s="545">
        <v>7.666666666666667</v>
      </c>
      <c r="J4185" s="545">
        <v>24.154761904761902</v>
      </c>
    </row>
    <row r="4186" spans="1:10">
      <c r="A4186" s="441">
        <v>4577</v>
      </c>
      <c r="B4186" s="441" t="s">
        <v>4031</v>
      </c>
      <c r="C4186" s="545">
        <v>14.333333333333334</v>
      </c>
      <c r="D4186" s="545">
        <v>6</v>
      </c>
      <c r="E4186" s="545">
        <v>5.333333333333333</v>
      </c>
      <c r="F4186" s="545">
        <v>11.857142857142858</v>
      </c>
      <c r="G4186" s="545">
        <v>18.7</v>
      </c>
      <c r="H4186" s="545">
        <v>6.333333333333333</v>
      </c>
      <c r="I4186" s="545">
        <v>4.666666666666667</v>
      </c>
      <c r="J4186" s="545">
        <v>14.928571428571429</v>
      </c>
    </row>
    <row r="4187" spans="1:10">
      <c r="A4187" s="441">
        <v>5553</v>
      </c>
      <c r="B4187" s="441" t="s">
        <v>4032</v>
      </c>
      <c r="C4187" s="545">
        <v>1.1666666666666667</v>
      </c>
      <c r="D4187" s="545">
        <v>0.33333333333333331</v>
      </c>
      <c r="E4187" s="545">
        <v>0</v>
      </c>
      <c r="F4187" s="545">
        <v>0.88095238095238104</v>
      </c>
      <c r="G4187" s="545">
        <v>6.25</v>
      </c>
      <c r="H4187" s="545">
        <v>1.3333333333333333</v>
      </c>
      <c r="I4187" s="545">
        <v>1.6666666666666667</v>
      </c>
      <c r="J4187" s="545">
        <v>4.8928571428571432</v>
      </c>
    </row>
    <row r="4188" spans="1:10">
      <c r="A4188" s="441">
        <v>5574</v>
      </c>
      <c r="B4188" s="441" t="s">
        <v>4032</v>
      </c>
      <c r="C4188" s="545">
        <v>2.5</v>
      </c>
      <c r="D4188" s="545">
        <v>1.6666666666666665</v>
      </c>
      <c r="E4188" s="545">
        <v>0</v>
      </c>
      <c r="F4188" s="545">
        <v>2.0238095238095237</v>
      </c>
      <c r="G4188" s="545">
        <v>12.45</v>
      </c>
      <c r="H4188" s="545">
        <v>2.6666666666666665</v>
      </c>
      <c r="I4188" s="545">
        <v>2.3333333333333335</v>
      </c>
      <c r="J4188" s="545">
        <v>9.6071428571428577</v>
      </c>
    </row>
    <row r="4189" spans="1:10">
      <c r="A4189" s="441">
        <v>5559</v>
      </c>
      <c r="B4189" s="441" t="s">
        <v>4033</v>
      </c>
      <c r="C4189" s="545">
        <v>10</v>
      </c>
      <c r="D4189" s="545">
        <v>3.3333333333333335</v>
      </c>
      <c r="E4189" s="545">
        <v>3</v>
      </c>
      <c r="F4189" s="545">
        <v>8.0476190476190474</v>
      </c>
      <c r="G4189" s="545">
        <v>6.95</v>
      </c>
      <c r="H4189" s="545">
        <v>5.333333333333333</v>
      </c>
      <c r="I4189" s="545">
        <v>2.3333333333333335</v>
      </c>
      <c r="J4189" s="545">
        <v>6.0595238095238102</v>
      </c>
    </row>
    <row r="4190" spans="1:10">
      <c r="A4190" s="441">
        <v>5569</v>
      </c>
      <c r="B4190" s="441" t="s">
        <v>4033</v>
      </c>
      <c r="C4190" s="545">
        <v>12.333333333333334</v>
      </c>
      <c r="D4190" s="545">
        <v>8.3333333333333339</v>
      </c>
      <c r="E4190" s="545">
        <v>13</v>
      </c>
      <c r="F4190" s="545">
        <v>11.857142857142858</v>
      </c>
      <c r="G4190" s="545">
        <v>10.050000000000001</v>
      </c>
      <c r="H4190" s="545">
        <v>4.333333333333333</v>
      </c>
      <c r="I4190" s="545">
        <v>14.333333333333334</v>
      </c>
      <c r="J4190" s="545">
        <v>9.8452380952380967</v>
      </c>
    </row>
    <row r="4191" spans="1:10">
      <c r="A4191" s="441">
        <v>4561</v>
      </c>
      <c r="B4191" s="441" t="s">
        <v>4034</v>
      </c>
      <c r="C4191" s="545">
        <v>82</v>
      </c>
      <c r="D4191" s="545">
        <v>64</v>
      </c>
      <c r="E4191" s="545">
        <v>44</v>
      </c>
      <c r="F4191" s="545">
        <v>74</v>
      </c>
      <c r="G4191" s="545">
        <v>31.7</v>
      </c>
      <c r="H4191" s="545">
        <v>44.666666666666664</v>
      </c>
      <c r="I4191" s="545">
        <v>27.333333333333332</v>
      </c>
      <c r="J4191" s="545">
        <v>32.928571428571431</v>
      </c>
    </row>
    <row r="4192" spans="1:10">
      <c r="A4192" s="441">
        <v>4570</v>
      </c>
      <c r="B4192" s="441" t="s">
        <v>4034</v>
      </c>
      <c r="C4192" s="545">
        <v>46.666666666666664</v>
      </c>
      <c r="D4192" s="545">
        <v>39.666666666666664</v>
      </c>
      <c r="E4192" s="545">
        <v>25</v>
      </c>
      <c r="F4192" s="545">
        <v>42.571428571428569</v>
      </c>
      <c r="G4192" s="545">
        <v>16.2</v>
      </c>
      <c r="H4192" s="545">
        <v>23.666666666666668</v>
      </c>
      <c r="I4192" s="545">
        <v>10.333333333333334</v>
      </c>
      <c r="J4192" s="545">
        <v>16.428571428571427</v>
      </c>
    </row>
    <row r="4193" spans="1:10">
      <c r="A4193" s="441">
        <v>11443</v>
      </c>
      <c r="B4193" s="441" t="s">
        <v>4035</v>
      </c>
      <c r="C4193" s="545">
        <v>3.5</v>
      </c>
      <c r="D4193" s="545">
        <v>0.66666666666666663</v>
      </c>
      <c r="E4193" s="545">
        <v>0.66666666666666663</v>
      </c>
      <c r="F4193" s="545">
        <v>2.6904761904761907</v>
      </c>
      <c r="G4193" s="545">
        <v>12.1</v>
      </c>
      <c r="H4193" s="545">
        <v>1.3333333333333333</v>
      </c>
      <c r="I4193" s="545">
        <v>1.3333333333333333</v>
      </c>
      <c r="J4193" s="545">
        <v>9.0238095238095237</v>
      </c>
    </row>
    <row r="4194" spans="1:10">
      <c r="A4194" s="441">
        <v>4572</v>
      </c>
      <c r="B4194" s="441" t="s">
        <v>4036</v>
      </c>
      <c r="C4194" s="545">
        <v>8.6666666666666661</v>
      </c>
      <c r="D4194" s="545">
        <v>7.6666666666666661</v>
      </c>
      <c r="E4194" s="545">
        <v>1</v>
      </c>
      <c r="F4194" s="545">
        <v>7.4285714285714279</v>
      </c>
      <c r="G4194" s="545">
        <v>14.5</v>
      </c>
      <c r="H4194" s="545">
        <v>5.666666666666667</v>
      </c>
      <c r="I4194" s="545">
        <v>2.3333333333333335</v>
      </c>
      <c r="J4194" s="545">
        <v>11.5</v>
      </c>
    </row>
    <row r="4195" spans="1:10">
      <c r="A4195" s="441">
        <v>5561</v>
      </c>
      <c r="B4195" s="441" t="s">
        <v>4036</v>
      </c>
      <c r="C4195" s="545">
        <v>6</v>
      </c>
      <c r="D4195" s="545">
        <v>3</v>
      </c>
      <c r="E4195" s="545">
        <v>1.6666666666666665</v>
      </c>
      <c r="F4195" s="545">
        <v>4.9523809523809517</v>
      </c>
      <c r="G4195" s="545">
        <v>13.05</v>
      </c>
      <c r="H4195" s="545">
        <v>2.6666666666666665</v>
      </c>
      <c r="I4195" s="545">
        <v>3.6666666666666665</v>
      </c>
      <c r="J4195" s="545">
        <v>10.226190476190478</v>
      </c>
    </row>
    <row r="4196" spans="1:10">
      <c r="A4196" s="441">
        <v>5566</v>
      </c>
      <c r="B4196" s="441" t="s">
        <v>4036</v>
      </c>
      <c r="C4196" s="545">
        <v>12.833333333333334</v>
      </c>
      <c r="D4196" s="545">
        <v>6.333333333333333</v>
      </c>
      <c r="E4196" s="545">
        <v>4.666666666666667</v>
      </c>
      <c r="F4196" s="545">
        <v>10.738095238095239</v>
      </c>
      <c r="G4196" s="545">
        <v>10.55</v>
      </c>
      <c r="H4196" s="545">
        <v>2.6666666666666665</v>
      </c>
      <c r="I4196" s="545">
        <v>4.333333333333333</v>
      </c>
      <c r="J4196" s="545">
        <v>8.5357142857142865</v>
      </c>
    </row>
    <row r="4197" spans="1:10">
      <c r="A4197" s="441">
        <v>4562</v>
      </c>
      <c r="B4197" s="441" t="s">
        <v>4037</v>
      </c>
      <c r="C4197" s="545">
        <v>10.5</v>
      </c>
      <c r="D4197" s="545">
        <v>15.666666666666666</v>
      </c>
      <c r="E4197" s="545">
        <v>10.333333333333332</v>
      </c>
      <c r="F4197" s="545">
        <v>11.214285714285714</v>
      </c>
      <c r="G4197" s="545">
        <v>4.9000000000000004</v>
      </c>
      <c r="H4197" s="545">
        <v>8</v>
      </c>
      <c r="I4197" s="545">
        <v>7.666666666666667</v>
      </c>
      <c r="J4197" s="545">
        <v>5.7380952380952381</v>
      </c>
    </row>
    <row r="4198" spans="1:10">
      <c r="A4198" s="441">
        <v>4569</v>
      </c>
      <c r="B4198" s="441" t="s">
        <v>4037</v>
      </c>
      <c r="C4198" s="545">
        <v>10.333333333333332</v>
      </c>
      <c r="D4198" s="545">
        <v>17.333333333333336</v>
      </c>
      <c r="E4198" s="545">
        <v>17.333333333333332</v>
      </c>
      <c r="F4198" s="545">
        <v>12.333333333333332</v>
      </c>
      <c r="G4198" s="545">
        <v>8.5500000000000007</v>
      </c>
      <c r="H4198" s="545">
        <v>14.666666666666666</v>
      </c>
      <c r="I4198" s="545">
        <v>5.666666666666667</v>
      </c>
      <c r="J4198" s="545">
        <v>9.011904761904761</v>
      </c>
    </row>
    <row r="4199" spans="1:10">
      <c r="A4199" s="441">
        <v>4590</v>
      </c>
      <c r="B4199" s="441" t="s">
        <v>4038</v>
      </c>
      <c r="C4199" s="545">
        <v>5.6666666666666661</v>
      </c>
      <c r="D4199" s="545">
        <v>6.333333333333333</v>
      </c>
      <c r="E4199" s="545">
        <v>4</v>
      </c>
      <c r="F4199" s="545">
        <v>5.5238095238095237</v>
      </c>
      <c r="G4199" s="545">
        <v>9.4</v>
      </c>
      <c r="H4199" s="545">
        <v>1.6666666666666667</v>
      </c>
      <c r="I4199" s="545">
        <v>4</v>
      </c>
      <c r="J4199" s="545">
        <v>7.5238095238095237</v>
      </c>
    </row>
    <row r="4200" spans="1:10">
      <c r="A4200" s="441">
        <v>4571</v>
      </c>
      <c r="B4200" s="441" t="s">
        <v>4039</v>
      </c>
      <c r="C4200" s="545">
        <v>19.5</v>
      </c>
      <c r="D4200" s="545">
        <v>14</v>
      </c>
      <c r="E4200" s="545">
        <v>12</v>
      </c>
      <c r="F4200" s="545">
        <v>17.642857142857142</v>
      </c>
      <c r="G4200" s="545">
        <v>16.649999999999999</v>
      </c>
      <c r="H4200" s="545">
        <v>15.333333333333334</v>
      </c>
      <c r="I4200" s="545">
        <v>13</v>
      </c>
      <c r="J4200" s="545">
        <v>15.94047619047619</v>
      </c>
    </row>
    <row r="4201" spans="1:10">
      <c r="A4201" s="441">
        <v>5554</v>
      </c>
      <c r="B4201" s="441" t="s">
        <v>4040</v>
      </c>
      <c r="C4201" s="545">
        <v>1.8333333333333335</v>
      </c>
      <c r="D4201" s="545">
        <v>1</v>
      </c>
      <c r="E4201" s="545">
        <v>0.33333333333333331</v>
      </c>
      <c r="F4201" s="545">
        <v>1.5000000000000002</v>
      </c>
      <c r="G4201" s="545">
        <v>0.5</v>
      </c>
      <c r="H4201" s="545">
        <v>0.33333333333333331</v>
      </c>
      <c r="I4201" s="545">
        <v>0</v>
      </c>
      <c r="J4201" s="545">
        <v>0.40476190476190477</v>
      </c>
    </row>
    <row r="4202" spans="1:10">
      <c r="A4202" s="441">
        <v>5573</v>
      </c>
      <c r="B4202" s="441" t="s">
        <v>4040</v>
      </c>
      <c r="C4202" s="545">
        <v>1.6666666666666665</v>
      </c>
      <c r="D4202" s="545">
        <v>0.66666666666666663</v>
      </c>
      <c r="E4202" s="545">
        <v>1</v>
      </c>
      <c r="F4202" s="545">
        <v>1.4285714285714284</v>
      </c>
      <c r="G4202" s="545">
        <v>1.1000000000000001</v>
      </c>
      <c r="H4202" s="545">
        <v>1</v>
      </c>
      <c r="I4202" s="545">
        <v>0.66666666666666663</v>
      </c>
      <c r="J4202" s="545">
        <v>1.0238095238095239</v>
      </c>
    </row>
    <row r="4203" spans="1:10">
      <c r="A4203" s="441">
        <v>4548</v>
      </c>
      <c r="B4203" s="441" t="s">
        <v>4041</v>
      </c>
      <c r="C4203" s="545">
        <v>1.8333333333333335</v>
      </c>
      <c r="D4203" s="545">
        <v>3</v>
      </c>
      <c r="E4203" s="545">
        <v>1</v>
      </c>
      <c r="F4203" s="545">
        <v>1.8809523809523812</v>
      </c>
      <c r="G4203" s="545">
        <v>4.5</v>
      </c>
      <c r="H4203" s="545">
        <v>0.66666666666666663</v>
      </c>
      <c r="I4203" s="545">
        <v>0.33333333333333331</v>
      </c>
      <c r="J4203" s="545">
        <v>3.3571428571428572</v>
      </c>
    </row>
    <row r="4204" spans="1:10">
      <c r="A4204" s="441">
        <v>11444</v>
      </c>
      <c r="B4204" s="441" t="s">
        <v>4042</v>
      </c>
      <c r="C4204" s="545">
        <v>3.833333333333333</v>
      </c>
      <c r="D4204" s="545">
        <v>0.33333333333333331</v>
      </c>
      <c r="E4204" s="545">
        <v>0</v>
      </c>
      <c r="F4204" s="545">
        <v>2.7857142857142851</v>
      </c>
      <c r="G4204" s="545">
        <v>1.3</v>
      </c>
      <c r="H4204" s="545">
        <v>2</v>
      </c>
      <c r="I4204" s="545">
        <v>3.3333333333333335</v>
      </c>
      <c r="J4204" s="545">
        <v>1.6904761904761905</v>
      </c>
    </row>
    <row r="4205" spans="1:10">
      <c r="A4205" s="441">
        <v>4546</v>
      </c>
      <c r="B4205" s="441" t="s">
        <v>4043</v>
      </c>
      <c r="C4205" s="545">
        <v>26.333333333333336</v>
      </c>
      <c r="D4205" s="545">
        <v>9.3333333333333321</v>
      </c>
      <c r="E4205" s="545">
        <v>10</v>
      </c>
      <c r="F4205" s="545">
        <v>21.571428571428577</v>
      </c>
      <c r="G4205" s="545">
        <v>9.15</v>
      </c>
      <c r="H4205" s="545">
        <v>5.666666666666667</v>
      </c>
      <c r="I4205" s="545">
        <v>5</v>
      </c>
      <c r="J4205" s="545">
        <v>8.0595238095238084</v>
      </c>
    </row>
    <row r="4206" spans="1:10">
      <c r="A4206" s="441">
        <v>4586</v>
      </c>
      <c r="B4206" s="441" t="s">
        <v>4044</v>
      </c>
      <c r="C4206" s="545">
        <v>8.8333333333333339</v>
      </c>
      <c r="D4206" s="545">
        <v>3.6666666666666665</v>
      </c>
      <c r="E4206" s="545">
        <v>1</v>
      </c>
      <c r="F4206" s="545">
        <v>6.9761904761904763</v>
      </c>
      <c r="G4206" s="545">
        <v>21.95</v>
      </c>
      <c r="H4206" s="545">
        <v>8</v>
      </c>
      <c r="I4206" s="545">
        <v>4.666666666666667</v>
      </c>
      <c r="J4206" s="545">
        <v>17.488095238095237</v>
      </c>
    </row>
    <row r="4207" spans="1:10">
      <c r="A4207" s="441">
        <v>5557</v>
      </c>
      <c r="B4207" s="441" t="s">
        <v>4045</v>
      </c>
      <c r="C4207" s="545">
        <v>1.5</v>
      </c>
      <c r="D4207" s="545">
        <v>0</v>
      </c>
      <c r="E4207" s="545">
        <v>0</v>
      </c>
      <c r="F4207" s="545">
        <v>1.0714285714285714</v>
      </c>
      <c r="G4207" s="545">
        <v>2.1</v>
      </c>
      <c r="H4207" s="545">
        <v>7</v>
      </c>
      <c r="I4207" s="545">
        <v>2</v>
      </c>
      <c r="J4207" s="545">
        <v>2.7857142857142856</v>
      </c>
    </row>
    <row r="4208" spans="1:10">
      <c r="A4208" s="441">
        <v>5570</v>
      </c>
      <c r="B4208" s="441" t="s">
        <v>4045</v>
      </c>
      <c r="C4208" s="545">
        <v>3.8333333333333335</v>
      </c>
      <c r="D4208" s="545">
        <v>1</v>
      </c>
      <c r="E4208" s="545">
        <v>0.33333333333333331</v>
      </c>
      <c r="F4208" s="545">
        <v>2.9285714285714284</v>
      </c>
      <c r="G4208" s="545">
        <v>6.2</v>
      </c>
      <c r="H4208" s="545">
        <v>3.3333333333333335</v>
      </c>
      <c r="I4208" s="545">
        <v>1.3333333333333333</v>
      </c>
      <c r="J4208" s="545">
        <v>5.0952380952380958</v>
      </c>
    </row>
    <row r="4209" spans="1:10">
      <c r="A4209" s="441">
        <v>4584</v>
      </c>
      <c r="B4209" s="441" t="s">
        <v>4046</v>
      </c>
      <c r="C4209" s="545">
        <v>15.5</v>
      </c>
      <c r="D4209" s="545">
        <v>10.666666666666668</v>
      </c>
      <c r="E4209" s="545">
        <v>6</v>
      </c>
      <c r="F4209" s="545">
        <v>13.452380952380953</v>
      </c>
      <c r="G4209" s="545">
        <v>28.65</v>
      </c>
      <c r="H4209" s="545">
        <v>9.6666666666666661</v>
      </c>
      <c r="I4209" s="545">
        <v>10</v>
      </c>
      <c r="J4209" s="545">
        <v>23.273809523809522</v>
      </c>
    </row>
    <row r="4210" spans="1:10">
      <c r="A4210" s="441">
        <v>4592</v>
      </c>
      <c r="B4210" s="441" t="s">
        <v>4046</v>
      </c>
      <c r="C4210" s="545">
        <v>16.666666666666668</v>
      </c>
      <c r="D4210" s="545">
        <v>14</v>
      </c>
      <c r="E4210" s="545">
        <v>8.6666666666666661</v>
      </c>
      <c r="F4210" s="545">
        <v>15.142857142857144</v>
      </c>
      <c r="G4210" s="545">
        <v>35.15</v>
      </c>
      <c r="H4210" s="545">
        <v>11</v>
      </c>
      <c r="I4210" s="545">
        <v>11.666666666666666</v>
      </c>
      <c r="J4210" s="545">
        <v>28.345238095238095</v>
      </c>
    </row>
    <row r="4211" spans="1:10">
      <c r="A4211" s="441">
        <v>5562</v>
      </c>
      <c r="B4211" s="441" t="s">
        <v>4047</v>
      </c>
      <c r="C4211" s="545">
        <v>52.833333333333329</v>
      </c>
      <c r="D4211" s="545">
        <v>28.666666666666664</v>
      </c>
      <c r="E4211" s="545">
        <v>24.666666666666668</v>
      </c>
      <c r="F4211" s="545">
        <v>45.357142857142854</v>
      </c>
      <c r="G4211" s="545">
        <v>79</v>
      </c>
      <c r="H4211" s="545">
        <v>27.666666666666668</v>
      </c>
      <c r="I4211" s="545">
        <v>27</v>
      </c>
      <c r="J4211" s="545">
        <v>64.238095238095241</v>
      </c>
    </row>
    <row r="4212" spans="1:10">
      <c r="A4212" s="441">
        <v>5565</v>
      </c>
      <c r="B4212" s="441" t="s">
        <v>4047</v>
      </c>
      <c r="C4212" s="545">
        <v>51.166666666666671</v>
      </c>
      <c r="D4212" s="545">
        <v>33</v>
      </c>
      <c r="E4212" s="545">
        <v>19.333333333333336</v>
      </c>
      <c r="F4212" s="545">
        <v>44.023809523809526</v>
      </c>
      <c r="G4212" s="545">
        <v>64.3</v>
      </c>
      <c r="H4212" s="545">
        <v>33.666666666666664</v>
      </c>
      <c r="I4212" s="545">
        <v>24</v>
      </c>
      <c r="J4212" s="545">
        <v>54.166666666666671</v>
      </c>
    </row>
    <row r="4213" spans="1:10">
      <c r="A4213" s="441">
        <v>4545</v>
      </c>
      <c r="B4213" s="441" t="s">
        <v>4048</v>
      </c>
      <c r="C4213" s="545">
        <v>8.8333333333333339</v>
      </c>
      <c r="D4213" s="545">
        <v>3</v>
      </c>
      <c r="E4213" s="545">
        <v>2</v>
      </c>
      <c r="F4213" s="545">
        <v>7.0238095238095246</v>
      </c>
      <c r="G4213" s="545">
        <v>13.7</v>
      </c>
      <c r="H4213" s="545">
        <v>7</v>
      </c>
      <c r="I4213" s="545">
        <v>3</v>
      </c>
      <c r="J4213" s="545">
        <v>11.214285714285714</v>
      </c>
    </row>
    <row r="4214" spans="1:10">
      <c r="A4214" s="441">
        <v>5555</v>
      </c>
      <c r="B4214" s="441" t="s">
        <v>4049</v>
      </c>
      <c r="C4214" s="545">
        <v>9.1666666666666661</v>
      </c>
      <c r="D4214" s="545">
        <v>3.666666666666667</v>
      </c>
      <c r="E4214" s="545">
        <v>0.66666666666666663</v>
      </c>
      <c r="F4214" s="545">
        <v>7.1666666666666652</v>
      </c>
      <c r="G4214" s="545">
        <v>2.2000000000000002</v>
      </c>
      <c r="H4214" s="545">
        <v>1</v>
      </c>
      <c r="I4214" s="545">
        <v>0.66666666666666663</v>
      </c>
      <c r="J4214" s="545">
        <v>1.8095238095238095</v>
      </c>
    </row>
    <row r="4215" spans="1:10">
      <c r="A4215" s="441">
        <v>5572</v>
      </c>
      <c r="B4215" s="441" t="s">
        <v>4049</v>
      </c>
      <c r="C4215" s="545">
        <v>10</v>
      </c>
      <c r="D4215" s="545">
        <v>4.6666666666666661</v>
      </c>
      <c r="E4215" s="545">
        <v>0.66666666666666663</v>
      </c>
      <c r="F4215" s="545">
        <v>7.9047619047619042</v>
      </c>
      <c r="G4215" s="545">
        <v>1.65</v>
      </c>
      <c r="H4215" s="545">
        <v>1.3333333333333333</v>
      </c>
      <c r="I4215" s="545">
        <v>1.6666666666666667</v>
      </c>
      <c r="J4215" s="545">
        <v>1.6071428571428572</v>
      </c>
    </row>
    <row r="4216" spans="1:10">
      <c r="A4216" s="441">
        <v>5552</v>
      </c>
      <c r="B4216" s="441" t="s">
        <v>4050</v>
      </c>
      <c r="C4216" s="545">
        <v>3.833333333333333</v>
      </c>
      <c r="D4216" s="545">
        <v>2.666666666666667</v>
      </c>
      <c r="E4216" s="545">
        <v>1</v>
      </c>
      <c r="F4216" s="545">
        <v>3.2619047619047619</v>
      </c>
      <c r="G4216" s="545">
        <v>9.65</v>
      </c>
      <c r="H4216" s="545">
        <v>3.6666666666666665</v>
      </c>
      <c r="I4216" s="545">
        <v>0.66666666666666663</v>
      </c>
      <c r="J4216" s="545">
        <v>7.511904761904761</v>
      </c>
    </row>
    <row r="4217" spans="1:10">
      <c r="A4217" s="441">
        <v>4578</v>
      </c>
      <c r="B4217" s="441" t="s">
        <v>4051</v>
      </c>
      <c r="C4217" s="545">
        <v>20.833333333333332</v>
      </c>
      <c r="D4217" s="545">
        <v>9.3333333333333321</v>
      </c>
      <c r="E4217" s="545">
        <v>9.3333333333333321</v>
      </c>
      <c r="F4217" s="545">
        <v>17.547619047619044</v>
      </c>
      <c r="G4217" s="545">
        <v>26.3</v>
      </c>
      <c r="H4217" s="545">
        <v>4.666666666666667</v>
      </c>
      <c r="I4217" s="545">
        <v>4.333333333333333</v>
      </c>
      <c r="J4217" s="545">
        <v>20.071428571428573</v>
      </c>
    </row>
    <row r="4218" spans="1:10">
      <c r="A4218" s="441">
        <v>4542</v>
      </c>
      <c r="B4218" s="441" t="s">
        <v>4052</v>
      </c>
      <c r="C4218" s="545">
        <v>26.666666666666668</v>
      </c>
      <c r="D4218" s="545">
        <v>13.333333333333332</v>
      </c>
      <c r="E4218" s="545">
        <v>14</v>
      </c>
      <c r="F4218" s="545">
        <v>22.952380952380956</v>
      </c>
      <c r="G4218" s="545">
        <v>49.75</v>
      </c>
      <c r="H4218" s="545">
        <v>5.666666666666667</v>
      </c>
      <c r="I4218" s="545">
        <v>5</v>
      </c>
      <c r="J4218" s="545">
        <v>37.059523809523803</v>
      </c>
    </row>
    <row r="4219" spans="1:10">
      <c r="A4219" s="441">
        <v>4589</v>
      </c>
      <c r="B4219" s="441" t="s">
        <v>4052</v>
      </c>
      <c r="C4219" s="545">
        <v>7.1666666666666661</v>
      </c>
      <c r="D4219" s="545">
        <v>7</v>
      </c>
      <c r="E4219" s="545">
        <v>4.333333333333333</v>
      </c>
      <c r="F4219" s="545">
        <v>6.7380952380952381</v>
      </c>
      <c r="G4219" s="545">
        <v>14.25</v>
      </c>
      <c r="H4219" s="545">
        <v>2.6666666666666665</v>
      </c>
      <c r="I4219" s="545">
        <v>4</v>
      </c>
      <c r="J4219" s="545">
        <v>11.130952380952381</v>
      </c>
    </row>
    <row r="4220" spans="1:10">
      <c r="A4220" s="441">
        <v>4544</v>
      </c>
      <c r="B4220" s="441" t="s">
        <v>4053</v>
      </c>
      <c r="C4220" s="545">
        <v>8</v>
      </c>
      <c r="D4220" s="545">
        <v>2.6666666666666665</v>
      </c>
      <c r="E4220" s="545">
        <v>1.3333333333333333</v>
      </c>
      <c r="F4220" s="545">
        <v>6.2857142857142856</v>
      </c>
      <c r="G4220" s="545">
        <v>11.95</v>
      </c>
      <c r="H4220" s="545">
        <v>3</v>
      </c>
      <c r="I4220" s="545">
        <v>1.6666666666666667</v>
      </c>
      <c r="J4220" s="545">
        <v>9.2023809523809526</v>
      </c>
    </row>
    <row r="4221" spans="1:10">
      <c r="A4221" s="441">
        <v>4587</v>
      </c>
      <c r="B4221" s="441" t="s">
        <v>4053</v>
      </c>
      <c r="C4221" s="545">
        <v>9.1666666666666661</v>
      </c>
      <c r="D4221" s="545">
        <v>4.6666666666666661</v>
      </c>
      <c r="E4221" s="545">
        <v>2.3333333333333335</v>
      </c>
      <c r="F4221" s="545">
        <v>7.5476190476190466</v>
      </c>
      <c r="G4221" s="545">
        <v>17.649999999999999</v>
      </c>
      <c r="H4221" s="545">
        <v>10.333333333333334</v>
      </c>
      <c r="I4221" s="545">
        <v>3.3333333333333335</v>
      </c>
      <c r="J4221" s="545">
        <v>14.559523809523808</v>
      </c>
    </row>
    <row r="4222" spans="1:10">
      <c r="A4222" s="441">
        <v>4551</v>
      </c>
      <c r="B4222" s="441" t="s">
        <v>4054</v>
      </c>
      <c r="C4222" s="545">
        <v>1.6666666666666667</v>
      </c>
      <c r="D4222" s="545">
        <v>0</v>
      </c>
      <c r="E4222" s="545">
        <v>0</v>
      </c>
      <c r="F4222" s="545">
        <v>1.1904761904761905</v>
      </c>
      <c r="G4222" s="545">
        <v>1.1499999999999999</v>
      </c>
      <c r="H4222" s="545">
        <v>2.6666666666666665</v>
      </c>
      <c r="I4222" s="545">
        <v>0</v>
      </c>
      <c r="J4222" s="545">
        <v>1.2023809523809523</v>
      </c>
    </row>
    <row r="4223" spans="1:10">
      <c r="A4223" s="441">
        <v>4557</v>
      </c>
      <c r="B4223" s="441" t="s">
        <v>4055</v>
      </c>
      <c r="C4223" s="545">
        <v>10.333333333333334</v>
      </c>
      <c r="D4223" s="545">
        <v>4.666666666666667</v>
      </c>
      <c r="E4223" s="545">
        <v>7</v>
      </c>
      <c r="F4223" s="545">
        <v>9.0476190476190474</v>
      </c>
      <c r="G4223" s="545">
        <v>19.75</v>
      </c>
      <c r="H4223" s="545">
        <v>5.666666666666667</v>
      </c>
      <c r="I4223" s="545">
        <v>2</v>
      </c>
      <c r="J4223" s="545">
        <v>15.202380952380953</v>
      </c>
    </row>
    <row r="4224" spans="1:10">
      <c r="A4224" s="441">
        <v>4574</v>
      </c>
      <c r="B4224" s="441" t="s">
        <v>4055</v>
      </c>
      <c r="C4224" s="545">
        <v>25.166666666666664</v>
      </c>
      <c r="D4224" s="545">
        <v>12</v>
      </c>
      <c r="E4224" s="545">
        <v>8.3333333333333339</v>
      </c>
      <c r="F4224" s="545">
        <v>20.88095238095238</v>
      </c>
      <c r="G4224" s="545">
        <v>17.899999999999999</v>
      </c>
      <c r="H4224" s="545">
        <v>6.333333333333333</v>
      </c>
      <c r="I4224" s="545">
        <v>3.3333333333333335</v>
      </c>
      <c r="J4224" s="545">
        <v>14.166666666666666</v>
      </c>
    </row>
    <row r="4225" spans="1:10">
      <c r="A4225" s="441">
        <v>4547</v>
      </c>
      <c r="B4225" s="441" t="s">
        <v>4056</v>
      </c>
      <c r="C4225" s="545">
        <v>26.5</v>
      </c>
      <c r="D4225" s="545">
        <v>24.333333333333336</v>
      </c>
      <c r="E4225" s="545">
        <v>12</v>
      </c>
      <c r="F4225" s="545">
        <v>24.11904761904762</v>
      </c>
      <c r="G4225" s="545">
        <v>20</v>
      </c>
      <c r="H4225" s="545">
        <v>16.333333333333332</v>
      </c>
      <c r="I4225" s="545">
        <v>13</v>
      </c>
      <c r="J4225" s="545">
        <v>18.476190476190474</v>
      </c>
    </row>
    <row r="4226" spans="1:10">
      <c r="A4226" s="441">
        <v>4583</v>
      </c>
      <c r="B4226" s="441" t="s">
        <v>4056</v>
      </c>
      <c r="C4226" s="545">
        <v>26.333333333333332</v>
      </c>
      <c r="D4226" s="545">
        <v>29.666666666666664</v>
      </c>
      <c r="E4226" s="545">
        <v>18.333333333333332</v>
      </c>
      <c r="F4226" s="545">
        <v>25.666666666666664</v>
      </c>
      <c r="G4226" s="545">
        <v>19</v>
      </c>
      <c r="H4226" s="545">
        <v>13.333333333333334</v>
      </c>
      <c r="I4226" s="545">
        <v>12</v>
      </c>
      <c r="J4226" s="545">
        <v>17.19047619047619</v>
      </c>
    </row>
    <row r="4227" spans="1:10">
      <c r="A4227" s="441">
        <v>5558</v>
      </c>
      <c r="B4227" s="441" t="s">
        <v>4057</v>
      </c>
      <c r="C4227" s="545">
        <v>64</v>
      </c>
      <c r="D4227" s="545">
        <v>34.666666666666664</v>
      </c>
      <c r="E4227" s="545">
        <v>21.333333333333336</v>
      </c>
      <c r="F4227" s="545">
        <v>53.714285714285715</v>
      </c>
      <c r="G4227" s="545">
        <v>74.400000000000006</v>
      </c>
      <c r="H4227" s="545">
        <v>39.333333333333336</v>
      </c>
      <c r="I4227" s="545">
        <v>36.333333333333336</v>
      </c>
      <c r="J4227" s="545">
        <v>63.952380952380949</v>
      </c>
    </row>
    <row r="4228" spans="1:10">
      <c r="A4228" s="441">
        <v>5568</v>
      </c>
      <c r="B4228" s="441" t="s">
        <v>4057</v>
      </c>
      <c r="C4228" s="545">
        <v>65.666666666666671</v>
      </c>
      <c r="D4228" s="545">
        <v>47.333333333333336</v>
      </c>
      <c r="E4228" s="545">
        <v>21.333333333333336</v>
      </c>
      <c r="F4228" s="545">
        <v>56.714285714285715</v>
      </c>
      <c r="G4228" s="545">
        <v>65.8</v>
      </c>
      <c r="H4228" s="545">
        <v>38.666666666666664</v>
      </c>
      <c r="I4228" s="545">
        <v>41.333333333333336</v>
      </c>
      <c r="J4228" s="545">
        <v>58.428571428571431</v>
      </c>
    </row>
    <row r="4229" spans="1:10">
      <c r="A4229" s="441">
        <v>4541</v>
      </c>
      <c r="B4229" s="441" t="s">
        <v>4058</v>
      </c>
      <c r="C4229" s="545">
        <v>67.5</v>
      </c>
      <c r="D4229" s="545">
        <v>40.666666666666664</v>
      </c>
      <c r="E4229" s="545">
        <v>29.333333333333336</v>
      </c>
      <c r="F4229" s="545">
        <v>58.214285714285715</v>
      </c>
      <c r="G4229" s="545">
        <v>77.75</v>
      </c>
      <c r="H4229" s="545">
        <v>40.333333333333336</v>
      </c>
      <c r="I4229" s="545">
        <v>38.333333333333336</v>
      </c>
      <c r="J4229" s="545">
        <v>66.773809523809518</v>
      </c>
    </row>
    <row r="4230" spans="1:10">
      <c r="A4230" s="441">
        <v>4591</v>
      </c>
      <c r="B4230" s="441" t="s">
        <v>4058</v>
      </c>
      <c r="C4230" s="545">
        <v>58.5</v>
      </c>
      <c r="D4230" s="545">
        <v>31.666666666666668</v>
      </c>
      <c r="E4230" s="545">
        <v>29.333333333333336</v>
      </c>
      <c r="F4230" s="545">
        <v>50.5</v>
      </c>
      <c r="G4230" s="545">
        <v>55.3</v>
      </c>
      <c r="H4230" s="545">
        <v>50.666666666666664</v>
      </c>
      <c r="I4230" s="545">
        <v>41.666666666666664</v>
      </c>
      <c r="J4230" s="545">
        <v>52.690476190476197</v>
      </c>
    </row>
    <row r="4231" spans="1:10">
      <c r="A4231" s="441">
        <v>4564</v>
      </c>
      <c r="B4231" s="441" t="s">
        <v>4059</v>
      </c>
      <c r="C4231" s="545">
        <v>11.333333333333334</v>
      </c>
      <c r="D4231" s="545">
        <v>7.666666666666667</v>
      </c>
      <c r="E4231" s="545">
        <v>5</v>
      </c>
      <c r="F4231" s="545">
        <v>9.9047619047619069</v>
      </c>
      <c r="G4231" s="545">
        <v>6.35</v>
      </c>
      <c r="H4231" s="545">
        <v>5.333333333333333</v>
      </c>
      <c r="I4231" s="545">
        <v>1.6666666666666667</v>
      </c>
      <c r="J4231" s="545">
        <v>5.5357142857142856</v>
      </c>
    </row>
    <row r="4232" spans="1:10">
      <c r="A4232" s="441">
        <v>4567</v>
      </c>
      <c r="B4232" s="441" t="s">
        <v>4059</v>
      </c>
      <c r="C4232" s="545">
        <v>9.5</v>
      </c>
      <c r="D4232" s="545">
        <v>7.333333333333333</v>
      </c>
      <c r="E4232" s="545">
        <v>4</v>
      </c>
      <c r="F4232" s="545">
        <v>8.4047619047619051</v>
      </c>
      <c r="G4232" s="545">
        <v>3.9</v>
      </c>
      <c r="H4232" s="545">
        <v>1.6666666666666667</v>
      </c>
      <c r="I4232" s="545">
        <v>0.66666666666666663</v>
      </c>
      <c r="J4232" s="545">
        <v>3.1190476190476195</v>
      </c>
    </row>
    <row r="4233" spans="1:10">
      <c r="A4233" s="441">
        <v>4579</v>
      </c>
      <c r="B4233" s="441" t="s">
        <v>4060</v>
      </c>
      <c r="C4233" s="545">
        <v>2.6666666666666665</v>
      </c>
      <c r="D4233" s="545">
        <v>1.3333333333333333</v>
      </c>
      <c r="E4233" s="545">
        <v>0.33333333333333331</v>
      </c>
      <c r="F4233" s="545">
        <v>2.1428571428571428</v>
      </c>
      <c r="G4233" s="545">
        <v>0.75</v>
      </c>
      <c r="H4233" s="545">
        <v>0</v>
      </c>
      <c r="I4233" s="545">
        <v>0.33333333333333331</v>
      </c>
      <c r="J4233" s="545">
        <v>0.58333333333333326</v>
      </c>
    </row>
    <row r="4234" spans="1:10">
      <c r="A4234" s="441">
        <v>969</v>
      </c>
      <c r="B4234" s="441" t="s">
        <v>4061</v>
      </c>
      <c r="C4234" s="545">
        <v>11</v>
      </c>
      <c r="D4234" s="545">
        <v>5.666666666666667</v>
      </c>
      <c r="E4234" s="545">
        <v>6</v>
      </c>
      <c r="F4234" s="545">
        <v>9.5238095238095219</v>
      </c>
      <c r="G4234" s="545">
        <v>10.199999999999999</v>
      </c>
      <c r="H4234" s="545">
        <v>10</v>
      </c>
      <c r="I4234" s="545">
        <v>6</v>
      </c>
      <c r="J4234" s="545">
        <v>9.5714285714285712</v>
      </c>
    </row>
    <row r="4235" spans="1:10">
      <c r="A4235" s="441">
        <v>11381</v>
      </c>
      <c r="B4235" s="441" t="s">
        <v>4062</v>
      </c>
      <c r="C4235" s="545">
        <v>20</v>
      </c>
      <c r="D4235" s="545">
        <v>9.6666666666666679</v>
      </c>
      <c r="E4235" s="545">
        <v>8</v>
      </c>
      <c r="F4235" s="545">
        <v>16.80952380952381</v>
      </c>
      <c r="G4235" s="545">
        <v>12.1</v>
      </c>
      <c r="H4235" s="545">
        <v>9.6666666666666661</v>
      </c>
      <c r="I4235" s="545">
        <v>10</v>
      </c>
      <c r="J4235" s="545">
        <v>11.452380952380953</v>
      </c>
    </row>
    <row r="4236" spans="1:10">
      <c r="A4236" s="441">
        <v>11382</v>
      </c>
      <c r="B4236" s="441" t="s">
        <v>4062</v>
      </c>
      <c r="C4236" s="545">
        <v>15.833333333333332</v>
      </c>
      <c r="D4236" s="545">
        <v>14</v>
      </c>
      <c r="E4236" s="545">
        <v>7.666666666666667</v>
      </c>
      <c r="F4236" s="545">
        <v>14.404761904761903</v>
      </c>
      <c r="G4236" s="545">
        <v>10.9</v>
      </c>
      <c r="H4236" s="545">
        <v>7.333333333333333</v>
      </c>
      <c r="I4236" s="545">
        <v>7.666666666666667</v>
      </c>
      <c r="J4236" s="545">
        <v>9.9285714285714288</v>
      </c>
    </row>
    <row r="4237" spans="1:10">
      <c r="A4237" s="441">
        <v>10722</v>
      </c>
      <c r="B4237" s="441" t="s">
        <v>4063</v>
      </c>
      <c r="C4237" s="545">
        <v>2.5</v>
      </c>
      <c r="D4237" s="545">
        <v>0.66666666666666663</v>
      </c>
      <c r="E4237" s="545">
        <v>2</v>
      </c>
      <c r="F4237" s="545">
        <v>2.1666666666666665</v>
      </c>
      <c r="G4237" s="545">
        <v>2.4500000000000002</v>
      </c>
      <c r="H4237" s="545">
        <v>2</v>
      </c>
      <c r="I4237" s="545">
        <v>0.66666666666666663</v>
      </c>
      <c r="J4237" s="545">
        <v>2.1309523809523809</v>
      </c>
    </row>
    <row r="4238" spans="1:10">
      <c r="A4238" s="441">
        <v>9246</v>
      </c>
      <c r="B4238" s="441" t="s">
        <v>4064</v>
      </c>
      <c r="C4238" s="545">
        <v>24.5</v>
      </c>
      <c r="D4238" s="545">
        <v>5</v>
      </c>
      <c r="E4238" s="545">
        <v>6.333333333333333</v>
      </c>
      <c r="F4238" s="545">
        <v>19.11904761904762</v>
      </c>
      <c r="G4238" s="545">
        <v>71.5</v>
      </c>
      <c r="H4238" s="545">
        <v>15.666666666666666</v>
      </c>
      <c r="I4238" s="545">
        <v>15.666666666666666</v>
      </c>
      <c r="J4238" s="545">
        <v>55.547619047619051</v>
      </c>
    </row>
    <row r="4239" spans="1:10">
      <c r="A4239" s="441">
        <v>10936</v>
      </c>
      <c r="B4239" s="441" t="s">
        <v>4064</v>
      </c>
      <c r="C4239" s="545">
        <v>24.5</v>
      </c>
      <c r="D4239" s="545">
        <v>4.6666666666666661</v>
      </c>
      <c r="E4239" s="545">
        <v>6.3333333333333339</v>
      </c>
      <c r="F4239" s="545">
        <v>19.071428571428573</v>
      </c>
      <c r="G4239" s="545">
        <v>110.8</v>
      </c>
      <c r="H4239" s="545">
        <v>18</v>
      </c>
      <c r="I4239" s="545">
        <v>6.666666666666667</v>
      </c>
      <c r="J4239" s="545">
        <v>82.666666666666657</v>
      </c>
    </row>
    <row r="4240" spans="1:10">
      <c r="A4240" s="441">
        <v>9405</v>
      </c>
      <c r="B4240" s="441" t="s">
        <v>4065</v>
      </c>
      <c r="C4240" s="545">
        <v>2.1666666666666665</v>
      </c>
      <c r="D4240" s="545">
        <v>0.66666666666666663</v>
      </c>
      <c r="E4240" s="545">
        <v>3.666666666666667</v>
      </c>
      <c r="F4240" s="545">
        <v>2.1666666666666665</v>
      </c>
      <c r="G4240" s="545">
        <v>25.75</v>
      </c>
      <c r="H4240" s="545">
        <v>3.6666666666666665</v>
      </c>
      <c r="I4240" s="545">
        <v>5</v>
      </c>
      <c r="J4240" s="545">
        <v>19.63095238095238</v>
      </c>
    </row>
    <row r="4241" spans="1:10">
      <c r="A4241" s="441">
        <v>9406</v>
      </c>
      <c r="B4241" s="441" t="s">
        <v>4065</v>
      </c>
      <c r="C4241" s="545">
        <v>6.833333333333333</v>
      </c>
      <c r="D4241" s="545">
        <v>2</v>
      </c>
      <c r="E4241" s="545">
        <v>1.6666666666666665</v>
      </c>
      <c r="F4241" s="545">
        <v>5.4047619047619042</v>
      </c>
      <c r="G4241" s="545">
        <v>38.450000000000003</v>
      </c>
      <c r="H4241" s="545">
        <v>4.333333333333333</v>
      </c>
      <c r="I4241" s="545">
        <v>4</v>
      </c>
      <c r="J4241" s="545">
        <v>28.654761904761905</v>
      </c>
    </row>
    <row r="4242" spans="1:10">
      <c r="A4242" s="441">
        <v>10723</v>
      </c>
      <c r="B4242" s="441" t="s">
        <v>4066</v>
      </c>
      <c r="C4242" s="545">
        <v>4.833333333333333</v>
      </c>
      <c r="D4242" s="545">
        <v>0.33333333333333331</v>
      </c>
      <c r="E4242" s="545">
        <v>1</v>
      </c>
      <c r="F4242" s="545">
        <v>3.6428571428571423</v>
      </c>
      <c r="G4242" s="545">
        <v>0.45</v>
      </c>
      <c r="H4242" s="545">
        <v>4</v>
      </c>
      <c r="I4242" s="545">
        <v>1</v>
      </c>
      <c r="J4242" s="545">
        <v>1.0357142857142858</v>
      </c>
    </row>
    <row r="4243" spans="1:10">
      <c r="A4243" s="441">
        <v>10997</v>
      </c>
      <c r="B4243" s="441" t="s">
        <v>4067</v>
      </c>
      <c r="C4243" s="545">
        <v>13.166666666666666</v>
      </c>
      <c r="D4243" s="545">
        <v>2.3333333333333335</v>
      </c>
      <c r="E4243" s="545">
        <v>1.6666666666666665</v>
      </c>
      <c r="F4243" s="545">
        <v>9.9761904761904763</v>
      </c>
      <c r="G4243" s="545">
        <v>1.8</v>
      </c>
      <c r="H4243" s="545">
        <v>1.6666666666666667</v>
      </c>
      <c r="I4243" s="545">
        <v>0</v>
      </c>
      <c r="J4243" s="545">
        <v>1.5238095238095237</v>
      </c>
    </row>
    <row r="4244" spans="1:10">
      <c r="A4244" s="441">
        <v>3</v>
      </c>
      <c r="B4244" s="441" t="s">
        <v>4068</v>
      </c>
      <c r="C4244" s="545">
        <v>0</v>
      </c>
      <c r="D4244" s="545">
        <v>0</v>
      </c>
      <c r="E4244" s="545">
        <v>0</v>
      </c>
      <c r="F4244" s="545">
        <v>0</v>
      </c>
      <c r="G4244" s="545">
        <v>0.15</v>
      </c>
      <c r="H4244" s="545">
        <v>0</v>
      </c>
      <c r="I4244" s="545">
        <v>0</v>
      </c>
      <c r="J4244" s="545">
        <v>0.10714285714285714</v>
      </c>
    </row>
    <row r="4245" spans="1:10">
      <c r="A4245" s="441">
        <v>4</v>
      </c>
      <c r="B4245" s="441" t="s">
        <v>4069</v>
      </c>
      <c r="C4245" s="545">
        <v>0.16666666666666666</v>
      </c>
      <c r="D4245" s="545">
        <v>0.66666666666666663</v>
      </c>
      <c r="E4245" s="545">
        <v>0</v>
      </c>
      <c r="F4245" s="545">
        <v>0.21428571428571427</v>
      </c>
      <c r="G4245" s="545">
        <v>0.65</v>
      </c>
      <c r="H4245" s="545">
        <v>0.66666666666666663</v>
      </c>
      <c r="I4245" s="545">
        <v>0</v>
      </c>
      <c r="J4245" s="545">
        <v>0.55952380952380953</v>
      </c>
    </row>
    <row r="4246" spans="1:10">
      <c r="A4246" s="441">
        <v>7077</v>
      </c>
      <c r="B4246" s="441" t="s">
        <v>4069</v>
      </c>
      <c r="C4246" s="545">
        <v>0.16666666666666666</v>
      </c>
      <c r="D4246" s="545">
        <v>0</v>
      </c>
      <c r="E4246" s="545">
        <v>0</v>
      </c>
      <c r="F4246" s="545">
        <v>0.11904761904761904</v>
      </c>
      <c r="G4246" s="545">
        <v>0.6</v>
      </c>
      <c r="H4246" s="545">
        <v>0</v>
      </c>
      <c r="I4246" s="545">
        <v>0</v>
      </c>
      <c r="J4246" s="545">
        <v>0.42857142857142855</v>
      </c>
    </row>
    <row r="4247" spans="1:10">
      <c r="A4247" s="441">
        <v>5</v>
      </c>
      <c r="B4247" s="441" t="s">
        <v>4070</v>
      </c>
      <c r="C4247" s="545">
        <v>3</v>
      </c>
      <c r="D4247" s="545">
        <v>0.33333333333333331</v>
      </c>
      <c r="E4247" s="545">
        <v>0</v>
      </c>
      <c r="F4247" s="545">
        <v>2.1904761904761907</v>
      </c>
      <c r="G4247" s="545">
        <v>2</v>
      </c>
      <c r="H4247" s="545">
        <v>0</v>
      </c>
      <c r="I4247" s="545">
        <v>0</v>
      </c>
      <c r="J4247" s="545">
        <v>1.4285714285714286</v>
      </c>
    </row>
    <row r="4248" spans="1:10">
      <c r="A4248" s="441">
        <v>7076</v>
      </c>
      <c r="B4248" s="441" t="s">
        <v>4070</v>
      </c>
      <c r="C4248" s="545">
        <v>4.666666666666667</v>
      </c>
      <c r="D4248" s="545">
        <v>0</v>
      </c>
      <c r="E4248" s="545">
        <v>0</v>
      </c>
      <c r="F4248" s="545">
        <v>3.3333333333333335</v>
      </c>
      <c r="G4248" s="545">
        <v>19</v>
      </c>
      <c r="H4248" s="545">
        <v>0</v>
      </c>
      <c r="I4248" s="545">
        <v>0</v>
      </c>
      <c r="J4248" s="545">
        <v>13.571428571428571</v>
      </c>
    </row>
    <row r="4249" spans="1:10">
      <c r="A4249" s="441">
        <v>7078</v>
      </c>
      <c r="B4249" s="441" t="s">
        <v>4071</v>
      </c>
      <c r="C4249" s="545">
        <v>0</v>
      </c>
      <c r="D4249" s="545">
        <v>0</v>
      </c>
      <c r="E4249" s="545">
        <v>0</v>
      </c>
      <c r="F4249" s="545">
        <v>0</v>
      </c>
      <c r="G4249" s="545">
        <v>0.25</v>
      </c>
      <c r="H4249" s="545">
        <v>0</v>
      </c>
      <c r="I4249" s="545">
        <v>1</v>
      </c>
      <c r="J4249" s="545">
        <v>0.32142857142857145</v>
      </c>
    </row>
    <row r="4250" spans="1:10">
      <c r="A4250" s="441">
        <v>6</v>
      </c>
      <c r="B4250" s="441" t="s">
        <v>4072</v>
      </c>
      <c r="C4250" s="545">
        <v>2.5</v>
      </c>
      <c r="D4250" s="545">
        <v>0</v>
      </c>
      <c r="E4250" s="545">
        <v>0</v>
      </c>
      <c r="F4250" s="545">
        <v>1.7857142857142858</v>
      </c>
      <c r="G4250" s="545">
        <v>0.95</v>
      </c>
      <c r="H4250" s="545">
        <v>0.33333333333333331</v>
      </c>
      <c r="I4250" s="545">
        <v>0.33333333333333331</v>
      </c>
      <c r="J4250" s="545">
        <v>0.77380952380952372</v>
      </c>
    </row>
    <row r="4251" spans="1:10">
      <c r="A4251" s="441">
        <v>7</v>
      </c>
      <c r="B4251" s="441" t="s">
        <v>4072</v>
      </c>
      <c r="C4251" s="545">
        <v>1.3333333333333333</v>
      </c>
      <c r="D4251" s="545">
        <v>0</v>
      </c>
      <c r="E4251" s="545">
        <v>0</v>
      </c>
      <c r="F4251" s="545">
        <v>0.95238095238095233</v>
      </c>
      <c r="G4251" s="545">
        <v>0.2</v>
      </c>
      <c r="H4251" s="545">
        <v>0</v>
      </c>
      <c r="I4251" s="545">
        <v>0.66666666666666663</v>
      </c>
      <c r="J4251" s="545">
        <v>0.23809523809523808</v>
      </c>
    </row>
    <row r="4252" spans="1:10">
      <c r="A4252" s="441">
        <v>11384</v>
      </c>
      <c r="B4252" s="441" t="s">
        <v>4073</v>
      </c>
      <c r="C4252" s="545">
        <v>0.83333333333333326</v>
      </c>
      <c r="D4252" s="545">
        <v>0</v>
      </c>
      <c r="E4252" s="545">
        <v>0.66666666666666663</v>
      </c>
      <c r="F4252" s="545">
        <v>0.69047619047619047</v>
      </c>
      <c r="G4252" s="545">
        <v>1.5</v>
      </c>
      <c r="H4252" s="545">
        <v>1</v>
      </c>
      <c r="I4252" s="545">
        <v>1</v>
      </c>
      <c r="J4252" s="545">
        <v>1.3571428571428572</v>
      </c>
    </row>
    <row r="4253" spans="1:10">
      <c r="A4253" s="441">
        <v>11385</v>
      </c>
      <c r="B4253" s="441" t="s">
        <v>4074</v>
      </c>
      <c r="C4253" s="545">
        <v>4.666666666666667</v>
      </c>
      <c r="D4253" s="545">
        <v>4</v>
      </c>
      <c r="E4253" s="545">
        <v>2</v>
      </c>
      <c r="F4253" s="545">
        <v>4.1904761904761907</v>
      </c>
      <c r="G4253" s="545">
        <v>1.45</v>
      </c>
      <c r="H4253" s="545">
        <v>0.66666666666666663</v>
      </c>
      <c r="I4253" s="545">
        <v>0</v>
      </c>
      <c r="J4253" s="545">
        <v>1.1309523809523809</v>
      </c>
    </row>
    <row r="4254" spans="1:10">
      <c r="A4254" s="441">
        <v>12758</v>
      </c>
      <c r="B4254" s="441" t="s">
        <v>4075</v>
      </c>
      <c r="C4254" s="545">
        <v>3.1666666666666665</v>
      </c>
      <c r="D4254" s="545">
        <v>1</v>
      </c>
      <c r="E4254" s="545">
        <v>0.66666666666666663</v>
      </c>
      <c r="F4254" s="545">
        <v>2.5</v>
      </c>
      <c r="G4254" s="545">
        <v>3.2</v>
      </c>
      <c r="H4254" s="545">
        <v>0.66666666666666663</v>
      </c>
      <c r="I4254" s="545">
        <v>0</v>
      </c>
      <c r="J4254" s="545">
        <v>2.3809523809523809</v>
      </c>
    </row>
    <row r="4255" spans="1:10">
      <c r="A4255" s="441">
        <v>11390</v>
      </c>
      <c r="B4255" s="441" t="s">
        <v>4076</v>
      </c>
      <c r="C4255" s="545">
        <v>16.333333333333332</v>
      </c>
      <c r="D4255" s="545">
        <v>3</v>
      </c>
      <c r="E4255" s="545">
        <v>4.6666666666666661</v>
      </c>
      <c r="F4255" s="545">
        <v>12.761904761904761</v>
      </c>
      <c r="G4255" s="545">
        <v>3.95</v>
      </c>
      <c r="H4255" s="545">
        <v>3</v>
      </c>
      <c r="I4255" s="545">
        <v>0.66666666666666663</v>
      </c>
      <c r="J4255" s="545">
        <v>3.3452380952380953</v>
      </c>
    </row>
    <row r="4256" spans="1:10">
      <c r="A4256" s="441">
        <v>12757</v>
      </c>
      <c r="B4256" s="441" t="s">
        <v>4077</v>
      </c>
      <c r="C4256" s="545">
        <v>1</v>
      </c>
      <c r="D4256" s="545">
        <v>2</v>
      </c>
      <c r="E4256" s="545">
        <v>2.6666666666666665</v>
      </c>
      <c r="F4256" s="545">
        <v>1.3809523809523809</v>
      </c>
      <c r="G4256" s="545">
        <v>3.15</v>
      </c>
      <c r="H4256" s="545">
        <v>2.3333333333333335</v>
      </c>
      <c r="I4256" s="545">
        <v>0</v>
      </c>
      <c r="J4256" s="545">
        <v>2.583333333333333</v>
      </c>
    </row>
    <row r="4257" spans="1:10">
      <c r="A4257" s="441">
        <v>92</v>
      </c>
      <c r="B4257" s="441" t="s">
        <v>4078</v>
      </c>
      <c r="C4257" s="545">
        <v>1982.6666666666665</v>
      </c>
      <c r="D4257" s="545">
        <v>6</v>
      </c>
      <c r="E4257" s="545">
        <v>9.3333333333333339</v>
      </c>
      <c r="F4257" s="545">
        <v>1418.3809523809523</v>
      </c>
      <c r="G4257" s="545">
        <v>754.3</v>
      </c>
      <c r="H4257" s="545">
        <v>25.666666666666668</v>
      </c>
      <c r="I4257" s="545">
        <v>11.333333333333334</v>
      </c>
      <c r="J4257" s="545">
        <v>544.07142857142856</v>
      </c>
    </row>
    <row r="4258" spans="1:10">
      <c r="A4258" s="441">
        <v>2368</v>
      </c>
      <c r="B4258" s="441" t="s">
        <v>4079</v>
      </c>
      <c r="C4258" s="545">
        <v>4.8000000000000007</v>
      </c>
      <c r="D4258" s="545">
        <v>3.3333333333333335</v>
      </c>
      <c r="E4258" s="545">
        <v>5.333333333333333</v>
      </c>
      <c r="F4258" s="545">
        <v>4.666666666666667</v>
      </c>
      <c r="G4258" s="545">
        <v>13.947368421052632</v>
      </c>
      <c r="H4258" s="545">
        <v>3</v>
      </c>
      <c r="I4258" s="545">
        <v>2.6666666666666665</v>
      </c>
      <c r="J4258" s="545">
        <v>10.771929824561406</v>
      </c>
    </row>
    <row r="4259" spans="1:10">
      <c r="A4259" s="441">
        <v>2373</v>
      </c>
      <c r="B4259" s="441" t="s">
        <v>4079</v>
      </c>
      <c r="C4259" s="545">
        <v>3.8000000000000003</v>
      </c>
      <c r="D4259" s="545">
        <v>2</v>
      </c>
      <c r="E4259" s="545">
        <v>2.3333333333333335</v>
      </c>
      <c r="F4259" s="545">
        <v>3.333333333333333</v>
      </c>
      <c r="G4259" s="545">
        <v>3.9473684210526314</v>
      </c>
      <c r="H4259" s="545">
        <v>2.3333333333333335</v>
      </c>
      <c r="I4259" s="545">
        <v>0.66666666666666663</v>
      </c>
      <c r="J4259" s="545">
        <v>3.2481203007518795</v>
      </c>
    </row>
    <row r="4260" spans="1:10">
      <c r="A4260" s="441">
        <v>2371</v>
      </c>
      <c r="B4260" s="441" t="s">
        <v>4080</v>
      </c>
      <c r="C4260" s="545">
        <v>6</v>
      </c>
      <c r="D4260" s="545">
        <v>2.3333333333333335</v>
      </c>
      <c r="E4260" s="545">
        <v>3</v>
      </c>
      <c r="F4260" s="545">
        <v>5.0476190476190483</v>
      </c>
      <c r="G4260" s="545">
        <v>4.5263157894736841</v>
      </c>
      <c r="H4260" s="545">
        <v>3.6666666666666665</v>
      </c>
      <c r="I4260" s="545">
        <v>2</v>
      </c>
      <c r="J4260" s="545">
        <v>4.0426065162907268</v>
      </c>
    </row>
    <row r="4261" spans="1:10">
      <c r="A4261" s="441">
        <v>2369</v>
      </c>
      <c r="B4261" s="441" t="s">
        <v>4081</v>
      </c>
      <c r="C4261" s="545">
        <v>6.2</v>
      </c>
      <c r="D4261" s="545">
        <v>3</v>
      </c>
      <c r="E4261" s="545">
        <v>4.6666666666666661</v>
      </c>
      <c r="F4261" s="545">
        <v>5.5238095238095237</v>
      </c>
      <c r="G4261" s="545">
        <v>3.5263157894736841</v>
      </c>
      <c r="H4261" s="545">
        <v>3</v>
      </c>
      <c r="I4261" s="545">
        <v>0</v>
      </c>
      <c r="J4261" s="545">
        <v>2.9473684210526314</v>
      </c>
    </row>
    <row r="4262" spans="1:10">
      <c r="A4262" s="441">
        <v>2372</v>
      </c>
      <c r="B4262" s="441" t="s">
        <v>4081</v>
      </c>
      <c r="C4262" s="545">
        <v>5.8</v>
      </c>
      <c r="D4262" s="545">
        <v>2.6666666666666665</v>
      </c>
      <c r="E4262" s="545">
        <v>2</v>
      </c>
      <c r="F4262" s="545">
        <v>4.8095238095238102</v>
      </c>
      <c r="G4262" s="545">
        <v>6.6842105263157894</v>
      </c>
      <c r="H4262" s="545">
        <v>1</v>
      </c>
      <c r="I4262" s="545">
        <v>1.6666666666666667</v>
      </c>
      <c r="J4262" s="545">
        <v>5.1553884711779441</v>
      </c>
    </row>
    <row r="4263" spans="1:10">
      <c r="A4263" s="441">
        <v>9537</v>
      </c>
      <c r="B4263" s="441" t="s">
        <v>4082</v>
      </c>
      <c r="C4263" s="545">
        <v>13.5</v>
      </c>
      <c r="D4263" s="545">
        <v>6.333333333333333</v>
      </c>
      <c r="E4263" s="545">
        <v>3</v>
      </c>
      <c r="F4263" s="545">
        <v>10.976190476190476</v>
      </c>
      <c r="G4263" s="545">
        <v>6.15</v>
      </c>
      <c r="H4263" s="545">
        <v>2.6666666666666665</v>
      </c>
      <c r="I4263" s="545">
        <v>2.3333333333333335</v>
      </c>
      <c r="J4263" s="545">
        <v>5.1071428571428568</v>
      </c>
    </row>
    <row r="4264" spans="1:10">
      <c r="A4264" s="441">
        <v>9531</v>
      </c>
      <c r="B4264" s="441" t="s">
        <v>4083</v>
      </c>
      <c r="C4264" s="545">
        <v>225.5</v>
      </c>
      <c r="D4264" s="545">
        <v>126</v>
      </c>
      <c r="E4264" s="545">
        <v>95</v>
      </c>
      <c r="F4264" s="545">
        <v>192.64285714285714</v>
      </c>
      <c r="G4264" s="545">
        <v>183.75</v>
      </c>
      <c r="H4264" s="545">
        <v>78.666666666666671</v>
      </c>
      <c r="I4264" s="545">
        <v>87.333333333333329</v>
      </c>
      <c r="J4264" s="545">
        <v>154.96428571428572</v>
      </c>
    </row>
    <row r="4265" spans="1:10">
      <c r="A4265" s="441">
        <v>9538</v>
      </c>
      <c r="B4265" s="441" t="s">
        <v>4084</v>
      </c>
      <c r="C4265" s="545">
        <v>14.166666666666666</v>
      </c>
      <c r="D4265" s="545">
        <v>4.3333333333333339</v>
      </c>
      <c r="E4265" s="545">
        <v>1</v>
      </c>
      <c r="F4265" s="545">
        <v>10.88095238095238</v>
      </c>
      <c r="G4265" s="545">
        <v>12.8</v>
      </c>
      <c r="H4265" s="545">
        <v>2.6666666666666665</v>
      </c>
      <c r="I4265" s="545">
        <v>2</v>
      </c>
      <c r="J4265" s="545">
        <v>9.8095238095238102</v>
      </c>
    </row>
    <row r="4266" spans="1:10">
      <c r="A4266" s="441">
        <v>9535</v>
      </c>
      <c r="B4266" s="441" t="s">
        <v>4085</v>
      </c>
      <c r="C4266" s="545">
        <v>14.833333333333332</v>
      </c>
      <c r="D4266" s="545">
        <v>5</v>
      </c>
      <c r="E4266" s="545">
        <v>4.333333333333333</v>
      </c>
      <c r="F4266" s="545">
        <v>11.928571428571427</v>
      </c>
      <c r="G4266" s="545">
        <v>7.1</v>
      </c>
      <c r="H4266" s="545">
        <v>6</v>
      </c>
      <c r="I4266" s="545">
        <v>1.3333333333333333</v>
      </c>
      <c r="J4266" s="545">
        <v>6.1190476190476195</v>
      </c>
    </row>
    <row r="4267" spans="1:10">
      <c r="A4267" s="441">
        <v>9534</v>
      </c>
      <c r="B4267" s="441" t="s">
        <v>4086</v>
      </c>
      <c r="C4267" s="545">
        <v>4</v>
      </c>
      <c r="D4267" s="545">
        <v>3.666666666666667</v>
      </c>
      <c r="E4267" s="545">
        <v>2</v>
      </c>
      <c r="F4267" s="545">
        <v>3.666666666666667</v>
      </c>
      <c r="G4267" s="545">
        <v>2.75</v>
      </c>
      <c r="H4267" s="545">
        <v>1.3333333333333333</v>
      </c>
      <c r="I4267" s="545">
        <v>0.33333333333333331</v>
      </c>
      <c r="J4267" s="545">
        <v>2.2023809523809526</v>
      </c>
    </row>
    <row r="4268" spans="1:10">
      <c r="A4268" s="441">
        <v>9536</v>
      </c>
      <c r="B4268" s="441" t="s">
        <v>4087</v>
      </c>
      <c r="C4268" s="545">
        <v>17.666666666666664</v>
      </c>
      <c r="D4268" s="545">
        <v>13</v>
      </c>
      <c r="E4268" s="545">
        <v>8.3333333333333339</v>
      </c>
      <c r="F4268" s="545">
        <v>15.666666666666663</v>
      </c>
      <c r="G4268" s="545">
        <v>0.85</v>
      </c>
      <c r="H4268" s="545">
        <v>4</v>
      </c>
      <c r="I4268" s="545">
        <v>2.6666666666666665</v>
      </c>
      <c r="J4268" s="545">
        <v>1.5595238095238095</v>
      </c>
    </row>
    <row r="4269" spans="1:10">
      <c r="A4269" s="441">
        <v>9532</v>
      </c>
      <c r="B4269" s="441" t="s">
        <v>4088</v>
      </c>
      <c r="C4269" s="545">
        <v>6.5</v>
      </c>
      <c r="D4269" s="545">
        <v>3.333333333333333</v>
      </c>
      <c r="E4269" s="545">
        <v>2.333333333333333</v>
      </c>
      <c r="F4269" s="545">
        <v>5.4523809523809534</v>
      </c>
      <c r="G4269" s="545">
        <v>6</v>
      </c>
      <c r="H4269" s="545">
        <v>3.3333333333333335</v>
      </c>
      <c r="I4269" s="545">
        <v>0.66666666666666663</v>
      </c>
      <c r="J4269" s="545">
        <v>4.8571428571428568</v>
      </c>
    </row>
    <row r="4270" spans="1:10">
      <c r="A4270" s="441">
        <v>12774</v>
      </c>
      <c r="B4270" s="441" t="s">
        <v>4089</v>
      </c>
      <c r="C4270" s="545">
        <v>176.66666666666669</v>
      </c>
      <c r="D4270" s="545">
        <v>104.33333333333333</v>
      </c>
      <c r="E4270" s="545">
        <v>104.66666666666667</v>
      </c>
      <c r="F4270" s="545">
        <v>156.04761904761907</v>
      </c>
      <c r="G4270" s="545">
        <v>83.65</v>
      </c>
      <c r="H4270" s="545">
        <v>60.666666666666664</v>
      </c>
      <c r="I4270" s="545">
        <v>93.666666666666671</v>
      </c>
      <c r="J4270" s="545">
        <v>81.797619047619051</v>
      </c>
    </row>
    <row r="4271" spans="1:10">
      <c r="A4271" s="441">
        <v>9186</v>
      </c>
      <c r="B4271" s="441" t="s">
        <v>4090</v>
      </c>
      <c r="C4271" s="545">
        <v>124.5</v>
      </c>
      <c r="D4271" s="545">
        <v>62.333333333333329</v>
      </c>
      <c r="E4271" s="545">
        <v>29.333333333333336</v>
      </c>
      <c r="F4271" s="545">
        <v>102.02380952380953</v>
      </c>
      <c r="G4271" s="545">
        <v>55.3</v>
      </c>
      <c r="H4271" s="545">
        <v>29</v>
      </c>
      <c r="I4271" s="545">
        <v>24.666666666666668</v>
      </c>
      <c r="J4271" s="545">
        <v>47.166666666666671</v>
      </c>
    </row>
    <row r="4272" spans="1:10">
      <c r="A4272" s="441">
        <v>342</v>
      </c>
      <c r="B4272" s="441" t="s">
        <v>4091</v>
      </c>
      <c r="C4272" s="545">
        <v>462.66666666666663</v>
      </c>
      <c r="D4272" s="545">
        <v>272.66666666666669</v>
      </c>
      <c r="E4272" s="545">
        <v>217</v>
      </c>
      <c r="F4272" s="545">
        <v>400.42857142857139</v>
      </c>
      <c r="G4272" s="545">
        <v>296.3</v>
      </c>
      <c r="H4272" s="545">
        <v>149.33333333333334</v>
      </c>
      <c r="I4272" s="545">
        <v>155.66666666666666</v>
      </c>
      <c r="J4272" s="545">
        <v>255.21428571428572</v>
      </c>
    </row>
    <row r="4273" spans="1:10">
      <c r="A4273" s="441">
        <v>344</v>
      </c>
      <c r="B4273" s="441" t="s">
        <v>4092</v>
      </c>
      <c r="C4273" s="545">
        <v>213.83333333333334</v>
      </c>
      <c r="D4273" s="545">
        <v>103</v>
      </c>
      <c r="E4273" s="545">
        <v>86.333333333333329</v>
      </c>
      <c r="F4273" s="545">
        <v>179.78571428571428</v>
      </c>
      <c r="G4273" s="545">
        <v>127.65</v>
      </c>
      <c r="H4273" s="545">
        <v>67.666666666666671</v>
      </c>
      <c r="I4273" s="545">
        <v>51.666666666666664</v>
      </c>
      <c r="J4273" s="545">
        <v>108.22619047619047</v>
      </c>
    </row>
    <row r="4274" spans="1:10">
      <c r="A4274" s="441">
        <v>340</v>
      </c>
      <c r="B4274" s="441" t="s">
        <v>4093</v>
      </c>
      <c r="C4274" s="545">
        <v>165.83333333333331</v>
      </c>
      <c r="D4274" s="545">
        <v>51</v>
      </c>
      <c r="E4274" s="545">
        <v>33.333333333333336</v>
      </c>
      <c r="F4274" s="545">
        <v>130.49999999999997</v>
      </c>
      <c r="G4274" s="545">
        <v>58.65</v>
      </c>
      <c r="H4274" s="545">
        <v>50</v>
      </c>
      <c r="I4274" s="545">
        <v>24</v>
      </c>
      <c r="J4274" s="545">
        <v>52.464285714285715</v>
      </c>
    </row>
    <row r="4275" spans="1:10">
      <c r="A4275" s="441">
        <v>346</v>
      </c>
      <c r="B4275" s="441" t="s">
        <v>4094</v>
      </c>
      <c r="C4275" s="545">
        <v>154.66666666666669</v>
      </c>
      <c r="D4275" s="545">
        <v>37.666666666666671</v>
      </c>
      <c r="E4275" s="545">
        <v>38</v>
      </c>
      <c r="F4275" s="545">
        <v>121.28571428571431</v>
      </c>
      <c r="G4275" s="545">
        <v>100.45</v>
      </c>
      <c r="H4275" s="545">
        <v>29.333333333333332</v>
      </c>
      <c r="I4275" s="545">
        <v>16.333333333333332</v>
      </c>
      <c r="J4275" s="545">
        <v>78.273809523809533</v>
      </c>
    </row>
    <row r="4276" spans="1:10">
      <c r="A4276" s="441">
        <v>2943</v>
      </c>
      <c r="B4276" s="441" t="s">
        <v>4095</v>
      </c>
      <c r="C4276" s="545">
        <v>1</v>
      </c>
      <c r="D4276" s="545">
        <v>0.33333333333333331</v>
      </c>
      <c r="E4276" s="545">
        <v>0</v>
      </c>
      <c r="F4276" s="545">
        <v>0.76190476190476186</v>
      </c>
      <c r="G4276" s="545">
        <v>0.85</v>
      </c>
      <c r="H4276" s="545">
        <v>0</v>
      </c>
      <c r="I4276" s="545">
        <v>0.66666666666666663</v>
      </c>
      <c r="J4276" s="545">
        <v>0.70238095238095244</v>
      </c>
    </row>
    <row r="4277" spans="1:10">
      <c r="A4277" s="441">
        <v>2945</v>
      </c>
      <c r="B4277" s="441" t="s">
        <v>4096</v>
      </c>
      <c r="C4277" s="545">
        <v>3.5</v>
      </c>
      <c r="D4277" s="545">
        <v>2.333333333333333</v>
      </c>
      <c r="E4277" s="545">
        <v>1</v>
      </c>
      <c r="F4277" s="545">
        <v>2.9761904761904758</v>
      </c>
      <c r="G4277" s="545">
        <v>1.7</v>
      </c>
      <c r="H4277" s="545">
        <v>0.33333333333333331</v>
      </c>
      <c r="I4277" s="545">
        <v>1</v>
      </c>
      <c r="J4277" s="545">
        <v>1.4047619047619049</v>
      </c>
    </row>
    <row r="4278" spans="1:10">
      <c r="A4278" s="441">
        <v>2942</v>
      </c>
      <c r="B4278" s="441" t="s">
        <v>4097</v>
      </c>
      <c r="C4278" s="545">
        <v>4.5</v>
      </c>
      <c r="D4278" s="545">
        <v>2.3333333333333335</v>
      </c>
      <c r="E4278" s="545">
        <v>2.3333333333333335</v>
      </c>
      <c r="F4278" s="545">
        <v>3.8809523809523805</v>
      </c>
      <c r="G4278" s="545">
        <v>1.9</v>
      </c>
      <c r="H4278" s="545">
        <v>1.3333333333333333</v>
      </c>
      <c r="I4278" s="545">
        <v>1</v>
      </c>
      <c r="J4278" s="545">
        <v>1.6904761904761905</v>
      </c>
    </row>
    <row r="4279" spans="1:10">
      <c r="A4279" s="441">
        <v>2921</v>
      </c>
      <c r="B4279" s="441" t="s">
        <v>4098</v>
      </c>
      <c r="C4279" s="545">
        <v>7.8333333333333339</v>
      </c>
      <c r="D4279" s="545">
        <v>7</v>
      </c>
      <c r="E4279" s="545">
        <v>6.333333333333333</v>
      </c>
      <c r="F4279" s="545">
        <v>7.5000000000000009</v>
      </c>
      <c r="G4279" s="545">
        <v>5.5</v>
      </c>
      <c r="H4279" s="545">
        <v>2.6666666666666665</v>
      </c>
      <c r="I4279" s="545">
        <v>2.3333333333333335</v>
      </c>
      <c r="J4279" s="545">
        <v>4.6428571428571432</v>
      </c>
    </row>
    <row r="4280" spans="1:10">
      <c r="A4280" s="441">
        <v>2946</v>
      </c>
      <c r="B4280" s="441" t="s">
        <v>4099</v>
      </c>
      <c r="C4280" s="545">
        <v>6.6666666666666661</v>
      </c>
      <c r="D4280" s="545">
        <v>3</v>
      </c>
      <c r="E4280" s="545">
        <v>4</v>
      </c>
      <c r="F4280" s="545">
        <v>5.761904761904761</v>
      </c>
      <c r="G4280" s="545">
        <v>0.85</v>
      </c>
      <c r="H4280" s="545">
        <v>0.33333333333333331</v>
      </c>
      <c r="I4280" s="545">
        <v>0</v>
      </c>
      <c r="J4280" s="545">
        <v>0.65476190476190477</v>
      </c>
    </row>
    <row r="4281" spans="1:10">
      <c r="A4281" s="441">
        <v>2947</v>
      </c>
      <c r="B4281" s="441" t="s">
        <v>4100</v>
      </c>
      <c r="C4281" s="545">
        <v>1.3333333333333335</v>
      </c>
      <c r="D4281" s="545">
        <v>0.66666666666666663</v>
      </c>
      <c r="E4281" s="545">
        <v>0.33333333333333331</v>
      </c>
      <c r="F4281" s="545">
        <v>1.0952380952380953</v>
      </c>
      <c r="G4281" s="545">
        <v>0.8</v>
      </c>
      <c r="H4281" s="545">
        <v>0</v>
      </c>
      <c r="I4281" s="545">
        <v>0.66666666666666663</v>
      </c>
      <c r="J4281" s="545">
        <v>0.66666666666666674</v>
      </c>
    </row>
    <row r="4282" spans="1:10">
      <c r="A4282" s="441">
        <v>2948</v>
      </c>
      <c r="B4282" s="441" t="s">
        <v>4101</v>
      </c>
      <c r="C4282" s="545">
        <v>27</v>
      </c>
      <c r="D4282" s="545">
        <v>17.333333333333332</v>
      </c>
      <c r="E4282" s="545">
        <v>11.333333333333334</v>
      </c>
      <c r="F4282" s="545">
        <v>23.380952380952383</v>
      </c>
      <c r="G4282" s="545">
        <v>15.15</v>
      </c>
      <c r="H4282" s="545">
        <v>10</v>
      </c>
      <c r="I4282" s="545">
        <v>9.3333333333333339</v>
      </c>
      <c r="J4282" s="545">
        <v>13.583333333333332</v>
      </c>
    </row>
    <row r="4283" spans="1:10">
      <c r="A4283" s="441">
        <v>2920</v>
      </c>
      <c r="B4283" s="441" t="s">
        <v>4102</v>
      </c>
      <c r="C4283" s="545">
        <v>3.1666666666666665</v>
      </c>
      <c r="D4283" s="545">
        <v>2.6666666666666665</v>
      </c>
      <c r="E4283" s="545">
        <v>3</v>
      </c>
      <c r="F4283" s="545">
        <v>3.0714285714285716</v>
      </c>
      <c r="G4283" s="545">
        <v>1.9</v>
      </c>
      <c r="H4283" s="545">
        <v>1.3333333333333333</v>
      </c>
      <c r="I4283" s="545">
        <v>1</v>
      </c>
      <c r="J4283" s="545">
        <v>1.6904761904761905</v>
      </c>
    </row>
    <row r="4284" spans="1:10">
      <c r="A4284" s="441">
        <v>2919</v>
      </c>
      <c r="B4284" s="441" t="s">
        <v>4103</v>
      </c>
      <c r="C4284" s="545">
        <v>20.5</v>
      </c>
      <c r="D4284" s="545">
        <v>14</v>
      </c>
      <c r="E4284" s="545">
        <v>6.666666666666667</v>
      </c>
      <c r="F4284" s="545">
        <v>17.595238095238095</v>
      </c>
      <c r="G4284" s="545">
        <v>10.3</v>
      </c>
      <c r="H4284" s="545">
        <v>12</v>
      </c>
      <c r="I4284" s="545">
        <v>7</v>
      </c>
      <c r="J4284" s="545">
        <v>10.071428571428571</v>
      </c>
    </row>
    <row r="4285" spans="1:10">
      <c r="A4285" s="441">
        <v>2944</v>
      </c>
      <c r="B4285" s="441" t="s">
        <v>4104</v>
      </c>
      <c r="C4285" s="545">
        <v>0.83333333333333326</v>
      </c>
      <c r="D4285" s="545">
        <v>1</v>
      </c>
      <c r="E4285" s="545">
        <v>0.33333333333333331</v>
      </c>
      <c r="F4285" s="545">
        <v>0.78571428571428559</v>
      </c>
      <c r="G4285" s="545">
        <v>1.7</v>
      </c>
      <c r="H4285" s="545">
        <v>1</v>
      </c>
      <c r="I4285" s="545">
        <v>1.3333333333333333</v>
      </c>
      <c r="J4285" s="545">
        <v>1.5476190476190477</v>
      </c>
    </row>
    <row r="4286" spans="1:10">
      <c r="A4286" s="441">
        <v>12755</v>
      </c>
      <c r="B4286" s="441" t="s">
        <v>4105</v>
      </c>
      <c r="C4286" s="545">
        <v>6</v>
      </c>
      <c r="D4286" s="545">
        <v>5.333333333333333</v>
      </c>
      <c r="E4286" s="545">
        <v>2.6666666666666665</v>
      </c>
      <c r="F4286" s="545">
        <v>5.4285714285714288</v>
      </c>
      <c r="G4286" s="545">
        <v>2.95</v>
      </c>
      <c r="H4286" s="545">
        <v>0.66666666666666663</v>
      </c>
      <c r="I4286" s="545">
        <v>0.66666666666666663</v>
      </c>
      <c r="J4286" s="545">
        <v>2.2976190476190474</v>
      </c>
    </row>
    <row r="4287" spans="1:10">
      <c r="A4287" s="441">
        <v>12744</v>
      </c>
      <c r="B4287" s="441" t="s">
        <v>4106</v>
      </c>
      <c r="C4287" s="545">
        <v>11.5</v>
      </c>
      <c r="D4287" s="545">
        <v>5</v>
      </c>
      <c r="E4287" s="545">
        <v>5</v>
      </c>
      <c r="F4287" s="545">
        <v>9.6428571428571423</v>
      </c>
      <c r="G4287" s="545">
        <v>4.9000000000000004</v>
      </c>
      <c r="H4287" s="545">
        <v>7.333333333333333</v>
      </c>
      <c r="I4287" s="545">
        <v>1</v>
      </c>
      <c r="J4287" s="545">
        <v>4.6904761904761898</v>
      </c>
    </row>
    <row r="4288" spans="1:10">
      <c r="A4288" s="441">
        <v>12741</v>
      </c>
      <c r="B4288" s="441" t="s">
        <v>4107</v>
      </c>
      <c r="C4288" s="545">
        <v>2</v>
      </c>
      <c r="D4288" s="545">
        <v>0.33333333333333331</v>
      </c>
      <c r="E4288" s="545">
        <v>0.33333333333333331</v>
      </c>
      <c r="F4288" s="545">
        <v>1.5238095238095239</v>
      </c>
      <c r="G4288" s="545">
        <v>0.5</v>
      </c>
      <c r="H4288" s="545">
        <v>0.66666666666666663</v>
      </c>
      <c r="I4288" s="545">
        <v>0</v>
      </c>
      <c r="J4288" s="545">
        <v>0.45238095238095238</v>
      </c>
    </row>
    <row r="4289" spans="1:10">
      <c r="A4289" s="441">
        <v>13073</v>
      </c>
      <c r="B4289" s="441" t="s">
        <v>4108</v>
      </c>
      <c r="C4289" s="545">
        <v>2.1666666666666665</v>
      </c>
      <c r="D4289" s="545">
        <v>0.66666666666666663</v>
      </c>
      <c r="E4289" s="545">
        <v>0</v>
      </c>
      <c r="F4289" s="545">
        <v>1.6428571428571426</v>
      </c>
      <c r="G4289" s="545">
        <v>1.65</v>
      </c>
      <c r="H4289" s="545">
        <v>1.6666666666666667</v>
      </c>
      <c r="I4289" s="545">
        <v>0.33333333333333331</v>
      </c>
      <c r="J4289" s="545">
        <v>1.4642857142857142</v>
      </c>
    </row>
    <row r="4290" spans="1:10">
      <c r="A4290" s="441">
        <v>1474</v>
      </c>
      <c r="B4290" s="441" t="s">
        <v>4109</v>
      </c>
      <c r="C4290" s="545">
        <v>4.5</v>
      </c>
      <c r="D4290" s="545">
        <v>5.666666666666667</v>
      </c>
      <c r="E4290" s="545">
        <v>0</v>
      </c>
      <c r="F4290" s="545">
        <v>4.0238095238095237</v>
      </c>
      <c r="G4290" s="545">
        <v>3.1</v>
      </c>
      <c r="H4290" s="545">
        <v>1</v>
      </c>
      <c r="I4290" s="545">
        <v>4.666666666666667</v>
      </c>
      <c r="J4290" s="545">
        <v>3.0238095238095242</v>
      </c>
    </row>
    <row r="4291" spans="1:10">
      <c r="A4291" s="441">
        <v>1483</v>
      </c>
      <c r="B4291" s="441" t="s">
        <v>4109</v>
      </c>
      <c r="C4291" s="545">
        <v>2.1666666666666665</v>
      </c>
      <c r="D4291" s="545">
        <v>4</v>
      </c>
      <c r="E4291" s="545">
        <v>1</v>
      </c>
      <c r="F4291" s="545">
        <v>2.2619047619047619</v>
      </c>
      <c r="G4291" s="545">
        <v>2.1</v>
      </c>
      <c r="H4291" s="545">
        <v>4</v>
      </c>
      <c r="I4291" s="545">
        <v>1.3333333333333333</v>
      </c>
      <c r="J4291" s="545">
        <v>2.2619047619047619</v>
      </c>
    </row>
    <row r="4292" spans="1:10">
      <c r="A4292" s="441">
        <v>12754</v>
      </c>
      <c r="B4292" s="441" t="s">
        <v>4110</v>
      </c>
      <c r="C4292" s="545">
        <v>3</v>
      </c>
      <c r="D4292" s="545">
        <v>0.33333333333333331</v>
      </c>
      <c r="E4292" s="545">
        <v>0.66666666666666663</v>
      </c>
      <c r="F4292" s="545">
        <v>2.2857142857142856</v>
      </c>
      <c r="G4292" s="545">
        <v>1.75</v>
      </c>
      <c r="H4292" s="545">
        <v>1.6666666666666667</v>
      </c>
      <c r="I4292" s="545">
        <v>0.66666666666666663</v>
      </c>
      <c r="J4292" s="545">
        <v>1.5833333333333333</v>
      </c>
    </row>
    <row r="4293" spans="1:10">
      <c r="A4293" s="441">
        <v>12743</v>
      </c>
      <c r="B4293" s="441" t="s">
        <v>4111</v>
      </c>
      <c r="C4293" s="545">
        <v>1.3333333333333333</v>
      </c>
      <c r="D4293" s="545">
        <v>0</v>
      </c>
      <c r="E4293" s="545">
        <v>0</v>
      </c>
      <c r="F4293" s="545">
        <v>0.95238095238095233</v>
      </c>
      <c r="G4293" s="545">
        <v>1.45</v>
      </c>
      <c r="H4293" s="545">
        <v>0.33333333333333331</v>
      </c>
      <c r="I4293" s="545">
        <v>0.33333333333333331</v>
      </c>
      <c r="J4293" s="545">
        <v>1.1309523809523809</v>
      </c>
    </row>
    <row r="4294" spans="1:10">
      <c r="A4294" s="441">
        <v>12742</v>
      </c>
      <c r="B4294" s="441" t="s">
        <v>4112</v>
      </c>
      <c r="C4294" s="545">
        <v>0.83333333333333337</v>
      </c>
      <c r="D4294" s="545">
        <v>0.66666666666666663</v>
      </c>
      <c r="E4294" s="545">
        <v>0.33333333333333331</v>
      </c>
      <c r="F4294" s="545">
        <v>0.73809523809523814</v>
      </c>
      <c r="G4294" s="545">
        <v>1.75</v>
      </c>
      <c r="H4294" s="545">
        <v>2</v>
      </c>
      <c r="I4294" s="545">
        <v>0.66666666666666663</v>
      </c>
      <c r="J4294" s="545">
        <v>1.6309523809523809</v>
      </c>
    </row>
    <row r="4295" spans="1:10">
      <c r="A4295" s="441">
        <v>1476</v>
      </c>
      <c r="B4295" s="441" t="s">
        <v>4113</v>
      </c>
      <c r="C4295" s="545">
        <v>10.5</v>
      </c>
      <c r="D4295" s="545">
        <v>4.6666666666666661</v>
      </c>
      <c r="E4295" s="545">
        <v>2.333333333333333</v>
      </c>
      <c r="F4295" s="545">
        <v>8.5</v>
      </c>
      <c r="G4295" s="545">
        <v>8.5500000000000007</v>
      </c>
      <c r="H4295" s="545">
        <v>3.6666666666666665</v>
      </c>
      <c r="I4295" s="545">
        <v>9.3333333333333339</v>
      </c>
      <c r="J4295" s="545">
        <v>7.9642857142857144</v>
      </c>
    </row>
    <row r="4296" spans="1:10">
      <c r="A4296" s="441">
        <v>1477</v>
      </c>
      <c r="B4296" s="441" t="s">
        <v>4113</v>
      </c>
      <c r="C4296" s="545">
        <v>1</v>
      </c>
      <c r="D4296" s="545">
        <v>0</v>
      </c>
      <c r="E4296" s="545">
        <v>0.66666666666666663</v>
      </c>
      <c r="F4296" s="545">
        <v>0.80952380952380953</v>
      </c>
      <c r="G4296" s="545">
        <v>0.15</v>
      </c>
      <c r="H4296" s="545">
        <v>0</v>
      </c>
      <c r="I4296" s="545">
        <v>0</v>
      </c>
      <c r="J4296" s="545">
        <v>0.10714285714285714</v>
      </c>
    </row>
    <row r="4297" spans="1:10">
      <c r="A4297" s="441">
        <v>1481</v>
      </c>
      <c r="B4297" s="441" t="s">
        <v>4113</v>
      </c>
      <c r="C4297" s="545">
        <v>12.333333333333332</v>
      </c>
      <c r="D4297" s="545">
        <v>4.666666666666667</v>
      </c>
      <c r="E4297" s="545">
        <v>1</v>
      </c>
      <c r="F4297" s="545">
        <v>9.6190476190476186</v>
      </c>
      <c r="G4297" s="545">
        <v>9.6999999999999993</v>
      </c>
      <c r="H4297" s="545">
        <v>3</v>
      </c>
      <c r="I4297" s="545">
        <v>0.33333333333333331</v>
      </c>
      <c r="J4297" s="545">
        <v>7.4047619047619051</v>
      </c>
    </row>
    <row r="4298" spans="1:10">
      <c r="A4298" s="441">
        <v>1475</v>
      </c>
      <c r="B4298" s="441" t="s">
        <v>4114</v>
      </c>
      <c r="C4298" s="545">
        <v>6.1666666666666661</v>
      </c>
      <c r="D4298" s="545">
        <v>8</v>
      </c>
      <c r="E4298" s="545">
        <v>1.3333333333333333</v>
      </c>
      <c r="F4298" s="545">
        <v>5.7380952380952381</v>
      </c>
      <c r="G4298" s="545">
        <v>4.45</v>
      </c>
      <c r="H4298" s="545">
        <v>4</v>
      </c>
      <c r="I4298" s="545">
        <v>1.3333333333333333</v>
      </c>
      <c r="J4298" s="545">
        <v>3.9404761904761902</v>
      </c>
    </row>
    <row r="4299" spans="1:10">
      <c r="A4299" s="441">
        <v>1482</v>
      </c>
      <c r="B4299" s="441" t="s">
        <v>4114</v>
      </c>
      <c r="C4299" s="545">
        <v>5.666666666666667</v>
      </c>
      <c r="D4299" s="545">
        <v>5.3333333333333339</v>
      </c>
      <c r="E4299" s="545">
        <v>0.33333333333333331</v>
      </c>
      <c r="F4299" s="545">
        <v>4.8571428571428585</v>
      </c>
      <c r="G4299" s="545">
        <v>5.25</v>
      </c>
      <c r="H4299" s="545">
        <v>2.3333333333333335</v>
      </c>
      <c r="I4299" s="545">
        <v>2.3333333333333335</v>
      </c>
      <c r="J4299" s="545">
        <v>4.4166666666666661</v>
      </c>
    </row>
    <row r="4300" spans="1:10">
      <c r="A4300" s="441">
        <v>13018</v>
      </c>
      <c r="B4300" s="441" t="s">
        <v>4115</v>
      </c>
      <c r="C4300" s="545">
        <v>17.333333333333332</v>
      </c>
      <c r="D4300" s="545">
        <v>12.666666666666666</v>
      </c>
      <c r="E4300" s="545">
        <v>6.333333333333333</v>
      </c>
      <c r="F4300" s="545">
        <v>15.095238095238093</v>
      </c>
      <c r="G4300" s="545">
        <v>24</v>
      </c>
      <c r="H4300" s="545">
        <v>10</v>
      </c>
      <c r="I4300" s="545">
        <v>8.3333333333333339</v>
      </c>
      <c r="J4300" s="545">
        <v>19.761904761904763</v>
      </c>
    </row>
    <row r="4301" spans="1:10">
      <c r="A4301" s="441">
        <v>13019</v>
      </c>
      <c r="B4301" s="441" t="s">
        <v>4115</v>
      </c>
      <c r="C4301" s="545">
        <v>17.333333333333332</v>
      </c>
      <c r="D4301" s="545">
        <v>8.3333333333333339</v>
      </c>
      <c r="E4301" s="545">
        <v>6</v>
      </c>
      <c r="F4301" s="545">
        <v>14.428571428571427</v>
      </c>
      <c r="G4301" s="545">
        <v>18.850000000000001</v>
      </c>
      <c r="H4301" s="545">
        <v>7.333333333333333</v>
      </c>
      <c r="I4301" s="545">
        <v>6.333333333333333</v>
      </c>
      <c r="J4301" s="545">
        <v>15.416666666666666</v>
      </c>
    </row>
    <row r="4302" spans="1:10">
      <c r="A4302" s="441">
        <v>1478</v>
      </c>
      <c r="B4302" s="441" t="s">
        <v>4116</v>
      </c>
      <c r="C4302" s="545">
        <v>12.666666666666668</v>
      </c>
      <c r="D4302" s="545">
        <v>4.3333333333333339</v>
      </c>
      <c r="E4302" s="545">
        <v>0.33333333333333331</v>
      </c>
      <c r="F4302" s="545">
        <v>9.7142857142857135</v>
      </c>
      <c r="G4302" s="545">
        <v>4.45</v>
      </c>
      <c r="H4302" s="545">
        <v>1</v>
      </c>
      <c r="I4302" s="545">
        <v>0.33333333333333331</v>
      </c>
      <c r="J4302" s="545">
        <v>3.3690476190476191</v>
      </c>
    </row>
    <row r="4303" spans="1:10">
      <c r="A4303" s="441">
        <v>1479</v>
      </c>
      <c r="B4303" s="441" t="s">
        <v>4116</v>
      </c>
      <c r="C4303" s="545">
        <v>7.5</v>
      </c>
      <c r="D4303" s="545">
        <v>2</v>
      </c>
      <c r="E4303" s="545">
        <v>0.66666666666666663</v>
      </c>
      <c r="F4303" s="545">
        <v>5.7380952380952381</v>
      </c>
      <c r="G4303" s="545">
        <v>4.9000000000000004</v>
      </c>
      <c r="H4303" s="545">
        <v>0.66666666666666663</v>
      </c>
      <c r="I4303" s="545">
        <v>3.3333333333333335</v>
      </c>
      <c r="J4303" s="545">
        <v>4.0714285714285712</v>
      </c>
    </row>
    <row r="4304" spans="1:10">
      <c r="A4304" s="441">
        <v>1480</v>
      </c>
      <c r="B4304" s="441" t="s">
        <v>4116</v>
      </c>
      <c r="C4304" s="545">
        <v>0</v>
      </c>
      <c r="D4304" s="545">
        <v>0.66666666666666663</v>
      </c>
      <c r="E4304" s="545">
        <v>0</v>
      </c>
      <c r="F4304" s="545">
        <v>9.5238095238095233E-2</v>
      </c>
      <c r="G4304" s="545">
        <v>0.25</v>
      </c>
      <c r="H4304" s="545">
        <v>0.33333333333333331</v>
      </c>
      <c r="I4304" s="545">
        <v>0</v>
      </c>
      <c r="J4304" s="545">
        <v>0.22619047619047619</v>
      </c>
    </row>
    <row r="4305" spans="1:10">
      <c r="A4305" s="441">
        <v>12753</v>
      </c>
      <c r="B4305" s="441" t="s">
        <v>4117</v>
      </c>
      <c r="C4305" s="545">
        <v>9</v>
      </c>
      <c r="D4305" s="545">
        <v>7.6666666666666661</v>
      </c>
      <c r="E4305" s="545">
        <v>4</v>
      </c>
      <c r="F4305" s="545">
        <v>8.0952380952380949</v>
      </c>
      <c r="G4305" s="545">
        <v>3.55</v>
      </c>
      <c r="H4305" s="545">
        <v>2</v>
      </c>
      <c r="I4305" s="545">
        <v>2.6666666666666665</v>
      </c>
      <c r="J4305" s="545">
        <v>3.2023809523809526</v>
      </c>
    </row>
    <row r="4306" spans="1:10">
      <c r="A4306" s="441">
        <v>4853</v>
      </c>
      <c r="B4306" s="441" t="s">
        <v>4118</v>
      </c>
      <c r="C4306" s="545">
        <v>5.5</v>
      </c>
      <c r="D4306" s="545">
        <v>3</v>
      </c>
      <c r="E4306" s="545">
        <v>1.3333333333333333</v>
      </c>
      <c r="F4306" s="545">
        <v>4.5476190476190474</v>
      </c>
      <c r="G4306" s="545">
        <v>0.65</v>
      </c>
      <c r="H4306" s="545">
        <v>0.66666666666666663</v>
      </c>
      <c r="I4306" s="545">
        <v>0.33333333333333331</v>
      </c>
      <c r="J4306" s="545">
        <v>0.6071428571428571</v>
      </c>
    </row>
    <row r="4307" spans="1:10">
      <c r="A4307" s="441">
        <v>10493</v>
      </c>
      <c r="B4307" s="441" t="s">
        <v>4118</v>
      </c>
      <c r="C4307" s="545">
        <v>2.8333333333333335</v>
      </c>
      <c r="D4307" s="545">
        <v>0.33333333333333331</v>
      </c>
      <c r="E4307" s="545">
        <v>0</v>
      </c>
      <c r="F4307" s="545">
        <v>2.0714285714285716</v>
      </c>
      <c r="G4307" s="545">
        <v>0.3</v>
      </c>
      <c r="H4307" s="545">
        <v>0</v>
      </c>
      <c r="I4307" s="545">
        <v>0</v>
      </c>
      <c r="J4307" s="545">
        <v>0.21428571428571427</v>
      </c>
    </row>
    <row r="4308" spans="1:10">
      <c r="A4308" s="441">
        <v>12717</v>
      </c>
      <c r="B4308" s="441" t="s">
        <v>4118</v>
      </c>
      <c r="C4308" s="545">
        <v>6</v>
      </c>
      <c r="D4308" s="545">
        <v>2</v>
      </c>
      <c r="E4308" s="545">
        <v>2.6666666666666665</v>
      </c>
      <c r="F4308" s="545">
        <v>4.9523809523809517</v>
      </c>
      <c r="G4308" s="545">
        <v>0.45</v>
      </c>
      <c r="H4308" s="545">
        <v>0.66666666666666663</v>
      </c>
      <c r="I4308" s="545">
        <v>0</v>
      </c>
      <c r="J4308" s="545">
        <v>0.41666666666666663</v>
      </c>
    </row>
    <row r="4309" spans="1:10">
      <c r="A4309" s="441">
        <v>4852</v>
      </c>
      <c r="B4309" s="441" t="s">
        <v>4119</v>
      </c>
      <c r="C4309" s="545">
        <v>2.333333333333333</v>
      </c>
      <c r="D4309" s="545">
        <v>2.6666666666666665</v>
      </c>
      <c r="E4309" s="545">
        <v>0.33333333333333331</v>
      </c>
      <c r="F4309" s="545">
        <v>2.0952380952380949</v>
      </c>
      <c r="G4309" s="545">
        <v>0.6</v>
      </c>
      <c r="H4309" s="545">
        <v>0.66666666666666663</v>
      </c>
      <c r="I4309" s="545">
        <v>0.33333333333333331</v>
      </c>
      <c r="J4309" s="545">
        <v>0.5714285714285714</v>
      </c>
    </row>
    <row r="4310" spans="1:10">
      <c r="A4310" s="441">
        <v>12716</v>
      </c>
      <c r="B4310" s="441" t="s">
        <v>4119</v>
      </c>
      <c r="C4310" s="545">
        <v>3</v>
      </c>
      <c r="D4310" s="545">
        <v>1.3333333333333333</v>
      </c>
      <c r="E4310" s="545">
        <v>0</v>
      </c>
      <c r="F4310" s="545">
        <v>2.333333333333333</v>
      </c>
      <c r="G4310" s="545">
        <v>0.2</v>
      </c>
      <c r="H4310" s="545">
        <v>0</v>
      </c>
      <c r="I4310" s="545">
        <v>0</v>
      </c>
      <c r="J4310" s="545">
        <v>0.14285714285714285</v>
      </c>
    </row>
    <row r="4311" spans="1:10">
      <c r="A4311" s="441">
        <v>4854</v>
      </c>
      <c r="B4311" s="441" t="s">
        <v>4120</v>
      </c>
      <c r="C4311" s="545">
        <v>1</v>
      </c>
      <c r="D4311" s="545">
        <v>0.66666666666666663</v>
      </c>
      <c r="E4311" s="545">
        <v>0</v>
      </c>
      <c r="F4311" s="545">
        <v>0.80952380952380953</v>
      </c>
      <c r="G4311" s="545">
        <v>1.05</v>
      </c>
      <c r="H4311" s="545">
        <v>1</v>
      </c>
      <c r="I4311" s="545">
        <v>0</v>
      </c>
      <c r="J4311" s="545">
        <v>0.8928571428571429</v>
      </c>
    </row>
    <row r="4312" spans="1:10">
      <c r="A4312" s="441">
        <v>4850</v>
      </c>
      <c r="B4312" s="441" t="s">
        <v>4121</v>
      </c>
      <c r="C4312" s="545">
        <v>2.3333333333333335</v>
      </c>
      <c r="D4312" s="545">
        <v>1</v>
      </c>
      <c r="E4312" s="545">
        <v>1.3333333333333333</v>
      </c>
      <c r="F4312" s="545">
        <v>2.0000000000000004</v>
      </c>
      <c r="G4312" s="545">
        <v>0.1</v>
      </c>
      <c r="H4312" s="545">
        <v>0</v>
      </c>
      <c r="I4312" s="545">
        <v>0</v>
      </c>
      <c r="J4312" s="545">
        <v>7.1428571428571425E-2</v>
      </c>
    </row>
    <row r="4313" spans="1:10">
      <c r="A4313" s="441">
        <v>12714</v>
      </c>
      <c r="B4313" s="441" t="s">
        <v>4121</v>
      </c>
      <c r="C4313" s="545">
        <v>1.1666666666666667</v>
      </c>
      <c r="D4313" s="545">
        <v>0.66666666666666663</v>
      </c>
      <c r="E4313" s="545">
        <v>1</v>
      </c>
      <c r="F4313" s="545">
        <v>1.0714285714285716</v>
      </c>
      <c r="G4313" s="545">
        <v>0.2</v>
      </c>
      <c r="H4313" s="545">
        <v>0</v>
      </c>
      <c r="I4313" s="545">
        <v>0</v>
      </c>
      <c r="J4313" s="545">
        <v>0.14285714285714285</v>
      </c>
    </row>
    <row r="4314" spans="1:10">
      <c r="A4314" s="441">
        <v>4851</v>
      </c>
      <c r="B4314" s="441" t="s">
        <v>4122</v>
      </c>
      <c r="C4314" s="545">
        <v>0.16666666666666666</v>
      </c>
      <c r="D4314" s="545">
        <v>0</v>
      </c>
      <c r="E4314" s="545">
        <v>0.33333333333333331</v>
      </c>
      <c r="F4314" s="545">
        <v>0.16666666666666666</v>
      </c>
      <c r="G4314" s="545">
        <v>0.4</v>
      </c>
      <c r="H4314" s="545">
        <v>0</v>
      </c>
      <c r="I4314" s="545">
        <v>0</v>
      </c>
      <c r="J4314" s="545">
        <v>0.2857142857142857</v>
      </c>
    </row>
    <row r="4315" spans="1:10">
      <c r="A4315" s="441">
        <v>12715</v>
      </c>
      <c r="B4315" s="441" t="s">
        <v>4122</v>
      </c>
      <c r="C4315" s="545">
        <v>0</v>
      </c>
      <c r="D4315" s="545">
        <v>0</v>
      </c>
      <c r="E4315" s="545">
        <v>0</v>
      </c>
      <c r="F4315" s="545">
        <v>0</v>
      </c>
      <c r="G4315" s="545">
        <v>0.1</v>
      </c>
      <c r="H4315" s="545">
        <v>0</v>
      </c>
      <c r="I4315" s="545">
        <v>0</v>
      </c>
      <c r="J4315" s="545">
        <v>7.1428571428571425E-2</v>
      </c>
    </row>
    <row r="4316" spans="1:10">
      <c r="A4316" s="441">
        <v>2553</v>
      </c>
      <c r="B4316" s="441" t="s">
        <v>4123</v>
      </c>
      <c r="C4316" s="545">
        <v>1.8333333333333333</v>
      </c>
      <c r="D4316" s="545">
        <v>2</v>
      </c>
      <c r="E4316" s="545">
        <v>0.33333333333333331</v>
      </c>
      <c r="F4316" s="545">
        <v>1.6428571428571428</v>
      </c>
      <c r="G4316" s="545">
        <v>1.3</v>
      </c>
      <c r="H4316" s="545">
        <v>0.33333333333333331</v>
      </c>
      <c r="I4316" s="545">
        <v>2.6666666666666665</v>
      </c>
      <c r="J4316" s="545">
        <v>1.3571428571428572</v>
      </c>
    </row>
    <row r="4317" spans="1:10">
      <c r="A4317" s="441">
        <v>2812</v>
      </c>
      <c r="B4317" s="441" t="s">
        <v>4123</v>
      </c>
      <c r="C4317" s="545">
        <v>1.3333333333333335</v>
      </c>
      <c r="D4317" s="545">
        <v>0.66666666666666663</v>
      </c>
      <c r="E4317" s="545">
        <v>1</v>
      </c>
      <c r="F4317" s="545">
        <v>1.1904761904761909</v>
      </c>
      <c r="G4317" s="545">
        <v>4.1500000000000004</v>
      </c>
      <c r="H4317" s="545">
        <v>1.6666666666666667</v>
      </c>
      <c r="I4317" s="545">
        <v>1.6666666666666667</v>
      </c>
      <c r="J4317" s="545">
        <v>3.4404761904761907</v>
      </c>
    </row>
    <row r="4318" spans="1:10">
      <c r="A4318" s="441">
        <v>2546</v>
      </c>
      <c r="B4318" s="441" t="s">
        <v>4124</v>
      </c>
      <c r="C4318" s="545">
        <v>4.5</v>
      </c>
      <c r="D4318" s="545">
        <v>4.3333333333333339</v>
      </c>
      <c r="E4318" s="545">
        <v>1.6666666666666665</v>
      </c>
      <c r="F4318" s="545">
        <v>4.0714285714285721</v>
      </c>
      <c r="G4318" s="545">
        <v>2.7</v>
      </c>
      <c r="H4318" s="545">
        <v>3.3333333333333335</v>
      </c>
      <c r="I4318" s="545">
        <v>2.3333333333333335</v>
      </c>
      <c r="J4318" s="545">
        <v>2.7380952380952377</v>
      </c>
    </row>
    <row r="4319" spans="1:10">
      <c r="A4319" s="441">
        <v>2551</v>
      </c>
      <c r="B4319" s="441" t="s">
        <v>4124</v>
      </c>
      <c r="C4319" s="545">
        <v>5.833333333333333</v>
      </c>
      <c r="D4319" s="545">
        <v>4.666666666666667</v>
      </c>
      <c r="E4319" s="545">
        <v>2.3333333333333335</v>
      </c>
      <c r="F4319" s="545">
        <v>5.1666666666666661</v>
      </c>
      <c r="G4319" s="545">
        <v>2.65</v>
      </c>
      <c r="H4319" s="545">
        <v>1</v>
      </c>
      <c r="I4319" s="545">
        <v>0.66666666666666663</v>
      </c>
      <c r="J4319" s="545">
        <v>2.1309523809523809</v>
      </c>
    </row>
    <row r="4320" spans="1:10">
      <c r="A4320" s="441">
        <v>2632</v>
      </c>
      <c r="B4320" s="441" t="s">
        <v>4125</v>
      </c>
      <c r="C4320" s="545">
        <v>0.66666666666666663</v>
      </c>
      <c r="D4320" s="545">
        <v>0</v>
      </c>
      <c r="E4320" s="545">
        <v>0.33333333333333331</v>
      </c>
      <c r="F4320" s="545">
        <v>0.52380952380952384</v>
      </c>
      <c r="G4320" s="545">
        <v>0.15</v>
      </c>
      <c r="H4320" s="545">
        <v>0</v>
      </c>
      <c r="I4320" s="545">
        <v>0.33333333333333331</v>
      </c>
      <c r="J4320" s="545">
        <v>0.15476190476190474</v>
      </c>
    </row>
    <row r="4321" spans="1:10">
      <c r="A4321" s="441">
        <v>2631</v>
      </c>
      <c r="B4321" s="441" t="s">
        <v>4126</v>
      </c>
      <c r="C4321" s="545">
        <v>11.166666666666668</v>
      </c>
      <c r="D4321" s="545">
        <v>5.6666666666666661</v>
      </c>
      <c r="E4321" s="545">
        <v>4.6666666666666661</v>
      </c>
      <c r="F4321" s="545">
        <v>9.4523809523809526</v>
      </c>
      <c r="G4321" s="545">
        <v>6.5</v>
      </c>
      <c r="H4321" s="545">
        <v>3</v>
      </c>
      <c r="I4321" s="545">
        <v>3.6666666666666665</v>
      </c>
      <c r="J4321" s="545">
        <v>5.5952380952380949</v>
      </c>
    </row>
    <row r="4322" spans="1:10">
      <c r="A4322" s="441">
        <v>2554</v>
      </c>
      <c r="B4322" s="441" t="s">
        <v>4127</v>
      </c>
      <c r="C4322" s="545">
        <v>1.1666666666666667</v>
      </c>
      <c r="D4322" s="545">
        <v>1.3333333333333333</v>
      </c>
      <c r="E4322" s="545">
        <v>0.66666666666666663</v>
      </c>
      <c r="F4322" s="545">
        <v>1.1190476190476191</v>
      </c>
      <c r="G4322" s="545">
        <v>1.9</v>
      </c>
      <c r="H4322" s="545">
        <v>0.33333333333333331</v>
      </c>
      <c r="I4322" s="545">
        <v>1.6666666666666667</v>
      </c>
      <c r="J4322" s="545">
        <v>1.6428571428571428</v>
      </c>
    </row>
    <row r="4323" spans="1:10">
      <c r="A4323" s="441">
        <v>2555</v>
      </c>
      <c r="B4323" s="441" t="s">
        <v>4128</v>
      </c>
      <c r="C4323" s="545">
        <v>4.166666666666667</v>
      </c>
      <c r="D4323" s="545">
        <v>2.666666666666667</v>
      </c>
      <c r="E4323" s="545">
        <v>2.6666666666666665</v>
      </c>
      <c r="F4323" s="545">
        <v>3.7380952380952386</v>
      </c>
      <c r="G4323" s="545">
        <v>4.3499999999999996</v>
      </c>
      <c r="H4323" s="545">
        <v>2</v>
      </c>
      <c r="I4323" s="545">
        <v>1.3333333333333333</v>
      </c>
      <c r="J4323" s="545">
        <v>3.583333333333333</v>
      </c>
    </row>
    <row r="4324" spans="1:10">
      <c r="A4324" s="441">
        <v>10022</v>
      </c>
      <c r="B4324" s="441" t="s">
        <v>4128</v>
      </c>
      <c r="C4324" s="545">
        <v>3</v>
      </c>
      <c r="D4324" s="545">
        <v>5</v>
      </c>
      <c r="E4324" s="545">
        <v>2.333333333333333</v>
      </c>
      <c r="F4324" s="545">
        <v>3.1904761904761902</v>
      </c>
      <c r="G4324" s="545">
        <v>5.0999999999999996</v>
      </c>
      <c r="H4324" s="545">
        <v>3.3333333333333335</v>
      </c>
      <c r="I4324" s="545">
        <v>1</v>
      </c>
      <c r="J4324" s="545">
        <v>4.2619047619047619</v>
      </c>
    </row>
    <row r="4325" spans="1:10">
      <c r="A4325" s="441">
        <v>2548</v>
      </c>
      <c r="B4325" s="441" t="s">
        <v>4129</v>
      </c>
      <c r="C4325" s="545">
        <v>7</v>
      </c>
      <c r="D4325" s="545">
        <v>4.3333333333333339</v>
      </c>
      <c r="E4325" s="545">
        <v>2.666666666666667</v>
      </c>
      <c r="F4325" s="545">
        <v>6</v>
      </c>
      <c r="G4325" s="545">
        <v>8.85</v>
      </c>
      <c r="H4325" s="545">
        <v>5.666666666666667</v>
      </c>
      <c r="I4325" s="545">
        <v>4.666666666666667</v>
      </c>
      <c r="J4325" s="545">
        <v>7.7976190476190466</v>
      </c>
    </row>
    <row r="4326" spans="1:10">
      <c r="A4326" s="441">
        <v>2549</v>
      </c>
      <c r="B4326" s="441" t="s">
        <v>4129</v>
      </c>
      <c r="C4326" s="545">
        <v>6.8333333333333339</v>
      </c>
      <c r="D4326" s="545">
        <v>2.333333333333333</v>
      </c>
      <c r="E4326" s="545">
        <v>1.6666666666666667</v>
      </c>
      <c r="F4326" s="545">
        <v>5.4523809523809534</v>
      </c>
      <c r="G4326" s="545">
        <v>10.25</v>
      </c>
      <c r="H4326" s="545">
        <v>7</v>
      </c>
      <c r="I4326" s="545">
        <v>7</v>
      </c>
      <c r="J4326" s="545">
        <v>9.3214285714285712</v>
      </c>
    </row>
    <row r="4327" spans="1:10">
      <c r="A4327" s="441">
        <v>2558</v>
      </c>
      <c r="B4327" s="441" t="s">
        <v>4130</v>
      </c>
      <c r="C4327" s="545">
        <v>4.3333333333333339</v>
      </c>
      <c r="D4327" s="545">
        <v>2</v>
      </c>
      <c r="E4327" s="545">
        <v>2</v>
      </c>
      <c r="F4327" s="545">
        <v>3.6666666666666674</v>
      </c>
      <c r="G4327" s="545">
        <v>5.9</v>
      </c>
      <c r="H4327" s="545">
        <v>2.6666666666666665</v>
      </c>
      <c r="I4327" s="545">
        <v>3.6666666666666665</v>
      </c>
      <c r="J4327" s="545">
        <v>5.1190476190476186</v>
      </c>
    </row>
    <row r="4328" spans="1:10">
      <c r="A4328" s="441">
        <v>2808</v>
      </c>
      <c r="B4328" s="441" t="s">
        <v>4130</v>
      </c>
      <c r="C4328" s="545">
        <v>2.6666666666666665</v>
      </c>
      <c r="D4328" s="545">
        <v>1.6666666666666665</v>
      </c>
      <c r="E4328" s="545">
        <v>2</v>
      </c>
      <c r="F4328" s="545">
        <v>2.4285714285714284</v>
      </c>
      <c r="G4328" s="545">
        <v>5</v>
      </c>
      <c r="H4328" s="545">
        <v>5.333333333333333</v>
      </c>
      <c r="I4328" s="545">
        <v>5.333333333333333</v>
      </c>
      <c r="J4328" s="545">
        <v>5.0952380952380949</v>
      </c>
    </row>
    <row r="4329" spans="1:10">
      <c r="A4329" s="441">
        <v>2547</v>
      </c>
      <c r="B4329" s="441" t="s">
        <v>4131</v>
      </c>
      <c r="C4329" s="545">
        <v>1.3333333333333333</v>
      </c>
      <c r="D4329" s="545">
        <v>0.66666666666666663</v>
      </c>
      <c r="E4329" s="545">
        <v>0.33333333333333331</v>
      </c>
      <c r="F4329" s="545">
        <v>1.0952380952380951</v>
      </c>
      <c r="G4329" s="545">
        <v>1.1499999999999999</v>
      </c>
      <c r="H4329" s="545">
        <v>1.3333333333333333</v>
      </c>
      <c r="I4329" s="545">
        <v>1</v>
      </c>
      <c r="J4329" s="545">
        <v>1.1547619047619047</v>
      </c>
    </row>
    <row r="4330" spans="1:10">
      <c r="A4330" s="441">
        <v>2550</v>
      </c>
      <c r="B4330" s="441" t="s">
        <v>4131</v>
      </c>
      <c r="C4330" s="545">
        <v>1.3333333333333333</v>
      </c>
      <c r="D4330" s="545">
        <v>0</v>
      </c>
      <c r="E4330" s="545">
        <v>0</v>
      </c>
      <c r="F4330" s="545">
        <v>0.95238095238095233</v>
      </c>
      <c r="G4330" s="545">
        <v>1.25</v>
      </c>
      <c r="H4330" s="545">
        <v>0.33333333333333331</v>
      </c>
      <c r="I4330" s="545">
        <v>0.33333333333333331</v>
      </c>
      <c r="J4330" s="545">
        <v>0.98809523809523803</v>
      </c>
    </row>
    <row r="4331" spans="1:10">
      <c r="A4331" s="441">
        <v>2557</v>
      </c>
      <c r="B4331" s="441" t="s">
        <v>4132</v>
      </c>
      <c r="C4331" s="545">
        <v>4.5</v>
      </c>
      <c r="D4331" s="545">
        <v>2.6666666666666665</v>
      </c>
      <c r="E4331" s="545">
        <v>1</v>
      </c>
      <c r="F4331" s="545">
        <v>3.7380952380952381</v>
      </c>
      <c r="G4331" s="545">
        <v>3.2</v>
      </c>
      <c r="H4331" s="545">
        <v>2.6666666666666665</v>
      </c>
      <c r="I4331" s="545">
        <v>2</v>
      </c>
      <c r="J4331" s="545">
        <v>2.9523809523809526</v>
      </c>
    </row>
    <row r="4332" spans="1:10">
      <c r="A4332" s="441">
        <v>2809</v>
      </c>
      <c r="B4332" s="441" t="s">
        <v>4132</v>
      </c>
      <c r="C4332" s="545">
        <v>3.5</v>
      </c>
      <c r="D4332" s="545">
        <v>6.333333333333333</v>
      </c>
      <c r="E4332" s="545">
        <v>2</v>
      </c>
      <c r="F4332" s="545">
        <v>3.6904761904761902</v>
      </c>
      <c r="G4332" s="545">
        <v>2.4500000000000002</v>
      </c>
      <c r="H4332" s="545">
        <v>3</v>
      </c>
      <c r="I4332" s="545">
        <v>2.6666666666666665</v>
      </c>
      <c r="J4332" s="545">
        <v>2.5595238095238098</v>
      </c>
    </row>
    <row r="4333" spans="1:10">
      <c r="A4333" s="441">
        <v>12914</v>
      </c>
      <c r="B4333" s="441" t="s">
        <v>4133</v>
      </c>
      <c r="C4333" s="545">
        <v>12</v>
      </c>
      <c r="D4333" s="545">
        <v>7.333333333333333</v>
      </c>
      <c r="E4333" s="545">
        <v>4.666666666666667</v>
      </c>
      <c r="F4333" s="545">
        <v>10.285714285714286</v>
      </c>
      <c r="G4333" s="545">
        <v>6</v>
      </c>
      <c r="H4333" s="545">
        <v>4.333333333333333</v>
      </c>
      <c r="I4333" s="545">
        <v>4.333333333333333</v>
      </c>
      <c r="J4333" s="545">
        <v>5.5238095238095246</v>
      </c>
    </row>
    <row r="4334" spans="1:10">
      <c r="A4334" s="441">
        <v>12915</v>
      </c>
      <c r="B4334" s="441" t="s">
        <v>4133</v>
      </c>
      <c r="C4334" s="545">
        <v>7.1666666666666661</v>
      </c>
      <c r="D4334" s="545">
        <v>8</v>
      </c>
      <c r="E4334" s="545">
        <v>2.333333333333333</v>
      </c>
      <c r="F4334" s="545">
        <v>6.5952380952380949</v>
      </c>
      <c r="G4334" s="545">
        <v>8.1</v>
      </c>
      <c r="H4334" s="545">
        <v>4.666666666666667</v>
      </c>
      <c r="I4334" s="545">
        <v>8</v>
      </c>
      <c r="J4334" s="545">
        <v>7.5952380952380949</v>
      </c>
    </row>
    <row r="4335" spans="1:10">
      <c r="A4335" s="441">
        <v>2552</v>
      </c>
      <c r="B4335" s="441" t="s">
        <v>4134</v>
      </c>
      <c r="C4335" s="545">
        <v>3.166666666666667</v>
      </c>
      <c r="D4335" s="545">
        <v>3.666666666666667</v>
      </c>
      <c r="E4335" s="545">
        <v>1.6666666666666665</v>
      </c>
      <c r="F4335" s="545">
        <v>3.0238095238095246</v>
      </c>
      <c r="G4335" s="545">
        <v>3.9</v>
      </c>
      <c r="H4335" s="545">
        <v>0.66666666666666663</v>
      </c>
      <c r="I4335" s="545">
        <v>0</v>
      </c>
      <c r="J4335" s="545">
        <v>2.8809523809523809</v>
      </c>
    </row>
    <row r="4336" spans="1:10">
      <c r="A4336" s="441">
        <v>7399</v>
      </c>
      <c r="B4336" s="441" t="s">
        <v>4135</v>
      </c>
      <c r="C4336" s="545">
        <v>1</v>
      </c>
      <c r="D4336" s="545">
        <v>0.33333333333333331</v>
      </c>
      <c r="E4336" s="545">
        <v>0</v>
      </c>
      <c r="F4336" s="545">
        <v>0.76190476190476186</v>
      </c>
      <c r="G4336" s="545">
        <v>1.05</v>
      </c>
      <c r="H4336" s="545">
        <v>0.66666666666666663</v>
      </c>
      <c r="I4336" s="545">
        <v>0</v>
      </c>
      <c r="J4336" s="545">
        <v>0.84523809523809523</v>
      </c>
    </row>
    <row r="4337" spans="1:10">
      <c r="A4337" s="441">
        <v>16</v>
      </c>
      <c r="B4337" s="441" t="s">
        <v>4136</v>
      </c>
      <c r="C4337" s="545">
        <v>3.666666666666667</v>
      </c>
      <c r="D4337" s="545">
        <v>2</v>
      </c>
      <c r="E4337" s="545">
        <v>1.3333333333333333</v>
      </c>
      <c r="F4337" s="545">
        <v>3.0952380952380953</v>
      </c>
      <c r="G4337" s="545">
        <v>2.0499999999999998</v>
      </c>
      <c r="H4337" s="545">
        <v>1.3333333333333333</v>
      </c>
      <c r="I4337" s="545">
        <v>2.3333333333333335</v>
      </c>
      <c r="J4337" s="545">
        <v>1.9880952380952384</v>
      </c>
    </row>
    <row r="4338" spans="1:10">
      <c r="A4338" s="441">
        <v>17</v>
      </c>
      <c r="B4338" s="441" t="s">
        <v>4137</v>
      </c>
      <c r="C4338" s="545">
        <v>1.1666666666666665</v>
      </c>
      <c r="D4338" s="545">
        <v>0</v>
      </c>
      <c r="E4338" s="545">
        <v>0</v>
      </c>
      <c r="F4338" s="545">
        <v>0.83333333333333315</v>
      </c>
      <c r="G4338" s="545">
        <v>0.95</v>
      </c>
      <c r="H4338" s="545">
        <v>0</v>
      </c>
      <c r="I4338" s="545">
        <v>0.66666666666666663</v>
      </c>
      <c r="J4338" s="545">
        <v>0.77380952380952384</v>
      </c>
    </row>
    <row r="4339" spans="1:10">
      <c r="A4339" s="441">
        <v>7400</v>
      </c>
      <c r="B4339" s="441" t="s">
        <v>4138</v>
      </c>
      <c r="C4339" s="545">
        <v>0.83333333333333326</v>
      </c>
      <c r="D4339" s="545">
        <v>0.66666666666666663</v>
      </c>
      <c r="E4339" s="545">
        <v>0</v>
      </c>
      <c r="F4339" s="545">
        <v>0.69047619047619047</v>
      </c>
      <c r="G4339" s="545">
        <v>0.6</v>
      </c>
      <c r="H4339" s="545">
        <v>1.3333333333333333</v>
      </c>
      <c r="I4339" s="545">
        <v>0.66666666666666663</v>
      </c>
      <c r="J4339" s="545">
        <v>0.7142857142857143</v>
      </c>
    </row>
    <row r="4340" spans="1:10">
      <c r="A4340" s="441">
        <v>18</v>
      </c>
      <c r="B4340" s="441" t="s">
        <v>4139</v>
      </c>
      <c r="C4340" s="545">
        <v>0.16666666666666666</v>
      </c>
      <c r="D4340" s="545">
        <v>0</v>
      </c>
      <c r="E4340" s="545">
        <v>0.66666666666666663</v>
      </c>
      <c r="F4340" s="545">
        <v>0.21428571428571427</v>
      </c>
      <c r="G4340" s="545">
        <v>0.2</v>
      </c>
      <c r="H4340" s="545">
        <v>0</v>
      </c>
      <c r="I4340" s="545">
        <v>0</v>
      </c>
      <c r="J4340" s="545">
        <v>0.14285714285714285</v>
      </c>
    </row>
    <row r="4341" spans="1:10">
      <c r="A4341" s="441">
        <v>1095</v>
      </c>
      <c r="B4341" s="441" t="s">
        <v>4140</v>
      </c>
      <c r="C4341" s="545">
        <v>68.666666666666657</v>
      </c>
      <c r="D4341" s="545">
        <v>52.666666666666664</v>
      </c>
      <c r="E4341" s="545">
        <v>43.666666666666671</v>
      </c>
      <c r="F4341" s="545">
        <v>62.809523809523803</v>
      </c>
      <c r="G4341" s="545">
        <v>45.2</v>
      </c>
      <c r="H4341" s="545">
        <v>30.666666666666668</v>
      </c>
      <c r="I4341" s="545">
        <v>27</v>
      </c>
      <c r="J4341" s="545">
        <v>40.523809523809526</v>
      </c>
    </row>
    <row r="4342" spans="1:10">
      <c r="A4342" s="441">
        <v>1094</v>
      </c>
      <c r="B4342" s="441" t="s">
        <v>4141</v>
      </c>
      <c r="C4342" s="545">
        <v>15</v>
      </c>
      <c r="D4342" s="545">
        <v>9.3333333333333339</v>
      </c>
      <c r="E4342" s="545">
        <v>8.3333333333333339</v>
      </c>
      <c r="F4342" s="545">
        <v>13.238095238095237</v>
      </c>
      <c r="G4342" s="545">
        <v>13.95</v>
      </c>
      <c r="H4342" s="545">
        <v>9</v>
      </c>
      <c r="I4342" s="545">
        <v>6.333333333333333</v>
      </c>
      <c r="J4342" s="545">
        <v>12.154761904761903</v>
      </c>
    </row>
    <row r="4343" spans="1:10">
      <c r="A4343" s="441">
        <v>13024</v>
      </c>
      <c r="B4343" s="441" t="s">
        <v>4142</v>
      </c>
      <c r="C4343" s="545">
        <v>0.66666666666666663</v>
      </c>
      <c r="D4343" s="545">
        <v>1.3333333333333333</v>
      </c>
      <c r="E4343" s="545">
        <v>0.33333333333333331</v>
      </c>
      <c r="F4343" s="545">
        <v>0.71428571428571419</v>
      </c>
      <c r="G4343" s="545">
        <v>1.4</v>
      </c>
      <c r="H4343" s="545">
        <v>2</v>
      </c>
      <c r="I4343" s="545">
        <v>0.33333333333333331</v>
      </c>
      <c r="J4343" s="545">
        <v>1.3333333333333335</v>
      </c>
    </row>
    <row r="4344" spans="1:10">
      <c r="A4344" s="441">
        <v>13020</v>
      </c>
      <c r="B4344" s="441" t="s">
        <v>4143</v>
      </c>
      <c r="C4344" s="545">
        <v>8.6666666666666661</v>
      </c>
      <c r="D4344" s="545">
        <v>5</v>
      </c>
      <c r="E4344" s="545">
        <v>4.666666666666667</v>
      </c>
      <c r="F4344" s="545">
        <v>7.5714285714285703</v>
      </c>
      <c r="G4344" s="545">
        <v>6.6</v>
      </c>
      <c r="H4344" s="545">
        <v>1</v>
      </c>
      <c r="I4344" s="545">
        <v>1.6666666666666667</v>
      </c>
      <c r="J4344" s="545">
        <v>5.0952380952380949</v>
      </c>
    </row>
    <row r="4345" spans="1:10">
      <c r="A4345" s="441">
        <v>13025</v>
      </c>
      <c r="B4345" s="441" t="s">
        <v>4143</v>
      </c>
      <c r="C4345" s="545">
        <v>9.5</v>
      </c>
      <c r="D4345" s="545">
        <v>7</v>
      </c>
      <c r="E4345" s="545">
        <v>7</v>
      </c>
      <c r="F4345" s="545">
        <v>8.7857142857142865</v>
      </c>
      <c r="G4345" s="545">
        <v>6.65</v>
      </c>
      <c r="H4345" s="545">
        <v>1.3333333333333333</v>
      </c>
      <c r="I4345" s="545">
        <v>2.3333333333333335</v>
      </c>
      <c r="J4345" s="545">
        <v>5.2738095238095246</v>
      </c>
    </row>
    <row r="4346" spans="1:10">
      <c r="A4346" s="441">
        <v>1068</v>
      </c>
      <c r="B4346" s="441" t="s">
        <v>4144</v>
      </c>
      <c r="C4346" s="545">
        <v>0.33333333333333331</v>
      </c>
      <c r="D4346" s="545">
        <v>0.66666666666666663</v>
      </c>
      <c r="E4346" s="545">
        <v>2.3333333333333335</v>
      </c>
      <c r="F4346" s="545">
        <v>0.66666666666666663</v>
      </c>
      <c r="G4346" s="545">
        <v>0.45</v>
      </c>
      <c r="H4346" s="545">
        <v>0</v>
      </c>
      <c r="I4346" s="545">
        <v>0.66666666666666663</v>
      </c>
      <c r="J4346" s="545">
        <v>0.41666666666666663</v>
      </c>
    </row>
    <row r="4347" spans="1:10">
      <c r="A4347" s="441">
        <v>1099</v>
      </c>
      <c r="B4347" s="441" t="s">
        <v>4144</v>
      </c>
      <c r="C4347" s="545">
        <v>0.66666666666666663</v>
      </c>
      <c r="D4347" s="545">
        <v>0.33333333333333331</v>
      </c>
      <c r="E4347" s="545">
        <v>0.33333333333333331</v>
      </c>
      <c r="F4347" s="545">
        <v>0.5714285714285714</v>
      </c>
      <c r="G4347" s="545">
        <v>0.5</v>
      </c>
      <c r="H4347" s="545">
        <v>0.33333333333333331</v>
      </c>
      <c r="I4347" s="545">
        <v>0.66666666666666663</v>
      </c>
      <c r="J4347" s="545">
        <v>0.5</v>
      </c>
    </row>
    <row r="4348" spans="1:10">
      <c r="A4348" s="441">
        <v>1073</v>
      </c>
      <c r="B4348" s="441" t="s">
        <v>4145</v>
      </c>
      <c r="C4348" s="545">
        <v>2.8333333333333335</v>
      </c>
      <c r="D4348" s="545">
        <v>1</v>
      </c>
      <c r="E4348" s="545">
        <v>2</v>
      </c>
      <c r="F4348" s="545">
        <v>2.4523809523809526</v>
      </c>
      <c r="G4348" s="545">
        <v>4.25</v>
      </c>
      <c r="H4348" s="545">
        <v>2</v>
      </c>
      <c r="I4348" s="545">
        <v>2</v>
      </c>
      <c r="J4348" s="545">
        <v>3.6071428571428572</v>
      </c>
    </row>
    <row r="4349" spans="1:10">
      <c r="A4349" s="441">
        <v>1093</v>
      </c>
      <c r="B4349" s="441" t="s">
        <v>4145</v>
      </c>
      <c r="C4349" s="545">
        <v>7.666666666666667</v>
      </c>
      <c r="D4349" s="545">
        <v>3</v>
      </c>
      <c r="E4349" s="545">
        <v>2</v>
      </c>
      <c r="F4349" s="545">
        <v>6.1904761904761907</v>
      </c>
      <c r="G4349" s="545">
        <v>6.75</v>
      </c>
      <c r="H4349" s="545">
        <v>1.6666666666666667</v>
      </c>
      <c r="I4349" s="545">
        <v>2.3333333333333335</v>
      </c>
      <c r="J4349" s="545">
        <v>5.3928571428571432</v>
      </c>
    </row>
    <row r="4350" spans="1:10">
      <c r="A4350" s="441">
        <v>13027</v>
      </c>
      <c r="B4350" s="441" t="s">
        <v>4146</v>
      </c>
      <c r="C4350" s="545">
        <v>0.66666666666666663</v>
      </c>
      <c r="D4350" s="545">
        <v>0.66666666666666663</v>
      </c>
      <c r="E4350" s="545">
        <v>3</v>
      </c>
      <c r="F4350" s="545">
        <v>1</v>
      </c>
      <c r="G4350" s="545">
        <v>0.45</v>
      </c>
      <c r="H4350" s="545">
        <v>0</v>
      </c>
      <c r="I4350" s="545">
        <v>0</v>
      </c>
      <c r="J4350" s="545">
        <v>0.32142857142857145</v>
      </c>
    </row>
    <row r="4351" spans="1:10">
      <c r="A4351" s="441">
        <v>13028</v>
      </c>
      <c r="B4351" s="441" t="s">
        <v>4146</v>
      </c>
      <c r="C4351" s="545">
        <v>0.16666666666666666</v>
      </c>
      <c r="D4351" s="545">
        <v>0.66666666666666663</v>
      </c>
      <c r="E4351" s="545">
        <v>0</v>
      </c>
      <c r="F4351" s="545">
        <v>0.21428571428571427</v>
      </c>
      <c r="G4351" s="545">
        <v>0.65</v>
      </c>
      <c r="H4351" s="545">
        <v>0</v>
      </c>
      <c r="I4351" s="545">
        <v>0</v>
      </c>
      <c r="J4351" s="545">
        <v>0.4642857142857143</v>
      </c>
    </row>
    <row r="4352" spans="1:10">
      <c r="A4352" s="441">
        <v>13022</v>
      </c>
      <c r="B4352" s="441" t="s">
        <v>4147</v>
      </c>
      <c r="C4352" s="545">
        <v>4.333333333333333</v>
      </c>
      <c r="D4352" s="545">
        <v>2</v>
      </c>
      <c r="E4352" s="545">
        <v>1</v>
      </c>
      <c r="F4352" s="545">
        <v>3.5238095238095233</v>
      </c>
      <c r="G4352" s="545">
        <v>1.3</v>
      </c>
      <c r="H4352" s="545">
        <v>2</v>
      </c>
      <c r="I4352" s="545">
        <v>0.33333333333333331</v>
      </c>
      <c r="J4352" s="545">
        <v>1.2619047619047621</v>
      </c>
    </row>
    <row r="4353" spans="1:10">
      <c r="A4353" s="441">
        <v>13023</v>
      </c>
      <c r="B4353" s="441" t="s">
        <v>4147</v>
      </c>
      <c r="C4353" s="545">
        <v>3</v>
      </c>
      <c r="D4353" s="545">
        <v>2</v>
      </c>
      <c r="E4353" s="545">
        <v>1.6666666666666667</v>
      </c>
      <c r="F4353" s="545">
        <v>2.666666666666667</v>
      </c>
      <c r="G4353" s="545">
        <v>3.75</v>
      </c>
      <c r="H4353" s="545">
        <v>2.6666666666666665</v>
      </c>
      <c r="I4353" s="545">
        <v>1</v>
      </c>
      <c r="J4353" s="545">
        <v>3.2023809523809526</v>
      </c>
    </row>
    <row r="4354" spans="1:10">
      <c r="A4354" s="441">
        <v>9979</v>
      </c>
      <c r="B4354" s="441" t="s">
        <v>4148</v>
      </c>
      <c r="C4354" s="545">
        <v>17.166666666666664</v>
      </c>
      <c r="D4354" s="545">
        <v>13</v>
      </c>
      <c r="E4354" s="545">
        <v>14</v>
      </c>
      <c r="F4354" s="545">
        <v>16.119047619047617</v>
      </c>
      <c r="G4354" s="545">
        <v>15.7</v>
      </c>
      <c r="H4354" s="545">
        <v>11.333333333333334</v>
      </c>
      <c r="I4354" s="545">
        <v>9</v>
      </c>
      <c r="J4354" s="545">
        <v>14.119047619047619</v>
      </c>
    </row>
    <row r="4355" spans="1:10">
      <c r="A4355" s="441">
        <v>1066</v>
      </c>
      <c r="B4355" s="441" t="s">
        <v>4149</v>
      </c>
      <c r="C4355" s="545">
        <v>0.83333333333333326</v>
      </c>
      <c r="D4355" s="545">
        <v>1.3333333333333333</v>
      </c>
      <c r="E4355" s="545">
        <v>0.33333333333333331</v>
      </c>
      <c r="F4355" s="545">
        <v>0.83333333333333315</v>
      </c>
      <c r="G4355" s="545">
        <v>3.05</v>
      </c>
      <c r="H4355" s="545">
        <v>1.3333333333333333</v>
      </c>
      <c r="I4355" s="545">
        <v>1.6666666666666667</v>
      </c>
      <c r="J4355" s="545">
        <v>2.6071428571428572</v>
      </c>
    </row>
    <row r="4356" spans="1:10">
      <c r="A4356" s="441">
        <v>1101</v>
      </c>
      <c r="B4356" s="441" t="s">
        <v>4149</v>
      </c>
      <c r="C4356" s="545">
        <v>0.66666666666666663</v>
      </c>
      <c r="D4356" s="545">
        <v>0.66666666666666663</v>
      </c>
      <c r="E4356" s="545">
        <v>0</v>
      </c>
      <c r="F4356" s="545">
        <v>0.5714285714285714</v>
      </c>
      <c r="G4356" s="545">
        <v>0.05</v>
      </c>
      <c r="H4356" s="545">
        <v>0.66666666666666663</v>
      </c>
      <c r="I4356" s="545">
        <v>0</v>
      </c>
      <c r="J4356" s="545">
        <v>0.13095238095238096</v>
      </c>
    </row>
    <row r="4357" spans="1:10">
      <c r="A4357" s="441">
        <v>13021</v>
      </c>
      <c r="B4357" s="441" t="s">
        <v>4150</v>
      </c>
      <c r="C4357" s="545">
        <v>1</v>
      </c>
      <c r="D4357" s="545">
        <v>2</v>
      </c>
      <c r="E4357" s="545">
        <v>0</v>
      </c>
      <c r="F4357" s="545">
        <v>1</v>
      </c>
      <c r="G4357" s="545">
        <v>0.6</v>
      </c>
      <c r="H4357" s="545">
        <v>0.66666666666666663</v>
      </c>
      <c r="I4357" s="545">
        <v>0.33333333333333331</v>
      </c>
      <c r="J4357" s="545">
        <v>0.5714285714285714</v>
      </c>
    </row>
    <row r="4358" spans="1:10">
      <c r="A4358" s="441">
        <v>1070</v>
      </c>
      <c r="B4358" s="441" t="s">
        <v>4151</v>
      </c>
      <c r="C4358" s="545">
        <v>5.166666666666667</v>
      </c>
      <c r="D4358" s="545">
        <v>5.3333333333333339</v>
      </c>
      <c r="E4358" s="545">
        <v>3.6666666666666665</v>
      </c>
      <c r="F4358" s="545">
        <v>4.9761904761904763</v>
      </c>
      <c r="G4358" s="545">
        <v>2.25</v>
      </c>
      <c r="H4358" s="545">
        <v>2.3333333333333335</v>
      </c>
      <c r="I4358" s="545">
        <v>2</v>
      </c>
      <c r="J4358" s="545">
        <v>2.2261904761904763</v>
      </c>
    </row>
    <row r="4359" spans="1:10">
      <c r="A4359" s="441">
        <v>1071</v>
      </c>
      <c r="B4359" s="441" t="s">
        <v>4152</v>
      </c>
      <c r="C4359" s="545">
        <v>10.5</v>
      </c>
      <c r="D4359" s="545">
        <v>15</v>
      </c>
      <c r="E4359" s="545">
        <v>5.666666666666667</v>
      </c>
      <c r="F4359" s="545">
        <v>10.452380952380953</v>
      </c>
      <c r="G4359" s="545">
        <v>13.5</v>
      </c>
      <c r="H4359" s="545">
        <v>12.333333333333334</v>
      </c>
      <c r="I4359" s="545">
        <v>9.3333333333333339</v>
      </c>
      <c r="J4359" s="545">
        <v>12.738095238095237</v>
      </c>
    </row>
    <row r="4360" spans="1:10">
      <c r="A4360" s="441">
        <v>13026</v>
      </c>
      <c r="B4360" s="441" t="s">
        <v>4153</v>
      </c>
      <c r="C4360" s="545">
        <v>2.1666666666666665</v>
      </c>
      <c r="D4360" s="545">
        <v>1.3333333333333333</v>
      </c>
      <c r="E4360" s="545">
        <v>1.3333333333333333</v>
      </c>
      <c r="F4360" s="545">
        <v>1.9285714285714286</v>
      </c>
      <c r="G4360" s="545">
        <v>10.75</v>
      </c>
      <c r="H4360" s="545">
        <v>1</v>
      </c>
      <c r="I4360" s="545">
        <v>1.6666666666666667</v>
      </c>
      <c r="J4360" s="545">
        <v>8.0595238095238084</v>
      </c>
    </row>
    <row r="4361" spans="1:10">
      <c r="A4361" s="441">
        <v>13029</v>
      </c>
      <c r="B4361" s="441" t="s">
        <v>4153</v>
      </c>
      <c r="C4361" s="545">
        <v>0.83333333333333337</v>
      </c>
      <c r="D4361" s="545">
        <v>0</v>
      </c>
      <c r="E4361" s="545">
        <v>0.66666666666666663</v>
      </c>
      <c r="F4361" s="545">
        <v>0.69047619047619058</v>
      </c>
      <c r="G4361" s="545">
        <v>6.45</v>
      </c>
      <c r="H4361" s="545">
        <v>0.66666666666666663</v>
      </c>
      <c r="I4361" s="545">
        <v>3</v>
      </c>
      <c r="J4361" s="545">
        <v>5.1309523809523805</v>
      </c>
    </row>
    <row r="4362" spans="1:10">
      <c r="A4362" s="441">
        <v>1097</v>
      </c>
      <c r="B4362" s="441" t="s">
        <v>4154</v>
      </c>
      <c r="C4362" s="545">
        <v>5.5</v>
      </c>
      <c r="D4362" s="545">
        <v>2.3333333333333335</v>
      </c>
      <c r="E4362" s="545">
        <v>1</v>
      </c>
      <c r="F4362" s="545">
        <v>4.4047619047619042</v>
      </c>
      <c r="G4362" s="545">
        <v>3.35</v>
      </c>
      <c r="H4362" s="545">
        <v>1.6666666666666667</v>
      </c>
      <c r="I4362" s="545">
        <v>2.3333333333333335</v>
      </c>
      <c r="J4362" s="545">
        <v>2.9642857142857144</v>
      </c>
    </row>
    <row r="4363" spans="1:10">
      <c r="A4363" s="441">
        <v>1103</v>
      </c>
      <c r="B4363" s="441" t="s">
        <v>4155</v>
      </c>
      <c r="C4363" s="545">
        <v>4.5</v>
      </c>
      <c r="D4363" s="545">
        <v>2.666666666666667</v>
      </c>
      <c r="E4363" s="545">
        <v>1.3333333333333333</v>
      </c>
      <c r="F4363" s="545">
        <v>3.7857142857142856</v>
      </c>
      <c r="G4363" s="545">
        <v>4.5999999999999996</v>
      </c>
      <c r="H4363" s="545">
        <v>1.6666666666666667</v>
      </c>
      <c r="I4363" s="545">
        <v>1.3333333333333333</v>
      </c>
      <c r="J4363" s="545">
        <v>3.7142857142857144</v>
      </c>
    </row>
    <row r="4364" spans="1:10">
      <c r="A4364" s="441">
        <v>10430</v>
      </c>
      <c r="B4364" s="441" t="s">
        <v>4156</v>
      </c>
      <c r="C4364" s="545">
        <v>462.33333333333331</v>
      </c>
      <c r="D4364" s="545">
        <v>252.33333333333334</v>
      </c>
      <c r="E4364" s="545">
        <v>160.33333333333334</v>
      </c>
      <c r="F4364" s="545">
        <v>389.1904761904762</v>
      </c>
      <c r="G4364" s="545">
        <v>181.65</v>
      </c>
      <c r="H4364" s="545">
        <v>89.666666666666671</v>
      </c>
      <c r="I4364" s="545">
        <v>54.666666666666664</v>
      </c>
      <c r="J4364" s="545">
        <v>150.36904761904762</v>
      </c>
    </row>
    <row r="4365" spans="1:10">
      <c r="A4365" s="441">
        <v>176</v>
      </c>
      <c r="B4365" s="441" t="s">
        <v>4157</v>
      </c>
      <c r="C4365" s="545">
        <v>3.333333333333333</v>
      </c>
      <c r="D4365" s="545">
        <v>0.33333333333333331</v>
      </c>
      <c r="E4365" s="545">
        <v>1.3333333333333333</v>
      </c>
      <c r="F4365" s="545">
        <v>2.6190476190476182</v>
      </c>
      <c r="G4365" s="545">
        <v>1.8</v>
      </c>
      <c r="H4365" s="545">
        <v>0.33333333333333331</v>
      </c>
      <c r="I4365" s="545">
        <v>0.66666666666666663</v>
      </c>
      <c r="J4365" s="545">
        <v>1.4285714285714286</v>
      </c>
    </row>
    <row r="4366" spans="1:10">
      <c r="A4366" s="441">
        <v>1862</v>
      </c>
      <c r="B4366" s="441" t="s">
        <v>4157</v>
      </c>
      <c r="C4366" s="545">
        <v>2.3333333333333335</v>
      </c>
      <c r="D4366" s="545">
        <v>2.6666666666666665</v>
      </c>
      <c r="E4366" s="545">
        <v>0.66666666666666663</v>
      </c>
      <c r="F4366" s="545">
        <v>2.1428571428571428</v>
      </c>
      <c r="G4366" s="545">
        <v>1.95</v>
      </c>
      <c r="H4366" s="545">
        <v>0.33333333333333331</v>
      </c>
      <c r="I4366" s="545">
        <v>1.3333333333333333</v>
      </c>
      <c r="J4366" s="545">
        <v>1.6309523809523812</v>
      </c>
    </row>
    <row r="4367" spans="1:10">
      <c r="A4367" s="441">
        <v>177</v>
      </c>
      <c r="B4367" s="441" t="s">
        <v>4158</v>
      </c>
      <c r="C4367" s="545">
        <v>5.333333333333333</v>
      </c>
      <c r="D4367" s="545">
        <v>1.3333333333333333</v>
      </c>
      <c r="E4367" s="545">
        <v>0.66666666666666663</v>
      </c>
      <c r="F4367" s="545">
        <v>4.0952380952380949</v>
      </c>
      <c r="G4367" s="545">
        <v>4.55</v>
      </c>
      <c r="H4367" s="545">
        <v>2</v>
      </c>
      <c r="I4367" s="545">
        <v>0.33333333333333331</v>
      </c>
      <c r="J4367" s="545">
        <v>3.583333333333333</v>
      </c>
    </row>
    <row r="4368" spans="1:10">
      <c r="A4368" s="441">
        <v>175</v>
      </c>
      <c r="B4368" s="441" t="s">
        <v>4159</v>
      </c>
      <c r="C4368" s="545">
        <v>7</v>
      </c>
      <c r="D4368" s="545">
        <v>2.3333333333333335</v>
      </c>
      <c r="E4368" s="545">
        <v>1.6666666666666665</v>
      </c>
      <c r="F4368" s="545">
        <v>5.5714285714285712</v>
      </c>
      <c r="G4368" s="545">
        <v>2.35</v>
      </c>
      <c r="H4368" s="545">
        <v>0</v>
      </c>
      <c r="I4368" s="545">
        <v>0</v>
      </c>
      <c r="J4368" s="545">
        <v>1.6785714285714286</v>
      </c>
    </row>
    <row r="4369" spans="1:10">
      <c r="A4369" s="441">
        <v>1863</v>
      </c>
      <c r="B4369" s="441" t="s">
        <v>4159</v>
      </c>
      <c r="C4369" s="545">
        <v>11</v>
      </c>
      <c r="D4369" s="545">
        <v>8.6666666666666679</v>
      </c>
      <c r="E4369" s="545">
        <v>4.3333333333333339</v>
      </c>
      <c r="F4369" s="545">
        <v>9.7142857142857135</v>
      </c>
      <c r="G4369" s="545">
        <v>3.1</v>
      </c>
      <c r="H4369" s="545">
        <v>0.66666666666666663</v>
      </c>
      <c r="I4369" s="545">
        <v>2.6666666666666665</v>
      </c>
      <c r="J4369" s="545">
        <v>2.6904761904761907</v>
      </c>
    </row>
    <row r="4370" spans="1:10">
      <c r="A4370" s="441">
        <v>1864</v>
      </c>
      <c r="B4370" s="441" t="s">
        <v>4160</v>
      </c>
      <c r="C4370" s="545">
        <v>7.166666666666667</v>
      </c>
      <c r="D4370" s="545">
        <v>5</v>
      </c>
      <c r="E4370" s="545">
        <v>4.6666666666666661</v>
      </c>
      <c r="F4370" s="545">
        <v>6.5</v>
      </c>
      <c r="G4370" s="545">
        <v>6.2</v>
      </c>
      <c r="H4370" s="545">
        <v>1</v>
      </c>
      <c r="I4370" s="545">
        <v>2.3333333333333335</v>
      </c>
      <c r="J4370" s="545">
        <v>4.9047619047619051</v>
      </c>
    </row>
    <row r="4371" spans="1:10">
      <c r="A4371" s="441">
        <v>3166</v>
      </c>
      <c r="B4371" s="441" t="s">
        <v>4161</v>
      </c>
      <c r="C4371" s="545">
        <v>90.833333333333343</v>
      </c>
      <c r="D4371" s="545">
        <v>59.666666666666664</v>
      </c>
      <c r="E4371" s="545">
        <v>36</v>
      </c>
      <c r="F4371" s="545">
        <v>78.547619047619051</v>
      </c>
      <c r="G4371" s="545">
        <v>35.950000000000003</v>
      </c>
      <c r="H4371" s="545">
        <v>33</v>
      </c>
      <c r="I4371" s="545">
        <v>23</v>
      </c>
      <c r="J4371" s="545">
        <v>33.678571428571431</v>
      </c>
    </row>
    <row r="4372" spans="1:10">
      <c r="A4372" s="441">
        <v>3165</v>
      </c>
      <c r="B4372" s="441" t="s">
        <v>4162</v>
      </c>
      <c r="C4372" s="545">
        <v>3.5</v>
      </c>
      <c r="D4372" s="545">
        <v>4</v>
      </c>
      <c r="E4372" s="545">
        <v>0</v>
      </c>
      <c r="F4372" s="545">
        <v>3.0714285714285716</v>
      </c>
      <c r="G4372" s="545">
        <v>0.3</v>
      </c>
      <c r="H4372" s="545">
        <v>0.66666666666666663</v>
      </c>
      <c r="I4372" s="545">
        <v>0.33333333333333331</v>
      </c>
      <c r="J4372" s="545">
        <v>0.35714285714285715</v>
      </c>
    </row>
    <row r="4373" spans="1:10">
      <c r="A4373" s="441">
        <v>2860</v>
      </c>
      <c r="B4373" s="441" t="s">
        <v>4163</v>
      </c>
      <c r="C4373" s="545">
        <v>6.166666666666667</v>
      </c>
      <c r="D4373" s="545">
        <v>1.3333333333333333</v>
      </c>
      <c r="E4373" s="545">
        <v>4.333333333333333</v>
      </c>
      <c r="F4373" s="545">
        <v>5.2142857142857153</v>
      </c>
      <c r="G4373" s="545">
        <v>3.1</v>
      </c>
      <c r="H4373" s="545">
        <v>0.66666666666666663</v>
      </c>
      <c r="I4373" s="545">
        <v>2</v>
      </c>
      <c r="J4373" s="545">
        <v>2.5952380952380953</v>
      </c>
    </row>
    <row r="4374" spans="1:10">
      <c r="A4374" s="441">
        <v>10976</v>
      </c>
      <c r="B4374" s="441" t="s">
        <v>4164</v>
      </c>
      <c r="C4374" s="545">
        <v>2.1666666666666665</v>
      </c>
      <c r="D4374" s="545">
        <v>0.33333333333333331</v>
      </c>
      <c r="E4374" s="545">
        <v>0.66666666666666663</v>
      </c>
      <c r="F4374" s="545">
        <v>1.6904761904761902</v>
      </c>
      <c r="G4374" s="545">
        <v>0.75</v>
      </c>
      <c r="H4374" s="545">
        <v>0.33333333333333331</v>
      </c>
      <c r="I4374" s="545">
        <v>0</v>
      </c>
      <c r="J4374" s="545">
        <v>0.58333333333333326</v>
      </c>
    </row>
    <row r="4375" spans="1:10">
      <c r="A4375" s="441">
        <v>2859</v>
      </c>
      <c r="B4375" s="441" t="s">
        <v>4165</v>
      </c>
      <c r="C4375" s="545">
        <v>1.8333333333333333</v>
      </c>
      <c r="D4375" s="545">
        <v>0.66666666666666663</v>
      </c>
      <c r="E4375" s="545">
        <v>2.3333333333333335</v>
      </c>
      <c r="F4375" s="545">
        <v>1.7380952380952379</v>
      </c>
      <c r="G4375" s="545">
        <v>1.2</v>
      </c>
      <c r="H4375" s="545">
        <v>0.33333333333333331</v>
      </c>
      <c r="I4375" s="545">
        <v>0</v>
      </c>
      <c r="J4375" s="545">
        <v>0.90476190476190477</v>
      </c>
    </row>
    <row r="4376" spans="1:10">
      <c r="A4376" s="441">
        <v>10977</v>
      </c>
      <c r="B4376" s="441" t="s">
        <v>4165</v>
      </c>
      <c r="C4376" s="545">
        <v>0.83333333333333326</v>
      </c>
      <c r="D4376" s="545">
        <v>2.3333333333333335</v>
      </c>
      <c r="E4376" s="545">
        <v>3.666666666666667</v>
      </c>
      <c r="F4376" s="545">
        <v>1.4523809523809526</v>
      </c>
      <c r="G4376" s="545">
        <v>2.35</v>
      </c>
      <c r="H4376" s="545">
        <v>3</v>
      </c>
      <c r="I4376" s="545">
        <v>0.66666666666666663</v>
      </c>
      <c r="J4376" s="545">
        <v>2.2023809523809521</v>
      </c>
    </row>
    <row r="4377" spans="1:10">
      <c r="A4377" s="441">
        <v>2600</v>
      </c>
      <c r="B4377" s="441" t="s">
        <v>4166</v>
      </c>
      <c r="C4377" s="545">
        <v>18</v>
      </c>
      <c r="D4377" s="545">
        <v>9.3333333333333339</v>
      </c>
      <c r="E4377" s="545">
        <v>9</v>
      </c>
      <c r="F4377" s="545">
        <v>15.476190476190476</v>
      </c>
      <c r="G4377" s="545">
        <v>10.9</v>
      </c>
      <c r="H4377" s="545">
        <v>7</v>
      </c>
      <c r="I4377" s="545">
        <v>5.666666666666667</v>
      </c>
      <c r="J4377" s="545">
        <v>9.5952380952380967</v>
      </c>
    </row>
    <row r="4378" spans="1:10">
      <c r="A4378" s="441">
        <v>2601</v>
      </c>
      <c r="B4378" s="441" t="s">
        <v>4166</v>
      </c>
      <c r="C4378" s="545">
        <v>1.1666666666666667</v>
      </c>
      <c r="D4378" s="545">
        <v>1.3333333333333333</v>
      </c>
      <c r="E4378" s="545">
        <v>1</v>
      </c>
      <c r="F4378" s="545">
        <v>1.1666666666666667</v>
      </c>
      <c r="G4378" s="545">
        <v>2.35</v>
      </c>
      <c r="H4378" s="545">
        <v>1</v>
      </c>
      <c r="I4378" s="545">
        <v>0.66666666666666663</v>
      </c>
      <c r="J4378" s="545">
        <v>1.9166666666666665</v>
      </c>
    </row>
    <row r="4379" spans="1:10">
      <c r="A4379" s="441">
        <v>2612</v>
      </c>
      <c r="B4379" s="441" t="s">
        <v>4166</v>
      </c>
      <c r="C4379" s="545">
        <v>11.833333333333334</v>
      </c>
      <c r="D4379" s="545">
        <v>10</v>
      </c>
      <c r="E4379" s="545">
        <v>4.666666666666667</v>
      </c>
      <c r="F4379" s="545">
        <v>10.547619047619049</v>
      </c>
      <c r="G4379" s="545">
        <v>8.1</v>
      </c>
      <c r="H4379" s="545">
        <v>6</v>
      </c>
      <c r="I4379" s="545">
        <v>3</v>
      </c>
      <c r="J4379" s="545">
        <v>7.0714285714285712</v>
      </c>
    </row>
    <row r="4380" spans="1:10">
      <c r="A4380" s="441">
        <v>2613</v>
      </c>
      <c r="B4380" s="441" t="s">
        <v>4167</v>
      </c>
      <c r="C4380" s="545">
        <v>1.5</v>
      </c>
      <c r="D4380" s="545">
        <v>1.6666666666666665</v>
      </c>
      <c r="E4380" s="545">
        <v>1</v>
      </c>
      <c r="F4380" s="545">
        <v>1.4523809523809523</v>
      </c>
      <c r="G4380" s="545">
        <v>0.9</v>
      </c>
      <c r="H4380" s="545">
        <v>1.3333333333333333</v>
      </c>
      <c r="I4380" s="545">
        <v>0.33333333333333331</v>
      </c>
      <c r="J4380" s="545">
        <v>0.88095238095238082</v>
      </c>
    </row>
    <row r="4381" spans="1:10">
      <c r="A4381" s="441">
        <v>1338</v>
      </c>
      <c r="B4381" s="441" t="s">
        <v>4168</v>
      </c>
      <c r="C4381" s="545">
        <v>12.5</v>
      </c>
      <c r="D4381" s="545">
        <v>10.333333333333334</v>
      </c>
      <c r="E4381" s="545">
        <v>7.3333333333333339</v>
      </c>
      <c r="F4381" s="545">
        <v>11.452380952380951</v>
      </c>
      <c r="G4381" s="545">
        <v>9.25</v>
      </c>
      <c r="H4381" s="545">
        <v>7.666666666666667</v>
      </c>
      <c r="I4381" s="545">
        <v>4.333333333333333</v>
      </c>
      <c r="J4381" s="545">
        <v>8.3214285714285712</v>
      </c>
    </row>
    <row r="4382" spans="1:10">
      <c r="A4382" s="441">
        <v>1342</v>
      </c>
      <c r="B4382" s="441" t="s">
        <v>4168</v>
      </c>
      <c r="C4382" s="545">
        <v>8.8333333333333339</v>
      </c>
      <c r="D4382" s="545">
        <v>10</v>
      </c>
      <c r="E4382" s="545">
        <v>5.6666666666666661</v>
      </c>
      <c r="F4382" s="545">
        <v>8.5476190476190474</v>
      </c>
      <c r="G4382" s="545">
        <v>11.5</v>
      </c>
      <c r="H4382" s="545">
        <v>8.3333333333333339</v>
      </c>
      <c r="I4382" s="545">
        <v>7.666666666666667</v>
      </c>
      <c r="J4382" s="545">
        <v>10.5</v>
      </c>
    </row>
    <row r="4383" spans="1:10">
      <c r="A4383" s="441">
        <v>1343</v>
      </c>
      <c r="B4383" s="441" t="s">
        <v>4168</v>
      </c>
      <c r="C4383" s="545">
        <v>5.1666666666666661</v>
      </c>
      <c r="D4383" s="545">
        <v>2.6666666666666665</v>
      </c>
      <c r="E4383" s="545">
        <v>2</v>
      </c>
      <c r="F4383" s="545">
        <v>4.3571428571428568</v>
      </c>
      <c r="G4383" s="545">
        <v>2.85</v>
      </c>
      <c r="H4383" s="545">
        <v>2</v>
      </c>
      <c r="I4383" s="545">
        <v>1</v>
      </c>
      <c r="J4383" s="545">
        <v>2.4642857142857144</v>
      </c>
    </row>
    <row r="4384" spans="1:10">
      <c r="A4384" s="441">
        <v>2611</v>
      </c>
      <c r="B4384" s="441" t="s">
        <v>4169</v>
      </c>
      <c r="C4384" s="545">
        <v>0.33333333333333331</v>
      </c>
      <c r="D4384" s="545">
        <v>2</v>
      </c>
      <c r="E4384" s="545">
        <v>0</v>
      </c>
      <c r="F4384" s="545">
        <v>0.52380952380952384</v>
      </c>
      <c r="G4384" s="545">
        <v>1.1499999999999999</v>
      </c>
      <c r="H4384" s="545">
        <v>0.66666666666666663</v>
      </c>
      <c r="I4384" s="545">
        <v>0.33333333333333331</v>
      </c>
      <c r="J4384" s="545">
        <v>0.9642857142857143</v>
      </c>
    </row>
    <row r="4385" spans="1:10">
      <c r="A4385" s="441">
        <v>2602</v>
      </c>
      <c r="B4385" s="441" t="s">
        <v>4170</v>
      </c>
      <c r="C4385" s="545">
        <v>14.833333333333332</v>
      </c>
      <c r="D4385" s="545">
        <v>14.666666666666668</v>
      </c>
      <c r="E4385" s="545">
        <v>6</v>
      </c>
      <c r="F4385" s="545">
        <v>13.547619047619047</v>
      </c>
      <c r="G4385" s="545">
        <v>11.95</v>
      </c>
      <c r="H4385" s="545">
        <v>8.3333333333333339</v>
      </c>
      <c r="I4385" s="545">
        <v>7.666666666666667</v>
      </c>
      <c r="J4385" s="545">
        <v>10.821428571428571</v>
      </c>
    </row>
    <row r="4386" spans="1:10">
      <c r="A4386" s="441">
        <v>2610</v>
      </c>
      <c r="B4386" s="441" t="s">
        <v>4170</v>
      </c>
      <c r="C4386" s="545">
        <v>19</v>
      </c>
      <c r="D4386" s="545">
        <v>13</v>
      </c>
      <c r="E4386" s="545">
        <v>8</v>
      </c>
      <c r="F4386" s="545">
        <v>16.571428571428573</v>
      </c>
      <c r="G4386" s="545">
        <v>15.15</v>
      </c>
      <c r="H4386" s="545">
        <v>8</v>
      </c>
      <c r="I4386" s="545">
        <v>11</v>
      </c>
      <c r="J4386" s="545">
        <v>13.535714285714286</v>
      </c>
    </row>
    <row r="4387" spans="1:10">
      <c r="A4387" s="441">
        <v>1334</v>
      </c>
      <c r="B4387" s="441" t="s">
        <v>4171</v>
      </c>
      <c r="C4387" s="545">
        <v>3.333333333333333</v>
      </c>
      <c r="D4387" s="545">
        <v>3.6666666666666665</v>
      </c>
      <c r="E4387" s="545">
        <v>1.3333333333333333</v>
      </c>
      <c r="F4387" s="545">
        <v>3.0952380952380949</v>
      </c>
      <c r="G4387" s="545">
        <v>3.15</v>
      </c>
      <c r="H4387" s="545">
        <v>1.3333333333333333</v>
      </c>
      <c r="I4387" s="545">
        <v>2.6666666666666665</v>
      </c>
      <c r="J4387" s="545">
        <v>2.8214285714285716</v>
      </c>
    </row>
    <row r="4388" spans="1:10">
      <c r="A4388" s="441">
        <v>1335</v>
      </c>
      <c r="B4388" s="441" t="s">
        <v>4171</v>
      </c>
      <c r="C4388" s="545">
        <v>0.5</v>
      </c>
      <c r="D4388" s="545">
        <v>0</v>
      </c>
      <c r="E4388" s="545">
        <v>0</v>
      </c>
      <c r="F4388" s="545">
        <v>0.35714285714285715</v>
      </c>
      <c r="G4388" s="545">
        <v>0</v>
      </c>
      <c r="H4388" s="545">
        <v>0</v>
      </c>
      <c r="I4388" s="545">
        <v>0</v>
      </c>
      <c r="J4388" s="545">
        <v>0</v>
      </c>
    </row>
    <row r="4389" spans="1:10">
      <c r="A4389" s="441">
        <v>1346</v>
      </c>
      <c r="B4389" s="441" t="s">
        <v>4171</v>
      </c>
      <c r="C4389" s="545">
        <v>2.5</v>
      </c>
      <c r="D4389" s="545">
        <v>1.6666666666666665</v>
      </c>
      <c r="E4389" s="545">
        <v>1.6666666666666665</v>
      </c>
      <c r="F4389" s="545">
        <v>2.2619047619047619</v>
      </c>
      <c r="G4389" s="545">
        <v>3.05</v>
      </c>
      <c r="H4389" s="545">
        <v>0.66666666666666663</v>
      </c>
      <c r="I4389" s="545">
        <v>1.3333333333333333</v>
      </c>
      <c r="J4389" s="545">
        <v>2.4642857142857144</v>
      </c>
    </row>
    <row r="4390" spans="1:10">
      <c r="A4390" s="441">
        <v>2599</v>
      </c>
      <c r="B4390" s="441" t="s">
        <v>4172</v>
      </c>
      <c r="C4390" s="545">
        <v>2.5</v>
      </c>
      <c r="D4390" s="545">
        <v>5.6666666666666661</v>
      </c>
      <c r="E4390" s="545">
        <v>2.666666666666667</v>
      </c>
      <c r="F4390" s="545">
        <v>2.9761904761904758</v>
      </c>
      <c r="G4390" s="545">
        <v>2.5</v>
      </c>
      <c r="H4390" s="545">
        <v>1.3333333333333333</v>
      </c>
      <c r="I4390" s="545">
        <v>1.6666666666666667</v>
      </c>
      <c r="J4390" s="545">
        <v>2.2142857142857144</v>
      </c>
    </row>
    <row r="4391" spans="1:10">
      <c r="A4391" s="441">
        <v>1336</v>
      </c>
      <c r="B4391" s="441" t="s">
        <v>4173</v>
      </c>
      <c r="C4391" s="545">
        <v>42.833333333333329</v>
      </c>
      <c r="D4391" s="545">
        <v>29.333333333333332</v>
      </c>
      <c r="E4391" s="545">
        <v>22.333333333333332</v>
      </c>
      <c r="F4391" s="545">
        <v>37.976190476190474</v>
      </c>
      <c r="G4391" s="545">
        <v>23.7</v>
      </c>
      <c r="H4391" s="545">
        <v>17</v>
      </c>
      <c r="I4391" s="545">
        <v>11.333333333333334</v>
      </c>
      <c r="J4391" s="545">
        <v>20.976190476190478</v>
      </c>
    </row>
    <row r="4392" spans="1:10">
      <c r="A4392" s="441">
        <v>1337</v>
      </c>
      <c r="B4392" s="441" t="s">
        <v>4173</v>
      </c>
      <c r="C4392" s="545">
        <v>17.833333333333332</v>
      </c>
      <c r="D4392" s="545">
        <v>2.3333333333333335</v>
      </c>
      <c r="E4392" s="545">
        <v>0.66666666666666663</v>
      </c>
      <c r="F4392" s="545">
        <v>13.166666666666666</v>
      </c>
      <c r="G4392" s="545">
        <v>3.8</v>
      </c>
      <c r="H4392" s="545">
        <v>1.3333333333333333</v>
      </c>
      <c r="I4392" s="545">
        <v>3.3333333333333335</v>
      </c>
      <c r="J4392" s="545">
        <v>3.3809523809523805</v>
      </c>
    </row>
    <row r="4393" spans="1:10">
      <c r="A4393" s="441">
        <v>1344</v>
      </c>
      <c r="B4393" s="441" t="s">
        <v>4173</v>
      </c>
      <c r="C4393" s="545">
        <v>37.833333333333336</v>
      </c>
      <c r="D4393" s="545">
        <v>30.666666666666664</v>
      </c>
      <c r="E4393" s="545">
        <v>23.666666666666664</v>
      </c>
      <c r="F4393" s="545">
        <v>34.785714285714285</v>
      </c>
      <c r="G4393" s="545">
        <v>28.45</v>
      </c>
      <c r="H4393" s="545">
        <v>11.333333333333334</v>
      </c>
      <c r="I4393" s="545">
        <v>11.666666666666666</v>
      </c>
      <c r="J4393" s="545">
        <v>23.607142857142858</v>
      </c>
    </row>
    <row r="4394" spans="1:10">
      <c r="A4394" s="441">
        <v>1345</v>
      </c>
      <c r="B4394" s="441" t="s">
        <v>4173</v>
      </c>
      <c r="C4394" s="545">
        <v>0.5</v>
      </c>
      <c r="D4394" s="545">
        <v>0.66666666666666663</v>
      </c>
      <c r="E4394" s="545">
        <v>0</v>
      </c>
      <c r="F4394" s="545">
        <v>0.45238095238095238</v>
      </c>
      <c r="G4394" s="545">
        <v>0.35</v>
      </c>
      <c r="H4394" s="545">
        <v>0</v>
      </c>
      <c r="I4394" s="545">
        <v>0.66666666666666663</v>
      </c>
      <c r="J4394" s="545">
        <v>0.34523809523809523</v>
      </c>
    </row>
    <row r="4395" spans="1:10">
      <c r="A4395" s="441">
        <v>1347</v>
      </c>
      <c r="B4395" s="441" t="s">
        <v>4174</v>
      </c>
      <c r="C4395" s="545">
        <v>14.166666666666666</v>
      </c>
      <c r="D4395" s="545">
        <v>6.666666666666667</v>
      </c>
      <c r="E4395" s="545">
        <v>0.33333333333333331</v>
      </c>
      <c r="F4395" s="545">
        <v>11.119047619047619</v>
      </c>
      <c r="G4395" s="545">
        <v>6.35</v>
      </c>
      <c r="H4395" s="545">
        <v>3</v>
      </c>
      <c r="I4395" s="545">
        <v>1.3333333333333333</v>
      </c>
      <c r="J4395" s="545">
        <v>5.1547619047619051</v>
      </c>
    </row>
    <row r="4396" spans="1:10">
      <c r="A4396" s="441">
        <v>1340</v>
      </c>
      <c r="B4396" s="441" t="s">
        <v>4175</v>
      </c>
      <c r="C4396" s="545">
        <v>119.16666666666667</v>
      </c>
      <c r="D4396" s="545">
        <v>77.666666666666657</v>
      </c>
      <c r="E4396" s="545">
        <v>54.666666666666664</v>
      </c>
      <c r="F4396" s="545">
        <v>104.02380952380952</v>
      </c>
      <c r="G4396" s="545">
        <v>86.8</v>
      </c>
      <c r="H4396" s="545">
        <v>52.666666666666664</v>
      </c>
      <c r="I4396" s="545">
        <v>56</v>
      </c>
      <c r="J4396" s="545">
        <v>77.523809523809533</v>
      </c>
    </row>
    <row r="4397" spans="1:10">
      <c r="A4397" s="441">
        <v>2606</v>
      </c>
      <c r="B4397" s="441" t="s">
        <v>4175</v>
      </c>
      <c r="C4397" s="545">
        <v>113.16666666666667</v>
      </c>
      <c r="D4397" s="545">
        <v>61.666666666666664</v>
      </c>
      <c r="E4397" s="545">
        <v>49.666666666666671</v>
      </c>
      <c r="F4397" s="545">
        <v>96.738095238095227</v>
      </c>
      <c r="G4397" s="545">
        <v>89.7</v>
      </c>
      <c r="H4397" s="545">
        <v>65</v>
      </c>
      <c r="I4397" s="545">
        <v>49.333333333333336</v>
      </c>
      <c r="J4397" s="545">
        <v>80.404761904761912</v>
      </c>
    </row>
    <row r="4398" spans="1:10">
      <c r="A4398" s="441">
        <v>1339</v>
      </c>
      <c r="B4398" s="441" t="s">
        <v>4176</v>
      </c>
      <c r="C4398" s="545">
        <v>5</v>
      </c>
      <c r="D4398" s="545">
        <v>0.33333333333333331</v>
      </c>
      <c r="E4398" s="545">
        <v>1.3333333333333333</v>
      </c>
      <c r="F4398" s="545">
        <v>3.8095238095238093</v>
      </c>
      <c r="G4398" s="545">
        <v>0.5</v>
      </c>
      <c r="H4398" s="545">
        <v>0</v>
      </c>
      <c r="I4398" s="545">
        <v>0.33333333333333331</v>
      </c>
      <c r="J4398" s="545">
        <v>0.40476190476190477</v>
      </c>
    </row>
    <row r="4399" spans="1:10">
      <c r="A4399" s="441">
        <v>1341</v>
      </c>
      <c r="B4399" s="441" t="s">
        <v>4176</v>
      </c>
      <c r="C4399" s="545">
        <v>3</v>
      </c>
      <c r="D4399" s="545">
        <v>0.66666666666666663</v>
      </c>
      <c r="E4399" s="545">
        <v>0.66666666666666663</v>
      </c>
      <c r="F4399" s="545">
        <v>2.333333333333333</v>
      </c>
      <c r="G4399" s="545">
        <v>1.65</v>
      </c>
      <c r="H4399" s="545">
        <v>0</v>
      </c>
      <c r="I4399" s="545">
        <v>0</v>
      </c>
      <c r="J4399" s="545">
        <v>1.1785714285714286</v>
      </c>
    </row>
    <row r="4400" spans="1:10">
      <c r="A4400" s="441">
        <v>2325</v>
      </c>
      <c r="B4400" s="441" t="s">
        <v>4177</v>
      </c>
      <c r="C4400" s="545">
        <v>9.1666666666666679</v>
      </c>
      <c r="D4400" s="545">
        <v>7</v>
      </c>
      <c r="E4400" s="545">
        <v>3.666666666666667</v>
      </c>
      <c r="F4400" s="545">
        <v>8.071428571428573</v>
      </c>
      <c r="G4400" s="545">
        <v>4</v>
      </c>
      <c r="H4400" s="545">
        <v>7</v>
      </c>
      <c r="I4400" s="545">
        <v>8</v>
      </c>
      <c r="J4400" s="545">
        <v>5</v>
      </c>
    </row>
    <row r="4401" spans="1:10">
      <c r="A4401" s="441">
        <v>2294</v>
      </c>
      <c r="B4401" s="441" t="s">
        <v>4178</v>
      </c>
      <c r="C4401" s="545">
        <v>20.333333333333336</v>
      </c>
      <c r="D4401" s="545">
        <v>9</v>
      </c>
      <c r="E4401" s="545">
        <v>9.6666666666666661</v>
      </c>
      <c r="F4401" s="545">
        <v>17.190476190476193</v>
      </c>
      <c r="G4401" s="545">
        <v>8</v>
      </c>
      <c r="H4401" s="545">
        <v>8</v>
      </c>
      <c r="I4401" s="545">
        <v>3.3333333333333335</v>
      </c>
      <c r="J4401" s="545">
        <v>7.3333333333333339</v>
      </c>
    </row>
    <row r="4402" spans="1:10">
      <c r="A4402" s="441">
        <v>2329</v>
      </c>
      <c r="B4402" s="441" t="s">
        <v>4178</v>
      </c>
      <c r="C4402" s="545">
        <v>19.166666666666668</v>
      </c>
      <c r="D4402" s="545">
        <v>8.3333333333333321</v>
      </c>
      <c r="E4402" s="545">
        <v>10.333333333333332</v>
      </c>
      <c r="F4402" s="545">
        <v>16.357142857142858</v>
      </c>
      <c r="G4402" s="545">
        <v>12.6</v>
      </c>
      <c r="H4402" s="545">
        <v>4</v>
      </c>
      <c r="I4402" s="545">
        <v>5.333333333333333</v>
      </c>
      <c r="J4402" s="545">
        <v>10.333333333333332</v>
      </c>
    </row>
    <row r="4403" spans="1:10">
      <c r="A4403" s="441">
        <v>2302</v>
      </c>
      <c r="B4403" s="441" t="s">
        <v>4179</v>
      </c>
      <c r="C4403" s="545">
        <v>0.33333333333333331</v>
      </c>
      <c r="D4403" s="545">
        <v>0.66666666666666663</v>
      </c>
      <c r="E4403" s="545">
        <v>1</v>
      </c>
      <c r="F4403" s="545">
        <v>0.47619047619047616</v>
      </c>
      <c r="G4403" s="545">
        <v>0.1</v>
      </c>
      <c r="H4403" s="545">
        <v>0</v>
      </c>
      <c r="I4403" s="545">
        <v>0</v>
      </c>
      <c r="J4403" s="545">
        <v>7.1428571428571425E-2</v>
      </c>
    </row>
    <row r="4404" spans="1:10">
      <c r="A4404" s="441">
        <v>2322</v>
      </c>
      <c r="B4404" s="441" t="s">
        <v>4179</v>
      </c>
      <c r="C4404" s="545">
        <v>0.66666666666666663</v>
      </c>
      <c r="D4404" s="545">
        <v>0.33333333333333331</v>
      </c>
      <c r="E4404" s="545">
        <v>0.33333333333333331</v>
      </c>
      <c r="F4404" s="545">
        <v>0.5714285714285714</v>
      </c>
      <c r="G4404" s="545">
        <v>0.15</v>
      </c>
      <c r="H4404" s="545">
        <v>0</v>
      </c>
      <c r="I4404" s="545">
        <v>0</v>
      </c>
      <c r="J4404" s="545">
        <v>0.10714285714285714</v>
      </c>
    </row>
    <row r="4405" spans="1:10">
      <c r="A4405" s="441">
        <v>2306</v>
      </c>
      <c r="B4405" s="441" t="s">
        <v>4180</v>
      </c>
      <c r="C4405" s="545">
        <v>0</v>
      </c>
      <c r="D4405" s="545">
        <v>0</v>
      </c>
      <c r="E4405" s="545">
        <v>0.33333333333333331</v>
      </c>
      <c r="F4405" s="545">
        <v>4.7619047619047616E-2</v>
      </c>
      <c r="G4405" s="545">
        <v>0.1</v>
      </c>
      <c r="H4405" s="545">
        <v>0</v>
      </c>
      <c r="I4405" s="545">
        <v>0.66666666666666663</v>
      </c>
      <c r="J4405" s="545">
        <v>0.16666666666666666</v>
      </c>
    </row>
    <row r="4406" spans="1:10">
      <c r="A4406" s="441">
        <v>2318</v>
      </c>
      <c r="B4406" s="441" t="s">
        <v>4180</v>
      </c>
      <c r="C4406" s="545">
        <v>0</v>
      </c>
      <c r="D4406" s="545">
        <v>0</v>
      </c>
      <c r="E4406" s="545">
        <v>0.33333333333333331</v>
      </c>
      <c r="F4406" s="545">
        <v>4.7619047619047616E-2</v>
      </c>
      <c r="G4406" s="545">
        <v>0.2</v>
      </c>
      <c r="H4406" s="545">
        <v>0</v>
      </c>
      <c r="I4406" s="545">
        <v>0.33333333333333331</v>
      </c>
      <c r="J4406" s="545">
        <v>0.19047619047619047</v>
      </c>
    </row>
    <row r="4407" spans="1:10">
      <c r="A4407" s="441">
        <v>2305</v>
      </c>
      <c r="B4407" s="441" t="s">
        <v>4181</v>
      </c>
      <c r="C4407" s="545">
        <v>1</v>
      </c>
      <c r="D4407" s="545">
        <v>1.3333333333333333</v>
      </c>
      <c r="E4407" s="545">
        <v>0.33333333333333331</v>
      </c>
      <c r="F4407" s="545">
        <v>0.95238095238095233</v>
      </c>
      <c r="G4407" s="545">
        <v>1.1000000000000001</v>
      </c>
      <c r="H4407" s="545">
        <v>1.3333333333333333</v>
      </c>
      <c r="I4407" s="545">
        <v>1.3333333333333333</v>
      </c>
      <c r="J4407" s="545">
        <v>1.1666666666666665</v>
      </c>
    </row>
    <row r="4408" spans="1:10">
      <c r="A4408" s="441">
        <v>2319</v>
      </c>
      <c r="B4408" s="441" t="s">
        <v>4181</v>
      </c>
      <c r="C4408" s="545">
        <v>0</v>
      </c>
      <c r="D4408" s="545">
        <v>0</v>
      </c>
      <c r="E4408" s="545">
        <v>0</v>
      </c>
      <c r="F4408" s="545">
        <v>0</v>
      </c>
      <c r="G4408" s="545">
        <v>0.45</v>
      </c>
      <c r="H4408" s="545">
        <v>0.66666666666666663</v>
      </c>
      <c r="I4408" s="545">
        <v>0.66666666666666663</v>
      </c>
      <c r="J4408" s="545">
        <v>0.51190476190476186</v>
      </c>
    </row>
    <row r="4409" spans="1:10">
      <c r="A4409" s="441">
        <v>2307</v>
      </c>
      <c r="B4409" s="441" t="s">
        <v>4182</v>
      </c>
      <c r="C4409" s="545">
        <v>2</v>
      </c>
      <c r="D4409" s="545">
        <v>2</v>
      </c>
      <c r="E4409" s="545">
        <v>0.33333333333333331</v>
      </c>
      <c r="F4409" s="545">
        <v>1.7619047619047621</v>
      </c>
      <c r="G4409" s="545">
        <v>1.3</v>
      </c>
      <c r="H4409" s="545">
        <v>0</v>
      </c>
      <c r="I4409" s="545">
        <v>1</v>
      </c>
      <c r="J4409" s="545">
        <v>1.0714285714285714</v>
      </c>
    </row>
    <row r="4410" spans="1:10">
      <c r="A4410" s="441">
        <v>2317</v>
      </c>
      <c r="B4410" s="441" t="s">
        <v>4182</v>
      </c>
      <c r="C4410" s="545">
        <v>2.3333333333333335</v>
      </c>
      <c r="D4410" s="545">
        <v>1.3333333333333333</v>
      </c>
      <c r="E4410" s="545">
        <v>0.33333333333333331</v>
      </c>
      <c r="F4410" s="545">
        <v>1.9047619047619051</v>
      </c>
      <c r="G4410" s="545">
        <v>2.35</v>
      </c>
      <c r="H4410" s="545">
        <v>0.66666666666666663</v>
      </c>
      <c r="I4410" s="545">
        <v>1.3333333333333333</v>
      </c>
      <c r="J4410" s="545">
        <v>1.9642857142857142</v>
      </c>
    </row>
    <row r="4411" spans="1:10">
      <c r="A4411" s="441">
        <v>2303</v>
      </c>
      <c r="B4411" s="441" t="s">
        <v>4183</v>
      </c>
      <c r="C4411" s="545">
        <v>4.333333333333333</v>
      </c>
      <c r="D4411" s="545">
        <v>1.6666666666666665</v>
      </c>
      <c r="E4411" s="545">
        <v>1.6666666666666667</v>
      </c>
      <c r="F4411" s="545">
        <v>3.5714285714285716</v>
      </c>
      <c r="G4411" s="545">
        <v>0.3</v>
      </c>
      <c r="H4411" s="545">
        <v>0.33333333333333331</v>
      </c>
      <c r="I4411" s="545">
        <v>0</v>
      </c>
      <c r="J4411" s="545">
        <v>0.26190476190476192</v>
      </c>
    </row>
    <row r="4412" spans="1:10">
      <c r="A4412" s="441">
        <v>2321</v>
      </c>
      <c r="B4412" s="441" t="s">
        <v>4183</v>
      </c>
      <c r="C4412" s="545">
        <v>6.833333333333333</v>
      </c>
      <c r="D4412" s="545">
        <v>3</v>
      </c>
      <c r="E4412" s="545">
        <v>2.666666666666667</v>
      </c>
      <c r="F4412" s="545">
        <v>5.6904761904761898</v>
      </c>
      <c r="G4412" s="545">
        <v>5.3</v>
      </c>
      <c r="H4412" s="545">
        <v>1.3333333333333333</v>
      </c>
      <c r="I4412" s="545">
        <v>0.66666666666666663</v>
      </c>
      <c r="J4412" s="545">
        <v>4.0714285714285712</v>
      </c>
    </row>
    <row r="4413" spans="1:10">
      <c r="A4413" s="441">
        <v>2292</v>
      </c>
      <c r="B4413" s="441" t="s">
        <v>4184</v>
      </c>
      <c r="C4413" s="545">
        <v>27</v>
      </c>
      <c r="D4413" s="545">
        <v>13.333333333333332</v>
      </c>
      <c r="E4413" s="545">
        <v>9.3333333333333339</v>
      </c>
      <c r="F4413" s="545">
        <v>22.523809523809526</v>
      </c>
      <c r="G4413" s="545">
        <v>23.15</v>
      </c>
      <c r="H4413" s="545">
        <v>22.333333333333332</v>
      </c>
      <c r="I4413" s="545">
        <v>11</v>
      </c>
      <c r="J4413" s="545">
        <v>21.297619047619047</v>
      </c>
    </row>
    <row r="4414" spans="1:10">
      <c r="A4414" s="441">
        <v>2331</v>
      </c>
      <c r="B4414" s="441" t="s">
        <v>4184</v>
      </c>
      <c r="C4414" s="545">
        <v>15.166666666666668</v>
      </c>
      <c r="D4414" s="545">
        <v>5</v>
      </c>
      <c r="E4414" s="545">
        <v>7.666666666666667</v>
      </c>
      <c r="F4414" s="545">
        <v>12.642857142857144</v>
      </c>
      <c r="G4414" s="545">
        <v>17.100000000000001</v>
      </c>
      <c r="H4414" s="545">
        <v>15.333333333333334</v>
      </c>
      <c r="I4414" s="545">
        <v>5.333333333333333</v>
      </c>
      <c r="J4414" s="545">
        <v>15.166666666666666</v>
      </c>
    </row>
    <row r="4415" spans="1:10">
      <c r="A4415" s="441">
        <v>2300</v>
      </c>
      <c r="B4415" s="441" t="s">
        <v>4185</v>
      </c>
      <c r="C4415" s="545">
        <v>4.5</v>
      </c>
      <c r="D4415" s="545">
        <v>4</v>
      </c>
      <c r="E4415" s="545">
        <v>2.6666666666666665</v>
      </c>
      <c r="F4415" s="545">
        <v>4.166666666666667</v>
      </c>
      <c r="G4415" s="545">
        <v>2.4</v>
      </c>
      <c r="H4415" s="545">
        <v>1.3333333333333333</v>
      </c>
      <c r="I4415" s="545">
        <v>1</v>
      </c>
      <c r="J4415" s="545">
        <v>2.0476190476190479</v>
      </c>
    </row>
    <row r="4416" spans="1:10">
      <c r="A4416" s="441">
        <v>2323</v>
      </c>
      <c r="B4416" s="441" t="s">
        <v>4185</v>
      </c>
      <c r="C4416" s="545">
        <v>5.5</v>
      </c>
      <c r="D4416" s="545">
        <v>5.3333333333333339</v>
      </c>
      <c r="E4416" s="545">
        <v>4.666666666666667</v>
      </c>
      <c r="F4416" s="545">
        <v>5.3571428571428568</v>
      </c>
      <c r="G4416" s="545">
        <v>3.4</v>
      </c>
      <c r="H4416" s="545">
        <v>3.3333333333333335</v>
      </c>
      <c r="I4416" s="545">
        <v>2.3333333333333335</v>
      </c>
      <c r="J4416" s="545">
        <v>3.2380952380952377</v>
      </c>
    </row>
    <row r="4417" spans="1:10">
      <c r="A4417" s="441">
        <v>2297</v>
      </c>
      <c r="B4417" s="441" t="s">
        <v>4186</v>
      </c>
      <c r="C4417" s="545">
        <v>1.1666666666666667</v>
      </c>
      <c r="D4417" s="545">
        <v>1</v>
      </c>
      <c r="E4417" s="545">
        <v>0</v>
      </c>
      <c r="F4417" s="545">
        <v>0.97619047619047628</v>
      </c>
      <c r="G4417" s="545">
        <v>2.65</v>
      </c>
      <c r="H4417" s="545">
        <v>0.66666666666666663</v>
      </c>
      <c r="I4417" s="545">
        <v>4</v>
      </c>
      <c r="J4417" s="545">
        <v>2.5595238095238093</v>
      </c>
    </row>
    <row r="4418" spans="1:10">
      <c r="A4418" s="441">
        <v>2326</v>
      </c>
      <c r="B4418" s="441" t="s">
        <v>4186</v>
      </c>
      <c r="C4418" s="545">
        <v>6.5</v>
      </c>
      <c r="D4418" s="545">
        <v>3.3333333333333335</v>
      </c>
      <c r="E4418" s="545">
        <v>2.666666666666667</v>
      </c>
      <c r="F4418" s="545">
        <v>5.5</v>
      </c>
      <c r="G4418" s="545">
        <v>6.4</v>
      </c>
      <c r="H4418" s="545">
        <v>3.6666666666666665</v>
      </c>
      <c r="I4418" s="545">
        <v>2.6666666666666665</v>
      </c>
      <c r="J4418" s="545">
        <v>5.4761904761904754</v>
      </c>
    </row>
    <row r="4419" spans="1:10">
      <c r="A4419" s="441">
        <v>11419</v>
      </c>
      <c r="B4419" s="441" t="s">
        <v>4187</v>
      </c>
      <c r="C4419" s="545">
        <v>1.8333333333333333</v>
      </c>
      <c r="D4419" s="545">
        <v>2.3333333333333335</v>
      </c>
      <c r="E4419" s="545">
        <v>0</v>
      </c>
      <c r="F4419" s="545">
        <v>1.6428571428571428</v>
      </c>
      <c r="G4419" s="545">
        <v>1</v>
      </c>
      <c r="H4419" s="545">
        <v>0.33333333333333331</v>
      </c>
      <c r="I4419" s="545">
        <v>0.66666666666666663</v>
      </c>
      <c r="J4419" s="545">
        <v>0.8571428571428571</v>
      </c>
    </row>
    <row r="4420" spans="1:10">
      <c r="A4420" s="441">
        <v>2308</v>
      </c>
      <c r="B4420" s="441" t="s">
        <v>4188</v>
      </c>
      <c r="C4420" s="545">
        <v>1</v>
      </c>
      <c r="D4420" s="545">
        <v>0.66666666666666663</v>
      </c>
      <c r="E4420" s="545">
        <v>0</v>
      </c>
      <c r="F4420" s="545">
        <v>0.80952380952380953</v>
      </c>
      <c r="G4420" s="545">
        <v>0.15</v>
      </c>
      <c r="H4420" s="545">
        <v>0</v>
      </c>
      <c r="I4420" s="545">
        <v>0</v>
      </c>
      <c r="J4420" s="545">
        <v>0.10714285714285714</v>
      </c>
    </row>
    <row r="4421" spans="1:10">
      <c r="A4421" s="441">
        <v>11420</v>
      </c>
      <c r="B4421" s="441" t="s">
        <v>4188</v>
      </c>
      <c r="C4421" s="545">
        <v>0</v>
      </c>
      <c r="D4421" s="545">
        <v>0</v>
      </c>
      <c r="E4421" s="545">
        <v>0</v>
      </c>
      <c r="F4421" s="545">
        <v>0</v>
      </c>
      <c r="G4421" s="545">
        <v>0.1</v>
      </c>
      <c r="H4421" s="545">
        <v>0</v>
      </c>
      <c r="I4421" s="545">
        <v>0</v>
      </c>
      <c r="J4421" s="545">
        <v>7.1428571428571425E-2</v>
      </c>
    </row>
    <row r="4422" spans="1:10">
      <c r="A4422" s="441">
        <v>2295</v>
      </c>
      <c r="B4422" s="441" t="s">
        <v>4189</v>
      </c>
      <c r="C4422" s="545">
        <v>19.333333333333332</v>
      </c>
      <c r="D4422" s="545">
        <v>10.666666666666668</v>
      </c>
      <c r="E4422" s="545">
        <v>11.333333333333334</v>
      </c>
      <c r="F4422" s="545">
        <v>16.952380952380953</v>
      </c>
      <c r="G4422" s="545">
        <v>8.15</v>
      </c>
      <c r="H4422" s="545">
        <v>5</v>
      </c>
      <c r="I4422" s="545">
        <v>4.333333333333333</v>
      </c>
      <c r="J4422" s="545">
        <v>7.1547619047619051</v>
      </c>
    </row>
    <row r="4423" spans="1:10">
      <c r="A4423" s="441">
        <v>2328</v>
      </c>
      <c r="B4423" s="441" t="s">
        <v>4189</v>
      </c>
      <c r="C4423" s="545">
        <v>31.666666666666668</v>
      </c>
      <c r="D4423" s="545">
        <v>20</v>
      </c>
      <c r="E4423" s="545">
        <v>12.333333333333334</v>
      </c>
      <c r="F4423" s="545">
        <v>27.238095238095241</v>
      </c>
      <c r="G4423" s="545">
        <v>10.95</v>
      </c>
      <c r="H4423" s="545">
        <v>7.666666666666667</v>
      </c>
      <c r="I4423" s="545">
        <v>7.666666666666667</v>
      </c>
      <c r="J4423" s="545">
        <v>10.011904761904761</v>
      </c>
    </row>
    <row r="4424" spans="1:10">
      <c r="A4424" s="441">
        <v>2296</v>
      </c>
      <c r="B4424" s="441" t="s">
        <v>4190</v>
      </c>
      <c r="C4424" s="545">
        <v>14.333333333333332</v>
      </c>
      <c r="D4424" s="545">
        <v>11.666666666666666</v>
      </c>
      <c r="E4424" s="545">
        <v>8</v>
      </c>
      <c r="F4424" s="545">
        <v>13.047619047619047</v>
      </c>
      <c r="G4424" s="545">
        <v>9.35</v>
      </c>
      <c r="H4424" s="545">
        <v>5.333333333333333</v>
      </c>
      <c r="I4424" s="545">
        <v>5.333333333333333</v>
      </c>
      <c r="J4424" s="545">
        <v>8.2023809523809526</v>
      </c>
    </row>
    <row r="4425" spans="1:10">
      <c r="A4425" s="441">
        <v>2327</v>
      </c>
      <c r="B4425" s="441" t="s">
        <v>4190</v>
      </c>
      <c r="C4425" s="545">
        <v>17.333333333333332</v>
      </c>
      <c r="D4425" s="545">
        <v>15.333333333333332</v>
      </c>
      <c r="E4425" s="545">
        <v>10.333333333333334</v>
      </c>
      <c r="F4425" s="545">
        <v>16.047619047619044</v>
      </c>
      <c r="G4425" s="545">
        <v>13.15</v>
      </c>
      <c r="H4425" s="545">
        <v>9.6666666666666661</v>
      </c>
      <c r="I4425" s="545">
        <v>14.666666666666666</v>
      </c>
      <c r="J4425" s="545">
        <v>12.86904761904762</v>
      </c>
    </row>
    <row r="4426" spans="1:10">
      <c r="A4426" s="441">
        <v>2304</v>
      </c>
      <c r="B4426" s="441" t="s">
        <v>4191</v>
      </c>
      <c r="C4426" s="545">
        <v>2.166666666666667</v>
      </c>
      <c r="D4426" s="545">
        <v>2</v>
      </c>
      <c r="E4426" s="545">
        <v>2.3333333333333335</v>
      </c>
      <c r="F4426" s="545">
        <v>2.166666666666667</v>
      </c>
      <c r="G4426" s="545">
        <v>1.5</v>
      </c>
      <c r="H4426" s="545">
        <v>0</v>
      </c>
      <c r="I4426" s="545">
        <v>0</v>
      </c>
      <c r="J4426" s="545">
        <v>1.0714285714285714</v>
      </c>
    </row>
    <row r="4427" spans="1:10">
      <c r="A4427" s="441">
        <v>2320</v>
      </c>
      <c r="B4427" s="441" t="s">
        <v>4191</v>
      </c>
      <c r="C4427" s="545">
        <v>2.1666666666666665</v>
      </c>
      <c r="D4427" s="545">
        <v>2</v>
      </c>
      <c r="E4427" s="545">
        <v>1.3333333333333333</v>
      </c>
      <c r="F4427" s="545">
        <v>2.0238095238095237</v>
      </c>
      <c r="G4427" s="545">
        <v>0.35</v>
      </c>
      <c r="H4427" s="545">
        <v>0</v>
      </c>
      <c r="I4427" s="545">
        <v>0.33333333333333331</v>
      </c>
      <c r="J4427" s="545">
        <v>0.29761904761904762</v>
      </c>
    </row>
    <row r="4428" spans="1:10">
      <c r="A4428" s="441">
        <v>2301</v>
      </c>
      <c r="B4428" s="441" t="s">
        <v>4192</v>
      </c>
      <c r="C4428" s="545">
        <v>4.6666666666666661</v>
      </c>
      <c r="D4428" s="545">
        <v>3.333333333333333</v>
      </c>
      <c r="E4428" s="545">
        <v>1.6666666666666665</v>
      </c>
      <c r="F4428" s="545">
        <v>4.0476190476190466</v>
      </c>
      <c r="G4428" s="545">
        <v>1.85</v>
      </c>
      <c r="H4428" s="545">
        <v>2.3333333333333335</v>
      </c>
      <c r="I4428" s="545">
        <v>0.33333333333333331</v>
      </c>
      <c r="J4428" s="545">
        <v>1.7023809523809526</v>
      </c>
    </row>
    <row r="4429" spans="1:10">
      <c r="A4429" s="441">
        <v>10025</v>
      </c>
      <c r="B4429" s="441" t="s">
        <v>4192</v>
      </c>
      <c r="C4429" s="545">
        <v>4</v>
      </c>
      <c r="D4429" s="545">
        <v>3</v>
      </c>
      <c r="E4429" s="545">
        <v>2</v>
      </c>
      <c r="F4429" s="545">
        <v>3.5714285714285716</v>
      </c>
      <c r="G4429" s="545">
        <v>1.05</v>
      </c>
      <c r="H4429" s="545">
        <v>1.3333333333333333</v>
      </c>
      <c r="I4429" s="545">
        <v>2.3333333333333335</v>
      </c>
      <c r="J4429" s="545">
        <v>1.2738095238095237</v>
      </c>
    </row>
    <row r="4430" spans="1:10">
      <c r="A4430" s="441">
        <v>2298</v>
      </c>
      <c r="B4430" s="441" t="s">
        <v>4193</v>
      </c>
      <c r="C4430" s="545">
        <v>8.8333333333333339</v>
      </c>
      <c r="D4430" s="545">
        <v>3.666666666666667</v>
      </c>
      <c r="E4430" s="545">
        <v>5.666666666666667</v>
      </c>
      <c r="F4430" s="545">
        <v>7.6428571428571432</v>
      </c>
      <c r="G4430" s="545">
        <v>4.95</v>
      </c>
      <c r="H4430" s="545">
        <v>4.333333333333333</v>
      </c>
      <c r="I4430" s="545">
        <v>1.3333333333333333</v>
      </c>
      <c r="J4430" s="545">
        <v>4.3452380952380949</v>
      </c>
    </row>
    <row r="4431" spans="1:10">
      <c r="A4431" s="441">
        <v>2299</v>
      </c>
      <c r="B4431" s="441" t="s">
        <v>4194</v>
      </c>
      <c r="C4431" s="545">
        <v>7</v>
      </c>
      <c r="D4431" s="545">
        <v>5</v>
      </c>
      <c r="E4431" s="545">
        <v>5.3333333333333339</v>
      </c>
      <c r="F4431" s="545">
        <v>6.4761904761904763</v>
      </c>
      <c r="G4431" s="545">
        <v>3.45</v>
      </c>
      <c r="H4431" s="545">
        <v>5</v>
      </c>
      <c r="I4431" s="545">
        <v>1.3333333333333333</v>
      </c>
      <c r="J4431" s="545">
        <v>3.3690476190476191</v>
      </c>
    </row>
    <row r="4432" spans="1:10">
      <c r="A4432" s="441">
        <v>2324</v>
      </c>
      <c r="B4432" s="441" t="s">
        <v>4194</v>
      </c>
      <c r="C4432" s="545">
        <v>11.166666666666668</v>
      </c>
      <c r="D4432" s="545">
        <v>6.3333333333333339</v>
      </c>
      <c r="E4432" s="545">
        <v>6.3333333333333339</v>
      </c>
      <c r="F4432" s="545">
        <v>9.7857142857142883</v>
      </c>
      <c r="G4432" s="545">
        <v>3.3</v>
      </c>
      <c r="H4432" s="545">
        <v>5</v>
      </c>
      <c r="I4432" s="545">
        <v>1.6666666666666667</v>
      </c>
      <c r="J4432" s="545">
        <v>3.3095238095238098</v>
      </c>
    </row>
    <row r="4433" spans="1:10">
      <c r="A4433" s="441">
        <v>12482</v>
      </c>
      <c r="B4433" s="441" t="s">
        <v>4195</v>
      </c>
      <c r="C4433" s="545">
        <v>54.833333333333336</v>
      </c>
      <c r="D4433" s="545">
        <v>49</v>
      </c>
      <c r="E4433" s="545">
        <v>28.666666666666664</v>
      </c>
      <c r="F4433" s="545">
        <v>50.261904761904766</v>
      </c>
      <c r="G4433" s="545">
        <v>44.35</v>
      </c>
      <c r="H4433" s="545">
        <v>36.666666666666664</v>
      </c>
      <c r="I4433" s="545">
        <v>37.666666666666664</v>
      </c>
      <c r="J4433" s="545">
        <v>42.297619047619051</v>
      </c>
    </row>
    <row r="4434" spans="1:10">
      <c r="A4434" s="441">
        <v>12483</v>
      </c>
      <c r="B4434" s="441" t="s">
        <v>4195</v>
      </c>
      <c r="C4434" s="545">
        <v>58.5</v>
      </c>
      <c r="D4434" s="545">
        <v>54.333333333333329</v>
      </c>
      <c r="E4434" s="545">
        <v>36</v>
      </c>
      <c r="F4434" s="545">
        <v>54.69047619047619</v>
      </c>
      <c r="G4434" s="545">
        <v>56.3</v>
      </c>
      <c r="H4434" s="545">
        <v>38.666666666666664</v>
      </c>
      <c r="I4434" s="545">
        <v>47.666666666666664</v>
      </c>
      <c r="J4434" s="545">
        <v>52.547619047619051</v>
      </c>
    </row>
    <row r="4435" spans="1:10">
      <c r="A4435" s="441">
        <v>7533</v>
      </c>
      <c r="B4435" s="441" t="s">
        <v>4196</v>
      </c>
      <c r="C4435" s="545">
        <v>1.1666666666666667</v>
      </c>
      <c r="D4435" s="545">
        <v>2</v>
      </c>
      <c r="E4435" s="545">
        <v>0.66666666666666663</v>
      </c>
      <c r="F4435" s="545">
        <v>1.2142857142857142</v>
      </c>
      <c r="G4435" s="545">
        <v>0.65</v>
      </c>
      <c r="H4435" s="545">
        <v>0</v>
      </c>
      <c r="I4435" s="545">
        <v>0.66666666666666663</v>
      </c>
      <c r="J4435" s="545">
        <v>0.55952380952380953</v>
      </c>
    </row>
    <row r="4436" spans="1:10">
      <c r="A4436" s="441">
        <v>8303</v>
      </c>
      <c r="B4436" s="441" t="s">
        <v>4196</v>
      </c>
      <c r="C4436" s="545">
        <v>2.3333333333333335</v>
      </c>
      <c r="D4436" s="545">
        <v>2</v>
      </c>
      <c r="E4436" s="545">
        <v>1</v>
      </c>
      <c r="F4436" s="545">
        <v>2.0952380952380953</v>
      </c>
      <c r="G4436" s="545">
        <v>0.25</v>
      </c>
      <c r="H4436" s="545">
        <v>0</v>
      </c>
      <c r="I4436" s="545">
        <v>0.33333333333333331</v>
      </c>
      <c r="J4436" s="545">
        <v>0.22619047619047619</v>
      </c>
    </row>
    <row r="4437" spans="1:10">
      <c r="A4437" s="441">
        <v>13142</v>
      </c>
      <c r="B4437" s="441" t="s">
        <v>4197</v>
      </c>
      <c r="C4437" s="545">
        <v>3</v>
      </c>
      <c r="D4437" s="545">
        <v>3.3333333333333335</v>
      </c>
      <c r="E4437" s="545">
        <v>4</v>
      </c>
      <c r="F4437" s="545">
        <v>3.1904761904761902</v>
      </c>
      <c r="G4437" s="545">
        <v>5.6</v>
      </c>
      <c r="H4437" s="545">
        <v>2.6666666666666665</v>
      </c>
      <c r="I4437" s="545">
        <v>5</v>
      </c>
      <c r="J4437" s="545">
        <v>5.0952380952380958</v>
      </c>
    </row>
    <row r="4438" spans="1:10">
      <c r="A4438" s="441">
        <v>13147</v>
      </c>
      <c r="B4438" s="441" t="s">
        <v>4197</v>
      </c>
      <c r="C4438" s="545">
        <v>8.3333333333333339</v>
      </c>
      <c r="D4438" s="545">
        <v>6</v>
      </c>
      <c r="E4438" s="545">
        <v>2</v>
      </c>
      <c r="F4438" s="545">
        <v>7.0952380952380958</v>
      </c>
      <c r="G4438" s="545">
        <v>7.95</v>
      </c>
      <c r="H4438" s="545">
        <v>8.3333333333333339</v>
      </c>
      <c r="I4438" s="545">
        <v>8.6666666666666661</v>
      </c>
      <c r="J4438" s="545">
        <v>8.1071428571428577</v>
      </c>
    </row>
    <row r="4439" spans="1:10">
      <c r="A4439" s="441">
        <v>7536</v>
      </c>
      <c r="B4439" s="441" t="s">
        <v>4198</v>
      </c>
      <c r="C4439" s="545">
        <v>6.833333333333333</v>
      </c>
      <c r="D4439" s="545">
        <v>5.333333333333333</v>
      </c>
      <c r="E4439" s="545">
        <v>3.6666666666666665</v>
      </c>
      <c r="F4439" s="545">
        <v>6.1666666666666661</v>
      </c>
      <c r="G4439" s="545">
        <v>5.55</v>
      </c>
      <c r="H4439" s="545">
        <v>3</v>
      </c>
      <c r="I4439" s="545">
        <v>1.3333333333333333</v>
      </c>
      <c r="J4439" s="545">
        <v>4.5833333333333339</v>
      </c>
    </row>
    <row r="4440" spans="1:10">
      <c r="A4440" s="441">
        <v>11452</v>
      </c>
      <c r="B4440" s="441" t="s">
        <v>4198</v>
      </c>
      <c r="C4440" s="545">
        <v>5</v>
      </c>
      <c r="D4440" s="545">
        <v>3</v>
      </c>
      <c r="E4440" s="545">
        <v>3</v>
      </c>
      <c r="F4440" s="545">
        <v>4.4285714285714288</v>
      </c>
      <c r="G4440" s="545">
        <v>4.75</v>
      </c>
      <c r="H4440" s="545">
        <v>3.6666666666666665</v>
      </c>
      <c r="I4440" s="545">
        <v>1.3333333333333333</v>
      </c>
      <c r="J4440" s="545">
        <v>4.1071428571428568</v>
      </c>
    </row>
    <row r="4441" spans="1:10">
      <c r="A4441" s="441">
        <v>12488</v>
      </c>
      <c r="B4441" s="441" t="s">
        <v>4199</v>
      </c>
      <c r="C4441" s="545">
        <v>13.833333333333334</v>
      </c>
      <c r="D4441" s="545">
        <v>7</v>
      </c>
      <c r="E4441" s="545">
        <v>7.6666666666666661</v>
      </c>
      <c r="F4441" s="545">
        <v>11.976190476190478</v>
      </c>
      <c r="G4441" s="545">
        <v>5.45</v>
      </c>
      <c r="H4441" s="545">
        <v>3</v>
      </c>
      <c r="I4441" s="545">
        <v>5.666666666666667</v>
      </c>
      <c r="J4441" s="545">
        <v>5.1309523809523805</v>
      </c>
    </row>
    <row r="4442" spans="1:10">
      <c r="A4442" s="441">
        <v>13144</v>
      </c>
      <c r="B4442" s="441" t="s">
        <v>4199</v>
      </c>
      <c r="C4442" s="545">
        <v>31.666666666666668</v>
      </c>
      <c r="D4442" s="545">
        <v>13.333333333333334</v>
      </c>
      <c r="E4442" s="545">
        <v>10.666666666666668</v>
      </c>
      <c r="F4442" s="545">
        <v>26.047619047619047</v>
      </c>
      <c r="G4442" s="545">
        <v>10.1</v>
      </c>
      <c r="H4442" s="545">
        <v>8</v>
      </c>
      <c r="I4442" s="545">
        <v>8.6666666666666661</v>
      </c>
      <c r="J4442" s="545">
        <v>9.5952380952380967</v>
      </c>
    </row>
    <row r="4443" spans="1:10">
      <c r="A4443" s="441">
        <v>4502</v>
      </c>
      <c r="B4443" s="441" t="s">
        <v>4200</v>
      </c>
      <c r="C4443" s="545">
        <v>11.333333333333334</v>
      </c>
      <c r="D4443" s="545">
        <v>10.333333333333332</v>
      </c>
      <c r="E4443" s="545">
        <v>5.3333333333333339</v>
      </c>
      <c r="F4443" s="545">
        <v>10.333333333333332</v>
      </c>
      <c r="G4443" s="545">
        <v>8.75</v>
      </c>
      <c r="H4443" s="545">
        <v>7.666666666666667</v>
      </c>
      <c r="I4443" s="545">
        <v>11.666666666666666</v>
      </c>
      <c r="J4443" s="545">
        <v>9.011904761904761</v>
      </c>
    </row>
    <row r="4444" spans="1:10">
      <c r="A4444" s="441">
        <v>11678</v>
      </c>
      <c r="B4444" s="441" t="s">
        <v>4200</v>
      </c>
      <c r="C4444" s="545">
        <v>3.5</v>
      </c>
      <c r="D4444" s="545">
        <v>0.33333333333333331</v>
      </c>
      <c r="E4444" s="545">
        <v>1.6666666666666665</v>
      </c>
      <c r="F4444" s="545">
        <v>2.7857142857142856</v>
      </c>
      <c r="G4444" s="545">
        <v>0.6</v>
      </c>
      <c r="H4444" s="545">
        <v>1.6666666666666667</v>
      </c>
      <c r="I4444" s="545">
        <v>0.33333333333333331</v>
      </c>
      <c r="J4444" s="545">
        <v>0.7142857142857143</v>
      </c>
    </row>
    <row r="4445" spans="1:10">
      <c r="A4445" s="441">
        <v>12472</v>
      </c>
      <c r="B4445" s="441" t="s">
        <v>4201</v>
      </c>
      <c r="C4445" s="545" t="e">
        <v>#N/A</v>
      </c>
      <c r="D4445" s="545" t="e">
        <v>#N/A</v>
      </c>
      <c r="E4445" s="545" t="e">
        <v>#N/A</v>
      </c>
      <c r="F4445" s="545" t="e">
        <v>#N/A</v>
      </c>
      <c r="G4445" s="545">
        <v>5.45</v>
      </c>
      <c r="H4445" s="545">
        <v>1.6666666666666667</v>
      </c>
      <c r="I4445" s="545">
        <v>1.3333333333333333</v>
      </c>
      <c r="J4445" s="545">
        <v>4.3214285714285712</v>
      </c>
    </row>
    <row r="4446" spans="1:10">
      <c r="A4446" s="441">
        <v>12473</v>
      </c>
      <c r="B4446" s="441" t="s">
        <v>4201</v>
      </c>
      <c r="C4446" s="545" t="e">
        <v>#N/A</v>
      </c>
      <c r="D4446" s="545" t="e">
        <v>#N/A</v>
      </c>
      <c r="E4446" s="545" t="e">
        <v>#N/A</v>
      </c>
      <c r="F4446" s="545" t="e">
        <v>#N/A</v>
      </c>
      <c r="G4446" s="545">
        <v>9.1</v>
      </c>
      <c r="H4446" s="545">
        <v>3.3333333333333335</v>
      </c>
      <c r="I4446" s="545">
        <v>5</v>
      </c>
      <c r="J4446" s="545">
        <v>7.6904761904761907</v>
      </c>
    </row>
    <row r="4447" spans="1:10">
      <c r="A4447" s="441">
        <v>7732</v>
      </c>
      <c r="B4447" s="441" t="s">
        <v>4202</v>
      </c>
      <c r="C4447" s="545">
        <v>11</v>
      </c>
      <c r="D4447" s="545">
        <v>13.333333333333332</v>
      </c>
      <c r="E4447" s="545">
        <v>5</v>
      </c>
      <c r="F4447" s="545">
        <v>10.476190476190476</v>
      </c>
      <c r="G4447" s="545">
        <v>9</v>
      </c>
      <c r="H4447" s="545">
        <v>6</v>
      </c>
      <c r="I4447" s="545">
        <v>5.666666666666667</v>
      </c>
      <c r="J4447" s="545">
        <v>8.0952380952380949</v>
      </c>
    </row>
    <row r="4448" spans="1:10">
      <c r="A4448" s="441">
        <v>8312</v>
      </c>
      <c r="B4448" s="441" t="s">
        <v>4202</v>
      </c>
      <c r="C4448" s="545">
        <v>9</v>
      </c>
      <c r="D4448" s="545">
        <v>8.3333333333333339</v>
      </c>
      <c r="E4448" s="545">
        <v>7.333333333333333</v>
      </c>
      <c r="F4448" s="545">
        <v>8.6666666666666679</v>
      </c>
      <c r="G4448" s="545">
        <v>7.4</v>
      </c>
      <c r="H4448" s="545">
        <v>3</v>
      </c>
      <c r="I4448" s="545">
        <v>8.6666666666666661</v>
      </c>
      <c r="J4448" s="545">
        <v>6.9523809523809517</v>
      </c>
    </row>
    <row r="4449" spans="1:10">
      <c r="A4449" s="441">
        <v>7735</v>
      </c>
      <c r="B4449" s="441" t="s">
        <v>4203</v>
      </c>
      <c r="C4449" s="545">
        <v>7.8333333333333339</v>
      </c>
      <c r="D4449" s="545">
        <v>6.3333333333333339</v>
      </c>
      <c r="E4449" s="545">
        <v>6.333333333333333</v>
      </c>
      <c r="F4449" s="545">
        <v>7.404761904761906</v>
      </c>
      <c r="G4449" s="545">
        <v>4.2</v>
      </c>
      <c r="H4449" s="545">
        <v>2.3333333333333335</v>
      </c>
      <c r="I4449" s="545">
        <v>5</v>
      </c>
      <c r="J4449" s="545">
        <v>4.0476190476190474</v>
      </c>
    </row>
    <row r="4450" spans="1:10">
      <c r="A4450" s="441">
        <v>8309</v>
      </c>
      <c r="B4450" s="441" t="s">
        <v>4203</v>
      </c>
      <c r="C4450" s="545">
        <v>9.3333333333333339</v>
      </c>
      <c r="D4450" s="545">
        <v>7.6666666666666661</v>
      </c>
      <c r="E4450" s="545">
        <v>6.333333333333333</v>
      </c>
      <c r="F4450" s="545">
        <v>8.6666666666666679</v>
      </c>
      <c r="G4450" s="545">
        <v>7.1</v>
      </c>
      <c r="H4450" s="545">
        <v>1.6666666666666667</v>
      </c>
      <c r="I4450" s="545">
        <v>2.6666666666666665</v>
      </c>
      <c r="J4450" s="545">
        <v>5.6904761904761898</v>
      </c>
    </row>
    <row r="4451" spans="1:10">
      <c r="A4451" s="441">
        <v>13139</v>
      </c>
      <c r="B4451" s="441" t="s">
        <v>4204</v>
      </c>
      <c r="C4451" s="545">
        <v>4.333333333333333</v>
      </c>
      <c r="D4451" s="545">
        <v>1.6666666666666665</v>
      </c>
      <c r="E4451" s="545">
        <v>1.6666666666666667</v>
      </c>
      <c r="F4451" s="545">
        <v>3.5714285714285716</v>
      </c>
      <c r="G4451" s="545">
        <v>8.1999999999999993</v>
      </c>
      <c r="H4451" s="545">
        <v>8.3333333333333339</v>
      </c>
      <c r="I4451" s="545">
        <v>1.6666666666666667</v>
      </c>
      <c r="J4451" s="545">
        <v>7.2857142857142856</v>
      </c>
    </row>
    <row r="4452" spans="1:10">
      <c r="A4452" s="441">
        <v>13150</v>
      </c>
      <c r="B4452" s="441" t="s">
        <v>4204</v>
      </c>
      <c r="C4452" s="545">
        <v>7.6666666666666661</v>
      </c>
      <c r="D4452" s="545">
        <v>6.333333333333333</v>
      </c>
      <c r="E4452" s="545">
        <v>7.3333333333333339</v>
      </c>
      <c r="F4452" s="545">
        <v>7.4285714285714288</v>
      </c>
      <c r="G4452" s="545">
        <v>7.95</v>
      </c>
      <c r="H4452" s="545">
        <v>7.333333333333333</v>
      </c>
      <c r="I4452" s="545">
        <v>5</v>
      </c>
      <c r="J4452" s="545">
        <v>7.4404761904761907</v>
      </c>
    </row>
    <row r="4453" spans="1:10">
      <c r="A4453" s="441">
        <v>7534</v>
      </c>
      <c r="B4453" s="441" t="s">
        <v>4205</v>
      </c>
      <c r="C4453" s="545">
        <v>6.8333333333333339</v>
      </c>
      <c r="D4453" s="545">
        <v>3.666666666666667</v>
      </c>
      <c r="E4453" s="545">
        <v>2.666666666666667</v>
      </c>
      <c r="F4453" s="545">
        <v>5.7857142857142856</v>
      </c>
      <c r="G4453" s="545">
        <v>1.4</v>
      </c>
      <c r="H4453" s="545">
        <v>1.3333333333333333</v>
      </c>
      <c r="I4453" s="545">
        <v>2</v>
      </c>
      <c r="J4453" s="545">
        <v>1.4761904761904763</v>
      </c>
    </row>
    <row r="4454" spans="1:10">
      <c r="A4454" s="441">
        <v>8302</v>
      </c>
      <c r="B4454" s="441" t="s">
        <v>4205</v>
      </c>
      <c r="C4454" s="545">
        <v>4</v>
      </c>
      <c r="D4454" s="545">
        <v>4.666666666666667</v>
      </c>
      <c r="E4454" s="545">
        <v>4.333333333333333</v>
      </c>
      <c r="F4454" s="545">
        <v>4.1428571428571432</v>
      </c>
      <c r="G4454" s="545">
        <v>1.55</v>
      </c>
      <c r="H4454" s="545">
        <v>2.3333333333333335</v>
      </c>
      <c r="I4454" s="545">
        <v>0.33333333333333331</v>
      </c>
      <c r="J4454" s="545">
        <v>1.4880952380952384</v>
      </c>
    </row>
    <row r="4455" spans="1:10">
      <c r="A4455" s="441">
        <v>11557</v>
      </c>
      <c r="B4455" s="441" t="s">
        <v>4206</v>
      </c>
      <c r="C4455" s="545">
        <v>10.166666666666668</v>
      </c>
      <c r="D4455" s="545">
        <v>1.3333333333333333</v>
      </c>
      <c r="E4455" s="545">
        <v>1.3333333333333333</v>
      </c>
      <c r="F4455" s="545">
        <v>7.642857142857145</v>
      </c>
      <c r="G4455" s="545">
        <v>2.75</v>
      </c>
      <c r="H4455" s="545">
        <v>1.3333333333333333</v>
      </c>
      <c r="I4455" s="545">
        <v>0.33333333333333331</v>
      </c>
      <c r="J4455" s="545">
        <v>2.2023809523809526</v>
      </c>
    </row>
    <row r="4456" spans="1:10">
      <c r="A4456" s="441">
        <v>12486</v>
      </c>
      <c r="B4456" s="441" t="s">
        <v>4207</v>
      </c>
      <c r="C4456" s="545">
        <v>0.33333333333333331</v>
      </c>
      <c r="D4456" s="545">
        <v>0</v>
      </c>
      <c r="E4456" s="545">
        <v>0.33333333333333331</v>
      </c>
      <c r="F4456" s="545">
        <v>0.2857142857142857</v>
      </c>
      <c r="G4456" s="545">
        <v>1.65</v>
      </c>
      <c r="H4456" s="545">
        <v>0</v>
      </c>
      <c r="I4456" s="545">
        <v>0</v>
      </c>
      <c r="J4456" s="545">
        <v>1.1785714285714286</v>
      </c>
    </row>
    <row r="4457" spans="1:10">
      <c r="A4457" s="441">
        <v>12487</v>
      </c>
      <c r="B4457" s="441" t="s">
        <v>4207</v>
      </c>
      <c r="C4457" s="545">
        <v>0.33333333333333331</v>
      </c>
      <c r="D4457" s="545">
        <v>0.33333333333333331</v>
      </c>
      <c r="E4457" s="545">
        <v>0</v>
      </c>
      <c r="F4457" s="545">
        <v>0.2857142857142857</v>
      </c>
      <c r="G4457" s="545">
        <v>1</v>
      </c>
      <c r="H4457" s="545">
        <v>0.33333333333333331</v>
      </c>
      <c r="I4457" s="545">
        <v>0.66666666666666663</v>
      </c>
      <c r="J4457" s="545">
        <v>0.8571428571428571</v>
      </c>
    </row>
    <row r="4458" spans="1:10">
      <c r="A4458" s="441">
        <v>7730</v>
      </c>
      <c r="B4458" s="441" t="s">
        <v>4208</v>
      </c>
      <c r="C4458" s="545">
        <v>3.666666666666667</v>
      </c>
      <c r="D4458" s="545">
        <v>1.6666666666666667</v>
      </c>
      <c r="E4458" s="545">
        <v>0.66666666666666663</v>
      </c>
      <c r="F4458" s="545">
        <v>2.952380952380953</v>
      </c>
      <c r="G4458" s="545">
        <v>1.4</v>
      </c>
      <c r="H4458" s="545">
        <v>1.6666666666666667</v>
      </c>
      <c r="I4458" s="545">
        <v>1</v>
      </c>
      <c r="J4458" s="545">
        <v>1.3809523809523809</v>
      </c>
    </row>
    <row r="4459" spans="1:10">
      <c r="A4459" s="441">
        <v>8314</v>
      </c>
      <c r="B4459" s="441" t="s">
        <v>4208</v>
      </c>
      <c r="C4459" s="545">
        <v>1.8333333333333335</v>
      </c>
      <c r="D4459" s="545">
        <v>1.3333333333333333</v>
      </c>
      <c r="E4459" s="545">
        <v>0.66666666666666663</v>
      </c>
      <c r="F4459" s="545">
        <v>1.5952380952380953</v>
      </c>
      <c r="G4459" s="545">
        <v>1.1000000000000001</v>
      </c>
      <c r="H4459" s="545">
        <v>2</v>
      </c>
      <c r="I4459" s="545">
        <v>1</v>
      </c>
      <c r="J4459" s="545">
        <v>1.2142857142857142</v>
      </c>
    </row>
    <row r="4460" spans="1:10">
      <c r="A4460" s="441">
        <v>7731</v>
      </c>
      <c r="B4460" s="441" t="s">
        <v>4209</v>
      </c>
      <c r="C4460" s="545">
        <v>19.5</v>
      </c>
      <c r="D4460" s="545">
        <v>7.333333333333333</v>
      </c>
      <c r="E4460" s="545">
        <v>8.6666666666666661</v>
      </c>
      <c r="F4460" s="545">
        <v>16.214285714285715</v>
      </c>
      <c r="G4460" s="545">
        <v>13.5</v>
      </c>
      <c r="H4460" s="545">
        <v>13</v>
      </c>
      <c r="I4460" s="545">
        <v>11.333333333333334</v>
      </c>
      <c r="J4460" s="545">
        <v>13.119047619047619</v>
      </c>
    </row>
    <row r="4461" spans="1:10">
      <c r="A4461" s="441">
        <v>8313</v>
      </c>
      <c r="B4461" s="441" t="s">
        <v>4209</v>
      </c>
      <c r="C4461" s="545">
        <v>12.5</v>
      </c>
      <c r="D4461" s="545">
        <v>9.3333333333333339</v>
      </c>
      <c r="E4461" s="545">
        <v>5</v>
      </c>
      <c r="F4461" s="545">
        <v>10.976190476190476</v>
      </c>
      <c r="G4461" s="545">
        <v>14.75</v>
      </c>
      <c r="H4461" s="545">
        <v>11</v>
      </c>
      <c r="I4461" s="545">
        <v>15.333333333333334</v>
      </c>
      <c r="J4461" s="545">
        <v>14.297619047619047</v>
      </c>
    </row>
    <row r="4462" spans="1:10">
      <c r="A4462" s="441">
        <v>4500</v>
      </c>
      <c r="B4462" s="441" t="s">
        <v>4210</v>
      </c>
      <c r="C4462" s="545">
        <v>36.333333333333336</v>
      </c>
      <c r="D4462" s="545">
        <v>34</v>
      </c>
      <c r="E4462" s="545">
        <v>23</v>
      </c>
      <c r="F4462" s="545">
        <v>34.095238095238095</v>
      </c>
      <c r="G4462" s="545">
        <v>34.75</v>
      </c>
      <c r="H4462" s="545">
        <v>37</v>
      </c>
      <c r="I4462" s="545">
        <v>26.666666666666668</v>
      </c>
      <c r="J4462" s="545">
        <v>33.916666666666664</v>
      </c>
    </row>
    <row r="4463" spans="1:10">
      <c r="A4463" s="441">
        <v>4501</v>
      </c>
      <c r="B4463" s="441" t="s">
        <v>4210</v>
      </c>
      <c r="C4463" s="545">
        <v>38.166666666666671</v>
      </c>
      <c r="D4463" s="545">
        <v>31</v>
      </c>
      <c r="E4463" s="545">
        <v>24.666666666666664</v>
      </c>
      <c r="F4463" s="545">
        <v>35.214285714285715</v>
      </c>
      <c r="G4463" s="545">
        <v>41.2</v>
      </c>
      <c r="H4463" s="545">
        <v>35.666666666666664</v>
      </c>
      <c r="I4463" s="545">
        <v>28.333333333333332</v>
      </c>
      <c r="J4463" s="545">
        <v>38.571428571428569</v>
      </c>
    </row>
    <row r="4464" spans="1:10">
      <c r="A4464" s="441">
        <v>13148</v>
      </c>
      <c r="B4464" s="441" t="s">
        <v>4210</v>
      </c>
      <c r="C4464" s="545">
        <v>17.333333333333332</v>
      </c>
      <c r="D4464" s="545">
        <v>8.6666666666666661</v>
      </c>
      <c r="E4464" s="545">
        <v>5.3333333333333339</v>
      </c>
      <c r="F4464" s="545">
        <v>14.38095238095238</v>
      </c>
      <c r="G4464" s="545">
        <v>23.4</v>
      </c>
      <c r="H4464" s="545">
        <v>15.666666666666666</v>
      </c>
      <c r="I4464" s="545">
        <v>21</v>
      </c>
      <c r="J4464" s="545">
        <v>21.952380952380953</v>
      </c>
    </row>
    <row r="4465" spans="1:10">
      <c r="A4465" s="441">
        <v>13141</v>
      </c>
      <c r="B4465" s="441" t="s">
        <v>4211</v>
      </c>
      <c r="C4465" s="545">
        <v>16.333333333333332</v>
      </c>
      <c r="D4465" s="545">
        <v>15</v>
      </c>
      <c r="E4465" s="545">
        <v>8</v>
      </c>
      <c r="F4465" s="545">
        <v>14.952380952380951</v>
      </c>
      <c r="G4465" s="545">
        <v>18.8</v>
      </c>
      <c r="H4465" s="545">
        <v>21.333333333333332</v>
      </c>
      <c r="I4465" s="545">
        <v>14</v>
      </c>
      <c r="J4465" s="545">
        <v>18.476190476190474</v>
      </c>
    </row>
    <row r="4466" spans="1:10">
      <c r="A4466" s="441">
        <v>7733</v>
      </c>
      <c r="B4466" s="441" t="s">
        <v>4212</v>
      </c>
      <c r="C4466" s="545">
        <v>6.5</v>
      </c>
      <c r="D4466" s="545">
        <v>5.6666666666666661</v>
      </c>
      <c r="E4466" s="545">
        <v>1</v>
      </c>
      <c r="F4466" s="545">
        <v>5.5952380952380949</v>
      </c>
      <c r="G4466" s="545">
        <v>3.1</v>
      </c>
      <c r="H4466" s="545">
        <v>2.3333333333333335</v>
      </c>
      <c r="I4466" s="545">
        <v>0.66666666666666663</v>
      </c>
      <c r="J4466" s="545">
        <v>2.6428571428571428</v>
      </c>
    </row>
    <row r="4467" spans="1:10">
      <c r="A4467" s="441">
        <v>8311</v>
      </c>
      <c r="B4467" s="441" t="s">
        <v>4212</v>
      </c>
      <c r="C4467" s="545">
        <v>5.5</v>
      </c>
      <c r="D4467" s="545">
        <v>2.666666666666667</v>
      </c>
      <c r="E4467" s="545">
        <v>1.3333333333333333</v>
      </c>
      <c r="F4467" s="545">
        <v>4.5</v>
      </c>
      <c r="G4467" s="545">
        <v>2.4500000000000002</v>
      </c>
      <c r="H4467" s="545">
        <v>2.6666666666666665</v>
      </c>
      <c r="I4467" s="545">
        <v>0.66666666666666663</v>
      </c>
      <c r="J4467" s="545">
        <v>2.2261904761904758</v>
      </c>
    </row>
    <row r="4468" spans="1:10">
      <c r="A4468" s="441">
        <v>4499</v>
      </c>
      <c r="B4468" s="441" t="s">
        <v>4213</v>
      </c>
      <c r="C4468" s="545">
        <v>14.666666666666668</v>
      </c>
      <c r="D4468" s="545">
        <v>5</v>
      </c>
      <c r="E4468" s="545">
        <v>4.333333333333333</v>
      </c>
      <c r="F4468" s="545">
        <v>11.80952380952381</v>
      </c>
      <c r="G4468" s="545">
        <v>8.5500000000000007</v>
      </c>
      <c r="H4468" s="545">
        <v>6.333333333333333</v>
      </c>
      <c r="I4468" s="545">
        <v>10</v>
      </c>
      <c r="J4468" s="545">
        <v>8.4404761904761916</v>
      </c>
    </row>
    <row r="4469" spans="1:10">
      <c r="A4469" s="441">
        <v>4521</v>
      </c>
      <c r="B4469" s="441" t="s">
        <v>4213</v>
      </c>
      <c r="C4469" s="545">
        <v>2.3333333333333335</v>
      </c>
      <c r="D4469" s="545">
        <v>2</v>
      </c>
      <c r="E4469" s="545">
        <v>2.3333333333333335</v>
      </c>
      <c r="F4469" s="545">
        <v>2.2857142857142856</v>
      </c>
      <c r="G4469" s="545">
        <v>2.7</v>
      </c>
      <c r="H4469" s="545">
        <v>1.3333333333333333</v>
      </c>
      <c r="I4469" s="545">
        <v>1.6666666666666667</v>
      </c>
      <c r="J4469" s="545">
        <v>2.3571428571428572</v>
      </c>
    </row>
    <row r="4470" spans="1:10">
      <c r="A4470" s="441">
        <v>7531</v>
      </c>
      <c r="B4470" s="441" t="s">
        <v>4214</v>
      </c>
      <c r="C4470" s="545">
        <v>1.6666666666666665</v>
      </c>
      <c r="D4470" s="545">
        <v>2</v>
      </c>
      <c r="E4470" s="545">
        <v>2.3333333333333335</v>
      </c>
      <c r="F4470" s="545">
        <v>1.8095238095238095</v>
      </c>
      <c r="G4470" s="545">
        <v>1.85</v>
      </c>
      <c r="H4470" s="545">
        <v>0.66666666666666663</v>
      </c>
      <c r="I4470" s="545">
        <v>0.33333333333333331</v>
      </c>
      <c r="J4470" s="545">
        <v>1.4642857142857142</v>
      </c>
    </row>
    <row r="4471" spans="1:10">
      <c r="A4471" s="441">
        <v>7535</v>
      </c>
      <c r="B4471" s="441" t="s">
        <v>4214</v>
      </c>
      <c r="C4471" s="545">
        <v>15.666666666666666</v>
      </c>
      <c r="D4471" s="545">
        <v>9.6666666666666661</v>
      </c>
      <c r="E4471" s="545">
        <v>5</v>
      </c>
      <c r="F4471" s="545">
        <v>13.285714285714286</v>
      </c>
      <c r="G4471" s="545">
        <v>7.35</v>
      </c>
      <c r="H4471" s="545">
        <v>10.666666666666666</v>
      </c>
      <c r="I4471" s="545">
        <v>9</v>
      </c>
      <c r="J4471" s="545">
        <v>8.0595238095238084</v>
      </c>
    </row>
    <row r="4472" spans="1:10">
      <c r="A4472" s="441">
        <v>8301</v>
      </c>
      <c r="B4472" s="441" t="s">
        <v>4214</v>
      </c>
      <c r="C4472" s="545">
        <v>16.833333333333336</v>
      </c>
      <c r="D4472" s="545">
        <v>8.3333333333333321</v>
      </c>
      <c r="E4472" s="545">
        <v>6.6666666666666661</v>
      </c>
      <c r="F4472" s="545">
        <v>14.16666666666667</v>
      </c>
      <c r="G4472" s="545">
        <v>87.3</v>
      </c>
      <c r="H4472" s="545">
        <v>8</v>
      </c>
      <c r="I4472" s="545">
        <v>5.666666666666667</v>
      </c>
      <c r="J4472" s="545">
        <v>64.30952380952381</v>
      </c>
    </row>
    <row r="4473" spans="1:10">
      <c r="A4473" s="441">
        <v>8305</v>
      </c>
      <c r="B4473" s="441" t="s">
        <v>4214</v>
      </c>
      <c r="C4473" s="545">
        <v>2.5</v>
      </c>
      <c r="D4473" s="545">
        <v>1.3333333333333333</v>
      </c>
      <c r="E4473" s="545">
        <v>2</v>
      </c>
      <c r="F4473" s="545">
        <v>2.2619047619047619</v>
      </c>
      <c r="G4473" s="545">
        <v>1.25</v>
      </c>
      <c r="H4473" s="545">
        <v>0.66666666666666663</v>
      </c>
      <c r="I4473" s="545">
        <v>1.6666666666666667</v>
      </c>
      <c r="J4473" s="545">
        <v>1.2261904761904763</v>
      </c>
    </row>
    <row r="4474" spans="1:10">
      <c r="A4474" s="441">
        <v>7734</v>
      </c>
      <c r="B4474" s="441" t="s">
        <v>4215</v>
      </c>
      <c r="C4474" s="545">
        <v>4.166666666666667</v>
      </c>
      <c r="D4474" s="545">
        <v>1</v>
      </c>
      <c r="E4474" s="545">
        <v>1.3333333333333333</v>
      </c>
      <c r="F4474" s="545">
        <v>3.3095238095238098</v>
      </c>
      <c r="G4474" s="545">
        <v>3.3</v>
      </c>
      <c r="H4474" s="545">
        <v>1.3333333333333333</v>
      </c>
      <c r="I4474" s="545">
        <v>0.33333333333333331</v>
      </c>
      <c r="J4474" s="545">
        <v>2.5952380952380949</v>
      </c>
    </row>
    <row r="4475" spans="1:10">
      <c r="A4475" s="441">
        <v>8310</v>
      </c>
      <c r="B4475" s="441" t="s">
        <v>4215</v>
      </c>
      <c r="C4475" s="545">
        <v>3</v>
      </c>
      <c r="D4475" s="545">
        <v>2</v>
      </c>
      <c r="E4475" s="545">
        <v>0.66666666666666663</v>
      </c>
      <c r="F4475" s="545">
        <v>2.5238095238095242</v>
      </c>
      <c r="G4475" s="545">
        <v>2.5</v>
      </c>
      <c r="H4475" s="545">
        <v>0.66666666666666663</v>
      </c>
      <c r="I4475" s="545">
        <v>0.66666666666666663</v>
      </c>
      <c r="J4475" s="545">
        <v>1.9761904761904761</v>
      </c>
    </row>
    <row r="4476" spans="1:10">
      <c r="A4476" s="441">
        <v>13146</v>
      </c>
      <c r="B4476" s="441" t="s">
        <v>4216</v>
      </c>
      <c r="C4476" s="545">
        <v>11.333333333333332</v>
      </c>
      <c r="D4476" s="545">
        <v>4.666666666666667</v>
      </c>
      <c r="E4476" s="545">
        <v>2</v>
      </c>
      <c r="F4476" s="545">
        <v>9.0476190476190457</v>
      </c>
      <c r="G4476" s="545">
        <v>51.2</v>
      </c>
      <c r="H4476" s="545">
        <v>38.333333333333336</v>
      </c>
      <c r="I4476" s="545">
        <v>36.666666666666664</v>
      </c>
      <c r="J4476" s="545">
        <v>47.285714285714285</v>
      </c>
    </row>
    <row r="4477" spans="1:10">
      <c r="A4477" s="441">
        <v>13138</v>
      </c>
      <c r="B4477" s="441" t="s">
        <v>4217</v>
      </c>
      <c r="C4477" s="545">
        <v>2</v>
      </c>
      <c r="D4477" s="545">
        <v>2.3333333333333335</v>
      </c>
      <c r="E4477" s="545">
        <v>1.6666666666666665</v>
      </c>
      <c r="F4477" s="545">
        <v>2</v>
      </c>
      <c r="G4477" s="545">
        <v>1.3</v>
      </c>
      <c r="H4477" s="545">
        <v>1</v>
      </c>
      <c r="I4477" s="545">
        <v>3</v>
      </c>
      <c r="J4477" s="545">
        <v>1.5</v>
      </c>
    </row>
    <row r="4478" spans="1:10">
      <c r="A4478" s="441">
        <v>7729</v>
      </c>
      <c r="B4478" s="441" t="s">
        <v>4218</v>
      </c>
      <c r="C4478" s="545">
        <v>12.166666666666666</v>
      </c>
      <c r="D4478" s="545">
        <v>8</v>
      </c>
      <c r="E4478" s="545">
        <v>6</v>
      </c>
      <c r="F4478" s="545">
        <v>10.69047619047619</v>
      </c>
      <c r="G4478" s="545">
        <v>9.65</v>
      </c>
      <c r="H4478" s="545">
        <v>4.333333333333333</v>
      </c>
      <c r="I4478" s="545">
        <v>6</v>
      </c>
      <c r="J4478" s="545">
        <v>8.3690476190476186</v>
      </c>
    </row>
    <row r="4479" spans="1:10">
      <c r="A4479" s="441">
        <v>8315</v>
      </c>
      <c r="B4479" s="441" t="s">
        <v>4218</v>
      </c>
      <c r="C4479" s="545">
        <v>7.8333333333333339</v>
      </c>
      <c r="D4479" s="545">
        <v>2.666666666666667</v>
      </c>
      <c r="E4479" s="545">
        <v>4.3333333333333339</v>
      </c>
      <c r="F4479" s="545">
        <v>6.5952380952380958</v>
      </c>
      <c r="G4479" s="545">
        <v>7</v>
      </c>
      <c r="H4479" s="545">
        <v>3.3333333333333335</v>
      </c>
      <c r="I4479" s="545">
        <v>1.3333333333333333</v>
      </c>
      <c r="J4479" s="545">
        <v>5.666666666666667</v>
      </c>
    </row>
    <row r="4480" spans="1:10">
      <c r="A4480" s="441">
        <v>11454</v>
      </c>
      <c r="B4480" s="441" t="s">
        <v>4218</v>
      </c>
      <c r="C4480" s="545">
        <v>16.5</v>
      </c>
      <c r="D4480" s="545">
        <v>11.333333333333332</v>
      </c>
      <c r="E4480" s="545">
        <v>7</v>
      </c>
      <c r="F4480" s="545">
        <v>14.404761904761903</v>
      </c>
      <c r="G4480" s="545">
        <v>5.7</v>
      </c>
      <c r="H4480" s="545">
        <v>6.333333333333333</v>
      </c>
      <c r="I4480" s="545">
        <v>3</v>
      </c>
      <c r="J4480" s="545">
        <v>5.4047619047619051</v>
      </c>
    </row>
    <row r="4481" spans="1:10">
      <c r="A4481" s="441">
        <v>7532</v>
      </c>
      <c r="B4481" s="441" t="s">
        <v>4219</v>
      </c>
      <c r="C4481" s="545">
        <v>4.3333333333333339</v>
      </c>
      <c r="D4481" s="545">
        <v>10.666666666666666</v>
      </c>
      <c r="E4481" s="545">
        <v>2.6666666666666665</v>
      </c>
      <c r="F4481" s="545">
        <v>5</v>
      </c>
      <c r="G4481" s="545">
        <v>3</v>
      </c>
      <c r="H4481" s="545">
        <v>1.3333333333333333</v>
      </c>
      <c r="I4481" s="545">
        <v>2</v>
      </c>
      <c r="J4481" s="545">
        <v>2.6190476190476191</v>
      </c>
    </row>
    <row r="4482" spans="1:10">
      <c r="A4482" s="441">
        <v>8304</v>
      </c>
      <c r="B4482" s="441" t="s">
        <v>4219</v>
      </c>
      <c r="C4482" s="545">
        <v>5</v>
      </c>
      <c r="D4482" s="545">
        <v>2.666666666666667</v>
      </c>
      <c r="E4482" s="545">
        <v>4</v>
      </c>
      <c r="F4482" s="545">
        <v>4.5238095238095237</v>
      </c>
      <c r="G4482" s="545">
        <v>3.05</v>
      </c>
      <c r="H4482" s="545">
        <v>1.3333333333333333</v>
      </c>
      <c r="I4482" s="545">
        <v>2.6666666666666665</v>
      </c>
      <c r="J4482" s="545">
        <v>2.75</v>
      </c>
    </row>
    <row r="4483" spans="1:10">
      <c r="A4483" s="441">
        <v>12466</v>
      </c>
      <c r="B4483" s="441" t="s">
        <v>4220</v>
      </c>
      <c r="C4483" s="545" t="e">
        <v>#N/A</v>
      </c>
      <c r="D4483" s="545" t="e">
        <v>#N/A</v>
      </c>
      <c r="E4483" s="545" t="e">
        <v>#N/A</v>
      </c>
      <c r="F4483" s="545" t="e">
        <v>#N/A</v>
      </c>
      <c r="G4483" s="545">
        <v>3.3</v>
      </c>
      <c r="H4483" s="545">
        <v>2.3333333333333335</v>
      </c>
      <c r="I4483" s="545">
        <v>1</v>
      </c>
      <c r="J4483" s="545">
        <v>2.833333333333333</v>
      </c>
    </row>
    <row r="4484" spans="1:10">
      <c r="A4484" s="441">
        <v>12467</v>
      </c>
      <c r="B4484" s="441" t="s">
        <v>4220</v>
      </c>
      <c r="C4484" s="545" t="e">
        <v>#N/A</v>
      </c>
      <c r="D4484" s="545" t="e">
        <v>#N/A</v>
      </c>
      <c r="E4484" s="545" t="e">
        <v>#N/A</v>
      </c>
      <c r="F4484" s="545" t="e">
        <v>#N/A</v>
      </c>
      <c r="G4484" s="545">
        <v>6.1</v>
      </c>
      <c r="H4484" s="545">
        <v>6</v>
      </c>
      <c r="I4484" s="545">
        <v>7.333333333333333</v>
      </c>
      <c r="J4484" s="545">
        <v>6.2619047619047619</v>
      </c>
    </row>
    <row r="4485" spans="1:10">
      <c r="A4485" s="441">
        <v>13143</v>
      </c>
      <c r="B4485" s="441" t="s">
        <v>4221</v>
      </c>
      <c r="C4485" s="545">
        <v>10.333333333333332</v>
      </c>
      <c r="D4485" s="545">
        <v>4</v>
      </c>
      <c r="E4485" s="545">
        <v>2.666666666666667</v>
      </c>
      <c r="F4485" s="545">
        <v>8.3333333333333321</v>
      </c>
      <c r="G4485" s="545">
        <v>46.9</v>
      </c>
      <c r="H4485" s="545">
        <v>35</v>
      </c>
      <c r="I4485" s="545">
        <v>28.333333333333332</v>
      </c>
      <c r="J4485" s="545">
        <v>42.547619047619044</v>
      </c>
    </row>
    <row r="4486" spans="1:10">
      <c r="A4486" s="441">
        <v>13145</v>
      </c>
      <c r="B4486" s="441" t="s">
        <v>4222</v>
      </c>
      <c r="C4486" s="545">
        <v>10.166666666666668</v>
      </c>
      <c r="D4486" s="545">
        <v>4.666666666666667</v>
      </c>
      <c r="E4486" s="545">
        <v>9.3333333333333321</v>
      </c>
      <c r="F4486" s="545">
        <v>9.2619047619047628</v>
      </c>
      <c r="G4486" s="545">
        <v>4.05</v>
      </c>
      <c r="H4486" s="545">
        <v>3.6666666666666665</v>
      </c>
      <c r="I4486" s="545">
        <v>3.6666666666666665</v>
      </c>
      <c r="J4486" s="545">
        <v>3.9404761904761907</v>
      </c>
    </row>
    <row r="4487" spans="1:10">
      <c r="A4487" s="441">
        <v>7530</v>
      </c>
      <c r="B4487" s="441" t="s">
        <v>4223</v>
      </c>
      <c r="C4487" s="545">
        <v>11.666666666666668</v>
      </c>
      <c r="D4487" s="545">
        <v>7.666666666666667</v>
      </c>
      <c r="E4487" s="545">
        <v>8</v>
      </c>
      <c r="F4487" s="545">
        <v>10.571428571428573</v>
      </c>
      <c r="G4487" s="545">
        <v>6.8</v>
      </c>
      <c r="H4487" s="545">
        <v>5.333333333333333</v>
      </c>
      <c r="I4487" s="545">
        <v>13.333333333333334</v>
      </c>
      <c r="J4487" s="545">
        <v>7.5238095238095246</v>
      </c>
    </row>
    <row r="4488" spans="1:10">
      <c r="A4488" s="441">
        <v>8306</v>
      </c>
      <c r="B4488" s="441" t="s">
        <v>4223</v>
      </c>
      <c r="C4488" s="545">
        <v>10.166666666666666</v>
      </c>
      <c r="D4488" s="545">
        <v>9.6666666666666679</v>
      </c>
      <c r="E4488" s="545">
        <v>2.6666666666666665</v>
      </c>
      <c r="F4488" s="545">
        <v>9.0238095238095237</v>
      </c>
      <c r="G4488" s="545">
        <v>9</v>
      </c>
      <c r="H4488" s="545">
        <v>7.333333333333333</v>
      </c>
      <c r="I4488" s="545">
        <v>3.6666666666666665</v>
      </c>
      <c r="J4488" s="545">
        <v>8</v>
      </c>
    </row>
    <row r="4489" spans="1:10">
      <c r="A4489" s="441">
        <v>12480</v>
      </c>
      <c r="B4489" s="441" t="s">
        <v>4224</v>
      </c>
      <c r="C4489" s="545">
        <v>3</v>
      </c>
      <c r="D4489" s="545">
        <v>3.666666666666667</v>
      </c>
      <c r="E4489" s="545">
        <v>1.6666666666666665</v>
      </c>
      <c r="F4489" s="545">
        <v>2.9047619047619051</v>
      </c>
      <c r="G4489" s="545">
        <v>3.95</v>
      </c>
      <c r="H4489" s="545">
        <v>0</v>
      </c>
      <c r="I4489" s="545">
        <v>2.3333333333333335</v>
      </c>
      <c r="J4489" s="545">
        <v>3.1547619047619047</v>
      </c>
    </row>
    <row r="4490" spans="1:10">
      <c r="A4490" s="441">
        <v>12481</v>
      </c>
      <c r="B4490" s="441" t="s">
        <v>4224</v>
      </c>
      <c r="C4490" s="545">
        <v>3.666666666666667</v>
      </c>
      <c r="D4490" s="545">
        <v>4</v>
      </c>
      <c r="E4490" s="545">
        <v>1.6666666666666665</v>
      </c>
      <c r="F4490" s="545">
        <v>3.4285714285714293</v>
      </c>
      <c r="G4490" s="545">
        <v>3.85</v>
      </c>
      <c r="H4490" s="545">
        <v>2</v>
      </c>
      <c r="I4490" s="545">
        <v>0.66666666666666663</v>
      </c>
      <c r="J4490" s="545">
        <v>3.1309523809523809</v>
      </c>
    </row>
    <row r="4491" spans="1:10">
      <c r="A4491" s="441">
        <v>12821</v>
      </c>
      <c r="B4491" s="441" t="s">
        <v>4225</v>
      </c>
      <c r="C4491" s="545">
        <v>46</v>
      </c>
      <c r="D4491" s="545">
        <v>22</v>
      </c>
      <c r="E4491" s="545">
        <v>17.666666666666664</v>
      </c>
      <c r="F4491" s="545">
        <v>38.523809523809526</v>
      </c>
      <c r="G4491" s="545">
        <v>28.6</v>
      </c>
      <c r="H4491" s="545">
        <v>28.666666666666668</v>
      </c>
      <c r="I4491" s="545">
        <v>18</v>
      </c>
      <c r="J4491" s="545">
        <v>27.095238095238095</v>
      </c>
    </row>
    <row r="4492" spans="1:10">
      <c r="A4492" s="441">
        <v>12904</v>
      </c>
      <c r="B4492" s="441" t="s">
        <v>4225</v>
      </c>
      <c r="C4492" s="545">
        <v>81.833333333333329</v>
      </c>
      <c r="D4492" s="545">
        <v>54.333333333333336</v>
      </c>
      <c r="E4492" s="545">
        <v>46</v>
      </c>
      <c r="F4492" s="545">
        <v>72.785714285714278</v>
      </c>
      <c r="G4492" s="545">
        <v>56.75</v>
      </c>
      <c r="H4492" s="545">
        <v>39</v>
      </c>
      <c r="I4492" s="545">
        <v>31</v>
      </c>
      <c r="J4492" s="545">
        <v>50.535714285714285</v>
      </c>
    </row>
    <row r="4493" spans="1:10">
      <c r="A4493" s="441">
        <v>12989</v>
      </c>
      <c r="B4493" s="441" t="s">
        <v>4225</v>
      </c>
      <c r="C4493" s="545">
        <v>112.16666666666666</v>
      </c>
      <c r="D4493" s="545">
        <v>75.333333333333343</v>
      </c>
      <c r="E4493" s="545">
        <v>78.333333333333329</v>
      </c>
      <c r="F4493" s="545">
        <v>102.07142857142857</v>
      </c>
      <c r="G4493" s="545">
        <v>68.150000000000006</v>
      </c>
      <c r="H4493" s="545">
        <v>60</v>
      </c>
      <c r="I4493" s="545">
        <v>56.666666666666664</v>
      </c>
      <c r="J4493" s="545">
        <v>65.345238095238102</v>
      </c>
    </row>
    <row r="4494" spans="1:10">
      <c r="A4494" s="441">
        <v>12990</v>
      </c>
      <c r="B4494" s="441" t="s">
        <v>4225</v>
      </c>
      <c r="C4494" s="545">
        <v>111.83333333333333</v>
      </c>
      <c r="D4494" s="545">
        <v>89.666666666666671</v>
      </c>
      <c r="E4494" s="545">
        <v>76.666666666666657</v>
      </c>
      <c r="F4494" s="545">
        <v>103.64285714285712</v>
      </c>
      <c r="G4494" s="545">
        <v>77.45</v>
      </c>
      <c r="H4494" s="545">
        <v>62</v>
      </c>
      <c r="I4494" s="545">
        <v>56.333333333333336</v>
      </c>
      <c r="J4494" s="545">
        <v>72.226190476190467</v>
      </c>
    </row>
    <row r="4495" spans="1:10">
      <c r="A4495" s="441">
        <v>12819</v>
      </c>
      <c r="B4495" s="441" t="s">
        <v>4226</v>
      </c>
      <c r="C4495" s="545">
        <v>32.333333333333329</v>
      </c>
      <c r="D4495" s="545">
        <v>24.333333333333332</v>
      </c>
      <c r="E4495" s="545">
        <v>15</v>
      </c>
      <c r="F4495" s="545">
        <v>28.714285714285712</v>
      </c>
      <c r="G4495" s="545">
        <v>18.3</v>
      </c>
      <c r="H4495" s="545">
        <v>19.666666666666668</v>
      </c>
      <c r="I4495" s="545">
        <v>11.333333333333334</v>
      </c>
      <c r="J4495" s="545">
        <v>17.5</v>
      </c>
    </row>
    <row r="4496" spans="1:10">
      <c r="A4496" s="441">
        <v>12820</v>
      </c>
      <c r="B4496" s="441" t="s">
        <v>4226</v>
      </c>
      <c r="C4496" s="545">
        <v>19.5</v>
      </c>
      <c r="D4496" s="545">
        <v>19.333333333333332</v>
      </c>
      <c r="E4496" s="545">
        <v>14.333333333333334</v>
      </c>
      <c r="F4496" s="545">
        <v>18.738095238095237</v>
      </c>
      <c r="G4496" s="545">
        <v>14.9</v>
      </c>
      <c r="H4496" s="545">
        <v>13.333333333333334</v>
      </c>
      <c r="I4496" s="545">
        <v>9</v>
      </c>
      <c r="J4496" s="545">
        <v>13.833333333333332</v>
      </c>
    </row>
    <row r="4497" spans="1:10">
      <c r="A4497" s="441">
        <v>11453</v>
      </c>
      <c r="B4497" s="441" t="s">
        <v>4227</v>
      </c>
      <c r="C4497" s="545">
        <v>15.166666666666666</v>
      </c>
      <c r="D4497" s="545">
        <v>8.6666666666666679</v>
      </c>
      <c r="E4497" s="545">
        <v>4.6666666666666661</v>
      </c>
      <c r="F4497" s="545">
        <v>12.738095238095239</v>
      </c>
      <c r="G4497" s="545">
        <v>5.2</v>
      </c>
      <c r="H4497" s="545">
        <v>6</v>
      </c>
      <c r="I4497" s="545">
        <v>2</v>
      </c>
      <c r="J4497" s="545">
        <v>4.8571428571428568</v>
      </c>
    </row>
    <row r="4498" spans="1:10">
      <c r="A4498" s="441">
        <v>12484</v>
      </c>
      <c r="B4498" s="441" t="s">
        <v>4228</v>
      </c>
      <c r="C4498" s="545">
        <v>5</v>
      </c>
      <c r="D4498" s="545">
        <v>0.66666666666666663</v>
      </c>
      <c r="E4498" s="545">
        <v>0.66666666666666663</v>
      </c>
      <c r="F4498" s="545">
        <v>3.7619047619047623</v>
      </c>
      <c r="G4498" s="545">
        <v>2.15</v>
      </c>
      <c r="H4498" s="545">
        <v>2</v>
      </c>
      <c r="I4498" s="545">
        <v>1.6666666666666667</v>
      </c>
      <c r="J4498" s="545">
        <v>2.0595238095238093</v>
      </c>
    </row>
    <row r="4499" spans="1:10">
      <c r="A4499" s="441">
        <v>12485</v>
      </c>
      <c r="B4499" s="441" t="s">
        <v>4228</v>
      </c>
      <c r="C4499" s="545">
        <v>1.1666666666666667</v>
      </c>
      <c r="D4499" s="545">
        <v>0.33333333333333331</v>
      </c>
      <c r="E4499" s="545">
        <v>1</v>
      </c>
      <c r="F4499" s="545">
        <v>1.0238095238095239</v>
      </c>
      <c r="G4499" s="545">
        <v>0.75</v>
      </c>
      <c r="H4499" s="545">
        <v>0</v>
      </c>
      <c r="I4499" s="545">
        <v>1.6666666666666667</v>
      </c>
      <c r="J4499" s="545">
        <v>0.77380952380952384</v>
      </c>
    </row>
    <row r="4500" spans="1:10">
      <c r="A4500" s="441">
        <v>12470</v>
      </c>
      <c r="B4500" s="441" t="s">
        <v>4229</v>
      </c>
      <c r="C4500" s="545" t="e">
        <v>#N/A</v>
      </c>
      <c r="D4500" s="545" t="e">
        <v>#N/A</v>
      </c>
      <c r="E4500" s="545" t="e">
        <v>#N/A</v>
      </c>
      <c r="F4500" s="545" t="e">
        <v>#N/A</v>
      </c>
      <c r="G4500" s="545">
        <v>0.1</v>
      </c>
      <c r="H4500" s="545">
        <v>0</v>
      </c>
      <c r="I4500" s="545">
        <v>1.3333333333333333</v>
      </c>
      <c r="J4500" s="545">
        <v>0.26190476190476192</v>
      </c>
    </row>
    <row r="4501" spans="1:10">
      <c r="A4501" s="441">
        <v>12471</v>
      </c>
      <c r="B4501" s="441" t="s">
        <v>4229</v>
      </c>
      <c r="C4501" s="545" t="e">
        <v>#N/A</v>
      </c>
      <c r="D4501" s="545" t="e">
        <v>#N/A</v>
      </c>
      <c r="E4501" s="545" t="e">
        <v>#N/A</v>
      </c>
      <c r="F4501" s="545" t="e">
        <v>#N/A</v>
      </c>
      <c r="G4501" s="545">
        <v>0.4</v>
      </c>
      <c r="H4501" s="545">
        <v>0</v>
      </c>
      <c r="I4501" s="545">
        <v>0</v>
      </c>
      <c r="J4501" s="545">
        <v>0.2857142857142857</v>
      </c>
    </row>
    <row r="4502" spans="1:10">
      <c r="A4502" s="441">
        <v>7736</v>
      </c>
      <c r="B4502" s="441" t="s">
        <v>4230</v>
      </c>
      <c r="C4502" s="545">
        <v>4</v>
      </c>
      <c r="D4502" s="545">
        <v>3.666666666666667</v>
      </c>
      <c r="E4502" s="545">
        <v>2</v>
      </c>
      <c r="F4502" s="545">
        <v>3.666666666666667</v>
      </c>
      <c r="G4502" s="545">
        <v>1.2</v>
      </c>
      <c r="H4502" s="545">
        <v>0.66666666666666663</v>
      </c>
      <c r="I4502" s="545">
        <v>0.33333333333333331</v>
      </c>
      <c r="J4502" s="545">
        <v>1</v>
      </c>
    </row>
    <row r="4503" spans="1:10">
      <c r="A4503" s="441">
        <v>8308</v>
      </c>
      <c r="B4503" s="441" t="s">
        <v>4230</v>
      </c>
      <c r="C4503" s="545">
        <v>3.8333333333333335</v>
      </c>
      <c r="D4503" s="545">
        <v>4.666666666666667</v>
      </c>
      <c r="E4503" s="545">
        <v>4.333333333333333</v>
      </c>
      <c r="F4503" s="545">
        <v>4.0238095238095237</v>
      </c>
      <c r="G4503" s="545">
        <v>1.1000000000000001</v>
      </c>
      <c r="H4503" s="545">
        <v>0.33333333333333331</v>
      </c>
      <c r="I4503" s="545">
        <v>0.33333333333333331</v>
      </c>
      <c r="J4503" s="545">
        <v>0.88095238095238082</v>
      </c>
    </row>
    <row r="4504" spans="1:10">
      <c r="A4504" s="441">
        <v>4496</v>
      </c>
      <c r="B4504" s="441" t="s">
        <v>4231</v>
      </c>
      <c r="C4504" s="545">
        <v>2.3333333333333335</v>
      </c>
      <c r="D4504" s="545">
        <v>3</v>
      </c>
      <c r="E4504" s="545">
        <v>2</v>
      </c>
      <c r="F4504" s="545">
        <v>2.3809523809523809</v>
      </c>
      <c r="G4504" s="545">
        <v>3.2</v>
      </c>
      <c r="H4504" s="545">
        <v>4.666666666666667</v>
      </c>
      <c r="I4504" s="545">
        <v>2</v>
      </c>
      <c r="J4504" s="545">
        <v>3.2380952380952381</v>
      </c>
    </row>
    <row r="4505" spans="1:10">
      <c r="A4505" s="441">
        <v>4524</v>
      </c>
      <c r="B4505" s="441" t="s">
        <v>4231</v>
      </c>
      <c r="C4505" s="545">
        <v>1</v>
      </c>
      <c r="D4505" s="545">
        <v>2</v>
      </c>
      <c r="E4505" s="545">
        <v>0.66666666666666663</v>
      </c>
      <c r="F4505" s="545">
        <v>1.0952380952380953</v>
      </c>
      <c r="G4505" s="545">
        <v>2</v>
      </c>
      <c r="H4505" s="545">
        <v>0.33333333333333331</v>
      </c>
      <c r="I4505" s="545">
        <v>2.6666666666666665</v>
      </c>
      <c r="J4505" s="545">
        <v>1.8571428571428572</v>
      </c>
    </row>
    <row r="4506" spans="1:10">
      <c r="A4506" s="441">
        <v>4522</v>
      </c>
      <c r="B4506" s="441" t="s">
        <v>4232</v>
      </c>
      <c r="C4506" s="545">
        <v>6.166666666666667</v>
      </c>
      <c r="D4506" s="545">
        <v>4.333333333333333</v>
      </c>
      <c r="E4506" s="545">
        <v>4.666666666666667</v>
      </c>
      <c r="F4506" s="545">
        <v>5.6904761904761907</v>
      </c>
      <c r="G4506" s="545">
        <v>3</v>
      </c>
      <c r="H4506" s="545">
        <v>0</v>
      </c>
      <c r="I4506" s="545">
        <v>2</v>
      </c>
      <c r="J4506" s="545">
        <v>2.4285714285714284</v>
      </c>
    </row>
    <row r="4507" spans="1:10">
      <c r="A4507" s="441">
        <v>11860</v>
      </c>
      <c r="B4507" s="441" t="s">
        <v>4232</v>
      </c>
      <c r="C4507" s="545">
        <v>5.666666666666667</v>
      </c>
      <c r="D4507" s="545">
        <v>6</v>
      </c>
      <c r="E4507" s="545">
        <v>1.3333333333333333</v>
      </c>
      <c r="F4507" s="545">
        <v>5.0952380952380958</v>
      </c>
      <c r="G4507" s="545">
        <v>1.8</v>
      </c>
      <c r="H4507" s="545">
        <v>2.3333333333333335</v>
      </c>
      <c r="I4507" s="545">
        <v>6.333333333333333</v>
      </c>
      <c r="J4507" s="545">
        <v>2.5238095238095242</v>
      </c>
    </row>
    <row r="4508" spans="1:10">
      <c r="A4508" s="441">
        <v>7737</v>
      </c>
      <c r="B4508" s="441" t="s">
        <v>4233</v>
      </c>
      <c r="C4508" s="545">
        <v>0.66666666666666663</v>
      </c>
      <c r="D4508" s="545">
        <v>0</v>
      </c>
      <c r="E4508" s="545">
        <v>0.33333333333333331</v>
      </c>
      <c r="F4508" s="545">
        <v>0.52380952380952384</v>
      </c>
      <c r="G4508" s="545">
        <v>0.25</v>
      </c>
      <c r="H4508" s="545">
        <v>0.33333333333333331</v>
      </c>
      <c r="I4508" s="545">
        <v>1</v>
      </c>
      <c r="J4508" s="545">
        <v>0.36904761904761901</v>
      </c>
    </row>
    <row r="4509" spans="1:10">
      <c r="A4509" s="441">
        <v>8307</v>
      </c>
      <c r="B4509" s="441" t="s">
        <v>4233</v>
      </c>
      <c r="C4509" s="545">
        <v>0.33333333333333331</v>
      </c>
      <c r="D4509" s="545">
        <v>0.33333333333333331</v>
      </c>
      <c r="E4509" s="545">
        <v>0.66666666666666663</v>
      </c>
      <c r="F4509" s="545">
        <v>0.38095238095238093</v>
      </c>
      <c r="G4509" s="545">
        <v>1.05</v>
      </c>
      <c r="H4509" s="545">
        <v>0.33333333333333331</v>
      </c>
      <c r="I4509" s="545">
        <v>0</v>
      </c>
      <c r="J4509" s="545">
        <v>0.79761904761904756</v>
      </c>
    </row>
    <row r="4510" spans="1:10">
      <c r="A4510" s="441">
        <v>4497</v>
      </c>
      <c r="B4510" s="441" t="s">
        <v>4234</v>
      </c>
      <c r="C4510" s="545">
        <v>0.83333333333333326</v>
      </c>
      <c r="D4510" s="545">
        <v>0</v>
      </c>
      <c r="E4510" s="545">
        <v>0.33333333333333331</v>
      </c>
      <c r="F4510" s="545">
        <v>0.64285714285714268</v>
      </c>
      <c r="G4510" s="545">
        <v>1.65</v>
      </c>
      <c r="H4510" s="545">
        <v>0</v>
      </c>
      <c r="I4510" s="545">
        <v>1</v>
      </c>
      <c r="J4510" s="545">
        <v>1.3214285714285714</v>
      </c>
    </row>
    <row r="4511" spans="1:10">
      <c r="A4511" s="441">
        <v>4523</v>
      </c>
      <c r="B4511" s="441" t="s">
        <v>4234</v>
      </c>
      <c r="C4511" s="545">
        <v>0.5</v>
      </c>
      <c r="D4511" s="545">
        <v>0.66666666666666663</v>
      </c>
      <c r="E4511" s="545">
        <v>0.66666666666666663</v>
      </c>
      <c r="F4511" s="545">
        <v>0.54761904761904756</v>
      </c>
      <c r="G4511" s="545">
        <v>2.2000000000000002</v>
      </c>
      <c r="H4511" s="545">
        <v>2.6666666666666665</v>
      </c>
      <c r="I4511" s="545">
        <v>0.66666666666666663</v>
      </c>
      <c r="J4511" s="545">
        <v>2.0476190476190474</v>
      </c>
    </row>
    <row r="4512" spans="1:10">
      <c r="A4512" s="441">
        <v>8299</v>
      </c>
      <c r="B4512" s="441" t="s">
        <v>4235</v>
      </c>
      <c r="C4512" s="545">
        <v>35.333333333333336</v>
      </c>
      <c r="D4512" s="545">
        <v>20</v>
      </c>
      <c r="E4512" s="545">
        <v>11.666666666666666</v>
      </c>
      <c r="F4512" s="545">
        <v>29.761904761904763</v>
      </c>
      <c r="G4512" s="545">
        <v>19.95</v>
      </c>
      <c r="H4512" s="545">
        <v>17.333333333333332</v>
      </c>
      <c r="I4512" s="545">
        <v>12.333333333333334</v>
      </c>
      <c r="J4512" s="545">
        <v>18.488095238095237</v>
      </c>
    </row>
    <row r="4513" spans="1:10">
      <c r="A4513" s="441">
        <v>8316</v>
      </c>
      <c r="B4513" s="441" t="s">
        <v>4236</v>
      </c>
      <c r="C4513" s="545">
        <v>26.666666666666664</v>
      </c>
      <c r="D4513" s="545">
        <v>32.333333333333336</v>
      </c>
      <c r="E4513" s="545">
        <v>16.333333333333332</v>
      </c>
      <c r="F4513" s="545">
        <v>26</v>
      </c>
      <c r="G4513" s="545">
        <v>15.15</v>
      </c>
      <c r="H4513" s="545">
        <v>12.666666666666666</v>
      </c>
      <c r="I4513" s="545">
        <v>6</v>
      </c>
      <c r="J4513" s="545">
        <v>13.488095238095239</v>
      </c>
    </row>
    <row r="4514" spans="1:10">
      <c r="A4514" s="441">
        <v>11558</v>
      </c>
      <c r="B4514" s="441" t="s">
        <v>4237</v>
      </c>
      <c r="C4514" s="545">
        <v>11.166666666666666</v>
      </c>
      <c r="D4514" s="545">
        <v>5.6666666666666661</v>
      </c>
      <c r="E4514" s="545">
        <v>7.333333333333333</v>
      </c>
      <c r="F4514" s="545">
        <v>9.8333333333333321</v>
      </c>
      <c r="G4514" s="545">
        <v>6.2</v>
      </c>
      <c r="H4514" s="545">
        <v>3.3333333333333335</v>
      </c>
      <c r="I4514" s="545">
        <v>3.3333333333333335</v>
      </c>
      <c r="J4514" s="545">
        <v>5.3809523809523814</v>
      </c>
    </row>
    <row r="4515" spans="1:10">
      <c r="A4515" s="441">
        <v>12478</v>
      </c>
      <c r="B4515" s="441" t="s">
        <v>4238</v>
      </c>
      <c r="C4515" s="545">
        <v>2.833333333333333</v>
      </c>
      <c r="D4515" s="545">
        <v>1</v>
      </c>
      <c r="E4515" s="545">
        <v>0.66666666666666663</v>
      </c>
      <c r="F4515" s="545">
        <v>2.2619047619047614</v>
      </c>
      <c r="G4515" s="545">
        <v>1.5</v>
      </c>
      <c r="H4515" s="545">
        <v>0.33333333333333331</v>
      </c>
      <c r="I4515" s="545">
        <v>0.33333333333333331</v>
      </c>
      <c r="J4515" s="545">
        <v>1.1666666666666665</v>
      </c>
    </row>
    <row r="4516" spans="1:10">
      <c r="A4516" s="441">
        <v>12479</v>
      </c>
      <c r="B4516" s="441" t="s">
        <v>4238</v>
      </c>
      <c r="C4516" s="545">
        <v>2.5</v>
      </c>
      <c r="D4516" s="545">
        <v>1</v>
      </c>
      <c r="E4516" s="545">
        <v>0.33333333333333331</v>
      </c>
      <c r="F4516" s="545">
        <v>1.9761904761904763</v>
      </c>
      <c r="G4516" s="545">
        <v>1</v>
      </c>
      <c r="H4516" s="545">
        <v>0.66666666666666663</v>
      </c>
      <c r="I4516" s="545">
        <v>0.33333333333333331</v>
      </c>
      <c r="J4516" s="545">
        <v>0.8571428571428571</v>
      </c>
    </row>
    <row r="4517" spans="1:10">
      <c r="A4517" s="441">
        <v>13151</v>
      </c>
      <c r="B4517" s="441" t="s">
        <v>4239</v>
      </c>
      <c r="C4517" s="545">
        <v>3.333333333333333</v>
      </c>
      <c r="D4517" s="545">
        <v>3.333333333333333</v>
      </c>
      <c r="E4517" s="545">
        <v>2.333333333333333</v>
      </c>
      <c r="F4517" s="545">
        <v>3.1904761904761898</v>
      </c>
      <c r="G4517" s="545">
        <v>3.75</v>
      </c>
      <c r="H4517" s="545">
        <v>2.6666666666666665</v>
      </c>
      <c r="I4517" s="545">
        <v>1</v>
      </c>
      <c r="J4517" s="545">
        <v>3.2023809523809526</v>
      </c>
    </row>
    <row r="4518" spans="1:10">
      <c r="A4518" s="441">
        <v>13140</v>
      </c>
      <c r="B4518" s="441" t="s">
        <v>4240</v>
      </c>
      <c r="C4518" s="545">
        <v>0.33333333333333331</v>
      </c>
      <c r="D4518" s="545">
        <v>0.66666666666666663</v>
      </c>
      <c r="E4518" s="545">
        <v>0.66666666666666663</v>
      </c>
      <c r="F4518" s="545">
        <v>0.42857142857142849</v>
      </c>
      <c r="G4518" s="545">
        <v>3.6</v>
      </c>
      <c r="H4518" s="545">
        <v>2</v>
      </c>
      <c r="I4518" s="545">
        <v>4</v>
      </c>
      <c r="J4518" s="545">
        <v>3.4285714285714284</v>
      </c>
    </row>
    <row r="4519" spans="1:10">
      <c r="A4519" s="441">
        <v>13149</v>
      </c>
      <c r="B4519" s="441" t="s">
        <v>4240</v>
      </c>
      <c r="C4519" s="545">
        <v>1.3333333333333335</v>
      </c>
      <c r="D4519" s="545">
        <v>0</v>
      </c>
      <c r="E4519" s="545">
        <v>2</v>
      </c>
      <c r="F4519" s="545">
        <v>1.2380952380952384</v>
      </c>
      <c r="G4519" s="545">
        <v>9.0500000000000007</v>
      </c>
      <c r="H4519" s="545">
        <v>4</v>
      </c>
      <c r="I4519" s="545">
        <v>1</v>
      </c>
      <c r="J4519" s="545">
        <v>7.1785714285714288</v>
      </c>
    </row>
    <row r="4520" spans="1:10">
      <c r="A4520" s="441">
        <v>12468</v>
      </c>
      <c r="B4520" s="441" t="s">
        <v>4241</v>
      </c>
      <c r="C4520" s="545" t="e">
        <v>#N/A</v>
      </c>
      <c r="D4520" s="545" t="e">
        <v>#N/A</v>
      </c>
      <c r="E4520" s="545" t="e">
        <v>#N/A</v>
      </c>
      <c r="F4520" s="545" t="e">
        <v>#N/A</v>
      </c>
      <c r="G4520" s="545">
        <v>0.5</v>
      </c>
      <c r="H4520" s="545">
        <v>2</v>
      </c>
      <c r="I4520" s="545">
        <v>0</v>
      </c>
      <c r="J4520" s="545">
        <v>0.6428571428571429</v>
      </c>
    </row>
    <row r="4521" spans="1:10">
      <c r="A4521" s="441">
        <v>12469</v>
      </c>
      <c r="B4521" s="441" t="s">
        <v>4241</v>
      </c>
      <c r="C4521" s="545" t="e">
        <v>#N/A</v>
      </c>
      <c r="D4521" s="545" t="e">
        <v>#N/A</v>
      </c>
      <c r="E4521" s="545" t="e">
        <v>#N/A</v>
      </c>
      <c r="F4521" s="545" t="e">
        <v>#N/A</v>
      </c>
      <c r="G4521" s="545">
        <v>1</v>
      </c>
      <c r="H4521" s="545">
        <v>0</v>
      </c>
      <c r="I4521" s="545">
        <v>0</v>
      </c>
      <c r="J4521" s="545">
        <v>0.7142857142857143</v>
      </c>
    </row>
    <row r="4522" spans="1:10">
      <c r="A4522" s="441">
        <v>2146</v>
      </c>
      <c r="B4522" s="441" t="s">
        <v>4242</v>
      </c>
      <c r="C4522" s="545">
        <v>39.333333333333336</v>
      </c>
      <c r="D4522" s="545">
        <v>23.666666666666668</v>
      </c>
      <c r="E4522" s="545">
        <v>25.333333333333336</v>
      </c>
      <c r="F4522" s="545">
        <v>35.095238095238095</v>
      </c>
      <c r="G4522" s="545">
        <v>19.649999999999999</v>
      </c>
      <c r="H4522" s="545">
        <v>18.333333333333332</v>
      </c>
      <c r="I4522" s="545">
        <v>13.666666666666666</v>
      </c>
      <c r="J4522" s="545">
        <v>18.607142857142858</v>
      </c>
    </row>
    <row r="4523" spans="1:10">
      <c r="A4523" s="441">
        <v>2159</v>
      </c>
      <c r="B4523" s="441" t="s">
        <v>4242</v>
      </c>
      <c r="C4523" s="545">
        <v>44.166666666666664</v>
      </c>
      <c r="D4523" s="545">
        <v>28</v>
      </c>
      <c r="E4523" s="545">
        <v>28</v>
      </c>
      <c r="F4523" s="545">
        <v>39.547619047619044</v>
      </c>
      <c r="G4523" s="545">
        <v>26</v>
      </c>
      <c r="H4523" s="545">
        <v>18.666666666666668</v>
      </c>
      <c r="I4523" s="545">
        <v>11.333333333333334</v>
      </c>
      <c r="J4523" s="545">
        <v>22.857142857142858</v>
      </c>
    </row>
    <row r="4524" spans="1:10">
      <c r="A4524" s="441">
        <v>1447</v>
      </c>
      <c r="B4524" s="441" t="s">
        <v>4243</v>
      </c>
      <c r="C4524" s="545">
        <v>8</v>
      </c>
      <c r="D4524" s="545">
        <v>7.6666666666666661</v>
      </c>
      <c r="E4524" s="545">
        <v>6.666666666666667</v>
      </c>
      <c r="F4524" s="545">
        <v>7.761904761904761</v>
      </c>
      <c r="G4524" s="545">
        <v>4.75</v>
      </c>
      <c r="H4524" s="545">
        <v>5.333333333333333</v>
      </c>
      <c r="I4524" s="545">
        <v>0.33333333333333331</v>
      </c>
      <c r="J4524" s="545">
        <v>4.2023809523809517</v>
      </c>
    </row>
    <row r="4525" spans="1:10">
      <c r="A4525" s="441">
        <v>2730</v>
      </c>
      <c r="B4525" s="441" t="s">
        <v>4244</v>
      </c>
      <c r="C4525" s="545">
        <v>4</v>
      </c>
      <c r="D4525" s="545">
        <v>1</v>
      </c>
      <c r="E4525" s="545">
        <v>2.6666666666666665</v>
      </c>
      <c r="F4525" s="545">
        <v>3.3809523809523809</v>
      </c>
      <c r="G4525" s="545">
        <v>3.75</v>
      </c>
      <c r="H4525" s="545">
        <v>4.333333333333333</v>
      </c>
      <c r="I4525" s="545">
        <v>0.66666666666666663</v>
      </c>
      <c r="J4525" s="545">
        <v>3.3928571428571428</v>
      </c>
    </row>
    <row r="4526" spans="1:10">
      <c r="A4526" s="441">
        <v>2737</v>
      </c>
      <c r="B4526" s="441" t="s">
        <v>4244</v>
      </c>
      <c r="C4526" s="545">
        <v>7.666666666666667</v>
      </c>
      <c r="D4526" s="545">
        <v>1.3333333333333333</v>
      </c>
      <c r="E4526" s="545">
        <v>4</v>
      </c>
      <c r="F4526" s="545">
        <v>6.238095238095239</v>
      </c>
      <c r="G4526" s="545">
        <v>1.5</v>
      </c>
      <c r="H4526" s="545">
        <v>2</v>
      </c>
      <c r="I4526" s="545">
        <v>0</v>
      </c>
      <c r="J4526" s="545">
        <v>1.3571428571428572</v>
      </c>
    </row>
    <row r="4527" spans="1:10">
      <c r="A4527" s="441">
        <v>9311</v>
      </c>
      <c r="B4527" s="441" t="s">
        <v>4245</v>
      </c>
      <c r="C4527" s="545">
        <v>20.833333333333336</v>
      </c>
      <c r="D4527" s="545">
        <v>10.666666666666668</v>
      </c>
      <c r="E4527" s="545">
        <v>7</v>
      </c>
      <c r="F4527" s="545">
        <v>17.404761904761909</v>
      </c>
      <c r="G4527" s="545">
        <v>18.05</v>
      </c>
      <c r="H4527" s="545">
        <v>10.333333333333334</v>
      </c>
      <c r="I4527" s="545">
        <v>6.666666666666667</v>
      </c>
      <c r="J4527" s="545">
        <v>15.321428571428571</v>
      </c>
    </row>
    <row r="4528" spans="1:10">
      <c r="A4528" s="441">
        <v>2710</v>
      </c>
      <c r="B4528" s="441" t="s">
        <v>4246</v>
      </c>
      <c r="C4528" s="545">
        <v>11.666666666666668</v>
      </c>
      <c r="D4528" s="545">
        <v>6</v>
      </c>
      <c r="E4528" s="545">
        <v>3.6666666666666665</v>
      </c>
      <c r="F4528" s="545">
        <v>9.7142857142857171</v>
      </c>
      <c r="G4528" s="545">
        <v>9</v>
      </c>
      <c r="H4528" s="545">
        <v>1.6666666666666667</v>
      </c>
      <c r="I4528" s="545">
        <v>1</v>
      </c>
      <c r="J4528" s="545">
        <v>6.8095238095238093</v>
      </c>
    </row>
    <row r="4529" spans="1:10">
      <c r="A4529" s="441">
        <v>2751</v>
      </c>
      <c r="B4529" s="441" t="s">
        <v>4246</v>
      </c>
      <c r="C4529" s="545">
        <v>17.166666666666668</v>
      </c>
      <c r="D4529" s="545">
        <v>5.333333333333333</v>
      </c>
      <c r="E4529" s="545">
        <v>6</v>
      </c>
      <c r="F4529" s="545">
        <v>13.880952380952381</v>
      </c>
      <c r="G4529" s="545">
        <v>9.5500000000000007</v>
      </c>
      <c r="H4529" s="545">
        <v>1.3333333333333333</v>
      </c>
      <c r="I4529" s="545">
        <v>0.33333333333333331</v>
      </c>
      <c r="J4529" s="545">
        <v>7.0595238095238102</v>
      </c>
    </row>
    <row r="4530" spans="1:10">
      <c r="A4530" s="441">
        <v>2701</v>
      </c>
      <c r="B4530" s="441" t="s">
        <v>4247</v>
      </c>
      <c r="C4530" s="545">
        <v>11.666666666666668</v>
      </c>
      <c r="D4530" s="545">
        <v>7.3333333333333339</v>
      </c>
      <c r="E4530" s="545">
        <v>5.666666666666667</v>
      </c>
      <c r="F4530" s="545">
        <v>10.190476190476192</v>
      </c>
      <c r="G4530" s="545">
        <v>3.65</v>
      </c>
      <c r="H4530" s="545">
        <v>3</v>
      </c>
      <c r="I4530" s="545">
        <v>0.66666666666666663</v>
      </c>
      <c r="J4530" s="545">
        <v>3.1309523809523809</v>
      </c>
    </row>
    <row r="4531" spans="1:10">
      <c r="A4531" s="441">
        <v>2760</v>
      </c>
      <c r="B4531" s="441" t="s">
        <v>4247</v>
      </c>
      <c r="C4531" s="545">
        <v>7.666666666666667</v>
      </c>
      <c r="D4531" s="545">
        <v>4.333333333333333</v>
      </c>
      <c r="E4531" s="545">
        <v>6.333333333333333</v>
      </c>
      <c r="F4531" s="545">
        <v>7.0000000000000009</v>
      </c>
      <c r="G4531" s="545">
        <v>3.95</v>
      </c>
      <c r="H4531" s="545">
        <v>3</v>
      </c>
      <c r="I4531" s="545">
        <v>1</v>
      </c>
      <c r="J4531" s="545">
        <v>3.3928571428571428</v>
      </c>
    </row>
    <row r="4532" spans="1:10">
      <c r="A4532" s="441">
        <v>2705</v>
      </c>
      <c r="B4532" s="441" t="s">
        <v>4248</v>
      </c>
      <c r="C4532" s="545">
        <v>1.5</v>
      </c>
      <c r="D4532" s="545">
        <v>3.333333333333333</v>
      </c>
      <c r="E4532" s="545">
        <v>1.3333333333333333</v>
      </c>
      <c r="F4532" s="545">
        <v>1.7380952380952379</v>
      </c>
      <c r="G4532" s="545">
        <v>0.55000000000000004</v>
      </c>
      <c r="H4532" s="545">
        <v>0.33333333333333331</v>
      </c>
      <c r="I4532" s="545">
        <v>0.33333333333333331</v>
      </c>
      <c r="J4532" s="545">
        <v>0.48809523809523814</v>
      </c>
    </row>
    <row r="4533" spans="1:10">
      <c r="A4533" s="441">
        <v>2756</v>
      </c>
      <c r="B4533" s="441" t="s">
        <v>4248</v>
      </c>
      <c r="C4533" s="545">
        <v>1.5</v>
      </c>
      <c r="D4533" s="545">
        <v>1</v>
      </c>
      <c r="E4533" s="545">
        <v>0</v>
      </c>
      <c r="F4533" s="545">
        <v>1.2142857142857142</v>
      </c>
      <c r="G4533" s="545">
        <v>1.3</v>
      </c>
      <c r="H4533" s="545">
        <v>0.66666666666666663</v>
      </c>
      <c r="I4533" s="545">
        <v>0.33333333333333331</v>
      </c>
      <c r="J4533" s="545">
        <v>1.0714285714285714</v>
      </c>
    </row>
    <row r="4534" spans="1:10">
      <c r="A4534" s="441">
        <v>2050</v>
      </c>
      <c r="B4534" s="441" t="s">
        <v>4249</v>
      </c>
      <c r="C4534" s="545">
        <v>13.833333333333334</v>
      </c>
      <c r="D4534" s="545">
        <v>4.3333333333333339</v>
      </c>
      <c r="E4534" s="545">
        <v>4</v>
      </c>
      <c r="F4534" s="545">
        <v>11.071428571428571</v>
      </c>
      <c r="G4534" s="545">
        <v>6.6</v>
      </c>
      <c r="H4534" s="545">
        <v>3.3333333333333335</v>
      </c>
      <c r="I4534" s="545">
        <v>2.3333333333333335</v>
      </c>
      <c r="J4534" s="545">
        <v>5.5238095238095246</v>
      </c>
    </row>
    <row r="4535" spans="1:10">
      <c r="A4535" s="441">
        <v>2071</v>
      </c>
      <c r="B4535" s="441" t="s">
        <v>4249</v>
      </c>
      <c r="C4535" s="545">
        <v>15.166666666666666</v>
      </c>
      <c r="D4535" s="545">
        <v>4.6666666666666661</v>
      </c>
      <c r="E4535" s="545">
        <v>6</v>
      </c>
      <c r="F4535" s="545">
        <v>12.357142857142858</v>
      </c>
      <c r="G4535" s="545">
        <v>7.95</v>
      </c>
      <c r="H4535" s="545">
        <v>6</v>
      </c>
      <c r="I4535" s="545">
        <v>4.333333333333333</v>
      </c>
      <c r="J4535" s="545">
        <v>7.1547619047619051</v>
      </c>
    </row>
    <row r="4536" spans="1:10">
      <c r="A4536" s="441">
        <v>1106</v>
      </c>
      <c r="B4536" s="441" t="s">
        <v>4250</v>
      </c>
      <c r="C4536" s="545">
        <v>47</v>
      </c>
      <c r="D4536" s="545">
        <v>16</v>
      </c>
      <c r="E4536" s="545">
        <v>26</v>
      </c>
      <c r="F4536" s="545">
        <v>39.571428571428569</v>
      </c>
      <c r="G4536" s="545">
        <v>23.3</v>
      </c>
      <c r="H4536" s="545">
        <v>18.333333333333332</v>
      </c>
      <c r="I4536" s="545">
        <v>7.666666666666667</v>
      </c>
      <c r="J4536" s="545">
        <v>20.357142857142858</v>
      </c>
    </row>
    <row r="4537" spans="1:10">
      <c r="A4537" s="441">
        <v>9320</v>
      </c>
      <c r="B4537" s="441" t="s">
        <v>4250</v>
      </c>
      <c r="C4537" s="545">
        <v>41.833333333333329</v>
      </c>
      <c r="D4537" s="545">
        <v>24.333333333333336</v>
      </c>
      <c r="E4537" s="545">
        <v>22.666666666666668</v>
      </c>
      <c r="F4537" s="545">
        <v>36.595238095238088</v>
      </c>
      <c r="G4537" s="545">
        <v>25.45</v>
      </c>
      <c r="H4537" s="545">
        <v>17.333333333333332</v>
      </c>
      <c r="I4537" s="545">
        <v>11.666666666666666</v>
      </c>
      <c r="J4537" s="545">
        <v>22.321428571428573</v>
      </c>
    </row>
    <row r="4538" spans="1:10">
      <c r="A4538" s="441">
        <v>2051</v>
      </c>
      <c r="B4538" s="441" t="s">
        <v>4251</v>
      </c>
      <c r="C4538" s="545">
        <v>72</v>
      </c>
      <c r="D4538" s="545">
        <v>52</v>
      </c>
      <c r="E4538" s="545">
        <v>52.333333333333329</v>
      </c>
      <c r="F4538" s="545">
        <v>66.333333333333329</v>
      </c>
      <c r="G4538" s="545">
        <v>42.9</v>
      </c>
      <c r="H4538" s="545">
        <v>40.666666666666664</v>
      </c>
      <c r="I4538" s="545">
        <v>19.666666666666668</v>
      </c>
      <c r="J4538" s="545">
        <v>39.261904761904759</v>
      </c>
    </row>
    <row r="4539" spans="1:10">
      <c r="A4539" s="441">
        <v>2070</v>
      </c>
      <c r="B4539" s="441" t="s">
        <v>4251</v>
      </c>
      <c r="C4539" s="545">
        <v>70.166666666666657</v>
      </c>
      <c r="D4539" s="545">
        <v>40.333333333333336</v>
      </c>
      <c r="E4539" s="545">
        <v>35.333333333333329</v>
      </c>
      <c r="F4539" s="545">
        <v>60.928571428571409</v>
      </c>
      <c r="G4539" s="545">
        <v>36.549999999999997</v>
      </c>
      <c r="H4539" s="545">
        <v>39.333333333333336</v>
      </c>
      <c r="I4539" s="545">
        <v>17</v>
      </c>
      <c r="J4539" s="545">
        <v>34.154761904761905</v>
      </c>
    </row>
    <row r="4540" spans="1:10">
      <c r="A4540" s="441">
        <v>1451</v>
      </c>
      <c r="B4540" s="441" t="s">
        <v>4252</v>
      </c>
      <c r="C4540" s="545">
        <v>27.166666666666664</v>
      </c>
      <c r="D4540" s="545">
        <v>11.666666666666668</v>
      </c>
      <c r="E4540" s="545">
        <v>7</v>
      </c>
      <c r="F4540" s="545">
        <v>22.071428571428566</v>
      </c>
      <c r="G4540" s="545">
        <v>13.75</v>
      </c>
      <c r="H4540" s="545">
        <v>8</v>
      </c>
      <c r="I4540" s="545">
        <v>4.333333333333333</v>
      </c>
      <c r="J4540" s="545">
        <v>11.583333333333332</v>
      </c>
    </row>
    <row r="4541" spans="1:10">
      <c r="A4541" s="441">
        <v>1452</v>
      </c>
      <c r="B4541" s="441" t="s">
        <v>4252</v>
      </c>
      <c r="C4541" s="545">
        <v>1.5</v>
      </c>
      <c r="D4541" s="545">
        <v>2.3333333333333335</v>
      </c>
      <c r="E4541" s="545">
        <v>0</v>
      </c>
      <c r="F4541" s="545">
        <v>1.4047619047619049</v>
      </c>
      <c r="G4541" s="545">
        <v>0.65</v>
      </c>
      <c r="H4541" s="545">
        <v>0.66666666666666663</v>
      </c>
      <c r="I4541" s="545">
        <v>0</v>
      </c>
      <c r="J4541" s="545">
        <v>0.55952380952380953</v>
      </c>
    </row>
    <row r="4542" spans="1:10">
      <c r="A4542" s="441">
        <v>1458</v>
      </c>
      <c r="B4542" s="441" t="s">
        <v>4252</v>
      </c>
      <c r="C4542" s="545">
        <v>16.166666666666664</v>
      </c>
      <c r="D4542" s="545">
        <v>15</v>
      </c>
      <c r="E4542" s="545">
        <v>10</v>
      </c>
      <c r="F4542" s="545">
        <v>15.119047619047617</v>
      </c>
      <c r="G4542" s="545">
        <v>11.3</v>
      </c>
      <c r="H4542" s="545">
        <v>10.666666666666666</v>
      </c>
      <c r="I4542" s="545">
        <v>5</v>
      </c>
      <c r="J4542" s="545">
        <v>10.30952380952381</v>
      </c>
    </row>
    <row r="4543" spans="1:10">
      <c r="A4543" s="441">
        <v>1459</v>
      </c>
      <c r="B4543" s="441" t="s">
        <v>4252</v>
      </c>
      <c r="C4543" s="545">
        <v>1.5</v>
      </c>
      <c r="D4543" s="545">
        <v>0.33333333333333331</v>
      </c>
      <c r="E4543" s="545">
        <v>0</v>
      </c>
      <c r="F4543" s="545">
        <v>1.1190476190476191</v>
      </c>
      <c r="G4543" s="545">
        <v>1</v>
      </c>
      <c r="H4543" s="545">
        <v>0.33333333333333331</v>
      </c>
      <c r="I4543" s="545">
        <v>0</v>
      </c>
      <c r="J4543" s="545">
        <v>0.76190476190476186</v>
      </c>
    </row>
    <row r="4544" spans="1:10">
      <c r="A4544" s="441">
        <v>10170</v>
      </c>
      <c r="B4544" s="441" t="s">
        <v>4252</v>
      </c>
      <c r="C4544" s="545">
        <v>1.8333333333333333</v>
      </c>
      <c r="D4544" s="545">
        <v>0.33333333333333331</v>
      </c>
      <c r="E4544" s="545">
        <v>0</v>
      </c>
      <c r="F4544" s="545">
        <v>1.3571428571428572</v>
      </c>
      <c r="G4544" s="545">
        <v>0.7</v>
      </c>
      <c r="H4544" s="545">
        <v>0</v>
      </c>
      <c r="I4544" s="545">
        <v>0</v>
      </c>
      <c r="J4544" s="545">
        <v>0.5</v>
      </c>
    </row>
    <row r="4545" spans="1:10">
      <c r="A4545" s="441">
        <v>2055</v>
      </c>
      <c r="B4545" s="441" t="s">
        <v>4253</v>
      </c>
      <c r="C4545" s="545">
        <v>54.166666666666671</v>
      </c>
      <c r="D4545" s="545">
        <v>51</v>
      </c>
      <c r="E4545" s="545">
        <v>35.666666666666671</v>
      </c>
      <c r="F4545" s="545">
        <v>51.071428571428577</v>
      </c>
      <c r="G4545" s="545">
        <v>27.35</v>
      </c>
      <c r="H4545" s="545">
        <v>26.666666666666668</v>
      </c>
      <c r="I4545" s="545">
        <v>15.666666666666666</v>
      </c>
      <c r="J4545" s="545">
        <v>25.583333333333332</v>
      </c>
    </row>
    <row r="4546" spans="1:10">
      <c r="A4546" s="441">
        <v>2066</v>
      </c>
      <c r="B4546" s="441" t="s">
        <v>4253</v>
      </c>
      <c r="C4546" s="545">
        <v>42.333333333333336</v>
      </c>
      <c r="D4546" s="545">
        <v>28.333333333333332</v>
      </c>
      <c r="E4546" s="545">
        <v>28.666666666666664</v>
      </c>
      <c r="F4546" s="545">
        <v>38.380952380952387</v>
      </c>
      <c r="G4546" s="545">
        <v>21.8</v>
      </c>
      <c r="H4546" s="545">
        <v>18.333333333333332</v>
      </c>
      <c r="I4546" s="545">
        <v>12</v>
      </c>
      <c r="J4546" s="545">
        <v>19.904761904761902</v>
      </c>
    </row>
    <row r="4547" spans="1:10">
      <c r="A4547" s="441">
        <v>2053</v>
      </c>
      <c r="B4547" s="441" t="s">
        <v>4254</v>
      </c>
      <c r="C4547" s="545">
        <v>51.666666666666664</v>
      </c>
      <c r="D4547" s="545">
        <v>30</v>
      </c>
      <c r="E4547" s="545">
        <v>34.666666666666671</v>
      </c>
      <c r="F4547" s="545">
        <v>46.142857142857146</v>
      </c>
      <c r="G4547" s="545">
        <v>38.200000000000003</v>
      </c>
      <c r="H4547" s="545">
        <v>31.333333333333332</v>
      </c>
      <c r="I4547" s="545">
        <v>18.333333333333332</v>
      </c>
      <c r="J4547" s="545">
        <v>34.380952380952387</v>
      </c>
    </row>
    <row r="4548" spans="1:10">
      <c r="A4548" s="441">
        <v>2068</v>
      </c>
      <c r="B4548" s="441" t="s">
        <v>4254</v>
      </c>
      <c r="C4548" s="545">
        <v>55.5</v>
      </c>
      <c r="D4548" s="545">
        <v>36.333333333333329</v>
      </c>
      <c r="E4548" s="545">
        <v>35</v>
      </c>
      <c r="F4548" s="545">
        <v>49.833333333333329</v>
      </c>
      <c r="G4548" s="545">
        <v>49.6</v>
      </c>
      <c r="H4548" s="545">
        <v>42.666666666666664</v>
      </c>
      <c r="I4548" s="545">
        <v>24.333333333333332</v>
      </c>
      <c r="J4548" s="545">
        <v>45</v>
      </c>
    </row>
    <row r="4549" spans="1:10">
      <c r="A4549" s="441">
        <v>1454</v>
      </c>
      <c r="B4549" s="441" t="s">
        <v>4255</v>
      </c>
      <c r="C4549" s="545">
        <v>10</v>
      </c>
      <c r="D4549" s="545">
        <v>4</v>
      </c>
      <c r="E4549" s="545">
        <v>2</v>
      </c>
      <c r="F4549" s="545">
        <v>8</v>
      </c>
      <c r="G4549" s="545">
        <v>5.8</v>
      </c>
      <c r="H4549" s="545">
        <v>4.666666666666667</v>
      </c>
      <c r="I4549" s="545">
        <v>1.6666666666666667</v>
      </c>
      <c r="J4549" s="545">
        <v>5.0476190476190466</v>
      </c>
    </row>
    <row r="4550" spans="1:10">
      <c r="A4550" s="441">
        <v>1455</v>
      </c>
      <c r="B4550" s="441" t="s">
        <v>4255</v>
      </c>
      <c r="C4550" s="545">
        <v>6.5</v>
      </c>
      <c r="D4550" s="545">
        <v>1.3333333333333333</v>
      </c>
      <c r="E4550" s="545">
        <v>0.66666666666666663</v>
      </c>
      <c r="F4550" s="545">
        <v>4.9285714285714288</v>
      </c>
      <c r="G4550" s="545">
        <v>7.15</v>
      </c>
      <c r="H4550" s="545">
        <v>1.6666666666666667</v>
      </c>
      <c r="I4550" s="545">
        <v>0.66666666666666663</v>
      </c>
      <c r="J4550" s="545">
        <v>5.4404761904761898</v>
      </c>
    </row>
    <row r="4551" spans="1:10">
      <c r="A4551" s="441">
        <v>2704</v>
      </c>
      <c r="B4551" s="441" t="s">
        <v>4256</v>
      </c>
      <c r="C4551" s="545">
        <v>1.8333333333333333</v>
      </c>
      <c r="D4551" s="545">
        <v>1</v>
      </c>
      <c r="E4551" s="545">
        <v>3</v>
      </c>
      <c r="F4551" s="545">
        <v>1.8809523809523809</v>
      </c>
      <c r="G4551" s="545">
        <v>0.65</v>
      </c>
      <c r="H4551" s="545">
        <v>0.33333333333333331</v>
      </c>
      <c r="I4551" s="545">
        <v>1.3333333333333333</v>
      </c>
      <c r="J4551" s="545">
        <v>0.70238095238095244</v>
      </c>
    </row>
    <row r="4552" spans="1:10">
      <c r="A4552" s="441">
        <v>2757</v>
      </c>
      <c r="B4552" s="441" t="s">
        <v>4256</v>
      </c>
      <c r="C4552" s="545">
        <v>1.6666666666666665</v>
      </c>
      <c r="D4552" s="545">
        <v>1.3333333333333333</v>
      </c>
      <c r="E4552" s="545">
        <v>1.6666666666666665</v>
      </c>
      <c r="F4552" s="545">
        <v>1.6190476190476188</v>
      </c>
      <c r="G4552" s="545">
        <v>1.85</v>
      </c>
      <c r="H4552" s="545">
        <v>1.3333333333333333</v>
      </c>
      <c r="I4552" s="545">
        <v>0</v>
      </c>
      <c r="J4552" s="545">
        <v>1.5119047619047621</v>
      </c>
    </row>
    <row r="4553" spans="1:10">
      <c r="A4553" s="441">
        <v>2709</v>
      </c>
      <c r="B4553" s="441" t="s">
        <v>4257</v>
      </c>
      <c r="C4553" s="545">
        <v>29.166666666666664</v>
      </c>
      <c r="D4553" s="545">
        <v>25</v>
      </c>
      <c r="E4553" s="545">
        <v>16.666666666666668</v>
      </c>
      <c r="F4553" s="545">
        <v>26.785714285714281</v>
      </c>
      <c r="G4553" s="545">
        <v>7.55</v>
      </c>
      <c r="H4553" s="545">
        <v>6</v>
      </c>
      <c r="I4553" s="545">
        <v>3.3333333333333335</v>
      </c>
      <c r="J4553" s="545">
        <v>6.7261904761904763</v>
      </c>
    </row>
    <row r="4554" spans="1:10">
      <c r="A4554" s="441">
        <v>2752</v>
      </c>
      <c r="B4554" s="441" t="s">
        <v>4257</v>
      </c>
      <c r="C4554" s="545">
        <v>22.833333333333332</v>
      </c>
      <c r="D4554" s="545">
        <v>13.333333333333332</v>
      </c>
      <c r="E4554" s="545">
        <v>14.666666666666666</v>
      </c>
      <c r="F4554" s="545">
        <v>20.309523809523807</v>
      </c>
      <c r="G4554" s="545">
        <v>9.4499999999999993</v>
      </c>
      <c r="H4554" s="545">
        <v>3.6666666666666665</v>
      </c>
      <c r="I4554" s="545">
        <v>3</v>
      </c>
      <c r="J4554" s="545">
        <v>7.7023809523809517</v>
      </c>
    </row>
    <row r="4555" spans="1:10">
      <c r="A4555" s="441">
        <v>9308</v>
      </c>
      <c r="B4555" s="441" t="s">
        <v>4258</v>
      </c>
      <c r="C4555" s="545">
        <v>17.333333333333332</v>
      </c>
      <c r="D4555" s="545">
        <v>2</v>
      </c>
      <c r="E4555" s="545">
        <v>2.666666666666667</v>
      </c>
      <c r="F4555" s="545">
        <v>13.047619047619047</v>
      </c>
      <c r="G4555" s="545">
        <v>28.75</v>
      </c>
      <c r="H4555" s="545">
        <v>21.333333333333332</v>
      </c>
      <c r="I4555" s="545">
        <v>6.333333333333333</v>
      </c>
      <c r="J4555" s="545">
        <v>24.488095238095241</v>
      </c>
    </row>
    <row r="4556" spans="1:10">
      <c r="A4556" s="441">
        <v>2707</v>
      </c>
      <c r="B4556" s="441" t="s">
        <v>4259</v>
      </c>
      <c r="C4556" s="545">
        <v>11.333333333333332</v>
      </c>
      <c r="D4556" s="545">
        <v>7.666666666666667</v>
      </c>
      <c r="E4556" s="545">
        <v>6.333333333333333</v>
      </c>
      <c r="F4556" s="545">
        <v>10.095238095238093</v>
      </c>
      <c r="G4556" s="545">
        <v>4.3</v>
      </c>
      <c r="H4556" s="545">
        <v>1</v>
      </c>
      <c r="I4556" s="545">
        <v>1.6666666666666667</v>
      </c>
      <c r="J4556" s="545">
        <v>3.4523809523809526</v>
      </c>
    </row>
    <row r="4557" spans="1:10">
      <c r="A4557" s="441">
        <v>2754</v>
      </c>
      <c r="B4557" s="441" t="s">
        <v>4259</v>
      </c>
      <c r="C4557" s="545">
        <v>15.333333333333334</v>
      </c>
      <c r="D4557" s="545">
        <v>8.6666666666666661</v>
      </c>
      <c r="E4557" s="545">
        <v>10.333333333333334</v>
      </c>
      <c r="F4557" s="545">
        <v>13.666666666666668</v>
      </c>
      <c r="G4557" s="545">
        <v>5.7</v>
      </c>
      <c r="H4557" s="545">
        <v>2</v>
      </c>
      <c r="I4557" s="545">
        <v>1.3333333333333333</v>
      </c>
      <c r="J4557" s="545">
        <v>4.5476190476190474</v>
      </c>
    </row>
    <row r="4558" spans="1:10">
      <c r="A4558" s="441">
        <v>10171</v>
      </c>
      <c r="B4558" s="441" t="s">
        <v>4260</v>
      </c>
      <c r="C4558" s="545">
        <v>54.166666666666671</v>
      </c>
      <c r="D4558" s="545">
        <v>29</v>
      </c>
      <c r="E4558" s="545">
        <v>30.333333333333332</v>
      </c>
      <c r="F4558" s="545">
        <v>47.166666666666671</v>
      </c>
      <c r="G4558" s="545">
        <v>34</v>
      </c>
      <c r="H4558" s="545">
        <v>16</v>
      </c>
      <c r="I4558" s="545">
        <v>8.3333333333333339</v>
      </c>
      <c r="J4558" s="545">
        <v>27.761904761904763</v>
      </c>
    </row>
    <row r="4559" spans="1:10">
      <c r="A4559" s="441">
        <v>2700</v>
      </c>
      <c r="B4559" s="441" t="s">
        <v>4261</v>
      </c>
      <c r="C4559" s="545">
        <v>4.8333333333333339</v>
      </c>
      <c r="D4559" s="545">
        <v>5.3333333333333339</v>
      </c>
      <c r="E4559" s="545">
        <v>4.333333333333333</v>
      </c>
      <c r="F4559" s="545">
        <v>4.8333333333333348</v>
      </c>
      <c r="G4559" s="545">
        <v>5.55</v>
      </c>
      <c r="H4559" s="545">
        <v>2.6666666666666665</v>
      </c>
      <c r="I4559" s="545">
        <v>0.66666666666666663</v>
      </c>
      <c r="J4559" s="545">
        <v>4.4404761904761907</v>
      </c>
    </row>
    <row r="4560" spans="1:10">
      <c r="A4560" s="441">
        <v>2761</v>
      </c>
      <c r="B4560" s="441" t="s">
        <v>4261</v>
      </c>
      <c r="C4560" s="545">
        <v>8.8333333333333339</v>
      </c>
      <c r="D4560" s="545">
        <v>7.6666666666666661</v>
      </c>
      <c r="E4560" s="545">
        <v>4.666666666666667</v>
      </c>
      <c r="F4560" s="545">
        <v>8.0714285714285712</v>
      </c>
      <c r="G4560" s="545">
        <v>2.35</v>
      </c>
      <c r="H4560" s="545">
        <v>2.3333333333333335</v>
      </c>
      <c r="I4560" s="545">
        <v>0.66666666666666663</v>
      </c>
      <c r="J4560" s="545">
        <v>2.1071428571428572</v>
      </c>
    </row>
    <row r="4561" spans="1:10">
      <c r="A4561" s="441">
        <v>1108</v>
      </c>
      <c r="B4561" s="441" t="s">
        <v>4262</v>
      </c>
      <c r="C4561" s="545">
        <v>108.16666666666667</v>
      </c>
      <c r="D4561" s="545">
        <v>76.333333333333343</v>
      </c>
      <c r="E4561" s="545">
        <v>50.666666666666671</v>
      </c>
      <c r="F4561" s="545">
        <v>95.404761904761912</v>
      </c>
      <c r="G4561" s="545">
        <v>56.65</v>
      </c>
      <c r="H4561" s="545">
        <v>46.666666666666664</v>
      </c>
      <c r="I4561" s="545">
        <v>22.666666666666668</v>
      </c>
      <c r="J4561" s="545">
        <v>50.369047619047628</v>
      </c>
    </row>
    <row r="4562" spans="1:10">
      <c r="A4562" s="441">
        <v>1453</v>
      </c>
      <c r="B4562" s="441" t="s">
        <v>4263</v>
      </c>
      <c r="C4562" s="545">
        <v>15.5</v>
      </c>
      <c r="D4562" s="545">
        <v>8</v>
      </c>
      <c r="E4562" s="545">
        <v>2.3333333333333335</v>
      </c>
      <c r="F4562" s="545">
        <v>12.547619047619047</v>
      </c>
      <c r="G4562" s="545">
        <v>10.050000000000001</v>
      </c>
      <c r="H4562" s="545">
        <v>3.6666666666666665</v>
      </c>
      <c r="I4562" s="545">
        <v>1.3333333333333333</v>
      </c>
      <c r="J4562" s="545">
        <v>7.8928571428571432</v>
      </c>
    </row>
    <row r="4563" spans="1:10">
      <c r="A4563" s="441">
        <v>1456</v>
      </c>
      <c r="B4563" s="441" t="s">
        <v>4263</v>
      </c>
      <c r="C4563" s="545">
        <v>15.833333333333334</v>
      </c>
      <c r="D4563" s="545">
        <v>3.3333333333333335</v>
      </c>
      <c r="E4563" s="545">
        <v>1.3333333333333333</v>
      </c>
      <c r="F4563" s="545">
        <v>11.976190476190476</v>
      </c>
      <c r="G4563" s="545">
        <v>8.1</v>
      </c>
      <c r="H4563" s="545">
        <v>2.6666666666666665</v>
      </c>
      <c r="I4563" s="545">
        <v>0</v>
      </c>
      <c r="J4563" s="545">
        <v>6.1666666666666661</v>
      </c>
    </row>
    <row r="4564" spans="1:10">
      <c r="A4564" s="441">
        <v>1457</v>
      </c>
      <c r="B4564" s="441" t="s">
        <v>4263</v>
      </c>
      <c r="C4564" s="545">
        <v>6.6666666666666661</v>
      </c>
      <c r="D4564" s="545">
        <v>10.666666666666666</v>
      </c>
      <c r="E4564" s="545">
        <v>1</v>
      </c>
      <c r="F4564" s="545">
        <v>6.4285714285714279</v>
      </c>
      <c r="G4564" s="545">
        <v>6.1</v>
      </c>
      <c r="H4564" s="545">
        <v>2.3333333333333335</v>
      </c>
      <c r="I4564" s="545">
        <v>0.66666666666666663</v>
      </c>
      <c r="J4564" s="545">
        <v>4.7857142857142856</v>
      </c>
    </row>
    <row r="4565" spans="1:10">
      <c r="A4565" s="441">
        <v>2060</v>
      </c>
      <c r="B4565" s="441" t="s">
        <v>4264</v>
      </c>
      <c r="C4565" s="545">
        <v>10</v>
      </c>
      <c r="D4565" s="545">
        <v>13</v>
      </c>
      <c r="E4565" s="545">
        <v>14</v>
      </c>
      <c r="F4565" s="545">
        <v>11</v>
      </c>
      <c r="G4565" s="545">
        <v>8.75</v>
      </c>
      <c r="H4565" s="545">
        <v>3.3333333333333335</v>
      </c>
      <c r="I4565" s="545">
        <v>5</v>
      </c>
      <c r="J4565" s="545">
        <v>7.4404761904761907</v>
      </c>
    </row>
    <row r="4566" spans="1:10">
      <c r="A4566" s="441">
        <v>2061</v>
      </c>
      <c r="B4566" s="441" t="s">
        <v>4264</v>
      </c>
      <c r="C4566" s="545">
        <v>8</v>
      </c>
      <c r="D4566" s="545">
        <v>10.333333333333334</v>
      </c>
      <c r="E4566" s="545">
        <v>3.333333333333333</v>
      </c>
      <c r="F4566" s="545">
        <v>7.666666666666667</v>
      </c>
      <c r="G4566" s="545">
        <v>5.4</v>
      </c>
      <c r="H4566" s="545">
        <v>5</v>
      </c>
      <c r="I4566" s="545">
        <v>1.3333333333333333</v>
      </c>
      <c r="J4566" s="545">
        <v>4.7619047619047619</v>
      </c>
    </row>
    <row r="4567" spans="1:10">
      <c r="A4567" s="441">
        <v>2699</v>
      </c>
      <c r="B4567" s="441" t="s">
        <v>4265</v>
      </c>
      <c r="C4567" s="545">
        <v>7</v>
      </c>
      <c r="D4567" s="545">
        <v>7.333333333333333</v>
      </c>
      <c r="E4567" s="545">
        <v>5.6666666666666661</v>
      </c>
      <c r="F4567" s="545">
        <v>6.8571428571428568</v>
      </c>
      <c r="G4567" s="545">
        <v>4.0999999999999996</v>
      </c>
      <c r="H4567" s="545">
        <v>7</v>
      </c>
      <c r="I4567" s="545">
        <v>0.33333333333333331</v>
      </c>
      <c r="J4567" s="545">
        <v>3.9761904761904758</v>
      </c>
    </row>
    <row r="4568" spans="1:10">
      <c r="A4568" s="441">
        <v>13054</v>
      </c>
      <c r="B4568" s="441" t="s">
        <v>4265</v>
      </c>
      <c r="C4568" s="545">
        <v>19.666666666666668</v>
      </c>
      <c r="D4568" s="545">
        <v>18</v>
      </c>
      <c r="E4568" s="545">
        <v>11</v>
      </c>
      <c r="F4568" s="545">
        <v>18.190476190476193</v>
      </c>
      <c r="G4568" s="545">
        <v>9.15</v>
      </c>
      <c r="H4568" s="545">
        <v>5.333333333333333</v>
      </c>
      <c r="I4568" s="545">
        <v>1.3333333333333333</v>
      </c>
      <c r="J4568" s="545">
        <v>7.488095238095239</v>
      </c>
    </row>
    <row r="4569" spans="1:10">
      <c r="A4569" s="441">
        <v>9309</v>
      </c>
      <c r="B4569" s="441" t="s">
        <v>4266</v>
      </c>
      <c r="C4569" s="545">
        <v>56.333333333333329</v>
      </c>
      <c r="D4569" s="545">
        <v>11.333333333333334</v>
      </c>
      <c r="E4569" s="545">
        <v>1</v>
      </c>
      <c r="F4569" s="545">
        <v>41.999999999999993</v>
      </c>
      <c r="G4569" s="545">
        <v>49.5</v>
      </c>
      <c r="H4569" s="545">
        <v>20.666666666666668</v>
      </c>
      <c r="I4569" s="545">
        <v>2.6666666666666665</v>
      </c>
      <c r="J4569" s="545">
        <v>38.690476190476197</v>
      </c>
    </row>
    <row r="4570" spans="1:10">
      <c r="A4570" s="441">
        <v>2732</v>
      </c>
      <c r="B4570" s="441" t="s">
        <v>4267</v>
      </c>
      <c r="C4570" s="545">
        <v>161.83333333333331</v>
      </c>
      <c r="D4570" s="545">
        <v>108</v>
      </c>
      <c r="E4570" s="545">
        <v>72.333333333333329</v>
      </c>
      <c r="F4570" s="545">
        <v>141.35714285714283</v>
      </c>
      <c r="G4570" s="545">
        <v>101.15</v>
      </c>
      <c r="H4570" s="545">
        <v>101.33333333333333</v>
      </c>
      <c r="I4570" s="545">
        <v>54.666666666666664</v>
      </c>
      <c r="J4570" s="545">
        <v>94.535714285714292</v>
      </c>
    </row>
    <row r="4571" spans="1:10">
      <c r="A4571" s="441">
        <v>2735</v>
      </c>
      <c r="B4571" s="441" t="s">
        <v>4267</v>
      </c>
      <c r="C4571" s="545">
        <v>150.66666666666669</v>
      </c>
      <c r="D4571" s="545">
        <v>108</v>
      </c>
      <c r="E4571" s="545">
        <v>86</v>
      </c>
      <c r="F4571" s="545">
        <v>135.33333333333334</v>
      </c>
      <c r="G4571" s="545">
        <v>85.75</v>
      </c>
      <c r="H4571" s="545">
        <v>86.333333333333329</v>
      </c>
      <c r="I4571" s="545">
        <v>50.333333333333336</v>
      </c>
      <c r="J4571" s="545">
        <v>80.773809523809533</v>
      </c>
    </row>
    <row r="4572" spans="1:10">
      <c r="A4572" s="441">
        <v>2736</v>
      </c>
      <c r="B4572" s="441" t="s">
        <v>4267</v>
      </c>
      <c r="C4572" s="545">
        <v>29.833333333333332</v>
      </c>
      <c r="D4572" s="545">
        <v>26.333333333333332</v>
      </c>
      <c r="E4572" s="545">
        <v>18.666666666666664</v>
      </c>
      <c r="F4572" s="545">
        <v>27.738095238095237</v>
      </c>
      <c r="G4572" s="545">
        <v>12.25</v>
      </c>
      <c r="H4572" s="545">
        <v>7.333333333333333</v>
      </c>
      <c r="I4572" s="545">
        <v>2.3333333333333335</v>
      </c>
      <c r="J4572" s="545">
        <v>10.13095238095238</v>
      </c>
    </row>
    <row r="4573" spans="1:10">
      <c r="A4573" s="441">
        <v>2703</v>
      </c>
      <c r="B4573" s="441" t="s">
        <v>4268</v>
      </c>
      <c r="C4573" s="545">
        <v>31.166666666666668</v>
      </c>
      <c r="D4573" s="545">
        <v>30.666666666666668</v>
      </c>
      <c r="E4573" s="545">
        <v>19.666666666666668</v>
      </c>
      <c r="F4573" s="545">
        <v>29.452380952380953</v>
      </c>
      <c r="G4573" s="545">
        <v>13.9</v>
      </c>
      <c r="H4573" s="545">
        <v>9.3333333333333339</v>
      </c>
      <c r="I4573" s="545">
        <v>3.3333333333333335</v>
      </c>
      <c r="J4573" s="545">
        <v>11.738095238095237</v>
      </c>
    </row>
    <row r="4574" spans="1:10">
      <c r="A4574" s="441">
        <v>2758</v>
      </c>
      <c r="B4574" s="441" t="s">
        <v>4268</v>
      </c>
      <c r="C4574" s="545">
        <v>21.666666666666668</v>
      </c>
      <c r="D4574" s="545">
        <v>17</v>
      </c>
      <c r="E4574" s="545">
        <v>14.333333333333332</v>
      </c>
      <c r="F4574" s="545">
        <v>19.952380952380956</v>
      </c>
      <c r="G4574" s="545">
        <v>6.05</v>
      </c>
      <c r="H4574" s="545">
        <v>8.6666666666666661</v>
      </c>
      <c r="I4574" s="545">
        <v>3.6666666666666665</v>
      </c>
      <c r="J4574" s="545">
        <v>6.083333333333333</v>
      </c>
    </row>
    <row r="4575" spans="1:10">
      <c r="A4575" s="441">
        <v>2759</v>
      </c>
      <c r="B4575" s="441" t="s">
        <v>4268</v>
      </c>
      <c r="C4575" s="545">
        <v>3.8333333333333335</v>
      </c>
      <c r="D4575" s="545">
        <v>2.3333333333333335</v>
      </c>
      <c r="E4575" s="545">
        <v>2</v>
      </c>
      <c r="F4575" s="545">
        <v>3.3571428571428572</v>
      </c>
      <c r="G4575" s="545">
        <v>2.4</v>
      </c>
      <c r="H4575" s="545">
        <v>1.6666666666666667</v>
      </c>
      <c r="I4575" s="545">
        <v>0</v>
      </c>
      <c r="J4575" s="545">
        <v>1.9523809523809523</v>
      </c>
    </row>
    <row r="4576" spans="1:10">
      <c r="A4576" s="441">
        <v>12896</v>
      </c>
      <c r="B4576" s="441" t="s">
        <v>4269</v>
      </c>
      <c r="C4576" s="545">
        <v>438.5</v>
      </c>
      <c r="D4576" s="545">
        <v>268</v>
      </c>
      <c r="E4576" s="545">
        <v>190</v>
      </c>
      <c r="F4576" s="545">
        <v>378.64285714285717</v>
      </c>
      <c r="G4576" s="545">
        <v>223.45</v>
      </c>
      <c r="H4576" s="545">
        <v>157</v>
      </c>
      <c r="I4576" s="545">
        <v>84</v>
      </c>
      <c r="J4576" s="545">
        <v>194.03571428571428</v>
      </c>
    </row>
    <row r="4577" spans="1:10">
      <c r="A4577" s="441">
        <v>12897</v>
      </c>
      <c r="B4577" s="441" t="s">
        <v>4269</v>
      </c>
      <c r="C4577" s="545">
        <v>382.16666666666663</v>
      </c>
      <c r="D4577" s="545">
        <v>247.66666666666669</v>
      </c>
      <c r="E4577" s="545">
        <v>161.66666666666669</v>
      </c>
      <c r="F4577" s="545">
        <v>331.45238095238085</v>
      </c>
      <c r="G4577" s="545">
        <v>201.9</v>
      </c>
      <c r="H4577" s="545">
        <v>155.33333333333334</v>
      </c>
      <c r="I4577" s="545">
        <v>88.333333333333329</v>
      </c>
      <c r="J4577" s="545">
        <v>179.02380952380949</v>
      </c>
    </row>
    <row r="4578" spans="1:10">
      <c r="A4578" s="441">
        <v>2054</v>
      </c>
      <c r="B4578" s="441" t="s">
        <v>4270</v>
      </c>
      <c r="C4578" s="545">
        <v>25.333333333333336</v>
      </c>
      <c r="D4578" s="545">
        <v>16</v>
      </c>
      <c r="E4578" s="545">
        <v>12</v>
      </c>
      <c r="F4578" s="545">
        <v>22.095238095238098</v>
      </c>
      <c r="G4578" s="545">
        <v>17.25</v>
      </c>
      <c r="H4578" s="545">
        <v>10.333333333333334</v>
      </c>
      <c r="I4578" s="545">
        <v>10</v>
      </c>
      <c r="J4578" s="545">
        <v>15.226190476190476</v>
      </c>
    </row>
    <row r="4579" spans="1:10">
      <c r="A4579" s="441">
        <v>2067</v>
      </c>
      <c r="B4579" s="441" t="s">
        <v>4270</v>
      </c>
      <c r="C4579" s="545">
        <v>21.166666666666668</v>
      </c>
      <c r="D4579" s="545">
        <v>16</v>
      </c>
      <c r="E4579" s="545">
        <v>14.333333333333332</v>
      </c>
      <c r="F4579" s="545">
        <v>19.452380952380956</v>
      </c>
      <c r="G4579" s="545">
        <v>7.45</v>
      </c>
      <c r="H4579" s="545">
        <v>2.6666666666666665</v>
      </c>
      <c r="I4579" s="545">
        <v>3.3333333333333335</v>
      </c>
      <c r="J4579" s="545">
        <v>6.1785714285714288</v>
      </c>
    </row>
    <row r="4580" spans="1:10">
      <c r="A4580" s="441">
        <v>2052</v>
      </c>
      <c r="B4580" s="441" t="s">
        <v>4271</v>
      </c>
      <c r="C4580" s="545">
        <v>11.5</v>
      </c>
      <c r="D4580" s="545">
        <v>4.666666666666667</v>
      </c>
      <c r="E4580" s="545">
        <v>2.3333333333333335</v>
      </c>
      <c r="F4580" s="545">
        <v>9.2142857142857135</v>
      </c>
      <c r="G4580" s="545">
        <v>4.5</v>
      </c>
      <c r="H4580" s="545">
        <v>3.6666666666666665</v>
      </c>
      <c r="I4580" s="545">
        <v>2.3333333333333335</v>
      </c>
      <c r="J4580" s="545">
        <v>4.0714285714285712</v>
      </c>
    </row>
    <row r="4581" spans="1:10">
      <c r="A4581" s="441">
        <v>2069</v>
      </c>
      <c r="B4581" s="441" t="s">
        <v>4271</v>
      </c>
      <c r="C4581" s="545">
        <v>3.3333333333333335</v>
      </c>
      <c r="D4581" s="545">
        <v>1.3333333333333333</v>
      </c>
      <c r="E4581" s="545">
        <v>2.6666666666666665</v>
      </c>
      <c r="F4581" s="545">
        <v>2.9523809523809526</v>
      </c>
      <c r="G4581" s="545">
        <v>2.75</v>
      </c>
      <c r="H4581" s="545">
        <v>2.3333333333333335</v>
      </c>
      <c r="I4581" s="545">
        <v>0.66666666666666663</v>
      </c>
      <c r="J4581" s="545">
        <v>2.3928571428571428</v>
      </c>
    </row>
    <row r="4582" spans="1:10">
      <c r="A4582" s="441">
        <v>2047</v>
      </c>
      <c r="B4582" s="441" t="s">
        <v>4272</v>
      </c>
      <c r="C4582" s="545">
        <v>12.5</v>
      </c>
      <c r="D4582" s="545">
        <v>18.333333333333332</v>
      </c>
      <c r="E4582" s="545">
        <v>9.6666666666666661</v>
      </c>
      <c r="F4582" s="545">
        <v>12.928571428571429</v>
      </c>
      <c r="G4582" s="545">
        <v>10.85</v>
      </c>
      <c r="H4582" s="545">
        <v>10.333333333333334</v>
      </c>
      <c r="I4582" s="545">
        <v>4.333333333333333</v>
      </c>
      <c r="J4582" s="545">
        <v>9.8452380952380931</v>
      </c>
    </row>
    <row r="4583" spans="1:10">
      <c r="A4583" s="441">
        <v>2074</v>
      </c>
      <c r="B4583" s="441" t="s">
        <v>4272</v>
      </c>
      <c r="C4583" s="545">
        <v>15.666666666666668</v>
      </c>
      <c r="D4583" s="545">
        <v>6</v>
      </c>
      <c r="E4583" s="545">
        <v>4</v>
      </c>
      <c r="F4583" s="545">
        <v>12.61904761904762</v>
      </c>
      <c r="G4583" s="545">
        <v>7.1</v>
      </c>
      <c r="H4583" s="545">
        <v>6</v>
      </c>
      <c r="I4583" s="545">
        <v>1.6666666666666667</v>
      </c>
      <c r="J4583" s="545">
        <v>6.1666666666666661</v>
      </c>
    </row>
    <row r="4584" spans="1:10">
      <c r="A4584" s="441">
        <v>2059</v>
      </c>
      <c r="B4584" s="441" t="s">
        <v>4273</v>
      </c>
      <c r="C4584" s="545">
        <v>17.166666666666668</v>
      </c>
      <c r="D4584" s="545">
        <v>13.333333333333334</v>
      </c>
      <c r="E4584" s="545">
        <v>8</v>
      </c>
      <c r="F4584" s="545">
        <v>15.30952380952381</v>
      </c>
      <c r="G4584" s="545">
        <v>12.9</v>
      </c>
      <c r="H4584" s="545">
        <v>9.3333333333333339</v>
      </c>
      <c r="I4584" s="545">
        <v>9</v>
      </c>
      <c r="J4584" s="545">
        <v>11.833333333333332</v>
      </c>
    </row>
    <row r="4585" spans="1:10">
      <c r="A4585" s="441">
        <v>2062</v>
      </c>
      <c r="B4585" s="441" t="s">
        <v>4273</v>
      </c>
      <c r="C4585" s="545">
        <v>11.333333333333334</v>
      </c>
      <c r="D4585" s="545">
        <v>9</v>
      </c>
      <c r="E4585" s="545">
        <v>4.6666666666666661</v>
      </c>
      <c r="F4585" s="545">
        <v>10.047619047619049</v>
      </c>
      <c r="G4585" s="545">
        <v>5.3</v>
      </c>
      <c r="H4585" s="545">
        <v>7.666666666666667</v>
      </c>
      <c r="I4585" s="545">
        <v>2</v>
      </c>
      <c r="J4585" s="545">
        <v>5.1666666666666661</v>
      </c>
    </row>
    <row r="4586" spans="1:10">
      <c r="A4586" s="441">
        <v>2733</v>
      </c>
      <c r="B4586" s="441" t="s">
        <v>4274</v>
      </c>
      <c r="C4586" s="545">
        <v>28.166666666666664</v>
      </c>
      <c r="D4586" s="545">
        <v>23</v>
      </c>
      <c r="E4586" s="545">
        <v>17.333333333333332</v>
      </c>
      <c r="F4586" s="545">
        <v>25.88095238095238</v>
      </c>
      <c r="G4586" s="545">
        <v>22</v>
      </c>
      <c r="H4586" s="545">
        <v>15</v>
      </c>
      <c r="I4586" s="545">
        <v>11</v>
      </c>
      <c r="J4586" s="545">
        <v>19.428571428571427</v>
      </c>
    </row>
    <row r="4587" spans="1:10">
      <c r="A4587" s="441">
        <v>2734</v>
      </c>
      <c r="B4587" s="441" t="s">
        <v>4274</v>
      </c>
      <c r="C4587" s="545">
        <v>31.333333333333336</v>
      </c>
      <c r="D4587" s="545">
        <v>18.333333333333332</v>
      </c>
      <c r="E4587" s="545">
        <v>13.333333333333332</v>
      </c>
      <c r="F4587" s="545">
        <v>26.904761904761909</v>
      </c>
      <c r="G4587" s="545">
        <v>19.3</v>
      </c>
      <c r="H4587" s="545">
        <v>18</v>
      </c>
      <c r="I4587" s="545">
        <v>8</v>
      </c>
      <c r="J4587" s="545">
        <v>17.5</v>
      </c>
    </row>
    <row r="4588" spans="1:10">
      <c r="A4588" s="441">
        <v>1104</v>
      </c>
      <c r="B4588" s="441" t="s">
        <v>4275</v>
      </c>
      <c r="C4588" s="545">
        <v>21.5</v>
      </c>
      <c r="D4588" s="545">
        <v>4.666666666666667</v>
      </c>
      <c r="E4588" s="545">
        <v>4</v>
      </c>
      <c r="F4588" s="545">
        <v>16.595238095238095</v>
      </c>
      <c r="G4588" s="545">
        <v>12.8</v>
      </c>
      <c r="H4588" s="545">
        <v>3</v>
      </c>
      <c r="I4588" s="545">
        <v>3.3333333333333335</v>
      </c>
      <c r="J4588" s="545">
        <v>10.047619047619047</v>
      </c>
    </row>
    <row r="4589" spans="1:10">
      <c r="A4589" s="441">
        <v>9322</v>
      </c>
      <c r="B4589" s="441" t="s">
        <v>4275</v>
      </c>
      <c r="C4589" s="545">
        <v>32.166666666666671</v>
      </c>
      <c r="D4589" s="545">
        <v>18.666666666666664</v>
      </c>
      <c r="E4589" s="545">
        <v>12.666666666666666</v>
      </c>
      <c r="F4589" s="545">
        <v>27.452380952380956</v>
      </c>
      <c r="G4589" s="545">
        <v>15.35</v>
      </c>
      <c r="H4589" s="545">
        <v>7.666666666666667</v>
      </c>
      <c r="I4589" s="545">
        <v>3.6666666666666665</v>
      </c>
      <c r="J4589" s="545">
        <v>12.583333333333334</v>
      </c>
    </row>
    <row r="4590" spans="1:10">
      <c r="A4590" s="441">
        <v>2058</v>
      </c>
      <c r="B4590" s="441" t="s">
        <v>4276</v>
      </c>
      <c r="C4590" s="545">
        <v>10.5</v>
      </c>
      <c r="D4590" s="545">
        <v>7</v>
      </c>
      <c r="E4590" s="545">
        <v>5.333333333333333</v>
      </c>
      <c r="F4590" s="545">
        <v>9.261904761904761</v>
      </c>
      <c r="G4590" s="545">
        <v>13.35</v>
      </c>
      <c r="H4590" s="545">
        <v>9.6666666666666661</v>
      </c>
      <c r="I4590" s="545">
        <v>2.6666666666666665</v>
      </c>
      <c r="J4590" s="545">
        <v>11.297619047619049</v>
      </c>
    </row>
    <row r="4591" spans="1:10">
      <c r="A4591" s="441">
        <v>10161</v>
      </c>
      <c r="B4591" s="441" t="s">
        <v>4276</v>
      </c>
      <c r="C4591" s="545">
        <v>24.666666666666668</v>
      </c>
      <c r="D4591" s="545">
        <v>19.666666666666668</v>
      </c>
      <c r="E4591" s="545">
        <v>14</v>
      </c>
      <c r="F4591" s="545">
        <v>22.428571428571427</v>
      </c>
      <c r="G4591" s="545">
        <v>16.100000000000001</v>
      </c>
      <c r="H4591" s="545">
        <v>12.333333333333334</v>
      </c>
      <c r="I4591" s="545">
        <v>5.666666666666667</v>
      </c>
      <c r="J4591" s="545">
        <v>14.071428571428571</v>
      </c>
    </row>
    <row r="4592" spans="1:10">
      <c r="A4592" s="441">
        <v>2048</v>
      </c>
      <c r="B4592" s="441" t="s">
        <v>4277</v>
      </c>
      <c r="C4592" s="545">
        <v>49.833333333333329</v>
      </c>
      <c r="D4592" s="545">
        <v>16.666666666666668</v>
      </c>
      <c r="E4592" s="545">
        <v>14.333333333333334</v>
      </c>
      <c r="F4592" s="545">
        <v>40.023809523809518</v>
      </c>
      <c r="G4592" s="545">
        <v>33.700000000000003</v>
      </c>
      <c r="H4592" s="545">
        <v>15.666666666666666</v>
      </c>
      <c r="I4592" s="545">
        <v>5.666666666666667</v>
      </c>
      <c r="J4592" s="545">
        <v>27.119047619047617</v>
      </c>
    </row>
    <row r="4593" spans="1:10">
      <c r="A4593" s="441">
        <v>2073</v>
      </c>
      <c r="B4593" s="441" t="s">
        <v>4277</v>
      </c>
      <c r="C4593" s="545">
        <v>39.833333333333336</v>
      </c>
      <c r="D4593" s="545">
        <v>20.333333333333332</v>
      </c>
      <c r="E4593" s="545">
        <v>14.666666666666668</v>
      </c>
      <c r="F4593" s="545">
        <v>33.452380952380956</v>
      </c>
      <c r="G4593" s="545">
        <v>36.5</v>
      </c>
      <c r="H4593" s="545">
        <v>17.666666666666668</v>
      </c>
      <c r="I4593" s="545">
        <v>11.333333333333334</v>
      </c>
      <c r="J4593" s="545">
        <v>30.214285714285715</v>
      </c>
    </row>
    <row r="4594" spans="1:10">
      <c r="A4594" s="441">
        <v>9310</v>
      </c>
      <c r="B4594" s="441" t="s">
        <v>4278</v>
      </c>
      <c r="C4594" s="545">
        <v>32.166666666666664</v>
      </c>
      <c r="D4594" s="545">
        <v>13.333333333333332</v>
      </c>
      <c r="E4594" s="545">
        <v>11</v>
      </c>
      <c r="F4594" s="545">
        <v>26.452380952380953</v>
      </c>
      <c r="G4594" s="545">
        <v>29.1</v>
      </c>
      <c r="H4594" s="545">
        <v>14.666666666666666</v>
      </c>
      <c r="I4594" s="545">
        <v>11.333333333333334</v>
      </c>
      <c r="J4594" s="545">
        <v>24.5</v>
      </c>
    </row>
    <row r="4595" spans="1:10">
      <c r="A4595" s="441">
        <v>9314</v>
      </c>
      <c r="B4595" s="441" t="s">
        <v>4279</v>
      </c>
      <c r="C4595" s="545">
        <v>39.666666666666671</v>
      </c>
      <c r="D4595" s="545">
        <v>23.666666666666668</v>
      </c>
      <c r="E4595" s="545">
        <v>23.666666666666668</v>
      </c>
      <c r="F4595" s="545">
        <v>35.095238095238095</v>
      </c>
      <c r="G4595" s="545">
        <v>23.35</v>
      </c>
      <c r="H4595" s="545">
        <v>19.333333333333332</v>
      </c>
      <c r="I4595" s="545">
        <v>11.666666666666666</v>
      </c>
      <c r="J4595" s="545">
        <v>21.107142857142858</v>
      </c>
    </row>
    <row r="4596" spans="1:10">
      <c r="A4596" s="441">
        <v>2049</v>
      </c>
      <c r="B4596" s="441" t="s">
        <v>4280</v>
      </c>
      <c r="C4596" s="545">
        <v>99.833333333333343</v>
      </c>
      <c r="D4596" s="545">
        <v>56.666666666666671</v>
      </c>
      <c r="E4596" s="545">
        <v>41</v>
      </c>
      <c r="F4596" s="545">
        <v>85.261904761904773</v>
      </c>
      <c r="G4596" s="545">
        <v>63.6</v>
      </c>
      <c r="H4596" s="545">
        <v>53.333333333333336</v>
      </c>
      <c r="I4596" s="545">
        <v>28.666666666666668</v>
      </c>
      <c r="J4596" s="545">
        <v>57.142857142857146</v>
      </c>
    </row>
    <row r="4597" spans="1:10">
      <c r="A4597" s="441">
        <v>2072</v>
      </c>
      <c r="B4597" s="441" t="s">
        <v>4280</v>
      </c>
      <c r="C4597" s="545">
        <v>92.333333333333343</v>
      </c>
      <c r="D4597" s="545">
        <v>46</v>
      </c>
      <c r="E4597" s="545">
        <v>30</v>
      </c>
      <c r="F4597" s="545">
        <v>76.809523809523824</v>
      </c>
      <c r="G4597" s="545">
        <v>44.25</v>
      </c>
      <c r="H4597" s="545">
        <v>29.333333333333332</v>
      </c>
      <c r="I4597" s="545">
        <v>17</v>
      </c>
      <c r="J4597" s="545">
        <v>38.226190476190482</v>
      </c>
    </row>
    <row r="4598" spans="1:10">
      <c r="A4598" s="441">
        <v>2056</v>
      </c>
      <c r="B4598" s="441" t="s">
        <v>4281</v>
      </c>
      <c r="C4598" s="545">
        <v>30.5</v>
      </c>
      <c r="D4598" s="545">
        <v>22</v>
      </c>
      <c r="E4598" s="545">
        <v>16.333333333333336</v>
      </c>
      <c r="F4598" s="545">
        <v>27.261904761904763</v>
      </c>
      <c r="G4598" s="545">
        <v>23.45</v>
      </c>
      <c r="H4598" s="545">
        <v>17.333333333333332</v>
      </c>
      <c r="I4598" s="545">
        <v>13.666666666666666</v>
      </c>
      <c r="J4598" s="545">
        <v>21.178571428571427</v>
      </c>
    </row>
    <row r="4599" spans="1:10">
      <c r="A4599" s="441">
        <v>2065</v>
      </c>
      <c r="B4599" s="441" t="s">
        <v>4281</v>
      </c>
      <c r="C4599" s="545">
        <v>35.666666666666664</v>
      </c>
      <c r="D4599" s="545">
        <v>32</v>
      </c>
      <c r="E4599" s="545">
        <v>17</v>
      </c>
      <c r="F4599" s="545">
        <v>32.476190476190474</v>
      </c>
      <c r="G4599" s="545">
        <v>25.35</v>
      </c>
      <c r="H4599" s="545">
        <v>24</v>
      </c>
      <c r="I4599" s="545">
        <v>12</v>
      </c>
      <c r="J4599" s="545">
        <v>23.25</v>
      </c>
    </row>
    <row r="4600" spans="1:10">
      <c r="A4600" s="441">
        <v>1461</v>
      </c>
      <c r="B4600" s="441" t="s">
        <v>4282</v>
      </c>
      <c r="C4600" s="545">
        <v>16</v>
      </c>
      <c r="D4600" s="545">
        <v>10</v>
      </c>
      <c r="E4600" s="545">
        <v>6.6666666666666661</v>
      </c>
      <c r="F4600" s="545">
        <v>13.80952380952381</v>
      </c>
      <c r="G4600" s="545">
        <v>6.65</v>
      </c>
      <c r="H4600" s="545">
        <v>4.333333333333333</v>
      </c>
      <c r="I4600" s="545">
        <v>0.66666666666666663</v>
      </c>
      <c r="J4600" s="545">
        <v>5.4642857142857144</v>
      </c>
    </row>
    <row r="4601" spans="1:10">
      <c r="A4601" s="441">
        <v>1105</v>
      </c>
      <c r="B4601" s="441" t="s">
        <v>4283</v>
      </c>
      <c r="C4601" s="545">
        <v>5.6666666666666661</v>
      </c>
      <c r="D4601" s="545">
        <v>2.6666666666666665</v>
      </c>
      <c r="E4601" s="545">
        <v>0.66666666666666663</v>
      </c>
      <c r="F4601" s="545">
        <v>4.5238095238095237</v>
      </c>
      <c r="G4601" s="545">
        <v>1.85</v>
      </c>
      <c r="H4601" s="545">
        <v>3.3333333333333335</v>
      </c>
      <c r="I4601" s="545">
        <v>1.6666666666666667</v>
      </c>
      <c r="J4601" s="545">
        <v>2.0357142857142856</v>
      </c>
    </row>
    <row r="4602" spans="1:10">
      <c r="A4602" s="441">
        <v>9321</v>
      </c>
      <c r="B4602" s="441" t="s">
        <v>4283</v>
      </c>
      <c r="C4602" s="545">
        <v>5.666666666666667</v>
      </c>
      <c r="D4602" s="545">
        <v>1</v>
      </c>
      <c r="E4602" s="545">
        <v>1.3333333333333333</v>
      </c>
      <c r="F4602" s="545">
        <v>4.3809523809523814</v>
      </c>
      <c r="G4602" s="545">
        <v>1.95</v>
      </c>
      <c r="H4602" s="545">
        <v>2</v>
      </c>
      <c r="I4602" s="545">
        <v>0.66666666666666663</v>
      </c>
      <c r="J4602" s="545">
        <v>1.7738095238095237</v>
      </c>
    </row>
    <row r="4603" spans="1:10">
      <c r="A4603" s="441">
        <v>1107</v>
      </c>
      <c r="B4603" s="441" t="s">
        <v>4284</v>
      </c>
      <c r="C4603" s="545">
        <v>3.666666666666667</v>
      </c>
      <c r="D4603" s="545">
        <v>5</v>
      </c>
      <c r="E4603" s="545">
        <v>3.3333333333333335</v>
      </c>
      <c r="F4603" s="545">
        <v>3.8095238095238098</v>
      </c>
      <c r="G4603" s="545">
        <v>5.4</v>
      </c>
      <c r="H4603" s="545">
        <v>3.3333333333333335</v>
      </c>
      <c r="I4603" s="545">
        <v>0.33333333333333331</v>
      </c>
      <c r="J4603" s="545">
        <v>4.3809523809523805</v>
      </c>
    </row>
    <row r="4604" spans="1:10">
      <c r="A4604" s="441">
        <v>2729</v>
      </c>
      <c r="B4604" s="441" t="s">
        <v>4285</v>
      </c>
      <c r="C4604" s="545">
        <v>90.666666666666671</v>
      </c>
      <c r="D4604" s="545">
        <v>32</v>
      </c>
      <c r="E4604" s="545">
        <v>16.333333333333332</v>
      </c>
      <c r="F4604" s="545">
        <v>71.666666666666671</v>
      </c>
      <c r="G4604" s="545">
        <v>28.1</v>
      </c>
      <c r="H4604" s="545">
        <v>19</v>
      </c>
      <c r="I4604" s="545">
        <v>4.333333333333333</v>
      </c>
      <c r="J4604" s="545">
        <v>23.404761904761905</v>
      </c>
    </row>
    <row r="4605" spans="1:10">
      <c r="A4605" s="441">
        <v>2738</v>
      </c>
      <c r="B4605" s="441" t="s">
        <v>4285</v>
      </c>
      <c r="C4605" s="545">
        <v>70.333333333333343</v>
      </c>
      <c r="D4605" s="545">
        <v>23</v>
      </c>
      <c r="E4605" s="545">
        <v>21</v>
      </c>
      <c r="F4605" s="545">
        <v>56.523809523809533</v>
      </c>
      <c r="G4605" s="545">
        <v>23.25</v>
      </c>
      <c r="H4605" s="545">
        <v>9.6666666666666661</v>
      </c>
      <c r="I4605" s="545">
        <v>3</v>
      </c>
      <c r="J4605" s="545">
        <v>18.416666666666668</v>
      </c>
    </row>
    <row r="4606" spans="1:10">
      <c r="A4606" s="441">
        <v>1448</v>
      </c>
      <c r="B4606" s="441" t="s">
        <v>4286</v>
      </c>
      <c r="C4606" s="545">
        <v>45.5</v>
      </c>
      <c r="D4606" s="545">
        <v>16.333333333333332</v>
      </c>
      <c r="E4606" s="545">
        <v>13</v>
      </c>
      <c r="F4606" s="545">
        <v>36.690476190476197</v>
      </c>
      <c r="G4606" s="545">
        <v>17.100000000000001</v>
      </c>
      <c r="H4606" s="545">
        <v>9.3333333333333339</v>
      </c>
      <c r="I4606" s="545">
        <v>3</v>
      </c>
      <c r="J4606" s="545">
        <v>13.976190476190476</v>
      </c>
    </row>
    <row r="4607" spans="1:10">
      <c r="A4607" s="441">
        <v>1449</v>
      </c>
      <c r="B4607" s="441" t="s">
        <v>4286</v>
      </c>
      <c r="C4607" s="545">
        <v>1.5</v>
      </c>
      <c r="D4607" s="545">
        <v>8</v>
      </c>
      <c r="E4607" s="545">
        <v>0</v>
      </c>
      <c r="F4607" s="545">
        <v>2.2142857142857144</v>
      </c>
      <c r="G4607" s="545">
        <v>0.55000000000000004</v>
      </c>
      <c r="H4607" s="545">
        <v>0</v>
      </c>
      <c r="I4607" s="545">
        <v>0.66666666666666663</v>
      </c>
      <c r="J4607" s="545">
        <v>0.48809523809523808</v>
      </c>
    </row>
    <row r="4608" spans="1:10">
      <c r="A4608" s="441">
        <v>1450</v>
      </c>
      <c r="B4608" s="441" t="s">
        <v>4286</v>
      </c>
      <c r="C4608" s="545">
        <v>2.1666666666666665</v>
      </c>
      <c r="D4608" s="545">
        <v>6.3333333333333339</v>
      </c>
      <c r="E4608" s="545">
        <v>0</v>
      </c>
      <c r="F4608" s="545">
        <v>2.4523809523809521</v>
      </c>
      <c r="G4608" s="545">
        <v>1.55</v>
      </c>
      <c r="H4608" s="545">
        <v>0.33333333333333331</v>
      </c>
      <c r="I4608" s="545">
        <v>2</v>
      </c>
      <c r="J4608" s="545">
        <v>1.4404761904761905</v>
      </c>
    </row>
    <row r="4609" spans="1:10">
      <c r="A4609" s="441">
        <v>1460</v>
      </c>
      <c r="B4609" s="441" t="s">
        <v>4286</v>
      </c>
      <c r="C4609" s="545">
        <v>28.5</v>
      </c>
      <c r="D4609" s="545">
        <v>14.666666666666666</v>
      </c>
      <c r="E4609" s="545">
        <v>10.666666666666668</v>
      </c>
      <c r="F4609" s="545">
        <v>23.976190476190474</v>
      </c>
      <c r="G4609" s="545">
        <v>9.25</v>
      </c>
      <c r="H4609" s="545">
        <v>5.333333333333333</v>
      </c>
      <c r="I4609" s="545">
        <v>2</v>
      </c>
      <c r="J4609" s="545">
        <v>7.6547619047619051</v>
      </c>
    </row>
    <row r="4610" spans="1:10">
      <c r="A4610" s="441">
        <v>1462</v>
      </c>
      <c r="B4610" s="441" t="s">
        <v>4287</v>
      </c>
      <c r="C4610" s="545">
        <v>35.833333333333336</v>
      </c>
      <c r="D4610" s="545">
        <v>11</v>
      </c>
      <c r="E4610" s="545">
        <v>11</v>
      </c>
      <c r="F4610" s="545">
        <v>28.738095238095241</v>
      </c>
      <c r="G4610" s="545">
        <v>15.95</v>
      </c>
      <c r="H4610" s="545">
        <v>7</v>
      </c>
      <c r="I4610" s="545">
        <v>2</v>
      </c>
      <c r="J4610" s="545">
        <v>12.678571428571429</v>
      </c>
    </row>
    <row r="4611" spans="1:10">
      <c r="A4611" s="441">
        <v>2064</v>
      </c>
      <c r="B4611" s="441" t="s">
        <v>4288</v>
      </c>
      <c r="C4611" s="545">
        <v>7.1666666666666661</v>
      </c>
      <c r="D4611" s="545">
        <v>10.666666666666668</v>
      </c>
      <c r="E4611" s="545">
        <v>5.3333333333333339</v>
      </c>
      <c r="F4611" s="545">
        <v>7.4047619047619051</v>
      </c>
      <c r="G4611" s="545">
        <v>5</v>
      </c>
      <c r="H4611" s="545">
        <v>3.3333333333333335</v>
      </c>
      <c r="I4611" s="545">
        <v>7</v>
      </c>
      <c r="J4611" s="545">
        <v>5.0476190476190466</v>
      </c>
    </row>
    <row r="4612" spans="1:10">
      <c r="A4612" s="441">
        <v>2057</v>
      </c>
      <c r="B4612" s="441" t="s">
        <v>4289</v>
      </c>
      <c r="C4612" s="545">
        <v>45.166666666666671</v>
      </c>
      <c r="D4612" s="545">
        <v>33.333333333333329</v>
      </c>
      <c r="E4612" s="545">
        <v>28.333333333333332</v>
      </c>
      <c r="F4612" s="545">
        <v>41.071428571428569</v>
      </c>
      <c r="G4612" s="545">
        <v>23.7</v>
      </c>
      <c r="H4612" s="545">
        <v>21</v>
      </c>
      <c r="I4612" s="545">
        <v>12.333333333333334</v>
      </c>
      <c r="J4612" s="545">
        <v>21.690476190476193</v>
      </c>
    </row>
    <row r="4613" spans="1:10">
      <c r="A4613" s="441">
        <v>2063</v>
      </c>
      <c r="B4613" s="441" t="s">
        <v>4289</v>
      </c>
      <c r="C4613" s="545">
        <v>36.833333333333336</v>
      </c>
      <c r="D4613" s="545">
        <v>20</v>
      </c>
      <c r="E4613" s="545">
        <v>27.666666666666664</v>
      </c>
      <c r="F4613" s="545">
        <v>33.11904761904762</v>
      </c>
      <c r="G4613" s="545">
        <v>19.899999999999999</v>
      </c>
      <c r="H4613" s="545">
        <v>18</v>
      </c>
      <c r="I4613" s="545">
        <v>9</v>
      </c>
      <c r="J4613" s="545">
        <v>18.071428571428573</v>
      </c>
    </row>
    <row r="4614" spans="1:10">
      <c r="A4614" s="441">
        <v>2706</v>
      </c>
      <c r="B4614" s="441" t="s">
        <v>4290</v>
      </c>
      <c r="C4614" s="545">
        <v>40</v>
      </c>
      <c r="D4614" s="545">
        <v>26.333333333333332</v>
      </c>
      <c r="E4614" s="545">
        <v>17.666666666666664</v>
      </c>
      <c r="F4614" s="545">
        <v>34.857142857142854</v>
      </c>
      <c r="G4614" s="545">
        <v>16.25</v>
      </c>
      <c r="H4614" s="545">
        <v>17</v>
      </c>
      <c r="I4614" s="545">
        <v>9</v>
      </c>
      <c r="J4614" s="545">
        <v>15.321428571428571</v>
      </c>
    </row>
    <row r="4615" spans="1:10">
      <c r="A4615" s="441">
        <v>2755</v>
      </c>
      <c r="B4615" s="441" t="s">
        <v>4290</v>
      </c>
      <c r="C4615" s="545">
        <v>32.666666666666664</v>
      </c>
      <c r="D4615" s="545">
        <v>21.666666666666668</v>
      </c>
      <c r="E4615" s="545">
        <v>16</v>
      </c>
      <c r="F4615" s="545">
        <v>28.714285714285712</v>
      </c>
      <c r="G4615" s="545">
        <v>11.6</v>
      </c>
      <c r="H4615" s="545">
        <v>10</v>
      </c>
      <c r="I4615" s="545">
        <v>2.6666666666666665</v>
      </c>
      <c r="J4615" s="545">
        <v>10.095238095238097</v>
      </c>
    </row>
    <row r="4616" spans="1:10">
      <c r="A4616" s="441">
        <v>9704</v>
      </c>
      <c r="B4616" s="441" t="s">
        <v>4291</v>
      </c>
      <c r="C4616" s="545">
        <v>4.5</v>
      </c>
      <c r="D4616" s="545">
        <v>4</v>
      </c>
      <c r="E4616" s="545">
        <v>2.3333333333333335</v>
      </c>
      <c r="F4616" s="545">
        <v>4.1190476190476186</v>
      </c>
      <c r="G4616" s="545">
        <v>0.75</v>
      </c>
      <c r="H4616" s="545">
        <v>1.3333333333333333</v>
      </c>
      <c r="I4616" s="545">
        <v>1.3333333333333333</v>
      </c>
      <c r="J4616" s="545">
        <v>0.91666666666666663</v>
      </c>
    </row>
    <row r="4617" spans="1:10">
      <c r="A4617" s="441">
        <v>9712</v>
      </c>
      <c r="B4617" s="441" t="s">
        <v>4291</v>
      </c>
      <c r="C4617" s="545">
        <v>4</v>
      </c>
      <c r="D4617" s="545">
        <v>4</v>
      </c>
      <c r="E4617" s="545">
        <v>2.6666666666666665</v>
      </c>
      <c r="F4617" s="545">
        <v>3.8095238095238098</v>
      </c>
      <c r="G4617" s="545">
        <v>5.05</v>
      </c>
      <c r="H4617" s="545">
        <v>2</v>
      </c>
      <c r="I4617" s="545">
        <v>3.3333333333333335</v>
      </c>
      <c r="J4617" s="545">
        <v>4.3690476190476186</v>
      </c>
    </row>
    <row r="4618" spans="1:10">
      <c r="A4618" s="441">
        <v>9698</v>
      </c>
      <c r="B4618" s="441" t="s">
        <v>4292</v>
      </c>
      <c r="C4618" s="545">
        <v>0.5</v>
      </c>
      <c r="D4618" s="545">
        <v>0.66666666666666663</v>
      </c>
      <c r="E4618" s="545">
        <v>0.33333333333333331</v>
      </c>
      <c r="F4618" s="545">
        <v>0.5</v>
      </c>
      <c r="G4618" s="545">
        <v>1.85</v>
      </c>
      <c r="H4618" s="545">
        <v>0</v>
      </c>
      <c r="I4618" s="545">
        <v>0.66666666666666663</v>
      </c>
      <c r="J4618" s="545">
        <v>1.4166666666666665</v>
      </c>
    </row>
    <row r="4619" spans="1:10">
      <c r="A4619" s="441">
        <v>9718</v>
      </c>
      <c r="B4619" s="441" t="s">
        <v>4292</v>
      </c>
      <c r="C4619" s="545">
        <v>0</v>
      </c>
      <c r="D4619" s="545">
        <v>0</v>
      </c>
      <c r="E4619" s="545">
        <v>0.33333333333333331</v>
      </c>
      <c r="F4619" s="545">
        <v>4.7619047619047616E-2</v>
      </c>
      <c r="G4619" s="545">
        <v>0.95</v>
      </c>
      <c r="H4619" s="545">
        <v>0</v>
      </c>
      <c r="I4619" s="545">
        <v>0</v>
      </c>
      <c r="J4619" s="545">
        <v>0.6785714285714286</v>
      </c>
    </row>
    <row r="4620" spans="1:10">
      <c r="A4620" s="441">
        <v>9700</v>
      </c>
      <c r="B4620" s="441" t="s">
        <v>4293</v>
      </c>
      <c r="C4620" s="545">
        <v>6.666666666666667</v>
      </c>
      <c r="D4620" s="545">
        <v>4</v>
      </c>
      <c r="E4620" s="545">
        <v>0.66666666666666663</v>
      </c>
      <c r="F4620" s="545">
        <v>5.4285714285714288</v>
      </c>
      <c r="G4620" s="545">
        <v>3.15</v>
      </c>
      <c r="H4620" s="545">
        <v>1</v>
      </c>
      <c r="I4620" s="545">
        <v>1</v>
      </c>
      <c r="J4620" s="545">
        <v>2.5357142857142856</v>
      </c>
    </row>
    <row r="4621" spans="1:10">
      <c r="A4621" s="441">
        <v>9716</v>
      </c>
      <c r="B4621" s="441" t="s">
        <v>4293</v>
      </c>
      <c r="C4621" s="545">
        <v>4.5</v>
      </c>
      <c r="D4621" s="545">
        <v>3.6666666666666665</v>
      </c>
      <c r="E4621" s="545">
        <v>1.6666666666666665</v>
      </c>
      <c r="F4621" s="545">
        <v>3.9761904761904767</v>
      </c>
      <c r="G4621" s="545">
        <v>4.3499999999999996</v>
      </c>
      <c r="H4621" s="545">
        <v>1.6666666666666667</v>
      </c>
      <c r="I4621" s="545">
        <v>1.6666666666666667</v>
      </c>
      <c r="J4621" s="545">
        <v>3.5833333333333335</v>
      </c>
    </row>
    <row r="4622" spans="1:10">
      <c r="A4622" s="441">
        <v>9697</v>
      </c>
      <c r="B4622" s="441" t="s">
        <v>4294</v>
      </c>
      <c r="C4622" s="545">
        <v>4.3333333333333339</v>
      </c>
      <c r="D4622" s="545">
        <v>2.3333333333333335</v>
      </c>
      <c r="E4622" s="545">
        <v>1.6666666666666667</v>
      </c>
      <c r="F4622" s="545">
        <v>3.6666666666666674</v>
      </c>
      <c r="G4622" s="545">
        <v>5.7</v>
      </c>
      <c r="H4622" s="545">
        <v>2.6666666666666665</v>
      </c>
      <c r="I4622" s="545">
        <v>1.3333333333333333</v>
      </c>
      <c r="J4622" s="545">
        <v>4.6428571428571432</v>
      </c>
    </row>
    <row r="4623" spans="1:10">
      <c r="A4623" s="441">
        <v>9719</v>
      </c>
      <c r="B4623" s="441" t="s">
        <v>4294</v>
      </c>
      <c r="C4623" s="545">
        <v>7.166666666666667</v>
      </c>
      <c r="D4623" s="545">
        <v>7</v>
      </c>
      <c r="E4623" s="545">
        <v>3.3333333333333335</v>
      </c>
      <c r="F4623" s="545">
        <v>6.5952380952380958</v>
      </c>
      <c r="G4623" s="545">
        <v>5.2</v>
      </c>
      <c r="H4623" s="545">
        <v>2.6666666666666665</v>
      </c>
      <c r="I4623" s="545">
        <v>1</v>
      </c>
      <c r="J4623" s="545">
        <v>4.2380952380952381</v>
      </c>
    </row>
    <row r="4624" spans="1:10">
      <c r="A4624" s="441">
        <v>9705</v>
      </c>
      <c r="B4624" s="441" t="s">
        <v>4295</v>
      </c>
      <c r="C4624" s="545">
        <v>1.6666666666666667</v>
      </c>
      <c r="D4624" s="545">
        <v>1.3333333333333333</v>
      </c>
      <c r="E4624" s="545">
        <v>3</v>
      </c>
      <c r="F4624" s="545">
        <v>1.8095238095238098</v>
      </c>
      <c r="G4624" s="545">
        <v>2.15</v>
      </c>
      <c r="H4624" s="545">
        <v>0.33333333333333331</v>
      </c>
      <c r="I4624" s="545">
        <v>1</v>
      </c>
      <c r="J4624" s="545">
        <v>1.7261904761904763</v>
      </c>
    </row>
    <row r="4625" spans="1:10">
      <c r="A4625" s="441">
        <v>9711</v>
      </c>
      <c r="B4625" s="441" t="s">
        <v>4295</v>
      </c>
      <c r="C4625" s="545">
        <v>4.1666666666666661</v>
      </c>
      <c r="D4625" s="545">
        <v>3</v>
      </c>
      <c r="E4625" s="545">
        <v>5.333333333333333</v>
      </c>
      <c r="F4625" s="545">
        <v>4.1666666666666661</v>
      </c>
      <c r="G4625" s="545">
        <v>4.05</v>
      </c>
      <c r="H4625" s="545">
        <v>3.6666666666666665</v>
      </c>
      <c r="I4625" s="545">
        <v>4.666666666666667</v>
      </c>
      <c r="J4625" s="545">
        <v>4.0833333333333339</v>
      </c>
    </row>
    <row r="4626" spans="1:10">
      <c r="A4626" s="441">
        <v>9699</v>
      </c>
      <c r="B4626" s="441" t="s">
        <v>4296</v>
      </c>
      <c r="C4626" s="545">
        <v>0.33333333333333331</v>
      </c>
      <c r="D4626" s="545">
        <v>0</v>
      </c>
      <c r="E4626" s="545">
        <v>1</v>
      </c>
      <c r="F4626" s="545">
        <v>0.38095238095238093</v>
      </c>
      <c r="G4626" s="545">
        <v>0.6</v>
      </c>
      <c r="H4626" s="545">
        <v>0</v>
      </c>
      <c r="I4626" s="545">
        <v>0</v>
      </c>
      <c r="J4626" s="545">
        <v>0.42857142857142855</v>
      </c>
    </row>
    <row r="4627" spans="1:10">
      <c r="A4627" s="441">
        <v>9717</v>
      </c>
      <c r="B4627" s="441" t="s">
        <v>4296</v>
      </c>
      <c r="C4627" s="545">
        <v>0.16666666666666666</v>
      </c>
      <c r="D4627" s="545">
        <v>0</v>
      </c>
      <c r="E4627" s="545">
        <v>0</v>
      </c>
      <c r="F4627" s="545">
        <v>0.11904761904761904</v>
      </c>
      <c r="G4627" s="545">
        <v>0.05</v>
      </c>
      <c r="H4627" s="545">
        <v>0.33333333333333331</v>
      </c>
      <c r="I4627" s="545">
        <v>0.33333333333333331</v>
      </c>
      <c r="J4627" s="545">
        <v>0.13095238095238093</v>
      </c>
    </row>
    <row r="4628" spans="1:10">
      <c r="A4628" s="441">
        <v>9701</v>
      </c>
      <c r="B4628" s="441" t="s">
        <v>4297</v>
      </c>
      <c r="C4628" s="545">
        <v>17.166666666666664</v>
      </c>
      <c r="D4628" s="545">
        <v>15</v>
      </c>
      <c r="E4628" s="545">
        <v>14.333333333333332</v>
      </c>
      <c r="F4628" s="545">
        <v>16.452380952380949</v>
      </c>
      <c r="G4628" s="545">
        <v>12.35</v>
      </c>
      <c r="H4628" s="545">
        <v>7</v>
      </c>
      <c r="I4628" s="545">
        <v>7.666666666666667</v>
      </c>
      <c r="J4628" s="545">
        <v>10.916666666666668</v>
      </c>
    </row>
    <row r="4629" spans="1:10">
      <c r="A4629" s="441">
        <v>9702</v>
      </c>
      <c r="B4629" s="441" t="s">
        <v>4297</v>
      </c>
      <c r="C4629" s="545">
        <v>1.1666666666666667</v>
      </c>
      <c r="D4629" s="545">
        <v>0</v>
      </c>
      <c r="E4629" s="545">
        <v>0</v>
      </c>
      <c r="F4629" s="545">
        <v>0.83333333333333337</v>
      </c>
      <c r="G4629" s="545">
        <v>0.5</v>
      </c>
      <c r="H4629" s="545">
        <v>0</v>
      </c>
      <c r="I4629" s="545">
        <v>2</v>
      </c>
      <c r="J4629" s="545">
        <v>0.6428571428571429</v>
      </c>
    </row>
    <row r="4630" spans="1:10">
      <c r="A4630" s="441">
        <v>9715</v>
      </c>
      <c r="B4630" s="441" t="s">
        <v>4297</v>
      </c>
      <c r="C4630" s="545">
        <v>17.166666666666668</v>
      </c>
      <c r="D4630" s="545">
        <v>13.666666666666666</v>
      </c>
      <c r="E4630" s="545">
        <v>7</v>
      </c>
      <c r="F4630" s="545">
        <v>15.214285714285717</v>
      </c>
      <c r="G4630" s="545">
        <v>10.6</v>
      </c>
      <c r="H4630" s="545">
        <v>6</v>
      </c>
      <c r="I4630" s="545">
        <v>6</v>
      </c>
      <c r="J4630" s="545">
        <v>9.2857142857142865</v>
      </c>
    </row>
    <row r="4631" spans="1:10">
      <c r="A4631" s="441">
        <v>3551</v>
      </c>
      <c r="B4631" s="441" t="s">
        <v>4298</v>
      </c>
      <c r="C4631" s="545">
        <v>23.833333333333332</v>
      </c>
      <c r="D4631" s="545">
        <v>2</v>
      </c>
      <c r="E4631" s="545">
        <v>4.6666666666666661</v>
      </c>
      <c r="F4631" s="545">
        <v>17.976190476190474</v>
      </c>
      <c r="G4631" s="545">
        <v>17.100000000000001</v>
      </c>
      <c r="H4631" s="545">
        <v>5.333333333333333</v>
      </c>
      <c r="I4631" s="545">
        <v>0.66666666666666663</v>
      </c>
      <c r="J4631" s="545">
        <v>13.071428571428571</v>
      </c>
    </row>
    <row r="4632" spans="1:10">
      <c r="A4632" s="441">
        <v>3576</v>
      </c>
      <c r="B4632" s="441" t="s">
        <v>4298</v>
      </c>
      <c r="C4632" s="545">
        <v>28</v>
      </c>
      <c r="D4632" s="545">
        <v>3.6666666666666665</v>
      </c>
      <c r="E4632" s="545">
        <v>2</v>
      </c>
      <c r="F4632" s="545">
        <v>20.809523809523807</v>
      </c>
      <c r="G4632" s="545">
        <v>15.7</v>
      </c>
      <c r="H4632" s="545">
        <v>1.6666666666666667</v>
      </c>
      <c r="I4632" s="545">
        <v>2.6666666666666665</v>
      </c>
      <c r="J4632" s="545">
        <v>11.833333333333334</v>
      </c>
    </row>
    <row r="4633" spans="1:10">
      <c r="A4633" s="441">
        <v>9706</v>
      </c>
      <c r="B4633" s="441" t="s">
        <v>4299</v>
      </c>
      <c r="C4633" s="545">
        <v>15.666666666666666</v>
      </c>
      <c r="D4633" s="545">
        <v>11.666666666666666</v>
      </c>
      <c r="E4633" s="545">
        <v>12.333333333333334</v>
      </c>
      <c r="F4633" s="545">
        <v>14.619047619047619</v>
      </c>
      <c r="G4633" s="545">
        <v>16.5</v>
      </c>
      <c r="H4633" s="545">
        <v>15.666666666666666</v>
      </c>
      <c r="I4633" s="545">
        <v>16.333333333333332</v>
      </c>
      <c r="J4633" s="545">
        <v>16.357142857142858</v>
      </c>
    </row>
    <row r="4634" spans="1:10">
      <c r="A4634" s="441">
        <v>9710</v>
      </c>
      <c r="B4634" s="441" t="s">
        <v>4299</v>
      </c>
      <c r="C4634" s="545">
        <v>22.5</v>
      </c>
      <c r="D4634" s="545">
        <v>17.333333333333332</v>
      </c>
      <c r="E4634" s="545">
        <v>10.333333333333334</v>
      </c>
      <c r="F4634" s="545">
        <v>20.023809523809526</v>
      </c>
      <c r="G4634" s="545">
        <v>21.7</v>
      </c>
      <c r="H4634" s="545">
        <v>11.666666666666666</v>
      </c>
      <c r="I4634" s="545">
        <v>13.333333333333334</v>
      </c>
      <c r="J4634" s="545">
        <v>19.071428571428573</v>
      </c>
    </row>
    <row r="4635" spans="1:10">
      <c r="A4635" s="441">
        <v>9703</v>
      </c>
      <c r="B4635" s="441" t="s">
        <v>4300</v>
      </c>
      <c r="C4635" s="545">
        <v>4.833333333333333</v>
      </c>
      <c r="D4635" s="545">
        <v>2.666666666666667</v>
      </c>
      <c r="E4635" s="545">
        <v>2.3333333333333335</v>
      </c>
      <c r="F4635" s="545">
        <v>4.1666666666666661</v>
      </c>
      <c r="G4635" s="545">
        <v>7.95</v>
      </c>
      <c r="H4635" s="545">
        <v>5</v>
      </c>
      <c r="I4635" s="545">
        <v>4</v>
      </c>
      <c r="J4635" s="545">
        <v>6.9642857142857144</v>
      </c>
    </row>
    <row r="4636" spans="1:10">
      <c r="A4636" s="441">
        <v>9713</v>
      </c>
      <c r="B4636" s="441" t="s">
        <v>4300</v>
      </c>
      <c r="C4636" s="545">
        <v>3</v>
      </c>
      <c r="D4636" s="545">
        <v>2.333333333333333</v>
      </c>
      <c r="E4636" s="545">
        <v>2</v>
      </c>
      <c r="F4636" s="545">
        <v>2.7619047619047619</v>
      </c>
      <c r="G4636" s="545">
        <v>0.2</v>
      </c>
      <c r="H4636" s="545">
        <v>0.33333333333333331</v>
      </c>
      <c r="I4636" s="545">
        <v>0.33333333333333331</v>
      </c>
      <c r="J4636" s="545">
        <v>0.23809523809523808</v>
      </c>
    </row>
    <row r="4637" spans="1:10">
      <c r="A4637" s="441">
        <v>9714</v>
      </c>
      <c r="B4637" s="441" t="s">
        <v>4300</v>
      </c>
      <c r="C4637" s="545">
        <v>0.83333333333333326</v>
      </c>
      <c r="D4637" s="545">
        <v>0.33333333333333331</v>
      </c>
      <c r="E4637" s="545">
        <v>0.66666666666666663</v>
      </c>
      <c r="F4637" s="545">
        <v>0.73809523809523803</v>
      </c>
      <c r="G4637" s="545">
        <v>0.55000000000000004</v>
      </c>
      <c r="H4637" s="545">
        <v>0</v>
      </c>
      <c r="I4637" s="545">
        <v>0</v>
      </c>
      <c r="J4637" s="545">
        <v>0.39285714285714285</v>
      </c>
    </row>
    <row r="4638" spans="1:10">
      <c r="A4638" s="441">
        <v>2438</v>
      </c>
      <c r="B4638" s="441" t="s">
        <v>4301</v>
      </c>
      <c r="C4638" s="545">
        <v>7.5</v>
      </c>
      <c r="D4638" s="545">
        <v>6.6666666666666661</v>
      </c>
      <c r="E4638" s="545">
        <v>2.6666666666666665</v>
      </c>
      <c r="F4638" s="545">
        <v>6.6904761904761898</v>
      </c>
      <c r="G4638" s="545">
        <v>5.8</v>
      </c>
      <c r="H4638" s="545">
        <v>6.333333333333333</v>
      </c>
      <c r="I4638" s="545">
        <v>8.3333333333333339</v>
      </c>
      <c r="J4638" s="545">
        <v>6.238095238095239</v>
      </c>
    </row>
    <row r="4639" spans="1:10">
      <c r="A4639" s="441">
        <v>2439</v>
      </c>
      <c r="B4639" s="441" t="s">
        <v>4301</v>
      </c>
      <c r="C4639" s="545">
        <v>5.833333333333333</v>
      </c>
      <c r="D4639" s="545">
        <v>7</v>
      </c>
      <c r="E4639" s="545">
        <v>5.666666666666667</v>
      </c>
      <c r="F4639" s="545">
        <v>5.9761904761904754</v>
      </c>
      <c r="G4639" s="545">
        <v>2</v>
      </c>
      <c r="H4639" s="545">
        <v>4.666666666666667</v>
      </c>
      <c r="I4639" s="545">
        <v>3.6666666666666665</v>
      </c>
      <c r="J4639" s="545">
        <v>2.6190476190476195</v>
      </c>
    </row>
    <row r="4640" spans="1:10">
      <c r="A4640" s="441">
        <v>8902</v>
      </c>
      <c r="B4640" s="441" t="s">
        <v>4301</v>
      </c>
      <c r="C4640" s="545">
        <v>6.666666666666667</v>
      </c>
      <c r="D4640" s="545">
        <v>6</v>
      </c>
      <c r="E4640" s="545">
        <v>2.3333333333333335</v>
      </c>
      <c r="F4640" s="545">
        <v>5.9523809523809534</v>
      </c>
      <c r="G4640" s="545">
        <v>10.6</v>
      </c>
      <c r="H4640" s="545">
        <v>3</v>
      </c>
      <c r="I4640" s="545">
        <v>3.6666666666666665</v>
      </c>
      <c r="J4640" s="545">
        <v>8.5238095238095237</v>
      </c>
    </row>
    <row r="4641" spans="1:10">
      <c r="A4641" s="441">
        <v>2437</v>
      </c>
      <c r="B4641" s="441" t="s">
        <v>4302</v>
      </c>
      <c r="C4641" s="545">
        <v>21</v>
      </c>
      <c r="D4641" s="545">
        <v>21.333333333333332</v>
      </c>
      <c r="E4641" s="545">
        <v>11.333333333333332</v>
      </c>
      <c r="F4641" s="545">
        <v>19.666666666666664</v>
      </c>
      <c r="G4641" s="545">
        <v>15</v>
      </c>
      <c r="H4641" s="545">
        <v>8</v>
      </c>
      <c r="I4641" s="545">
        <v>10.333333333333334</v>
      </c>
      <c r="J4641" s="545">
        <v>13.333333333333332</v>
      </c>
    </row>
    <row r="4642" spans="1:10">
      <c r="A4642" s="441">
        <v>8903</v>
      </c>
      <c r="B4642" s="441" t="s">
        <v>4302</v>
      </c>
      <c r="C4642" s="545">
        <v>21.5</v>
      </c>
      <c r="D4642" s="545">
        <v>26</v>
      </c>
      <c r="E4642" s="545">
        <v>18</v>
      </c>
      <c r="F4642" s="545">
        <v>21.642857142857142</v>
      </c>
      <c r="G4642" s="545">
        <v>16.399999999999999</v>
      </c>
      <c r="H4642" s="545">
        <v>11.666666666666666</v>
      </c>
      <c r="I4642" s="545">
        <v>13.333333333333334</v>
      </c>
      <c r="J4642" s="545">
        <v>15.285714285714286</v>
      </c>
    </row>
    <row r="4643" spans="1:10">
      <c r="A4643" s="441">
        <v>8730</v>
      </c>
      <c r="B4643" s="441" t="s">
        <v>4303</v>
      </c>
      <c r="C4643" s="545">
        <v>15.166666666666668</v>
      </c>
      <c r="D4643" s="545">
        <v>11.333333333333334</v>
      </c>
      <c r="E4643" s="545">
        <v>10</v>
      </c>
      <c r="F4643" s="545">
        <v>13.880952380952381</v>
      </c>
      <c r="G4643" s="545">
        <v>8.65</v>
      </c>
      <c r="H4643" s="545">
        <v>3.6666666666666665</v>
      </c>
      <c r="I4643" s="545">
        <v>8.6666666666666661</v>
      </c>
      <c r="J4643" s="545">
        <v>7.9404761904761898</v>
      </c>
    </row>
    <row r="4644" spans="1:10">
      <c r="A4644" s="441">
        <v>8911</v>
      </c>
      <c r="B4644" s="441" t="s">
        <v>4303</v>
      </c>
      <c r="C4644" s="545">
        <v>9.5</v>
      </c>
      <c r="D4644" s="545">
        <v>7</v>
      </c>
      <c r="E4644" s="545">
        <v>8.3333333333333339</v>
      </c>
      <c r="F4644" s="545">
        <v>8.9761904761904763</v>
      </c>
      <c r="G4644" s="545">
        <v>5.65</v>
      </c>
      <c r="H4644" s="545">
        <v>2.3333333333333335</v>
      </c>
      <c r="I4644" s="545">
        <v>1.6666666666666667</v>
      </c>
      <c r="J4644" s="545">
        <v>4.6071428571428568</v>
      </c>
    </row>
    <row r="4645" spans="1:10">
      <c r="A4645" s="441">
        <v>8674</v>
      </c>
      <c r="B4645" s="441" t="s">
        <v>4304</v>
      </c>
      <c r="C4645" s="545">
        <v>44</v>
      </c>
      <c r="D4645" s="545">
        <v>40</v>
      </c>
      <c r="E4645" s="545">
        <v>33.666666666666664</v>
      </c>
      <c r="F4645" s="545">
        <v>41.952380952380956</v>
      </c>
      <c r="G4645" s="545">
        <v>20.399999999999999</v>
      </c>
      <c r="H4645" s="545">
        <v>16</v>
      </c>
      <c r="I4645" s="545">
        <v>8.6666666666666661</v>
      </c>
      <c r="J4645" s="545">
        <v>18.095238095238095</v>
      </c>
    </row>
    <row r="4646" spans="1:10">
      <c r="A4646" s="441">
        <v>8672</v>
      </c>
      <c r="B4646" s="441" t="s">
        <v>4305</v>
      </c>
      <c r="C4646" s="545">
        <v>16.166666666666668</v>
      </c>
      <c r="D4646" s="545">
        <v>16.333333333333336</v>
      </c>
      <c r="E4646" s="545">
        <v>13.666666666666668</v>
      </c>
      <c r="F4646" s="545">
        <v>15.833333333333337</v>
      </c>
      <c r="G4646" s="545">
        <v>10.8</v>
      </c>
      <c r="H4646" s="545">
        <v>10.333333333333334</v>
      </c>
      <c r="I4646" s="545">
        <v>8.6666666666666661</v>
      </c>
      <c r="J4646" s="545">
        <v>10.428571428571429</v>
      </c>
    </row>
    <row r="4647" spans="1:10">
      <c r="A4647" s="441">
        <v>10067</v>
      </c>
      <c r="B4647" s="441" t="s">
        <v>4305</v>
      </c>
      <c r="C4647" s="545">
        <v>99.5</v>
      </c>
      <c r="D4647" s="545">
        <v>17.666666666666664</v>
      </c>
      <c r="E4647" s="545">
        <v>16.666666666666668</v>
      </c>
      <c r="F4647" s="545">
        <v>75.976190476190467</v>
      </c>
      <c r="G4647" s="545">
        <v>16</v>
      </c>
      <c r="H4647" s="545">
        <v>9</v>
      </c>
      <c r="I4647" s="545">
        <v>12</v>
      </c>
      <c r="J4647" s="545">
        <v>14.428571428571429</v>
      </c>
    </row>
    <row r="4648" spans="1:10">
      <c r="A4648" s="441">
        <v>8729</v>
      </c>
      <c r="B4648" s="441" t="s">
        <v>4306</v>
      </c>
      <c r="C4648" s="545">
        <v>51.833333333333329</v>
      </c>
      <c r="D4648" s="545">
        <v>50.333333333333336</v>
      </c>
      <c r="E4648" s="545">
        <v>25.333333333333336</v>
      </c>
      <c r="F4648" s="545">
        <v>47.833333333333321</v>
      </c>
      <c r="G4648" s="545">
        <v>36.85</v>
      </c>
      <c r="H4648" s="545">
        <v>29.666666666666668</v>
      </c>
      <c r="I4648" s="545">
        <v>25.333333333333332</v>
      </c>
      <c r="J4648" s="545">
        <v>34.178571428571431</v>
      </c>
    </row>
    <row r="4649" spans="1:10">
      <c r="A4649" s="441">
        <v>8912</v>
      </c>
      <c r="B4649" s="441" t="s">
        <v>4306</v>
      </c>
      <c r="C4649" s="545">
        <v>60</v>
      </c>
      <c r="D4649" s="545">
        <v>58.333333333333329</v>
      </c>
      <c r="E4649" s="545">
        <v>39</v>
      </c>
      <c r="F4649" s="545">
        <v>56.761904761904759</v>
      </c>
      <c r="G4649" s="545">
        <v>38.5</v>
      </c>
      <c r="H4649" s="545">
        <v>28.666666666666668</v>
      </c>
      <c r="I4649" s="545">
        <v>22.333333333333332</v>
      </c>
      <c r="J4649" s="545">
        <v>34.785714285714285</v>
      </c>
    </row>
    <row r="4650" spans="1:10">
      <c r="A4650" s="441">
        <v>8675</v>
      </c>
      <c r="B4650" s="441" t="s">
        <v>4307</v>
      </c>
      <c r="C4650" s="545">
        <v>74.5</v>
      </c>
      <c r="D4650" s="545">
        <v>54</v>
      </c>
      <c r="E4650" s="545">
        <v>47</v>
      </c>
      <c r="F4650" s="545">
        <v>67.642857142857139</v>
      </c>
      <c r="G4650" s="545">
        <v>41.25</v>
      </c>
      <c r="H4650" s="545">
        <v>26.666666666666668</v>
      </c>
      <c r="I4650" s="545">
        <v>25.666666666666668</v>
      </c>
      <c r="J4650" s="545">
        <v>36.94047619047619</v>
      </c>
    </row>
    <row r="4651" spans="1:10">
      <c r="A4651" s="441">
        <v>8692</v>
      </c>
      <c r="B4651" s="441" t="s">
        <v>4307</v>
      </c>
      <c r="C4651" s="545">
        <v>109.16666666666666</v>
      </c>
      <c r="D4651" s="545">
        <v>89.666666666666671</v>
      </c>
      <c r="E4651" s="545">
        <v>64.666666666666671</v>
      </c>
      <c r="F4651" s="545">
        <v>100.0238095238095</v>
      </c>
      <c r="G4651" s="545">
        <v>73.400000000000006</v>
      </c>
      <c r="H4651" s="545">
        <v>53</v>
      </c>
      <c r="I4651" s="545">
        <v>37</v>
      </c>
      <c r="J4651" s="545">
        <v>65.285714285714292</v>
      </c>
    </row>
    <row r="4652" spans="1:10">
      <c r="A4652" s="441">
        <v>11544</v>
      </c>
      <c r="B4652" s="441" t="s">
        <v>4307</v>
      </c>
      <c r="C4652" s="545">
        <v>16.833333333333332</v>
      </c>
      <c r="D4652" s="545">
        <v>10</v>
      </c>
      <c r="E4652" s="545">
        <v>10</v>
      </c>
      <c r="F4652" s="545">
        <v>14.88095238095238</v>
      </c>
      <c r="G4652" s="545">
        <v>11.1</v>
      </c>
      <c r="H4652" s="545">
        <v>9</v>
      </c>
      <c r="I4652" s="545">
        <v>4.333333333333333</v>
      </c>
      <c r="J4652" s="545">
        <v>9.8333333333333321</v>
      </c>
    </row>
    <row r="4653" spans="1:10">
      <c r="A4653" s="441">
        <v>8679</v>
      </c>
      <c r="B4653" s="441" t="s">
        <v>4308</v>
      </c>
      <c r="C4653" s="545">
        <v>18.166666666666668</v>
      </c>
      <c r="D4653" s="545">
        <v>11.666666666666666</v>
      </c>
      <c r="E4653" s="545">
        <v>13.666666666666666</v>
      </c>
      <c r="F4653" s="545">
        <v>16.595238095238098</v>
      </c>
      <c r="G4653" s="545">
        <v>10.65</v>
      </c>
      <c r="H4653" s="545">
        <v>6</v>
      </c>
      <c r="I4653" s="545">
        <v>9.6666666666666661</v>
      </c>
      <c r="J4653" s="545">
        <v>9.8452380952380967</v>
      </c>
    </row>
    <row r="4654" spans="1:10">
      <c r="A4654" s="441">
        <v>8689</v>
      </c>
      <c r="B4654" s="441" t="s">
        <v>4308</v>
      </c>
      <c r="C4654" s="545">
        <v>18.333333333333332</v>
      </c>
      <c r="D4654" s="545">
        <v>11</v>
      </c>
      <c r="E4654" s="545">
        <v>17.333333333333332</v>
      </c>
      <c r="F4654" s="545">
        <v>17.142857142857142</v>
      </c>
      <c r="G4654" s="545">
        <v>10.6</v>
      </c>
      <c r="H4654" s="545">
        <v>7.333333333333333</v>
      </c>
      <c r="I4654" s="545">
        <v>7</v>
      </c>
      <c r="J4654" s="545">
        <v>9.6190476190476204</v>
      </c>
    </row>
    <row r="4655" spans="1:10">
      <c r="A4655" s="441">
        <v>8680</v>
      </c>
      <c r="B4655" s="441" t="s">
        <v>4309</v>
      </c>
      <c r="C4655" s="545">
        <v>4.666666666666667</v>
      </c>
      <c r="D4655" s="545">
        <v>3.6666666666666665</v>
      </c>
      <c r="E4655" s="545">
        <v>3.6666666666666665</v>
      </c>
      <c r="F4655" s="545">
        <v>4.3809523809523814</v>
      </c>
      <c r="G4655" s="545">
        <v>1.5</v>
      </c>
      <c r="H4655" s="545">
        <v>1</v>
      </c>
      <c r="I4655" s="545">
        <v>1.6666666666666667</v>
      </c>
      <c r="J4655" s="545">
        <v>1.4523809523809523</v>
      </c>
    </row>
    <row r="4656" spans="1:10">
      <c r="A4656" s="441">
        <v>10143</v>
      </c>
      <c r="B4656" s="441" t="s">
        <v>4309</v>
      </c>
      <c r="C4656" s="545">
        <v>6</v>
      </c>
      <c r="D4656" s="545">
        <v>7.666666666666667</v>
      </c>
      <c r="E4656" s="545">
        <v>4</v>
      </c>
      <c r="F4656" s="545">
        <v>5.9523809523809517</v>
      </c>
      <c r="G4656" s="545">
        <v>3.3</v>
      </c>
      <c r="H4656" s="545">
        <v>3</v>
      </c>
      <c r="I4656" s="545">
        <v>3.3333333333333335</v>
      </c>
      <c r="J4656" s="545">
        <v>3.2619047619047619</v>
      </c>
    </row>
    <row r="4657" spans="1:10">
      <c r="A4657" s="441">
        <v>8671</v>
      </c>
      <c r="B4657" s="441" t="s">
        <v>4310</v>
      </c>
      <c r="C4657" s="545">
        <v>21.5</v>
      </c>
      <c r="D4657" s="545">
        <v>16.666666666666664</v>
      </c>
      <c r="E4657" s="545">
        <v>15</v>
      </c>
      <c r="F4657" s="545">
        <v>19.88095238095238</v>
      </c>
      <c r="G4657" s="545">
        <v>15.3</v>
      </c>
      <c r="H4657" s="545">
        <v>8.3333333333333339</v>
      </c>
      <c r="I4657" s="545">
        <v>6.666666666666667</v>
      </c>
      <c r="J4657" s="545">
        <v>13.071428571428571</v>
      </c>
    </row>
    <row r="4658" spans="1:10">
      <c r="A4658" s="441">
        <v>8724</v>
      </c>
      <c r="B4658" s="441" t="s">
        <v>4310</v>
      </c>
      <c r="C4658" s="545">
        <v>33.333333333333336</v>
      </c>
      <c r="D4658" s="545">
        <v>25</v>
      </c>
      <c r="E4658" s="545">
        <v>27</v>
      </c>
      <c r="F4658" s="545">
        <v>31.238095238095241</v>
      </c>
      <c r="G4658" s="545">
        <v>19.100000000000001</v>
      </c>
      <c r="H4658" s="545">
        <v>16.666666666666668</v>
      </c>
      <c r="I4658" s="545">
        <v>11</v>
      </c>
      <c r="J4658" s="545">
        <v>17.595238095238095</v>
      </c>
    </row>
    <row r="4659" spans="1:10">
      <c r="A4659" s="441">
        <v>8725</v>
      </c>
      <c r="B4659" s="441" t="s">
        <v>4310</v>
      </c>
      <c r="C4659" s="545">
        <v>25</v>
      </c>
      <c r="D4659" s="545">
        <v>24.666666666666664</v>
      </c>
      <c r="E4659" s="545">
        <v>14</v>
      </c>
      <c r="F4659" s="545">
        <v>23.38095238095238</v>
      </c>
      <c r="G4659" s="545">
        <v>15.85</v>
      </c>
      <c r="H4659" s="545">
        <v>8.6666666666666661</v>
      </c>
      <c r="I4659" s="545">
        <v>11.333333333333334</v>
      </c>
      <c r="J4659" s="545">
        <v>14.178571428571429</v>
      </c>
    </row>
    <row r="4660" spans="1:10">
      <c r="A4660" s="441">
        <v>8688</v>
      </c>
      <c r="B4660" s="441" t="s">
        <v>4311</v>
      </c>
      <c r="C4660" s="545">
        <v>9.5</v>
      </c>
      <c r="D4660" s="545">
        <v>8.3333333333333339</v>
      </c>
      <c r="E4660" s="545">
        <v>9</v>
      </c>
      <c r="F4660" s="545">
        <v>9.2619047619047628</v>
      </c>
      <c r="G4660" s="545">
        <v>8.9499999999999993</v>
      </c>
      <c r="H4660" s="545">
        <v>4.666666666666667</v>
      </c>
      <c r="I4660" s="545">
        <v>14.666666666666666</v>
      </c>
      <c r="J4660" s="545">
        <v>9.1547619047619033</v>
      </c>
    </row>
    <row r="4661" spans="1:10">
      <c r="A4661" s="441">
        <v>8668</v>
      </c>
      <c r="B4661" s="441" t="s">
        <v>4312</v>
      </c>
      <c r="C4661" s="545">
        <v>8.5</v>
      </c>
      <c r="D4661" s="545">
        <v>5.6666666666666661</v>
      </c>
      <c r="E4661" s="545">
        <v>6.333333333333333</v>
      </c>
      <c r="F4661" s="545">
        <v>7.7857142857142856</v>
      </c>
      <c r="G4661" s="545">
        <v>9.25</v>
      </c>
      <c r="H4661" s="545">
        <v>4.333333333333333</v>
      </c>
      <c r="I4661" s="545">
        <v>5.666666666666667</v>
      </c>
      <c r="J4661" s="545">
        <v>8.0357142857142865</v>
      </c>
    </row>
    <row r="4662" spans="1:10">
      <c r="A4662" s="441">
        <v>8728</v>
      </c>
      <c r="B4662" s="441" t="s">
        <v>4312</v>
      </c>
      <c r="C4662" s="545">
        <v>6.666666666666667</v>
      </c>
      <c r="D4662" s="545">
        <v>6.666666666666667</v>
      </c>
      <c r="E4662" s="545">
        <v>5.666666666666667</v>
      </c>
      <c r="F4662" s="545">
        <v>6.5238095238095237</v>
      </c>
      <c r="G4662" s="545">
        <v>5.7</v>
      </c>
      <c r="H4662" s="545">
        <v>2.3333333333333335</v>
      </c>
      <c r="I4662" s="545">
        <v>4.333333333333333</v>
      </c>
      <c r="J4662" s="545">
        <v>5.0238095238095237</v>
      </c>
    </row>
    <row r="4663" spans="1:10">
      <c r="A4663" s="441">
        <v>8678</v>
      </c>
      <c r="B4663" s="441" t="s">
        <v>4313</v>
      </c>
      <c r="C4663" s="545">
        <v>6.5</v>
      </c>
      <c r="D4663" s="545">
        <v>5.3333333333333339</v>
      </c>
      <c r="E4663" s="545">
        <v>5.3333333333333339</v>
      </c>
      <c r="F4663" s="545">
        <v>6.166666666666667</v>
      </c>
      <c r="G4663" s="545">
        <v>8.4</v>
      </c>
      <c r="H4663" s="545">
        <v>14.666666666666666</v>
      </c>
      <c r="I4663" s="545">
        <v>9</v>
      </c>
      <c r="J4663" s="545">
        <v>9.3809523809523796</v>
      </c>
    </row>
    <row r="4664" spans="1:10">
      <c r="A4664" s="441">
        <v>12993</v>
      </c>
      <c r="B4664" s="441" t="s">
        <v>4314</v>
      </c>
      <c r="C4664" s="545">
        <v>32.333333333333329</v>
      </c>
      <c r="D4664" s="545">
        <v>19.666666666666668</v>
      </c>
      <c r="E4664" s="545">
        <v>18.333333333333336</v>
      </c>
      <c r="F4664" s="545">
        <v>28.523809523809518</v>
      </c>
      <c r="G4664" s="545">
        <v>17.399999999999999</v>
      </c>
      <c r="H4664" s="545">
        <v>23</v>
      </c>
      <c r="I4664" s="545">
        <v>17</v>
      </c>
      <c r="J4664" s="545">
        <v>18.142857142857142</v>
      </c>
    </row>
    <row r="4665" spans="1:10">
      <c r="A4665" s="441">
        <v>13031</v>
      </c>
      <c r="B4665" s="441" t="s">
        <v>4314</v>
      </c>
      <c r="C4665" s="545">
        <v>6.5</v>
      </c>
      <c r="D4665" s="545">
        <v>10.666666666666666</v>
      </c>
      <c r="E4665" s="545">
        <v>4</v>
      </c>
      <c r="F4665" s="545">
        <v>6.7380952380952381</v>
      </c>
      <c r="G4665" s="545">
        <v>5.3</v>
      </c>
      <c r="H4665" s="545">
        <v>1.3333333333333333</v>
      </c>
      <c r="I4665" s="545">
        <v>2.3333333333333335</v>
      </c>
      <c r="J4665" s="545">
        <v>4.3095238095238093</v>
      </c>
    </row>
    <row r="4666" spans="1:10">
      <c r="A4666" s="441">
        <v>11855</v>
      </c>
      <c r="B4666" s="441" t="s">
        <v>4315</v>
      </c>
      <c r="C4666" s="545">
        <v>52.333333333333329</v>
      </c>
      <c r="D4666" s="545">
        <v>53.666666666666664</v>
      </c>
      <c r="E4666" s="545">
        <v>47.333333333333329</v>
      </c>
      <c r="F4666" s="545">
        <v>51.809523809523803</v>
      </c>
      <c r="G4666" s="545">
        <v>25.45</v>
      </c>
      <c r="H4666" s="545">
        <v>22.333333333333332</v>
      </c>
      <c r="I4666" s="545">
        <v>16.333333333333332</v>
      </c>
      <c r="J4666" s="545">
        <v>23.702380952380956</v>
      </c>
    </row>
    <row r="4667" spans="1:10">
      <c r="A4667" s="441">
        <v>8686</v>
      </c>
      <c r="B4667" s="441" t="s">
        <v>4316</v>
      </c>
      <c r="C4667" s="545">
        <v>39.833333333333329</v>
      </c>
      <c r="D4667" s="545">
        <v>38.666666666666671</v>
      </c>
      <c r="E4667" s="545">
        <v>35</v>
      </c>
      <c r="F4667" s="545">
        <v>38.976190476190474</v>
      </c>
      <c r="G4667" s="545">
        <v>39.5</v>
      </c>
      <c r="H4667" s="545">
        <v>58.333333333333336</v>
      </c>
      <c r="I4667" s="545">
        <v>25.333333333333332</v>
      </c>
      <c r="J4667" s="545">
        <v>40.166666666666671</v>
      </c>
    </row>
    <row r="4668" spans="1:10">
      <c r="A4668" s="441">
        <v>2441</v>
      </c>
      <c r="B4668" s="441" t="s">
        <v>4317</v>
      </c>
      <c r="C4668" s="545">
        <v>6.666666666666667</v>
      </c>
      <c r="D4668" s="545">
        <v>4.6666666666666661</v>
      </c>
      <c r="E4668" s="545">
        <v>6.666666666666667</v>
      </c>
      <c r="F4668" s="545">
        <v>6.3809523809523805</v>
      </c>
      <c r="G4668" s="545">
        <v>7.1</v>
      </c>
      <c r="H4668" s="545">
        <v>14</v>
      </c>
      <c r="I4668" s="545">
        <v>3.6666666666666665</v>
      </c>
      <c r="J4668" s="545">
        <v>7.5952380952380949</v>
      </c>
    </row>
    <row r="4669" spans="1:10">
      <c r="A4669" s="441">
        <v>8899</v>
      </c>
      <c r="B4669" s="441" t="s">
        <v>4317</v>
      </c>
      <c r="C4669" s="545">
        <v>48.166666666666664</v>
      </c>
      <c r="D4669" s="545">
        <v>27.333333333333332</v>
      </c>
      <c r="E4669" s="545">
        <v>25</v>
      </c>
      <c r="F4669" s="545">
        <v>41.880952380952372</v>
      </c>
      <c r="G4669" s="545">
        <v>35.049999999999997</v>
      </c>
      <c r="H4669" s="545">
        <v>12.333333333333334</v>
      </c>
      <c r="I4669" s="545">
        <v>11.333333333333334</v>
      </c>
      <c r="J4669" s="545">
        <v>28.416666666666668</v>
      </c>
    </row>
    <row r="4670" spans="1:10">
      <c r="A4670" s="441">
        <v>8669</v>
      </c>
      <c r="B4670" s="441" t="s">
        <v>4318</v>
      </c>
      <c r="C4670" s="545">
        <v>21.666666666666668</v>
      </c>
      <c r="D4670" s="545">
        <v>13.666666666666668</v>
      </c>
      <c r="E4670" s="545">
        <v>11.333333333333332</v>
      </c>
      <c r="F4670" s="545">
        <v>19.047619047619047</v>
      </c>
      <c r="G4670" s="545">
        <v>17.75</v>
      </c>
      <c r="H4670" s="545">
        <v>13.666666666666666</v>
      </c>
      <c r="I4670" s="545">
        <v>7.333333333333333</v>
      </c>
      <c r="J4670" s="545">
        <v>15.678571428571429</v>
      </c>
    </row>
    <row r="4671" spans="1:10">
      <c r="A4671" s="441">
        <v>8727</v>
      </c>
      <c r="B4671" s="441" t="s">
        <v>4318</v>
      </c>
      <c r="C4671" s="545">
        <v>20.666666666666664</v>
      </c>
      <c r="D4671" s="545">
        <v>19</v>
      </c>
      <c r="E4671" s="545">
        <v>14.333333333333332</v>
      </c>
      <c r="F4671" s="545">
        <v>19.523809523809522</v>
      </c>
      <c r="G4671" s="545">
        <v>14.85</v>
      </c>
      <c r="H4671" s="545">
        <v>10</v>
      </c>
      <c r="I4671" s="545">
        <v>7.666666666666667</v>
      </c>
      <c r="J4671" s="545">
        <v>13.130952380952381</v>
      </c>
    </row>
    <row r="4672" spans="1:10">
      <c r="A4672" s="441">
        <v>8732</v>
      </c>
      <c r="B4672" s="441" t="s">
        <v>4319</v>
      </c>
      <c r="C4672" s="545">
        <v>28</v>
      </c>
      <c r="D4672" s="545">
        <v>16</v>
      </c>
      <c r="E4672" s="545">
        <v>20</v>
      </c>
      <c r="F4672" s="545">
        <v>25.142857142857142</v>
      </c>
      <c r="G4672" s="545">
        <v>11.55</v>
      </c>
      <c r="H4672" s="545">
        <v>5.666666666666667</v>
      </c>
      <c r="I4672" s="545">
        <v>7</v>
      </c>
      <c r="J4672" s="545">
        <v>10.059523809523808</v>
      </c>
    </row>
    <row r="4673" spans="1:10">
      <c r="A4673" s="441">
        <v>8909</v>
      </c>
      <c r="B4673" s="441" t="s">
        <v>4319</v>
      </c>
      <c r="C4673" s="545">
        <v>21</v>
      </c>
      <c r="D4673" s="545">
        <v>17.333333333333332</v>
      </c>
      <c r="E4673" s="545">
        <v>15.333333333333332</v>
      </c>
      <c r="F4673" s="545">
        <v>19.666666666666664</v>
      </c>
      <c r="G4673" s="545">
        <v>10</v>
      </c>
      <c r="H4673" s="545">
        <v>3.3333333333333335</v>
      </c>
      <c r="I4673" s="545">
        <v>8.6666666666666661</v>
      </c>
      <c r="J4673" s="545">
        <v>8.8571428571428577</v>
      </c>
    </row>
    <row r="4674" spans="1:10">
      <c r="A4674" s="441">
        <v>2434</v>
      </c>
      <c r="B4674" s="441" t="s">
        <v>4320</v>
      </c>
      <c r="C4674" s="545">
        <v>40.833333333333336</v>
      </c>
      <c r="D4674" s="545">
        <v>25.666666666666664</v>
      </c>
      <c r="E4674" s="545">
        <v>29.666666666666668</v>
      </c>
      <c r="F4674" s="545">
        <v>37.071428571428569</v>
      </c>
      <c r="G4674" s="545">
        <v>18.55</v>
      </c>
      <c r="H4674" s="545">
        <v>13</v>
      </c>
      <c r="I4674" s="545">
        <v>9.3333333333333339</v>
      </c>
      <c r="J4674" s="545">
        <v>16.44047619047619</v>
      </c>
    </row>
    <row r="4675" spans="1:10">
      <c r="A4675" s="441">
        <v>8905</v>
      </c>
      <c r="B4675" s="441" t="s">
        <v>4320</v>
      </c>
      <c r="C4675" s="545">
        <v>49.333333333333336</v>
      </c>
      <c r="D4675" s="545">
        <v>31</v>
      </c>
      <c r="E4675" s="545">
        <v>30</v>
      </c>
      <c r="F4675" s="545">
        <v>43.952380952380956</v>
      </c>
      <c r="G4675" s="545">
        <v>26</v>
      </c>
      <c r="H4675" s="545">
        <v>15.666666666666666</v>
      </c>
      <c r="I4675" s="545">
        <v>15.333333333333334</v>
      </c>
      <c r="J4675" s="545">
        <v>23</v>
      </c>
    </row>
    <row r="4676" spans="1:10">
      <c r="A4676" s="441">
        <v>5147</v>
      </c>
      <c r="B4676" s="441" t="s">
        <v>4321</v>
      </c>
      <c r="C4676" s="545">
        <v>89.666666666666657</v>
      </c>
      <c r="D4676" s="545">
        <v>74</v>
      </c>
      <c r="E4676" s="545">
        <v>44</v>
      </c>
      <c r="F4676" s="545">
        <v>80.904761904761898</v>
      </c>
      <c r="G4676" s="545">
        <v>42.6</v>
      </c>
      <c r="H4676" s="545">
        <v>27.666666666666668</v>
      </c>
      <c r="I4676" s="545">
        <v>21.333333333333332</v>
      </c>
      <c r="J4676" s="545">
        <v>37.428571428571431</v>
      </c>
    </row>
    <row r="4677" spans="1:10">
      <c r="A4677" s="441">
        <v>8906</v>
      </c>
      <c r="B4677" s="441" t="s">
        <v>4321</v>
      </c>
      <c r="C4677" s="545">
        <v>29.5</v>
      </c>
      <c r="D4677" s="545">
        <v>28.333333333333332</v>
      </c>
      <c r="E4677" s="545">
        <v>23.666666666666664</v>
      </c>
      <c r="F4677" s="545">
        <v>28.5</v>
      </c>
      <c r="G4677" s="545">
        <v>16.7</v>
      </c>
      <c r="H4677" s="545">
        <v>8.6666666666666661</v>
      </c>
      <c r="I4677" s="545">
        <v>6</v>
      </c>
      <c r="J4677" s="545">
        <v>14.023809523809524</v>
      </c>
    </row>
    <row r="4678" spans="1:10">
      <c r="A4678" s="441">
        <v>8681</v>
      </c>
      <c r="B4678" s="441" t="s">
        <v>4322</v>
      </c>
      <c r="C4678" s="545">
        <v>6.333333333333333</v>
      </c>
      <c r="D4678" s="545">
        <v>8.3333333333333339</v>
      </c>
      <c r="E4678" s="545">
        <v>8.6666666666666661</v>
      </c>
      <c r="F4678" s="545">
        <v>6.9523809523809517</v>
      </c>
      <c r="G4678" s="545">
        <v>4.1500000000000004</v>
      </c>
      <c r="H4678" s="545">
        <v>3.3333333333333335</v>
      </c>
      <c r="I4678" s="545">
        <v>2</v>
      </c>
      <c r="J4678" s="545">
        <v>3.7261904761904758</v>
      </c>
    </row>
    <row r="4679" spans="1:10">
      <c r="A4679" s="441">
        <v>8676</v>
      </c>
      <c r="B4679" s="441" t="s">
        <v>4323</v>
      </c>
      <c r="C4679" s="545">
        <v>54.666666666666664</v>
      </c>
      <c r="D4679" s="545">
        <v>59.333333333333329</v>
      </c>
      <c r="E4679" s="545">
        <v>52</v>
      </c>
      <c r="F4679" s="545">
        <v>54.952380952380949</v>
      </c>
      <c r="G4679" s="545">
        <v>33.15</v>
      </c>
      <c r="H4679" s="545">
        <v>27.333333333333332</v>
      </c>
      <c r="I4679" s="545">
        <v>21</v>
      </c>
      <c r="J4679" s="545">
        <v>30.583333333333336</v>
      </c>
    </row>
    <row r="4680" spans="1:10">
      <c r="A4680" s="441">
        <v>8691</v>
      </c>
      <c r="B4680" s="441" t="s">
        <v>4323</v>
      </c>
      <c r="C4680" s="545">
        <v>38</v>
      </c>
      <c r="D4680" s="545">
        <v>34.333333333333336</v>
      </c>
      <c r="E4680" s="545">
        <v>23.666666666666664</v>
      </c>
      <c r="F4680" s="545">
        <v>35.428571428571431</v>
      </c>
      <c r="G4680" s="545">
        <v>16.95</v>
      </c>
      <c r="H4680" s="545">
        <v>9</v>
      </c>
      <c r="I4680" s="545">
        <v>14.333333333333334</v>
      </c>
      <c r="J4680" s="545">
        <v>15.44047619047619</v>
      </c>
    </row>
    <row r="4681" spans="1:10">
      <c r="A4681" s="441">
        <v>8883</v>
      </c>
      <c r="B4681" s="441" t="s">
        <v>4324</v>
      </c>
      <c r="C4681" s="545">
        <v>40.333333333333329</v>
      </c>
      <c r="D4681" s="545">
        <v>33.333333333333336</v>
      </c>
      <c r="E4681" s="545">
        <v>21.666666666666664</v>
      </c>
      <c r="F4681" s="545">
        <v>36.666666666666664</v>
      </c>
      <c r="G4681" s="545">
        <v>13.35</v>
      </c>
      <c r="H4681" s="545">
        <v>32.666666666666664</v>
      </c>
      <c r="I4681" s="545">
        <v>9.3333333333333339</v>
      </c>
      <c r="J4681" s="545">
        <v>15.535714285714283</v>
      </c>
    </row>
    <row r="4682" spans="1:10">
      <c r="A4682" s="441">
        <v>8910</v>
      </c>
      <c r="B4682" s="441" t="s">
        <v>4324</v>
      </c>
      <c r="C4682" s="545">
        <v>31</v>
      </c>
      <c r="D4682" s="545">
        <v>27</v>
      </c>
      <c r="E4682" s="545">
        <v>21</v>
      </c>
      <c r="F4682" s="545">
        <v>29</v>
      </c>
      <c r="G4682" s="545">
        <v>12.35</v>
      </c>
      <c r="H4682" s="545">
        <v>15.333333333333334</v>
      </c>
      <c r="I4682" s="545">
        <v>18.666666666666668</v>
      </c>
      <c r="J4682" s="545">
        <v>13.678571428571429</v>
      </c>
    </row>
    <row r="4683" spans="1:10">
      <c r="A4683" s="441">
        <v>8733</v>
      </c>
      <c r="B4683" s="441" t="s">
        <v>4325</v>
      </c>
      <c r="C4683" s="545">
        <v>54.833333333333329</v>
      </c>
      <c r="D4683" s="545">
        <v>50.333333333333336</v>
      </c>
      <c r="E4683" s="545">
        <v>32.666666666666664</v>
      </c>
      <c r="F4683" s="545">
        <v>51.023809523809518</v>
      </c>
      <c r="G4683" s="545">
        <v>36.450000000000003</v>
      </c>
      <c r="H4683" s="545">
        <v>21.666666666666668</v>
      </c>
      <c r="I4683" s="545">
        <v>17.666666666666668</v>
      </c>
      <c r="J4683" s="545">
        <v>31.654761904761902</v>
      </c>
    </row>
    <row r="4684" spans="1:10">
      <c r="A4684" s="441">
        <v>8256</v>
      </c>
      <c r="B4684" s="441" t="s">
        <v>4326</v>
      </c>
      <c r="C4684" s="545">
        <v>23.333333333333332</v>
      </c>
      <c r="D4684" s="545">
        <v>18.333333333333332</v>
      </c>
      <c r="E4684" s="545">
        <v>14.333333333333334</v>
      </c>
      <c r="F4684" s="545">
        <v>21.333333333333336</v>
      </c>
      <c r="G4684" s="545">
        <v>13.6</v>
      </c>
      <c r="H4684" s="545">
        <v>5</v>
      </c>
      <c r="I4684" s="545">
        <v>6.666666666666667</v>
      </c>
      <c r="J4684" s="545">
        <v>11.380952380952381</v>
      </c>
    </row>
    <row r="4685" spans="1:10">
      <c r="A4685" s="441">
        <v>8731</v>
      </c>
      <c r="B4685" s="441" t="s">
        <v>4326</v>
      </c>
      <c r="C4685" s="545">
        <v>22.5</v>
      </c>
      <c r="D4685" s="545">
        <v>20.666666666666664</v>
      </c>
      <c r="E4685" s="545">
        <v>16.666666666666668</v>
      </c>
      <c r="F4685" s="545">
        <v>21.404761904761902</v>
      </c>
      <c r="G4685" s="545">
        <v>11.1</v>
      </c>
      <c r="H4685" s="545">
        <v>9.6666666666666661</v>
      </c>
      <c r="I4685" s="545">
        <v>12.333333333333334</v>
      </c>
      <c r="J4685" s="545">
        <v>11.071428571428571</v>
      </c>
    </row>
    <row r="4686" spans="1:10">
      <c r="A4686" s="441">
        <v>2440</v>
      </c>
      <c r="B4686" s="441" t="s">
        <v>4327</v>
      </c>
      <c r="C4686" s="545">
        <v>16</v>
      </c>
      <c r="D4686" s="545">
        <v>15</v>
      </c>
      <c r="E4686" s="545">
        <v>11.333333333333334</v>
      </c>
      <c r="F4686" s="545">
        <v>15.19047619047619</v>
      </c>
      <c r="G4686" s="545">
        <v>15.15</v>
      </c>
      <c r="H4686" s="545">
        <v>9.3333333333333339</v>
      </c>
      <c r="I4686" s="545">
        <v>6.666666666666667</v>
      </c>
      <c r="J4686" s="545">
        <v>13.107142857142858</v>
      </c>
    </row>
    <row r="4687" spans="1:10">
      <c r="A4687" s="441">
        <v>8900</v>
      </c>
      <c r="B4687" s="441" t="s">
        <v>4327</v>
      </c>
      <c r="C4687" s="545">
        <v>12.333333333333334</v>
      </c>
      <c r="D4687" s="545">
        <v>12</v>
      </c>
      <c r="E4687" s="545">
        <v>11</v>
      </c>
      <c r="F4687" s="545">
        <v>12.095238095238097</v>
      </c>
      <c r="G4687" s="545">
        <v>13.55</v>
      </c>
      <c r="H4687" s="545">
        <v>6.333333333333333</v>
      </c>
      <c r="I4687" s="545">
        <v>8</v>
      </c>
      <c r="J4687" s="545">
        <v>11.726190476190476</v>
      </c>
    </row>
    <row r="4688" spans="1:10">
      <c r="A4688" s="441">
        <v>8901</v>
      </c>
      <c r="B4688" s="441" t="s">
        <v>4327</v>
      </c>
      <c r="C4688" s="545">
        <v>3.333333333333333</v>
      </c>
      <c r="D4688" s="545">
        <v>2.333333333333333</v>
      </c>
      <c r="E4688" s="545">
        <v>4.6666666666666661</v>
      </c>
      <c r="F4688" s="545">
        <v>3.3809523809523805</v>
      </c>
      <c r="G4688" s="545">
        <v>1.9</v>
      </c>
      <c r="H4688" s="545">
        <v>2.3333333333333335</v>
      </c>
      <c r="I4688" s="545">
        <v>2.3333333333333335</v>
      </c>
      <c r="J4688" s="545">
        <v>2.0238095238095242</v>
      </c>
    </row>
    <row r="4689" spans="1:10">
      <c r="A4689" s="441">
        <v>8908</v>
      </c>
      <c r="B4689" s="441" t="s">
        <v>4328</v>
      </c>
      <c r="C4689" s="545">
        <v>52.5</v>
      </c>
      <c r="D4689" s="545">
        <v>53.666666666666664</v>
      </c>
      <c r="E4689" s="545">
        <v>41</v>
      </c>
      <c r="F4689" s="545">
        <v>51.023809523809526</v>
      </c>
      <c r="G4689" s="545">
        <v>41.05</v>
      </c>
      <c r="H4689" s="545">
        <v>30.333333333333332</v>
      </c>
      <c r="I4689" s="545">
        <v>22.333333333333332</v>
      </c>
      <c r="J4689" s="545">
        <v>36.845238095238095</v>
      </c>
    </row>
    <row r="4690" spans="1:10">
      <c r="A4690" s="441">
        <v>8670</v>
      </c>
      <c r="B4690" s="441" t="s">
        <v>4329</v>
      </c>
      <c r="C4690" s="545">
        <v>17.833333333333336</v>
      </c>
      <c r="D4690" s="545">
        <v>11</v>
      </c>
      <c r="E4690" s="545">
        <v>13</v>
      </c>
      <c r="F4690" s="545">
        <v>16.166666666666668</v>
      </c>
      <c r="G4690" s="545">
        <v>12.65</v>
      </c>
      <c r="H4690" s="545">
        <v>6.666666666666667</v>
      </c>
      <c r="I4690" s="545">
        <v>7.666666666666667</v>
      </c>
      <c r="J4690" s="545">
        <v>11.083333333333334</v>
      </c>
    </row>
    <row r="4691" spans="1:10">
      <c r="A4691" s="441">
        <v>10368</v>
      </c>
      <c r="B4691" s="441" t="s">
        <v>4329</v>
      </c>
      <c r="C4691" s="545">
        <v>16.666666666666664</v>
      </c>
      <c r="D4691" s="545">
        <v>9.3333333333333321</v>
      </c>
      <c r="E4691" s="545">
        <v>4.666666666666667</v>
      </c>
      <c r="F4691" s="545">
        <v>13.904761904761902</v>
      </c>
      <c r="G4691" s="545">
        <v>6.75</v>
      </c>
      <c r="H4691" s="545">
        <v>6.333333333333333</v>
      </c>
      <c r="I4691" s="545">
        <v>5.333333333333333</v>
      </c>
      <c r="J4691" s="545">
        <v>6.488095238095239</v>
      </c>
    </row>
    <row r="4692" spans="1:10">
      <c r="A4692" s="441">
        <v>11545</v>
      </c>
      <c r="B4692" s="441" t="s">
        <v>4329</v>
      </c>
      <c r="C4692" s="545">
        <v>8.5</v>
      </c>
      <c r="D4692" s="545">
        <v>3</v>
      </c>
      <c r="E4692" s="545">
        <v>5</v>
      </c>
      <c r="F4692" s="545">
        <v>7.2142857142857144</v>
      </c>
      <c r="G4692" s="545">
        <v>7.5</v>
      </c>
      <c r="H4692" s="545">
        <v>5.666666666666667</v>
      </c>
      <c r="I4692" s="545">
        <v>3.3333333333333335</v>
      </c>
      <c r="J4692" s="545">
        <v>6.6428571428571432</v>
      </c>
    </row>
    <row r="4693" spans="1:10">
      <c r="A4693" s="441">
        <v>8677</v>
      </c>
      <c r="B4693" s="441" t="s">
        <v>4330</v>
      </c>
      <c r="C4693" s="545">
        <v>10.333333333333334</v>
      </c>
      <c r="D4693" s="545">
        <v>8</v>
      </c>
      <c r="E4693" s="545">
        <v>4</v>
      </c>
      <c r="F4693" s="545">
        <v>9.0952380952380967</v>
      </c>
      <c r="G4693" s="545">
        <v>6.45</v>
      </c>
      <c r="H4693" s="545">
        <v>3.6666666666666665</v>
      </c>
      <c r="I4693" s="545">
        <v>2.6666666666666665</v>
      </c>
      <c r="J4693" s="545">
        <v>5.511904761904761</v>
      </c>
    </row>
    <row r="4694" spans="1:10">
      <c r="A4694" s="441">
        <v>8690</v>
      </c>
      <c r="B4694" s="441" t="s">
        <v>4330</v>
      </c>
      <c r="C4694" s="545">
        <v>21.5</v>
      </c>
      <c r="D4694" s="545">
        <v>22.333333333333336</v>
      </c>
      <c r="E4694" s="545">
        <v>14.666666666666668</v>
      </c>
      <c r="F4694" s="545">
        <v>20.642857142857142</v>
      </c>
      <c r="G4694" s="545">
        <v>13.6</v>
      </c>
      <c r="H4694" s="545">
        <v>9.6666666666666661</v>
      </c>
      <c r="I4694" s="545">
        <v>12.666666666666666</v>
      </c>
      <c r="J4694" s="545">
        <v>12.904761904761907</v>
      </c>
    </row>
    <row r="4695" spans="1:10">
      <c r="A4695" s="441">
        <v>8726</v>
      </c>
      <c r="B4695" s="441" t="s">
        <v>4331</v>
      </c>
      <c r="C4695" s="545">
        <v>12.5</v>
      </c>
      <c r="D4695" s="545">
        <v>6.666666666666667</v>
      </c>
      <c r="E4695" s="545">
        <v>2.666666666666667</v>
      </c>
      <c r="F4695" s="545">
        <v>10.261904761904763</v>
      </c>
      <c r="G4695" s="545">
        <v>7.7</v>
      </c>
      <c r="H4695" s="545">
        <v>13</v>
      </c>
      <c r="I4695" s="545">
        <v>5.333333333333333</v>
      </c>
      <c r="J4695" s="545">
        <v>8.1190476190476186</v>
      </c>
    </row>
    <row r="4696" spans="1:10">
      <c r="A4696" s="441">
        <v>2436</v>
      </c>
      <c r="B4696" s="441" t="s">
        <v>4332</v>
      </c>
      <c r="C4696" s="545">
        <v>21.833333333333336</v>
      </c>
      <c r="D4696" s="545">
        <v>18.666666666666664</v>
      </c>
      <c r="E4696" s="545">
        <v>13.333333333333332</v>
      </c>
      <c r="F4696" s="545">
        <v>20.166666666666668</v>
      </c>
      <c r="G4696" s="545">
        <v>17.55</v>
      </c>
      <c r="H4696" s="545">
        <v>14.666666666666666</v>
      </c>
      <c r="I4696" s="545">
        <v>14.666666666666666</v>
      </c>
      <c r="J4696" s="545">
        <v>16.726190476190478</v>
      </c>
    </row>
    <row r="4697" spans="1:10">
      <c r="A4697" s="441">
        <v>8734</v>
      </c>
      <c r="B4697" s="441" t="s">
        <v>4333</v>
      </c>
      <c r="C4697" s="545">
        <v>97</v>
      </c>
      <c r="D4697" s="545">
        <v>73.666666666666671</v>
      </c>
      <c r="E4697" s="545">
        <v>57</v>
      </c>
      <c r="F4697" s="545">
        <v>87.952380952380949</v>
      </c>
      <c r="G4697" s="545">
        <v>49.75</v>
      </c>
      <c r="H4697" s="545">
        <v>41.333333333333336</v>
      </c>
      <c r="I4697" s="545">
        <v>30.666666666666668</v>
      </c>
      <c r="J4697" s="545">
        <v>45.821428571428569</v>
      </c>
    </row>
    <row r="4698" spans="1:10">
      <c r="A4698" s="441">
        <v>8907</v>
      </c>
      <c r="B4698" s="441" t="s">
        <v>4333</v>
      </c>
      <c r="C4698" s="545">
        <v>125</v>
      </c>
      <c r="D4698" s="545">
        <v>100.33333333333334</v>
      </c>
      <c r="E4698" s="545">
        <v>87.666666666666657</v>
      </c>
      <c r="F4698" s="545">
        <v>116.14285714285714</v>
      </c>
      <c r="G4698" s="545">
        <v>66.099999999999994</v>
      </c>
      <c r="H4698" s="545">
        <v>51.666666666666664</v>
      </c>
      <c r="I4698" s="545">
        <v>36.333333333333336</v>
      </c>
      <c r="J4698" s="545">
        <v>59.785714285714285</v>
      </c>
    </row>
    <row r="4699" spans="1:10">
      <c r="A4699" s="441">
        <v>8682</v>
      </c>
      <c r="B4699" s="441" t="s">
        <v>4334</v>
      </c>
      <c r="C4699" s="545">
        <v>42.833333333333336</v>
      </c>
      <c r="D4699" s="545">
        <v>40</v>
      </c>
      <c r="E4699" s="545">
        <v>27</v>
      </c>
      <c r="F4699" s="545">
        <v>40.166666666666671</v>
      </c>
      <c r="G4699" s="545">
        <v>29.95</v>
      </c>
      <c r="H4699" s="545">
        <v>19</v>
      </c>
      <c r="I4699" s="545">
        <v>16.333333333333332</v>
      </c>
      <c r="J4699" s="545">
        <v>26.440476190476193</v>
      </c>
    </row>
    <row r="4700" spans="1:10">
      <c r="A4700" s="441">
        <v>8683</v>
      </c>
      <c r="B4700" s="441" t="s">
        <v>4334</v>
      </c>
      <c r="C4700" s="545">
        <v>133.33333333333331</v>
      </c>
      <c r="D4700" s="545">
        <v>90</v>
      </c>
      <c r="E4700" s="545">
        <v>81</v>
      </c>
      <c r="F4700" s="545">
        <v>119.66666666666664</v>
      </c>
      <c r="G4700" s="545">
        <v>73.3</v>
      </c>
      <c r="H4700" s="545">
        <v>58.333333333333336</v>
      </c>
      <c r="I4700" s="545">
        <v>46</v>
      </c>
      <c r="J4700" s="545">
        <v>67.261904761904759</v>
      </c>
    </row>
    <row r="4701" spans="1:10">
      <c r="A4701" s="441">
        <v>8687</v>
      </c>
      <c r="B4701" s="441" t="s">
        <v>4334</v>
      </c>
      <c r="C4701" s="545">
        <v>61.666666666666664</v>
      </c>
      <c r="D4701" s="545">
        <v>51</v>
      </c>
      <c r="E4701" s="545">
        <v>50</v>
      </c>
      <c r="F4701" s="545">
        <v>58.476190476190474</v>
      </c>
      <c r="G4701" s="545">
        <v>42</v>
      </c>
      <c r="H4701" s="545">
        <v>33.333333333333336</v>
      </c>
      <c r="I4701" s="545">
        <v>30.333333333333332</v>
      </c>
      <c r="J4701" s="545">
        <v>39.095238095238095</v>
      </c>
    </row>
    <row r="4702" spans="1:10">
      <c r="A4702" s="441">
        <v>2435</v>
      </c>
      <c r="B4702" s="441" t="s">
        <v>4335</v>
      </c>
      <c r="C4702" s="545">
        <v>32.333333333333336</v>
      </c>
      <c r="D4702" s="545">
        <v>28.666666666666668</v>
      </c>
      <c r="E4702" s="545">
        <v>21.333333333333336</v>
      </c>
      <c r="F4702" s="545">
        <v>30.238095238095241</v>
      </c>
      <c r="G4702" s="545">
        <v>16.5</v>
      </c>
      <c r="H4702" s="545">
        <v>6.666666666666667</v>
      </c>
      <c r="I4702" s="545">
        <v>15.333333333333334</v>
      </c>
      <c r="J4702" s="545">
        <v>14.928571428571429</v>
      </c>
    </row>
    <row r="4703" spans="1:10">
      <c r="A4703" s="441">
        <v>8904</v>
      </c>
      <c r="B4703" s="441" t="s">
        <v>4335</v>
      </c>
      <c r="C4703" s="545">
        <v>47.5</v>
      </c>
      <c r="D4703" s="545">
        <v>39.666666666666671</v>
      </c>
      <c r="E4703" s="545">
        <v>35</v>
      </c>
      <c r="F4703" s="545">
        <v>44.595238095238095</v>
      </c>
      <c r="G4703" s="545">
        <v>28.4</v>
      </c>
      <c r="H4703" s="545">
        <v>19.666666666666668</v>
      </c>
      <c r="I4703" s="545">
        <v>25.666666666666668</v>
      </c>
      <c r="J4703" s="545">
        <v>26.761904761904759</v>
      </c>
    </row>
    <row r="4704" spans="1:10">
      <c r="A4704" s="441">
        <v>3216</v>
      </c>
      <c r="B4704" s="441" t="s">
        <v>4336</v>
      </c>
      <c r="C4704" s="545">
        <v>26.833333333333332</v>
      </c>
      <c r="D4704" s="545">
        <v>16</v>
      </c>
      <c r="E4704" s="545">
        <v>13</v>
      </c>
      <c r="F4704" s="545">
        <v>23.309523809523807</v>
      </c>
      <c r="G4704" s="545">
        <v>12.6</v>
      </c>
      <c r="H4704" s="545">
        <v>3.6666666666666665</v>
      </c>
      <c r="I4704" s="545">
        <v>4.333333333333333</v>
      </c>
      <c r="J4704" s="545">
        <v>10.142857142857142</v>
      </c>
    </row>
    <row r="4705" spans="1:10">
      <c r="A4705" s="441">
        <v>3229</v>
      </c>
      <c r="B4705" s="441" t="s">
        <v>4337</v>
      </c>
      <c r="C4705" s="545">
        <v>24.833333333333332</v>
      </c>
      <c r="D4705" s="545">
        <v>13</v>
      </c>
      <c r="E4705" s="545">
        <v>7.3333333333333339</v>
      </c>
      <c r="F4705" s="545">
        <v>20.642857142857142</v>
      </c>
      <c r="G4705" s="545">
        <v>11.95</v>
      </c>
      <c r="H4705" s="545">
        <v>5.333333333333333</v>
      </c>
      <c r="I4705" s="545">
        <v>5.333333333333333</v>
      </c>
      <c r="J4705" s="545">
        <v>10.059523809523808</v>
      </c>
    </row>
    <row r="4706" spans="1:10">
      <c r="A4706" s="441">
        <v>3231</v>
      </c>
      <c r="B4706" s="441" t="s">
        <v>4338</v>
      </c>
      <c r="C4706" s="545">
        <v>17</v>
      </c>
      <c r="D4706" s="545">
        <v>10.333333333333334</v>
      </c>
      <c r="E4706" s="545">
        <v>9.3333333333333321</v>
      </c>
      <c r="F4706" s="545">
        <v>14.952380952380951</v>
      </c>
      <c r="G4706" s="545">
        <v>15.1</v>
      </c>
      <c r="H4706" s="545">
        <v>5.666666666666667</v>
      </c>
      <c r="I4706" s="545">
        <v>11.333333333333334</v>
      </c>
      <c r="J4706" s="545">
        <v>13.214285714285714</v>
      </c>
    </row>
    <row r="4707" spans="1:10">
      <c r="A4707" s="441">
        <v>3208</v>
      </c>
      <c r="B4707" s="441" t="s">
        <v>4339</v>
      </c>
      <c r="C4707" s="545">
        <v>3.333333333333333</v>
      </c>
      <c r="D4707" s="545">
        <v>3</v>
      </c>
      <c r="E4707" s="545">
        <v>7</v>
      </c>
      <c r="F4707" s="545">
        <v>3.8095238095238093</v>
      </c>
      <c r="G4707" s="545">
        <v>4.55</v>
      </c>
      <c r="H4707" s="545">
        <v>4.666666666666667</v>
      </c>
      <c r="I4707" s="545">
        <v>7.333333333333333</v>
      </c>
      <c r="J4707" s="545">
        <v>4.9642857142857144</v>
      </c>
    </row>
    <row r="4708" spans="1:10">
      <c r="A4708" s="441">
        <v>3237</v>
      </c>
      <c r="B4708" s="441" t="s">
        <v>4339</v>
      </c>
      <c r="C4708" s="545">
        <v>4.333333333333333</v>
      </c>
      <c r="D4708" s="545">
        <v>2.333333333333333</v>
      </c>
      <c r="E4708" s="545">
        <v>1.6666666666666667</v>
      </c>
      <c r="F4708" s="545">
        <v>3.6666666666666665</v>
      </c>
      <c r="G4708" s="545">
        <v>6.3</v>
      </c>
      <c r="H4708" s="545">
        <v>2</v>
      </c>
      <c r="I4708" s="545">
        <v>2.6666666666666665</v>
      </c>
      <c r="J4708" s="545">
        <v>5.1666666666666661</v>
      </c>
    </row>
    <row r="4709" spans="1:10">
      <c r="A4709" s="441">
        <v>3215</v>
      </c>
      <c r="B4709" s="441" t="s">
        <v>4340</v>
      </c>
      <c r="C4709" s="545">
        <v>29</v>
      </c>
      <c r="D4709" s="545">
        <v>15</v>
      </c>
      <c r="E4709" s="545">
        <v>10.666666666666668</v>
      </c>
      <c r="F4709" s="545">
        <v>24.38095238095238</v>
      </c>
      <c r="G4709" s="545">
        <v>12.6</v>
      </c>
      <c r="H4709" s="545">
        <v>6.666666666666667</v>
      </c>
      <c r="I4709" s="545">
        <v>12.666666666666666</v>
      </c>
      <c r="J4709" s="545">
        <v>11.761904761904763</v>
      </c>
    </row>
    <row r="4710" spans="1:10">
      <c r="A4710" s="441">
        <v>3230</v>
      </c>
      <c r="B4710" s="441" t="s">
        <v>4340</v>
      </c>
      <c r="C4710" s="545">
        <v>23.5</v>
      </c>
      <c r="D4710" s="545">
        <v>18</v>
      </c>
      <c r="E4710" s="545">
        <v>12.333333333333334</v>
      </c>
      <c r="F4710" s="545">
        <v>21.11904761904762</v>
      </c>
      <c r="G4710" s="545">
        <v>13.6</v>
      </c>
      <c r="H4710" s="545">
        <v>7</v>
      </c>
      <c r="I4710" s="545">
        <v>7.333333333333333</v>
      </c>
      <c r="J4710" s="545">
        <v>11.761904761904761</v>
      </c>
    </row>
    <row r="4711" spans="1:10">
      <c r="A4711" s="441">
        <v>573</v>
      </c>
      <c r="B4711" s="441" t="s">
        <v>4341</v>
      </c>
      <c r="C4711" s="545">
        <v>468.33333333333331</v>
      </c>
      <c r="D4711" s="545">
        <v>15.666666666666666</v>
      </c>
      <c r="E4711" s="545">
        <v>6</v>
      </c>
      <c r="F4711" s="545">
        <v>337.61904761904759</v>
      </c>
      <c r="G4711" s="545">
        <v>139.5</v>
      </c>
      <c r="H4711" s="545">
        <v>13.333333333333334</v>
      </c>
      <c r="I4711" s="545">
        <v>7.333333333333333</v>
      </c>
      <c r="J4711" s="545">
        <v>102.5952380952381</v>
      </c>
    </row>
    <row r="4712" spans="1:10">
      <c r="A4712" s="441">
        <v>581</v>
      </c>
      <c r="B4712" s="441" t="s">
        <v>4342</v>
      </c>
      <c r="C4712" s="545">
        <v>1087</v>
      </c>
      <c r="D4712" s="545">
        <v>177.33333333333331</v>
      </c>
      <c r="E4712" s="545">
        <v>123</v>
      </c>
      <c r="F4712" s="545">
        <v>819.33333333333326</v>
      </c>
      <c r="G4712" s="545">
        <v>456.2</v>
      </c>
      <c r="H4712" s="545">
        <v>75.666666666666671</v>
      </c>
      <c r="I4712" s="545">
        <v>74.333333333333329</v>
      </c>
      <c r="J4712" s="545">
        <v>347.28571428571428</v>
      </c>
    </row>
    <row r="4713" spans="1:10">
      <c r="A4713" s="441">
        <v>574</v>
      </c>
      <c r="B4713" s="441" t="s">
        <v>4343</v>
      </c>
      <c r="C4713" s="545">
        <v>297.66666666666669</v>
      </c>
      <c r="D4713" s="545">
        <v>0</v>
      </c>
      <c r="E4713" s="545">
        <v>0</v>
      </c>
      <c r="F4713" s="545">
        <v>212.61904761904765</v>
      </c>
      <c r="G4713" s="545">
        <v>127.55</v>
      </c>
      <c r="H4713" s="545"/>
      <c r="I4713" s="545"/>
      <c r="J4713" s="545">
        <v>91.107142857142861</v>
      </c>
    </row>
    <row r="4714" spans="1:10">
      <c r="A4714" s="441">
        <v>585</v>
      </c>
      <c r="B4714" s="441" t="s">
        <v>4344</v>
      </c>
      <c r="C4714" s="545">
        <v>143.83333333333331</v>
      </c>
      <c r="D4714" s="545">
        <v>10.333333333333332</v>
      </c>
      <c r="E4714" s="545">
        <v>10</v>
      </c>
      <c r="F4714" s="545">
        <v>105.64285714285712</v>
      </c>
      <c r="G4714" s="545">
        <v>77.05</v>
      </c>
      <c r="H4714" s="545">
        <v>6.666666666666667</v>
      </c>
      <c r="I4714" s="545">
        <v>7</v>
      </c>
      <c r="J4714" s="545">
        <v>56.988095238095241</v>
      </c>
    </row>
    <row r="4715" spans="1:10">
      <c r="A4715" s="441">
        <v>576</v>
      </c>
      <c r="B4715" s="441" t="s">
        <v>4345</v>
      </c>
      <c r="C4715" s="545">
        <v>1208.8333333333333</v>
      </c>
      <c r="D4715" s="545">
        <v>0</v>
      </c>
      <c r="E4715" s="545">
        <v>0</v>
      </c>
      <c r="F4715" s="545">
        <v>863.45238095238085</v>
      </c>
      <c r="G4715" s="545">
        <v>324.64999999999998</v>
      </c>
      <c r="H4715" s="545"/>
      <c r="I4715" s="545"/>
      <c r="J4715" s="545">
        <v>231.89285714285714</v>
      </c>
    </row>
    <row r="4716" spans="1:10">
      <c r="A4716" s="441">
        <v>610</v>
      </c>
      <c r="B4716" s="441" t="s">
        <v>4346</v>
      </c>
      <c r="C4716" s="545">
        <v>162.66666666666669</v>
      </c>
      <c r="D4716" s="545">
        <v>19.666666666666668</v>
      </c>
      <c r="E4716" s="545">
        <v>19.333333333333332</v>
      </c>
      <c r="F4716" s="545">
        <v>121.76190476190479</v>
      </c>
      <c r="G4716" s="545">
        <v>64.25</v>
      </c>
      <c r="H4716" s="545">
        <v>33</v>
      </c>
      <c r="I4716" s="545">
        <v>26</v>
      </c>
      <c r="J4716" s="545">
        <v>54.321428571428569</v>
      </c>
    </row>
    <row r="4717" spans="1:10">
      <c r="A4717" s="441">
        <v>10594</v>
      </c>
      <c r="B4717" s="441" t="s">
        <v>4347</v>
      </c>
      <c r="C4717" s="545">
        <v>9.8333333333333321</v>
      </c>
      <c r="D4717" s="545">
        <v>0</v>
      </c>
      <c r="E4717" s="545">
        <v>0</v>
      </c>
      <c r="F4717" s="545">
        <v>7.0238095238095228</v>
      </c>
      <c r="G4717" s="545">
        <v>3.8</v>
      </c>
      <c r="H4717" s="545"/>
      <c r="I4717" s="545"/>
      <c r="J4717" s="545">
        <v>2.7142857142857144</v>
      </c>
    </row>
    <row r="4718" spans="1:10">
      <c r="A4718" s="441">
        <v>570</v>
      </c>
      <c r="B4718" s="441" t="s">
        <v>4348</v>
      </c>
      <c r="C4718" s="545">
        <v>441.83333333333331</v>
      </c>
      <c r="D4718" s="545">
        <v>0</v>
      </c>
      <c r="E4718" s="545">
        <v>0</v>
      </c>
      <c r="F4718" s="545">
        <v>315.59523809523807</v>
      </c>
      <c r="G4718" s="545">
        <v>60.1</v>
      </c>
      <c r="H4718" s="545"/>
      <c r="I4718" s="545"/>
      <c r="J4718" s="545">
        <v>42.928571428571431</v>
      </c>
    </row>
    <row r="4719" spans="1:10">
      <c r="A4719" s="441">
        <v>577</v>
      </c>
      <c r="B4719" s="441" t="s">
        <v>4349</v>
      </c>
      <c r="C4719" s="545">
        <v>1655.5</v>
      </c>
      <c r="D4719" s="545">
        <v>82</v>
      </c>
      <c r="E4719" s="545">
        <v>68.333333333333329</v>
      </c>
      <c r="F4719" s="545">
        <v>1203.9761904761906</v>
      </c>
      <c r="G4719" s="545">
        <v>503.65</v>
      </c>
      <c r="H4719" s="545">
        <v>55.333333333333336</v>
      </c>
      <c r="I4719" s="545">
        <v>46</v>
      </c>
      <c r="J4719" s="545">
        <v>374.22619047619048</v>
      </c>
    </row>
    <row r="4720" spans="1:10">
      <c r="A4720" s="441">
        <v>572</v>
      </c>
      <c r="B4720" s="441" t="s">
        <v>4350</v>
      </c>
      <c r="C4720" s="545">
        <v>700.66666666666674</v>
      </c>
      <c r="D4720" s="545">
        <v>0</v>
      </c>
      <c r="E4720" s="545">
        <v>0</v>
      </c>
      <c r="F4720" s="545">
        <v>500.47619047619054</v>
      </c>
      <c r="G4720" s="545">
        <v>223.6</v>
      </c>
      <c r="H4720" s="545"/>
      <c r="I4720" s="545"/>
      <c r="J4720" s="545">
        <v>159.71428571428572</v>
      </c>
    </row>
    <row r="4721" spans="1:10">
      <c r="A4721" s="441">
        <v>613</v>
      </c>
      <c r="B4721" s="441" t="s">
        <v>4351</v>
      </c>
      <c r="C4721" s="545">
        <v>27.5</v>
      </c>
      <c r="D4721" s="545">
        <v>0</v>
      </c>
      <c r="E4721" s="545">
        <v>0</v>
      </c>
      <c r="F4721" s="545">
        <v>19.642857142857142</v>
      </c>
      <c r="G4721" s="545">
        <v>6.5</v>
      </c>
      <c r="H4721" s="545"/>
      <c r="I4721" s="545"/>
      <c r="J4721" s="545">
        <v>4.6428571428571432</v>
      </c>
    </row>
    <row r="4722" spans="1:10">
      <c r="A4722" s="441">
        <v>578</v>
      </c>
      <c r="B4722" s="441" t="s">
        <v>4352</v>
      </c>
      <c r="C4722" s="545">
        <v>1049.8333333333333</v>
      </c>
      <c r="D4722" s="545">
        <v>0</v>
      </c>
      <c r="E4722" s="545">
        <v>0</v>
      </c>
      <c r="F4722" s="545">
        <v>749.88095238095229</v>
      </c>
      <c r="G4722" s="545">
        <v>301.55</v>
      </c>
      <c r="H4722" s="545"/>
      <c r="I4722" s="545"/>
      <c r="J4722" s="545">
        <v>215.39285714285714</v>
      </c>
    </row>
    <row r="4723" spans="1:10">
      <c r="A4723" s="441">
        <v>571</v>
      </c>
      <c r="B4723" s="441" t="s">
        <v>4353</v>
      </c>
      <c r="C4723" s="545">
        <v>641.66666666666663</v>
      </c>
      <c r="D4723" s="545">
        <v>15</v>
      </c>
      <c r="E4723" s="545">
        <v>8.6666666666666661</v>
      </c>
      <c r="F4723" s="545">
        <v>461.71428571428567</v>
      </c>
      <c r="G4723" s="545">
        <v>84.1</v>
      </c>
      <c r="H4723" s="545">
        <v>11.666666666666666</v>
      </c>
      <c r="I4723" s="545">
        <v>7.666666666666667</v>
      </c>
      <c r="J4723" s="545">
        <v>62.833333333333336</v>
      </c>
    </row>
    <row r="4724" spans="1:10">
      <c r="A4724" s="441">
        <v>616</v>
      </c>
      <c r="B4724" s="441" t="s">
        <v>4354</v>
      </c>
      <c r="C4724" s="545">
        <v>52.666666666666664</v>
      </c>
      <c r="D4724" s="545">
        <v>0</v>
      </c>
      <c r="E4724" s="545">
        <v>0</v>
      </c>
      <c r="F4724" s="545">
        <v>37.619047619047613</v>
      </c>
      <c r="G4724" s="545">
        <v>24.8</v>
      </c>
      <c r="H4724" s="545">
        <v>9</v>
      </c>
      <c r="I4724" s="545">
        <v>3</v>
      </c>
      <c r="J4724" s="545">
        <v>19.428571428571427</v>
      </c>
    </row>
    <row r="4725" spans="1:10">
      <c r="A4725" s="441">
        <v>575</v>
      </c>
      <c r="B4725" s="441" t="s">
        <v>4355</v>
      </c>
      <c r="C4725" s="545">
        <v>376.33333333333337</v>
      </c>
      <c r="D4725" s="545">
        <v>20.333333333333332</v>
      </c>
      <c r="E4725" s="545">
        <v>16.333333333333332</v>
      </c>
      <c r="F4725" s="545">
        <v>274.04761904761909</v>
      </c>
      <c r="G4725" s="545">
        <v>107.15</v>
      </c>
      <c r="H4725" s="545">
        <v>17.666666666666668</v>
      </c>
      <c r="I4725" s="545">
        <v>13</v>
      </c>
      <c r="J4725" s="545">
        <v>80.916666666666657</v>
      </c>
    </row>
    <row r="4726" spans="1:10">
      <c r="A4726" s="441">
        <v>583</v>
      </c>
      <c r="B4726" s="441" t="s">
        <v>4356</v>
      </c>
      <c r="C4726" s="545">
        <v>281.16666666666669</v>
      </c>
      <c r="D4726" s="545">
        <v>83.333333333333343</v>
      </c>
      <c r="E4726" s="545">
        <v>72.666666666666671</v>
      </c>
      <c r="F4726" s="545">
        <v>223.11904761904765</v>
      </c>
      <c r="G4726" s="545">
        <v>167.3</v>
      </c>
      <c r="H4726" s="545">
        <v>83.333333333333329</v>
      </c>
      <c r="I4726" s="545">
        <v>77.666666666666671</v>
      </c>
      <c r="J4726" s="545">
        <v>142.5</v>
      </c>
    </row>
    <row r="4727" spans="1:10">
      <c r="A4727" s="441">
        <v>12196</v>
      </c>
      <c r="B4727" s="441" t="s">
        <v>4357</v>
      </c>
      <c r="C4727" s="545">
        <v>267.33333333333337</v>
      </c>
      <c r="D4727" s="545">
        <v>39.333333333333329</v>
      </c>
      <c r="E4727" s="545">
        <v>32.333333333333336</v>
      </c>
      <c r="F4727" s="545">
        <v>201.1904761904762</v>
      </c>
      <c r="G4727" s="545">
        <v>85.5</v>
      </c>
      <c r="H4727" s="545">
        <v>31.666666666666668</v>
      </c>
      <c r="I4727" s="545">
        <v>32.333333333333336</v>
      </c>
      <c r="J4727" s="545">
        <v>70.214285714285708</v>
      </c>
    </row>
    <row r="4728" spans="1:10">
      <c r="A4728" s="441">
        <v>580</v>
      </c>
      <c r="B4728" s="441" t="s">
        <v>4358</v>
      </c>
      <c r="C4728" s="545">
        <v>450.33333333333337</v>
      </c>
      <c r="D4728" s="545">
        <v>0</v>
      </c>
      <c r="E4728" s="545">
        <v>0</v>
      </c>
      <c r="F4728" s="545">
        <v>321.66666666666669</v>
      </c>
      <c r="G4728" s="545">
        <v>126.9</v>
      </c>
      <c r="H4728" s="545"/>
      <c r="I4728" s="545"/>
      <c r="J4728" s="545">
        <v>90.642857142857139</v>
      </c>
    </row>
    <row r="4729" spans="1:10">
      <c r="A4729" s="441">
        <v>617</v>
      </c>
      <c r="B4729" s="441" t="s">
        <v>4359</v>
      </c>
      <c r="C4729" s="545">
        <v>440.5</v>
      </c>
      <c r="D4729" s="545">
        <v>0</v>
      </c>
      <c r="E4729" s="545">
        <v>0</v>
      </c>
      <c r="F4729" s="545">
        <v>314.64285714285717</v>
      </c>
      <c r="G4729" s="545">
        <v>128</v>
      </c>
      <c r="H4729" s="545"/>
      <c r="I4729" s="545"/>
      <c r="J4729" s="545">
        <v>91.428571428571431</v>
      </c>
    </row>
    <row r="4730" spans="1:10">
      <c r="A4730" s="441">
        <v>582</v>
      </c>
      <c r="B4730" s="441" t="s">
        <v>4360</v>
      </c>
      <c r="C4730" s="545">
        <v>656.33333333333326</v>
      </c>
      <c r="D4730" s="545">
        <v>11.666666666666668</v>
      </c>
      <c r="E4730" s="545">
        <v>4.3333333333333339</v>
      </c>
      <c r="F4730" s="545">
        <v>471.09523809523802</v>
      </c>
      <c r="G4730" s="545">
        <v>266.7</v>
      </c>
      <c r="H4730" s="545"/>
      <c r="I4730" s="545"/>
      <c r="J4730" s="545">
        <v>190.5</v>
      </c>
    </row>
    <row r="4731" spans="1:10">
      <c r="A4731" s="441">
        <v>579</v>
      </c>
      <c r="B4731" s="441" t="s">
        <v>4361</v>
      </c>
      <c r="C4731" s="545">
        <v>801.83333333333326</v>
      </c>
      <c r="D4731" s="545">
        <v>100.66666666666666</v>
      </c>
      <c r="E4731" s="545">
        <v>60</v>
      </c>
      <c r="F4731" s="545">
        <v>595.69047619047615</v>
      </c>
      <c r="G4731" s="545">
        <v>273.89999999999998</v>
      </c>
      <c r="H4731" s="545">
        <v>44.333333333333336</v>
      </c>
      <c r="I4731" s="545">
        <v>34.666666666666664</v>
      </c>
      <c r="J4731" s="545">
        <v>206.92857142857142</v>
      </c>
    </row>
    <row r="4732" spans="1:10">
      <c r="A4732" s="441">
        <v>10694</v>
      </c>
      <c r="B4732" s="441" t="s">
        <v>4362</v>
      </c>
      <c r="C4732" s="545">
        <v>93</v>
      </c>
      <c r="D4732" s="545">
        <v>30</v>
      </c>
      <c r="E4732" s="545">
        <v>49.666666666666671</v>
      </c>
      <c r="F4732" s="545">
        <v>77.80952380952381</v>
      </c>
      <c r="G4732" s="545">
        <v>31.85</v>
      </c>
      <c r="H4732" s="545">
        <v>41.333333333333336</v>
      </c>
      <c r="I4732" s="545">
        <v>41</v>
      </c>
      <c r="J4732" s="545">
        <v>34.511904761904766</v>
      </c>
    </row>
    <row r="4733" spans="1:10">
      <c r="A4733" s="441">
        <v>6809</v>
      </c>
      <c r="B4733" s="441" t="s">
        <v>4363</v>
      </c>
      <c r="C4733" s="545">
        <v>176.5</v>
      </c>
      <c r="D4733" s="545">
        <v>126.33333333333334</v>
      </c>
      <c r="E4733" s="545">
        <v>108</v>
      </c>
      <c r="F4733" s="545">
        <v>159.54761904761907</v>
      </c>
      <c r="G4733" s="545">
        <v>121.55</v>
      </c>
      <c r="H4733" s="545">
        <v>115.33333333333333</v>
      </c>
      <c r="I4733" s="545">
        <v>102</v>
      </c>
      <c r="J4733" s="545">
        <v>117.86904761904762</v>
      </c>
    </row>
    <row r="4734" spans="1:10">
      <c r="A4734" s="441">
        <v>12966</v>
      </c>
      <c r="B4734" s="441" t="s">
        <v>4364</v>
      </c>
      <c r="C4734" s="545">
        <v>35.666666666666664</v>
      </c>
      <c r="D4734" s="545">
        <v>28.666666666666664</v>
      </c>
      <c r="E4734" s="545">
        <v>22.333333333333332</v>
      </c>
      <c r="F4734" s="545">
        <v>32.761904761904759</v>
      </c>
      <c r="G4734" s="545">
        <v>84.9</v>
      </c>
      <c r="H4734" s="545">
        <v>61.666666666666664</v>
      </c>
      <c r="I4734" s="545">
        <v>74.666666666666671</v>
      </c>
      <c r="J4734" s="545">
        <v>80.11904761904762</v>
      </c>
    </row>
    <row r="4735" spans="1:10">
      <c r="A4735" s="441">
        <v>4608</v>
      </c>
      <c r="B4735" s="441" t="s">
        <v>4365</v>
      </c>
      <c r="C4735" s="545">
        <v>12.5</v>
      </c>
      <c r="D4735" s="545">
        <v>12</v>
      </c>
      <c r="E4735" s="545">
        <v>13.666666666666668</v>
      </c>
      <c r="F4735" s="545">
        <v>12.595238095238097</v>
      </c>
      <c r="G4735" s="545">
        <v>13.05</v>
      </c>
      <c r="H4735" s="545">
        <v>8</v>
      </c>
      <c r="I4735" s="545">
        <v>5</v>
      </c>
      <c r="J4735" s="545">
        <v>11.178571428571429</v>
      </c>
    </row>
    <row r="4736" spans="1:10">
      <c r="A4736" s="441">
        <v>10388</v>
      </c>
      <c r="B4736" s="441" t="s">
        <v>4366</v>
      </c>
      <c r="C4736" s="545">
        <v>100.33333333333333</v>
      </c>
      <c r="D4736" s="545">
        <v>46.333333333333329</v>
      </c>
      <c r="E4736" s="545">
        <v>40</v>
      </c>
      <c r="F4736" s="545">
        <v>84</v>
      </c>
      <c r="G4736" s="545">
        <v>52.55</v>
      </c>
      <c r="H4736" s="545">
        <v>40</v>
      </c>
      <c r="I4736" s="545">
        <v>21.666666666666668</v>
      </c>
      <c r="J4736" s="545">
        <v>46.345238095238095</v>
      </c>
    </row>
    <row r="4737" spans="1:10">
      <c r="A4737" s="441">
        <v>4609</v>
      </c>
      <c r="B4737" s="441" t="s">
        <v>4367</v>
      </c>
      <c r="C4737" s="545">
        <v>342.33333333333331</v>
      </c>
      <c r="D4737" s="545">
        <v>274</v>
      </c>
      <c r="E4737" s="545">
        <v>231.33333333333331</v>
      </c>
      <c r="F4737" s="545">
        <v>316.71428571428572</v>
      </c>
      <c r="G4737" s="545">
        <v>17.55</v>
      </c>
      <c r="H4737" s="545">
        <v>17.333333333333332</v>
      </c>
      <c r="I4737" s="545">
        <v>18</v>
      </c>
      <c r="J4737" s="545">
        <v>17.583333333333332</v>
      </c>
    </row>
    <row r="4738" spans="1:10">
      <c r="A4738" s="441">
        <v>12964</v>
      </c>
      <c r="B4738" s="441" t="s">
        <v>4367</v>
      </c>
      <c r="C4738" s="545">
        <v>22</v>
      </c>
      <c r="D4738" s="545">
        <v>37.666666666666671</v>
      </c>
      <c r="E4738" s="545">
        <v>11.333333333333334</v>
      </c>
      <c r="F4738" s="545">
        <v>22.714285714285719</v>
      </c>
      <c r="G4738" s="545">
        <v>55.9</v>
      </c>
      <c r="H4738" s="545">
        <v>42.333333333333336</v>
      </c>
      <c r="I4738" s="545">
        <v>45.666666666666664</v>
      </c>
      <c r="J4738" s="545">
        <v>52.5</v>
      </c>
    </row>
    <row r="4739" spans="1:10">
      <c r="A4739" s="441">
        <v>12965</v>
      </c>
      <c r="B4739" s="441" t="s">
        <v>4367</v>
      </c>
      <c r="C4739" s="545">
        <v>3.333333333333333</v>
      </c>
      <c r="D4739" s="545">
        <v>1.3333333333333333</v>
      </c>
      <c r="E4739" s="545">
        <v>2.3333333333333335</v>
      </c>
      <c r="F4739" s="545">
        <v>2.9047619047619042</v>
      </c>
      <c r="G4739" s="545">
        <v>3.85</v>
      </c>
      <c r="H4739" s="545">
        <v>1.6666666666666667</v>
      </c>
      <c r="I4739" s="545">
        <v>2.6666666666666665</v>
      </c>
      <c r="J4739" s="545">
        <v>3.3690476190476195</v>
      </c>
    </row>
    <row r="4740" spans="1:10">
      <c r="A4740" s="441">
        <v>10226</v>
      </c>
      <c r="B4740" s="441" t="s">
        <v>4368</v>
      </c>
      <c r="C4740" s="545">
        <v>66</v>
      </c>
      <c r="D4740" s="545">
        <v>43</v>
      </c>
      <c r="E4740" s="545">
        <v>28.666666666666668</v>
      </c>
      <c r="F4740" s="545">
        <v>57.380952380952387</v>
      </c>
      <c r="G4740" s="545">
        <v>18.350000000000001</v>
      </c>
      <c r="H4740" s="545">
        <v>14.333333333333334</v>
      </c>
      <c r="I4740" s="545">
        <v>10.666666666666666</v>
      </c>
      <c r="J4740" s="545">
        <v>16.678571428571427</v>
      </c>
    </row>
    <row r="4741" spans="1:10">
      <c r="A4741" s="441">
        <v>1951</v>
      </c>
      <c r="B4741" s="441" t="s">
        <v>4369</v>
      </c>
      <c r="C4741" s="545">
        <v>11.166666666666666</v>
      </c>
      <c r="D4741" s="545">
        <v>9</v>
      </c>
      <c r="E4741" s="545">
        <v>8.3333333333333321</v>
      </c>
      <c r="F4741" s="545">
        <v>10.452380952380951</v>
      </c>
      <c r="G4741" s="545">
        <v>9.15</v>
      </c>
      <c r="H4741" s="545">
        <v>1.6666666666666667</v>
      </c>
      <c r="I4741" s="545">
        <v>7.666666666666667</v>
      </c>
      <c r="J4741" s="545">
        <v>7.8690476190476186</v>
      </c>
    </row>
    <row r="4742" spans="1:10">
      <c r="A4742" s="441">
        <v>1983</v>
      </c>
      <c r="B4742" s="441" t="s">
        <v>4369</v>
      </c>
      <c r="C4742" s="545">
        <v>14.5</v>
      </c>
      <c r="D4742" s="545">
        <v>8</v>
      </c>
      <c r="E4742" s="545">
        <v>9.3333333333333339</v>
      </c>
      <c r="F4742" s="545">
        <v>12.833333333333332</v>
      </c>
      <c r="G4742" s="545">
        <v>7.25</v>
      </c>
      <c r="H4742" s="545">
        <v>6.666666666666667</v>
      </c>
      <c r="I4742" s="545">
        <v>3.6666666666666665</v>
      </c>
      <c r="J4742" s="545">
        <v>6.6547619047619042</v>
      </c>
    </row>
    <row r="4743" spans="1:10">
      <c r="A4743" s="441">
        <v>1948</v>
      </c>
      <c r="B4743" s="441" t="s">
        <v>4370</v>
      </c>
      <c r="C4743" s="545">
        <v>11.666666666666668</v>
      </c>
      <c r="D4743" s="545">
        <v>9.3333333333333339</v>
      </c>
      <c r="E4743" s="545">
        <v>2.3333333333333335</v>
      </c>
      <c r="F4743" s="545">
        <v>10</v>
      </c>
      <c r="G4743" s="545">
        <v>9.1</v>
      </c>
      <c r="H4743" s="545">
        <v>8</v>
      </c>
      <c r="I4743" s="545">
        <v>5.666666666666667</v>
      </c>
      <c r="J4743" s="545">
        <v>8.4523809523809526</v>
      </c>
    </row>
    <row r="4744" spans="1:10">
      <c r="A4744" s="441">
        <v>1986</v>
      </c>
      <c r="B4744" s="441" t="s">
        <v>4370</v>
      </c>
      <c r="C4744" s="545">
        <v>7</v>
      </c>
      <c r="D4744" s="545">
        <v>3</v>
      </c>
      <c r="E4744" s="545">
        <v>2.666666666666667</v>
      </c>
      <c r="F4744" s="545">
        <v>5.8095238095238093</v>
      </c>
      <c r="G4744" s="545">
        <v>4.05</v>
      </c>
      <c r="H4744" s="545">
        <v>1.3333333333333333</v>
      </c>
      <c r="I4744" s="545">
        <v>3</v>
      </c>
      <c r="J4744" s="545">
        <v>3.5119047619047619</v>
      </c>
    </row>
    <row r="4745" spans="1:10">
      <c r="A4745" s="441">
        <v>1985</v>
      </c>
      <c r="B4745" s="441" t="s">
        <v>4371</v>
      </c>
      <c r="C4745" s="545">
        <v>29.833333333333332</v>
      </c>
      <c r="D4745" s="545">
        <v>18.666666666666664</v>
      </c>
      <c r="E4745" s="545">
        <v>16.666666666666668</v>
      </c>
      <c r="F4745" s="545">
        <v>26.357142857142854</v>
      </c>
      <c r="G4745" s="545">
        <v>15.05</v>
      </c>
      <c r="H4745" s="545">
        <v>17.333333333333332</v>
      </c>
      <c r="I4745" s="545">
        <v>11.333333333333334</v>
      </c>
      <c r="J4745" s="545">
        <v>14.845238095238093</v>
      </c>
    </row>
    <row r="4746" spans="1:10">
      <c r="A4746" s="441">
        <v>1958</v>
      </c>
      <c r="B4746" s="441" t="s">
        <v>4372</v>
      </c>
      <c r="C4746" s="545">
        <v>20</v>
      </c>
      <c r="D4746" s="545">
        <v>10.666666666666666</v>
      </c>
      <c r="E4746" s="545">
        <v>9.3333333333333321</v>
      </c>
      <c r="F4746" s="545">
        <v>17.142857142857142</v>
      </c>
      <c r="G4746" s="545">
        <v>10.65</v>
      </c>
      <c r="H4746" s="545">
        <v>8.3333333333333339</v>
      </c>
      <c r="I4746" s="545">
        <v>6.333333333333333</v>
      </c>
      <c r="J4746" s="545">
        <v>9.7023809523809526</v>
      </c>
    </row>
    <row r="4747" spans="1:10">
      <c r="A4747" s="441">
        <v>1976</v>
      </c>
      <c r="B4747" s="441" t="s">
        <v>4372</v>
      </c>
      <c r="C4747" s="545">
        <v>39</v>
      </c>
      <c r="D4747" s="545">
        <v>18</v>
      </c>
      <c r="E4747" s="545">
        <v>14</v>
      </c>
      <c r="F4747" s="545">
        <v>32.428571428571431</v>
      </c>
      <c r="G4747" s="545">
        <v>19.5</v>
      </c>
      <c r="H4747" s="545">
        <v>14</v>
      </c>
      <c r="I4747" s="545">
        <v>21</v>
      </c>
      <c r="J4747" s="545">
        <v>18.928571428571427</v>
      </c>
    </row>
    <row r="4748" spans="1:10">
      <c r="A4748" s="441">
        <v>11564</v>
      </c>
      <c r="B4748" s="441" t="s">
        <v>4373</v>
      </c>
      <c r="C4748" s="545">
        <v>21.5</v>
      </c>
      <c r="D4748" s="545">
        <v>14.666666666666666</v>
      </c>
      <c r="E4748" s="545">
        <v>13.666666666666666</v>
      </c>
      <c r="F4748" s="545">
        <v>19.404761904761905</v>
      </c>
      <c r="G4748" s="545">
        <v>10.15</v>
      </c>
      <c r="H4748" s="545">
        <v>7</v>
      </c>
      <c r="I4748" s="545">
        <v>11</v>
      </c>
      <c r="J4748" s="545">
        <v>9.8214285714285712</v>
      </c>
    </row>
    <row r="4749" spans="1:10">
      <c r="A4749" s="441">
        <v>1954</v>
      </c>
      <c r="B4749" s="441" t="s">
        <v>4374</v>
      </c>
      <c r="C4749" s="545">
        <v>31.333333333333336</v>
      </c>
      <c r="D4749" s="545">
        <v>16</v>
      </c>
      <c r="E4749" s="545">
        <v>11</v>
      </c>
      <c r="F4749" s="545">
        <v>26.238095238095241</v>
      </c>
      <c r="G4749" s="545">
        <v>20</v>
      </c>
      <c r="H4749" s="545">
        <v>16</v>
      </c>
      <c r="I4749" s="545">
        <v>15.333333333333334</v>
      </c>
      <c r="J4749" s="545">
        <v>18.761904761904763</v>
      </c>
    </row>
    <row r="4750" spans="1:10">
      <c r="A4750" s="441">
        <v>1980</v>
      </c>
      <c r="B4750" s="441" t="s">
        <v>4374</v>
      </c>
      <c r="C4750" s="545">
        <v>14.833333333333332</v>
      </c>
      <c r="D4750" s="545">
        <v>7</v>
      </c>
      <c r="E4750" s="545">
        <v>5.3333333333333339</v>
      </c>
      <c r="F4750" s="545">
        <v>12.357142857142856</v>
      </c>
      <c r="G4750" s="545">
        <v>20.2</v>
      </c>
      <c r="H4750" s="545">
        <v>15.333333333333334</v>
      </c>
      <c r="I4750" s="545">
        <v>10.666666666666666</v>
      </c>
      <c r="J4750" s="545">
        <v>18.142857142857142</v>
      </c>
    </row>
    <row r="4751" spans="1:10">
      <c r="A4751" s="441">
        <v>1946</v>
      </c>
      <c r="B4751" s="441" t="s">
        <v>4375</v>
      </c>
      <c r="C4751" s="545">
        <v>62</v>
      </c>
      <c r="D4751" s="545">
        <v>32</v>
      </c>
      <c r="E4751" s="545">
        <v>24.666666666666668</v>
      </c>
      <c r="F4751" s="545">
        <v>52.380952380952387</v>
      </c>
      <c r="G4751" s="545">
        <v>21.85</v>
      </c>
      <c r="H4751" s="545">
        <v>29.333333333333332</v>
      </c>
      <c r="I4751" s="545">
        <v>10.333333333333334</v>
      </c>
      <c r="J4751" s="545">
        <v>21.273809523809526</v>
      </c>
    </row>
    <row r="4752" spans="1:10">
      <c r="A4752" s="441">
        <v>1988</v>
      </c>
      <c r="B4752" s="441" t="s">
        <v>4375</v>
      </c>
      <c r="C4752" s="545">
        <v>57.166666666666664</v>
      </c>
      <c r="D4752" s="545">
        <v>33</v>
      </c>
      <c r="E4752" s="545">
        <v>29</v>
      </c>
      <c r="F4752" s="545">
        <v>49.69047619047619</v>
      </c>
      <c r="G4752" s="545">
        <v>26.65</v>
      </c>
      <c r="H4752" s="545">
        <v>14.333333333333334</v>
      </c>
      <c r="I4752" s="545">
        <v>13.333333333333334</v>
      </c>
      <c r="J4752" s="545">
        <v>22.988095238095241</v>
      </c>
    </row>
    <row r="4753" spans="1:10">
      <c r="A4753" s="441">
        <v>12998</v>
      </c>
      <c r="B4753" s="441" t="s">
        <v>4376</v>
      </c>
      <c r="C4753" s="545">
        <v>11</v>
      </c>
      <c r="D4753" s="545">
        <v>11.333333333333332</v>
      </c>
      <c r="E4753" s="545">
        <v>3.333333333333333</v>
      </c>
      <c r="F4753" s="545">
        <v>9.9523809523809508</v>
      </c>
      <c r="G4753" s="545">
        <v>6.5</v>
      </c>
      <c r="H4753" s="545">
        <v>5.333333333333333</v>
      </c>
      <c r="I4753" s="545">
        <v>9.3333333333333339</v>
      </c>
      <c r="J4753" s="545">
        <v>6.738095238095239</v>
      </c>
    </row>
    <row r="4754" spans="1:10">
      <c r="A4754" s="441">
        <v>1947</v>
      </c>
      <c r="B4754" s="441" t="s">
        <v>4377</v>
      </c>
      <c r="C4754" s="545">
        <v>77</v>
      </c>
      <c r="D4754" s="545">
        <v>52</v>
      </c>
      <c r="E4754" s="545">
        <v>38</v>
      </c>
      <c r="F4754" s="545">
        <v>67.857142857142861</v>
      </c>
      <c r="G4754" s="545">
        <v>51.7</v>
      </c>
      <c r="H4754" s="545">
        <v>32.666666666666664</v>
      </c>
      <c r="I4754" s="545">
        <v>34</v>
      </c>
      <c r="J4754" s="545">
        <v>46.452380952380956</v>
      </c>
    </row>
    <row r="4755" spans="1:10">
      <c r="A4755" s="441">
        <v>1987</v>
      </c>
      <c r="B4755" s="441" t="s">
        <v>4377</v>
      </c>
      <c r="C4755" s="545">
        <v>71.833333333333343</v>
      </c>
      <c r="D4755" s="545">
        <v>56.333333333333329</v>
      </c>
      <c r="E4755" s="545">
        <v>44</v>
      </c>
      <c r="F4755" s="545">
        <v>65.642857142857153</v>
      </c>
      <c r="G4755" s="545">
        <v>55.25</v>
      </c>
      <c r="H4755" s="545">
        <v>31.333333333333332</v>
      </c>
      <c r="I4755" s="545">
        <v>31.333333333333332</v>
      </c>
      <c r="J4755" s="545">
        <v>48.416666666666664</v>
      </c>
    </row>
    <row r="4756" spans="1:10">
      <c r="A4756" s="441">
        <v>1961</v>
      </c>
      <c r="B4756" s="441" t="s">
        <v>4378</v>
      </c>
      <c r="C4756" s="545">
        <v>10.166666666666666</v>
      </c>
      <c r="D4756" s="545">
        <v>5.333333333333333</v>
      </c>
      <c r="E4756" s="545">
        <v>4.666666666666667</v>
      </c>
      <c r="F4756" s="545">
        <v>8.6904761904761898</v>
      </c>
      <c r="G4756" s="545">
        <v>6.3</v>
      </c>
      <c r="H4756" s="545">
        <v>2.3333333333333335</v>
      </c>
      <c r="I4756" s="545">
        <v>2.3333333333333335</v>
      </c>
      <c r="J4756" s="545">
        <v>5.166666666666667</v>
      </c>
    </row>
    <row r="4757" spans="1:10">
      <c r="A4757" s="441">
        <v>1973</v>
      </c>
      <c r="B4757" s="441" t="s">
        <v>4378</v>
      </c>
      <c r="C4757" s="545">
        <v>9.5</v>
      </c>
      <c r="D4757" s="545">
        <v>2.6666666666666665</v>
      </c>
      <c r="E4757" s="545">
        <v>4</v>
      </c>
      <c r="F4757" s="545">
        <v>7.7380952380952381</v>
      </c>
      <c r="G4757" s="545">
        <v>4.0999999999999996</v>
      </c>
      <c r="H4757" s="545">
        <v>5.666666666666667</v>
      </c>
      <c r="I4757" s="545">
        <v>1.6666666666666667</v>
      </c>
      <c r="J4757" s="545">
        <v>3.9761904761904767</v>
      </c>
    </row>
    <row r="4758" spans="1:10">
      <c r="A4758" s="441">
        <v>3768</v>
      </c>
      <c r="B4758" s="441" t="s">
        <v>4379</v>
      </c>
      <c r="C4758" s="545">
        <v>11</v>
      </c>
      <c r="D4758" s="545">
        <v>0.33333333333333331</v>
      </c>
      <c r="E4758" s="545">
        <v>0.33333333333333331</v>
      </c>
      <c r="F4758" s="545">
        <v>7.9523809523809534</v>
      </c>
      <c r="G4758" s="545">
        <v>2.4500000000000002</v>
      </c>
      <c r="H4758" s="545">
        <v>0</v>
      </c>
      <c r="I4758" s="545">
        <v>0.66666666666666663</v>
      </c>
      <c r="J4758" s="545">
        <v>1.8452380952380951</v>
      </c>
    </row>
    <row r="4759" spans="1:10">
      <c r="A4759" s="441">
        <v>1971</v>
      </c>
      <c r="B4759" s="441" t="s">
        <v>4380</v>
      </c>
      <c r="C4759" s="545">
        <v>4.166666666666667</v>
      </c>
      <c r="D4759" s="545">
        <v>2</v>
      </c>
      <c r="E4759" s="545">
        <v>2.6666666666666665</v>
      </c>
      <c r="F4759" s="545">
        <v>3.6428571428571432</v>
      </c>
      <c r="G4759" s="545">
        <v>4.4000000000000004</v>
      </c>
      <c r="H4759" s="545">
        <v>5</v>
      </c>
      <c r="I4759" s="545">
        <v>1</v>
      </c>
      <c r="J4759" s="545">
        <v>4</v>
      </c>
    </row>
    <row r="4760" spans="1:10">
      <c r="A4760" s="441">
        <v>3206</v>
      </c>
      <c r="B4760" s="441" t="s">
        <v>4381</v>
      </c>
      <c r="C4760" s="545">
        <v>6</v>
      </c>
      <c r="D4760" s="545">
        <v>0</v>
      </c>
      <c r="E4760" s="545">
        <v>0</v>
      </c>
      <c r="F4760" s="545">
        <v>4.2857142857142856</v>
      </c>
      <c r="G4760" s="545">
        <v>0.65</v>
      </c>
      <c r="H4760" s="545">
        <v>0.33333333333333331</v>
      </c>
      <c r="I4760" s="545">
        <v>0</v>
      </c>
      <c r="J4760" s="545">
        <v>0.51190476190476197</v>
      </c>
    </row>
    <row r="4761" spans="1:10">
      <c r="A4761" s="441">
        <v>3764</v>
      </c>
      <c r="B4761" s="441" t="s">
        <v>4381</v>
      </c>
      <c r="C4761" s="545">
        <v>1.5</v>
      </c>
      <c r="D4761" s="545">
        <v>3</v>
      </c>
      <c r="E4761" s="545">
        <v>0.33333333333333331</v>
      </c>
      <c r="F4761" s="545">
        <v>1.5476190476190477</v>
      </c>
      <c r="G4761" s="545">
        <v>1.1000000000000001</v>
      </c>
      <c r="H4761" s="545">
        <v>1</v>
      </c>
      <c r="I4761" s="545">
        <v>11</v>
      </c>
      <c r="J4761" s="545">
        <v>2.5</v>
      </c>
    </row>
    <row r="4762" spans="1:10">
      <c r="A4762" s="441">
        <v>3207</v>
      </c>
      <c r="B4762" s="441" t="s">
        <v>4382</v>
      </c>
      <c r="C4762" s="545">
        <v>23.333333333333332</v>
      </c>
      <c r="D4762" s="545">
        <v>17.666666666666664</v>
      </c>
      <c r="E4762" s="545">
        <v>9.6666666666666679</v>
      </c>
      <c r="F4762" s="545">
        <v>20.571428571428566</v>
      </c>
      <c r="G4762" s="545">
        <v>16.649999999999999</v>
      </c>
      <c r="H4762" s="545">
        <v>16</v>
      </c>
      <c r="I4762" s="545">
        <v>7.666666666666667</v>
      </c>
      <c r="J4762" s="545">
        <v>15.273809523809524</v>
      </c>
    </row>
    <row r="4763" spans="1:10">
      <c r="A4763" s="441">
        <v>3763</v>
      </c>
      <c r="B4763" s="441" t="s">
        <v>4382</v>
      </c>
      <c r="C4763" s="545">
        <v>37.166666666666671</v>
      </c>
      <c r="D4763" s="545">
        <v>17.666666666666668</v>
      </c>
      <c r="E4763" s="545">
        <v>15.666666666666668</v>
      </c>
      <c r="F4763" s="545">
        <v>31.309523809523814</v>
      </c>
      <c r="G4763" s="545">
        <v>22</v>
      </c>
      <c r="H4763" s="545">
        <v>20.333333333333332</v>
      </c>
      <c r="I4763" s="545">
        <v>16.666666666666668</v>
      </c>
      <c r="J4763" s="545">
        <v>21</v>
      </c>
    </row>
    <row r="4764" spans="1:10">
      <c r="A4764" s="441">
        <v>1962</v>
      </c>
      <c r="B4764" s="441" t="s">
        <v>4383</v>
      </c>
      <c r="C4764" s="545">
        <v>29</v>
      </c>
      <c r="D4764" s="545">
        <v>12.333333333333332</v>
      </c>
      <c r="E4764" s="545">
        <v>10.666666666666668</v>
      </c>
      <c r="F4764" s="545">
        <v>24</v>
      </c>
      <c r="G4764" s="545">
        <v>17.95</v>
      </c>
      <c r="H4764" s="545">
        <v>10.666666666666666</v>
      </c>
      <c r="I4764" s="545">
        <v>4.666666666666667</v>
      </c>
      <c r="J4764" s="545">
        <v>15.011904761904763</v>
      </c>
    </row>
    <row r="4765" spans="1:10">
      <c r="A4765" s="441">
        <v>1972</v>
      </c>
      <c r="B4765" s="441" t="s">
        <v>4383</v>
      </c>
      <c r="C4765" s="545">
        <v>16</v>
      </c>
      <c r="D4765" s="545">
        <v>6.666666666666667</v>
      </c>
      <c r="E4765" s="545">
        <v>6</v>
      </c>
      <c r="F4765" s="545">
        <v>13.238095238095239</v>
      </c>
      <c r="G4765" s="545">
        <v>9.9499999999999993</v>
      </c>
      <c r="H4765" s="545">
        <v>6.333333333333333</v>
      </c>
      <c r="I4765" s="545">
        <v>4.666666666666667</v>
      </c>
      <c r="J4765" s="545">
        <v>8.6785714285714288</v>
      </c>
    </row>
    <row r="4766" spans="1:10">
      <c r="A4766" s="441">
        <v>1966</v>
      </c>
      <c r="B4766" s="441" t="s">
        <v>4384</v>
      </c>
      <c r="C4766" s="545">
        <v>25.166666666666664</v>
      </c>
      <c r="D4766" s="545">
        <v>11.666666666666668</v>
      </c>
      <c r="E4766" s="545">
        <v>14.333333333333334</v>
      </c>
      <c r="F4766" s="545">
        <v>21.690476190476186</v>
      </c>
      <c r="G4766" s="545">
        <v>13.8</v>
      </c>
      <c r="H4766" s="545">
        <v>11.333333333333334</v>
      </c>
      <c r="I4766" s="545">
        <v>6.666666666666667</v>
      </c>
      <c r="J4766" s="545">
        <v>12.428571428571429</v>
      </c>
    </row>
    <row r="4767" spans="1:10">
      <c r="A4767" s="441">
        <v>3203</v>
      </c>
      <c r="B4767" s="441" t="s">
        <v>4385</v>
      </c>
      <c r="C4767" s="545">
        <v>14.5</v>
      </c>
      <c r="D4767" s="545">
        <v>8.3333333333333321</v>
      </c>
      <c r="E4767" s="545">
        <v>5.333333333333333</v>
      </c>
      <c r="F4767" s="545">
        <v>12.309523809523808</v>
      </c>
      <c r="G4767" s="545">
        <v>6.65</v>
      </c>
      <c r="H4767" s="545">
        <v>5.666666666666667</v>
      </c>
      <c r="I4767" s="545">
        <v>2</v>
      </c>
      <c r="J4767" s="545">
        <v>5.8452380952380949</v>
      </c>
    </row>
    <row r="4768" spans="1:10">
      <c r="A4768" s="441">
        <v>3767</v>
      </c>
      <c r="B4768" s="441" t="s">
        <v>4385</v>
      </c>
      <c r="C4768" s="545">
        <v>19</v>
      </c>
      <c r="D4768" s="545">
        <v>6.3333333333333339</v>
      </c>
      <c r="E4768" s="545">
        <v>4.333333333333333</v>
      </c>
      <c r="F4768" s="545">
        <v>15.095238095238093</v>
      </c>
      <c r="G4768" s="545">
        <v>4.5999999999999996</v>
      </c>
      <c r="H4768" s="545">
        <v>2.3333333333333335</v>
      </c>
      <c r="I4768" s="545">
        <v>1</v>
      </c>
      <c r="J4768" s="545">
        <v>3.7619047619047619</v>
      </c>
    </row>
    <row r="4769" spans="1:10">
      <c r="A4769" s="441">
        <v>1957</v>
      </c>
      <c r="B4769" s="441" t="s">
        <v>4386</v>
      </c>
      <c r="C4769" s="545">
        <v>8</v>
      </c>
      <c r="D4769" s="545">
        <v>2.3333333333333335</v>
      </c>
      <c r="E4769" s="545">
        <v>1.3333333333333333</v>
      </c>
      <c r="F4769" s="545">
        <v>6.238095238095239</v>
      </c>
      <c r="G4769" s="545">
        <v>1.8</v>
      </c>
      <c r="H4769" s="545">
        <v>3</v>
      </c>
      <c r="I4769" s="545">
        <v>3.6666666666666665</v>
      </c>
      <c r="J4769" s="545">
        <v>2.2380952380952381</v>
      </c>
    </row>
    <row r="4770" spans="1:10">
      <c r="A4770" s="441">
        <v>1977</v>
      </c>
      <c r="B4770" s="441" t="s">
        <v>4386</v>
      </c>
      <c r="C4770" s="545">
        <v>6.5</v>
      </c>
      <c r="D4770" s="545">
        <v>3.3333333333333335</v>
      </c>
      <c r="E4770" s="545">
        <v>1.3333333333333333</v>
      </c>
      <c r="F4770" s="545">
        <v>5.3095238095238102</v>
      </c>
      <c r="G4770" s="545">
        <v>2</v>
      </c>
      <c r="H4770" s="545">
        <v>2</v>
      </c>
      <c r="I4770" s="545">
        <v>2</v>
      </c>
      <c r="J4770" s="545">
        <v>2</v>
      </c>
    </row>
    <row r="4771" spans="1:10">
      <c r="A4771" s="441">
        <v>1949</v>
      </c>
      <c r="B4771" s="441" t="s">
        <v>4387</v>
      </c>
      <c r="C4771" s="545">
        <v>35.833333333333336</v>
      </c>
      <c r="D4771" s="545">
        <v>27</v>
      </c>
      <c r="E4771" s="545">
        <v>17.666666666666664</v>
      </c>
      <c r="F4771" s="545">
        <v>31.976190476190478</v>
      </c>
      <c r="G4771" s="545">
        <v>25.65</v>
      </c>
      <c r="H4771" s="545">
        <v>18.666666666666668</v>
      </c>
      <c r="I4771" s="545">
        <v>18.333333333333332</v>
      </c>
      <c r="J4771" s="545">
        <v>23.607142857142858</v>
      </c>
    </row>
    <row r="4772" spans="1:10">
      <c r="A4772" s="441">
        <v>11565</v>
      </c>
      <c r="B4772" s="441" t="s">
        <v>4388</v>
      </c>
      <c r="C4772" s="545">
        <v>13</v>
      </c>
      <c r="D4772" s="545">
        <v>8.6666666666666661</v>
      </c>
      <c r="E4772" s="545">
        <v>5.666666666666667</v>
      </c>
      <c r="F4772" s="545">
        <v>11.333333333333334</v>
      </c>
      <c r="G4772" s="545">
        <v>8.1</v>
      </c>
      <c r="H4772" s="545">
        <v>10.666666666666666</v>
      </c>
      <c r="I4772" s="545">
        <v>3.6666666666666665</v>
      </c>
      <c r="J4772" s="545">
        <v>7.833333333333333</v>
      </c>
    </row>
    <row r="4773" spans="1:10">
      <c r="A4773" s="441">
        <v>11566</v>
      </c>
      <c r="B4773" s="441" t="s">
        <v>4388</v>
      </c>
      <c r="C4773" s="545">
        <v>8.6666666666666661</v>
      </c>
      <c r="D4773" s="545">
        <v>8</v>
      </c>
      <c r="E4773" s="545">
        <v>6</v>
      </c>
      <c r="F4773" s="545">
        <v>8.1904761904761898</v>
      </c>
      <c r="G4773" s="545">
        <v>7.75</v>
      </c>
      <c r="H4773" s="545">
        <v>15.333333333333334</v>
      </c>
      <c r="I4773" s="545">
        <v>8.6666666666666661</v>
      </c>
      <c r="J4773" s="545">
        <v>8.9642857142857135</v>
      </c>
    </row>
    <row r="4774" spans="1:10">
      <c r="A4774" s="441">
        <v>1959</v>
      </c>
      <c r="B4774" s="441" t="s">
        <v>4389</v>
      </c>
      <c r="C4774" s="545">
        <v>7.666666666666667</v>
      </c>
      <c r="D4774" s="545">
        <v>7</v>
      </c>
      <c r="E4774" s="545">
        <v>4.3333333333333339</v>
      </c>
      <c r="F4774" s="545">
        <v>7.0952380952380958</v>
      </c>
      <c r="G4774" s="545">
        <v>5.45</v>
      </c>
      <c r="H4774" s="545">
        <v>5</v>
      </c>
      <c r="I4774" s="545">
        <v>19.333333333333332</v>
      </c>
      <c r="J4774" s="545">
        <v>7.3690476190476186</v>
      </c>
    </row>
    <row r="4775" spans="1:10">
      <c r="A4775" s="441">
        <v>1975</v>
      </c>
      <c r="B4775" s="441" t="s">
        <v>4389</v>
      </c>
      <c r="C4775" s="545">
        <v>8</v>
      </c>
      <c r="D4775" s="545">
        <v>5.3333333333333339</v>
      </c>
      <c r="E4775" s="545">
        <v>5</v>
      </c>
      <c r="F4775" s="545">
        <v>7.1904761904761907</v>
      </c>
      <c r="G4775" s="545">
        <v>3.85</v>
      </c>
      <c r="H4775" s="545">
        <v>3.6666666666666665</v>
      </c>
      <c r="I4775" s="545">
        <v>1.3333333333333333</v>
      </c>
      <c r="J4775" s="545">
        <v>3.4642857142857144</v>
      </c>
    </row>
    <row r="4776" spans="1:10">
      <c r="A4776" s="441">
        <v>1955</v>
      </c>
      <c r="B4776" s="441" t="s">
        <v>4390</v>
      </c>
      <c r="C4776" s="545">
        <v>20</v>
      </c>
      <c r="D4776" s="545">
        <v>10.666666666666666</v>
      </c>
      <c r="E4776" s="545">
        <v>9.6666666666666679</v>
      </c>
      <c r="F4776" s="545">
        <v>17.190476190476193</v>
      </c>
      <c r="G4776" s="545">
        <v>13.6</v>
      </c>
      <c r="H4776" s="545">
        <v>7.333333333333333</v>
      </c>
      <c r="I4776" s="545">
        <v>7.333333333333333</v>
      </c>
      <c r="J4776" s="545">
        <v>11.809523809523808</v>
      </c>
    </row>
    <row r="4777" spans="1:10">
      <c r="A4777" s="441">
        <v>1979</v>
      </c>
      <c r="B4777" s="441" t="s">
        <v>4390</v>
      </c>
      <c r="C4777" s="545">
        <v>18.833333333333332</v>
      </c>
      <c r="D4777" s="545">
        <v>10</v>
      </c>
      <c r="E4777" s="545">
        <v>6.666666666666667</v>
      </c>
      <c r="F4777" s="545">
        <v>15.833333333333332</v>
      </c>
      <c r="G4777" s="545">
        <v>13.95</v>
      </c>
      <c r="H4777" s="545">
        <v>11.333333333333334</v>
      </c>
      <c r="I4777" s="545">
        <v>9.6666666666666661</v>
      </c>
      <c r="J4777" s="545">
        <v>12.964285714285714</v>
      </c>
    </row>
    <row r="4778" spans="1:10">
      <c r="A4778" s="441">
        <v>1960</v>
      </c>
      <c r="B4778" s="441" t="s">
        <v>4391</v>
      </c>
      <c r="C4778" s="545">
        <v>61</v>
      </c>
      <c r="D4778" s="545">
        <v>37.333333333333336</v>
      </c>
      <c r="E4778" s="545">
        <v>27.666666666666668</v>
      </c>
      <c r="F4778" s="545">
        <v>52.857142857142854</v>
      </c>
      <c r="G4778" s="545">
        <v>29.55</v>
      </c>
      <c r="H4778" s="545">
        <v>26.333333333333332</v>
      </c>
      <c r="I4778" s="545">
        <v>18.666666666666668</v>
      </c>
      <c r="J4778" s="545">
        <v>27.535714285714285</v>
      </c>
    </row>
    <row r="4779" spans="1:10">
      <c r="A4779" s="441">
        <v>1974</v>
      </c>
      <c r="B4779" s="441" t="s">
        <v>4391</v>
      </c>
      <c r="C4779" s="545">
        <v>59</v>
      </c>
      <c r="D4779" s="545">
        <v>32.666666666666671</v>
      </c>
      <c r="E4779" s="545">
        <v>28.333333333333332</v>
      </c>
      <c r="F4779" s="545">
        <v>50.857142857142854</v>
      </c>
      <c r="G4779" s="545">
        <v>28.35</v>
      </c>
      <c r="H4779" s="545">
        <v>23</v>
      </c>
      <c r="I4779" s="545">
        <v>11.666666666666666</v>
      </c>
      <c r="J4779" s="545">
        <v>25.202380952380953</v>
      </c>
    </row>
    <row r="4780" spans="1:10">
      <c r="A4780" s="441">
        <v>1956</v>
      </c>
      <c r="B4780" s="441" t="s">
        <v>4392</v>
      </c>
      <c r="C4780" s="545">
        <v>12.333333333333334</v>
      </c>
      <c r="D4780" s="545">
        <v>5.666666666666667</v>
      </c>
      <c r="E4780" s="545">
        <v>6</v>
      </c>
      <c r="F4780" s="545">
        <v>10.476190476190478</v>
      </c>
      <c r="G4780" s="545">
        <v>7.6</v>
      </c>
      <c r="H4780" s="545">
        <v>7.666666666666667</v>
      </c>
      <c r="I4780" s="545">
        <v>2.6666666666666665</v>
      </c>
      <c r="J4780" s="545">
        <v>6.9047619047619042</v>
      </c>
    </row>
    <row r="4781" spans="1:10">
      <c r="A4781" s="441">
        <v>1978</v>
      </c>
      <c r="B4781" s="441" t="s">
        <v>4392</v>
      </c>
      <c r="C4781" s="545">
        <v>14.166666666666668</v>
      </c>
      <c r="D4781" s="545">
        <v>4.666666666666667</v>
      </c>
      <c r="E4781" s="545">
        <v>4.333333333333333</v>
      </c>
      <c r="F4781" s="545">
        <v>11.404761904761907</v>
      </c>
      <c r="G4781" s="545">
        <v>3.95</v>
      </c>
      <c r="H4781" s="545">
        <v>5.333333333333333</v>
      </c>
      <c r="I4781" s="545">
        <v>1.3333333333333333</v>
      </c>
      <c r="J4781" s="545">
        <v>3.7738095238095233</v>
      </c>
    </row>
    <row r="4782" spans="1:10">
      <c r="A4782" s="441">
        <v>1982</v>
      </c>
      <c r="B4782" s="441" t="s">
        <v>4393</v>
      </c>
      <c r="C4782" s="545">
        <v>24</v>
      </c>
      <c r="D4782" s="545">
        <v>20</v>
      </c>
      <c r="E4782" s="545">
        <v>18.333333333333332</v>
      </c>
      <c r="F4782" s="545">
        <v>22.61904761904762</v>
      </c>
      <c r="G4782" s="545">
        <v>12.3</v>
      </c>
      <c r="H4782" s="545">
        <v>9.6666666666666661</v>
      </c>
      <c r="I4782" s="545">
        <v>10</v>
      </c>
      <c r="J4782" s="545">
        <v>11.595238095238097</v>
      </c>
    </row>
    <row r="4783" spans="1:10">
      <c r="A4783" s="441">
        <v>1981</v>
      </c>
      <c r="B4783" s="441" t="s">
        <v>4394</v>
      </c>
      <c r="C4783" s="545">
        <v>28.166666666666664</v>
      </c>
      <c r="D4783" s="545">
        <v>16</v>
      </c>
      <c r="E4783" s="545">
        <v>15</v>
      </c>
      <c r="F4783" s="545">
        <v>24.547619047619044</v>
      </c>
      <c r="G4783" s="545">
        <v>14.1</v>
      </c>
      <c r="H4783" s="545">
        <v>16.666666666666668</v>
      </c>
      <c r="I4783" s="545">
        <v>11.666666666666666</v>
      </c>
      <c r="J4783" s="545">
        <v>14.11904761904762</v>
      </c>
    </row>
    <row r="4784" spans="1:10">
      <c r="A4784" s="441">
        <v>3204</v>
      </c>
      <c r="B4784" s="441" t="s">
        <v>4395</v>
      </c>
      <c r="C4784" s="545">
        <v>12.333333333333332</v>
      </c>
      <c r="D4784" s="545">
        <v>3.666666666666667</v>
      </c>
      <c r="E4784" s="545">
        <v>5</v>
      </c>
      <c r="F4784" s="545">
        <v>10.047619047619047</v>
      </c>
      <c r="G4784" s="545">
        <v>4.3499999999999996</v>
      </c>
      <c r="H4784" s="545">
        <v>1.6666666666666667</v>
      </c>
      <c r="I4784" s="545">
        <v>4</v>
      </c>
      <c r="J4784" s="545">
        <v>3.916666666666667</v>
      </c>
    </row>
    <row r="4785" spans="1:10">
      <c r="A4785" s="441">
        <v>3765</v>
      </c>
      <c r="B4785" s="441" t="s">
        <v>4395</v>
      </c>
      <c r="C4785" s="545">
        <v>5.833333333333333</v>
      </c>
      <c r="D4785" s="545">
        <v>0.66666666666666663</v>
      </c>
      <c r="E4785" s="545">
        <v>1.3333333333333333</v>
      </c>
      <c r="F4785" s="545">
        <v>4.4523809523809517</v>
      </c>
      <c r="G4785" s="545">
        <v>2.85</v>
      </c>
      <c r="H4785" s="545">
        <v>2</v>
      </c>
      <c r="I4785" s="545">
        <v>2</v>
      </c>
      <c r="J4785" s="545">
        <v>2.6071428571428572</v>
      </c>
    </row>
    <row r="4786" spans="1:10">
      <c r="A4786" s="441">
        <v>1950</v>
      </c>
      <c r="B4786" s="441" t="s">
        <v>4396</v>
      </c>
      <c r="C4786" s="545">
        <v>51.166666666666664</v>
      </c>
      <c r="D4786" s="545">
        <v>33.666666666666671</v>
      </c>
      <c r="E4786" s="545">
        <v>21.666666666666668</v>
      </c>
      <c r="F4786" s="545">
        <v>44.452380952380956</v>
      </c>
      <c r="G4786" s="545">
        <v>37.6</v>
      </c>
      <c r="H4786" s="545">
        <v>35</v>
      </c>
      <c r="I4786" s="545">
        <v>18.333333333333332</v>
      </c>
      <c r="J4786" s="545">
        <v>34.476190476190474</v>
      </c>
    </row>
    <row r="4787" spans="1:10">
      <c r="A4787" s="441">
        <v>1984</v>
      </c>
      <c r="B4787" s="441" t="s">
        <v>4396</v>
      </c>
      <c r="C4787" s="545">
        <v>61.833333333333336</v>
      </c>
      <c r="D4787" s="545">
        <v>34.666666666666671</v>
      </c>
      <c r="E4787" s="545">
        <v>32.333333333333336</v>
      </c>
      <c r="F4787" s="545">
        <v>53.738095238095241</v>
      </c>
      <c r="G4787" s="545">
        <v>49.1</v>
      </c>
      <c r="H4787" s="545">
        <v>42.666666666666664</v>
      </c>
      <c r="I4787" s="545">
        <v>21.333333333333332</v>
      </c>
      <c r="J4787" s="545">
        <v>44.214285714285715</v>
      </c>
    </row>
    <row r="4788" spans="1:10">
      <c r="A4788" s="441">
        <v>11894</v>
      </c>
      <c r="B4788" s="441" t="s">
        <v>4397</v>
      </c>
      <c r="C4788" s="545">
        <v>19.666666666666668</v>
      </c>
      <c r="D4788" s="545">
        <v>12</v>
      </c>
      <c r="E4788" s="545">
        <v>10</v>
      </c>
      <c r="F4788" s="545">
        <v>17.190476190476193</v>
      </c>
      <c r="G4788" s="545">
        <v>10.15</v>
      </c>
      <c r="H4788" s="545">
        <v>12</v>
      </c>
      <c r="I4788" s="545">
        <v>5.666666666666667</v>
      </c>
      <c r="J4788" s="545">
        <v>9.7738095238095237</v>
      </c>
    </row>
    <row r="4789" spans="1:10">
      <c r="A4789" s="441">
        <v>11895</v>
      </c>
      <c r="B4789" s="441" t="s">
        <v>4397</v>
      </c>
      <c r="C4789" s="545">
        <v>9.8333333333333321</v>
      </c>
      <c r="D4789" s="545">
        <v>3.6666666666666665</v>
      </c>
      <c r="E4789" s="545">
        <v>5.6666666666666661</v>
      </c>
      <c r="F4789" s="545">
        <v>8.3571428571428559</v>
      </c>
      <c r="G4789" s="545">
        <v>5.85</v>
      </c>
      <c r="H4789" s="545">
        <v>4.333333333333333</v>
      </c>
      <c r="I4789" s="545">
        <v>2.6666666666666665</v>
      </c>
      <c r="J4789" s="545">
        <v>5.1785714285714288</v>
      </c>
    </row>
    <row r="4790" spans="1:10">
      <c r="A4790" s="441">
        <v>3450</v>
      </c>
      <c r="B4790" s="441" t="s">
        <v>4398</v>
      </c>
      <c r="C4790" s="545">
        <v>2.166666666666667</v>
      </c>
      <c r="D4790" s="545">
        <v>2</v>
      </c>
      <c r="E4790" s="545">
        <v>2</v>
      </c>
      <c r="F4790" s="545">
        <v>2.1190476190476195</v>
      </c>
      <c r="G4790" s="545">
        <v>3.9</v>
      </c>
      <c r="H4790" s="545">
        <v>3.6666666666666665</v>
      </c>
      <c r="I4790" s="545">
        <v>3.3333333333333335</v>
      </c>
      <c r="J4790" s="545">
        <v>3.7857142857142856</v>
      </c>
    </row>
    <row r="4791" spans="1:10">
      <c r="A4791" s="441">
        <v>3950</v>
      </c>
      <c r="B4791" s="441" t="s">
        <v>4398</v>
      </c>
      <c r="C4791" s="545">
        <v>16</v>
      </c>
      <c r="D4791" s="545">
        <v>9.6666666666666661</v>
      </c>
      <c r="E4791" s="545">
        <v>4.333333333333333</v>
      </c>
      <c r="F4791" s="545">
        <v>13.428571428571429</v>
      </c>
      <c r="G4791" s="545">
        <v>15.1</v>
      </c>
      <c r="H4791" s="545">
        <v>15.666666666666666</v>
      </c>
      <c r="I4791" s="545">
        <v>7.666666666666667</v>
      </c>
      <c r="J4791" s="545">
        <v>14.11904761904762</v>
      </c>
    </row>
    <row r="4792" spans="1:10">
      <c r="A4792" s="441">
        <v>12200</v>
      </c>
      <c r="B4792" s="441" t="s">
        <v>4399</v>
      </c>
      <c r="C4792" s="545">
        <v>8.1666666666666661</v>
      </c>
      <c r="D4792" s="545">
        <v>4.333333333333333</v>
      </c>
      <c r="E4792" s="545">
        <v>1.6666666666666665</v>
      </c>
      <c r="F4792" s="545">
        <v>6.6904761904761898</v>
      </c>
      <c r="G4792" s="545">
        <v>6.15</v>
      </c>
      <c r="H4792" s="545">
        <v>7.666666666666667</v>
      </c>
      <c r="I4792" s="545">
        <v>2.6666666666666665</v>
      </c>
      <c r="J4792" s="545">
        <v>5.8690476190476186</v>
      </c>
    </row>
    <row r="4793" spans="1:10">
      <c r="A4793" s="441">
        <v>12201</v>
      </c>
      <c r="B4793" s="441" t="s">
        <v>4399</v>
      </c>
      <c r="C4793" s="545">
        <v>9.5</v>
      </c>
      <c r="D4793" s="545">
        <v>6</v>
      </c>
      <c r="E4793" s="545">
        <v>3.666666666666667</v>
      </c>
      <c r="F4793" s="545">
        <v>8.1666666666666661</v>
      </c>
      <c r="G4793" s="545">
        <v>6.6</v>
      </c>
      <c r="H4793" s="545">
        <v>7.333333333333333</v>
      </c>
      <c r="I4793" s="545">
        <v>3.3333333333333335</v>
      </c>
      <c r="J4793" s="545">
        <v>6.238095238095239</v>
      </c>
    </row>
    <row r="4794" spans="1:10">
      <c r="A4794" s="441">
        <v>3484</v>
      </c>
      <c r="B4794" s="441" t="s">
        <v>4400</v>
      </c>
      <c r="C4794" s="545">
        <v>16.333333333333332</v>
      </c>
      <c r="D4794" s="545">
        <v>5.333333333333333</v>
      </c>
      <c r="E4794" s="545">
        <v>5.666666666666667</v>
      </c>
      <c r="F4794" s="545">
        <v>13.238095238095237</v>
      </c>
      <c r="G4794" s="545">
        <v>12.25</v>
      </c>
      <c r="H4794" s="545">
        <v>2.6666666666666665</v>
      </c>
      <c r="I4794" s="545">
        <v>0.66666666666666663</v>
      </c>
      <c r="J4794" s="545">
        <v>9.2261904761904763</v>
      </c>
    </row>
    <row r="4795" spans="1:10">
      <c r="A4795" s="441">
        <v>3471</v>
      </c>
      <c r="B4795" s="441" t="s">
        <v>4401</v>
      </c>
      <c r="C4795" s="545">
        <v>21.833333333333336</v>
      </c>
      <c r="D4795" s="545">
        <v>9.3333333333333321</v>
      </c>
      <c r="E4795" s="545">
        <v>5.333333333333333</v>
      </c>
      <c r="F4795" s="545">
        <v>17.690476190476193</v>
      </c>
      <c r="G4795" s="545">
        <v>18.3</v>
      </c>
      <c r="H4795" s="545">
        <v>18.666666666666668</v>
      </c>
      <c r="I4795" s="545">
        <v>8.6666666666666661</v>
      </c>
      <c r="J4795" s="545">
        <v>16.976190476190478</v>
      </c>
    </row>
    <row r="4796" spans="1:10">
      <c r="A4796" s="441">
        <v>3929</v>
      </c>
      <c r="B4796" s="441" t="s">
        <v>4401</v>
      </c>
      <c r="C4796" s="545">
        <v>31.166666666666664</v>
      </c>
      <c r="D4796" s="545">
        <v>18</v>
      </c>
      <c r="E4796" s="545">
        <v>19.333333333333332</v>
      </c>
      <c r="F4796" s="545">
        <v>27.595238095238095</v>
      </c>
      <c r="G4796" s="545">
        <v>21.35</v>
      </c>
      <c r="H4796" s="545">
        <v>23.666666666666668</v>
      </c>
      <c r="I4796" s="545">
        <v>9</v>
      </c>
      <c r="J4796" s="545">
        <v>19.916666666666664</v>
      </c>
    </row>
    <row r="4797" spans="1:10">
      <c r="A4797" s="441">
        <v>3474</v>
      </c>
      <c r="B4797" s="441" t="s">
        <v>4402</v>
      </c>
      <c r="C4797" s="545">
        <v>51.5</v>
      </c>
      <c r="D4797" s="545">
        <v>36</v>
      </c>
      <c r="E4797" s="545">
        <v>29</v>
      </c>
      <c r="F4797" s="545">
        <v>46.071428571428569</v>
      </c>
      <c r="G4797" s="545">
        <v>29.95</v>
      </c>
      <c r="H4797" s="545">
        <v>23.666666666666668</v>
      </c>
      <c r="I4797" s="545">
        <v>10.666666666666666</v>
      </c>
      <c r="J4797" s="545">
        <v>26.297619047619044</v>
      </c>
    </row>
    <row r="4798" spans="1:10">
      <c r="A4798" s="441">
        <v>3939</v>
      </c>
      <c r="B4798" s="441" t="s">
        <v>4403</v>
      </c>
      <c r="C4798" s="545">
        <v>154.66666666666666</v>
      </c>
      <c r="D4798" s="545">
        <v>95</v>
      </c>
      <c r="E4798" s="545">
        <v>62.666666666666671</v>
      </c>
      <c r="F4798" s="545">
        <v>132.99999999999997</v>
      </c>
      <c r="G4798" s="545">
        <v>94</v>
      </c>
      <c r="H4798" s="545">
        <v>73.333333333333329</v>
      </c>
      <c r="I4798" s="545">
        <v>33</v>
      </c>
      <c r="J4798" s="545">
        <v>82.333333333333343</v>
      </c>
    </row>
    <row r="4799" spans="1:10">
      <c r="A4799" s="441">
        <v>3460</v>
      </c>
      <c r="B4799" s="441" t="s">
        <v>4404</v>
      </c>
      <c r="C4799" s="545">
        <v>5.833333333333333</v>
      </c>
      <c r="D4799" s="545">
        <v>10.333333333333332</v>
      </c>
      <c r="E4799" s="545">
        <v>6.3333333333333339</v>
      </c>
      <c r="F4799" s="545">
        <v>6.5476190476190483</v>
      </c>
      <c r="G4799" s="545">
        <v>0.9</v>
      </c>
      <c r="H4799" s="545">
        <v>0.33333333333333331</v>
      </c>
      <c r="I4799" s="545">
        <v>0</v>
      </c>
      <c r="J4799" s="545">
        <v>0.69047619047619047</v>
      </c>
    </row>
    <row r="4800" spans="1:10">
      <c r="A4800" s="441">
        <v>3941</v>
      </c>
      <c r="B4800" s="441" t="s">
        <v>4405</v>
      </c>
      <c r="C4800" s="545">
        <v>11.333333333333334</v>
      </c>
      <c r="D4800" s="545">
        <v>4.333333333333333</v>
      </c>
      <c r="E4800" s="545">
        <v>5.3333333333333339</v>
      </c>
      <c r="F4800" s="545">
        <v>9.4761904761904781</v>
      </c>
      <c r="G4800" s="545">
        <v>5.75</v>
      </c>
      <c r="H4800" s="545">
        <v>4.333333333333333</v>
      </c>
      <c r="I4800" s="545">
        <v>1</v>
      </c>
      <c r="J4800" s="545">
        <v>4.8690476190476195</v>
      </c>
    </row>
    <row r="4801" spans="1:10">
      <c r="A4801" s="441">
        <v>3458</v>
      </c>
      <c r="B4801" s="441" t="s">
        <v>4406</v>
      </c>
      <c r="C4801" s="545">
        <v>13.333333333333332</v>
      </c>
      <c r="D4801" s="545">
        <v>7.6666666666666661</v>
      </c>
      <c r="E4801" s="545">
        <v>4.3333333333333339</v>
      </c>
      <c r="F4801" s="545">
        <v>11.238095238095237</v>
      </c>
      <c r="G4801" s="545">
        <v>4.7</v>
      </c>
      <c r="H4801" s="545">
        <v>2.3333333333333335</v>
      </c>
      <c r="I4801" s="545">
        <v>0</v>
      </c>
      <c r="J4801" s="545">
        <v>3.6904761904761902</v>
      </c>
    </row>
    <row r="4802" spans="1:10">
      <c r="A4802" s="441">
        <v>3461</v>
      </c>
      <c r="B4802" s="441" t="s">
        <v>4407</v>
      </c>
      <c r="C4802" s="545">
        <v>237.66666666666666</v>
      </c>
      <c r="D4802" s="545">
        <v>163.66666666666669</v>
      </c>
      <c r="E4802" s="545">
        <v>105.66666666666667</v>
      </c>
      <c r="F4802" s="545">
        <v>208.23809523809524</v>
      </c>
      <c r="G4802" s="545">
        <v>139</v>
      </c>
      <c r="H4802" s="545">
        <v>106.66666666666667</v>
      </c>
      <c r="I4802" s="545">
        <v>62</v>
      </c>
      <c r="J4802" s="545">
        <v>123.38095238095238</v>
      </c>
    </row>
    <row r="4803" spans="1:10">
      <c r="A4803" s="441">
        <v>3462</v>
      </c>
      <c r="B4803" s="441" t="s">
        <v>4407</v>
      </c>
      <c r="C4803" s="545">
        <v>182.5</v>
      </c>
      <c r="D4803" s="545">
        <v>109.33333333333333</v>
      </c>
      <c r="E4803" s="545">
        <v>84</v>
      </c>
      <c r="F4803" s="545">
        <v>157.97619047619051</v>
      </c>
      <c r="G4803" s="545">
        <v>112.2</v>
      </c>
      <c r="H4803" s="545">
        <v>83</v>
      </c>
      <c r="I4803" s="545">
        <v>46</v>
      </c>
      <c r="J4803" s="545">
        <v>98.571428571428569</v>
      </c>
    </row>
    <row r="4804" spans="1:10">
      <c r="A4804" s="441">
        <v>3938</v>
      </c>
      <c r="B4804" s="441" t="s">
        <v>4407</v>
      </c>
      <c r="C4804" s="545">
        <v>265</v>
      </c>
      <c r="D4804" s="545">
        <v>160.33333333333331</v>
      </c>
      <c r="E4804" s="545">
        <v>116</v>
      </c>
      <c r="F4804" s="545">
        <v>228.76190476190476</v>
      </c>
      <c r="G4804" s="545">
        <v>154.94999999999999</v>
      </c>
      <c r="H4804" s="545">
        <v>99</v>
      </c>
      <c r="I4804" s="545">
        <v>63</v>
      </c>
      <c r="J4804" s="545">
        <v>133.82142857142858</v>
      </c>
    </row>
    <row r="4805" spans="1:10">
      <c r="A4805" s="441">
        <v>3437</v>
      </c>
      <c r="B4805" s="441" t="s">
        <v>4408</v>
      </c>
      <c r="C4805" s="545">
        <v>11</v>
      </c>
      <c r="D4805" s="545">
        <v>6.3333333333333339</v>
      </c>
      <c r="E4805" s="545">
        <v>2.6666666666666665</v>
      </c>
      <c r="F4805" s="545">
        <v>9.1428571428571423</v>
      </c>
      <c r="G4805" s="545">
        <v>3.55</v>
      </c>
      <c r="H4805" s="545">
        <v>2.3333333333333335</v>
      </c>
      <c r="I4805" s="545">
        <v>1.6666666666666667</v>
      </c>
      <c r="J4805" s="545">
        <v>3.1071428571428572</v>
      </c>
    </row>
    <row r="4806" spans="1:10">
      <c r="A4806" s="441">
        <v>3445</v>
      </c>
      <c r="B4806" s="441" t="s">
        <v>4408</v>
      </c>
      <c r="C4806" s="545">
        <v>9.5</v>
      </c>
      <c r="D4806" s="545">
        <v>5</v>
      </c>
      <c r="E4806" s="545">
        <v>3.3333333333333335</v>
      </c>
      <c r="F4806" s="545">
        <v>7.9761904761904763</v>
      </c>
      <c r="G4806" s="545">
        <v>5.85</v>
      </c>
      <c r="H4806" s="545">
        <v>3.3333333333333335</v>
      </c>
      <c r="I4806" s="545">
        <v>1.6666666666666667</v>
      </c>
      <c r="J4806" s="545">
        <v>4.8928571428571432</v>
      </c>
    </row>
    <row r="4807" spans="1:10">
      <c r="A4807" s="441">
        <v>3479</v>
      </c>
      <c r="B4807" s="441" t="s">
        <v>4409</v>
      </c>
      <c r="C4807" s="545">
        <v>25.5</v>
      </c>
      <c r="D4807" s="545">
        <v>14.666666666666668</v>
      </c>
      <c r="E4807" s="545">
        <v>15.333333333333332</v>
      </c>
      <c r="F4807" s="545">
        <v>22.5</v>
      </c>
      <c r="G4807" s="545">
        <v>12.45</v>
      </c>
      <c r="H4807" s="545">
        <v>14.666666666666666</v>
      </c>
      <c r="I4807" s="545">
        <v>9.6666666666666661</v>
      </c>
      <c r="J4807" s="545">
        <v>12.36904761904762</v>
      </c>
    </row>
    <row r="4808" spans="1:10">
      <c r="A4808" s="441">
        <v>3492</v>
      </c>
      <c r="B4808" s="441" t="s">
        <v>4409</v>
      </c>
      <c r="C4808" s="545">
        <v>43.166666666666671</v>
      </c>
      <c r="D4808" s="545">
        <v>36</v>
      </c>
      <c r="E4808" s="545">
        <v>27.333333333333332</v>
      </c>
      <c r="F4808" s="545">
        <v>39.880952380952387</v>
      </c>
      <c r="G4808" s="545">
        <v>27.7</v>
      </c>
      <c r="H4808" s="545">
        <v>29.333333333333332</v>
      </c>
      <c r="I4808" s="545">
        <v>14</v>
      </c>
      <c r="J4808" s="545">
        <v>25.976190476190478</v>
      </c>
    </row>
    <row r="4809" spans="1:10">
      <c r="A4809" s="441">
        <v>3482</v>
      </c>
      <c r="B4809" s="441" t="s">
        <v>4410</v>
      </c>
      <c r="C4809" s="545">
        <v>17</v>
      </c>
      <c r="D4809" s="545">
        <v>1.6666666666666665</v>
      </c>
      <c r="E4809" s="545">
        <v>1</v>
      </c>
      <c r="F4809" s="545">
        <v>12.523809523809524</v>
      </c>
      <c r="G4809" s="545">
        <v>12.9</v>
      </c>
      <c r="H4809" s="545">
        <v>3.3333333333333335</v>
      </c>
      <c r="I4809" s="545">
        <v>1.3333333333333333</v>
      </c>
      <c r="J4809" s="545">
        <v>9.8809523809523796</v>
      </c>
    </row>
    <row r="4810" spans="1:10">
      <c r="A4810" s="441">
        <v>3488</v>
      </c>
      <c r="B4810" s="441" t="s">
        <v>4410</v>
      </c>
      <c r="C4810" s="545">
        <v>13.166666666666668</v>
      </c>
      <c r="D4810" s="545">
        <v>1.6666666666666665</v>
      </c>
      <c r="E4810" s="545">
        <v>1.3333333333333333</v>
      </c>
      <c r="F4810" s="545">
        <v>9.8333333333333339</v>
      </c>
      <c r="G4810" s="545">
        <v>9.8000000000000007</v>
      </c>
      <c r="H4810" s="545">
        <v>5.333333333333333</v>
      </c>
      <c r="I4810" s="545">
        <v>1</v>
      </c>
      <c r="J4810" s="545">
        <v>7.9047619047619051</v>
      </c>
    </row>
    <row r="4811" spans="1:10">
      <c r="A4811" s="441">
        <v>3468</v>
      </c>
      <c r="B4811" s="441" t="s">
        <v>4411</v>
      </c>
      <c r="C4811" s="545">
        <v>77.166666666666671</v>
      </c>
      <c r="D4811" s="545">
        <v>41</v>
      </c>
      <c r="E4811" s="545">
        <v>28.333333333333336</v>
      </c>
      <c r="F4811" s="545">
        <v>65.023809523809533</v>
      </c>
      <c r="G4811" s="545">
        <v>38.700000000000003</v>
      </c>
      <c r="H4811" s="545">
        <v>21.333333333333332</v>
      </c>
      <c r="I4811" s="545">
        <v>20</v>
      </c>
      <c r="J4811" s="545">
        <v>33.547619047619051</v>
      </c>
    </row>
    <row r="4812" spans="1:10">
      <c r="A4812" s="441">
        <v>3465</v>
      </c>
      <c r="B4812" s="441" t="s">
        <v>4412</v>
      </c>
      <c r="C4812" s="545">
        <v>13.666666666666668</v>
      </c>
      <c r="D4812" s="545">
        <v>4</v>
      </c>
      <c r="E4812" s="545">
        <v>2</v>
      </c>
      <c r="F4812" s="545">
        <v>10.61904761904762</v>
      </c>
      <c r="G4812" s="545">
        <v>6.15</v>
      </c>
      <c r="H4812" s="545">
        <v>2.3333333333333335</v>
      </c>
      <c r="I4812" s="545">
        <v>2.6666666666666665</v>
      </c>
      <c r="J4812" s="545">
        <v>5.1071428571428568</v>
      </c>
    </row>
    <row r="4813" spans="1:10">
      <c r="A4813" s="441">
        <v>3935</v>
      </c>
      <c r="B4813" s="441" t="s">
        <v>4412</v>
      </c>
      <c r="C4813" s="545">
        <v>20</v>
      </c>
      <c r="D4813" s="545">
        <v>11.333333333333332</v>
      </c>
      <c r="E4813" s="545">
        <v>5.666666666666667</v>
      </c>
      <c r="F4813" s="545">
        <v>16.714285714285715</v>
      </c>
      <c r="G4813" s="545">
        <v>9.85</v>
      </c>
      <c r="H4813" s="545">
        <v>11</v>
      </c>
      <c r="I4813" s="545">
        <v>5</v>
      </c>
      <c r="J4813" s="545">
        <v>9.3214285714285712</v>
      </c>
    </row>
    <row r="4814" spans="1:10">
      <c r="A4814" s="441">
        <v>3441</v>
      </c>
      <c r="B4814" s="441" t="s">
        <v>4413</v>
      </c>
      <c r="C4814" s="545">
        <v>41.166666666666664</v>
      </c>
      <c r="D4814" s="545">
        <v>8</v>
      </c>
      <c r="E4814" s="545">
        <v>5.333333333333333</v>
      </c>
      <c r="F4814" s="545">
        <v>31.309523809523807</v>
      </c>
      <c r="G4814" s="545">
        <v>17.100000000000001</v>
      </c>
      <c r="H4814" s="545">
        <v>6</v>
      </c>
      <c r="I4814" s="545">
        <v>4.333333333333333</v>
      </c>
      <c r="J4814" s="545">
        <v>13.69047619047619</v>
      </c>
    </row>
    <row r="4815" spans="1:10">
      <c r="A4815" s="441">
        <v>3476</v>
      </c>
      <c r="B4815" s="441" t="s">
        <v>4414</v>
      </c>
      <c r="C4815" s="545">
        <v>10.333333333333332</v>
      </c>
      <c r="D4815" s="545">
        <v>6.333333333333333</v>
      </c>
      <c r="E4815" s="545">
        <v>3</v>
      </c>
      <c r="F4815" s="545">
        <v>8.7142857142857135</v>
      </c>
      <c r="G4815" s="545">
        <v>6.75</v>
      </c>
      <c r="H4815" s="545">
        <v>3.6666666666666665</v>
      </c>
      <c r="I4815" s="545">
        <v>2.3333333333333335</v>
      </c>
      <c r="J4815" s="545">
        <v>5.6785714285714288</v>
      </c>
    </row>
    <row r="4816" spans="1:10">
      <c r="A4816" s="441">
        <v>3495</v>
      </c>
      <c r="B4816" s="441" t="s">
        <v>4414</v>
      </c>
      <c r="C4816" s="545">
        <v>14.666666666666668</v>
      </c>
      <c r="D4816" s="545">
        <v>6</v>
      </c>
      <c r="E4816" s="545">
        <v>4</v>
      </c>
      <c r="F4816" s="545">
        <v>11.904761904761907</v>
      </c>
      <c r="G4816" s="545">
        <v>7.55</v>
      </c>
      <c r="H4816" s="545">
        <v>4.333333333333333</v>
      </c>
      <c r="I4816" s="545">
        <v>1.6666666666666667</v>
      </c>
      <c r="J4816" s="545">
        <v>6.25</v>
      </c>
    </row>
    <row r="4817" spans="1:10">
      <c r="A4817" s="441">
        <v>3439</v>
      </c>
      <c r="B4817" s="441" t="s">
        <v>4415</v>
      </c>
      <c r="C4817" s="545">
        <v>112.33333333333334</v>
      </c>
      <c r="D4817" s="545">
        <v>81.333333333333329</v>
      </c>
      <c r="E4817" s="545">
        <v>60.666666666666664</v>
      </c>
      <c r="F4817" s="545">
        <v>100.52380952380953</v>
      </c>
      <c r="G4817" s="545">
        <v>63.8</v>
      </c>
      <c r="H4817" s="545">
        <v>51</v>
      </c>
      <c r="I4817" s="545">
        <v>29.666666666666668</v>
      </c>
      <c r="J4817" s="545">
        <v>57.095238095238095</v>
      </c>
    </row>
    <row r="4818" spans="1:10">
      <c r="A4818" s="441">
        <v>3440</v>
      </c>
      <c r="B4818" s="441" t="s">
        <v>4416</v>
      </c>
      <c r="C4818" s="545">
        <v>79.333333333333343</v>
      </c>
      <c r="D4818" s="545">
        <v>63.333333333333329</v>
      </c>
      <c r="E4818" s="545">
        <v>50</v>
      </c>
      <c r="F4818" s="545">
        <v>72.857142857142861</v>
      </c>
      <c r="G4818" s="545">
        <v>105.05</v>
      </c>
      <c r="H4818" s="545">
        <v>86.333333333333329</v>
      </c>
      <c r="I4818" s="545">
        <v>51.666666666666664</v>
      </c>
      <c r="J4818" s="545">
        <v>94.75</v>
      </c>
    </row>
    <row r="4819" spans="1:10">
      <c r="A4819" s="441">
        <v>3480</v>
      </c>
      <c r="B4819" s="441" t="s">
        <v>4417</v>
      </c>
      <c r="C4819" s="545">
        <v>121.16666666666666</v>
      </c>
      <c r="D4819" s="545">
        <v>73</v>
      </c>
      <c r="E4819" s="545">
        <v>46.666666666666671</v>
      </c>
      <c r="F4819" s="545">
        <v>103.64285714285712</v>
      </c>
      <c r="G4819" s="545">
        <v>77.55</v>
      </c>
      <c r="H4819" s="545">
        <v>50</v>
      </c>
      <c r="I4819" s="545">
        <v>26.333333333333332</v>
      </c>
      <c r="J4819" s="545">
        <v>66.297619047619051</v>
      </c>
    </row>
    <row r="4820" spans="1:10">
      <c r="A4820" s="441">
        <v>3481</v>
      </c>
      <c r="B4820" s="441" t="s">
        <v>4417</v>
      </c>
      <c r="C4820" s="545">
        <v>2.5</v>
      </c>
      <c r="D4820" s="545">
        <v>3.3333333333333335</v>
      </c>
      <c r="E4820" s="545">
        <v>0.66666666666666663</v>
      </c>
      <c r="F4820" s="545">
        <v>2.3571428571428572</v>
      </c>
      <c r="G4820" s="545">
        <v>1.9</v>
      </c>
      <c r="H4820" s="545">
        <v>2.6666666666666665</v>
      </c>
      <c r="I4820" s="545">
        <v>0.66666666666666663</v>
      </c>
      <c r="J4820" s="545">
        <v>1.8333333333333333</v>
      </c>
    </row>
    <row r="4821" spans="1:10">
      <c r="A4821" s="441">
        <v>3490</v>
      </c>
      <c r="B4821" s="441" t="s">
        <v>4417</v>
      </c>
      <c r="C4821" s="545">
        <v>63</v>
      </c>
      <c r="D4821" s="545">
        <v>23</v>
      </c>
      <c r="E4821" s="545">
        <v>23.666666666666668</v>
      </c>
      <c r="F4821" s="545">
        <v>51.666666666666671</v>
      </c>
      <c r="G4821" s="545">
        <v>41.8</v>
      </c>
      <c r="H4821" s="545">
        <v>25</v>
      </c>
      <c r="I4821" s="545">
        <v>15.333333333333334</v>
      </c>
      <c r="J4821" s="545">
        <v>35.61904761904762</v>
      </c>
    </row>
    <row r="4822" spans="1:10">
      <c r="A4822" s="441">
        <v>3491</v>
      </c>
      <c r="B4822" s="441" t="s">
        <v>4417</v>
      </c>
      <c r="C4822" s="545">
        <v>54</v>
      </c>
      <c r="D4822" s="545">
        <v>27.666666666666668</v>
      </c>
      <c r="E4822" s="545">
        <v>21.333333333333336</v>
      </c>
      <c r="F4822" s="545">
        <v>45.571428571428569</v>
      </c>
      <c r="G4822" s="545">
        <v>18.05</v>
      </c>
      <c r="H4822" s="545">
        <v>17</v>
      </c>
      <c r="I4822" s="545">
        <v>5</v>
      </c>
      <c r="J4822" s="545">
        <v>16.035714285714285</v>
      </c>
    </row>
    <row r="4823" spans="1:10">
      <c r="A4823" s="441">
        <v>3452</v>
      </c>
      <c r="B4823" s="441" t="s">
        <v>4418</v>
      </c>
      <c r="C4823" s="545">
        <v>17.333333333333332</v>
      </c>
      <c r="D4823" s="545">
        <v>7</v>
      </c>
      <c r="E4823" s="545">
        <v>6.3333333333333339</v>
      </c>
      <c r="F4823" s="545">
        <v>14.285714285714283</v>
      </c>
      <c r="G4823" s="545">
        <v>7.2</v>
      </c>
      <c r="H4823" s="545">
        <v>5.666666666666667</v>
      </c>
      <c r="I4823" s="545">
        <v>2</v>
      </c>
      <c r="J4823" s="545">
        <v>6.2380952380952381</v>
      </c>
    </row>
    <row r="4824" spans="1:10">
      <c r="A4824" s="441">
        <v>3948</v>
      </c>
      <c r="B4824" s="441" t="s">
        <v>4418</v>
      </c>
      <c r="C4824" s="545">
        <v>19</v>
      </c>
      <c r="D4824" s="545">
        <v>13.666666666666666</v>
      </c>
      <c r="E4824" s="545">
        <v>8.3333333333333321</v>
      </c>
      <c r="F4824" s="545">
        <v>16.714285714285715</v>
      </c>
      <c r="G4824" s="545">
        <v>6.45</v>
      </c>
      <c r="H4824" s="545">
        <v>4.333333333333333</v>
      </c>
      <c r="I4824" s="545">
        <v>0.33333333333333331</v>
      </c>
      <c r="J4824" s="545">
        <v>5.2738095238095246</v>
      </c>
    </row>
    <row r="4825" spans="1:10">
      <c r="A4825" s="441">
        <v>3475</v>
      </c>
      <c r="B4825" s="441" t="s">
        <v>4419</v>
      </c>
      <c r="C4825" s="545">
        <v>14.333333333333332</v>
      </c>
      <c r="D4825" s="545">
        <v>15.666666666666668</v>
      </c>
      <c r="E4825" s="545">
        <v>4.333333333333333</v>
      </c>
      <c r="F4825" s="545">
        <v>13.095238095238093</v>
      </c>
      <c r="G4825" s="545">
        <v>3.65</v>
      </c>
      <c r="H4825" s="545">
        <v>3.3333333333333335</v>
      </c>
      <c r="I4825" s="545">
        <v>2.6666666666666665</v>
      </c>
      <c r="J4825" s="545">
        <v>3.4642857142857144</v>
      </c>
    </row>
    <row r="4826" spans="1:10">
      <c r="A4826" s="441">
        <v>3496</v>
      </c>
      <c r="B4826" s="441" t="s">
        <v>4419</v>
      </c>
      <c r="C4826" s="545">
        <v>9.8333333333333321</v>
      </c>
      <c r="D4826" s="545">
        <v>5.6666666666666661</v>
      </c>
      <c r="E4826" s="545">
        <v>3.6666666666666665</v>
      </c>
      <c r="F4826" s="545">
        <v>8.3571428571428559</v>
      </c>
      <c r="G4826" s="545">
        <v>5.2</v>
      </c>
      <c r="H4826" s="545">
        <v>2.6666666666666665</v>
      </c>
      <c r="I4826" s="545">
        <v>1.3333333333333333</v>
      </c>
      <c r="J4826" s="545">
        <v>4.2857142857142856</v>
      </c>
    </row>
    <row r="4827" spans="1:10">
      <c r="A4827" s="441">
        <v>3464</v>
      </c>
      <c r="B4827" s="441" t="s">
        <v>4420</v>
      </c>
      <c r="C4827" s="545">
        <v>15.5</v>
      </c>
      <c r="D4827" s="545">
        <v>8.6666666666666661</v>
      </c>
      <c r="E4827" s="545">
        <v>6.6666666666666661</v>
      </c>
      <c r="F4827" s="545">
        <v>13.261904761904763</v>
      </c>
      <c r="G4827" s="545">
        <v>7.25</v>
      </c>
      <c r="H4827" s="545">
        <v>5.666666666666667</v>
      </c>
      <c r="I4827" s="545">
        <v>3.6666666666666665</v>
      </c>
      <c r="J4827" s="545">
        <v>6.511904761904761</v>
      </c>
    </row>
    <row r="4828" spans="1:10">
      <c r="A4828" s="441">
        <v>3936</v>
      </c>
      <c r="B4828" s="441" t="s">
        <v>4420</v>
      </c>
      <c r="C4828" s="545">
        <v>17.5</v>
      </c>
      <c r="D4828" s="545">
        <v>8</v>
      </c>
      <c r="E4828" s="545">
        <v>6.3333333333333339</v>
      </c>
      <c r="F4828" s="545">
        <v>14.547619047619047</v>
      </c>
      <c r="G4828" s="545">
        <v>10.4</v>
      </c>
      <c r="H4828" s="545">
        <v>4.666666666666667</v>
      </c>
      <c r="I4828" s="545">
        <v>5.333333333333333</v>
      </c>
      <c r="J4828" s="545">
        <v>8.8571428571428577</v>
      </c>
    </row>
    <row r="4829" spans="1:10">
      <c r="A4829" s="441">
        <v>3478</v>
      </c>
      <c r="B4829" s="441" t="s">
        <v>4421</v>
      </c>
      <c r="C4829" s="545">
        <v>6</v>
      </c>
      <c r="D4829" s="545">
        <v>2.6666666666666665</v>
      </c>
      <c r="E4829" s="545">
        <v>3.3333333333333335</v>
      </c>
      <c r="F4829" s="545">
        <v>5.1428571428571432</v>
      </c>
      <c r="G4829" s="545">
        <v>3.2</v>
      </c>
      <c r="H4829" s="545">
        <v>2.6666666666666665</v>
      </c>
      <c r="I4829" s="545">
        <v>0.66666666666666663</v>
      </c>
      <c r="J4829" s="545">
        <v>2.7619047619047623</v>
      </c>
    </row>
    <row r="4830" spans="1:10">
      <c r="A4830" s="441">
        <v>3493</v>
      </c>
      <c r="B4830" s="441" t="s">
        <v>4421</v>
      </c>
      <c r="C4830" s="545">
        <v>7.3333333333333339</v>
      </c>
      <c r="D4830" s="545">
        <v>1.6666666666666665</v>
      </c>
      <c r="E4830" s="545">
        <v>2.666666666666667</v>
      </c>
      <c r="F4830" s="545">
        <v>5.8571428571428568</v>
      </c>
      <c r="G4830" s="545">
        <v>3.45</v>
      </c>
      <c r="H4830" s="545">
        <v>3.3333333333333335</v>
      </c>
      <c r="I4830" s="545">
        <v>1.3333333333333333</v>
      </c>
      <c r="J4830" s="545">
        <v>3.1309523809523805</v>
      </c>
    </row>
    <row r="4831" spans="1:10">
      <c r="A4831" s="441">
        <v>3483</v>
      </c>
      <c r="B4831" s="441" t="s">
        <v>4422</v>
      </c>
      <c r="C4831" s="545">
        <v>1.5</v>
      </c>
      <c r="D4831" s="545">
        <v>0.33333333333333331</v>
      </c>
      <c r="E4831" s="545">
        <v>0</v>
      </c>
      <c r="F4831" s="545">
        <v>1.1190476190476191</v>
      </c>
      <c r="G4831" s="545">
        <v>0.6</v>
      </c>
      <c r="H4831" s="545">
        <v>6.666666666666667</v>
      </c>
      <c r="I4831" s="545">
        <v>0.33333333333333331</v>
      </c>
      <c r="J4831" s="545">
        <v>1.4285714285714288</v>
      </c>
    </row>
    <row r="4832" spans="1:10">
      <c r="A4832" s="441">
        <v>3487</v>
      </c>
      <c r="B4832" s="441" t="s">
        <v>4422</v>
      </c>
      <c r="C4832" s="545">
        <v>2.3333333333333335</v>
      </c>
      <c r="D4832" s="545">
        <v>1</v>
      </c>
      <c r="E4832" s="545">
        <v>0.33333333333333331</v>
      </c>
      <c r="F4832" s="545">
        <v>1.8571428571428574</v>
      </c>
      <c r="G4832" s="545">
        <v>0.7</v>
      </c>
      <c r="H4832" s="545">
        <v>7.333333333333333</v>
      </c>
      <c r="I4832" s="545">
        <v>1</v>
      </c>
      <c r="J4832" s="545">
        <v>1.6904761904761902</v>
      </c>
    </row>
    <row r="4833" spans="1:10">
      <c r="A4833" s="441">
        <v>3438</v>
      </c>
      <c r="B4833" s="441" t="s">
        <v>4423</v>
      </c>
      <c r="C4833" s="545">
        <v>30.5</v>
      </c>
      <c r="D4833" s="545">
        <v>16</v>
      </c>
      <c r="E4833" s="545">
        <v>11.333333333333334</v>
      </c>
      <c r="F4833" s="545">
        <v>25.690476190476193</v>
      </c>
      <c r="G4833" s="545">
        <v>6.55</v>
      </c>
      <c r="H4833" s="545">
        <v>4.333333333333333</v>
      </c>
      <c r="I4833" s="545">
        <v>1.6666666666666667</v>
      </c>
      <c r="J4833" s="545">
        <v>5.5357142857142856</v>
      </c>
    </row>
    <row r="4834" spans="1:10">
      <c r="A4834" s="441">
        <v>3443</v>
      </c>
      <c r="B4834" s="441" t="s">
        <v>4423</v>
      </c>
      <c r="C4834" s="545">
        <v>18.333333333333332</v>
      </c>
      <c r="D4834" s="545">
        <v>15.333333333333332</v>
      </c>
      <c r="E4834" s="545">
        <v>8</v>
      </c>
      <c r="F4834" s="545">
        <v>16.428571428571427</v>
      </c>
      <c r="G4834" s="545">
        <v>7.7</v>
      </c>
      <c r="H4834" s="545">
        <v>4</v>
      </c>
      <c r="I4834" s="545">
        <v>4</v>
      </c>
      <c r="J4834" s="545">
        <v>6.6428571428571432</v>
      </c>
    </row>
    <row r="4835" spans="1:10">
      <c r="A4835" s="441">
        <v>3928</v>
      </c>
      <c r="B4835" s="441" t="s">
        <v>4424</v>
      </c>
      <c r="C4835" s="545">
        <v>26.333333333333332</v>
      </c>
      <c r="D4835" s="545">
        <v>16.666666666666664</v>
      </c>
      <c r="E4835" s="545">
        <v>12.333333333333334</v>
      </c>
      <c r="F4835" s="545">
        <v>22.952380952380953</v>
      </c>
      <c r="G4835" s="545">
        <v>11.1</v>
      </c>
      <c r="H4835" s="545">
        <v>10</v>
      </c>
      <c r="I4835" s="545">
        <v>4.333333333333333</v>
      </c>
      <c r="J4835" s="545">
        <v>9.9761904761904763</v>
      </c>
    </row>
    <row r="4836" spans="1:10">
      <c r="A4836" s="441">
        <v>3472</v>
      </c>
      <c r="B4836" s="441" t="s">
        <v>4425</v>
      </c>
      <c r="C4836" s="545">
        <v>29.166666666666664</v>
      </c>
      <c r="D4836" s="545">
        <v>25.333333333333336</v>
      </c>
      <c r="E4836" s="545">
        <v>18.666666666666668</v>
      </c>
      <c r="F4836" s="545">
        <v>27.119047619047617</v>
      </c>
      <c r="G4836" s="545">
        <v>18.850000000000001</v>
      </c>
      <c r="H4836" s="545">
        <v>25</v>
      </c>
      <c r="I4836" s="545">
        <v>12.333333333333334</v>
      </c>
      <c r="J4836" s="545">
        <v>18.797619047619047</v>
      </c>
    </row>
    <row r="4837" spans="1:10">
      <c r="A4837" s="441">
        <v>3485</v>
      </c>
      <c r="B4837" s="441" t="s">
        <v>4426</v>
      </c>
      <c r="C4837" s="545">
        <v>16.333333333333336</v>
      </c>
      <c r="D4837" s="545">
        <v>6.333333333333333</v>
      </c>
      <c r="E4837" s="545">
        <v>5</v>
      </c>
      <c r="F4837" s="545">
        <v>13.285714285714288</v>
      </c>
      <c r="G4837" s="545">
        <v>12.85</v>
      </c>
      <c r="H4837" s="545">
        <v>5.666666666666667</v>
      </c>
      <c r="I4837" s="545">
        <v>7</v>
      </c>
      <c r="J4837" s="545">
        <v>10.988095238095239</v>
      </c>
    </row>
    <row r="4838" spans="1:10">
      <c r="A4838" s="441">
        <v>3463</v>
      </c>
      <c r="B4838" s="441" t="s">
        <v>4427</v>
      </c>
      <c r="C4838" s="545">
        <v>12.166666666666666</v>
      </c>
      <c r="D4838" s="545">
        <v>5</v>
      </c>
      <c r="E4838" s="545">
        <v>2</v>
      </c>
      <c r="F4838" s="545">
        <v>9.6904761904761898</v>
      </c>
      <c r="G4838" s="545">
        <v>8.5500000000000007</v>
      </c>
      <c r="H4838" s="545">
        <v>5</v>
      </c>
      <c r="I4838" s="545">
        <v>3</v>
      </c>
      <c r="J4838" s="545">
        <v>7.25</v>
      </c>
    </row>
    <row r="4839" spans="1:10">
      <c r="A4839" s="441">
        <v>3937</v>
      </c>
      <c r="B4839" s="441" t="s">
        <v>4427</v>
      </c>
      <c r="C4839" s="545">
        <v>8</v>
      </c>
      <c r="D4839" s="545">
        <v>6.6666666666666661</v>
      </c>
      <c r="E4839" s="545">
        <v>2.3333333333333335</v>
      </c>
      <c r="F4839" s="545">
        <v>7</v>
      </c>
      <c r="G4839" s="545">
        <v>6.6</v>
      </c>
      <c r="H4839" s="545">
        <v>5.666666666666667</v>
      </c>
      <c r="I4839" s="545">
        <v>2</v>
      </c>
      <c r="J4839" s="545">
        <v>5.8095238095238093</v>
      </c>
    </row>
    <row r="4840" spans="1:10">
      <c r="A4840" s="441">
        <v>1896</v>
      </c>
      <c r="B4840" s="441" t="s">
        <v>4428</v>
      </c>
      <c r="C4840" s="545">
        <v>174.83333333333331</v>
      </c>
      <c r="D4840" s="545">
        <v>123</v>
      </c>
      <c r="E4840" s="545">
        <v>100.33333333333333</v>
      </c>
      <c r="F4840" s="545">
        <v>156.78571428571425</v>
      </c>
      <c r="G4840" s="545">
        <v>93.1</v>
      </c>
      <c r="H4840" s="545">
        <v>76.333333333333329</v>
      </c>
      <c r="I4840" s="545">
        <v>37</v>
      </c>
      <c r="J4840" s="545">
        <v>82.69047619047619</v>
      </c>
    </row>
    <row r="4841" spans="1:10">
      <c r="A4841" s="441">
        <v>1931</v>
      </c>
      <c r="B4841" s="441" t="s">
        <v>4428</v>
      </c>
      <c r="C4841" s="545">
        <v>188</v>
      </c>
      <c r="D4841" s="545">
        <v>146.33333333333334</v>
      </c>
      <c r="E4841" s="545">
        <v>95</v>
      </c>
      <c r="F4841" s="545">
        <v>168.76190476190476</v>
      </c>
      <c r="G4841" s="545">
        <v>94.7</v>
      </c>
      <c r="H4841" s="545">
        <v>77</v>
      </c>
      <c r="I4841" s="545">
        <v>38</v>
      </c>
      <c r="J4841" s="545">
        <v>84.071428571428569</v>
      </c>
    </row>
    <row r="4842" spans="1:10">
      <c r="A4842" s="441">
        <v>3442</v>
      </c>
      <c r="B4842" s="441" t="s">
        <v>4429</v>
      </c>
      <c r="C4842" s="545">
        <v>455.66666666666669</v>
      </c>
      <c r="D4842" s="545">
        <v>304</v>
      </c>
      <c r="E4842" s="545">
        <v>299.33333333333331</v>
      </c>
      <c r="F4842" s="545">
        <v>411.66666666666669</v>
      </c>
      <c r="G4842" s="545">
        <v>298.2</v>
      </c>
      <c r="H4842" s="545">
        <v>229</v>
      </c>
      <c r="I4842" s="545">
        <v>139</v>
      </c>
      <c r="J4842" s="545">
        <v>265.57142857142856</v>
      </c>
    </row>
    <row r="4843" spans="1:10">
      <c r="A4843" s="441">
        <v>3477</v>
      </c>
      <c r="B4843" s="441" t="s">
        <v>4430</v>
      </c>
      <c r="C4843" s="545">
        <v>19.833333333333336</v>
      </c>
      <c r="D4843" s="545">
        <v>7.333333333333333</v>
      </c>
      <c r="E4843" s="545">
        <v>5.6666666666666661</v>
      </c>
      <c r="F4843" s="545">
        <v>16.023809523809526</v>
      </c>
      <c r="G4843" s="545">
        <v>10.8</v>
      </c>
      <c r="H4843" s="545">
        <v>4.333333333333333</v>
      </c>
      <c r="I4843" s="545">
        <v>4.666666666666667</v>
      </c>
      <c r="J4843" s="545">
        <v>9</v>
      </c>
    </row>
    <row r="4844" spans="1:10">
      <c r="A4844" s="441">
        <v>3494</v>
      </c>
      <c r="B4844" s="441" t="s">
        <v>4430</v>
      </c>
      <c r="C4844" s="545">
        <v>19.833333333333332</v>
      </c>
      <c r="D4844" s="545">
        <v>9.6666666666666661</v>
      </c>
      <c r="E4844" s="545">
        <v>5.666666666666667</v>
      </c>
      <c r="F4844" s="545">
        <v>16.357142857142858</v>
      </c>
      <c r="G4844" s="545">
        <v>7.05</v>
      </c>
      <c r="H4844" s="545">
        <v>5.666666666666667</v>
      </c>
      <c r="I4844" s="545">
        <v>2.6666666666666665</v>
      </c>
      <c r="J4844" s="545">
        <v>6.2261904761904754</v>
      </c>
    </row>
    <row r="4845" spans="1:10">
      <c r="A4845" s="441">
        <v>3467</v>
      </c>
      <c r="B4845" s="441" t="s">
        <v>4431</v>
      </c>
      <c r="C4845" s="545">
        <v>33.166666666666671</v>
      </c>
      <c r="D4845" s="545">
        <v>25</v>
      </c>
      <c r="E4845" s="545">
        <v>13</v>
      </c>
      <c r="F4845" s="545">
        <v>29.119047619047624</v>
      </c>
      <c r="G4845" s="545">
        <v>16.05</v>
      </c>
      <c r="H4845" s="545">
        <v>11.333333333333334</v>
      </c>
      <c r="I4845" s="545">
        <v>5.666666666666667</v>
      </c>
      <c r="J4845" s="545">
        <v>13.892857142857142</v>
      </c>
    </row>
    <row r="4846" spans="1:10">
      <c r="A4846" s="441">
        <v>3470</v>
      </c>
      <c r="B4846" s="441" t="s">
        <v>4432</v>
      </c>
      <c r="C4846" s="545">
        <v>12.5</v>
      </c>
      <c r="D4846" s="545">
        <v>10.666666666666668</v>
      </c>
      <c r="E4846" s="545">
        <v>4</v>
      </c>
      <c r="F4846" s="545">
        <v>11.023809523809524</v>
      </c>
      <c r="G4846" s="545">
        <v>7.25</v>
      </c>
      <c r="H4846" s="545">
        <v>5.666666666666667</v>
      </c>
      <c r="I4846" s="545">
        <v>2</v>
      </c>
      <c r="J4846" s="545">
        <v>6.2738095238095237</v>
      </c>
    </row>
    <row r="4847" spans="1:10">
      <c r="A4847" s="441">
        <v>3930</v>
      </c>
      <c r="B4847" s="441" t="s">
        <v>4432</v>
      </c>
      <c r="C4847" s="545">
        <v>9.5</v>
      </c>
      <c r="D4847" s="545">
        <v>8.6666666666666661</v>
      </c>
      <c r="E4847" s="545">
        <v>7</v>
      </c>
      <c r="F4847" s="545">
        <v>9.0238095238095237</v>
      </c>
      <c r="G4847" s="545">
        <v>8.9499999999999993</v>
      </c>
      <c r="H4847" s="545">
        <v>9.3333333333333339</v>
      </c>
      <c r="I4847" s="545">
        <v>3.3333333333333335</v>
      </c>
      <c r="J4847" s="545">
        <v>8.2023809523809526</v>
      </c>
    </row>
    <row r="4848" spans="1:10">
      <c r="A4848" s="441">
        <v>3457</v>
      </c>
      <c r="B4848" s="441" t="s">
        <v>4433</v>
      </c>
      <c r="C4848" s="545">
        <v>85.833333333333329</v>
      </c>
      <c r="D4848" s="545">
        <v>42.333333333333329</v>
      </c>
      <c r="E4848" s="545">
        <v>47.333333333333336</v>
      </c>
      <c r="F4848" s="545">
        <v>74.119047619047606</v>
      </c>
      <c r="G4848" s="545">
        <v>43.15</v>
      </c>
      <c r="H4848" s="545">
        <v>26.333333333333332</v>
      </c>
      <c r="I4848" s="545">
        <v>13.666666666666666</v>
      </c>
      <c r="J4848" s="545">
        <v>36.535714285714285</v>
      </c>
    </row>
    <row r="4849" spans="1:10">
      <c r="A4849" s="441">
        <v>3943</v>
      </c>
      <c r="B4849" s="441" t="s">
        <v>4433</v>
      </c>
      <c r="C4849" s="545">
        <v>58.833333333333336</v>
      </c>
      <c r="D4849" s="545">
        <v>31</v>
      </c>
      <c r="E4849" s="545">
        <v>27</v>
      </c>
      <c r="F4849" s="545">
        <v>50.30952380952381</v>
      </c>
      <c r="G4849" s="545">
        <v>34.950000000000003</v>
      </c>
      <c r="H4849" s="545">
        <v>15.333333333333334</v>
      </c>
      <c r="I4849" s="545">
        <v>9</v>
      </c>
      <c r="J4849" s="545">
        <v>28.440476190476193</v>
      </c>
    </row>
    <row r="4850" spans="1:10">
      <c r="A4850" s="441">
        <v>3453</v>
      </c>
      <c r="B4850" s="441" t="s">
        <v>4434</v>
      </c>
      <c r="C4850" s="545">
        <v>30.5</v>
      </c>
      <c r="D4850" s="545">
        <v>24.333333333333332</v>
      </c>
      <c r="E4850" s="545">
        <v>16.333333333333336</v>
      </c>
      <c r="F4850" s="545">
        <v>27.595238095238098</v>
      </c>
      <c r="G4850" s="545">
        <v>13.3</v>
      </c>
      <c r="H4850" s="545">
        <v>11.333333333333334</v>
      </c>
      <c r="I4850" s="545">
        <v>4</v>
      </c>
      <c r="J4850" s="545">
        <v>11.69047619047619</v>
      </c>
    </row>
    <row r="4851" spans="1:10">
      <c r="A4851" s="441">
        <v>3947</v>
      </c>
      <c r="B4851" s="441" t="s">
        <v>4434</v>
      </c>
      <c r="C4851" s="545">
        <v>25.833333333333332</v>
      </c>
      <c r="D4851" s="545">
        <v>12</v>
      </c>
      <c r="E4851" s="545">
        <v>14.333333333333332</v>
      </c>
      <c r="F4851" s="545">
        <v>22.214285714285715</v>
      </c>
      <c r="G4851" s="545">
        <v>12.35</v>
      </c>
      <c r="H4851" s="545">
        <v>12</v>
      </c>
      <c r="I4851" s="545">
        <v>4.666666666666667</v>
      </c>
      <c r="J4851" s="545">
        <v>11.202380952380953</v>
      </c>
    </row>
    <row r="4852" spans="1:10">
      <c r="A4852" s="441">
        <v>3473</v>
      </c>
      <c r="B4852" s="441" t="s">
        <v>4435</v>
      </c>
      <c r="C4852" s="545">
        <v>8.3333333333333339</v>
      </c>
      <c r="D4852" s="545">
        <v>4</v>
      </c>
      <c r="E4852" s="545">
        <v>1.3333333333333333</v>
      </c>
      <c r="F4852" s="545">
        <v>6.7142857142857153</v>
      </c>
      <c r="G4852" s="545">
        <v>11.15</v>
      </c>
      <c r="H4852" s="545">
        <v>7</v>
      </c>
      <c r="I4852" s="545">
        <v>1.3333333333333333</v>
      </c>
      <c r="J4852" s="545">
        <v>9.1547619047619033</v>
      </c>
    </row>
    <row r="4853" spans="1:10">
      <c r="A4853" s="441">
        <v>3498</v>
      </c>
      <c r="B4853" s="441" t="s">
        <v>4435</v>
      </c>
      <c r="C4853" s="545">
        <v>14.666666666666666</v>
      </c>
      <c r="D4853" s="545">
        <v>4</v>
      </c>
      <c r="E4853" s="545">
        <v>1.6666666666666665</v>
      </c>
      <c r="F4853" s="545">
        <v>11.285714285714286</v>
      </c>
      <c r="G4853" s="545">
        <v>12.7</v>
      </c>
      <c r="H4853" s="545">
        <v>3.6666666666666665</v>
      </c>
      <c r="I4853" s="545">
        <v>1.3333333333333333</v>
      </c>
      <c r="J4853" s="545">
        <v>9.7857142857142865</v>
      </c>
    </row>
    <row r="4854" spans="1:10">
      <c r="A4854" s="441">
        <v>3456</v>
      </c>
      <c r="B4854" s="441" t="s">
        <v>4436</v>
      </c>
      <c r="C4854" s="545">
        <v>15.666666666666666</v>
      </c>
      <c r="D4854" s="545">
        <v>7</v>
      </c>
      <c r="E4854" s="545">
        <v>7.3333333333333339</v>
      </c>
      <c r="F4854" s="545">
        <v>13.238095238095237</v>
      </c>
      <c r="G4854" s="545">
        <v>9.4499999999999993</v>
      </c>
      <c r="H4854" s="545">
        <v>9.3333333333333339</v>
      </c>
      <c r="I4854" s="545">
        <v>16.333333333333332</v>
      </c>
      <c r="J4854" s="545">
        <v>10.416666666666668</v>
      </c>
    </row>
    <row r="4855" spans="1:10">
      <c r="A4855" s="441">
        <v>3944</v>
      </c>
      <c r="B4855" s="441" t="s">
        <v>4436</v>
      </c>
      <c r="C4855" s="545">
        <v>14</v>
      </c>
      <c r="D4855" s="545">
        <v>10</v>
      </c>
      <c r="E4855" s="545">
        <v>11.666666666666668</v>
      </c>
      <c r="F4855" s="545">
        <v>13.095238095238097</v>
      </c>
      <c r="G4855" s="545">
        <v>6.65</v>
      </c>
      <c r="H4855" s="545">
        <v>5.666666666666667</v>
      </c>
      <c r="I4855" s="545">
        <v>4.333333333333333</v>
      </c>
      <c r="J4855" s="545">
        <v>6.1785714285714288</v>
      </c>
    </row>
    <row r="4856" spans="1:10">
      <c r="A4856" s="441">
        <v>3446</v>
      </c>
      <c r="B4856" s="441" t="s">
        <v>4437</v>
      </c>
      <c r="C4856" s="545">
        <v>97.166666666666657</v>
      </c>
      <c r="D4856" s="545">
        <v>60.666666666666664</v>
      </c>
      <c r="E4856" s="545">
        <v>66</v>
      </c>
      <c r="F4856" s="545">
        <v>87.499999999999986</v>
      </c>
      <c r="G4856" s="545">
        <v>57.85</v>
      </c>
      <c r="H4856" s="545">
        <v>54.333333333333336</v>
      </c>
      <c r="I4856" s="545">
        <v>31</v>
      </c>
      <c r="J4856" s="545">
        <v>53.511904761904759</v>
      </c>
    </row>
    <row r="4857" spans="1:10">
      <c r="A4857" s="441">
        <v>11522</v>
      </c>
      <c r="B4857" s="441" t="s">
        <v>4437</v>
      </c>
      <c r="C4857" s="545">
        <v>44.166666666666664</v>
      </c>
      <c r="D4857" s="545">
        <v>38</v>
      </c>
      <c r="E4857" s="545">
        <v>37</v>
      </c>
      <c r="F4857" s="545">
        <v>42.261904761904759</v>
      </c>
      <c r="G4857" s="545">
        <v>33.85</v>
      </c>
      <c r="H4857" s="545">
        <v>31</v>
      </c>
      <c r="I4857" s="545">
        <v>7</v>
      </c>
      <c r="J4857" s="545">
        <v>29.607142857142858</v>
      </c>
    </row>
    <row r="4858" spans="1:10">
      <c r="A4858" s="441">
        <v>3455</v>
      </c>
      <c r="B4858" s="441" t="s">
        <v>4438</v>
      </c>
      <c r="C4858" s="545">
        <v>7.166666666666667</v>
      </c>
      <c r="D4858" s="545">
        <v>2.666666666666667</v>
      </c>
      <c r="E4858" s="545">
        <v>1.3333333333333333</v>
      </c>
      <c r="F4858" s="545">
        <v>5.6904761904761907</v>
      </c>
      <c r="G4858" s="545">
        <v>3</v>
      </c>
      <c r="H4858" s="545">
        <v>1</v>
      </c>
      <c r="I4858" s="545">
        <v>0</v>
      </c>
      <c r="J4858" s="545">
        <v>2.2857142857142856</v>
      </c>
    </row>
    <row r="4859" spans="1:10">
      <c r="A4859" s="441">
        <v>3945</v>
      </c>
      <c r="B4859" s="441" t="s">
        <v>4438</v>
      </c>
      <c r="C4859" s="545">
        <v>6.333333333333333</v>
      </c>
      <c r="D4859" s="545">
        <v>4.6666666666666661</v>
      </c>
      <c r="E4859" s="545">
        <v>3</v>
      </c>
      <c r="F4859" s="545">
        <v>5.6190476190476186</v>
      </c>
      <c r="G4859" s="545">
        <v>3.6</v>
      </c>
      <c r="H4859" s="545">
        <v>1</v>
      </c>
      <c r="I4859" s="545">
        <v>2.6666666666666665</v>
      </c>
      <c r="J4859" s="545">
        <v>3.0952380952380953</v>
      </c>
    </row>
    <row r="4860" spans="1:10">
      <c r="A4860" s="441">
        <v>3933</v>
      </c>
      <c r="B4860" s="441" t="s">
        <v>4439</v>
      </c>
      <c r="C4860" s="545">
        <v>32</v>
      </c>
      <c r="D4860" s="545">
        <v>23</v>
      </c>
      <c r="E4860" s="545">
        <v>10</v>
      </c>
      <c r="F4860" s="545">
        <v>27.571428571428573</v>
      </c>
      <c r="G4860" s="545">
        <v>10.15</v>
      </c>
      <c r="H4860" s="545">
        <v>7.333333333333333</v>
      </c>
      <c r="I4860" s="545">
        <v>2</v>
      </c>
      <c r="J4860" s="545">
        <v>8.5833333333333339</v>
      </c>
    </row>
    <row r="4861" spans="1:10">
      <c r="A4861" s="441">
        <v>3932</v>
      </c>
      <c r="B4861" s="441" t="s">
        <v>4440</v>
      </c>
      <c r="C4861" s="545">
        <v>61.5</v>
      </c>
      <c r="D4861" s="545">
        <v>36</v>
      </c>
      <c r="E4861" s="545">
        <v>24.666666666666664</v>
      </c>
      <c r="F4861" s="545">
        <v>52.595238095238095</v>
      </c>
      <c r="G4861" s="545">
        <v>33.15</v>
      </c>
      <c r="H4861" s="545">
        <v>16.333333333333332</v>
      </c>
      <c r="I4861" s="545">
        <v>11.333333333333334</v>
      </c>
      <c r="J4861" s="545">
        <v>27.630952380952383</v>
      </c>
    </row>
    <row r="4862" spans="1:10">
      <c r="A4862" s="441">
        <v>3469</v>
      </c>
      <c r="B4862" s="441" t="s">
        <v>4441</v>
      </c>
      <c r="C4862" s="545">
        <v>9.5</v>
      </c>
      <c r="D4862" s="545">
        <v>4.3333333333333339</v>
      </c>
      <c r="E4862" s="545">
        <v>4</v>
      </c>
      <c r="F4862" s="545">
        <v>7.9761904761904763</v>
      </c>
      <c r="G4862" s="545">
        <v>4.75</v>
      </c>
      <c r="H4862" s="545">
        <v>2.6666666666666665</v>
      </c>
      <c r="I4862" s="545">
        <v>3.3333333333333335</v>
      </c>
      <c r="J4862" s="545">
        <v>4.25</v>
      </c>
    </row>
    <row r="4863" spans="1:10">
      <c r="A4863" s="441">
        <v>3931</v>
      </c>
      <c r="B4863" s="441" t="s">
        <v>4441</v>
      </c>
      <c r="C4863" s="545">
        <v>13</v>
      </c>
      <c r="D4863" s="545">
        <v>6.666666666666667</v>
      </c>
      <c r="E4863" s="545">
        <v>5.666666666666667</v>
      </c>
      <c r="F4863" s="545">
        <v>11.047619047619049</v>
      </c>
      <c r="G4863" s="545">
        <v>4.25</v>
      </c>
      <c r="H4863" s="545">
        <v>5.333333333333333</v>
      </c>
      <c r="I4863" s="545">
        <v>1.6666666666666667</v>
      </c>
      <c r="J4863" s="545">
        <v>4.0357142857142856</v>
      </c>
    </row>
    <row r="4864" spans="1:10">
      <c r="A4864" s="441">
        <v>3942</v>
      </c>
      <c r="B4864" s="441" t="s">
        <v>4442</v>
      </c>
      <c r="C4864" s="545">
        <v>20.833333333333332</v>
      </c>
      <c r="D4864" s="545">
        <v>12</v>
      </c>
      <c r="E4864" s="545">
        <v>10</v>
      </c>
      <c r="F4864" s="545">
        <v>18.023809523809522</v>
      </c>
      <c r="G4864" s="545">
        <v>5.85</v>
      </c>
      <c r="H4864" s="545">
        <v>6</v>
      </c>
      <c r="I4864" s="545">
        <v>3.3333333333333335</v>
      </c>
      <c r="J4864" s="545">
        <v>5.5119047619047619</v>
      </c>
    </row>
    <row r="4865" spans="1:10">
      <c r="A4865" s="441">
        <v>11424</v>
      </c>
      <c r="B4865" s="441" t="s">
        <v>4443</v>
      </c>
      <c r="C4865" s="545">
        <v>253.5</v>
      </c>
      <c r="D4865" s="545">
        <v>80.333333333333343</v>
      </c>
      <c r="E4865" s="545">
        <v>54.333333333333336</v>
      </c>
      <c r="F4865" s="545">
        <v>200.3095238095238</v>
      </c>
      <c r="G4865" s="545">
        <v>172.65</v>
      </c>
      <c r="H4865" s="545">
        <v>47.666666666666664</v>
      </c>
      <c r="I4865" s="545">
        <v>29</v>
      </c>
      <c r="J4865" s="545">
        <v>134.27380952380952</v>
      </c>
    </row>
    <row r="4866" spans="1:10">
      <c r="A4866" s="441">
        <v>11425</v>
      </c>
      <c r="B4866" s="441" t="s">
        <v>4443</v>
      </c>
      <c r="C4866" s="545">
        <v>267.5</v>
      </c>
      <c r="D4866" s="545">
        <v>71</v>
      </c>
      <c r="E4866" s="545">
        <v>45.666666666666664</v>
      </c>
      <c r="F4866" s="545">
        <v>207.73809523809524</v>
      </c>
      <c r="G4866" s="545">
        <v>188.2</v>
      </c>
      <c r="H4866" s="545">
        <v>56</v>
      </c>
      <c r="I4866" s="545">
        <v>19.333333333333332</v>
      </c>
      <c r="J4866" s="545">
        <v>145.1904761904762</v>
      </c>
    </row>
    <row r="4867" spans="1:10">
      <c r="A4867" s="441">
        <v>3466</v>
      </c>
      <c r="B4867" s="441" t="s">
        <v>4444</v>
      </c>
      <c r="C4867" s="545">
        <v>68.833333333333343</v>
      </c>
      <c r="D4867" s="545">
        <v>45</v>
      </c>
      <c r="E4867" s="545">
        <v>28.666666666666664</v>
      </c>
      <c r="F4867" s="545">
        <v>59.690476190476204</v>
      </c>
      <c r="G4867" s="545">
        <v>53.25</v>
      </c>
      <c r="H4867" s="545">
        <v>35.666666666666664</v>
      </c>
      <c r="I4867" s="545">
        <v>17</v>
      </c>
      <c r="J4867" s="545">
        <v>45.55952380952381</v>
      </c>
    </row>
    <row r="4868" spans="1:10">
      <c r="A4868" s="441">
        <v>3934</v>
      </c>
      <c r="B4868" s="441" t="s">
        <v>4444</v>
      </c>
      <c r="C4868" s="545">
        <v>50</v>
      </c>
      <c r="D4868" s="545">
        <v>31.666666666666664</v>
      </c>
      <c r="E4868" s="545">
        <v>28.333333333333332</v>
      </c>
      <c r="F4868" s="545">
        <v>44.285714285714285</v>
      </c>
      <c r="G4868" s="545">
        <v>48.7</v>
      </c>
      <c r="H4868" s="545">
        <v>33</v>
      </c>
      <c r="I4868" s="545">
        <v>18</v>
      </c>
      <c r="J4868" s="545">
        <v>42.071428571428569</v>
      </c>
    </row>
    <row r="4869" spans="1:10">
      <c r="A4869" s="441">
        <v>3451</v>
      </c>
      <c r="B4869" s="441" t="s">
        <v>4445</v>
      </c>
      <c r="C4869" s="545">
        <v>6.8333333333333339</v>
      </c>
      <c r="D4869" s="545">
        <v>4.6666666666666661</v>
      </c>
      <c r="E4869" s="545">
        <v>3</v>
      </c>
      <c r="F4869" s="545">
        <v>5.9761904761904763</v>
      </c>
      <c r="G4869" s="545">
        <v>6.75</v>
      </c>
      <c r="H4869" s="545">
        <v>2.6666666666666665</v>
      </c>
      <c r="I4869" s="545">
        <v>0.33333333333333331</v>
      </c>
      <c r="J4869" s="545">
        <v>5.25</v>
      </c>
    </row>
    <row r="4870" spans="1:10">
      <c r="A4870" s="441">
        <v>3949</v>
      </c>
      <c r="B4870" s="441" t="s">
        <v>4445</v>
      </c>
      <c r="C4870" s="545">
        <v>7.8333333333333339</v>
      </c>
      <c r="D4870" s="545">
        <v>7</v>
      </c>
      <c r="E4870" s="545">
        <v>1.3333333333333333</v>
      </c>
      <c r="F4870" s="545">
        <v>6.7857142857142865</v>
      </c>
      <c r="G4870" s="545">
        <v>5.55</v>
      </c>
      <c r="H4870" s="545">
        <v>3.3333333333333335</v>
      </c>
      <c r="I4870" s="545">
        <v>1.6666666666666667</v>
      </c>
      <c r="J4870" s="545">
        <v>4.6785714285714288</v>
      </c>
    </row>
    <row r="4871" spans="1:10">
      <c r="A4871" s="441">
        <v>3459</v>
      </c>
      <c r="B4871" s="441" t="s">
        <v>4446</v>
      </c>
      <c r="C4871" s="545">
        <v>14</v>
      </c>
      <c r="D4871" s="545">
        <v>8</v>
      </c>
      <c r="E4871" s="545">
        <v>5.333333333333333</v>
      </c>
      <c r="F4871" s="545">
        <v>11.904761904761903</v>
      </c>
      <c r="G4871" s="545">
        <v>7.6</v>
      </c>
      <c r="H4871" s="545">
        <v>7.666666666666667</v>
      </c>
      <c r="I4871" s="545">
        <v>2.3333333333333335</v>
      </c>
      <c r="J4871" s="545">
        <v>6.8571428571428568</v>
      </c>
    </row>
    <row r="4872" spans="1:10">
      <c r="A4872" s="441">
        <v>3940</v>
      </c>
      <c r="B4872" s="441" t="s">
        <v>4446</v>
      </c>
      <c r="C4872" s="545">
        <v>14</v>
      </c>
      <c r="D4872" s="545">
        <v>7.666666666666667</v>
      </c>
      <c r="E4872" s="545">
        <v>8</v>
      </c>
      <c r="F4872" s="545">
        <v>12.238095238095239</v>
      </c>
      <c r="G4872" s="545">
        <v>6</v>
      </c>
      <c r="H4872" s="545">
        <v>4</v>
      </c>
      <c r="I4872" s="545">
        <v>1.6666666666666667</v>
      </c>
      <c r="J4872" s="545">
        <v>5.0952380952380949</v>
      </c>
    </row>
    <row r="4873" spans="1:10">
      <c r="A4873" s="441">
        <v>11474</v>
      </c>
      <c r="B4873" s="441" t="s">
        <v>4447</v>
      </c>
      <c r="C4873" s="545">
        <v>150.16666666666666</v>
      </c>
      <c r="D4873" s="545">
        <v>83.666666666666671</v>
      </c>
      <c r="E4873" s="545">
        <v>77.666666666666671</v>
      </c>
      <c r="F4873" s="545">
        <v>130.3095238095238</v>
      </c>
      <c r="G4873" s="545">
        <v>123.85</v>
      </c>
      <c r="H4873" s="545">
        <v>82.666666666666671</v>
      </c>
      <c r="I4873" s="545">
        <v>61</v>
      </c>
      <c r="J4873" s="545">
        <v>108.98809523809523</v>
      </c>
    </row>
    <row r="4874" spans="1:10">
      <c r="A4874" s="441">
        <v>12213</v>
      </c>
      <c r="B4874" s="441" t="s">
        <v>4447</v>
      </c>
      <c r="C4874" s="545">
        <v>158.33333333333334</v>
      </c>
      <c r="D4874" s="545">
        <v>85.666666666666657</v>
      </c>
      <c r="E4874" s="545">
        <v>80</v>
      </c>
      <c r="F4874" s="545">
        <v>136.76190476190476</v>
      </c>
      <c r="G4874" s="545">
        <v>115.6</v>
      </c>
      <c r="H4874" s="545">
        <v>71.666666666666671</v>
      </c>
      <c r="I4874" s="545">
        <v>45</v>
      </c>
      <c r="J4874" s="545">
        <v>99.238095238095227</v>
      </c>
    </row>
    <row r="4875" spans="1:10">
      <c r="A4875" s="441">
        <v>3454</v>
      </c>
      <c r="B4875" s="441" t="s">
        <v>4448</v>
      </c>
      <c r="C4875" s="545">
        <v>3.1666666666666665</v>
      </c>
      <c r="D4875" s="545">
        <v>1.3333333333333333</v>
      </c>
      <c r="E4875" s="545">
        <v>0.33333333333333331</v>
      </c>
      <c r="F4875" s="545">
        <v>2.4999999999999996</v>
      </c>
      <c r="G4875" s="545">
        <v>2</v>
      </c>
      <c r="H4875" s="545">
        <v>1</v>
      </c>
      <c r="I4875" s="545">
        <v>0.66666666666666663</v>
      </c>
      <c r="J4875" s="545">
        <v>1.6666666666666665</v>
      </c>
    </row>
    <row r="4876" spans="1:10">
      <c r="A4876" s="441">
        <v>3946</v>
      </c>
      <c r="B4876" s="441" t="s">
        <v>4448</v>
      </c>
      <c r="C4876" s="545">
        <v>6.333333333333333</v>
      </c>
      <c r="D4876" s="545">
        <v>2</v>
      </c>
      <c r="E4876" s="545">
        <v>1.3333333333333333</v>
      </c>
      <c r="F4876" s="545">
        <v>5</v>
      </c>
      <c r="G4876" s="545">
        <v>3.8</v>
      </c>
      <c r="H4876" s="545">
        <v>1</v>
      </c>
      <c r="I4876" s="545">
        <v>0</v>
      </c>
      <c r="J4876" s="545">
        <v>2.8571428571428572</v>
      </c>
    </row>
    <row r="4877" spans="1:10">
      <c r="A4877" s="441">
        <v>3497</v>
      </c>
      <c r="B4877" s="441" t="s">
        <v>4449</v>
      </c>
      <c r="C4877" s="545">
        <v>63.833333333333336</v>
      </c>
      <c r="D4877" s="545">
        <v>50</v>
      </c>
      <c r="E4877" s="545">
        <v>29</v>
      </c>
      <c r="F4877" s="545">
        <v>56.880952380952387</v>
      </c>
      <c r="G4877" s="545">
        <v>29.1</v>
      </c>
      <c r="H4877" s="545">
        <v>24</v>
      </c>
      <c r="I4877" s="545">
        <v>7.666666666666667</v>
      </c>
      <c r="J4877" s="545">
        <v>25.309523809523807</v>
      </c>
    </row>
    <row r="4878" spans="1:10">
      <c r="A4878" s="441">
        <v>5447</v>
      </c>
      <c r="B4878" s="441" t="s">
        <v>4450</v>
      </c>
      <c r="C4878" s="545">
        <v>92</v>
      </c>
      <c r="D4878" s="545">
        <v>29</v>
      </c>
      <c r="E4878" s="545">
        <v>32.333333333333329</v>
      </c>
      <c r="F4878" s="545">
        <v>74.476190476190482</v>
      </c>
      <c r="G4878" s="545">
        <v>56.05</v>
      </c>
      <c r="H4878" s="545">
        <v>27</v>
      </c>
      <c r="I4878" s="545">
        <v>15</v>
      </c>
      <c r="J4878" s="545">
        <v>46.035714285714285</v>
      </c>
    </row>
    <row r="4879" spans="1:10">
      <c r="A4879" s="441">
        <v>9593</v>
      </c>
      <c r="B4879" s="441" t="s">
        <v>4450</v>
      </c>
      <c r="C4879" s="545">
        <v>87.166666666666671</v>
      </c>
      <c r="D4879" s="545">
        <v>31.333333333333336</v>
      </c>
      <c r="E4879" s="545">
        <v>24.666666666666664</v>
      </c>
      <c r="F4879" s="545">
        <v>70.261904761904773</v>
      </c>
      <c r="G4879" s="545">
        <v>46.8</v>
      </c>
      <c r="H4879" s="545">
        <v>18.666666666666668</v>
      </c>
      <c r="I4879" s="545">
        <v>17</v>
      </c>
      <c r="J4879" s="545">
        <v>38.523809523809518</v>
      </c>
    </row>
    <row r="4880" spans="1:10">
      <c r="A4880" s="441">
        <v>2110</v>
      </c>
      <c r="B4880" s="441" t="s">
        <v>4451</v>
      </c>
      <c r="C4880" s="545">
        <v>60.5</v>
      </c>
      <c r="D4880" s="545">
        <v>35.333333333333329</v>
      </c>
      <c r="E4880" s="545">
        <v>31</v>
      </c>
      <c r="F4880" s="545">
        <v>52.69047619047619</v>
      </c>
      <c r="G4880" s="545">
        <v>24.15</v>
      </c>
      <c r="H4880" s="545">
        <v>23.666666666666668</v>
      </c>
      <c r="I4880" s="545">
        <v>10.333333333333334</v>
      </c>
      <c r="J4880" s="545">
        <v>22.107142857142858</v>
      </c>
    </row>
    <row r="4881" spans="1:10">
      <c r="A4881" s="441">
        <v>10287</v>
      </c>
      <c r="B4881" s="441" t="s">
        <v>4452</v>
      </c>
      <c r="C4881" s="545">
        <v>28.166666666666664</v>
      </c>
      <c r="D4881" s="545">
        <v>20</v>
      </c>
      <c r="E4881" s="545">
        <v>11.666666666666668</v>
      </c>
      <c r="F4881" s="545">
        <v>24.642857142857139</v>
      </c>
      <c r="G4881" s="545">
        <v>21.75</v>
      </c>
      <c r="H4881" s="545">
        <v>16.666666666666668</v>
      </c>
      <c r="I4881" s="545">
        <v>13.333333333333334</v>
      </c>
      <c r="J4881" s="545">
        <v>19.821428571428573</v>
      </c>
    </row>
    <row r="4882" spans="1:10">
      <c r="A4882" s="441">
        <v>11475</v>
      </c>
      <c r="B4882" s="441" t="s">
        <v>4452</v>
      </c>
      <c r="C4882" s="545">
        <v>42.666666666666671</v>
      </c>
      <c r="D4882" s="545">
        <v>19.666666666666664</v>
      </c>
      <c r="E4882" s="545">
        <v>16</v>
      </c>
      <c r="F4882" s="545">
        <v>35.571428571428577</v>
      </c>
      <c r="G4882" s="545">
        <v>20.9</v>
      </c>
      <c r="H4882" s="545">
        <v>20</v>
      </c>
      <c r="I4882" s="545">
        <v>12.666666666666666</v>
      </c>
      <c r="J4882" s="545">
        <v>19.595238095238095</v>
      </c>
    </row>
    <row r="4883" spans="1:10">
      <c r="A4883" s="441">
        <v>11477</v>
      </c>
      <c r="B4883" s="441" t="s">
        <v>4453</v>
      </c>
      <c r="C4883" s="545">
        <v>0.5</v>
      </c>
      <c r="D4883" s="545">
        <v>0.33333333333333331</v>
      </c>
      <c r="E4883" s="545">
        <v>3.3333333333333335</v>
      </c>
      <c r="F4883" s="545">
        <v>0.88095238095238104</v>
      </c>
      <c r="G4883" s="545">
        <v>0.85</v>
      </c>
      <c r="H4883" s="545">
        <v>1</v>
      </c>
      <c r="I4883" s="545">
        <v>0</v>
      </c>
      <c r="J4883" s="545">
        <v>0.75</v>
      </c>
    </row>
    <row r="4884" spans="1:10">
      <c r="A4884" s="441">
        <v>10285</v>
      </c>
      <c r="B4884" s="441" t="s">
        <v>4454</v>
      </c>
      <c r="C4884" s="545">
        <v>1</v>
      </c>
      <c r="D4884" s="545">
        <v>0</v>
      </c>
      <c r="E4884" s="545">
        <v>0</v>
      </c>
      <c r="F4884" s="545">
        <v>0.7142857142857143</v>
      </c>
      <c r="G4884" s="545">
        <v>0.45</v>
      </c>
      <c r="H4884" s="545">
        <v>0</v>
      </c>
      <c r="I4884" s="545">
        <v>0</v>
      </c>
      <c r="J4884" s="545">
        <v>0.32142857142857145</v>
      </c>
    </row>
    <row r="4885" spans="1:10">
      <c r="A4885" s="441">
        <v>11476</v>
      </c>
      <c r="B4885" s="441" t="s">
        <v>4454</v>
      </c>
      <c r="C4885" s="545">
        <v>1</v>
      </c>
      <c r="D4885" s="545">
        <v>0</v>
      </c>
      <c r="E4885" s="545">
        <v>0.33333333333333331</v>
      </c>
      <c r="F4885" s="545">
        <v>0.76190476190476186</v>
      </c>
      <c r="G4885" s="545">
        <v>1.7</v>
      </c>
      <c r="H4885" s="545">
        <v>0.33333333333333331</v>
      </c>
      <c r="I4885" s="545">
        <v>0.33333333333333331</v>
      </c>
      <c r="J4885" s="545">
        <v>1.3095238095238098</v>
      </c>
    </row>
    <row r="4886" spans="1:10">
      <c r="A4886" s="441">
        <v>2112</v>
      </c>
      <c r="B4886" s="441" t="s">
        <v>4455</v>
      </c>
      <c r="C4886" s="545">
        <v>3.166666666666667</v>
      </c>
      <c r="D4886" s="545">
        <v>3.666666666666667</v>
      </c>
      <c r="E4886" s="545">
        <v>4</v>
      </c>
      <c r="F4886" s="545">
        <v>3.3571428571428577</v>
      </c>
      <c r="G4886" s="545">
        <v>7</v>
      </c>
      <c r="H4886" s="545">
        <v>5.333333333333333</v>
      </c>
      <c r="I4886" s="545">
        <v>2.6666666666666665</v>
      </c>
      <c r="J4886" s="545">
        <v>6.1428571428571432</v>
      </c>
    </row>
    <row r="4887" spans="1:10">
      <c r="A4887" s="441">
        <v>2111</v>
      </c>
      <c r="B4887" s="441" t="s">
        <v>4456</v>
      </c>
      <c r="C4887" s="545">
        <v>9.3333333333333321</v>
      </c>
      <c r="D4887" s="545">
        <v>7.666666666666667</v>
      </c>
      <c r="E4887" s="545">
        <v>7.6666666666666661</v>
      </c>
      <c r="F4887" s="545">
        <v>8.8571428571428559</v>
      </c>
      <c r="G4887" s="545">
        <v>5.15</v>
      </c>
      <c r="H4887" s="545">
        <v>10</v>
      </c>
      <c r="I4887" s="545">
        <v>4.666666666666667</v>
      </c>
      <c r="J4887" s="545">
        <v>5.7738095238095237</v>
      </c>
    </row>
    <row r="4888" spans="1:10">
      <c r="A4888" s="441">
        <v>10284</v>
      </c>
      <c r="B4888" s="441" t="s">
        <v>4457</v>
      </c>
      <c r="C4888" s="545">
        <v>0</v>
      </c>
      <c r="D4888" s="545">
        <v>0</v>
      </c>
      <c r="E4888" s="545">
        <v>0.33333333333333331</v>
      </c>
      <c r="F4888" s="545">
        <v>4.7619047619047616E-2</v>
      </c>
      <c r="G4888" s="545">
        <v>0.05</v>
      </c>
      <c r="H4888" s="545">
        <v>0</v>
      </c>
      <c r="I4888" s="545">
        <v>0</v>
      </c>
      <c r="J4888" s="545">
        <v>3.5714285714285712E-2</v>
      </c>
    </row>
    <row r="4889" spans="1:10">
      <c r="A4889" s="441">
        <v>10288</v>
      </c>
      <c r="B4889" s="441" t="s">
        <v>4457</v>
      </c>
      <c r="C4889" s="545">
        <v>0.16666666666666666</v>
      </c>
      <c r="D4889" s="545">
        <v>0</v>
      </c>
      <c r="E4889" s="545">
        <v>0</v>
      </c>
      <c r="F4889" s="545">
        <v>0.11904761904761904</v>
      </c>
      <c r="G4889" s="545">
        <v>0.45</v>
      </c>
      <c r="H4889" s="545">
        <v>0</v>
      </c>
      <c r="I4889" s="545">
        <v>0.66666666666666663</v>
      </c>
      <c r="J4889" s="545">
        <v>0.41666666666666663</v>
      </c>
    </row>
    <row r="4890" spans="1:10">
      <c r="A4890" s="441">
        <v>2212</v>
      </c>
      <c r="B4890" s="441" t="s">
        <v>4458</v>
      </c>
      <c r="C4890" s="545">
        <v>11.333333333333334</v>
      </c>
      <c r="D4890" s="545">
        <v>9.6666666666666661</v>
      </c>
      <c r="E4890" s="545">
        <v>8.3333333333333339</v>
      </c>
      <c r="F4890" s="545">
        <v>10.666666666666668</v>
      </c>
      <c r="G4890" s="545">
        <v>15.9</v>
      </c>
      <c r="H4890" s="545">
        <v>9.6666666666666661</v>
      </c>
      <c r="I4890" s="545">
        <v>8.6666666666666661</v>
      </c>
      <c r="J4890" s="545">
        <v>13.976190476190478</v>
      </c>
    </row>
    <row r="4891" spans="1:10">
      <c r="A4891" s="441">
        <v>2213</v>
      </c>
      <c r="B4891" s="441" t="s">
        <v>4458</v>
      </c>
      <c r="C4891" s="545">
        <v>13</v>
      </c>
      <c r="D4891" s="545">
        <v>9</v>
      </c>
      <c r="E4891" s="545">
        <v>8.6666666666666679</v>
      </c>
      <c r="F4891" s="545">
        <v>11.80952380952381</v>
      </c>
      <c r="G4891" s="545">
        <v>9.25</v>
      </c>
      <c r="H4891" s="545">
        <v>6.666666666666667</v>
      </c>
      <c r="I4891" s="545">
        <v>3</v>
      </c>
      <c r="J4891" s="545">
        <v>7.9880952380952381</v>
      </c>
    </row>
    <row r="4892" spans="1:10">
      <c r="A4892" s="441">
        <v>10184</v>
      </c>
      <c r="B4892" s="441" t="s">
        <v>4458</v>
      </c>
      <c r="C4892" s="545">
        <v>9.5</v>
      </c>
      <c r="D4892" s="545">
        <v>3.3333333333333335</v>
      </c>
      <c r="E4892" s="545">
        <v>3.6666666666666665</v>
      </c>
      <c r="F4892" s="545">
        <v>7.7857142857142856</v>
      </c>
      <c r="G4892" s="545">
        <v>10.050000000000001</v>
      </c>
      <c r="H4892" s="545">
        <v>4.666666666666667</v>
      </c>
      <c r="I4892" s="545">
        <v>4.666666666666667</v>
      </c>
      <c r="J4892" s="545">
        <v>8.511904761904761</v>
      </c>
    </row>
    <row r="4893" spans="1:10">
      <c r="A4893" s="441">
        <v>2113</v>
      </c>
      <c r="B4893" s="441" t="s">
        <v>4459</v>
      </c>
      <c r="C4893" s="545">
        <v>14.666666666666666</v>
      </c>
      <c r="D4893" s="545">
        <v>9</v>
      </c>
      <c r="E4893" s="545">
        <v>8.6666666666666679</v>
      </c>
      <c r="F4893" s="545">
        <v>13</v>
      </c>
      <c r="G4893" s="545">
        <v>66.75</v>
      </c>
      <c r="H4893" s="545">
        <v>50</v>
      </c>
      <c r="I4893" s="545">
        <v>32.666666666666664</v>
      </c>
      <c r="J4893" s="545">
        <v>59.488095238095241</v>
      </c>
    </row>
    <row r="4894" spans="1:10">
      <c r="A4894" s="441">
        <v>2114</v>
      </c>
      <c r="B4894" s="441" t="s">
        <v>4459</v>
      </c>
      <c r="C4894" s="545">
        <v>40.166666666666664</v>
      </c>
      <c r="D4894" s="545">
        <v>19.666666666666668</v>
      </c>
      <c r="E4894" s="545">
        <v>14.666666666666666</v>
      </c>
      <c r="F4894" s="545">
        <v>33.595238095238088</v>
      </c>
      <c r="G4894" s="545">
        <v>46.8</v>
      </c>
      <c r="H4894" s="545">
        <v>33.666666666666664</v>
      </c>
      <c r="I4894" s="545">
        <v>28.333333333333332</v>
      </c>
      <c r="J4894" s="545">
        <v>42.285714285714285</v>
      </c>
    </row>
    <row r="4895" spans="1:10">
      <c r="A4895" s="441">
        <v>2214</v>
      </c>
      <c r="B4895" s="441" t="s">
        <v>4460</v>
      </c>
      <c r="C4895" s="545">
        <v>21.333333333333336</v>
      </c>
      <c r="D4895" s="545">
        <v>10.666666666666666</v>
      </c>
      <c r="E4895" s="545">
        <v>8.3333333333333339</v>
      </c>
      <c r="F4895" s="545">
        <v>17.952380952380956</v>
      </c>
      <c r="G4895" s="545">
        <v>8.0500000000000007</v>
      </c>
      <c r="H4895" s="545">
        <v>6</v>
      </c>
      <c r="I4895" s="545">
        <v>5.333333333333333</v>
      </c>
      <c r="J4895" s="545">
        <v>7.3690476190476195</v>
      </c>
    </row>
    <row r="4896" spans="1:10">
      <c r="A4896" s="441">
        <v>10183</v>
      </c>
      <c r="B4896" s="441" t="s">
        <v>4461</v>
      </c>
      <c r="C4896" s="545">
        <v>10.333333333333334</v>
      </c>
      <c r="D4896" s="545">
        <v>3.3333333333333335</v>
      </c>
      <c r="E4896" s="545">
        <v>2</v>
      </c>
      <c r="F4896" s="545">
        <v>8.1428571428571441</v>
      </c>
      <c r="G4896" s="545">
        <v>5.7</v>
      </c>
      <c r="H4896" s="545">
        <v>2.3333333333333335</v>
      </c>
      <c r="I4896" s="545">
        <v>3.3333333333333335</v>
      </c>
      <c r="J4896" s="545">
        <v>4.8809523809523805</v>
      </c>
    </row>
    <row r="4897" spans="1:10">
      <c r="A4897" s="441">
        <v>10286</v>
      </c>
      <c r="B4897" s="441" t="s">
        <v>4462</v>
      </c>
      <c r="C4897" s="545">
        <v>0.5</v>
      </c>
      <c r="D4897" s="545">
        <v>0.66666666666666663</v>
      </c>
      <c r="E4897" s="545">
        <v>0</v>
      </c>
      <c r="F4897" s="545">
        <v>0.45238095238095238</v>
      </c>
      <c r="G4897" s="545">
        <v>0.95</v>
      </c>
      <c r="H4897" s="545">
        <v>1</v>
      </c>
      <c r="I4897" s="545">
        <v>0.66666666666666663</v>
      </c>
      <c r="J4897" s="545">
        <v>0.91666666666666674</v>
      </c>
    </row>
    <row r="4898" spans="1:10">
      <c r="A4898" s="441">
        <v>10289</v>
      </c>
      <c r="B4898" s="441" t="s">
        <v>4462</v>
      </c>
      <c r="C4898" s="545">
        <v>0.66666666666666663</v>
      </c>
      <c r="D4898" s="545">
        <v>2.666666666666667</v>
      </c>
      <c r="E4898" s="545">
        <v>0</v>
      </c>
      <c r="F4898" s="545">
        <v>0.8571428571428571</v>
      </c>
      <c r="G4898" s="545">
        <v>1.35</v>
      </c>
      <c r="H4898" s="545">
        <v>0</v>
      </c>
      <c r="I4898" s="545">
        <v>0.33333333333333331</v>
      </c>
      <c r="J4898" s="545">
        <v>1.0119047619047619</v>
      </c>
    </row>
    <row r="4899" spans="1:10">
      <c r="A4899" s="441">
        <v>3444</v>
      </c>
      <c r="B4899" s="441" t="s">
        <v>4463</v>
      </c>
      <c r="C4899" s="545">
        <v>128.5</v>
      </c>
      <c r="D4899" s="545">
        <v>112</v>
      </c>
      <c r="E4899" s="545">
        <v>113.33333333333334</v>
      </c>
      <c r="F4899" s="545">
        <v>123.97619047619048</v>
      </c>
      <c r="G4899" s="545">
        <v>94.05</v>
      </c>
      <c r="H4899" s="545">
        <v>96.333333333333329</v>
      </c>
      <c r="I4899" s="545">
        <v>91</v>
      </c>
      <c r="J4899" s="545">
        <v>93.94047619047619</v>
      </c>
    </row>
    <row r="4900" spans="1:10">
      <c r="A4900" s="441">
        <v>77</v>
      </c>
      <c r="B4900" s="441" t="s">
        <v>4464</v>
      </c>
      <c r="C4900" s="545">
        <v>2578.5</v>
      </c>
      <c r="D4900" s="545">
        <v>1602.6666666666667</v>
      </c>
      <c r="E4900" s="545">
        <v>1356.3333333333335</v>
      </c>
      <c r="F4900" s="545">
        <v>2264.5</v>
      </c>
      <c r="G4900" s="545">
        <v>1749.7</v>
      </c>
      <c r="H4900" s="545">
        <v>1423.6666666666667</v>
      </c>
      <c r="I4900" s="545">
        <v>1200.6666666666667</v>
      </c>
      <c r="J4900" s="545">
        <v>1624.6904761904759</v>
      </c>
    </row>
    <row r="4901" spans="1:10">
      <c r="A4901" s="441">
        <v>11409</v>
      </c>
      <c r="B4901" s="441" t="s">
        <v>4465</v>
      </c>
      <c r="C4901" s="545">
        <v>8.5</v>
      </c>
      <c r="D4901" s="545">
        <v>8.6666666666666679</v>
      </c>
      <c r="E4901" s="545">
        <v>9.6666666666666679</v>
      </c>
      <c r="F4901" s="545">
        <v>8.6904761904761916</v>
      </c>
      <c r="G4901" s="545">
        <v>5.2</v>
      </c>
      <c r="H4901" s="545">
        <v>3.3333333333333335</v>
      </c>
      <c r="I4901" s="545">
        <v>3</v>
      </c>
      <c r="J4901" s="545">
        <v>4.6190476190476186</v>
      </c>
    </row>
    <row r="4902" spans="1:10">
      <c r="A4902" s="441">
        <v>11786</v>
      </c>
      <c r="B4902" s="441" t="s">
        <v>4465</v>
      </c>
      <c r="C4902" s="545">
        <v>15</v>
      </c>
      <c r="D4902" s="545">
        <v>5</v>
      </c>
      <c r="E4902" s="545">
        <v>21</v>
      </c>
      <c r="F4902" s="545">
        <v>14.428571428571429</v>
      </c>
      <c r="G4902" s="545">
        <v>9.75</v>
      </c>
      <c r="H4902" s="545">
        <v>8.3333333333333339</v>
      </c>
      <c r="I4902" s="545">
        <v>4</v>
      </c>
      <c r="J4902" s="545">
        <v>8.7261904761904763</v>
      </c>
    </row>
    <row r="4903" spans="1:10">
      <c r="A4903" s="441">
        <v>10203</v>
      </c>
      <c r="B4903" s="441" t="s">
        <v>4466</v>
      </c>
      <c r="C4903" s="545">
        <v>18</v>
      </c>
      <c r="D4903" s="545">
        <v>0</v>
      </c>
      <c r="E4903" s="545">
        <v>0</v>
      </c>
      <c r="F4903" s="545">
        <v>12.857142857142858</v>
      </c>
      <c r="G4903" s="545">
        <v>2.4</v>
      </c>
      <c r="H4903" s="545"/>
      <c r="I4903" s="545"/>
      <c r="J4903" s="545">
        <v>1.7142857142857142</v>
      </c>
    </row>
    <row r="4904" spans="1:10">
      <c r="A4904" s="441">
        <v>11245</v>
      </c>
      <c r="B4904" s="441" t="s">
        <v>4467</v>
      </c>
      <c r="C4904" s="545">
        <v>40.5</v>
      </c>
      <c r="D4904" s="545">
        <v>18.666666666666668</v>
      </c>
      <c r="E4904" s="545">
        <v>15</v>
      </c>
      <c r="F4904" s="545">
        <v>33.738095238095234</v>
      </c>
      <c r="G4904" s="545">
        <v>36.65</v>
      </c>
      <c r="H4904" s="545">
        <v>20.666666666666668</v>
      </c>
      <c r="I4904" s="545">
        <v>17.333333333333332</v>
      </c>
      <c r="J4904" s="545">
        <v>31.607142857142858</v>
      </c>
    </row>
    <row r="4905" spans="1:10">
      <c r="A4905" s="441">
        <v>2506</v>
      </c>
      <c r="B4905" s="441" t="s">
        <v>4468</v>
      </c>
      <c r="C4905" s="545">
        <v>79.5</v>
      </c>
      <c r="D4905" s="545">
        <v>20</v>
      </c>
      <c r="E4905" s="545">
        <v>27.333333333333332</v>
      </c>
      <c r="F4905" s="545">
        <v>63.547619047619044</v>
      </c>
      <c r="G4905" s="545">
        <v>39</v>
      </c>
      <c r="H4905" s="545">
        <v>17.333333333333332</v>
      </c>
      <c r="I4905" s="545">
        <v>9.3333333333333339</v>
      </c>
      <c r="J4905" s="545">
        <v>31.666666666666668</v>
      </c>
    </row>
    <row r="4906" spans="1:10">
      <c r="A4906" s="441">
        <v>10512</v>
      </c>
      <c r="B4906" s="441" t="s">
        <v>4468</v>
      </c>
      <c r="C4906" s="545">
        <v>28.333333333333332</v>
      </c>
      <c r="D4906" s="545">
        <v>12.333333333333334</v>
      </c>
      <c r="E4906" s="545">
        <v>8</v>
      </c>
      <c r="F4906" s="545">
        <v>23.142857142857142</v>
      </c>
      <c r="G4906" s="545">
        <v>27.75</v>
      </c>
      <c r="H4906" s="545">
        <v>12</v>
      </c>
      <c r="I4906" s="545">
        <v>5.666666666666667</v>
      </c>
      <c r="J4906" s="545">
        <v>22.345238095238095</v>
      </c>
    </row>
    <row r="4907" spans="1:10">
      <c r="A4907" s="441">
        <v>2507</v>
      </c>
      <c r="B4907" s="441" t="s">
        <v>4469</v>
      </c>
      <c r="C4907" s="545">
        <v>8.1666666666666661</v>
      </c>
      <c r="D4907" s="545">
        <v>0.66666666666666663</v>
      </c>
      <c r="E4907" s="545">
        <v>2.6666666666666665</v>
      </c>
      <c r="F4907" s="545">
        <v>6.3095238095238084</v>
      </c>
      <c r="G4907" s="545">
        <v>16.45</v>
      </c>
      <c r="H4907" s="545">
        <v>1</v>
      </c>
      <c r="I4907" s="545">
        <v>1.6666666666666667</v>
      </c>
      <c r="J4907" s="545">
        <v>12.130952380952381</v>
      </c>
    </row>
    <row r="4908" spans="1:10">
      <c r="A4908" s="441">
        <v>61</v>
      </c>
      <c r="B4908" s="441" t="s">
        <v>4470</v>
      </c>
      <c r="C4908" s="545">
        <v>72.333333333333329</v>
      </c>
      <c r="D4908" s="545">
        <v>27.666666666666668</v>
      </c>
      <c r="E4908" s="545">
        <v>19.666666666666664</v>
      </c>
      <c r="F4908" s="545">
        <v>58.428571428571431</v>
      </c>
      <c r="G4908" s="545">
        <v>24.9</v>
      </c>
      <c r="H4908" s="545">
        <v>13.666666666666666</v>
      </c>
      <c r="I4908" s="545">
        <v>11</v>
      </c>
      <c r="J4908" s="545">
        <v>21.309523809523807</v>
      </c>
    </row>
    <row r="4909" spans="1:10">
      <c r="A4909" s="441">
        <v>691</v>
      </c>
      <c r="B4909" s="441" t="s">
        <v>4470</v>
      </c>
      <c r="C4909" s="545">
        <v>28.333333333333332</v>
      </c>
      <c r="D4909" s="545">
        <v>8.3333333333333339</v>
      </c>
      <c r="E4909" s="545">
        <v>10</v>
      </c>
      <c r="F4909" s="545">
        <v>22.857142857142858</v>
      </c>
      <c r="G4909" s="545">
        <v>22.6</v>
      </c>
      <c r="H4909" s="545">
        <v>5.333333333333333</v>
      </c>
      <c r="I4909" s="545">
        <v>3.6666666666666665</v>
      </c>
      <c r="J4909" s="545">
        <v>17.428571428571427</v>
      </c>
    </row>
    <row r="4910" spans="1:10">
      <c r="A4910" s="441">
        <v>2513</v>
      </c>
      <c r="B4910" s="441" t="s">
        <v>4471</v>
      </c>
      <c r="C4910" s="545">
        <v>41.333333333333336</v>
      </c>
      <c r="D4910" s="545">
        <v>14</v>
      </c>
      <c r="E4910" s="545">
        <v>7</v>
      </c>
      <c r="F4910" s="545">
        <v>32.523809523809526</v>
      </c>
      <c r="G4910" s="545">
        <v>53.4</v>
      </c>
      <c r="H4910" s="545">
        <v>18.333333333333332</v>
      </c>
      <c r="I4910" s="545">
        <v>10</v>
      </c>
      <c r="J4910" s="545">
        <v>42.19047619047619</v>
      </c>
    </row>
    <row r="4911" spans="1:10">
      <c r="A4911" s="441">
        <v>2539</v>
      </c>
      <c r="B4911" s="441" t="s">
        <v>4471</v>
      </c>
      <c r="C4911" s="545">
        <v>19.666666666666668</v>
      </c>
      <c r="D4911" s="545">
        <v>4</v>
      </c>
      <c r="E4911" s="545">
        <v>2.666666666666667</v>
      </c>
      <c r="F4911" s="545">
        <v>15.000000000000002</v>
      </c>
      <c r="G4911" s="545">
        <v>47.65</v>
      </c>
      <c r="H4911" s="545">
        <v>13.666666666666666</v>
      </c>
      <c r="I4911" s="545">
        <v>10.333333333333334</v>
      </c>
      <c r="J4911" s="545">
        <v>37.464285714285715</v>
      </c>
    </row>
    <row r="4912" spans="1:10">
      <c r="A4912" s="441">
        <v>2540</v>
      </c>
      <c r="B4912" s="441" t="s">
        <v>4472</v>
      </c>
      <c r="C4912" s="545">
        <v>3.1666666666666665</v>
      </c>
      <c r="D4912" s="545">
        <v>2</v>
      </c>
      <c r="E4912" s="545">
        <v>0.33333333333333331</v>
      </c>
      <c r="F4912" s="545">
        <v>2.5952380952380949</v>
      </c>
      <c r="G4912" s="545">
        <v>1</v>
      </c>
      <c r="H4912" s="545">
        <v>0</v>
      </c>
      <c r="I4912" s="545">
        <v>1.3333333333333333</v>
      </c>
      <c r="J4912" s="545">
        <v>0.90476190476190477</v>
      </c>
    </row>
    <row r="4913" spans="1:10">
      <c r="A4913" s="441">
        <v>10250</v>
      </c>
      <c r="B4913" s="441" t="s">
        <v>4472</v>
      </c>
      <c r="C4913" s="545">
        <v>1.1666666666666667</v>
      </c>
      <c r="D4913" s="545">
        <v>4</v>
      </c>
      <c r="E4913" s="545">
        <v>1</v>
      </c>
      <c r="F4913" s="545">
        <v>1.5476190476190477</v>
      </c>
      <c r="G4913" s="545">
        <v>0.6</v>
      </c>
      <c r="H4913" s="545">
        <v>0.33333333333333331</v>
      </c>
      <c r="I4913" s="545">
        <v>2.3333333333333335</v>
      </c>
      <c r="J4913" s="545">
        <v>0.80952380952380953</v>
      </c>
    </row>
    <row r="4914" spans="1:10">
      <c r="A4914" s="441">
        <v>534</v>
      </c>
      <c r="B4914" s="441" t="s">
        <v>4473</v>
      </c>
      <c r="C4914" s="545">
        <v>23</v>
      </c>
      <c r="D4914" s="545">
        <v>5.333333333333333</v>
      </c>
      <c r="E4914" s="545">
        <v>2.666666666666667</v>
      </c>
      <c r="F4914" s="545">
        <v>17.571428571428573</v>
      </c>
      <c r="G4914" s="545">
        <v>22.6</v>
      </c>
      <c r="H4914" s="545">
        <v>2.6666666666666665</v>
      </c>
      <c r="I4914" s="545">
        <v>2.3333333333333335</v>
      </c>
      <c r="J4914" s="545">
        <v>16.857142857142858</v>
      </c>
    </row>
    <row r="4915" spans="1:10">
      <c r="A4915" s="441">
        <v>2515</v>
      </c>
      <c r="B4915" s="441" t="s">
        <v>4474</v>
      </c>
      <c r="C4915" s="545">
        <v>77.833333333333343</v>
      </c>
      <c r="D4915" s="545">
        <v>43.666666666666671</v>
      </c>
      <c r="E4915" s="545">
        <v>33.666666666666664</v>
      </c>
      <c r="F4915" s="545">
        <v>66.642857142857153</v>
      </c>
      <c r="G4915" s="545">
        <v>57.95</v>
      </c>
      <c r="H4915" s="545">
        <v>21.666666666666668</v>
      </c>
      <c r="I4915" s="545">
        <v>19.666666666666668</v>
      </c>
      <c r="J4915" s="545">
        <v>47.297619047619051</v>
      </c>
    </row>
    <row r="4916" spans="1:10">
      <c r="A4916" s="441">
        <v>2537</v>
      </c>
      <c r="B4916" s="441" t="s">
        <v>4474</v>
      </c>
      <c r="C4916" s="545">
        <v>84.166666666666671</v>
      </c>
      <c r="D4916" s="545">
        <v>56</v>
      </c>
      <c r="E4916" s="545">
        <v>32.333333333333336</v>
      </c>
      <c r="F4916" s="545">
        <v>72.738095238095241</v>
      </c>
      <c r="G4916" s="545">
        <v>64.650000000000006</v>
      </c>
      <c r="H4916" s="545">
        <v>29</v>
      </c>
      <c r="I4916" s="545">
        <v>23.666666666666668</v>
      </c>
      <c r="J4916" s="545">
        <v>53.702380952380956</v>
      </c>
    </row>
    <row r="4917" spans="1:10">
      <c r="A4917" s="441">
        <v>2543</v>
      </c>
      <c r="B4917" s="441" t="s">
        <v>4475</v>
      </c>
      <c r="C4917" s="545">
        <v>13.333333333333332</v>
      </c>
      <c r="D4917" s="545">
        <v>11.666666666666668</v>
      </c>
      <c r="E4917" s="545">
        <v>4.666666666666667</v>
      </c>
      <c r="F4917" s="545">
        <v>11.857142857142858</v>
      </c>
      <c r="G4917" s="545">
        <v>9.15</v>
      </c>
      <c r="H4917" s="545">
        <v>1.6666666666666667</v>
      </c>
      <c r="I4917" s="545">
        <v>0.66666666666666663</v>
      </c>
      <c r="J4917" s="545">
        <v>6.8690476190476186</v>
      </c>
    </row>
    <row r="4918" spans="1:10">
      <c r="A4918" s="441">
        <v>533</v>
      </c>
      <c r="B4918" s="441" t="s">
        <v>4476</v>
      </c>
      <c r="C4918" s="545">
        <v>99</v>
      </c>
      <c r="D4918" s="545">
        <v>43.666666666666664</v>
      </c>
      <c r="E4918" s="545">
        <v>36.666666666666664</v>
      </c>
      <c r="F4918" s="545">
        <v>82.190476190476176</v>
      </c>
      <c r="G4918" s="545">
        <v>96.15</v>
      </c>
      <c r="H4918" s="545">
        <v>26.333333333333332</v>
      </c>
      <c r="I4918" s="545">
        <v>26.666666666666668</v>
      </c>
      <c r="J4918" s="545">
        <v>76.25</v>
      </c>
    </row>
    <row r="4919" spans="1:10">
      <c r="A4919" s="441">
        <v>11509</v>
      </c>
      <c r="B4919" s="441" t="s">
        <v>4477</v>
      </c>
      <c r="C4919" s="545">
        <v>1.8333333333333333</v>
      </c>
      <c r="D4919" s="545">
        <v>2.666666666666667</v>
      </c>
      <c r="E4919" s="545">
        <v>2.333333333333333</v>
      </c>
      <c r="F4919" s="545">
        <v>2.0238095238095233</v>
      </c>
      <c r="G4919" s="545">
        <v>9.9499999999999993</v>
      </c>
      <c r="H4919" s="545">
        <v>4.333333333333333</v>
      </c>
      <c r="I4919" s="545">
        <v>4.333333333333333</v>
      </c>
      <c r="J4919" s="545">
        <v>8.3452380952380967</v>
      </c>
    </row>
    <row r="4920" spans="1:10">
      <c r="A4920" s="441">
        <v>688</v>
      </c>
      <c r="B4920" s="441" t="s">
        <v>4478</v>
      </c>
      <c r="C4920" s="545">
        <v>6.3333333333333339</v>
      </c>
      <c r="D4920" s="545">
        <v>7.333333333333333</v>
      </c>
      <c r="E4920" s="545">
        <v>6.333333333333333</v>
      </c>
      <c r="F4920" s="545">
        <v>6.4761904761904772</v>
      </c>
      <c r="G4920" s="545">
        <v>1.55</v>
      </c>
      <c r="H4920" s="545">
        <v>3.3333333333333335</v>
      </c>
      <c r="I4920" s="545">
        <v>5</v>
      </c>
      <c r="J4920" s="545">
        <v>2.2976190476190479</v>
      </c>
    </row>
    <row r="4921" spans="1:10">
      <c r="A4921" s="441">
        <v>2504</v>
      </c>
      <c r="B4921" s="441" t="s">
        <v>4478</v>
      </c>
      <c r="C4921" s="545">
        <v>10.833333333333334</v>
      </c>
      <c r="D4921" s="545">
        <v>9</v>
      </c>
      <c r="E4921" s="545">
        <v>13</v>
      </c>
      <c r="F4921" s="545">
        <v>10.880952380952381</v>
      </c>
      <c r="G4921" s="545">
        <v>3.6</v>
      </c>
      <c r="H4921" s="545">
        <v>4.666666666666667</v>
      </c>
      <c r="I4921" s="545">
        <v>3</v>
      </c>
      <c r="J4921" s="545">
        <v>3.666666666666667</v>
      </c>
    </row>
    <row r="4922" spans="1:10">
      <c r="A4922" s="441">
        <v>2545</v>
      </c>
      <c r="B4922" s="441" t="s">
        <v>4479</v>
      </c>
      <c r="C4922" s="545">
        <v>68.833333333333329</v>
      </c>
      <c r="D4922" s="545">
        <v>26.333333333333332</v>
      </c>
      <c r="E4922" s="545">
        <v>21.666666666666664</v>
      </c>
      <c r="F4922" s="545">
        <v>56.023809523809518</v>
      </c>
      <c r="G4922" s="545">
        <v>22.85</v>
      </c>
      <c r="H4922" s="545">
        <v>10</v>
      </c>
      <c r="I4922" s="545">
        <v>7.666666666666667</v>
      </c>
      <c r="J4922" s="545">
        <v>18.845238095238095</v>
      </c>
    </row>
    <row r="4923" spans="1:10">
      <c r="A4923" s="441">
        <v>11041</v>
      </c>
      <c r="B4923" s="441" t="s">
        <v>4479</v>
      </c>
      <c r="C4923" s="545">
        <v>65.666666666666671</v>
      </c>
      <c r="D4923" s="545">
        <v>19.333333333333332</v>
      </c>
      <c r="E4923" s="545">
        <v>19.333333333333332</v>
      </c>
      <c r="F4923" s="545">
        <v>52.428571428571431</v>
      </c>
      <c r="G4923" s="545">
        <v>22.95</v>
      </c>
      <c r="H4923" s="545">
        <v>6.666666666666667</v>
      </c>
      <c r="I4923" s="545">
        <v>4.666666666666667</v>
      </c>
      <c r="J4923" s="545">
        <v>18.011904761904763</v>
      </c>
    </row>
    <row r="4924" spans="1:10">
      <c r="A4924" s="441">
        <v>11243</v>
      </c>
      <c r="B4924" s="441" t="s">
        <v>4480</v>
      </c>
      <c r="C4924" s="545">
        <v>8.8333333333333339</v>
      </c>
      <c r="D4924" s="545">
        <v>1.3333333333333333</v>
      </c>
      <c r="E4924" s="545">
        <v>1.3333333333333333</v>
      </c>
      <c r="F4924" s="545">
        <v>6.6904761904761916</v>
      </c>
      <c r="G4924" s="545">
        <v>6.05</v>
      </c>
      <c r="H4924" s="545">
        <v>1.6666666666666667</v>
      </c>
      <c r="I4924" s="545">
        <v>0.66666666666666663</v>
      </c>
      <c r="J4924" s="545">
        <v>4.6547619047619051</v>
      </c>
    </row>
    <row r="4925" spans="1:10">
      <c r="A4925" s="441">
        <v>11246</v>
      </c>
      <c r="B4925" s="441" t="s">
        <v>4480</v>
      </c>
      <c r="C4925" s="545">
        <v>17.666666666666668</v>
      </c>
      <c r="D4925" s="545">
        <v>9</v>
      </c>
      <c r="E4925" s="545">
        <v>3.333333333333333</v>
      </c>
      <c r="F4925" s="545">
        <v>14.380952380952381</v>
      </c>
      <c r="G4925" s="545">
        <v>10.45</v>
      </c>
      <c r="H4925" s="545">
        <v>6.666666666666667</v>
      </c>
      <c r="I4925" s="545">
        <v>3.3333333333333335</v>
      </c>
      <c r="J4925" s="545">
        <v>8.8928571428571423</v>
      </c>
    </row>
    <row r="4926" spans="1:10">
      <c r="A4926" s="441">
        <v>687</v>
      </c>
      <c r="B4926" s="441" t="s">
        <v>4481</v>
      </c>
      <c r="C4926" s="545">
        <v>76.5</v>
      </c>
      <c r="D4926" s="545">
        <v>32.666666666666671</v>
      </c>
      <c r="E4926" s="545">
        <v>31.666666666666668</v>
      </c>
      <c r="F4926" s="545">
        <v>63.833333333333336</v>
      </c>
      <c r="G4926" s="545">
        <v>36.049999999999997</v>
      </c>
      <c r="H4926" s="545">
        <v>17.333333333333332</v>
      </c>
      <c r="I4926" s="545">
        <v>12.333333333333334</v>
      </c>
      <c r="J4926" s="545">
        <v>29.988095238095241</v>
      </c>
    </row>
    <row r="4927" spans="1:10">
      <c r="A4927" s="441">
        <v>2505</v>
      </c>
      <c r="B4927" s="441" t="s">
        <v>4481</v>
      </c>
      <c r="C4927" s="545">
        <v>66</v>
      </c>
      <c r="D4927" s="545">
        <v>22.666666666666668</v>
      </c>
      <c r="E4927" s="545">
        <v>25.666666666666668</v>
      </c>
      <c r="F4927" s="545">
        <v>54.047619047619051</v>
      </c>
      <c r="G4927" s="545">
        <v>33.950000000000003</v>
      </c>
      <c r="H4927" s="545">
        <v>16</v>
      </c>
      <c r="I4927" s="545">
        <v>8.3333333333333339</v>
      </c>
      <c r="J4927" s="545">
        <v>27.726190476190478</v>
      </c>
    </row>
    <row r="4928" spans="1:10">
      <c r="A4928" s="441">
        <v>2514</v>
      </c>
      <c r="B4928" s="441" t="s">
        <v>4482</v>
      </c>
      <c r="C4928" s="545">
        <v>9.1666666666666679</v>
      </c>
      <c r="D4928" s="545">
        <v>4</v>
      </c>
      <c r="E4928" s="545">
        <v>11.666666666666666</v>
      </c>
      <c r="F4928" s="545">
        <v>8.7857142857142865</v>
      </c>
      <c r="G4928" s="545">
        <v>14.05</v>
      </c>
      <c r="H4928" s="545">
        <v>5</v>
      </c>
      <c r="I4928" s="545">
        <v>1.6666666666666667</v>
      </c>
      <c r="J4928" s="545">
        <v>10.988095238095239</v>
      </c>
    </row>
    <row r="4929" spans="1:10">
      <c r="A4929" s="441">
        <v>2538</v>
      </c>
      <c r="B4929" s="441" t="s">
        <v>4482</v>
      </c>
      <c r="C4929" s="545">
        <v>13.333333333333332</v>
      </c>
      <c r="D4929" s="545">
        <v>4.333333333333333</v>
      </c>
      <c r="E4929" s="545">
        <v>11.666666666666668</v>
      </c>
      <c r="F4929" s="545">
        <v>11.809523809523808</v>
      </c>
      <c r="G4929" s="545">
        <v>16.45</v>
      </c>
      <c r="H4929" s="545">
        <v>2.3333333333333335</v>
      </c>
      <c r="I4929" s="545">
        <v>1.3333333333333333</v>
      </c>
      <c r="J4929" s="545">
        <v>12.273809523809522</v>
      </c>
    </row>
    <row r="4930" spans="1:10">
      <c r="A4930" s="441">
        <v>535</v>
      </c>
      <c r="B4930" s="441" t="s">
        <v>4483</v>
      </c>
      <c r="C4930" s="545">
        <v>59.166666666666664</v>
      </c>
      <c r="D4930" s="545">
        <v>16.333333333333332</v>
      </c>
      <c r="E4930" s="545">
        <v>21.666666666666668</v>
      </c>
      <c r="F4930" s="545">
        <v>47.69047619047619</v>
      </c>
      <c r="G4930" s="545">
        <v>21.1</v>
      </c>
      <c r="H4930" s="545">
        <v>6</v>
      </c>
      <c r="I4930" s="545">
        <v>3.6666666666666665</v>
      </c>
      <c r="J4930" s="545">
        <v>16.452380952380953</v>
      </c>
    </row>
    <row r="4931" spans="1:10">
      <c r="A4931" s="441">
        <v>690</v>
      </c>
      <c r="B4931" s="441" t="s">
        <v>4483</v>
      </c>
      <c r="C4931" s="545">
        <v>43.166666666666671</v>
      </c>
      <c r="D4931" s="545">
        <v>9.6666666666666661</v>
      </c>
      <c r="E4931" s="545">
        <v>10.333333333333334</v>
      </c>
      <c r="F4931" s="545">
        <v>33.690476190476197</v>
      </c>
      <c r="G4931" s="545">
        <v>5.9</v>
      </c>
      <c r="H4931" s="545">
        <v>1.3333333333333333</v>
      </c>
      <c r="I4931" s="545">
        <v>0.66666666666666663</v>
      </c>
      <c r="J4931" s="545">
        <v>4.5</v>
      </c>
    </row>
    <row r="4932" spans="1:10">
      <c r="A4932" s="441">
        <v>2508</v>
      </c>
      <c r="B4932" s="441" t="s">
        <v>4483</v>
      </c>
      <c r="C4932" s="545">
        <v>55</v>
      </c>
      <c r="D4932" s="545">
        <v>16</v>
      </c>
      <c r="E4932" s="545">
        <v>15.333333333333334</v>
      </c>
      <c r="F4932" s="545">
        <v>43.761904761904759</v>
      </c>
      <c r="G4932" s="545">
        <v>18.100000000000001</v>
      </c>
      <c r="H4932" s="545">
        <v>4.333333333333333</v>
      </c>
      <c r="I4932" s="545">
        <v>2.3333333333333335</v>
      </c>
      <c r="J4932" s="545">
        <v>13.88095238095238</v>
      </c>
    </row>
    <row r="4933" spans="1:10">
      <c r="A4933" s="441">
        <v>11049</v>
      </c>
      <c r="B4933" s="441" t="s">
        <v>4484</v>
      </c>
      <c r="C4933" s="545">
        <v>612.66666666666663</v>
      </c>
      <c r="D4933" s="545">
        <v>367</v>
      </c>
      <c r="E4933" s="545">
        <v>256.66666666666669</v>
      </c>
      <c r="F4933" s="545">
        <v>526.71428571428567</v>
      </c>
      <c r="G4933" s="545">
        <v>550.29999999999995</v>
      </c>
      <c r="H4933" s="545">
        <v>283.66666666666669</v>
      </c>
      <c r="I4933" s="545">
        <v>284</v>
      </c>
      <c r="J4933" s="545">
        <v>474.16666666666663</v>
      </c>
    </row>
    <row r="4934" spans="1:10">
      <c r="A4934" s="441">
        <v>12986</v>
      </c>
      <c r="B4934" s="441" t="s">
        <v>4485</v>
      </c>
      <c r="C4934" s="545">
        <v>18.166666666666668</v>
      </c>
      <c r="D4934" s="545">
        <v>7.666666666666667</v>
      </c>
      <c r="E4934" s="545">
        <v>11</v>
      </c>
      <c r="F4934" s="545">
        <v>15.642857142857144</v>
      </c>
      <c r="G4934" s="545">
        <v>17.05</v>
      </c>
      <c r="H4934" s="545">
        <v>2</v>
      </c>
      <c r="I4934" s="545">
        <v>4</v>
      </c>
      <c r="J4934" s="545">
        <v>13.035714285714286</v>
      </c>
    </row>
    <row r="4935" spans="1:10">
      <c r="A4935" s="441">
        <v>12698</v>
      </c>
      <c r="B4935" s="441" t="s">
        <v>4486</v>
      </c>
      <c r="C4935" s="545">
        <v>30.666666666666668</v>
      </c>
      <c r="D4935" s="545">
        <v>8.6666666666666679</v>
      </c>
      <c r="E4935" s="545">
        <v>4.333333333333333</v>
      </c>
      <c r="F4935" s="545">
        <v>23.761904761904763</v>
      </c>
      <c r="G4935" s="545">
        <v>39.15</v>
      </c>
      <c r="H4935" s="545">
        <v>8</v>
      </c>
      <c r="I4935" s="545">
        <v>3</v>
      </c>
      <c r="J4935" s="545">
        <v>29.535714285714285</v>
      </c>
    </row>
    <row r="4936" spans="1:10">
      <c r="A4936" s="441">
        <v>12699</v>
      </c>
      <c r="B4936" s="441" t="s">
        <v>4486</v>
      </c>
      <c r="C4936" s="545">
        <v>25.166666666666664</v>
      </c>
      <c r="D4936" s="545">
        <v>12.666666666666666</v>
      </c>
      <c r="E4936" s="545">
        <v>7.666666666666667</v>
      </c>
      <c r="F4936" s="545">
        <v>20.880952380952376</v>
      </c>
      <c r="G4936" s="545">
        <v>53.9</v>
      </c>
      <c r="H4936" s="545">
        <v>11</v>
      </c>
      <c r="I4936" s="545">
        <v>2.6666666666666665</v>
      </c>
      <c r="J4936" s="545">
        <v>40.452380952380956</v>
      </c>
    </row>
    <row r="4937" spans="1:10">
      <c r="A4937" s="441">
        <v>1538</v>
      </c>
      <c r="B4937" s="441" t="s">
        <v>4487</v>
      </c>
      <c r="C4937" s="545">
        <v>5.666666666666667</v>
      </c>
      <c r="D4937" s="545">
        <v>4.3333333333333339</v>
      </c>
      <c r="E4937" s="545">
        <v>1.3333333333333333</v>
      </c>
      <c r="F4937" s="545">
        <v>4.8571428571428585</v>
      </c>
      <c r="G4937" s="545">
        <v>3.05</v>
      </c>
      <c r="H4937" s="545">
        <v>3.3333333333333335</v>
      </c>
      <c r="I4937" s="545">
        <v>0.66666666666666663</v>
      </c>
      <c r="J4937" s="545">
        <v>2.75</v>
      </c>
    </row>
    <row r="4938" spans="1:10">
      <c r="A4938" s="441">
        <v>1540</v>
      </c>
      <c r="B4938" s="441" t="s">
        <v>4487</v>
      </c>
      <c r="C4938" s="545">
        <v>5.5</v>
      </c>
      <c r="D4938" s="545">
        <v>3.3333333333333335</v>
      </c>
      <c r="E4938" s="545">
        <v>4</v>
      </c>
      <c r="F4938" s="545">
        <v>4.9761904761904754</v>
      </c>
      <c r="G4938" s="545">
        <v>6.45</v>
      </c>
      <c r="H4938" s="545">
        <v>2.3333333333333335</v>
      </c>
      <c r="I4938" s="545">
        <v>1.3333333333333333</v>
      </c>
      <c r="J4938" s="545">
        <v>5.1309523809523814</v>
      </c>
    </row>
    <row r="4939" spans="1:10">
      <c r="A4939" s="441">
        <v>1536</v>
      </c>
      <c r="B4939" s="441" t="s">
        <v>4488</v>
      </c>
      <c r="C4939" s="545">
        <v>1</v>
      </c>
      <c r="D4939" s="545">
        <v>0</v>
      </c>
      <c r="E4939" s="545">
        <v>2</v>
      </c>
      <c r="F4939" s="545">
        <v>1</v>
      </c>
      <c r="G4939" s="545">
        <v>1.45</v>
      </c>
      <c r="H4939" s="545">
        <v>0.66666666666666663</v>
      </c>
      <c r="I4939" s="545">
        <v>0</v>
      </c>
      <c r="J4939" s="545">
        <v>1.1309523809523809</v>
      </c>
    </row>
    <row r="4940" spans="1:10">
      <c r="A4940" s="441">
        <v>1542</v>
      </c>
      <c r="B4940" s="441" t="s">
        <v>4488</v>
      </c>
      <c r="C4940" s="545">
        <v>6.1666666666666661</v>
      </c>
      <c r="D4940" s="545">
        <v>8</v>
      </c>
      <c r="E4940" s="545">
        <v>9</v>
      </c>
      <c r="F4940" s="545">
        <v>6.833333333333333</v>
      </c>
      <c r="G4940" s="545">
        <v>3.85</v>
      </c>
      <c r="H4940" s="545">
        <v>2</v>
      </c>
      <c r="I4940" s="545">
        <v>2.6666666666666665</v>
      </c>
      <c r="J4940" s="545">
        <v>3.416666666666667</v>
      </c>
    </row>
    <row r="4941" spans="1:10">
      <c r="A4941" s="441">
        <v>1534</v>
      </c>
      <c r="B4941" s="441" t="s">
        <v>4489</v>
      </c>
      <c r="C4941" s="545">
        <v>7.6666666666666661</v>
      </c>
      <c r="D4941" s="545">
        <v>1.6666666666666665</v>
      </c>
      <c r="E4941" s="545">
        <v>5.6666666666666661</v>
      </c>
      <c r="F4941" s="545">
        <v>6.5238095238095228</v>
      </c>
      <c r="G4941" s="545">
        <v>6.15</v>
      </c>
      <c r="H4941" s="545">
        <v>5</v>
      </c>
      <c r="I4941" s="545">
        <v>6.666666666666667</v>
      </c>
      <c r="J4941" s="545">
        <v>6.0595238095238093</v>
      </c>
    </row>
    <row r="4942" spans="1:10">
      <c r="A4942" s="441">
        <v>1539</v>
      </c>
      <c r="B4942" s="441" t="s">
        <v>4490</v>
      </c>
      <c r="C4942" s="545">
        <v>2.8333333333333335</v>
      </c>
      <c r="D4942" s="545">
        <v>10.333333333333332</v>
      </c>
      <c r="E4942" s="545">
        <v>2.333333333333333</v>
      </c>
      <c r="F4942" s="545">
        <v>3.833333333333333</v>
      </c>
      <c r="G4942" s="545">
        <v>4.7</v>
      </c>
      <c r="H4942" s="545">
        <v>4</v>
      </c>
      <c r="I4942" s="545">
        <v>2</v>
      </c>
      <c r="J4942" s="545">
        <v>4.2142857142857144</v>
      </c>
    </row>
    <row r="4943" spans="1:10">
      <c r="A4943" s="441">
        <v>8422</v>
      </c>
      <c r="B4943" s="441" t="s">
        <v>4491</v>
      </c>
      <c r="C4943" s="545">
        <v>9.8333333333333321</v>
      </c>
      <c r="D4943" s="545">
        <v>1.6666666666666665</v>
      </c>
      <c r="E4943" s="545">
        <v>2.3333333333333335</v>
      </c>
      <c r="F4943" s="545">
        <v>7.595238095238094</v>
      </c>
      <c r="G4943" s="545">
        <v>1.2666666666666666</v>
      </c>
      <c r="H4943" s="545">
        <v>0</v>
      </c>
      <c r="I4943" s="545">
        <v>0</v>
      </c>
      <c r="J4943" s="545">
        <v>0.90476190476190477</v>
      </c>
    </row>
    <row r="4944" spans="1:10">
      <c r="A4944" s="441">
        <v>8417</v>
      </c>
      <c r="B4944" s="441" t="s">
        <v>4492</v>
      </c>
      <c r="C4944" s="545">
        <v>3.333333333333333</v>
      </c>
      <c r="D4944" s="545">
        <v>0</v>
      </c>
      <c r="E4944" s="545">
        <v>0.33333333333333331</v>
      </c>
      <c r="F4944" s="545">
        <v>2.4285714285714279</v>
      </c>
      <c r="G4944" s="545">
        <v>2.7333333333333334</v>
      </c>
      <c r="H4944" s="545">
        <v>0.33333333333333331</v>
      </c>
      <c r="I4944" s="545">
        <v>0.33333333333333331</v>
      </c>
      <c r="J4944" s="545">
        <v>2.0476190476190479</v>
      </c>
    </row>
    <row r="4945" spans="1:10">
      <c r="A4945" s="441">
        <v>8418</v>
      </c>
      <c r="B4945" s="441" t="s">
        <v>4492</v>
      </c>
      <c r="C4945" s="545">
        <v>1.6666666666666667</v>
      </c>
      <c r="D4945" s="545">
        <v>1</v>
      </c>
      <c r="E4945" s="545">
        <v>0.33333333333333331</v>
      </c>
      <c r="F4945" s="545">
        <v>1.3809523809523812</v>
      </c>
      <c r="G4945" s="545">
        <v>2.3333333333333335</v>
      </c>
      <c r="H4945" s="545">
        <v>1.3333333333333333</v>
      </c>
      <c r="I4945" s="545">
        <v>0</v>
      </c>
      <c r="J4945" s="545">
        <v>1.8571428571428574</v>
      </c>
    </row>
    <row r="4946" spans="1:10">
      <c r="A4946" s="441">
        <v>8421</v>
      </c>
      <c r="B4946" s="441" t="s">
        <v>4492</v>
      </c>
      <c r="C4946" s="545">
        <v>0.66666666666666663</v>
      </c>
      <c r="D4946" s="545">
        <v>0</v>
      </c>
      <c r="E4946" s="545">
        <v>0</v>
      </c>
      <c r="F4946" s="545">
        <v>0.47619047619047616</v>
      </c>
      <c r="G4946" s="545">
        <v>2.2000000000000002</v>
      </c>
      <c r="H4946" s="545">
        <v>1</v>
      </c>
      <c r="I4946" s="545">
        <v>0</v>
      </c>
      <c r="J4946" s="545">
        <v>1.7142857142857142</v>
      </c>
    </row>
    <row r="4947" spans="1:10">
      <c r="A4947" s="441">
        <v>2409</v>
      </c>
      <c r="B4947" s="441" t="s">
        <v>4493</v>
      </c>
      <c r="C4947" s="545">
        <v>6.8333333333333339</v>
      </c>
      <c r="D4947" s="545">
        <v>2</v>
      </c>
      <c r="E4947" s="545">
        <v>4.333333333333333</v>
      </c>
      <c r="F4947" s="545">
        <v>5.7857142857142865</v>
      </c>
      <c r="G4947" s="545">
        <v>5.666666666666667</v>
      </c>
      <c r="H4947" s="545">
        <v>7.333333333333333</v>
      </c>
      <c r="I4947" s="545">
        <v>5.333333333333333</v>
      </c>
      <c r="J4947" s="545">
        <v>5.8571428571428585</v>
      </c>
    </row>
    <row r="4948" spans="1:10">
      <c r="A4948" s="441">
        <v>8423</v>
      </c>
      <c r="B4948" s="441" t="s">
        <v>4494</v>
      </c>
      <c r="C4948" s="545">
        <v>149.5</v>
      </c>
      <c r="D4948" s="545">
        <v>70.666666666666671</v>
      </c>
      <c r="E4948" s="545">
        <v>52</v>
      </c>
      <c r="F4948" s="545">
        <v>124.30952380952381</v>
      </c>
      <c r="G4948" s="545">
        <v>40.133333333333333</v>
      </c>
      <c r="H4948" s="545">
        <v>9.6666666666666661</v>
      </c>
      <c r="I4948" s="545">
        <v>8.6666666666666661</v>
      </c>
      <c r="J4948" s="545">
        <v>31.285714285714281</v>
      </c>
    </row>
    <row r="4949" spans="1:10">
      <c r="A4949" s="441">
        <v>8416</v>
      </c>
      <c r="B4949" s="441" t="s">
        <v>4495</v>
      </c>
      <c r="C4949" s="545">
        <v>4.3333333333333339</v>
      </c>
      <c r="D4949" s="545">
        <v>5.666666666666667</v>
      </c>
      <c r="E4949" s="545">
        <v>0.66666666666666663</v>
      </c>
      <c r="F4949" s="545">
        <v>4.0000000000000009</v>
      </c>
      <c r="G4949" s="545">
        <v>3</v>
      </c>
      <c r="H4949" s="545">
        <v>0.66666666666666663</v>
      </c>
      <c r="I4949" s="545">
        <v>1.3333333333333333</v>
      </c>
      <c r="J4949" s="545">
        <v>2.4285714285714284</v>
      </c>
    </row>
    <row r="4950" spans="1:10">
      <c r="A4950" s="441">
        <v>12889</v>
      </c>
      <c r="B4950" s="441" t="s">
        <v>4496</v>
      </c>
      <c r="C4950" s="545">
        <v>13.5</v>
      </c>
      <c r="D4950" s="545">
        <v>6.3333333333333339</v>
      </c>
      <c r="E4950" s="545">
        <v>0.66666666666666663</v>
      </c>
      <c r="F4950" s="545">
        <v>10.642857142857142</v>
      </c>
      <c r="G4950" s="545">
        <v>13.35</v>
      </c>
      <c r="H4950" s="545">
        <v>1</v>
      </c>
      <c r="I4950" s="545">
        <v>7</v>
      </c>
      <c r="J4950" s="545">
        <v>10.678571428571429</v>
      </c>
    </row>
    <row r="4951" spans="1:10">
      <c r="A4951" s="441">
        <v>1994</v>
      </c>
      <c r="B4951" s="441" t="s">
        <v>4497</v>
      </c>
      <c r="C4951" s="545">
        <v>3.3333333333333335</v>
      </c>
      <c r="D4951" s="545">
        <v>0.66666666666666663</v>
      </c>
      <c r="E4951" s="545">
        <v>0</v>
      </c>
      <c r="F4951" s="545">
        <v>2.4761904761904767</v>
      </c>
      <c r="G4951" s="545">
        <v>1.45</v>
      </c>
      <c r="H4951" s="545">
        <v>0</v>
      </c>
      <c r="I4951" s="545">
        <v>0</v>
      </c>
      <c r="J4951" s="545">
        <v>1.0357142857142858</v>
      </c>
    </row>
    <row r="4952" spans="1:10">
      <c r="A4952" s="441">
        <v>1992</v>
      </c>
      <c r="B4952" s="441" t="s">
        <v>4498</v>
      </c>
      <c r="C4952" s="545">
        <v>1.8333333333333335</v>
      </c>
      <c r="D4952" s="545">
        <v>2.333333333333333</v>
      </c>
      <c r="E4952" s="545">
        <v>1.6666666666666665</v>
      </c>
      <c r="F4952" s="545">
        <v>1.8809523809523809</v>
      </c>
      <c r="G4952" s="545">
        <v>2.6</v>
      </c>
      <c r="H4952" s="545">
        <v>1</v>
      </c>
      <c r="I4952" s="545">
        <v>0.33333333333333331</v>
      </c>
      <c r="J4952" s="545">
        <v>2.0476190476190479</v>
      </c>
    </row>
    <row r="4953" spans="1:10">
      <c r="A4953" s="441">
        <v>2000</v>
      </c>
      <c r="B4953" s="441" t="s">
        <v>4498</v>
      </c>
      <c r="C4953" s="545">
        <v>3.1666666666666665</v>
      </c>
      <c r="D4953" s="545">
        <v>2</v>
      </c>
      <c r="E4953" s="545">
        <v>2.666666666666667</v>
      </c>
      <c r="F4953" s="545">
        <v>2.9285714285714284</v>
      </c>
      <c r="G4953" s="545">
        <v>1.65</v>
      </c>
      <c r="H4953" s="545">
        <v>1.3333333333333333</v>
      </c>
      <c r="I4953" s="545">
        <v>0.33333333333333331</v>
      </c>
      <c r="J4953" s="545">
        <v>1.4166666666666667</v>
      </c>
    </row>
    <row r="4954" spans="1:10">
      <c r="A4954" s="441">
        <v>1504</v>
      </c>
      <c r="B4954" s="441" t="s">
        <v>4499</v>
      </c>
      <c r="C4954" s="545">
        <v>6.666666666666667</v>
      </c>
      <c r="D4954" s="545">
        <v>8</v>
      </c>
      <c r="E4954" s="545">
        <v>0.66666666666666663</v>
      </c>
      <c r="F4954" s="545">
        <v>6</v>
      </c>
      <c r="G4954" s="545">
        <v>2.6</v>
      </c>
      <c r="H4954" s="545">
        <v>1.6666666666666667</v>
      </c>
      <c r="I4954" s="545">
        <v>1</v>
      </c>
      <c r="J4954" s="545">
        <v>2.2380952380952381</v>
      </c>
    </row>
    <row r="4955" spans="1:10">
      <c r="A4955" s="441">
        <v>1998</v>
      </c>
      <c r="B4955" s="441" t="s">
        <v>4500</v>
      </c>
      <c r="C4955" s="545">
        <v>3.8333333333333335</v>
      </c>
      <c r="D4955" s="545">
        <v>1.3333333333333333</v>
      </c>
      <c r="E4955" s="545">
        <v>0.33333333333333331</v>
      </c>
      <c r="F4955" s="545">
        <v>2.9761904761904758</v>
      </c>
      <c r="G4955" s="545">
        <v>1.05</v>
      </c>
      <c r="H4955" s="545">
        <v>0</v>
      </c>
      <c r="I4955" s="545">
        <v>0</v>
      </c>
      <c r="J4955" s="545">
        <v>0.75</v>
      </c>
    </row>
    <row r="4956" spans="1:10">
      <c r="A4956" s="441">
        <v>2001</v>
      </c>
      <c r="B4956" s="441" t="s">
        <v>4501</v>
      </c>
      <c r="C4956" s="545">
        <v>4.666666666666667</v>
      </c>
      <c r="D4956" s="545">
        <v>3.666666666666667</v>
      </c>
      <c r="E4956" s="545">
        <v>0.33333333333333331</v>
      </c>
      <c r="F4956" s="545">
        <v>3.9047619047619051</v>
      </c>
      <c r="G4956" s="545">
        <v>1.8</v>
      </c>
      <c r="H4956" s="545">
        <v>0</v>
      </c>
      <c r="I4956" s="545">
        <v>7.333333333333333</v>
      </c>
      <c r="J4956" s="545">
        <v>2.333333333333333</v>
      </c>
    </row>
    <row r="4957" spans="1:10">
      <c r="A4957" s="441">
        <v>1491</v>
      </c>
      <c r="B4957" s="441" t="s">
        <v>4502</v>
      </c>
      <c r="C4957" s="545">
        <v>0.5</v>
      </c>
      <c r="D4957" s="545">
        <v>0</v>
      </c>
      <c r="E4957" s="545">
        <v>0</v>
      </c>
      <c r="F4957" s="545">
        <v>0.35714285714285715</v>
      </c>
      <c r="G4957" s="545">
        <v>0.7</v>
      </c>
      <c r="H4957" s="545">
        <v>0</v>
      </c>
      <c r="I4957" s="545">
        <v>0</v>
      </c>
      <c r="J4957" s="545">
        <v>0.5</v>
      </c>
    </row>
    <row r="4958" spans="1:10">
      <c r="A4958" s="441">
        <v>1498</v>
      </c>
      <c r="B4958" s="441" t="s">
        <v>4502</v>
      </c>
      <c r="C4958" s="545">
        <v>1.8333333333333335</v>
      </c>
      <c r="D4958" s="545">
        <v>0.66666666666666663</v>
      </c>
      <c r="E4958" s="545">
        <v>1</v>
      </c>
      <c r="F4958" s="545">
        <v>1.5476190476190477</v>
      </c>
      <c r="G4958" s="545">
        <v>0.8</v>
      </c>
      <c r="H4958" s="545">
        <v>0</v>
      </c>
      <c r="I4958" s="545">
        <v>0</v>
      </c>
      <c r="J4958" s="545">
        <v>0.5714285714285714</v>
      </c>
    </row>
    <row r="4959" spans="1:10">
      <c r="A4959" s="441">
        <v>1490</v>
      </c>
      <c r="B4959" s="441" t="s">
        <v>4503</v>
      </c>
      <c r="C4959" s="545">
        <v>6.166666666666667</v>
      </c>
      <c r="D4959" s="545">
        <v>4.333333333333333</v>
      </c>
      <c r="E4959" s="545">
        <v>1</v>
      </c>
      <c r="F4959" s="545">
        <v>5.166666666666667</v>
      </c>
      <c r="G4959" s="545">
        <v>4.3</v>
      </c>
      <c r="H4959" s="545">
        <v>1</v>
      </c>
      <c r="I4959" s="545">
        <v>1.3333333333333333</v>
      </c>
      <c r="J4959" s="545">
        <v>3.4047619047619047</v>
      </c>
    </row>
    <row r="4960" spans="1:10">
      <c r="A4960" s="441">
        <v>1499</v>
      </c>
      <c r="B4960" s="441" t="s">
        <v>4503</v>
      </c>
      <c r="C4960" s="545">
        <v>3.6666666666666665</v>
      </c>
      <c r="D4960" s="545">
        <v>1</v>
      </c>
      <c r="E4960" s="545">
        <v>0.66666666666666663</v>
      </c>
      <c r="F4960" s="545">
        <v>2.8571428571428572</v>
      </c>
      <c r="G4960" s="545">
        <v>2.75</v>
      </c>
      <c r="H4960" s="545">
        <v>0.33333333333333331</v>
      </c>
      <c r="I4960" s="545">
        <v>1</v>
      </c>
      <c r="J4960" s="545">
        <v>2.1547619047619047</v>
      </c>
    </row>
    <row r="4961" spans="1:10">
      <c r="A4961" s="441">
        <v>1502</v>
      </c>
      <c r="B4961" s="441" t="s">
        <v>4504</v>
      </c>
      <c r="C4961" s="545">
        <v>5.6666666666666661</v>
      </c>
      <c r="D4961" s="545">
        <v>4</v>
      </c>
      <c r="E4961" s="545">
        <v>3.3333333333333335</v>
      </c>
      <c r="F4961" s="545">
        <v>5.0952380952380949</v>
      </c>
      <c r="G4961" s="545">
        <v>5.45</v>
      </c>
      <c r="H4961" s="545">
        <v>1.6666666666666667</v>
      </c>
      <c r="I4961" s="545">
        <v>5</v>
      </c>
      <c r="J4961" s="545">
        <v>4.8452380952380958</v>
      </c>
    </row>
    <row r="4962" spans="1:10">
      <c r="A4962" s="441">
        <v>1503</v>
      </c>
      <c r="B4962" s="441" t="s">
        <v>4504</v>
      </c>
      <c r="C4962" s="545">
        <v>6.8333333333333339</v>
      </c>
      <c r="D4962" s="545">
        <v>1.6666666666666665</v>
      </c>
      <c r="E4962" s="545">
        <v>2.6666666666666665</v>
      </c>
      <c r="F4962" s="545">
        <v>5.5</v>
      </c>
      <c r="G4962" s="545">
        <v>10.8</v>
      </c>
      <c r="H4962" s="545">
        <v>1.3333333333333333</v>
      </c>
      <c r="I4962" s="545">
        <v>2.3333333333333335</v>
      </c>
      <c r="J4962" s="545">
        <v>8.238095238095239</v>
      </c>
    </row>
    <row r="4963" spans="1:10">
      <c r="A4963" s="441">
        <v>12746</v>
      </c>
      <c r="B4963" s="441" t="s">
        <v>4504</v>
      </c>
      <c r="C4963" s="545">
        <v>1.6666666666666667</v>
      </c>
      <c r="D4963" s="545">
        <v>0</v>
      </c>
      <c r="E4963" s="545">
        <v>0</v>
      </c>
      <c r="F4963" s="545">
        <v>1.1904761904761905</v>
      </c>
      <c r="G4963" s="545">
        <v>2.0499999999999998</v>
      </c>
      <c r="H4963" s="545">
        <v>0.66666666666666663</v>
      </c>
      <c r="I4963" s="545">
        <v>0.66666666666666663</v>
      </c>
      <c r="J4963" s="545">
        <v>1.6547619047619047</v>
      </c>
    </row>
    <row r="4964" spans="1:10">
      <c r="A4964" s="441">
        <v>352</v>
      </c>
      <c r="B4964" s="441" t="s">
        <v>4505</v>
      </c>
      <c r="C4964" s="545">
        <v>3.3333333333333335</v>
      </c>
      <c r="D4964" s="545">
        <v>1.6666666666666665</v>
      </c>
      <c r="E4964" s="545">
        <v>0.33333333333333331</v>
      </c>
      <c r="F4964" s="545">
        <v>2.666666666666667</v>
      </c>
      <c r="G4964" s="545">
        <v>2.75</v>
      </c>
      <c r="H4964" s="545">
        <v>1</v>
      </c>
      <c r="I4964" s="545">
        <v>0.66666666666666663</v>
      </c>
      <c r="J4964" s="545">
        <v>2.2023809523809521</v>
      </c>
    </row>
    <row r="4965" spans="1:10">
      <c r="A4965" s="441">
        <v>1494</v>
      </c>
      <c r="B4965" s="441" t="s">
        <v>4505</v>
      </c>
      <c r="C4965" s="545">
        <v>2.6666666666666665</v>
      </c>
      <c r="D4965" s="545">
        <v>0.33333333333333331</v>
      </c>
      <c r="E4965" s="545">
        <v>0</v>
      </c>
      <c r="F4965" s="545">
        <v>1.9523809523809523</v>
      </c>
      <c r="G4965" s="545">
        <v>0.2</v>
      </c>
      <c r="H4965" s="545">
        <v>0.66666666666666663</v>
      </c>
      <c r="I4965" s="545">
        <v>0</v>
      </c>
      <c r="J4965" s="545">
        <v>0.23809523809523808</v>
      </c>
    </row>
    <row r="4966" spans="1:10">
      <c r="A4966" s="441">
        <v>185</v>
      </c>
      <c r="B4966" s="441" t="s">
        <v>4506</v>
      </c>
      <c r="C4966" s="545">
        <v>7.8333333333333339</v>
      </c>
      <c r="D4966" s="545">
        <v>12.666666666666668</v>
      </c>
      <c r="E4966" s="545">
        <v>6</v>
      </c>
      <c r="F4966" s="545">
        <v>8.2619047619047628</v>
      </c>
      <c r="G4966" s="545">
        <v>23.3</v>
      </c>
      <c r="H4966" s="545">
        <v>4.333333333333333</v>
      </c>
      <c r="I4966" s="545">
        <v>5.333333333333333</v>
      </c>
      <c r="J4966" s="545">
        <v>18.023809523809522</v>
      </c>
    </row>
    <row r="4967" spans="1:10">
      <c r="A4967" s="441">
        <v>12751</v>
      </c>
      <c r="B4967" s="441" t="s">
        <v>4507</v>
      </c>
      <c r="C4967" s="545">
        <v>3.3333333333333335</v>
      </c>
      <c r="D4967" s="545">
        <v>2.3333333333333335</v>
      </c>
      <c r="E4967" s="545">
        <v>0.66666666666666663</v>
      </c>
      <c r="F4967" s="545">
        <v>2.8095238095238098</v>
      </c>
      <c r="G4967" s="545">
        <v>1.7</v>
      </c>
      <c r="H4967" s="545">
        <v>1</v>
      </c>
      <c r="I4967" s="545">
        <v>0</v>
      </c>
      <c r="J4967" s="545">
        <v>1.3571428571428572</v>
      </c>
    </row>
    <row r="4968" spans="1:10">
      <c r="A4968" s="441">
        <v>12749</v>
      </c>
      <c r="B4968" s="441" t="s">
        <v>4508</v>
      </c>
      <c r="C4968" s="545">
        <v>3</v>
      </c>
      <c r="D4968" s="545">
        <v>1</v>
      </c>
      <c r="E4968" s="545">
        <v>1</v>
      </c>
      <c r="F4968" s="545">
        <v>2.4285714285714284</v>
      </c>
      <c r="G4968" s="545">
        <v>3.8</v>
      </c>
      <c r="H4968" s="545">
        <v>0</v>
      </c>
      <c r="I4968" s="545">
        <v>0.66666666666666663</v>
      </c>
      <c r="J4968" s="545">
        <v>2.8095238095238098</v>
      </c>
    </row>
    <row r="4969" spans="1:10">
      <c r="A4969" s="441">
        <v>12750</v>
      </c>
      <c r="B4969" s="441" t="s">
        <v>4508</v>
      </c>
      <c r="C4969" s="545">
        <v>2.8333333333333335</v>
      </c>
      <c r="D4969" s="545">
        <v>1</v>
      </c>
      <c r="E4969" s="545">
        <v>0.66666666666666663</v>
      </c>
      <c r="F4969" s="545">
        <v>2.2619047619047619</v>
      </c>
      <c r="G4969" s="545">
        <v>2</v>
      </c>
      <c r="H4969" s="545">
        <v>0</v>
      </c>
      <c r="I4969" s="545">
        <v>0.33333333333333331</v>
      </c>
      <c r="J4969" s="545">
        <v>1.4761904761904763</v>
      </c>
    </row>
    <row r="4970" spans="1:10">
      <c r="A4970" s="441">
        <v>12888</v>
      </c>
      <c r="B4970" s="441" t="s">
        <v>4509</v>
      </c>
      <c r="C4970" s="545">
        <v>16.5</v>
      </c>
      <c r="D4970" s="545">
        <v>2.666666666666667</v>
      </c>
      <c r="E4970" s="545">
        <v>0.66666666666666663</v>
      </c>
      <c r="F4970" s="545">
        <v>12.261904761904763</v>
      </c>
      <c r="G4970" s="545">
        <v>11.6</v>
      </c>
      <c r="H4970" s="545">
        <v>8</v>
      </c>
      <c r="I4970" s="545">
        <v>2.3333333333333335</v>
      </c>
      <c r="J4970" s="545">
        <v>9.761904761904761</v>
      </c>
    </row>
    <row r="4971" spans="1:10">
      <c r="A4971" s="441">
        <v>1869</v>
      </c>
      <c r="B4971" s="441" t="s">
        <v>4510</v>
      </c>
      <c r="C4971" s="545">
        <v>0.83333333333333326</v>
      </c>
      <c r="D4971" s="545">
        <v>1</v>
      </c>
      <c r="E4971" s="545">
        <v>0</v>
      </c>
      <c r="F4971" s="545">
        <v>0.73809523809523803</v>
      </c>
      <c r="G4971" s="545">
        <v>0.05</v>
      </c>
      <c r="H4971" s="545">
        <v>0.66666666666666663</v>
      </c>
      <c r="I4971" s="545">
        <v>0</v>
      </c>
      <c r="J4971" s="545">
        <v>0.13095238095238096</v>
      </c>
    </row>
    <row r="4972" spans="1:10">
      <c r="A4972" s="441">
        <v>12752</v>
      </c>
      <c r="B4972" s="441" t="s">
        <v>4510</v>
      </c>
      <c r="C4972" s="545">
        <v>4.166666666666667</v>
      </c>
      <c r="D4972" s="545">
        <v>0</v>
      </c>
      <c r="E4972" s="545">
        <v>0</v>
      </c>
      <c r="F4972" s="545">
        <v>2.9761904761904767</v>
      </c>
      <c r="G4972" s="545">
        <v>2.85</v>
      </c>
      <c r="H4972" s="545">
        <v>0</v>
      </c>
      <c r="I4972" s="545">
        <v>0</v>
      </c>
      <c r="J4972" s="545">
        <v>2.0357142857142856</v>
      </c>
    </row>
    <row r="4973" spans="1:10">
      <c r="A4973" s="441">
        <v>12747</v>
      </c>
      <c r="B4973" s="441" t="s">
        <v>4511</v>
      </c>
      <c r="C4973" s="545">
        <v>5</v>
      </c>
      <c r="D4973" s="545">
        <v>0.66666666666666663</v>
      </c>
      <c r="E4973" s="545">
        <v>2.3333333333333335</v>
      </c>
      <c r="F4973" s="545">
        <v>4</v>
      </c>
      <c r="G4973" s="545">
        <v>2.65</v>
      </c>
      <c r="H4973" s="545">
        <v>0</v>
      </c>
      <c r="I4973" s="545">
        <v>0.66666666666666663</v>
      </c>
      <c r="J4973" s="545">
        <v>1.9880952380952379</v>
      </c>
    </row>
    <row r="4974" spans="1:10">
      <c r="A4974" s="441">
        <v>12748</v>
      </c>
      <c r="B4974" s="441" t="s">
        <v>4511</v>
      </c>
      <c r="C4974" s="545">
        <v>4.833333333333333</v>
      </c>
      <c r="D4974" s="545">
        <v>1</v>
      </c>
      <c r="E4974" s="545">
        <v>1</v>
      </c>
      <c r="F4974" s="545">
        <v>3.7380952380952377</v>
      </c>
      <c r="G4974" s="545">
        <v>2.6</v>
      </c>
      <c r="H4974" s="545">
        <v>0.33333333333333331</v>
      </c>
      <c r="I4974" s="545">
        <v>0</v>
      </c>
      <c r="J4974" s="545">
        <v>1.9047619047619049</v>
      </c>
    </row>
    <row r="4975" spans="1:10">
      <c r="A4975" s="441">
        <v>1489</v>
      </c>
      <c r="B4975" s="441" t="s">
        <v>4512</v>
      </c>
      <c r="C4975" s="545">
        <v>7.333333333333333</v>
      </c>
      <c r="D4975" s="545">
        <v>0.33333333333333331</v>
      </c>
      <c r="E4975" s="545">
        <v>0</v>
      </c>
      <c r="F4975" s="545">
        <v>5.2857142857142856</v>
      </c>
      <c r="G4975" s="545">
        <v>3.2</v>
      </c>
      <c r="H4975" s="545">
        <v>6.666666666666667</v>
      </c>
      <c r="I4975" s="545">
        <v>0.33333333333333331</v>
      </c>
      <c r="J4975" s="545">
        <v>3.2857142857142856</v>
      </c>
    </row>
    <row r="4976" spans="1:10">
      <c r="A4976" s="441">
        <v>1500</v>
      </c>
      <c r="B4976" s="441" t="s">
        <v>4512</v>
      </c>
      <c r="C4976" s="545">
        <v>12.333333333333332</v>
      </c>
      <c r="D4976" s="545">
        <v>2.3333333333333335</v>
      </c>
      <c r="E4976" s="545">
        <v>1.6666666666666665</v>
      </c>
      <c r="F4976" s="545">
        <v>9.3809523809523796</v>
      </c>
      <c r="G4976" s="545">
        <v>2</v>
      </c>
      <c r="H4976" s="545">
        <v>0</v>
      </c>
      <c r="I4976" s="545">
        <v>0.33333333333333331</v>
      </c>
      <c r="J4976" s="545">
        <v>1.4761904761904763</v>
      </c>
    </row>
    <row r="4977" spans="1:10">
      <c r="A4977" s="441">
        <v>1493</v>
      </c>
      <c r="B4977" s="441" t="s">
        <v>4513</v>
      </c>
      <c r="C4977" s="545">
        <v>1.8333333333333333</v>
      </c>
      <c r="D4977" s="545">
        <v>0.66666666666666663</v>
      </c>
      <c r="E4977" s="545">
        <v>0.33333333333333331</v>
      </c>
      <c r="F4977" s="545">
        <v>1.4523809523809523</v>
      </c>
      <c r="G4977" s="545">
        <v>2.15</v>
      </c>
      <c r="H4977" s="545">
        <v>2</v>
      </c>
      <c r="I4977" s="545">
        <v>2</v>
      </c>
      <c r="J4977" s="545">
        <v>2.1071428571428572</v>
      </c>
    </row>
    <row r="4978" spans="1:10">
      <c r="A4978" s="441">
        <v>1496</v>
      </c>
      <c r="B4978" s="441" t="s">
        <v>4513</v>
      </c>
      <c r="C4978" s="545">
        <v>5.333333333333333</v>
      </c>
      <c r="D4978" s="545">
        <v>1</v>
      </c>
      <c r="E4978" s="545">
        <v>1.3333333333333333</v>
      </c>
      <c r="F4978" s="545">
        <v>4.1428571428571423</v>
      </c>
      <c r="G4978" s="545">
        <v>2.2999999999999998</v>
      </c>
      <c r="H4978" s="545">
        <v>3.6666666666666665</v>
      </c>
      <c r="I4978" s="545">
        <v>2.6666666666666665</v>
      </c>
      <c r="J4978" s="545">
        <v>2.5476190476190474</v>
      </c>
    </row>
    <row r="4979" spans="1:10">
      <c r="A4979" s="441">
        <v>1492</v>
      </c>
      <c r="B4979" s="441" t="s">
        <v>4514</v>
      </c>
      <c r="C4979" s="545">
        <v>9.5</v>
      </c>
      <c r="D4979" s="545">
        <v>6.333333333333333</v>
      </c>
      <c r="E4979" s="545">
        <v>3</v>
      </c>
      <c r="F4979" s="545">
        <v>8.1190476190476186</v>
      </c>
      <c r="G4979" s="545">
        <v>2</v>
      </c>
      <c r="H4979" s="545">
        <v>0.66666666666666663</v>
      </c>
      <c r="I4979" s="545">
        <v>4.666666666666667</v>
      </c>
      <c r="J4979" s="545">
        <v>2.1904761904761902</v>
      </c>
    </row>
    <row r="4980" spans="1:10">
      <c r="A4980" s="441">
        <v>1497</v>
      </c>
      <c r="B4980" s="441" t="s">
        <v>4514</v>
      </c>
      <c r="C4980" s="545">
        <v>16.833333333333336</v>
      </c>
      <c r="D4980" s="545">
        <v>3</v>
      </c>
      <c r="E4980" s="545">
        <v>1.3333333333333333</v>
      </c>
      <c r="F4980" s="545">
        <v>12.642857142857144</v>
      </c>
      <c r="G4980" s="545">
        <v>1.5</v>
      </c>
      <c r="H4980" s="545">
        <v>0.33333333333333331</v>
      </c>
      <c r="I4980" s="545">
        <v>1.6666666666666667</v>
      </c>
      <c r="J4980" s="545">
        <v>1.3571428571428572</v>
      </c>
    </row>
    <row r="4981" spans="1:10">
      <c r="A4981" s="441">
        <v>1993</v>
      </c>
      <c r="B4981" s="441" t="s">
        <v>4515</v>
      </c>
      <c r="C4981" s="545">
        <v>5.1666666666666661</v>
      </c>
      <c r="D4981" s="545">
        <v>2.3333333333333335</v>
      </c>
      <c r="E4981" s="545">
        <v>2.6666666666666665</v>
      </c>
      <c r="F4981" s="545">
        <v>4.4047619047619042</v>
      </c>
      <c r="G4981" s="545">
        <v>2.5</v>
      </c>
      <c r="H4981" s="545">
        <v>0.66666666666666663</v>
      </c>
      <c r="I4981" s="545">
        <v>0.66666666666666663</v>
      </c>
      <c r="J4981" s="545">
        <v>1.9761904761904761</v>
      </c>
    </row>
    <row r="4982" spans="1:10">
      <c r="A4982" s="441">
        <v>1999</v>
      </c>
      <c r="B4982" s="441" t="s">
        <v>4515</v>
      </c>
      <c r="C4982" s="545">
        <v>4.5</v>
      </c>
      <c r="D4982" s="545">
        <v>1.6666666666666667</v>
      </c>
      <c r="E4982" s="545">
        <v>1</v>
      </c>
      <c r="F4982" s="545">
        <v>3.5952380952380953</v>
      </c>
      <c r="G4982" s="545">
        <v>1.3</v>
      </c>
      <c r="H4982" s="545">
        <v>0.33333333333333331</v>
      </c>
      <c r="I4982" s="545">
        <v>1.3333333333333333</v>
      </c>
      <c r="J4982" s="545">
        <v>1.1666666666666665</v>
      </c>
    </row>
    <row r="4983" spans="1:10">
      <c r="A4983" s="441">
        <v>1488</v>
      </c>
      <c r="B4983" s="441" t="s">
        <v>4516</v>
      </c>
      <c r="C4983" s="545">
        <v>0.5</v>
      </c>
      <c r="D4983" s="545">
        <v>0</v>
      </c>
      <c r="E4983" s="545">
        <v>1.6666666666666667</v>
      </c>
      <c r="F4983" s="545">
        <v>0.59523809523809523</v>
      </c>
      <c r="G4983" s="545">
        <v>0.85</v>
      </c>
      <c r="H4983" s="545">
        <v>0</v>
      </c>
      <c r="I4983" s="545">
        <v>1.3333333333333333</v>
      </c>
      <c r="J4983" s="545">
        <v>0.79761904761904756</v>
      </c>
    </row>
    <row r="4984" spans="1:10">
      <c r="A4984" s="441">
        <v>1501</v>
      </c>
      <c r="B4984" s="441" t="s">
        <v>4516</v>
      </c>
      <c r="C4984" s="545">
        <v>0.33333333333333331</v>
      </c>
      <c r="D4984" s="545">
        <v>0.66666666666666663</v>
      </c>
      <c r="E4984" s="545">
        <v>2.6666666666666665</v>
      </c>
      <c r="F4984" s="545">
        <v>0.7142857142857143</v>
      </c>
      <c r="G4984" s="545">
        <v>0.55000000000000004</v>
      </c>
      <c r="H4984" s="545">
        <v>0</v>
      </c>
      <c r="I4984" s="545">
        <v>1.6666666666666667</v>
      </c>
      <c r="J4984" s="545">
        <v>0.63095238095238104</v>
      </c>
    </row>
    <row r="4985" spans="1:10">
      <c r="A4985" s="441">
        <v>3848</v>
      </c>
      <c r="B4985" s="441" t="s">
        <v>4517</v>
      </c>
      <c r="C4985" s="545">
        <v>106.83333333333334</v>
      </c>
      <c r="D4985" s="545">
        <v>6.333333333333333</v>
      </c>
      <c r="E4985" s="545">
        <v>3.666666666666667</v>
      </c>
      <c r="F4985" s="545">
        <v>77.738095238095255</v>
      </c>
      <c r="G4985" s="545">
        <v>71.5</v>
      </c>
      <c r="H4985" s="545">
        <v>10</v>
      </c>
      <c r="I4985" s="545">
        <v>4.666666666666667</v>
      </c>
      <c r="J4985" s="545">
        <v>53.166666666666671</v>
      </c>
    </row>
    <row r="4986" spans="1:10">
      <c r="A4986" s="441">
        <v>3823</v>
      </c>
      <c r="B4986" s="441" t="s">
        <v>4518</v>
      </c>
      <c r="C4986" s="545">
        <v>3.6666666666666665</v>
      </c>
      <c r="D4986" s="545">
        <v>4.666666666666667</v>
      </c>
      <c r="E4986" s="545">
        <v>1</v>
      </c>
      <c r="F4986" s="545">
        <v>3.4285714285714284</v>
      </c>
      <c r="G4986" s="545">
        <v>3.45</v>
      </c>
      <c r="H4986" s="545">
        <v>3</v>
      </c>
      <c r="I4986" s="545">
        <v>0</v>
      </c>
      <c r="J4986" s="545">
        <v>2.8928571428571428</v>
      </c>
    </row>
    <row r="4987" spans="1:10">
      <c r="A4987" s="441">
        <v>64</v>
      </c>
      <c r="B4987" s="441" t="s">
        <v>4519</v>
      </c>
      <c r="C4987" s="545">
        <v>728.83333333333337</v>
      </c>
      <c r="D4987" s="545">
        <v>154.33333333333331</v>
      </c>
      <c r="E4987" s="545">
        <v>168.66666666666669</v>
      </c>
      <c r="F4987" s="545">
        <v>566.7380952380953</v>
      </c>
      <c r="G4987" s="545">
        <v>365.35</v>
      </c>
      <c r="H4987" s="545">
        <v>121</v>
      </c>
      <c r="I4987" s="545">
        <v>115.33333333333333</v>
      </c>
      <c r="J4987" s="545">
        <v>294.72619047619048</v>
      </c>
    </row>
    <row r="4988" spans="1:10">
      <c r="A4988" s="441">
        <v>90994</v>
      </c>
      <c r="B4988" s="441" t="s">
        <v>4519</v>
      </c>
      <c r="C4988" s="545">
        <v>1.6666666666666667</v>
      </c>
      <c r="D4988" s="545">
        <v>0</v>
      </c>
      <c r="E4988" s="545">
        <v>0</v>
      </c>
      <c r="F4988" s="545">
        <v>0</v>
      </c>
      <c r="G4988" s="545">
        <v>0</v>
      </c>
      <c r="H4988" s="545"/>
      <c r="I4988" s="545"/>
      <c r="J4988" s="545">
        <v>0</v>
      </c>
    </row>
    <row r="4989" spans="1:10">
      <c r="A4989" s="441">
        <v>90996</v>
      </c>
      <c r="B4989" s="441" t="s">
        <v>4519</v>
      </c>
      <c r="C4989" s="545">
        <v>0</v>
      </c>
      <c r="D4989" s="545">
        <v>0</v>
      </c>
      <c r="E4989" s="545">
        <v>0</v>
      </c>
      <c r="F4989" s="545">
        <v>0</v>
      </c>
      <c r="G4989" s="545">
        <v>0</v>
      </c>
      <c r="H4989" s="545"/>
      <c r="I4989" s="545"/>
      <c r="J4989" s="545">
        <v>0</v>
      </c>
    </row>
    <row r="4990" spans="1:10">
      <c r="A4990" s="441">
        <v>11212</v>
      </c>
      <c r="B4990" s="441" t="s">
        <v>4520</v>
      </c>
      <c r="C4990" s="545">
        <v>1.6666666666666667</v>
      </c>
      <c r="D4990" s="545">
        <v>1.6666666666666665</v>
      </c>
      <c r="E4990" s="545">
        <v>0</v>
      </c>
      <c r="F4990" s="545">
        <v>1.4285714285714286</v>
      </c>
      <c r="G4990" s="545">
        <v>0.2</v>
      </c>
      <c r="H4990" s="545">
        <v>0</v>
      </c>
      <c r="I4990" s="545">
        <v>0</v>
      </c>
      <c r="J4990" s="545">
        <v>0.14285714285714285</v>
      </c>
    </row>
    <row r="4991" spans="1:10">
      <c r="A4991" s="441">
        <v>12885</v>
      </c>
      <c r="B4991" s="441" t="s">
        <v>4520</v>
      </c>
      <c r="C4991" s="545">
        <v>0.83333333333333326</v>
      </c>
      <c r="D4991" s="545">
        <v>0.66666666666666663</v>
      </c>
      <c r="E4991" s="545">
        <v>0</v>
      </c>
      <c r="F4991" s="545">
        <v>0.69047619047619047</v>
      </c>
      <c r="G4991" s="545">
        <v>0.45</v>
      </c>
      <c r="H4991" s="545">
        <v>0</v>
      </c>
      <c r="I4991" s="545">
        <v>0</v>
      </c>
      <c r="J4991" s="545">
        <v>0.32142857142857145</v>
      </c>
    </row>
    <row r="4992" spans="1:10">
      <c r="A4992" s="441">
        <v>12886</v>
      </c>
      <c r="B4992" s="441" t="s">
        <v>4520</v>
      </c>
      <c r="C4992" s="545">
        <v>1.6666666666666667</v>
      </c>
      <c r="D4992" s="545">
        <v>1.6666666666666665</v>
      </c>
      <c r="E4992" s="545">
        <v>1.3333333333333333</v>
      </c>
      <c r="F4992" s="545">
        <v>1.6190476190476191</v>
      </c>
      <c r="G4992" s="545">
        <v>0.65</v>
      </c>
      <c r="H4992" s="545">
        <v>0</v>
      </c>
      <c r="I4992" s="545">
        <v>0</v>
      </c>
      <c r="J4992" s="545">
        <v>0.4642857142857143</v>
      </c>
    </row>
    <row r="4993" spans="1:10">
      <c r="A4993" s="441">
        <v>12867</v>
      </c>
      <c r="B4993" s="441" t="s">
        <v>4521</v>
      </c>
      <c r="C4993" s="545">
        <v>2.833333333333333</v>
      </c>
      <c r="D4993" s="545">
        <v>2.6666666666666665</v>
      </c>
      <c r="E4993" s="545">
        <v>1</v>
      </c>
      <c r="F4993" s="545">
        <v>2.5476190476190474</v>
      </c>
      <c r="G4993" s="545">
        <v>2.95</v>
      </c>
      <c r="H4993" s="545">
        <v>0.33333333333333331</v>
      </c>
      <c r="I4993" s="545">
        <v>1.3333333333333333</v>
      </c>
      <c r="J4993" s="545">
        <v>2.3452380952380953</v>
      </c>
    </row>
    <row r="4994" spans="1:10">
      <c r="A4994" s="441">
        <v>12868</v>
      </c>
      <c r="B4994" s="441" t="s">
        <v>4521</v>
      </c>
      <c r="C4994" s="545">
        <v>4</v>
      </c>
      <c r="D4994" s="545">
        <v>1.3333333333333333</v>
      </c>
      <c r="E4994" s="545">
        <v>0.33333333333333331</v>
      </c>
      <c r="F4994" s="545">
        <v>3.0952380952380949</v>
      </c>
      <c r="G4994" s="545">
        <v>1.85</v>
      </c>
      <c r="H4994" s="545">
        <v>0.66666666666666663</v>
      </c>
      <c r="I4994" s="545">
        <v>0</v>
      </c>
      <c r="J4994" s="545">
        <v>1.4166666666666665</v>
      </c>
    </row>
    <row r="4995" spans="1:10">
      <c r="A4995" s="441">
        <v>1368</v>
      </c>
      <c r="B4995" s="441" t="s">
        <v>4522</v>
      </c>
      <c r="C4995" s="545">
        <v>5</v>
      </c>
      <c r="D4995" s="545">
        <v>2</v>
      </c>
      <c r="E4995" s="545">
        <v>0.66666666666666663</v>
      </c>
      <c r="F4995" s="545">
        <v>3.9523809523809526</v>
      </c>
      <c r="G4995" s="545">
        <v>1.5</v>
      </c>
      <c r="H4995" s="545">
        <v>0.66666666666666663</v>
      </c>
      <c r="I4995" s="545">
        <v>0.66666666666666663</v>
      </c>
      <c r="J4995" s="545">
        <v>1.2619047619047616</v>
      </c>
    </row>
    <row r="4996" spans="1:10">
      <c r="A4996" s="441">
        <v>1371</v>
      </c>
      <c r="B4996" s="441" t="s">
        <v>4522</v>
      </c>
      <c r="C4996" s="545">
        <v>2</v>
      </c>
      <c r="D4996" s="545">
        <v>1</v>
      </c>
      <c r="E4996" s="545">
        <v>1</v>
      </c>
      <c r="F4996" s="545">
        <v>1.7142857142857142</v>
      </c>
      <c r="G4996" s="545">
        <v>1.3</v>
      </c>
      <c r="H4996" s="545">
        <v>0.66666666666666663</v>
      </c>
      <c r="I4996" s="545">
        <v>1.6666666666666667</v>
      </c>
      <c r="J4996" s="545">
        <v>1.2619047619047621</v>
      </c>
    </row>
    <row r="4997" spans="1:10">
      <c r="A4997" s="441">
        <v>12887</v>
      </c>
      <c r="B4997" s="441" t="s">
        <v>4523</v>
      </c>
      <c r="C4997" s="545">
        <v>0.83333333333333326</v>
      </c>
      <c r="D4997" s="545">
        <v>0</v>
      </c>
      <c r="E4997" s="545">
        <v>0</v>
      </c>
      <c r="F4997" s="545">
        <v>0.59523809523809512</v>
      </c>
      <c r="G4997" s="545">
        <v>0.3</v>
      </c>
      <c r="H4997" s="545">
        <v>0</v>
      </c>
      <c r="I4997" s="545">
        <v>0</v>
      </c>
      <c r="J4997" s="545">
        <v>0.21428571428571427</v>
      </c>
    </row>
    <row r="4998" spans="1:10">
      <c r="A4998" s="441">
        <v>7379</v>
      </c>
      <c r="B4998" s="441" t="s">
        <v>4524</v>
      </c>
      <c r="C4998" s="545">
        <v>0.16666666666666666</v>
      </c>
      <c r="D4998" s="545">
        <v>1.6666666666666665</v>
      </c>
      <c r="E4998" s="545">
        <v>0</v>
      </c>
      <c r="F4998" s="545">
        <v>0.35714285714285715</v>
      </c>
      <c r="G4998" s="545">
        <v>0.85</v>
      </c>
      <c r="H4998" s="545">
        <v>0</v>
      </c>
      <c r="I4998" s="545">
        <v>0.33333333333333331</v>
      </c>
      <c r="J4998" s="545">
        <v>0.65476190476190477</v>
      </c>
    </row>
    <row r="4999" spans="1:10">
      <c r="A4999" s="441">
        <v>7378</v>
      </c>
      <c r="B4999" s="441" t="s">
        <v>4525</v>
      </c>
      <c r="C4999" s="545">
        <v>0.66666666666666663</v>
      </c>
      <c r="D4999" s="545">
        <v>0</v>
      </c>
      <c r="E4999" s="545">
        <v>0</v>
      </c>
      <c r="F4999" s="545">
        <v>0.47619047619047616</v>
      </c>
      <c r="G4999" s="545">
        <v>0.05</v>
      </c>
      <c r="H4999" s="545">
        <v>0</v>
      </c>
      <c r="I4999" s="545">
        <v>0</v>
      </c>
      <c r="J4999" s="545">
        <v>3.5714285714285712E-2</v>
      </c>
    </row>
    <row r="5000" spans="1:10">
      <c r="A5000" s="441">
        <v>7377</v>
      </c>
      <c r="B5000" s="441" t="s">
        <v>4526</v>
      </c>
      <c r="C5000" s="545">
        <v>0</v>
      </c>
      <c r="D5000" s="545">
        <v>0</v>
      </c>
      <c r="E5000" s="545">
        <v>0</v>
      </c>
      <c r="F5000" s="545">
        <v>0</v>
      </c>
      <c r="G5000" s="545">
        <v>0</v>
      </c>
      <c r="H5000" s="545">
        <v>0.33333333333333331</v>
      </c>
      <c r="I5000" s="545">
        <v>0</v>
      </c>
      <c r="J5000" s="545">
        <v>4.7619047619047616E-2</v>
      </c>
    </row>
    <row r="5001" spans="1:10">
      <c r="A5001" s="441">
        <v>7376</v>
      </c>
      <c r="B5001" s="441" t="s">
        <v>4527</v>
      </c>
      <c r="C5001" s="545">
        <v>10.666666666666668</v>
      </c>
      <c r="D5001" s="545">
        <v>8</v>
      </c>
      <c r="E5001" s="545">
        <v>7</v>
      </c>
      <c r="F5001" s="545">
        <v>9.7619047619047628</v>
      </c>
      <c r="G5001" s="545">
        <v>10.15</v>
      </c>
      <c r="H5001" s="545">
        <v>14.333333333333334</v>
      </c>
      <c r="I5001" s="545">
        <v>9.6666666666666661</v>
      </c>
      <c r="J5001" s="545">
        <v>10.678571428571429</v>
      </c>
    </row>
    <row r="5002" spans="1:10">
      <c r="A5002" s="441">
        <v>9356</v>
      </c>
      <c r="B5002" s="441" t="s">
        <v>4528</v>
      </c>
      <c r="C5002" s="545">
        <v>24.833333333333332</v>
      </c>
      <c r="D5002" s="545">
        <v>21.666666666666664</v>
      </c>
      <c r="E5002" s="545">
        <v>8</v>
      </c>
      <c r="F5002" s="545">
        <v>21.976190476190474</v>
      </c>
      <c r="G5002" s="545">
        <v>12.65</v>
      </c>
      <c r="H5002" s="545">
        <v>8.3333333333333339</v>
      </c>
      <c r="I5002" s="545">
        <v>3.3333333333333335</v>
      </c>
      <c r="J5002" s="545">
        <v>10.702380952380951</v>
      </c>
    </row>
    <row r="5003" spans="1:10">
      <c r="A5003" s="441">
        <v>9361</v>
      </c>
      <c r="B5003" s="441" t="s">
        <v>4528</v>
      </c>
      <c r="C5003" s="545">
        <v>21</v>
      </c>
      <c r="D5003" s="545">
        <v>14.666666666666666</v>
      </c>
      <c r="E5003" s="545">
        <v>8.3333333333333339</v>
      </c>
      <c r="F5003" s="545">
        <v>18.285714285714285</v>
      </c>
      <c r="G5003" s="545">
        <v>8.65</v>
      </c>
      <c r="H5003" s="545">
        <v>5</v>
      </c>
      <c r="I5003" s="545">
        <v>4.666666666666667</v>
      </c>
      <c r="J5003" s="545">
        <v>7.5595238095238093</v>
      </c>
    </row>
    <row r="5004" spans="1:10">
      <c r="A5004" s="441">
        <v>1670</v>
      </c>
      <c r="B5004" s="441" t="s">
        <v>4529</v>
      </c>
      <c r="C5004" s="545">
        <v>44</v>
      </c>
      <c r="D5004" s="545">
        <v>36</v>
      </c>
      <c r="E5004" s="545">
        <v>22.666666666666664</v>
      </c>
      <c r="F5004" s="545">
        <v>39.80952380952381</v>
      </c>
      <c r="G5004" s="545">
        <v>28.25</v>
      </c>
      <c r="H5004" s="545">
        <v>22.666666666666668</v>
      </c>
      <c r="I5004" s="545">
        <v>19.333333333333332</v>
      </c>
      <c r="J5004" s="545">
        <v>26.178571428571427</v>
      </c>
    </row>
    <row r="5005" spans="1:10">
      <c r="A5005" s="441">
        <v>1679</v>
      </c>
      <c r="B5005" s="441" t="s">
        <v>4529</v>
      </c>
      <c r="C5005" s="545">
        <v>46.666666666666664</v>
      </c>
      <c r="D5005" s="545">
        <v>34.333333333333329</v>
      </c>
      <c r="E5005" s="545">
        <v>34.333333333333336</v>
      </c>
      <c r="F5005" s="545">
        <v>43.142857142857132</v>
      </c>
      <c r="G5005" s="545">
        <v>37.950000000000003</v>
      </c>
      <c r="H5005" s="545">
        <v>32</v>
      </c>
      <c r="I5005" s="545">
        <v>26</v>
      </c>
      <c r="J5005" s="545">
        <v>35.392857142857146</v>
      </c>
    </row>
    <row r="5006" spans="1:10">
      <c r="A5006" s="441">
        <v>1669</v>
      </c>
      <c r="B5006" s="441" t="s">
        <v>4530</v>
      </c>
      <c r="C5006" s="545">
        <v>86.166666666666671</v>
      </c>
      <c r="D5006" s="545">
        <v>71.666666666666671</v>
      </c>
      <c r="E5006" s="545">
        <v>59.666666666666671</v>
      </c>
      <c r="F5006" s="545">
        <v>80.309523809523824</v>
      </c>
      <c r="G5006" s="545">
        <v>39.25</v>
      </c>
      <c r="H5006" s="545">
        <v>31.333333333333332</v>
      </c>
      <c r="I5006" s="545">
        <v>24.333333333333332</v>
      </c>
      <c r="J5006" s="545">
        <v>35.988095238095241</v>
      </c>
    </row>
    <row r="5007" spans="1:10">
      <c r="A5007" s="441">
        <v>1680</v>
      </c>
      <c r="B5007" s="441" t="s">
        <v>4530</v>
      </c>
      <c r="C5007" s="545">
        <v>72.833333333333329</v>
      </c>
      <c r="D5007" s="545">
        <v>73</v>
      </c>
      <c r="E5007" s="545">
        <v>59.666666666666671</v>
      </c>
      <c r="F5007" s="545">
        <v>70.976190476190467</v>
      </c>
      <c r="G5007" s="545">
        <v>43.05</v>
      </c>
      <c r="H5007" s="545">
        <v>33.666666666666664</v>
      </c>
      <c r="I5007" s="545">
        <v>28.666666666666668</v>
      </c>
      <c r="J5007" s="545">
        <v>39.654761904761905</v>
      </c>
    </row>
    <row r="5008" spans="1:10">
      <c r="A5008" s="441">
        <v>9357</v>
      </c>
      <c r="B5008" s="441" t="s">
        <v>4531</v>
      </c>
      <c r="C5008" s="545">
        <v>58.166666666666671</v>
      </c>
      <c r="D5008" s="545">
        <v>47</v>
      </c>
      <c r="E5008" s="545">
        <v>28.333333333333332</v>
      </c>
      <c r="F5008" s="545">
        <v>52.30952380952381</v>
      </c>
      <c r="G5008" s="545">
        <v>25.2</v>
      </c>
      <c r="H5008" s="545">
        <v>19</v>
      </c>
      <c r="I5008" s="545">
        <v>20</v>
      </c>
      <c r="J5008" s="545">
        <v>23.571428571428573</v>
      </c>
    </row>
    <row r="5009" spans="1:10">
      <c r="A5009" s="441">
        <v>9360</v>
      </c>
      <c r="B5009" s="441" t="s">
        <v>4531</v>
      </c>
      <c r="C5009" s="545">
        <v>60.5</v>
      </c>
      <c r="D5009" s="545">
        <v>40.666666666666664</v>
      </c>
      <c r="E5009" s="545">
        <v>26.666666666666668</v>
      </c>
      <c r="F5009" s="545">
        <v>52.833333333333336</v>
      </c>
      <c r="G5009" s="545">
        <v>27.25</v>
      </c>
      <c r="H5009" s="545">
        <v>18.333333333333332</v>
      </c>
      <c r="I5009" s="545">
        <v>9.6666666666666661</v>
      </c>
      <c r="J5009" s="545">
        <v>23.464285714285715</v>
      </c>
    </row>
    <row r="5010" spans="1:10">
      <c r="A5010" s="441">
        <v>1671</v>
      </c>
      <c r="B5010" s="441" t="s">
        <v>4532</v>
      </c>
      <c r="C5010" s="545">
        <v>38.666666666666664</v>
      </c>
      <c r="D5010" s="545">
        <v>30</v>
      </c>
      <c r="E5010" s="545">
        <v>32.666666666666664</v>
      </c>
      <c r="F5010" s="545">
        <v>36.571428571428569</v>
      </c>
      <c r="G5010" s="545">
        <v>24.75</v>
      </c>
      <c r="H5010" s="545">
        <v>18.333333333333332</v>
      </c>
      <c r="I5010" s="545">
        <v>27.333333333333332</v>
      </c>
      <c r="J5010" s="545">
        <v>24.202380952380956</v>
      </c>
    </row>
    <row r="5011" spans="1:10">
      <c r="A5011" s="441">
        <v>1678</v>
      </c>
      <c r="B5011" s="441" t="s">
        <v>4532</v>
      </c>
      <c r="C5011" s="545">
        <v>54.5</v>
      </c>
      <c r="D5011" s="545">
        <v>39</v>
      </c>
      <c r="E5011" s="545">
        <v>46.666666666666671</v>
      </c>
      <c r="F5011" s="545">
        <v>51.166666666666671</v>
      </c>
      <c r="G5011" s="545">
        <v>28.9</v>
      </c>
      <c r="H5011" s="545">
        <v>24.333333333333332</v>
      </c>
      <c r="I5011" s="545">
        <v>23.666666666666668</v>
      </c>
      <c r="J5011" s="545">
        <v>27.5</v>
      </c>
    </row>
    <row r="5012" spans="1:10">
      <c r="A5012" s="441">
        <v>1673</v>
      </c>
      <c r="B5012" s="441" t="s">
        <v>4533</v>
      </c>
      <c r="C5012" s="545">
        <v>56.333333333333329</v>
      </c>
      <c r="D5012" s="545">
        <v>50.333333333333329</v>
      </c>
      <c r="E5012" s="545">
        <v>42.333333333333329</v>
      </c>
      <c r="F5012" s="545">
        <v>53.476190476190467</v>
      </c>
      <c r="G5012" s="545">
        <v>22.65</v>
      </c>
      <c r="H5012" s="545">
        <v>22.333333333333332</v>
      </c>
      <c r="I5012" s="545">
        <v>14.333333333333334</v>
      </c>
      <c r="J5012" s="545">
        <v>21.416666666666668</v>
      </c>
    </row>
    <row r="5013" spans="1:10">
      <c r="A5013" s="441">
        <v>1676</v>
      </c>
      <c r="B5013" s="441" t="s">
        <v>4533</v>
      </c>
      <c r="C5013" s="545">
        <v>56.666666666666664</v>
      </c>
      <c r="D5013" s="545">
        <v>49.333333333333329</v>
      </c>
      <c r="E5013" s="545">
        <v>42.333333333333336</v>
      </c>
      <c r="F5013" s="545">
        <v>53.571428571428562</v>
      </c>
      <c r="G5013" s="545">
        <v>20.85</v>
      </c>
      <c r="H5013" s="545">
        <v>22.666666666666668</v>
      </c>
      <c r="I5013" s="545">
        <v>9.6666666666666661</v>
      </c>
      <c r="J5013" s="545">
        <v>19.511904761904763</v>
      </c>
    </row>
    <row r="5014" spans="1:10">
      <c r="A5014" s="441">
        <v>1674</v>
      </c>
      <c r="B5014" s="441" t="s">
        <v>4534</v>
      </c>
      <c r="C5014" s="545">
        <v>41.333333333333329</v>
      </c>
      <c r="D5014" s="545">
        <v>27.333333333333332</v>
      </c>
      <c r="E5014" s="545">
        <v>22</v>
      </c>
      <c r="F5014" s="545">
        <v>36.571428571428569</v>
      </c>
      <c r="G5014" s="545">
        <v>18.25</v>
      </c>
      <c r="H5014" s="545">
        <v>14</v>
      </c>
      <c r="I5014" s="545">
        <v>9.6666666666666661</v>
      </c>
      <c r="J5014" s="545">
        <v>16.416666666666668</v>
      </c>
    </row>
    <row r="5015" spans="1:10">
      <c r="A5015" s="441">
        <v>1675</v>
      </c>
      <c r="B5015" s="441" t="s">
        <v>4534</v>
      </c>
      <c r="C5015" s="545">
        <v>33.833333333333336</v>
      </c>
      <c r="D5015" s="545">
        <v>20.666666666666664</v>
      </c>
      <c r="E5015" s="545">
        <v>22.666666666666664</v>
      </c>
      <c r="F5015" s="545">
        <v>30.357142857142858</v>
      </c>
      <c r="G5015" s="545">
        <v>27.4</v>
      </c>
      <c r="H5015" s="545">
        <v>12.666666666666666</v>
      </c>
      <c r="I5015" s="545">
        <v>8.6666666666666661</v>
      </c>
      <c r="J5015" s="545">
        <v>22.619047619047617</v>
      </c>
    </row>
    <row r="5016" spans="1:10">
      <c r="A5016" s="441">
        <v>1672</v>
      </c>
      <c r="B5016" s="441" t="s">
        <v>4535</v>
      </c>
      <c r="C5016" s="545">
        <v>60.666666666666671</v>
      </c>
      <c r="D5016" s="545">
        <v>52.333333333333329</v>
      </c>
      <c r="E5016" s="545">
        <v>31.333333333333336</v>
      </c>
      <c r="F5016" s="545">
        <v>55.285714285714285</v>
      </c>
      <c r="G5016" s="545">
        <v>28.75</v>
      </c>
      <c r="H5016" s="545">
        <v>22.666666666666668</v>
      </c>
      <c r="I5016" s="545">
        <v>16</v>
      </c>
      <c r="J5016" s="545">
        <v>26.059523809523807</v>
      </c>
    </row>
    <row r="5017" spans="1:10">
      <c r="A5017" s="441">
        <v>1677</v>
      </c>
      <c r="B5017" s="441" t="s">
        <v>4535</v>
      </c>
      <c r="C5017" s="545">
        <v>70.833333333333329</v>
      </c>
      <c r="D5017" s="545">
        <v>67</v>
      </c>
      <c r="E5017" s="545">
        <v>59</v>
      </c>
      <c r="F5017" s="545">
        <v>68.595238095238088</v>
      </c>
      <c r="G5017" s="545">
        <v>26.55</v>
      </c>
      <c r="H5017" s="545">
        <v>18.666666666666668</v>
      </c>
      <c r="I5017" s="545">
        <v>15.666666666666666</v>
      </c>
      <c r="J5017" s="545">
        <v>23.869047619047617</v>
      </c>
    </row>
    <row r="5018" spans="1:10">
      <c r="A5018" s="441">
        <v>1667</v>
      </c>
      <c r="B5018" s="441" t="s">
        <v>4536</v>
      </c>
      <c r="C5018" s="545">
        <v>29.166666666666668</v>
      </c>
      <c r="D5018" s="545">
        <v>19</v>
      </c>
      <c r="E5018" s="545">
        <v>19.333333333333336</v>
      </c>
      <c r="F5018" s="545">
        <v>26.309523809523814</v>
      </c>
      <c r="G5018" s="545">
        <v>23.5</v>
      </c>
      <c r="H5018" s="545">
        <v>17.666666666666668</v>
      </c>
      <c r="I5018" s="545">
        <v>23.666666666666668</v>
      </c>
      <c r="J5018" s="545">
        <v>22.690476190476186</v>
      </c>
    </row>
    <row r="5019" spans="1:10">
      <c r="A5019" s="441">
        <v>1682</v>
      </c>
      <c r="B5019" s="441" t="s">
        <v>4536</v>
      </c>
      <c r="C5019" s="545">
        <v>30.166666666666668</v>
      </c>
      <c r="D5019" s="545">
        <v>21.666666666666668</v>
      </c>
      <c r="E5019" s="545">
        <v>22.333333333333332</v>
      </c>
      <c r="F5019" s="545">
        <v>27.833333333333336</v>
      </c>
      <c r="G5019" s="545">
        <v>20.8</v>
      </c>
      <c r="H5019" s="545">
        <v>15</v>
      </c>
      <c r="I5019" s="545">
        <v>14.666666666666666</v>
      </c>
      <c r="J5019" s="545">
        <v>19.095238095238095</v>
      </c>
    </row>
    <row r="5020" spans="1:10">
      <c r="A5020" s="441">
        <v>9355</v>
      </c>
      <c r="B5020" s="441" t="s">
        <v>4537</v>
      </c>
      <c r="C5020" s="545">
        <v>135</v>
      </c>
      <c r="D5020" s="545">
        <v>93.333333333333329</v>
      </c>
      <c r="E5020" s="545">
        <v>75</v>
      </c>
      <c r="F5020" s="545">
        <v>120.47619047619048</v>
      </c>
      <c r="G5020" s="545">
        <v>95.5</v>
      </c>
      <c r="H5020" s="545">
        <v>64.666666666666671</v>
      </c>
      <c r="I5020" s="545">
        <v>53.666666666666664</v>
      </c>
      <c r="J5020" s="545">
        <v>85.119047619047606</v>
      </c>
    </row>
    <row r="5021" spans="1:10">
      <c r="A5021" s="441">
        <v>9362</v>
      </c>
      <c r="B5021" s="441" t="s">
        <v>4537</v>
      </c>
      <c r="C5021" s="545">
        <v>128</v>
      </c>
      <c r="D5021" s="545">
        <v>81</v>
      </c>
      <c r="E5021" s="545">
        <v>48.666666666666664</v>
      </c>
      <c r="F5021" s="545">
        <v>109.95238095238095</v>
      </c>
      <c r="G5021" s="545">
        <v>68.8</v>
      </c>
      <c r="H5021" s="545">
        <v>46</v>
      </c>
      <c r="I5021" s="545">
        <v>36.333333333333336</v>
      </c>
      <c r="J5021" s="545">
        <v>60.904761904761905</v>
      </c>
    </row>
    <row r="5022" spans="1:10">
      <c r="A5022" s="441">
        <v>1666</v>
      </c>
      <c r="B5022" s="441" t="s">
        <v>4538</v>
      </c>
      <c r="C5022" s="545">
        <v>78</v>
      </c>
      <c r="D5022" s="545">
        <v>65</v>
      </c>
      <c r="E5022" s="545">
        <v>50.666666666666671</v>
      </c>
      <c r="F5022" s="545">
        <v>72.238095238095241</v>
      </c>
      <c r="G5022" s="545">
        <v>48.85</v>
      </c>
      <c r="H5022" s="545">
        <v>46.333333333333336</v>
      </c>
      <c r="I5022" s="545">
        <v>26.333333333333332</v>
      </c>
      <c r="J5022" s="545">
        <v>45.273809523809518</v>
      </c>
    </row>
    <row r="5023" spans="1:10">
      <c r="A5023" s="441">
        <v>1683</v>
      </c>
      <c r="B5023" s="441" t="s">
        <v>4538</v>
      </c>
      <c r="C5023" s="545">
        <v>75.333333333333329</v>
      </c>
      <c r="D5023" s="545">
        <v>60.333333333333336</v>
      </c>
      <c r="E5023" s="545">
        <v>41</v>
      </c>
      <c r="F5023" s="545">
        <v>68.285714285714278</v>
      </c>
      <c r="G5023" s="545">
        <v>51.55</v>
      </c>
      <c r="H5023" s="545">
        <v>43.666666666666664</v>
      </c>
      <c r="I5023" s="545">
        <v>30.333333333333332</v>
      </c>
      <c r="J5023" s="545">
        <v>47.392857142857146</v>
      </c>
    </row>
    <row r="5024" spans="1:10">
      <c r="A5024" s="441">
        <v>1668</v>
      </c>
      <c r="B5024" s="441" t="s">
        <v>4539</v>
      </c>
      <c r="C5024" s="545">
        <v>49.166666666666671</v>
      </c>
      <c r="D5024" s="545">
        <v>50.666666666666671</v>
      </c>
      <c r="E5024" s="545">
        <v>27.666666666666664</v>
      </c>
      <c r="F5024" s="545">
        <v>46.309523809523817</v>
      </c>
      <c r="G5024" s="545">
        <v>26.55</v>
      </c>
      <c r="H5024" s="545">
        <v>24.666666666666668</v>
      </c>
      <c r="I5024" s="545">
        <v>22.666666666666668</v>
      </c>
      <c r="J5024" s="545">
        <v>25.726190476190474</v>
      </c>
    </row>
    <row r="5025" spans="1:10">
      <c r="A5025" s="441">
        <v>1681</v>
      </c>
      <c r="B5025" s="441" t="s">
        <v>4539</v>
      </c>
      <c r="C5025" s="545">
        <v>80.833333333333343</v>
      </c>
      <c r="D5025" s="545">
        <v>57.666666666666671</v>
      </c>
      <c r="E5025" s="545">
        <v>45.666666666666671</v>
      </c>
      <c r="F5025" s="545">
        <v>72.500000000000014</v>
      </c>
      <c r="G5025" s="545">
        <v>41.75</v>
      </c>
      <c r="H5025" s="545">
        <v>42.666666666666664</v>
      </c>
      <c r="I5025" s="545">
        <v>20.666666666666668</v>
      </c>
      <c r="J5025" s="545">
        <v>38.869047619047613</v>
      </c>
    </row>
    <row r="5026" spans="1:10">
      <c r="A5026" s="441">
        <v>9358</v>
      </c>
      <c r="B5026" s="441" t="s">
        <v>4540</v>
      </c>
      <c r="C5026" s="545">
        <v>37.833333333333336</v>
      </c>
      <c r="D5026" s="545">
        <v>19.333333333333332</v>
      </c>
      <c r="E5026" s="545">
        <v>17.666666666666668</v>
      </c>
      <c r="F5026" s="545">
        <v>32.30952380952381</v>
      </c>
      <c r="G5026" s="545">
        <v>22.8</v>
      </c>
      <c r="H5026" s="545">
        <v>7.333333333333333</v>
      </c>
      <c r="I5026" s="545">
        <v>3.3333333333333335</v>
      </c>
      <c r="J5026" s="545">
        <v>17.809523809523807</v>
      </c>
    </row>
    <row r="5027" spans="1:10">
      <c r="A5027" s="441">
        <v>9359</v>
      </c>
      <c r="B5027" s="441" t="s">
        <v>4540</v>
      </c>
      <c r="C5027" s="545">
        <v>34</v>
      </c>
      <c r="D5027" s="545">
        <v>18</v>
      </c>
      <c r="E5027" s="545">
        <v>12.333333333333334</v>
      </c>
      <c r="F5027" s="545">
        <v>28.61904761904762</v>
      </c>
      <c r="G5027" s="545">
        <v>18.350000000000001</v>
      </c>
      <c r="H5027" s="545">
        <v>13.666666666666666</v>
      </c>
      <c r="I5027" s="545">
        <v>3</v>
      </c>
      <c r="J5027" s="545">
        <v>15.488095238095239</v>
      </c>
    </row>
    <row r="5028" spans="1:10">
      <c r="A5028" s="441">
        <v>3769</v>
      </c>
      <c r="B5028" s="441" t="s">
        <v>4541</v>
      </c>
      <c r="C5028" s="545">
        <v>12.666666666666666</v>
      </c>
      <c r="D5028" s="545">
        <v>0.66666666666666663</v>
      </c>
      <c r="E5028" s="545">
        <v>0.66666666666666663</v>
      </c>
      <c r="F5028" s="545">
        <v>9.2380952380952372</v>
      </c>
      <c r="G5028" s="545">
        <v>3</v>
      </c>
      <c r="H5028" s="545">
        <v>0.66666666666666663</v>
      </c>
      <c r="I5028" s="545">
        <v>1.3333333333333333</v>
      </c>
      <c r="J5028" s="545">
        <v>2.4285714285714284</v>
      </c>
    </row>
    <row r="5029" spans="1:10">
      <c r="A5029" s="441">
        <v>569</v>
      </c>
      <c r="B5029" s="441" t="s">
        <v>4542</v>
      </c>
      <c r="C5029" s="545">
        <v>104.83333333333333</v>
      </c>
      <c r="D5029" s="545">
        <v>48.333333333333329</v>
      </c>
      <c r="E5029" s="545">
        <v>33</v>
      </c>
      <c r="F5029" s="545">
        <v>86.5</v>
      </c>
      <c r="G5029" s="545">
        <v>82.65</v>
      </c>
      <c r="H5029" s="545">
        <v>30.333333333333332</v>
      </c>
      <c r="I5029" s="545">
        <v>24</v>
      </c>
      <c r="J5029" s="545">
        <v>66.797619047619051</v>
      </c>
    </row>
    <row r="5030" spans="1:10">
      <c r="A5030" s="441">
        <v>565</v>
      </c>
      <c r="B5030" s="441" t="s">
        <v>4543</v>
      </c>
      <c r="C5030" s="545">
        <v>501.66666666666669</v>
      </c>
      <c r="D5030" s="545">
        <v>227</v>
      </c>
      <c r="E5030" s="545">
        <v>194.33333333333331</v>
      </c>
      <c r="F5030" s="545">
        <v>418.52380952380958</v>
      </c>
      <c r="G5030" s="545">
        <v>283.60000000000002</v>
      </c>
      <c r="H5030" s="545">
        <v>177.66666666666666</v>
      </c>
      <c r="I5030" s="545">
        <v>137</v>
      </c>
      <c r="J5030" s="545">
        <v>247.52380952380955</v>
      </c>
    </row>
    <row r="5031" spans="1:10">
      <c r="A5031" s="441">
        <v>563</v>
      </c>
      <c r="B5031" s="441" t="s">
        <v>4544</v>
      </c>
      <c r="C5031" s="545">
        <v>197.33333333333334</v>
      </c>
      <c r="D5031" s="545">
        <v>79.333333333333329</v>
      </c>
      <c r="E5031" s="545">
        <v>60</v>
      </c>
      <c r="F5031" s="545">
        <v>160.85714285714286</v>
      </c>
      <c r="G5031" s="545">
        <v>103.65</v>
      </c>
      <c r="H5031" s="545">
        <v>62</v>
      </c>
      <c r="I5031" s="545">
        <v>46</v>
      </c>
      <c r="J5031" s="545">
        <v>89.464285714285708</v>
      </c>
    </row>
    <row r="5032" spans="1:10">
      <c r="A5032" s="441">
        <v>567</v>
      </c>
      <c r="B5032" s="441" t="s">
        <v>4545</v>
      </c>
      <c r="C5032" s="545">
        <v>183.66666666666669</v>
      </c>
      <c r="D5032" s="545">
        <v>79</v>
      </c>
      <c r="E5032" s="545">
        <v>63.333333333333329</v>
      </c>
      <c r="F5032" s="545">
        <v>151.52380952380955</v>
      </c>
      <c r="G5032" s="545">
        <v>82.4</v>
      </c>
      <c r="H5032" s="545">
        <v>36.333333333333336</v>
      </c>
      <c r="I5032" s="545">
        <v>32.666666666666664</v>
      </c>
      <c r="J5032" s="545">
        <v>68.714285714285708</v>
      </c>
    </row>
    <row r="5033" spans="1:10">
      <c r="A5033" s="441">
        <v>10471</v>
      </c>
      <c r="B5033" s="441" t="s">
        <v>4546</v>
      </c>
      <c r="C5033" s="545">
        <v>178</v>
      </c>
      <c r="D5033" s="545">
        <v>26.333333333333332</v>
      </c>
      <c r="E5033" s="545">
        <v>36.666666666666664</v>
      </c>
      <c r="F5033" s="545">
        <v>136.14285714285714</v>
      </c>
      <c r="G5033" s="545">
        <v>97.7</v>
      </c>
      <c r="H5033" s="545">
        <v>12.333333333333334</v>
      </c>
      <c r="I5033" s="545">
        <v>12.333333333333334</v>
      </c>
      <c r="J5033" s="545">
        <v>73.30952380952381</v>
      </c>
    </row>
    <row r="5034" spans="1:10">
      <c r="A5034" s="441">
        <v>13085</v>
      </c>
      <c r="B5034" s="441" t="s">
        <v>4547</v>
      </c>
      <c r="C5034" s="545">
        <v>1</v>
      </c>
      <c r="D5034" s="545">
        <v>0.33333333333333331</v>
      </c>
      <c r="E5034" s="545">
        <v>0</v>
      </c>
      <c r="F5034" s="545">
        <v>0.76190476190476186</v>
      </c>
      <c r="G5034" s="545">
        <v>1.1000000000000001</v>
      </c>
      <c r="H5034" s="545">
        <v>1.3333333333333333</v>
      </c>
      <c r="I5034" s="545">
        <v>0</v>
      </c>
      <c r="J5034" s="545">
        <v>0.97619047619047616</v>
      </c>
    </row>
    <row r="5035" spans="1:10">
      <c r="A5035" s="441">
        <v>11976</v>
      </c>
      <c r="B5035" s="441" t="s">
        <v>4548</v>
      </c>
      <c r="C5035" s="545">
        <v>20.166666666666664</v>
      </c>
      <c r="D5035" s="545">
        <v>6.6666666666666661</v>
      </c>
      <c r="E5035" s="545">
        <v>1.3333333333333333</v>
      </c>
      <c r="F5035" s="545">
        <v>15.547619047619046</v>
      </c>
      <c r="G5035" s="545">
        <v>3.75</v>
      </c>
      <c r="H5035" s="545">
        <v>3.6666666666666665</v>
      </c>
      <c r="I5035" s="545">
        <v>1.3333333333333333</v>
      </c>
      <c r="J5035" s="545">
        <v>3.3928571428571428</v>
      </c>
    </row>
    <row r="5036" spans="1:10">
      <c r="A5036" s="441">
        <v>13080</v>
      </c>
      <c r="B5036" s="441" t="s">
        <v>4549</v>
      </c>
      <c r="C5036" s="545">
        <v>157</v>
      </c>
      <c r="D5036" s="545">
        <v>87.333333333333343</v>
      </c>
      <c r="E5036" s="545">
        <v>93.333333333333329</v>
      </c>
      <c r="F5036" s="545">
        <v>137.95238095238096</v>
      </c>
      <c r="G5036" s="545">
        <v>129.6</v>
      </c>
      <c r="H5036" s="545">
        <v>100.33333333333333</v>
      </c>
      <c r="I5036" s="545">
        <v>90.333333333333329</v>
      </c>
      <c r="J5036" s="545">
        <v>119.80952380952382</v>
      </c>
    </row>
    <row r="5037" spans="1:10">
      <c r="A5037" s="441">
        <v>8137</v>
      </c>
      <c r="B5037" s="441" t="s">
        <v>4550</v>
      </c>
      <c r="C5037" s="545">
        <v>32.833333333333336</v>
      </c>
      <c r="D5037" s="545">
        <v>27</v>
      </c>
      <c r="E5037" s="545">
        <v>19</v>
      </c>
      <c r="F5037" s="545">
        <v>30.023809523809526</v>
      </c>
      <c r="G5037" s="545">
        <v>37.25</v>
      </c>
      <c r="H5037" s="545">
        <v>22</v>
      </c>
      <c r="I5037" s="545">
        <v>25.333333333333332</v>
      </c>
      <c r="J5037" s="545">
        <v>33.36904761904762</v>
      </c>
    </row>
    <row r="5038" spans="1:10">
      <c r="A5038" s="441">
        <v>12153</v>
      </c>
      <c r="B5038" s="441" t="s">
        <v>4551</v>
      </c>
      <c r="C5038" s="545">
        <v>17.5</v>
      </c>
      <c r="D5038" s="545">
        <v>6</v>
      </c>
      <c r="E5038" s="545">
        <v>2</v>
      </c>
      <c r="F5038" s="545">
        <v>13.642857142857142</v>
      </c>
      <c r="G5038" s="545">
        <v>12.2</v>
      </c>
      <c r="H5038" s="545">
        <v>3.6666666666666665</v>
      </c>
      <c r="I5038" s="545">
        <v>4.666666666666667</v>
      </c>
      <c r="J5038" s="545">
        <v>9.9047619047619069</v>
      </c>
    </row>
    <row r="5039" spans="1:10">
      <c r="A5039" s="441">
        <v>12410</v>
      </c>
      <c r="B5039" s="441" t="s">
        <v>4552</v>
      </c>
      <c r="C5039" s="545">
        <v>87.833333333333343</v>
      </c>
      <c r="D5039" s="545">
        <v>140</v>
      </c>
      <c r="E5039" s="545">
        <v>151.66666666666666</v>
      </c>
      <c r="F5039" s="545">
        <v>104.40476190476191</v>
      </c>
      <c r="G5039" s="545">
        <v>105.25</v>
      </c>
      <c r="H5039" s="545">
        <v>58</v>
      </c>
      <c r="I5039" s="545">
        <v>62</v>
      </c>
      <c r="J5039" s="545">
        <v>92.321428571428569</v>
      </c>
    </row>
    <row r="5040" spans="1:10">
      <c r="A5040" s="441">
        <v>12409</v>
      </c>
      <c r="B5040" s="441" t="s">
        <v>4553</v>
      </c>
      <c r="C5040" s="545">
        <v>21</v>
      </c>
      <c r="D5040" s="545">
        <v>15.666666666666666</v>
      </c>
      <c r="E5040" s="545">
        <v>16</v>
      </c>
      <c r="F5040" s="545">
        <v>19.523809523809526</v>
      </c>
      <c r="G5040" s="545">
        <v>21.65</v>
      </c>
      <c r="H5040" s="545">
        <v>11.666666666666666</v>
      </c>
      <c r="I5040" s="545">
        <v>8.6666666666666661</v>
      </c>
      <c r="J5040" s="545">
        <v>18.36904761904762</v>
      </c>
    </row>
    <row r="5041" spans="1:10">
      <c r="A5041" s="441">
        <v>8992</v>
      </c>
      <c r="B5041" s="441" t="s">
        <v>4554</v>
      </c>
      <c r="C5041" s="545">
        <v>2.333333333333333</v>
      </c>
      <c r="D5041" s="545">
        <v>1</v>
      </c>
      <c r="E5041" s="545">
        <v>2.3333333333333335</v>
      </c>
      <c r="F5041" s="545">
        <v>2.1428571428571428</v>
      </c>
      <c r="G5041" s="545">
        <v>0.35</v>
      </c>
      <c r="H5041" s="545">
        <v>0</v>
      </c>
      <c r="I5041" s="545">
        <v>1</v>
      </c>
      <c r="J5041" s="545">
        <v>0.39285714285714285</v>
      </c>
    </row>
    <row r="5042" spans="1:10">
      <c r="A5042" s="441">
        <v>7646</v>
      </c>
      <c r="B5042" s="441" t="s">
        <v>4555</v>
      </c>
      <c r="C5042" s="545">
        <v>0.5</v>
      </c>
      <c r="D5042" s="545">
        <v>0</v>
      </c>
      <c r="E5042" s="545">
        <v>0.33333333333333331</v>
      </c>
      <c r="F5042" s="545">
        <v>0.40476190476190477</v>
      </c>
      <c r="G5042" s="545">
        <v>0.35</v>
      </c>
      <c r="H5042" s="545">
        <v>0.33333333333333331</v>
      </c>
      <c r="I5042" s="545">
        <v>0</v>
      </c>
      <c r="J5042" s="545">
        <v>0.29761904761904762</v>
      </c>
    </row>
    <row r="5043" spans="1:10">
      <c r="A5043" s="441">
        <v>8389</v>
      </c>
      <c r="B5043" s="441" t="s">
        <v>4555</v>
      </c>
      <c r="C5043" s="545">
        <v>1.1666666666666665</v>
      </c>
      <c r="D5043" s="545">
        <v>0.33333333333333331</v>
      </c>
      <c r="E5043" s="545">
        <v>0.33333333333333331</v>
      </c>
      <c r="F5043" s="545">
        <v>0.92857142857142827</v>
      </c>
      <c r="G5043" s="545">
        <v>0.25</v>
      </c>
      <c r="H5043" s="545">
        <v>4</v>
      </c>
      <c r="I5043" s="545">
        <v>0</v>
      </c>
      <c r="J5043" s="545">
        <v>0.75</v>
      </c>
    </row>
    <row r="5044" spans="1:10">
      <c r="A5044" s="441">
        <v>6568</v>
      </c>
      <c r="B5044" s="441" t="s">
        <v>4556</v>
      </c>
      <c r="C5044" s="545">
        <v>18.333333333333332</v>
      </c>
      <c r="D5044" s="545">
        <v>7.666666666666667</v>
      </c>
      <c r="E5044" s="545">
        <v>4.6666666666666661</v>
      </c>
      <c r="F5044" s="545">
        <v>14.857142857142858</v>
      </c>
      <c r="G5044" s="545">
        <v>10.9</v>
      </c>
      <c r="H5044" s="545">
        <v>5.333333333333333</v>
      </c>
      <c r="I5044" s="545">
        <v>5.333333333333333</v>
      </c>
      <c r="J5044" s="545">
        <v>9.3095238095238102</v>
      </c>
    </row>
    <row r="5045" spans="1:10">
      <c r="A5045" s="441">
        <v>6580</v>
      </c>
      <c r="B5045" s="441" t="s">
        <v>4556</v>
      </c>
      <c r="C5045" s="545">
        <v>21.166666666666668</v>
      </c>
      <c r="D5045" s="545">
        <v>14</v>
      </c>
      <c r="E5045" s="545">
        <v>22</v>
      </c>
      <c r="F5045" s="545">
        <v>20.261904761904763</v>
      </c>
      <c r="G5045" s="545">
        <v>11.6</v>
      </c>
      <c r="H5045" s="545">
        <v>9</v>
      </c>
      <c r="I5045" s="545">
        <v>9</v>
      </c>
      <c r="J5045" s="545">
        <v>10.857142857142858</v>
      </c>
    </row>
    <row r="5046" spans="1:10">
      <c r="A5046" s="441">
        <v>8065</v>
      </c>
      <c r="B5046" s="441" t="s">
        <v>4557</v>
      </c>
      <c r="C5046" s="545">
        <v>0.83333333333333326</v>
      </c>
      <c r="D5046" s="545">
        <v>0.33333333333333331</v>
      </c>
      <c r="E5046" s="545">
        <v>1.6666666666666665</v>
      </c>
      <c r="F5046" s="545">
        <v>0.88095238095238082</v>
      </c>
      <c r="G5046" s="545">
        <v>0.7</v>
      </c>
      <c r="H5046" s="545">
        <v>0</v>
      </c>
      <c r="I5046" s="545">
        <v>0</v>
      </c>
      <c r="J5046" s="545">
        <v>0.5</v>
      </c>
    </row>
    <row r="5047" spans="1:10">
      <c r="A5047" s="441">
        <v>8050</v>
      </c>
      <c r="B5047" s="441" t="s">
        <v>4558</v>
      </c>
      <c r="C5047" s="545">
        <v>19.166666666666668</v>
      </c>
      <c r="D5047" s="545">
        <v>12</v>
      </c>
      <c r="E5047" s="545">
        <v>6.6666666666666661</v>
      </c>
      <c r="F5047" s="545">
        <v>16.357142857142858</v>
      </c>
      <c r="G5047" s="545">
        <v>8.0500000000000007</v>
      </c>
      <c r="H5047" s="545">
        <v>3.6666666666666665</v>
      </c>
      <c r="I5047" s="545">
        <v>2.6666666666666665</v>
      </c>
      <c r="J5047" s="545">
        <v>6.6547619047619042</v>
      </c>
    </row>
    <row r="5048" spans="1:10">
      <c r="A5048" s="441">
        <v>3020</v>
      </c>
      <c r="B5048" s="441" t="s">
        <v>4559</v>
      </c>
      <c r="C5048" s="545">
        <v>15.333333333333334</v>
      </c>
      <c r="D5048" s="545">
        <v>3</v>
      </c>
      <c r="E5048" s="545">
        <v>3.333333333333333</v>
      </c>
      <c r="F5048" s="545">
        <v>11.857142857142858</v>
      </c>
      <c r="G5048" s="545">
        <v>9.4499999999999993</v>
      </c>
      <c r="H5048" s="545">
        <v>8.6666666666666661</v>
      </c>
      <c r="I5048" s="545">
        <v>13.333333333333334</v>
      </c>
      <c r="J5048" s="545">
        <v>9.8928571428571423</v>
      </c>
    </row>
    <row r="5049" spans="1:10">
      <c r="A5049" s="441">
        <v>12864</v>
      </c>
      <c r="B5049" s="441" t="s">
        <v>4560</v>
      </c>
      <c r="C5049" s="545">
        <v>4</v>
      </c>
      <c r="D5049" s="545">
        <v>5.333333333333333</v>
      </c>
      <c r="E5049" s="545">
        <v>3.6666666666666665</v>
      </c>
      <c r="F5049" s="545">
        <v>4.1428571428571432</v>
      </c>
      <c r="G5049" s="545">
        <v>2.2999999999999998</v>
      </c>
      <c r="H5049" s="545">
        <v>2.6666666666666665</v>
      </c>
      <c r="I5049" s="545">
        <v>1</v>
      </c>
      <c r="J5049" s="545">
        <v>2.1666666666666665</v>
      </c>
    </row>
    <row r="5050" spans="1:10">
      <c r="A5050" s="441">
        <v>7595</v>
      </c>
      <c r="B5050" s="441" t="s">
        <v>4561</v>
      </c>
      <c r="C5050" s="545">
        <v>0.66666666666666663</v>
      </c>
      <c r="D5050" s="545">
        <v>0.66666666666666663</v>
      </c>
      <c r="E5050" s="545">
        <v>0.66666666666666663</v>
      </c>
      <c r="F5050" s="545">
        <v>0.66666666666666663</v>
      </c>
      <c r="G5050" s="545">
        <v>1.95</v>
      </c>
      <c r="H5050" s="545">
        <v>1</v>
      </c>
      <c r="I5050" s="545">
        <v>2</v>
      </c>
      <c r="J5050" s="545">
        <v>1.8214285714285714</v>
      </c>
    </row>
    <row r="5051" spans="1:10">
      <c r="A5051" s="441">
        <v>7587</v>
      </c>
      <c r="B5051" s="441" t="s">
        <v>4562</v>
      </c>
      <c r="C5051" s="545">
        <v>1.8333333333333335</v>
      </c>
      <c r="D5051" s="545">
        <v>0</v>
      </c>
      <c r="E5051" s="545">
        <v>0.66666666666666663</v>
      </c>
      <c r="F5051" s="545">
        <v>1.4047619047619049</v>
      </c>
      <c r="G5051" s="545">
        <v>0.65</v>
      </c>
      <c r="H5051" s="545">
        <v>0</v>
      </c>
      <c r="I5051" s="545">
        <v>1</v>
      </c>
      <c r="J5051" s="545">
        <v>0.6071428571428571</v>
      </c>
    </row>
    <row r="5052" spans="1:10">
      <c r="A5052" s="441">
        <v>7619</v>
      </c>
      <c r="B5052" s="441" t="s">
        <v>4562</v>
      </c>
      <c r="C5052" s="545">
        <v>2.8333333333333335</v>
      </c>
      <c r="D5052" s="545">
        <v>0.66666666666666663</v>
      </c>
      <c r="E5052" s="545">
        <v>2.333333333333333</v>
      </c>
      <c r="F5052" s="545">
        <v>2.4523809523809526</v>
      </c>
      <c r="G5052" s="545">
        <v>0.8</v>
      </c>
      <c r="H5052" s="545">
        <v>0</v>
      </c>
      <c r="I5052" s="545">
        <v>0</v>
      </c>
      <c r="J5052" s="545">
        <v>0.5714285714285714</v>
      </c>
    </row>
    <row r="5053" spans="1:10">
      <c r="A5053" s="441">
        <v>7597</v>
      </c>
      <c r="B5053" s="441" t="s">
        <v>4563</v>
      </c>
      <c r="C5053" s="545">
        <v>11.833333333333334</v>
      </c>
      <c r="D5053" s="545">
        <v>3</v>
      </c>
      <c r="E5053" s="545">
        <v>2.3333333333333335</v>
      </c>
      <c r="F5053" s="545">
        <v>9.2142857142857135</v>
      </c>
      <c r="G5053" s="545">
        <v>6.9</v>
      </c>
      <c r="H5053" s="545">
        <v>4.333333333333333</v>
      </c>
      <c r="I5053" s="545">
        <v>2.3333333333333335</v>
      </c>
      <c r="J5053" s="545">
        <v>5.8809523809523814</v>
      </c>
    </row>
    <row r="5054" spans="1:10">
      <c r="A5054" s="441">
        <v>7611</v>
      </c>
      <c r="B5054" s="441" t="s">
        <v>4563</v>
      </c>
      <c r="C5054" s="545">
        <v>7.5</v>
      </c>
      <c r="D5054" s="545">
        <v>4</v>
      </c>
      <c r="E5054" s="545">
        <v>3</v>
      </c>
      <c r="F5054" s="545">
        <v>6.3571428571428568</v>
      </c>
      <c r="G5054" s="545">
        <v>6.25</v>
      </c>
      <c r="H5054" s="545">
        <v>2.6666666666666665</v>
      </c>
      <c r="I5054" s="545">
        <v>4</v>
      </c>
      <c r="J5054" s="545">
        <v>5.4166666666666661</v>
      </c>
    </row>
    <row r="5055" spans="1:10">
      <c r="A5055" s="441">
        <v>6569</v>
      </c>
      <c r="B5055" s="441" t="s">
        <v>4564</v>
      </c>
      <c r="C5055" s="545">
        <v>20.333333333333336</v>
      </c>
      <c r="D5055" s="545">
        <v>12.666666666666668</v>
      </c>
      <c r="E5055" s="545">
        <v>10.666666666666666</v>
      </c>
      <c r="F5055" s="545">
        <v>17.857142857142861</v>
      </c>
      <c r="G5055" s="545">
        <v>10.3</v>
      </c>
      <c r="H5055" s="545">
        <v>9.3333333333333339</v>
      </c>
      <c r="I5055" s="545">
        <v>9.3333333333333339</v>
      </c>
      <c r="J5055" s="545">
        <v>10.023809523809524</v>
      </c>
    </row>
    <row r="5056" spans="1:10">
      <c r="A5056" s="441">
        <v>7581</v>
      </c>
      <c r="B5056" s="441" t="s">
        <v>4565</v>
      </c>
      <c r="C5056" s="545">
        <v>3.166666666666667</v>
      </c>
      <c r="D5056" s="545">
        <v>0.66666666666666663</v>
      </c>
      <c r="E5056" s="545">
        <v>0.66666666666666663</v>
      </c>
      <c r="F5056" s="545">
        <v>2.452380952380953</v>
      </c>
      <c r="G5056" s="545">
        <v>1.75</v>
      </c>
      <c r="H5056" s="545">
        <v>0.33333333333333331</v>
      </c>
      <c r="I5056" s="545">
        <v>0.33333333333333331</v>
      </c>
      <c r="J5056" s="545">
        <v>1.3452380952380953</v>
      </c>
    </row>
    <row r="5057" spans="1:10">
      <c r="A5057" s="441">
        <v>7601</v>
      </c>
      <c r="B5057" s="441" t="s">
        <v>4566</v>
      </c>
      <c r="C5057" s="545">
        <v>9.6666666666666661</v>
      </c>
      <c r="D5057" s="545">
        <v>1.3333333333333333</v>
      </c>
      <c r="E5057" s="545">
        <v>2.666666666666667</v>
      </c>
      <c r="F5057" s="545">
        <v>7.4761904761904754</v>
      </c>
      <c r="G5057" s="545">
        <v>0.6</v>
      </c>
      <c r="H5057" s="545">
        <v>0</v>
      </c>
      <c r="I5057" s="545">
        <v>0.33333333333333331</v>
      </c>
      <c r="J5057" s="545">
        <v>0.47619047619047622</v>
      </c>
    </row>
    <row r="5058" spans="1:10">
      <c r="A5058" s="441">
        <v>7607</v>
      </c>
      <c r="B5058" s="441" t="s">
        <v>4566</v>
      </c>
      <c r="C5058" s="545">
        <v>9.5</v>
      </c>
      <c r="D5058" s="545">
        <v>3.666666666666667</v>
      </c>
      <c r="E5058" s="545">
        <v>2.6666666666666665</v>
      </c>
      <c r="F5058" s="545">
        <v>7.6904761904761898</v>
      </c>
      <c r="G5058" s="545">
        <v>3.2</v>
      </c>
      <c r="H5058" s="545">
        <v>1.3333333333333333</v>
      </c>
      <c r="I5058" s="545">
        <v>0.66666666666666663</v>
      </c>
      <c r="J5058" s="545">
        <v>2.5714285714285716</v>
      </c>
    </row>
    <row r="5059" spans="1:10">
      <c r="A5059" s="441">
        <v>9994</v>
      </c>
      <c r="B5059" s="441" t="s">
        <v>4567</v>
      </c>
      <c r="C5059" s="545">
        <v>0.66666666666666663</v>
      </c>
      <c r="D5059" s="545">
        <v>4</v>
      </c>
      <c r="E5059" s="545">
        <v>0</v>
      </c>
      <c r="F5059" s="545">
        <v>1.0476190476190477</v>
      </c>
      <c r="G5059" s="545">
        <v>0.4</v>
      </c>
      <c r="H5059" s="545">
        <v>0</v>
      </c>
      <c r="I5059" s="545">
        <v>0</v>
      </c>
      <c r="J5059" s="545">
        <v>0.2857142857142857</v>
      </c>
    </row>
    <row r="5060" spans="1:10">
      <c r="A5060" s="441">
        <v>7582</v>
      </c>
      <c r="B5060" s="441" t="s">
        <v>4568</v>
      </c>
      <c r="C5060" s="545">
        <v>2.1666666666666665</v>
      </c>
      <c r="D5060" s="545">
        <v>0.66666666666666663</v>
      </c>
      <c r="E5060" s="545">
        <v>0</v>
      </c>
      <c r="F5060" s="545">
        <v>1.6428571428571426</v>
      </c>
      <c r="G5060" s="545">
        <v>0.25</v>
      </c>
      <c r="H5060" s="545">
        <v>0</v>
      </c>
      <c r="I5060" s="545">
        <v>0.33333333333333331</v>
      </c>
      <c r="J5060" s="545">
        <v>0.22619047619047619</v>
      </c>
    </row>
    <row r="5061" spans="1:10">
      <c r="A5061" s="441">
        <v>7624</v>
      </c>
      <c r="B5061" s="441" t="s">
        <v>4568</v>
      </c>
      <c r="C5061" s="545">
        <v>3.5</v>
      </c>
      <c r="D5061" s="545">
        <v>3</v>
      </c>
      <c r="E5061" s="545">
        <v>0</v>
      </c>
      <c r="F5061" s="545">
        <v>2.9285714285714284</v>
      </c>
      <c r="G5061" s="545">
        <v>0.95</v>
      </c>
      <c r="H5061" s="545">
        <v>0</v>
      </c>
      <c r="I5061" s="545">
        <v>0</v>
      </c>
      <c r="J5061" s="545">
        <v>0.6785714285714286</v>
      </c>
    </row>
    <row r="5062" spans="1:10">
      <c r="A5062" s="441">
        <v>8043</v>
      </c>
      <c r="B5062" s="441" t="s">
        <v>4569</v>
      </c>
      <c r="C5062" s="545">
        <v>19.333333333333332</v>
      </c>
      <c r="D5062" s="545">
        <v>1</v>
      </c>
      <c r="E5062" s="545">
        <v>1.3333333333333333</v>
      </c>
      <c r="F5062" s="545">
        <v>14.142857142857141</v>
      </c>
      <c r="G5062" s="545">
        <v>5.6</v>
      </c>
      <c r="H5062" s="545">
        <v>2.6666666666666665</v>
      </c>
      <c r="I5062" s="545">
        <v>3.6666666666666665</v>
      </c>
      <c r="J5062" s="545">
        <v>4.9047619047619051</v>
      </c>
    </row>
    <row r="5063" spans="1:10">
      <c r="A5063" s="441">
        <v>8949</v>
      </c>
      <c r="B5063" s="441" t="s">
        <v>4569</v>
      </c>
      <c r="C5063" s="545">
        <v>2.833333333333333</v>
      </c>
      <c r="D5063" s="545">
        <v>2.3333333333333335</v>
      </c>
      <c r="E5063" s="545">
        <v>0</v>
      </c>
      <c r="F5063" s="545">
        <v>2.3571428571428568</v>
      </c>
      <c r="G5063" s="545">
        <v>2.6</v>
      </c>
      <c r="H5063" s="545">
        <v>0.33333333333333331</v>
      </c>
      <c r="I5063" s="545">
        <v>0</v>
      </c>
      <c r="J5063" s="545">
        <v>1.9047619047619049</v>
      </c>
    </row>
    <row r="5064" spans="1:10">
      <c r="A5064" s="441">
        <v>8950</v>
      </c>
      <c r="B5064" s="441" t="s">
        <v>4569</v>
      </c>
      <c r="C5064" s="545">
        <v>18</v>
      </c>
      <c r="D5064" s="545">
        <v>2</v>
      </c>
      <c r="E5064" s="545">
        <v>1.3333333333333333</v>
      </c>
      <c r="F5064" s="545">
        <v>13.333333333333332</v>
      </c>
      <c r="G5064" s="545">
        <v>4.05</v>
      </c>
      <c r="H5064" s="545">
        <v>2.3333333333333335</v>
      </c>
      <c r="I5064" s="545">
        <v>3.3333333333333335</v>
      </c>
      <c r="J5064" s="545">
        <v>3.7023809523809521</v>
      </c>
    </row>
    <row r="5065" spans="1:10">
      <c r="A5065" s="441">
        <v>7606</v>
      </c>
      <c r="B5065" s="441" t="s">
        <v>4570</v>
      </c>
      <c r="C5065" s="545">
        <v>3.1666666666666665</v>
      </c>
      <c r="D5065" s="545">
        <v>2</v>
      </c>
      <c r="E5065" s="545">
        <v>0.66666666666666663</v>
      </c>
      <c r="F5065" s="545">
        <v>2.6428571428571428</v>
      </c>
      <c r="G5065" s="545">
        <v>0.8</v>
      </c>
      <c r="H5065" s="545">
        <v>2.6666666666666665</v>
      </c>
      <c r="I5065" s="545">
        <v>0.33333333333333331</v>
      </c>
      <c r="J5065" s="545">
        <v>0.99999999999999989</v>
      </c>
    </row>
    <row r="5066" spans="1:10">
      <c r="A5066" s="441">
        <v>7633</v>
      </c>
      <c r="B5066" s="441" t="s">
        <v>4571</v>
      </c>
      <c r="C5066" s="545">
        <v>0.83333333333333326</v>
      </c>
      <c r="D5066" s="545">
        <v>0</v>
      </c>
      <c r="E5066" s="545">
        <v>0</v>
      </c>
      <c r="F5066" s="545">
        <v>0.59523809523809512</v>
      </c>
      <c r="G5066" s="545">
        <v>0</v>
      </c>
      <c r="H5066" s="545">
        <v>0</v>
      </c>
      <c r="I5066" s="545">
        <v>0</v>
      </c>
      <c r="J5066" s="545">
        <v>0</v>
      </c>
    </row>
    <row r="5067" spans="1:10">
      <c r="A5067" s="441">
        <v>11396</v>
      </c>
      <c r="B5067" s="441" t="s">
        <v>4571</v>
      </c>
      <c r="C5067" s="545">
        <v>1.8333333333333333</v>
      </c>
      <c r="D5067" s="545">
        <v>0</v>
      </c>
      <c r="E5067" s="545">
        <v>0</v>
      </c>
      <c r="F5067" s="545">
        <v>1.3095238095238095</v>
      </c>
      <c r="G5067" s="545">
        <v>1.95</v>
      </c>
      <c r="H5067" s="545">
        <v>0.33333333333333331</v>
      </c>
      <c r="I5067" s="545">
        <v>0</v>
      </c>
      <c r="J5067" s="545">
        <v>1.4404761904761905</v>
      </c>
    </row>
    <row r="5068" spans="1:10">
      <c r="A5068" s="441">
        <v>7649</v>
      </c>
      <c r="B5068" s="441" t="s">
        <v>4572</v>
      </c>
      <c r="C5068" s="545">
        <v>0.33333333333333331</v>
      </c>
      <c r="D5068" s="545">
        <v>0</v>
      </c>
      <c r="E5068" s="545">
        <v>0</v>
      </c>
      <c r="F5068" s="545">
        <v>0.23809523809523808</v>
      </c>
      <c r="G5068" s="545">
        <v>0</v>
      </c>
      <c r="H5068" s="545">
        <v>0</v>
      </c>
      <c r="I5068" s="545">
        <v>0</v>
      </c>
      <c r="J5068" s="545">
        <v>0</v>
      </c>
    </row>
    <row r="5069" spans="1:10">
      <c r="A5069" s="441">
        <v>8386</v>
      </c>
      <c r="B5069" s="441" t="s">
        <v>4572</v>
      </c>
      <c r="C5069" s="545">
        <v>0.66666666666666663</v>
      </c>
      <c r="D5069" s="545">
        <v>0</v>
      </c>
      <c r="E5069" s="545">
        <v>0</v>
      </c>
      <c r="F5069" s="545">
        <v>0.47619047619047616</v>
      </c>
      <c r="G5069" s="545">
        <v>0.05</v>
      </c>
      <c r="H5069" s="545">
        <v>0</v>
      </c>
      <c r="I5069" s="545">
        <v>0</v>
      </c>
      <c r="J5069" s="545">
        <v>3.5714285714285712E-2</v>
      </c>
    </row>
    <row r="5070" spans="1:10">
      <c r="A5070" s="441">
        <v>7652</v>
      </c>
      <c r="B5070" s="441" t="s">
        <v>4573</v>
      </c>
      <c r="C5070" s="545">
        <v>0.66666666666666663</v>
      </c>
      <c r="D5070" s="545">
        <v>0</v>
      </c>
      <c r="E5070" s="545">
        <v>0</v>
      </c>
      <c r="F5070" s="545">
        <v>0.47619047619047616</v>
      </c>
      <c r="G5070" s="545">
        <v>0.2</v>
      </c>
      <c r="H5070" s="545">
        <v>0.33333333333333331</v>
      </c>
      <c r="I5070" s="545">
        <v>0</v>
      </c>
      <c r="J5070" s="545">
        <v>0.19047619047619047</v>
      </c>
    </row>
    <row r="5071" spans="1:10">
      <c r="A5071" s="441">
        <v>8383</v>
      </c>
      <c r="B5071" s="441" t="s">
        <v>4573</v>
      </c>
      <c r="C5071" s="545">
        <v>2</v>
      </c>
      <c r="D5071" s="545">
        <v>0</v>
      </c>
      <c r="E5071" s="545">
        <v>0</v>
      </c>
      <c r="F5071" s="545">
        <v>1.4285714285714286</v>
      </c>
      <c r="G5071" s="545">
        <v>0.45</v>
      </c>
      <c r="H5071" s="545">
        <v>0</v>
      </c>
      <c r="I5071" s="545">
        <v>0</v>
      </c>
      <c r="J5071" s="545">
        <v>0.32142857142857145</v>
      </c>
    </row>
    <row r="5072" spans="1:10">
      <c r="A5072" s="441">
        <v>7618</v>
      </c>
      <c r="B5072" s="441" t="s">
        <v>4574</v>
      </c>
      <c r="C5072" s="545">
        <v>2.5</v>
      </c>
      <c r="D5072" s="545">
        <v>1</v>
      </c>
      <c r="E5072" s="545">
        <v>0</v>
      </c>
      <c r="F5072" s="545">
        <v>1.9285714285714286</v>
      </c>
      <c r="G5072" s="545">
        <v>1.35</v>
      </c>
      <c r="H5072" s="545">
        <v>0</v>
      </c>
      <c r="I5072" s="545">
        <v>0</v>
      </c>
      <c r="J5072" s="545">
        <v>0.9642857142857143</v>
      </c>
    </row>
    <row r="5073" spans="1:10">
      <c r="A5073" s="441">
        <v>7616</v>
      </c>
      <c r="B5073" s="441" t="s">
        <v>4575</v>
      </c>
      <c r="C5073" s="545">
        <v>0.16666666666666666</v>
      </c>
      <c r="D5073" s="545">
        <v>0</v>
      </c>
      <c r="E5073" s="545">
        <v>0</v>
      </c>
      <c r="F5073" s="545">
        <v>0.11904761904761904</v>
      </c>
      <c r="G5073" s="545">
        <v>0.05</v>
      </c>
      <c r="H5073" s="545">
        <v>0</v>
      </c>
      <c r="I5073" s="545">
        <v>0</v>
      </c>
      <c r="J5073" s="545">
        <v>3.5714285714285712E-2</v>
      </c>
    </row>
    <row r="5074" spans="1:10">
      <c r="A5074" s="441">
        <v>7651</v>
      </c>
      <c r="B5074" s="441" t="s">
        <v>4576</v>
      </c>
      <c r="C5074" s="545">
        <v>0.83333333333333326</v>
      </c>
      <c r="D5074" s="545">
        <v>0</v>
      </c>
      <c r="E5074" s="545">
        <v>0</v>
      </c>
      <c r="F5074" s="545">
        <v>0.59523809523809512</v>
      </c>
      <c r="G5074" s="545">
        <v>0.3</v>
      </c>
      <c r="H5074" s="545">
        <v>0</v>
      </c>
      <c r="I5074" s="545">
        <v>0</v>
      </c>
      <c r="J5074" s="545">
        <v>0.21428571428571427</v>
      </c>
    </row>
    <row r="5075" spans="1:10">
      <c r="A5075" s="441">
        <v>8384</v>
      </c>
      <c r="B5075" s="441" t="s">
        <v>4576</v>
      </c>
      <c r="C5075" s="545">
        <v>1.3333333333333333</v>
      </c>
      <c r="D5075" s="545">
        <v>0</v>
      </c>
      <c r="E5075" s="545">
        <v>0</v>
      </c>
      <c r="F5075" s="545">
        <v>0.95238095238095233</v>
      </c>
      <c r="G5075" s="545">
        <v>0.45</v>
      </c>
      <c r="H5075" s="545">
        <v>0</v>
      </c>
      <c r="I5075" s="545">
        <v>0</v>
      </c>
      <c r="J5075" s="545">
        <v>0.32142857142857145</v>
      </c>
    </row>
    <row r="5076" spans="1:10">
      <c r="A5076" s="441">
        <v>7643</v>
      </c>
      <c r="B5076" s="441" t="s">
        <v>4577</v>
      </c>
      <c r="C5076" s="545">
        <v>4</v>
      </c>
      <c r="D5076" s="545">
        <v>0.33333333333333331</v>
      </c>
      <c r="E5076" s="545">
        <v>1</v>
      </c>
      <c r="F5076" s="545">
        <v>3.0476190476190474</v>
      </c>
      <c r="G5076" s="545">
        <v>2</v>
      </c>
      <c r="H5076" s="545">
        <v>1.6666666666666667</v>
      </c>
      <c r="I5076" s="545">
        <v>1</v>
      </c>
      <c r="J5076" s="545">
        <v>1.8095238095238095</v>
      </c>
    </row>
    <row r="5077" spans="1:10">
      <c r="A5077" s="441">
        <v>8392</v>
      </c>
      <c r="B5077" s="441" t="s">
        <v>4577</v>
      </c>
      <c r="C5077" s="545">
        <v>5</v>
      </c>
      <c r="D5077" s="545">
        <v>0.66666666666666663</v>
      </c>
      <c r="E5077" s="545">
        <v>0</v>
      </c>
      <c r="F5077" s="545">
        <v>3.666666666666667</v>
      </c>
      <c r="G5077" s="545">
        <v>1.1499999999999999</v>
      </c>
      <c r="H5077" s="545">
        <v>1.6666666666666667</v>
      </c>
      <c r="I5077" s="545">
        <v>0</v>
      </c>
      <c r="J5077" s="545">
        <v>1.0595238095238095</v>
      </c>
    </row>
    <row r="5078" spans="1:10">
      <c r="A5078" s="441">
        <v>7590</v>
      </c>
      <c r="B5078" s="441" t="s">
        <v>4578</v>
      </c>
      <c r="C5078" s="545">
        <v>0.33333333333333331</v>
      </c>
      <c r="D5078" s="545">
        <v>0</v>
      </c>
      <c r="E5078" s="545">
        <v>0.33333333333333331</v>
      </c>
      <c r="F5078" s="545">
        <v>0.2857142857142857</v>
      </c>
      <c r="G5078" s="545">
        <v>0.2</v>
      </c>
      <c r="H5078" s="545">
        <v>0</v>
      </c>
      <c r="I5078" s="545">
        <v>0</v>
      </c>
      <c r="J5078" s="545">
        <v>0.14285714285714285</v>
      </c>
    </row>
    <row r="5079" spans="1:10">
      <c r="A5079" s="441">
        <v>8052</v>
      </c>
      <c r="B5079" s="441" t="s">
        <v>4579</v>
      </c>
      <c r="C5079" s="545">
        <v>7.1666666666666661</v>
      </c>
      <c r="D5079" s="545">
        <v>1</v>
      </c>
      <c r="E5079" s="545">
        <v>2.6666666666666665</v>
      </c>
      <c r="F5079" s="545">
        <v>5.6428571428571415</v>
      </c>
      <c r="G5079" s="545">
        <v>3.1</v>
      </c>
      <c r="H5079" s="545">
        <v>1.3333333333333333</v>
      </c>
      <c r="I5079" s="545">
        <v>1</v>
      </c>
      <c r="J5079" s="545">
        <v>2.5476190476190474</v>
      </c>
    </row>
    <row r="5080" spans="1:10">
      <c r="A5080" s="441">
        <v>8237</v>
      </c>
      <c r="B5080" s="441" t="s">
        <v>4579</v>
      </c>
      <c r="C5080" s="545">
        <v>4.1666666666666661</v>
      </c>
      <c r="D5080" s="545">
        <v>1.3333333333333333</v>
      </c>
      <c r="E5080" s="545">
        <v>0.66666666666666663</v>
      </c>
      <c r="F5080" s="545">
        <v>3.2619047619047614</v>
      </c>
      <c r="G5080" s="545">
        <v>2.4500000000000002</v>
      </c>
      <c r="H5080" s="545">
        <v>2</v>
      </c>
      <c r="I5080" s="545">
        <v>1</v>
      </c>
      <c r="J5080" s="545">
        <v>2.1785714285714284</v>
      </c>
    </row>
    <row r="5081" spans="1:10">
      <c r="A5081" s="441">
        <v>10683</v>
      </c>
      <c r="B5081" s="441" t="s">
        <v>4580</v>
      </c>
      <c r="C5081" s="545">
        <v>0.16666666666666666</v>
      </c>
      <c r="D5081" s="545">
        <v>1.3333333333333333</v>
      </c>
      <c r="E5081" s="545">
        <v>0</v>
      </c>
      <c r="F5081" s="545">
        <v>0.30952380952380948</v>
      </c>
      <c r="G5081" s="545">
        <v>0.5</v>
      </c>
      <c r="H5081" s="545">
        <v>0</v>
      </c>
      <c r="I5081" s="545">
        <v>0</v>
      </c>
      <c r="J5081" s="545">
        <v>0.35714285714285715</v>
      </c>
    </row>
    <row r="5082" spans="1:10">
      <c r="A5082" s="441">
        <v>8395</v>
      </c>
      <c r="B5082" s="441" t="s">
        <v>4581</v>
      </c>
      <c r="C5082" s="545">
        <v>1.3333333333333333</v>
      </c>
      <c r="D5082" s="545">
        <v>0</v>
      </c>
      <c r="E5082" s="545">
        <v>0</v>
      </c>
      <c r="F5082" s="545">
        <v>0.95238095238095233</v>
      </c>
      <c r="G5082" s="545">
        <v>1.25</v>
      </c>
      <c r="H5082" s="545">
        <v>0.33333333333333331</v>
      </c>
      <c r="I5082" s="545">
        <v>0</v>
      </c>
      <c r="J5082" s="545">
        <v>0.94047619047619047</v>
      </c>
    </row>
    <row r="5083" spans="1:10">
      <c r="A5083" s="441">
        <v>6571</v>
      </c>
      <c r="B5083" s="441" t="s">
        <v>4582</v>
      </c>
      <c r="C5083" s="545">
        <v>1.5</v>
      </c>
      <c r="D5083" s="545">
        <v>1.3333333333333333</v>
      </c>
      <c r="E5083" s="545">
        <v>1</v>
      </c>
      <c r="F5083" s="545">
        <v>1.4047619047619049</v>
      </c>
      <c r="G5083" s="545">
        <v>1.05</v>
      </c>
      <c r="H5083" s="545">
        <v>1.3333333333333333</v>
      </c>
      <c r="I5083" s="545">
        <v>2.3333333333333335</v>
      </c>
      <c r="J5083" s="545">
        <v>1.2738095238095237</v>
      </c>
    </row>
    <row r="5084" spans="1:10">
      <c r="A5084" s="441">
        <v>6572</v>
      </c>
      <c r="B5084" s="441" t="s">
        <v>4582</v>
      </c>
      <c r="C5084" s="545">
        <v>1.5</v>
      </c>
      <c r="D5084" s="545">
        <v>1.3333333333333333</v>
      </c>
      <c r="E5084" s="545">
        <v>1.3333333333333333</v>
      </c>
      <c r="F5084" s="545">
        <v>1.4523809523809526</v>
      </c>
      <c r="G5084" s="545">
        <v>3.3</v>
      </c>
      <c r="H5084" s="545">
        <v>4.333333333333333</v>
      </c>
      <c r="I5084" s="545">
        <v>2.3333333333333335</v>
      </c>
      <c r="J5084" s="545">
        <v>3.3095238095238093</v>
      </c>
    </row>
    <row r="5085" spans="1:10">
      <c r="A5085" s="441">
        <v>6577</v>
      </c>
      <c r="B5085" s="441" t="s">
        <v>4582</v>
      </c>
      <c r="C5085" s="545">
        <v>2.1666666666666665</v>
      </c>
      <c r="D5085" s="545">
        <v>2</v>
      </c>
      <c r="E5085" s="545">
        <v>0.33333333333333331</v>
      </c>
      <c r="F5085" s="545">
        <v>1.8809523809523809</v>
      </c>
      <c r="G5085" s="545">
        <v>0.6</v>
      </c>
      <c r="H5085" s="545">
        <v>0.33333333333333331</v>
      </c>
      <c r="I5085" s="545">
        <v>1.3333333333333333</v>
      </c>
      <c r="J5085" s="545">
        <v>0.66666666666666674</v>
      </c>
    </row>
    <row r="5086" spans="1:10">
      <c r="A5086" s="441">
        <v>8066</v>
      </c>
      <c r="B5086" s="441" t="s">
        <v>4583</v>
      </c>
      <c r="C5086" s="545">
        <v>1.3333333333333333</v>
      </c>
      <c r="D5086" s="545">
        <v>0</v>
      </c>
      <c r="E5086" s="545">
        <v>0</v>
      </c>
      <c r="F5086" s="545">
        <v>0.95238095238095233</v>
      </c>
      <c r="G5086" s="545">
        <v>0.55000000000000004</v>
      </c>
      <c r="H5086" s="545">
        <v>0.66666666666666663</v>
      </c>
      <c r="I5086" s="545">
        <v>0.33333333333333331</v>
      </c>
      <c r="J5086" s="545">
        <v>0.5357142857142857</v>
      </c>
    </row>
    <row r="5087" spans="1:10">
      <c r="A5087" s="441">
        <v>12865</v>
      </c>
      <c r="B5087" s="441" t="s">
        <v>4583</v>
      </c>
      <c r="C5087" s="545">
        <v>1</v>
      </c>
      <c r="D5087" s="545">
        <v>0</v>
      </c>
      <c r="E5087" s="545">
        <v>0</v>
      </c>
      <c r="F5087" s="545">
        <v>0.7142857142857143</v>
      </c>
      <c r="G5087" s="545">
        <v>0.7</v>
      </c>
      <c r="H5087" s="545">
        <v>1</v>
      </c>
      <c r="I5087" s="545">
        <v>0</v>
      </c>
      <c r="J5087" s="545">
        <v>0.6428571428571429</v>
      </c>
    </row>
    <row r="5088" spans="1:10">
      <c r="A5088" s="441">
        <v>8055</v>
      </c>
      <c r="B5088" s="441" t="s">
        <v>4584</v>
      </c>
      <c r="C5088" s="545">
        <v>27.666666666666668</v>
      </c>
      <c r="D5088" s="545">
        <v>13.666666666666666</v>
      </c>
      <c r="E5088" s="545">
        <v>11.333333333333334</v>
      </c>
      <c r="F5088" s="545">
        <v>23.333333333333336</v>
      </c>
      <c r="G5088" s="545">
        <v>11.7</v>
      </c>
      <c r="H5088" s="545">
        <v>10.666666666666666</v>
      </c>
      <c r="I5088" s="545">
        <v>8.3333333333333339</v>
      </c>
      <c r="J5088" s="545">
        <v>11.071428571428571</v>
      </c>
    </row>
    <row r="5089" spans="1:10">
      <c r="A5089" s="441">
        <v>8940</v>
      </c>
      <c r="B5089" s="441" t="s">
        <v>4584</v>
      </c>
      <c r="C5089" s="545">
        <v>19.166666666666668</v>
      </c>
      <c r="D5089" s="545">
        <v>6.333333333333333</v>
      </c>
      <c r="E5089" s="545">
        <v>7.666666666666667</v>
      </c>
      <c r="F5089" s="545">
        <v>15.690476190476192</v>
      </c>
      <c r="G5089" s="545">
        <v>6.45</v>
      </c>
      <c r="H5089" s="545">
        <v>5</v>
      </c>
      <c r="I5089" s="545">
        <v>6.666666666666667</v>
      </c>
      <c r="J5089" s="545">
        <v>6.2738095238095237</v>
      </c>
    </row>
    <row r="5090" spans="1:10">
      <c r="A5090" s="441">
        <v>8056</v>
      </c>
      <c r="B5090" s="441" t="s">
        <v>4585</v>
      </c>
      <c r="C5090" s="545">
        <v>21</v>
      </c>
      <c r="D5090" s="545">
        <v>7.333333333333333</v>
      </c>
      <c r="E5090" s="545">
        <v>5.6666666666666661</v>
      </c>
      <c r="F5090" s="545">
        <v>16.857142857142858</v>
      </c>
      <c r="G5090" s="545">
        <v>9.4499999999999993</v>
      </c>
      <c r="H5090" s="545">
        <v>6.333333333333333</v>
      </c>
      <c r="I5090" s="545">
        <v>2.3333333333333335</v>
      </c>
      <c r="J5090" s="545">
        <v>7.988095238095239</v>
      </c>
    </row>
    <row r="5091" spans="1:10">
      <c r="A5091" s="441">
        <v>7586</v>
      </c>
      <c r="B5091" s="441" t="s">
        <v>4586</v>
      </c>
      <c r="C5091" s="545">
        <v>3.166666666666667</v>
      </c>
      <c r="D5091" s="545">
        <v>0</v>
      </c>
      <c r="E5091" s="545">
        <v>0.33333333333333331</v>
      </c>
      <c r="F5091" s="545">
        <v>2.3095238095238098</v>
      </c>
      <c r="G5091" s="545">
        <v>1.45</v>
      </c>
      <c r="H5091" s="545">
        <v>0.33333333333333331</v>
      </c>
      <c r="I5091" s="545">
        <v>0</v>
      </c>
      <c r="J5091" s="545">
        <v>1.0833333333333333</v>
      </c>
    </row>
    <row r="5092" spans="1:10">
      <c r="A5092" s="441">
        <v>7620</v>
      </c>
      <c r="B5092" s="441" t="s">
        <v>4586</v>
      </c>
      <c r="C5092" s="545">
        <v>0.16666666666666666</v>
      </c>
      <c r="D5092" s="545">
        <v>0</v>
      </c>
      <c r="E5092" s="545">
        <v>0</v>
      </c>
      <c r="F5092" s="545">
        <v>0.11904761904761904</v>
      </c>
      <c r="G5092" s="545">
        <v>0.3</v>
      </c>
      <c r="H5092" s="545">
        <v>0</v>
      </c>
      <c r="I5092" s="545">
        <v>0</v>
      </c>
      <c r="J5092" s="545">
        <v>0.21428571428571427</v>
      </c>
    </row>
    <row r="5093" spans="1:10">
      <c r="A5093" s="441">
        <v>8044</v>
      </c>
      <c r="B5093" s="441" t="s">
        <v>4587</v>
      </c>
      <c r="C5093" s="545">
        <v>12.5</v>
      </c>
      <c r="D5093" s="545">
        <v>4.3333333333333339</v>
      </c>
      <c r="E5093" s="545">
        <v>3.666666666666667</v>
      </c>
      <c r="F5093" s="545">
        <v>10.071428571428571</v>
      </c>
      <c r="G5093" s="545">
        <v>13.8</v>
      </c>
      <c r="H5093" s="545">
        <v>5.666666666666667</v>
      </c>
      <c r="I5093" s="545">
        <v>4</v>
      </c>
      <c r="J5093" s="545">
        <v>11.238095238095239</v>
      </c>
    </row>
    <row r="5094" spans="1:10">
      <c r="A5094" s="441">
        <v>8948</v>
      </c>
      <c r="B5094" s="441" t="s">
        <v>4587</v>
      </c>
      <c r="C5094" s="545">
        <v>12.833333333333332</v>
      </c>
      <c r="D5094" s="545">
        <v>4.333333333333333</v>
      </c>
      <c r="E5094" s="545">
        <v>2.6666666666666665</v>
      </c>
      <c r="F5094" s="545">
        <v>10.166666666666666</v>
      </c>
      <c r="G5094" s="545">
        <v>14.85</v>
      </c>
      <c r="H5094" s="545">
        <v>4.333333333333333</v>
      </c>
      <c r="I5094" s="545">
        <v>3</v>
      </c>
      <c r="J5094" s="545">
        <v>11.654761904761903</v>
      </c>
    </row>
    <row r="5095" spans="1:10">
      <c r="A5095" s="441">
        <v>8042</v>
      </c>
      <c r="B5095" s="441" t="s">
        <v>4588</v>
      </c>
      <c r="C5095" s="545">
        <v>8</v>
      </c>
      <c r="D5095" s="545">
        <v>2.3333333333333335</v>
      </c>
      <c r="E5095" s="545">
        <v>2.333333333333333</v>
      </c>
      <c r="F5095" s="545">
        <v>6.3809523809523814</v>
      </c>
      <c r="G5095" s="545">
        <v>5.25</v>
      </c>
      <c r="H5095" s="545">
        <v>2</v>
      </c>
      <c r="I5095" s="545">
        <v>3</v>
      </c>
      <c r="J5095" s="545">
        <v>4.4642857142857144</v>
      </c>
    </row>
    <row r="5096" spans="1:10">
      <c r="A5096" s="441">
        <v>8951</v>
      </c>
      <c r="B5096" s="441" t="s">
        <v>4588</v>
      </c>
      <c r="C5096" s="545">
        <v>9.8333333333333339</v>
      </c>
      <c r="D5096" s="545">
        <v>1</v>
      </c>
      <c r="E5096" s="545">
        <v>1</v>
      </c>
      <c r="F5096" s="545">
        <v>7.3095238095238102</v>
      </c>
      <c r="G5096" s="545">
        <v>2</v>
      </c>
      <c r="H5096" s="545">
        <v>0.66666666666666663</v>
      </c>
      <c r="I5096" s="545">
        <v>1.6666666666666667</v>
      </c>
      <c r="J5096" s="545">
        <v>1.7619047619047616</v>
      </c>
    </row>
    <row r="5097" spans="1:10">
      <c r="A5097" s="441">
        <v>12239</v>
      </c>
      <c r="B5097" s="441" t="s">
        <v>4589</v>
      </c>
      <c r="C5097" s="545">
        <v>0</v>
      </c>
      <c r="D5097" s="545">
        <v>0</v>
      </c>
      <c r="E5097" s="545">
        <v>0.33333333333333331</v>
      </c>
      <c r="F5097" s="545">
        <v>4.7619047619047616E-2</v>
      </c>
      <c r="G5097" s="545">
        <v>0.15</v>
      </c>
      <c r="H5097" s="545">
        <v>0</v>
      </c>
      <c r="I5097" s="545">
        <v>0.66666666666666663</v>
      </c>
      <c r="J5097" s="545">
        <v>0.20238095238095236</v>
      </c>
    </row>
    <row r="5098" spans="1:10">
      <c r="A5098" s="441">
        <v>7647</v>
      </c>
      <c r="B5098" s="441" t="s">
        <v>4590</v>
      </c>
      <c r="C5098" s="545">
        <v>2.666666666666667</v>
      </c>
      <c r="D5098" s="545">
        <v>0</v>
      </c>
      <c r="E5098" s="545">
        <v>0</v>
      </c>
      <c r="F5098" s="545">
        <v>1.9047619047619051</v>
      </c>
      <c r="G5098" s="545">
        <v>0.85</v>
      </c>
      <c r="H5098" s="545">
        <v>0</v>
      </c>
      <c r="I5098" s="545">
        <v>0.66666666666666663</v>
      </c>
      <c r="J5098" s="545">
        <v>0.70238095238095244</v>
      </c>
    </row>
    <row r="5099" spans="1:10">
      <c r="A5099" s="441">
        <v>8388</v>
      </c>
      <c r="B5099" s="441" t="s">
        <v>4590</v>
      </c>
      <c r="C5099" s="545">
        <v>0.66666666666666663</v>
      </c>
      <c r="D5099" s="545">
        <v>0</v>
      </c>
      <c r="E5099" s="545">
        <v>0</v>
      </c>
      <c r="F5099" s="545">
        <v>0.47619047619047616</v>
      </c>
      <c r="G5099" s="545">
        <v>0.45</v>
      </c>
      <c r="H5099" s="545">
        <v>1</v>
      </c>
      <c r="I5099" s="545">
        <v>0</v>
      </c>
      <c r="J5099" s="545">
        <v>0.4642857142857143</v>
      </c>
    </row>
    <row r="5100" spans="1:10">
      <c r="A5100" s="441">
        <v>90943</v>
      </c>
      <c r="B5100" s="441" t="s">
        <v>4591</v>
      </c>
      <c r="C5100" s="545">
        <v>2.666666666666667</v>
      </c>
      <c r="D5100" s="545">
        <v>2</v>
      </c>
      <c r="E5100" s="545">
        <v>0</v>
      </c>
      <c r="F5100" s="545">
        <v>2.1904761904761907</v>
      </c>
      <c r="G5100" s="545">
        <v>4.3</v>
      </c>
      <c r="H5100" s="545">
        <v>5</v>
      </c>
      <c r="I5100" s="545">
        <v>0.66666666666666663</v>
      </c>
      <c r="J5100" s="545">
        <v>3.8809523809523809</v>
      </c>
    </row>
    <row r="5101" spans="1:10">
      <c r="A5101" s="441">
        <v>101</v>
      </c>
      <c r="B5101" s="441" t="s">
        <v>4592</v>
      </c>
      <c r="C5101" s="545">
        <v>5</v>
      </c>
      <c r="D5101" s="545">
        <v>2.3333333333333335</v>
      </c>
      <c r="E5101" s="545">
        <v>0</v>
      </c>
      <c r="F5101" s="545">
        <v>3.9047619047619047</v>
      </c>
      <c r="G5101" s="545">
        <v>4.4000000000000004</v>
      </c>
      <c r="H5101" s="545">
        <v>5</v>
      </c>
      <c r="I5101" s="545">
        <v>0</v>
      </c>
      <c r="J5101" s="545">
        <v>3.8571428571428572</v>
      </c>
    </row>
    <row r="5102" spans="1:10">
      <c r="A5102" s="441">
        <v>10141</v>
      </c>
      <c r="B5102" s="441" t="s">
        <v>4592</v>
      </c>
      <c r="C5102" s="545">
        <v>5.5</v>
      </c>
      <c r="D5102" s="545">
        <v>1.6666666666666665</v>
      </c>
      <c r="E5102" s="545">
        <v>0</v>
      </c>
      <c r="F5102" s="545">
        <v>4.166666666666667</v>
      </c>
      <c r="G5102" s="545">
        <v>7.2</v>
      </c>
      <c r="H5102" s="545">
        <v>2</v>
      </c>
      <c r="I5102" s="545">
        <v>0</v>
      </c>
      <c r="J5102" s="545">
        <v>5.4285714285714288</v>
      </c>
    </row>
    <row r="5103" spans="1:10">
      <c r="A5103" s="441">
        <v>7580</v>
      </c>
      <c r="B5103" s="441" t="s">
        <v>4593</v>
      </c>
      <c r="C5103" s="545">
        <v>0.16666666666666666</v>
      </c>
      <c r="D5103" s="545">
        <v>0</v>
      </c>
      <c r="E5103" s="545">
        <v>0</v>
      </c>
      <c r="F5103" s="545">
        <v>0.11904761904761904</v>
      </c>
      <c r="G5103" s="545">
        <v>1.35</v>
      </c>
      <c r="H5103" s="545">
        <v>1.6666666666666667</v>
      </c>
      <c r="I5103" s="545">
        <v>1.3333333333333333</v>
      </c>
      <c r="J5103" s="545">
        <v>1.3928571428571428</v>
      </c>
    </row>
    <row r="5104" spans="1:10">
      <c r="A5104" s="441">
        <v>7589</v>
      </c>
      <c r="B5104" s="441" t="s">
        <v>4594</v>
      </c>
      <c r="C5104" s="545">
        <v>1.1666666666666667</v>
      </c>
      <c r="D5104" s="545">
        <v>0</v>
      </c>
      <c r="E5104" s="545">
        <v>0</v>
      </c>
      <c r="F5104" s="545">
        <v>0.83333333333333337</v>
      </c>
      <c r="G5104" s="545">
        <v>0.25</v>
      </c>
      <c r="H5104" s="545">
        <v>0</v>
      </c>
      <c r="I5104" s="545">
        <v>0</v>
      </c>
      <c r="J5104" s="545">
        <v>0.17857142857142858</v>
      </c>
    </row>
    <row r="5105" spans="1:10">
      <c r="A5105" s="441">
        <v>7617</v>
      </c>
      <c r="B5105" s="441" t="s">
        <v>4595</v>
      </c>
      <c r="C5105" s="545">
        <v>0.66666666666666663</v>
      </c>
      <c r="D5105" s="545">
        <v>0.33333333333333331</v>
      </c>
      <c r="E5105" s="545">
        <v>0</v>
      </c>
      <c r="F5105" s="545">
        <v>0.52380952380952384</v>
      </c>
      <c r="G5105" s="545">
        <v>0.2</v>
      </c>
      <c r="H5105" s="545">
        <v>0</v>
      </c>
      <c r="I5105" s="545">
        <v>0</v>
      </c>
      <c r="J5105" s="545">
        <v>0.14285714285714285</v>
      </c>
    </row>
    <row r="5106" spans="1:10">
      <c r="A5106" s="441">
        <v>7599</v>
      </c>
      <c r="B5106" s="441" t="s">
        <v>4596</v>
      </c>
      <c r="C5106" s="545">
        <v>10.166666666666666</v>
      </c>
      <c r="D5106" s="545">
        <v>3.666666666666667</v>
      </c>
      <c r="E5106" s="545">
        <v>2</v>
      </c>
      <c r="F5106" s="545">
        <v>8.0714285714285712</v>
      </c>
      <c r="G5106" s="545">
        <v>4.25</v>
      </c>
      <c r="H5106" s="545">
        <v>4</v>
      </c>
      <c r="I5106" s="545">
        <v>5.333333333333333</v>
      </c>
      <c r="J5106" s="545">
        <v>4.3690476190476186</v>
      </c>
    </row>
    <row r="5107" spans="1:10">
      <c r="A5107" s="441">
        <v>7609</v>
      </c>
      <c r="B5107" s="441" t="s">
        <v>4596</v>
      </c>
      <c r="C5107" s="545">
        <v>7.333333333333333</v>
      </c>
      <c r="D5107" s="545">
        <v>4.3333333333333339</v>
      </c>
      <c r="E5107" s="545">
        <v>1.3333333333333333</v>
      </c>
      <c r="F5107" s="545">
        <v>6.0476190476190483</v>
      </c>
      <c r="G5107" s="545">
        <v>2.6</v>
      </c>
      <c r="H5107" s="545">
        <v>2.6666666666666665</v>
      </c>
      <c r="I5107" s="545">
        <v>1.3333333333333333</v>
      </c>
      <c r="J5107" s="545">
        <v>2.4285714285714284</v>
      </c>
    </row>
    <row r="5108" spans="1:10">
      <c r="A5108" s="441">
        <v>7650</v>
      </c>
      <c r="B5108" s="441" t="s">
        <v>4597</v>
      </c>
      <c r="C5108" s="545">
        <v>0.83333333333333337</v>
      </c>
      <c r="D5108" s="545">
        <v>0</v>
      </c>
      <c r="E5108" s="545">
        <v>0</v>
      </c>
      <c r="F5108" s="545">
        <v>0.59523809523809523</v>
      </c>
      <c r="G5108" s="545">
        <v>0.5</v>
      </c>
      <c r="H5108" s="545">
        <v>0</v>
      </c>
      <c r="I5108" s="545">
        <v>0.33333333333333331</v>
      </c>
      <c r="J5108" s="545">
        <v>0.40476190476190477</v>
      </c>
    </row>
    <row r="5109" spans="1:10">
      <c r="A5109" s="441">
        <v>8385</v>
      </c>
      <c r="B5109" s="441" t="s">
        <v>4597</v>
      </c>
      <c r="C5109" s="545">
        <v>1</v>
      </c>
      <c r="D5109" s="545">
        <v>0</v>
      </c>
      <c r="E5109" s="545">
        <v>0</v>
      </c>
      <c r="F5109" s="545">
        <v>0.7142857142857143</v>
      </c>
      <c r="G5109" s="545">
        <v>0.6</v>
      </c>
      <c r="H5109" s="545">
        <v>0</v>
      </c>
      <c r="I5109" s="545">
        <v>0</v>
      </c>
      <c r="J5109" s="545">
        <v>0.42857142857142855</v>
      </c>
    </row>
    <row r="5110" spans="1:10">
      <c r="A5110" s="441">
        <v>10273</v>
      </c>
      <c r="B5110" s="441" t="s">
        <v>4598</v>
      </c>
      <c r="C5110" s="545">
        <v>15.333333333333332</v>
      </c>
      <c r="D5110" s="545">
        <v>6.333333333333333</v>
      </c>
      <c r="E5110" s="545">
        <v>3.6666666666666665</v>
      </c>
      <c r="F5110" s="545">
        <v>12.38095238095238</v>
      </c>
      <c r="G5110" s="545">
        <v>4.3</v>
      </c>
      <c r="H5110" s="545">
        <v>67.333333333333329</v>
      </c>
      <c r="I5110" s="545">
        <v>0.33333333333333331</v>
      </c>
      <c r="J5110" s="545">
        <v>12.738095238095237</v>
      </c>
    </row>
    <row r="5111" spans="1:10">
      <c r="A5111" s="441">
        <v>7637</v>
      </c>
      <c r="B5111" s="441" t="s">
        <v>4599</v>
      </c>
      <c r="C5111" s="545">
        <v>2.1666666666666665</v>
      </c>
      <c r="D5111" s="545">
        <v>0</v>
      </c>
      <c r="E5111" s="545">
        <v>0.33333333333333331</v>
      </c>
      <c r="F5111" s="545">
        <v>1.5952380952380951</v>
      </c>
      <c r="G5111" s="545">
        <v>0.65</v>
      </c>
      <c r="H5111" s="545">
        <v>0</v>
      </c>
      <c r="I5111" s="545">
        <v>0.33333333333333331</v>
      </c>
      <c r="J5111" s="545">
        <v>0.51190476190476197</v>
      </c>
    </row>
    <row r="5112" spans="1:10">
      <c r="A5112" s="441">
        <v>8398</v>
      </c>
      <c r="B5112" s="441" t="s">
        <v>4599</v>
      </c>
      <c r="C5112" s="545">
        <v>3.3333333333333335</v>
      </c>
      <c r="D5112" s="545">
        <v>0</v>
      </c>
      <c r="E5112" s="545">
        <v>0</v>
      </c>
      <c r="F5112" s="545">
        <v>2.3809523809523809</v>
      </c>
      <c r="G5112" s="545">
        <v>0.45</v>
      </c>
      <c r="H5112" s="545">
        <v>0</v>
      </c>
      <c r="I5112" s="545">
        <v>0</v>
      </c>
      <c r="J5112" s="545">
        <v>0.32142857142857145</v>
      </c>
    </row>
    <row r="5113" spans="1:10">
      <c r="A5113" s="441">
        <v>8396</v>
      </c>
      <c r="B5113" s="441" t="s">
        <v>4600</v>
      </c>
      <c r="C5113" s="545">
        <v>7.833333333333333</v>
      </c>
      <c r="D5113" s="545">
        <v>1</v>
      </c>
      <c r="E5113" s="545">
        <v>0</v>
      </c>
      <c r="F5113" s="545">
        <v>5.7380952380952381</v>
      </c>
      <c r="G5113" s="545">
        <v>4.75</v>
      </c>
      <c r="H5113" s="545">
        <v>0</v>
      </c>
      <c r="I5113" s="545">
        <v>0</v>
      </c>
      <c r="J5113" s="545">
        <v>3.3928571428571428</v>
      </c>
    </row>
    <row r="5114" spans="1:10">
      <c r="A5114" s="441">
        <v>7645</v>
      </c>
      <c r="B5114" s="441" t="s">
        <v>4601</v>
      </c>
      <c r="C5114" s="545">
        <v>4.666666666666667</v>
      </c>
      <c r="D5114" s="545">
        <v>0.33333333333333331</v>
      </c>
      <c r="E5114" s="545">
        <v>0</v>
      </c>
      <c r="F5114" s="545">
        <v>3.3809523809523809</v>
      </c>
      <c r="G5114" s="545">
        <v>2.7</v>
      </c>
      <c r="H5114" s="545">
        <v>1.3333333333333333</v>
      </c>
      <c r="I5114" s="545">
        <v>1.3333333333333333</v>
      </c>
      <c r="J5114" s="545">
        <v>2.3095238095238098</v>
      </c>
    </row>
    <row r="5115" spans="1:10">
      <c r="A5115" s="441">
        <v>8390</v>
      </c>
      <c r="B5115" s="441" t="s">
        <v>4601</v>
      </c>
      <c r="C5115" s="545">
        <v>8.6666666666666679</v>
      </c>
      <c r="D5115" s="545">
        <v>3</v>
      </c>
      <c r="E5115" s="545">
        <v>2</v>
      </c>
      <c r="F5115" s="545">
        <v>6.904761904761906</v>
      </c>
      <c r="G5115" s="545">
        <v>2.65</v>
      </c>
      <c r="H5115" s="545">
        <v>2.6666666666666665</v>
      </c>
      <c r="I5115" s="545">
        <v>1.3333333333333333</v>
      </c>
      <c r="J5115" s="545">
        <v>2.4642857142857144</v>
      </c>
    </row>
    <row r="5116" spans="1:10">
      <c r="A5116" s="441">
        <v>8053</v>
      </c>
      <c r="B5116" s="441" t="s">
        <v>4602</v>
      </c>
      <c r="C5116" s="545">
        <v>45</v>
      </c>
      <c r="D5116" s="545">
        <v>29.333333333333336</v>
      </c>
      <c r="E5116" s="545">
        <v>23.666666666666668</v>
      </c>
      <c r="F5116" s="545">
        <v>39.714285714285715</v>
      </c>
      <c r="G5116" s="545">
        <v>23.8</v>
      </c>
      <c r="H5116" s="545">
        <v>20</v>
      </c>
      <c r="I5116" s="545">
        <v>7.333333333333333</v>
      </c>
      <c r="J5116" s="545">
        <v>20.904761904761905</v>
      </c>
    </row>
    <row r="5117" spans="1:10">
      <c r="A5117" s="441">
        <v>8952</v>
      </c>
      <c r="B5117" s="441" t="s">
        <v>4602</v>
      </c>
      <c r="C5117" s="545">
        <v>36.5</v>
      </c>
      <c r="D5117" s="545">
        <v>25.333333333333332</v>
      </c>
      <c r="E5117" s="545">
        <v>15.333333333333334</v>
      </c>
      <c r="F5117" s="545">
        <v>31.880952380952383</v>
      </c>
      <c r="G5117" s="545">
        <v>24.85</v>
      </c>
      <c r="H5117" s="545">
        <v>17</v>
      </c>
      <c r="I5117" s="545">
        <v>10</v>
      </c>
      <c r="J5117" s="545">
        <v>21.607142857142858</v>
      </c>
    </row>
    <row r="5118" spans="1:10">
      <c r="A5118" s="441">
        <v>8060</v>
      </c>
      <c r="B5118" s="441" t="s">
        <v>4603</v>
      </c>
      <c r="C5118" s="545">
        <v>5</v>
      </c>
      <c r="D5118" s="545">
        <v>1.6666666666666665</v>
      </c>
      <c r="E5118" s="545">
        <v>0.66666666666666663</v>
      </c>
      <c r="F5118" s="545">
        <v>3.9047619047619051</v>
      </c>
      <c r="G5118" s="545">
        <v>1.1499999999999999</v>
      </c>
      <c r="H5118" s="545">
        <v>2</v>
      </c>
      <c r="I5118" s="545">
        <v>0.66666666666666663</v>
      </c>
      <c r="J5118" s="545">
        <v>1.2023809523809523</v>
      </c>
    </row>
    <row r="5119" spans="1:10">
      <c r="A5119" s="441">
        <v>8935</v>
      </c>
      <c r="B5119" s="441" t="s">
        <v>4603</v>
      </c>
      <c r="C5119" s="545">
        <v>2.6666666666666665</v>
      </c>
      <c r="D5119" s="545">
        <v>0</v>
      </c>
      <c r="E5119" s="545">
        <v>0</v>
      </c>
      <c r="F5119" s="545">
        <v>1.9047619047619047</v>
      </c>
      <c r="G5119" s="545">
        <v>1.35</v>
      </c>
      <c r="H5119" s="545">
        <v>0.33333333333333331</v>
      </c>
      <c r="I5119" s="545">
        <v>1</v>
      </c>
      <c r="J5119" s="545">
        <v>1.1547619047619047</v>
      </c>
    </row>
    <row r="5120" spans="1:10">
      <c r="A5120" s="441">
        <v>7588</v>
      </c>
      <c r="B5120" s="441" t="s">
        <v>4604</v>
      </c>
      <c r="C5120" s="545">
        <v>2</v>
      </c>
      <c r="D5120" s="545">
        <v>3</v>
      </c>
      <c r="E5120" s="545">
        <v>0.33333333333333331</v>
      </c>
      <c r="F5120" s="545">
        <v>1.9047619047619049</v>
      </c>
      <c r="G5120" s="545">
        <v>3.1</v>
      </c>
      <c r="H5120" s="545">
        <v>0</v>
      </c>
      <c r="I5120" s="545">
        <v>0</v>
      </c>
      <c r="J5120" s="545">
        <v>2.2142857142857144</v>
      </c>
    </row>
    <row r="5121" spans="1:10">
      <c r="A5121" s="441">
        <v>6579</v>
      </c>
      <c r="B5121" s="441" t="s">
        <v>4605</v>
      </c>
      <c r="C5121" s="545">
        <v>9.1666666666666679</v>
      </c>
      <c r="D5121" s="545">
        <v>3.3333333333333335</v>
      </c>
      <c r="E5121" s="545">
        <v>11.666666666666668</v>
      </c>
      <c r="F5121" s="545">
        <v>8.6904761904761916</v>
      </c>
      <c r="G5121" s="545">
        <v>8.5</v>
      </c>
      <c r="H5121" s="545">
        <v>5.666666666666667</v>
      </c>
      <c r="I5121" s="545">
        <v>5.666666666666667</v>
      </c>
      <c r="J5121" s="545">
        <v>7.6904761904761898</v>
      </c>
    </row>
    <row r="5122" spans="1:10">
      <c r="A5122" s="441">
        <v>7575</v>
      </c>
      <c r="B5122" s="441" t="s">
        <v>4606</v>
      </c>
      <c r="C5122" s="545">
        <v>1.1666666666666667</v>
      </c>
      <c r="D5122" s="545">
        <v>0</v>
      </c>
      <c r="E5122" s="545">
        <v>0.33333333333333331</v>
      </c>
      <c r="F5122" s="545">
        <v>0.88095238095238104</v>
      </c>
      <c r="G5122" s="545">
        <v>1.55</v>
      </c>
      <c r="H5122" s="545">
        <v>0.33333333333333331</v>
      </c>
      <c r="I5122" s="545">
        <v>0</v>
      </c>
      <c r="J5122" s="545">
        <v>1.1547619047619049</v>
      </c>
    </row>
    <row r="5123" spans="1:10">
      <c r="A5123" s="441">
        <v>7641</v>
      </c>
      <c r="B5123" s="441" t="s">
        <v>4607</v>
      </c>
      <c r="C5123" s="545">
        <v>2.333333333333333</v>
      </c>
      <c r="D5123" s="545">
        <v>0</v>
      </c>
      <c r="E5123" s="545">
        <v>0</v>
      </c>
      <c r="F5123" s="545">
        <v>1.6666666666666663</v>
      </c>
      <c r="G5123" s="545">
        <v>0.5</v>
      </c>
      <c r="H5123" s="545">
        <v>0</v>
      </c>
      <c r="I5123" s="545">
        <v>0</v>
      </c>
      <c r="J5123" s="545">
        <v>0.35714285714285715</v>
      </c>
    </row>
    <row r="5124" spans="1:10">
      <c r="A5124" s="441">
        <v>8394</v>
      </c>
      <c r="B5124" s="441" t="s">
        <v>4607</v>
      </c>
      <c r="C5124" s="545">
        <v>1.6666666666666667</v>
      </c>
      <c r="D5124" s="545">
        <v>0</v>
      </c>
      <c r="E5124" s="545">
        <v>0.66666666666666663</v>
      </c>
      <c r="F5124" s="545">
        <v>1.2857142857142858</v>
      </c>
      <c r="G5124" s="545">
        <v>1.35</v>
      </c>
      <c r="H5124" s="545">
        <v>0</v>
      </c>
      <c r="I5124" s="545">
        <v>0</v>
      </c>
      <c r="J5124" s="545">
        <v>0.9642857142857143</v>
      </c>
    </row>
    <row r="5125" spans="1:10">
      <c r="A5125" s="441">
        <v>7621</v>
      </c>
      <c r="B5125" s="441" t="s">
        <v>4608</v>
      </c>
      <c r="C5125" s="545">
        <v>1</v>
      </c>
      <c r="D5125" s="545">
        <v>0</v>
      </c>
      <c r="E5125" s="545">
        <v>0</v>
      </c>
      <c r="F5125" s="545">
        <v>0.7142857142857143</v>
      </c>
      <c r="G5125" s="545">
        <v>1.4</v>
      </c>
      <c r="H5125" s="545">
        <v>0</v>
      </c>
      <c r="I5125" s="545">
        <v>0</v>
      </c>
      <c r="J5125" s="545">
        <v>1</v>
      </c>
    </row>
    <row r="5126" spans="1:10">
      <c r="A5126" s="441">
        <v>7642</v>
      </c>
      <c r="B5126" s="441" t="s">
        <v>4609</v>
      </c>
      <c r="C5126" s="545">
        <v>2.333333333333333</v>
      </c>
      <c r="D5126" s="545">
        <v>0</v>
      </c>
      <c r="E5126" s="545">
        <v>0</v>
      </c>
      <c r="F5126" s="545">
        <v>1.6666666666666663</v>
      </c>
      <c r="G5126" s="545">
        <v>0.85</v>
      </c>
      <c r="H5126" s="545">
        <v>0</v>
      </c>
      <c r="I5126" s="545">
        <v>0</v>
      </c>
      <c r="J5126" s="545">
        <v>0.6071428571428571</v>
      </c>
    </row>
    <row r="5127" spans="1:10">
      <c r="A5127" s="441">
        <v>8393</v>
      </c>
      <c r="B5127" s="441" t="s">
        <v>4609</v>
      </c>
      <c r="C5127" s="545">
        <v>2.166666666666667</v>
      </c>
      <c r="D5127" s="545">
        <v>0</v>
      </c>
      <c r="E5127" s="545">
        <v>0.66666666666666663</v>
      </c>
      <c r="F5127" s="545">
        <v>1.642857142857143</v>
      </c>
      <c r="G5127" s="545">
        <v>1.05</v>
      </c>
      <c r="H5127" s="545">
        <v>0</v>
      </c>
      <c r="I5127" s="545">
        <v>0</v>
      </c>
      <c r="J5127" s="545">
        <v>0.75</v>
      </c>
    </row>
    <row r="5128" spans="1:10">
      <c r="A5128" s="441">
        <v>7583</v>
      </c>
      <c r="B5128" s="441" t="s">
        <v>4610</v>
      </c>
      <c r="C5128" s="545">
        <v>0.66666666666666663</v>
      </c>
      <c r="D5128" s="545">
        <v>1</v>
      </c>
      <c r="E5128" s="545">
        <v>0.66666666666666663</v>
      </c>
      <c r="F5128" s="545">
        <v>0.7142857142857143</v>
      </c>
      <c r="G5128" s="545">
        <v>1.85</v>
      </c>
      <c r="H5128" s="545">
        <v>0.33333333333333331</v>
      </c>
      <c r="I5128" s="545">
        <v>0.66666666666666663</v>
      </c>
      <c r="J5128" s="545">
        <v>1.4642857142857142</v>
      </c>
    </row>
    <row r="5129" spans="1:10">
      <c r="A5129" s="441">
        <v>7623</v>
      </c>
      <c r="B5129" s="441" t="s">
        <v>4610</v>
      </c>
      <c r="C5129" s="545">
        <v>3</v>
      </c>
      <c r="D5129" s="545">
        <v>1.6666666666666665</v>
      </c>
      <c r="E5129" s="545">
        <v>0</v>
      </c>
      <c r="F5129" s="545">
        <v>2.3809523809523809</v>
      </c>
      <c r="G5129" s="545">
        <v>3.1</v>
      </c>
      <c r="H5129" s="545">
        <v>0.66666666666666663</v>
      </c>
      <c r="I5129" s="545">
        <v>0.66666666666666663</v>
      </c>
      <c r="J5129" s="545">
        <v>2.4047619047619051</v>
      </c>
    </row>
    <row r="5130" spans="1:10">
      <c r="A5130" s="441">
        <v>6576</v>
      </c>
      <c r="B5130" s="441" t="s">
        <v>4611</v>
      </c>
      <c r="C5130" s="545">
        <v>0.83333333333333326</v>
      </c>
      <c r="D5130" s="545">
        <v>0.33333333333333331</v>
      </c>
      <c r="E5130" s="545">
        <v>0.66666666666666663</v>
      </c>
      <c r="F5130" s="545">
        <v>0.73809523809523803</v>
      </c>
      <c r="G5130" s="545">
        <v>2.15</v>
      </c>
      <c r="H5130" s="545">
        <v>2.6666666666666665</v>
      </c>
      <c r="I5130" s="545">
        <v>2</v>
      </c>
      <c r="J5130" s="545">
        <v>2.2023809523809521</v>
      </c>
    </row>
    <row r="5131" spans="1:10">
      <c r="A5131" s="441">
        <v>8062</v>
      </c>
      <c r="B5131" s="441" t="s">
        <v>4612</v>
      </c>
      <c r="C5131" s="545">
        <v>7.6666666666666661</v>
      </c>
      <c r="D5131" s="545">
        <v>5.333333333333333</v>
      </c>
      <c r="E5131" s="545">
        <v>3.6666666666666665</v>
      </c>
      <c r="F5131" s="545">
        <v>6.761904761904761</v>
      </c>
      <c r="G5131" s="545">
        <v>6.8</v>
      </c>
      <c r="H5131" s="545">
        <v>3.3333333333333335</v>
      </c>
      <c r="I5131" s="545">
        <v>1.6666666666666667</v>
      </c>
      <c r="J5131" s="545">
        <v>5.5714285714285712</v>
      </c>
    </row>
    <row r="5132" spans="1:10">
      <c r="A5132" s="441">
        <v>8933</v>
      </c>
      <c r="B5132" s="441" t="s">
        <v>4612</v>
      </c>
      <c r="C5132" s="545">
        <v>14.833333333333334</v>
      </c>
      <c r="D5132" s="545">
        <v>14.666666666666666</v>
      </c>
      <c r="E5132" s="545">
        <v>5</v>
      </c>
      <c r="F5132" s="545">
        <v>13.404761904761907</v>
      </c>
      <c r="G5132" s="545">
        <v>7.35</v>
      </c>
      <c r="H5132" s="545">
        <v>4</v>
      </c>
      <c r="I5132" s="545">
        <v>1.3333333333333333</v>
      </c>
      <c r="J5132" s="545">
        <v>6.0119047619047619</v>
      </c>
    </row>
    <row r="5133" spans="1:10">
      <c r="A5133" s="441">
        <v>7625</v>
      </c>
      <c r="B5133" s="441" t="s">
        <v>4613</v>
      </c>
      <c r="C5133" s="545">
        <v>2.3333333333333335</v>
      </c>
      <c r="D5133" s="545">
        <v>3.3333333333333335</v>
      </c>
      <c r="E5133" s="545">
        <v>0.33333333333333331</v>
      </c>
      <c r="F5133" s="545">
        <v>2.1904761904761907</v>
      </c>
      <c r="G5133" s="545">
        <v>1.9</v>
      </c>
      <c r="H5133" s="545">
        <v>0.66666666666666663</v>
      </c>
      <c r="I5133" s="545">
        <v>0</v>
      </c>
      <c r="J5133" s="545">
        <v>1.4523809523809523</v>
      </c>
    </row>
    <row r="5134" spans="1:10">
      <c r="A5134" s="441">
        <v>7629</v>
      </c>
      <c r="B5134" s="441" t="s">
        <v>4614</v>
      </c>
      <c r="C5134" s="545">
        <v>0</v>
      </c>
      <c r="D5134" s="545">
        <v>0</v>
      </c>
      <c r="E5134" s="545">
        <v>0</v>
      </c>
      <c r="F5134" s="545">
        <v>0</v>
      </c>
      <c r="G5134" s="545">
        <v>0.05</v>
      </c>
      <c r="H5134" s="545">
        <v>0</v>
      </c>
      <c r="I5134" s="545">
        <v>0</v>
      </c>
      <c r="J5134" s="545">
        <v>3.5714285714285712E-2</v>
      </c>
    </row>
    <row r="5135" spans="1:10">
      <c r="A5135" s="441">
        <v>7626</v>
      </c>
      <c r="B5135" s="441" t="s">
        <v>4615</v>
      </c>
      <c r="C5135" s="545">
        <v>0.16666666666666666</v>
      </c>
      <c r="D5135" s="545">
        <v>0</v>
      </c>
      <c r="E5135" s="545">
        <v>0</v>
      </c>
      <c r="F5135" s="545">
        <v>0.11904761904761904</v>
      </c>
      <c r="G5135" s="545">
        <v>1.45</v>
      </c>
      <c r="H5135" s="545">
        <v>1.6666666666666667</v>
      </c>
      <c r="I5135" s="545">
        <v>1.3333333333333333</v>
      </c>
      <c r="J5135" s="545">
        <v>1.4642857142857142</v>
      </c>
    </row>
    <row r="5136" spans="1:10">
      <c r="A5136" s="441">
        <v>8049</v>
      </c>
      <c r="B5136" s="441" t="s">
        <v>4616</v>
      </c>
      <c r="C5136" s="545">
        <v>13.333333333333334</v>
      </c>
      <c r="D5136" s="545">
        <v>7.666666666666667</v>
      </c>
      <c r="E5136" s="545">
        <v>7</v>
      </c>
      <c r="F5136" s="545">
        <v>11.61904761904762</v>
      </c>
      <c r="G5136" s="545">
        <v>5.7</v>
      </c>
      <c r="H5136" s="545">
        <v>5.333333333333333</v>
      </c>
      <c r="I5136" s="545">
        <v>1.6666666666666667</v>
      </c>
      <c r="J5136" s="545">
        <v>5.0714285714285712</v>
      </c>
    </row>
    <row r="5137" spans="1:10">
      <c r="A5137" s="441">
        <v>12101</v>
      </c>
      <c r="B5137" s="441" t="s">
        <v>4617</v>
      </c>
      <c r="C5137" s="545">
        <v>3.6666666666666665</v>
      </c>
      <c r="D5137" s="545">
        <v>2</v>
      </c>
      <c r="E5137" s="545">
        <v>5.3333333333333339</v>
      </c>
      <c r="F5137" s="545">
        <v>3.6666666666666665</v>
      </c>
      <c r="G5137" s="545">
        <v>1.85</v>
      </c>
      <c r="H5137" s="545">
        <v>1.6666666666666667</v>
      </c>
      <c r="I5137" s="545">
        <v>1.6666666666666667</v>
      </c>
      <c r="J5137" s="545">
        <v>1.7976190476190474</v>
      </c>
    </row>
    <row r="5138" spans="1:10">
      <c r="A5138" s="441">
        <v>8046</v>
      </c>
      <c r="B5138" s="441" t="s">
        <v>4618</v>
      </c>
      <c r="C5138" s="545">
        <v>31</v>
      </c>
      <c r="D5138" s="545">
        <v>18.333333333333332</v>
      </c>
      <c r="E5138" s="545">
        <v>11.666666666666666</v>
      </c>
      <c r="F5138" s="545">
        <v>26.428571428571427</v>
      </c>
      <c r="G5138" s="545">
        <v>10.85</v>
      </c>
      <c r="H5138" s="545">
        <v>7.333333333333333</v>
      </c>
      <c r="I5138" s="545">
        <v>5.666666666666667</v>
      </c>
      <c r="J5138" s="545">
        <v>9.6071428571428577</v>
      </c>
    </row>
    <row r="5139" spans="1:10">
      <c r="A5139" s="441">
        <v>8937</v>
      </c>
      <c r="B5139" s="441" t="s">
        <v>4619</v>
      </c>
      <c r="C5139" s="545">
        <v>10.666666666666668</v>
      </c>
      <c r="D5139" s="545">
        <v>3</v>
      </c>
      <c r="E5139" s="545">
        <v>4</v>
      </c>
      <c r="F5139" s="545">
        <v>8.6190476190476204</v>
      </c>
      <c r="G5139" s="545">
        <v>7.1</v>
      </c>
      <c r="H5139" s="545">
        <v>4.666666666666667</v>
      </c>
      <c r="I5139" s="545">
        <v>2.6666666666666665</v>
      </c>
      <c r="J5139" s="545">
        <v>6.1190476190476186</v>
      </c>
    </row>
    <row r="5140" spans="1:10">
      <c r="A5140" s="441">
        <v>7602</v>
      </c>
      <c r="B5140" s="441" t="s">
        <v>4620</v>
      </c>
      <c r="C5140" s="545">
        <v>1.6666666666666665</v>
      </c>
      <c r="D5140" s="545">
        <v>0.33333333333333331</v>
      </c>
      <c r="E5140" s="545">
        <v>0</v>
      </c>
      <c r="F5140" s="545">
        <v>1.2380952380952379</v>
      </c>
      <c r="G5140" s="545">
        <v>2.4</v>
      </c>
      <c r="H5140" s="545">
        <v>1.6666666666666667</v>
      </c>
      <c r="I5140" s="545">
        <v>2.3333333333333335</v>
      </c>
      <c r="J5140" s="545">
        <v>2.2857142857142856</v>
      </c>
    </row>
    <row r="5141" spans="1:10">
      <c r="A5141" s="441">
        <v>10142</v>
      </c>
      <c r="B5141" s="441" t="s">
        <v>4620</v>
      </c>
      <c r="C5141" s="545">
        <v>1.8333333333333335</v>
      </c>
      <c r="D5141" s="545">
        <v>0.66666666666666663</v>
      </c>
      <c r="E5141" s="545">
        <v>0.33333333333333331</v>
      </c>
      <c r="F5141" s="545">
        <v>1.4523809523809526</v>
      </c>
      <c r="G5141" s="545">
        <v>1</v>
      </c>
      <c r="H5141" s="545">
        <v>0.66666666666666663</v>
      </c>
      <c r="I5141" s="545">
        <v>0</v>
      </c>
      <c r="J5141" s="545">
        <v>0.80952380952380953</v>
      </c>
    </row>
    <row r="5142" spans="1:10">
      <c r="A5142" s="441">
        <v>8059</v>
      </c>
      <c r="B5142" s="441" t="s">
        <v>4621</v>
      </c>
      <c r="C5142" s="545">
        <v>0.83333333333333337</v>
      </c>
      <c r="D5142" s="545">
        <v>0.33333333333333331</v>
      </c>
      <c r="E5142" s="545">
        <v>0</v>
      </c>
      <c r="F5142" s="545">
        <v>0.6428571428571429</v>
      </c>
      <c r="G5142" s="545">
        <v>2.6</v>
      </c>
      <c r="H5142" s="545">
        <v>0.33333333333333331</v>
      </c>
      <c r="I5142" s="545">
        <v>1</v>
      </c>
      <c r="J5142" s="545">
        <v>2.0476190476190479</v>
      </c>
    </row>
    <row r="5143" spans="1:10">
      <c r="A5143" s="441">
        <v>8936</v>
      </c>
      <c r="B5143" s="441" t="s">
        <v>4621</v>
      </c>
      <c r="C5143" s="545">
        <v>1.3333333333333333</v>
      </c>
      <c r="D5143" s="545">
        <v>0.33333333333333331</v>
      </c>
      <c r="E5143" s="545">
        <v>0</v>
      </c>
      <c r="F5143" s="545">
        <v>0.99999999999999989</v>
      </c>
      <c r="G5143" s="545">
        <v>1.45</v>
      </c>
      <c r="H5143" s="545">
        <v>1</v>
      </c>
      <c r="I5143" s="545">
        <v>0.33333333333333331</v>
      </c>
      <c r="J5143" s="545">
        <v>1.2261904761904763</v>
      </c>
    </row>
    <row r="5144" spans="1:10">
      <c r="A5144" s="441">
        <v>6575</v>
      </c>
      <c r="B5144" s="441" t="s">
        <v>4622</v>
      </c>
      <c r="C5144" s="545">
        <v>1.5</v>
      </c>
      <c r="D5144" s="545">
        <v>2.666666666666667</v>
      </c>
      <c r="E5144" s="545">
        <v>1.6666666666666665</v>
      </c>
      <c r="F5144" s="545">
        <v>1.6904761904761905</v>
      </c>
      <c r="G5144" s="545">
        <v>0.15</v>
      </c>
      <c r="H5144" s="545">
        <v>0</v>
      </c>
      <c r="I5144" s="545">
        <v>0</v>
      </c>
      <c r="J5144" s="545">
        <v>0.10714285714285714</v>
      </c>
    </row>
    <row r="5145" spans="1:10">
      <c r="A5145" s="441">
        <v>11512</v>
      </c>
      <c r="B5145" s="441" t="s">
        <v>4622</v>
      </c>
      <c r="C5145" s="545">
        <v>2.333333333333333</v>
      </c>
      <c r="D5145" s="545">
        <v>1.3333333333333333</v>
      </c>
      <c r="E5145" s="545">
        <v>1</v>
      </c>
      <c r="F5145" s="545">
        <v>1.9999999999999998</v>
      </c>
      <c r="G5145" s="545">
        <v>0.35</v>
      </c>
      <c r="H5145" s="545">
        <v>0.33333333333333331</v>
      </c>
      <c r="I5145" s="545">
        <v>0.66666666666666663</v>
      </c>
      <c r="J5145" s="545">
        <v>0.39285714285714285</v>
      </c>
    </row>
    <row r="5146" spans="1:10">
      <c r="A5146" s="441">
        <v>8382</v>
      </c>
      <c r="B5146" s="441" t="s">
        <v>4623</v>
      </c>
      <c r="C5146" s="545">
        <v>1.1666666666666665</v>
      </c>
      <c r="D5146" s="545">
        <v>0.66666666666666663</v>
      </c>
      <c r="E5146" s="545">
        <v>0.33333333333333331</v>
      </c>
      <c r="F5146" s="545">
        <v>0.97619047619047605</v>
      </c>
      <c r="G5146" s="545">
        <v>0.35</v>
      </c>
      <c r="H5146" s="545">
        <v>0</v>
      </c>
      <c r="I5146" s="545">
        <v>0</v>
      </c>
      <c r="J5146" s="545">
        <v>0.25</v>
      </c>
    </row>
    <row r="5147" spans="1:10">
      <c r="A5147" s="441">
        <v>8939</v>
      </c>
      <c r="B5147" s="441" t="s">
        <v>4624</v>
      </c>
      <c r="C5147" s="545">
        <v>14.666666666666666</v>
      </c>
      <c r="D5147" s="545">
        <v>6.6666666666666661</v>
      </c>
      <c r="E5147" s="545">
        <v>5</v>
      </c>
      <c r="F5147" s="545">
        <v>12.142857142857142</v>
      </c>
      <c r="G5147" s="545">
        <v>16.05</v>
      </c>
      <c r="H5147" s="545">
        <v>13.333333333333334</v>
      </c>
      <c r="I5147" s="545">
        <v>5</v>
      </c>
      <c r="J5147" s="545">
        <v>14.083333333333332</v>
      </c>
    </row>
    <row r="5148" spans="1:10">
      <c r="A5148" s="441">
        <v>7579</v>
      </c>
      <c r="B5148" s="441" t="s">
        <v>4625</v>
      </c>
      <c r="C5148" s="545">
        <v>4.5</v>
      </c>
      <c r="D5148" s="545">
        <v>0.33333333333333331</v>
      </c>
      <c r="E5148" s="545">
        <v>0.66666666666666663</v>
      </c>
      <c r="F5148" s="545">
        <v>3.3571428571428572</v>
      </c>
      <c r="G5148" s="545">
        <v>2.8</v>
      </c>
      <c r="H5148" s="545">
        <v>1</v>
      </c>
      <c r="I5148" s="545">
        <v>0.66666666666666663</v>
      </c>
      <c r="J5148" s="545">
        <v>2.2380952380952381</v>
      </c>
    </row>
    <row r="5149" spans="1:10">
      <c r="A5149" s="441">
        <v>8381</v>
      </c>
      <c r="B5149" s="441" t="s">
        <v>4626</v>
      </c>
      <c r="C5149" s="545">
        <v>25.166666666666668</v>
      </c>
      <c r="D5149" s="545">
        <v>3.3333333333333335</v>
      </c>
      <c r="E5149" s="545">
        <v>4</v>
      </c>
      <c r="F5149" s="545">
        <v>19.023809523809526</v>
      </c>
      <c r="G5149" s="545">
        <v>9.15</v>
      </c>
      <c r="H5149" s="545">
        <v>1.3333333333333333</v>
      </c>
      <c r="I5149" s="545">
        <v>2.6666666666666665</v>
      </c>
      <c r="J5149" s="545">
        <v>7.1071428571428568</v>
      </c>
    </row>
    <row r="5150" spans="1:10">
      <c r="A5150" s="441">
        <v>7585</v>
      </c>
      <c r="B5150" s="441" t="s">
        <v>4627</v>
      </c>
      <c r="C5150" s="545">
        <v>0.83333333333333326</v>
      </c>
      <c r="D5150" s="545">
        <v>0</v>
      </c>
      <c r="E5150" s="545">
        <v>0</v>
      </c>
      <c r="F5150" s="545">
        <v>0.59523809523809512</v>
      </c>
      <c r="G5150" s="545">
        <v>1.1000000000000001</v>
      </c>
      <c r="H5150" s="545">
        <v>0</v>
      </c>
      <c r="I5150" s="545">
        <v>0.33333333333333331</v>
      </c>
      <c r="J5150" s="545">
        <v>0.83333333333333326</v>
      </c>
    </row>
    <row r="5151" spans="1:10">
      <c r="A5151" s="441">
        <v>7627</v>
      </c>
      <c r="B5151" s="441" t="s">
        <v>4628</v>
      </c>
      <c r="C5151" s="545">
        <v>1.3333333333333335</v>
      </c>
      <c r="D5151" s="545">
        <v>0</v>
      </c>
      <c r="E5151" s="545">
        <v>0.66666666666666663</v>
      </c>
      <c r="F5151" s="545">
        <v>1.0476190476190479</v>
      </c>
      <c r="G5151" s="545">
        <v>1.2</v>
      </c>
      <c r="H5151" s="545">
        <v>0.33333333333333331</v>
      </c>
      <c r="I5151" s="545">
        <v>0.33333333333333331</v>
      </c>
      <c r="J5151" s="545">
        <v>0.95238095238095233</v>
      </c>
    </row>
    <row r="5152" spans="1:10">
      <c r="A5152" s="441">
        <v>8942</v>
      </c>
      <c r="B5152" s="441" t="s">
        <v>4629</v>
      </c>
      <c r="C5152" s="545">
        <v>20.5</v>
      </c>
      <c r="D5152" s="545">
        <v>11</v>
      </c>
      <c r="E5152" s="545">
        <v>8.3333333333333339</v>
      </c>
      <c r="F5152" s="545">
        <v>17.404761904761905</v>
      </c>
      <c r="G5152" s="545">
        <v>6.8</v>
      </c>
      <c r="H5152" s="545">
        <v>3.6666666666666665</v>
      </c>
      <c r="I5152" s="545">
        <v>15.333333333333334</v>
      </c>
      <c r="J5152" s="545">
        <v>7.5714285714285712</v>
      </c>
    </row>
    <row r="5153" spans="1:10">
      <c r="A5153" s="441">
        <v>7608</v>
      </c>
      <c r="B5153" s="441" t="s">
        <v>4630</v>
      </c>
      <c r="C5153" s="545">
        <v>4.833333333333333</v>
      </c>
      <c r="D5153" s="545">
        <v>0.33333333333333331</v>
      </c>
      <c r="E5153" s="545">
        <v>0.33333333333333331</v>
      </c>
      <c r="F5153" s="545">
        <v>3.547619047619047</v>
      </c>
      <c r="G5153" s="545">
        <v>2.95</v>
      </c>
      <c r="H5153" s="545">
        <v>2.3333333333333335</v>
      </c>
      <c r="I5153" s="545">
        <v>3.6666666666666665</v>
      </c>
      <c r="J5153" s="545">
        <v>2.9642857142857144</v>
      </c>
    </row>
    <row r="5154" spans="1:10">
      <c r="A5154" s="441">
        <v>7600</v>
      </c>
      <c r="B5154" s="441" t="s">
        <v>4631</v>
      </c>
      <c r="C5154" s="545">
        <v>0</v>
      </c>
      <c r="D5154" s="545">
        <v>0</v>
      </c>
      <c r="E5154" s="545">
        <v>0</v>
      </c>
      <c r="F5154" s="545">
        <v>0</v>
      </c>
      <c r="G5154" s="545">
        <v>3.4</v>
      </c>
      <c r="H5154" s="545">
        <v>0.33333333333333331</v>
      </c>
      <c r="I5154" s="545">
        <v>0.33333333333333331</v>
      </c>
      <c r="J5154" s="545">
        <v>2.5238095238095233</v>
      </c>
    </row>
    <row r="5155" spans="1:10">
      <c r="A5155" s="441">
        <v>7574</v>
      </c>
      <c r="B5155" s="441" t="s">
        <v>4632</v>
      </c>
      <c r="C5155" s="545">
        <v>0.66666666666666663</v>
      </c>
      <c r="D5155" s="545">
        <v>0.33333333333333331</v>
      </c>
      <c r="E5155" s="545">
        <v>0</v>
      </c>
      <c r="F5155" s="545">
        <v>0.52380952380952384</v>
      </c>
      <c r="G5155" s="545">
        <v>1</v>
      </c>
      <c r="H5155" s="545">
        <v>0</v>
      </c>
      <c r="I5155" s="545">
        <v>0</v>
      </c>
      <c r="J5155" s="545">
        <v>0.7142857142857143</v>
      </c>
    </row>
    <row r="5156" spans="1:10">
      <c r="A5156" s="441">
        <v>7635</v>
      </c>
      <c r="B5156" s="441" t="s">
        <v>4633</v>
      </c>
      <c r="C5156" s="545">
        <v>1.3333333333333335</v>
      </c>
      <c r="D5156" s="545">
        <v>0.66666666666666663</v>
      </c>
      <c r="E5156" s="545">
        <v>0</v>
      </c>
      <c r="F5156" s="545">
        <v>1.0476190476190479</v>
      </c>
      <c r="G5156" s="545">
        <v>3.35</v>
      </c>
      <c r="H5156" s="545">
        <v>1.6666666666666667</v>
      </c>
      <c r="I5156" s="545">
        <v>1</v>
      </c>
      <c r="J5156" s="545">
        <v>2.7738095238095242</v>
      </c>
    </row>
    <row r="5157" spans="1:10">
      <c r="A5157" s="441">
        <v>8400</v>
      </c>
      <c r="B5157" s="441" t="s">
        <v>4633</v>
      </c>
      <c r="C5157" s="545">
        <v>1.3333333333333335</v>
      </c>
      <c r="D5157" s="545">
        <v>0</v>
      </c>
      <c r="E5157" s="545">
        <v>0</v>
      </c>
      <c r="F5157" s="545">
        <v>0.95238095238095255</v>
      </c>
      <c r="G5157" s="545">
        <v>0.9</v>
      </c>
      <c r="H5157" s="545">
        <v>1</v>
      </c>
      <c r="I5157" s="545">
        <v>0</v>
      </c>
      <c r="J5157" s="545">
        <v>0.7857142857142857</v>
      </c>
    </row>
    <row r="5158" spans="1:10">
      <c r="A5158" s="441">
        <v>7644</v>
      </c>
      <c r="B5158" s="441" t="s">
        <v>4634</v>
      </c>
      <c r="C5158" s="545">
        <v>0.33333333333333331</v>
      </c>
      <c r="D5158" s="545">
        <v>0</v>
      </c>
      <c r="E5158" s="545">
        <v>0.66666666666666663</v>
      </c>
      <c r="F5158" s="545">
        <v>0.33333333333333331</v>
      </c>
      <c r="G5158" s="545">
        <v>0.85</v>
      </c>
      <c r="H5158" s="545">
        <v>0.33333333333333331</v>
      </c>
      <c r="I5158" s="545">
        <v>0</v>
      </c>
      <c r="J5158" s="545">
        <v>0.65476190476190477</v>
      </c>
    </row>
    <row r="5159" spans="1:10">
      <c r="A5159" s="441">
        <v>8391</v>
      </c>
      <c r="B5159" s="441" t="s">
        <v>4634</v>
      </c>
      <c r="C5159" s="545">
        <v>1.3333333333333333</v>
      </c>
      <c r="D5159" s="545">
        <v>0.33333333333333331</v>
      </c>
      <c r="E5159" s="545">
        <v>0.33333333333333331</v>
      </c>
      <c r="F5159" s="545">
        <v>1.0476190476190474</v>
      </c>
      <c r="G5159" s="545">
        <v>0.7</v>
      </c>
      <c r="H5159" s="545">
        <v>0</v>
      </c>
      <c r="I5159" s="545">
        <v>0</v>
      </c>
      <c r="J5159" s="545">
        <v>0.5</v>
      </c>
    </row>
    <row r="5160" spans="1:10">
      <c r="A5160" s="441">
        <v>7636</v>
      </c>
      <c r="B5160" s="441" t="s">
        <v>4635</v>
      </c>
      <c r="C5160" s="545">
        <v>2.1666666666666665</v>
      </c>
      <c r="D5160" s="545">
        <v>0</v>
      </c>
      <c r="E5160" s="545">
        <v>0</v>
      </c>
      <c r="F5160" s="545">
        <v>1.5476190476190474</v>
      </c>
      <c r="G5160" s="545">
        <v>1.05</v>
      </c>
      <c r="H5160" s="545">
        <v>0</v>
      </c>
      <c r="I5160" s="545">
        <v>0</v>
      </c>
      <c r="J5160" s="545">
        <v>0.75</v>
      </c>
    </row>
    <row r="5161" spans="1:10">
      <c r="A5161" s="441">
        <v>8399</v>
      </c>
      <c r="B5161" s="441" t="s">
        <v>4635</v>
      </c>
      <c r="C5161" s="545">
        <v>3.833333333333333</v>
      </c>
      <c r="D5161" s="545">
        <v>0</v>
      </c>
      <c r="E5161" s="545">
        <v>0</v>
      </c>
      <c r="F5161" s="545">
        <v>2.7380952380952377</v>
      </c>
      <c r="G5161" s="545">
        <v>1</v>
      </c>
      <c r="H5161" s="545">
        <v>0</v>
      </c>
      <c r="I5161" s="545">
        <v>0</v>
      </c>
      <c r="J5161" s="545">
        <v>0.7142857142857143</v>
      </c>
    </row>
    <row r="5162" spans="1:10">
      <c r="A5162" s="441">
        <v>7604</v>
      </c>
      <c r="B5162" s="441" t="s">
        <v>4636</v>
      </c>
      <c r="C5162" s="545">
        <v>47.333333333333336</v>
      </c>
      <c r="D5162" s="545">
        <v>31</v>
      </c>
      <c r="E5162" s="545">
        <v>32.666666666666671</v>
      </c>
      <c r="F5162" s="545">
        <v>42.904761904761912</v>
      </c>
      <c r="G5162" s="545">
        <v>23.9</v>
      </c>
      <c r="H5162" s="545">
        <v>22.333333333333332</v>
      </c>
      <c r="I5162" s="545">
        <v>24.666666666666668</v>
      </c>
      <c r="J5162" s="545">
        <v>23.785714285714285</v>
      </c>
    </row>
    <row r="5163" spans="1:10">
      <c r="A5163" s="441">
        <v>7605</v>
      </c>
      <c r="B5163" s="441" t="s">
        <v>4637</v>
      </c>
      <c r="C5163" s="545">
        <v>70</v>
      </c>
      <c r="D5163" s="545">
        <v>53</v>
      </c>
      <c r="E5163" s="545">
        <v>51.333333333333336</v>
      </c>
      <c r="F5163" s="545">
        <v>64.904761904761898</v>
      </c>
      <c r="G5163" s="545">
        <v>44.9</v>
      </c>
      <c r="H5163" s="545">
        <v>44</v>
      </c>
      <c r="I5163" s="545">
        <v>35.666666666666664</v>
      </c>
      <c r="J5163" s="545">
        <v>43.452380952380956</v>
      </c>
    </row>
    <row r="5164" spans="1:10">
      <c r="A5164" s="441">
        <v>7578</v>
      </c>
      <c r="B5164" s="441" t="s">
        <v>4638</v>
      </c>
      <c r="C5164" s="545">
        <v>2</v>
      </c>
      <c r="D5164" s="545">
        <v>1.6666666666666667</v>
      </c>
      <c r="E5164" s="545">
        <v>0</v>
      </c>
      <c r="F5164" s="545">
        <v>1.6666666666666665</v>
      </c>
      <c r="G5164" s="545">
        <v>0.55000000000000004</v>
      </c>
      <c r="H5164" s="545">
        <v>0.33333333333333331</v>
      </c>
      <c r="I5164" s="545">
        <v>0</v>
      </c>
      <c r="J5164" s="545">
        <v>0.44047619047619052</v>
      </c>
    </row>
    <row r="5165" spans="1:10">
      <c r="A5165" s="441">
        <v>7628</v>
      </c>
      <c r="B5165" s="441" t="s">
        <v>4638</v>
      </c>
      <c r="C5165" s="545">
        <v>3</v>
      </c>
      <c r="D5165" s="545">
        <v>2.3333333333333335</v>
      </c>
      <c r="E5165" s="545">
        <v>2</v>
      </c>
      <c r="F5165" s="545">
        <v>2.7619047619047619</v>
      </c>
      <c r="G5165" s="545">
        <v>0.95</v>
      </c>
      <c r="H5165" s="545">
        <v>1</v>
      </c>
      <c r="I5165" s="545">
        <v>0</v>
      </c>
      <c r="J5165" s="545">
        <v>0.8214285714285714</v>
      </c>
    </row>
    <row r="5166" spans="1:10">
      <c r="A5166" s="441">
        <v>7584</v>
      </c>
      <c r="B5166" s="441" t="s">
        <v>4639</v>
      </c>
      <c r="C5166" s="545">
        <v>0.5</v>
      </c>
      <c r="D5166" s="545">
        <v>1.6666666666666665</v>
      </c>
      <c r="E5166" s="545">
        <v>0</v>
      </c>
      <c r="F5166" s="545">
        <v>0.59523809523809512</v>
      </c>
      <c r="G5166" s="545">
        <v>0.4</v>
      </c>
      <c r="H5166" s="545">
        <v>0.66666666666666663</v>
      </c>
      <c r="I5166" s="545">
        <v>0</v>
      </c>
      <c r="J5166" s="545">
        <v>0.38095238095238093</v>
      </c>
    </row>
    <row r="5167" spans="1:10">
      <c r="A5167" s="441">
        <v>7622</v>
      </c>
      <c r="B5167" s="441" t="s">
        <v>4639</v>
      </c>
      <c r="C5167" s="545">
        <v>1</v>
      </c>
      <c r="D5167" s="545">
        <v>0.33333333333333331</v>
      </c>
      <c r="E5167" s="545">
        <v>0</v>
      </c>
      <c r="F5167" s="545">
        <v>0.76190476190476186</v>
      </c>
      <c r="G5167" s="545">
        <v>0.65</v>
      </c>
      <c r="H5167" s="545">
        <v>0</v>
      </c>
      <c r="I5167" s="545">
        <v>0</v>
      </c>
      <c r="J5167" s="545">
        <v>0.4642857142857143</v>
      </c>
    </row>
    <row r="5168" spans="1:10">
      <c r="A5168" s="441">
        <v>11249</v>
      </c>
      <c r="B5168" s="441" t="s">
        <v>4640</v>
      </c>
      <c r="C5168" s="545">
        <v>1.3333333333333333</v>
      </c>
      <c r="D5168" s="545">
        <v>1</v>
      </c>
      <c r="E5168" s="545">
        <v>0</v>
      </c>
      <c r="F5168" s="545">
        <v>1.0952380952380951</v>
      </c>
      <c r="G5168" s="545">
        <v>0.15</v>
      </c>
      <c r="H5168" s="545">
        <v>0</v>
      </c>
      <c r="I5168" s="545">
        <v>0</v>
      </c>
      <c r="J5168" s="545">
        <v>0.10714285714285714</v>
      </c>
    </row>
    <row r="5169" spans="1:10">
      <c r="A5169" s="441">
        <v>8067</v>
      </c>
      <c r="B5169" s="441" t="s">
        <v>4641</v>
      </c>
      <c r="C5169" s="545">
        <v>6.666666666666667</v>
      </c>
      <c r="D5169" s="545">
        <v>10.333333333333332</v>
      </c>
      <c r="E5169" s="545">
        <v>5</v>
      </c>
      <c r="F5169" s="545">
        <v>6.9523809523809534</v>
      </c>
      <c r="G5169" s="545">
        <v>3</v>
      </c>
      <c r="H5169" s="545">
        <v>4.666666666666667</v>
      </c>
      <c r="I5169" s="545">
        <v>3.3333333333333335</v>
      </c>
      <c r="J5169" s="545">
        <v>3.2857142857142856</v>
      </c>
    </row>
    <row r="5170" spans="1:10">
      <c r="A5170" s="441">
        <v>3021</v>
      </c>
      <c r="B5170" s="441" t="s">
        <v>4642</v>
      </c>
      <c r="C5170" s="545">
        <v>28.5</v>
      </c>
      <c r="D5170" s="545">
        <v>15.666666666666668</v>
      </c>
      <c r="E5170" s="545">
        <v>20</v>
      </c>
      <c r="F5170" s="545">
        <v>25.452380952380953</v>
      </c>
      <c r="G5170" s="545">
        <v>15</v>
      </c>
      <c r="H5170" s="545">
        <v>6</v>
      </c>
      <c r="I5170" s="545">
        <v>8.6666666666666661</v>
      </c>
      <c r="J5170" s="545">
        <v>12.80952380952381</v>
      </c>
    </row>
    <row r="5171" spans="1:10">
      <c r="A5171" s="441">
        <v>3356</v>
      </c>
      <c r="B5171" s="441" t="s">
        <v>4642</v>
      </c>
      <c r="C5171" s="545">
        <v>46.166666666666671</v>
      </c>
      <c r="D5171" s="545">
        <v>17.333333333333332</v>
      </c>
      <c r="E5171" s="545">
        <v>15</v>
      </c>
      <c r="F5171" s="545">
        <v>37.595238095238109</v>
      </c>
      <c r="G5171" s="545">
        <v>26.4</v>
      </c>
      <c r="H5171" s="545">
        <v>9</v>
      </c>
      <c r="I5171" s="545">
        <v>19.333333333333332</v>
      </c>
      <c r="J5171" s="545">
        <v>22.904761904761905</v>
      </c>
    </row>
    <row r="5172" spans="1:10">
      <c r="A5172" s="441">
        <v>7648</v>
      </c>
      <c r="B5172" s="441" t="s">
        <v>4643</v>
      </c>
      <c r="C5172" s="545">
        <v>1.8333333333333335</v>
      </c>
      <c r="D5172" s="545">
        <v>0.66666666666666663</v>
      </c>
      <c r="E5172" s="545">
        <v>0</v>
      </c>
      <c r="F5172" s="545">
        <v>1.4047619047619049</v>
      </c>
      <c r="G5172" s="545">
        <v>1.05</v>
      </c>
      <c r="H5172" s="545">
        <v>0.33333333333333331</v>
      </c>
      <c r="I5172" s="545">
        <v>1</v>
      </c>
      <c r="J5172" s="545">
        <v>0.94047619047619047</v>
      </c>
    </row>
    <row r="5173" spans="1:10">
      <c r="A5173" s="441">
        <v>8387</v>
      </c>
      <c r="B5173" s="441" t="s">
        <v>4643</v>
      </c>
      <c r="C5173" s="545">
        <v>1.5</v>
      </c>
      <c r="D5173" s="545">
        <v>0.33333333333333331</v>
      </c>
      <c r="E5173" s="545">
        <v>0</v>
      </c>
      <c r="F5173" s="545">
        <v>1.1190476190476191</v>
      </c>
      <c r="G5173" s="545">
        <v>1.1000000000000001</v>
      </c>
      <c r="H5173" s="545">
        <v>0</v>
      </c>
      <c r="I5173" s="545">
        <v>0.33333333333333331</v>
      </c>
      <c r="J5173" s="545">
        <v>0.83333333333333326</v>
      </c>
    </row>
    <row r="5174" spans="1:10">
      <c r="A5174" s="441">
        <v>7653</v>
      </c>
      <c r="B5174" s="441" t="s">
        <v>4644</v>
      </c>
      <c r="C5174" s="545">
        <v>0.83333333333333326</v>
      </c>
      <c r="D5174" s="545">
        <v>0.33333333333333331</v>
      </c>
      <c r="E5174" s="545">
        <v>0</v>
      </c>
      <c r="F5174" s="545">
        <v>0.64285714285714268</v>
      </c>
      <c r="G5174" s="545">
        <v>0.2</v>
      </c>
      <c r="H5174" s="545">
        <v>0</v>
      </c>
      <c r="I5174" s="545">
        <v>0</v>
      </c>
      <c r="J5174" s="545">
        <v>0.14285714285714285</v>
      </c>
    </row>
    <row r="5175" spans="1:10">
      <c r="A5175" s="441">
        <v>7591</v>
      </c>
      <c r="B5175" s="441" t="s">
        <v>4645</v>
      </c>
      <c r="C5175" s="545">
        <v>1.1666666666666667</v>
      </c>
      <c r="D5175" s="545">
        <v>0</v>
      </c>
      <c r="E5175" s="545">
        <v>0</v>
      </c>
      <c r="F5175" s="545">
        <v>0.83333333333333337</v>
      </c>
      <c r="G5175" s="545">
        <v>0.1</v>
      </c>
      <c r="H5175" s="545">
        <v>0</v>
      </c>
      <c r="I5175" s="545">
        <v>0</v>
      </c>
      <c r="J5175" s="545">
        <v>7.1428571428571425E-2</v>
      </c>
    </row>
    <row r="5176" spans="1:10">
      <c r="A5176" s="441">
        <v>7592</v>
      </c>
      <c r="B5176" s="441" t="s">
        <v>4646</v>
      </c>
      <c r="C5176" s="545">
        <v>0.16666666666666666</v>
      </c>
      <c r="D5176" s="545">
        <v>0</v>
      </c>
      <c r="E5176" s="545">
        <v>0</v>
      </c>
      <c r="F5176" s="545">
        <v>0.11904761904761904</v>
      </c>
      <c r="G5176" s="545">
        <v>0.1</v>
      </c>
      <c r="H5176" s="545">
        <v>0</v>
      </c>
      <c r="I5176" s="545">
        <v>0</v>
      </c>
      <c r="J5176" s="545">
        <v>7.1428571428571425E-2</v>
      </c>
    </row>
    <row r="5177" spans="1:10">
      <c r="A5177" s="441">
        <v>7615</v>
      </c>
      <c r="B5177" s="441" t="s">
        <v>4646</v>
      </c>
      <c r="C5177" s="545">
        <v>1</v>
      </c>
      <c r="D5177" s="545">
        <v>0</v>
      </c>
      <c r="E5177" s="545">
        <v>0</v>
      </c>
      <c r="F5177" s="545">
        <v>0.7142857142857143</v>
      </c>
      <c r="G5177" s="545">
        <v>0.2</v>
      </c>
      <c r="H5177" s="545">
        <v>0</v>
      </c>
      <c r="I5177" s="545">
        <v>0</v>
      </c>
      <c r="J5177" s="545">
        <v>0.14285714285714285</v>
      </c>
    </row>
    <row r="5178" spans="1:10">
      <c r="A5178" s="441">
        <v>7598</v>
      </c>
      <c r="B5178" s="441" t="s">
        <v>4647</v>
      </c>
      <c r="C5178" s="545">
        <v>6.8333333333333339</v>
      </c>
      <c r="D5178" s="545">
        <v>3</v>
      </c>
      <c r="E5178" s="545">
        <v>4</v>
      </c>
      <c r="F5178" s="545">
        <v>5.8809523809523814</v>
      </c>
      <c r="G5178" s="545">
        <v>5.7</v>
      </c>
      <c r="H5178" s="545">
        <v>0.66666666666666663</v>
      </c>
      <c r="I5178" s="545">
        <v>1.3333333333333333</v>
      </c>
      <c r="J5178" s="545">
        <v>4.3571428571428568</v>
      </c>
    </row>
    <row r="5179" spans="1:10">
      <c r="A5179" s="441">
        <v>7610</v>
      </c>
      <c r="B5179" s="441" t="s">
        <v>4647</v>
      </c>
      <c r="C5179" s="545">
        <v>4.333333333333333</v>
      </c>
      <c r="D5179" s="545">
        <v>1.6666666666666665</v>
      </c>
      <c r="E5179" s="545">
        <v>0.66666666666666663</v>
      </c>
      <c r="F5179" s="545">
        <v>3.4285714285714284</v>
      </c>
      <c r="G5179" s="545">
        <v>2.6</v>
      </c>
      <c r="H5179" s="545">
        <v>2.3333333333333335</v>
      </c>
      <c r="I5179" s="545">
        <v>1</v>
      </c>
      <c r="J5179" s="545">
        <v>2.3333333333333335</v>
      </c>
    </row>
    <row r="5180" spans="1:10">
      <c r="A5180" s="441">
        <v>7596</v>
      </c>
      <c r="B5180" s="441" t="s">
        <v>4648</v>
      </c>
      <c r="C5180" s="545">
        <v>0.83333333333333326</v>
      </c>
      <c r="D5180" s="545">
        <v>0</v>
      </c>
      <c r="E5180" s="545">
        <v>0.33333333333333331</v>
      </c>
      <c r="F5180" s="545">
        <v>0.64285714285714268</v>
      </c>
      <c r="G5180" s="545">
        <v>1.1499999999999999</v>
      </c>
      <c r="H5180" s="545">
        <v>0</v>
      </c>
      <c r="I5180" s="545">
        <v>0</v>
      </c>
      <c r="J5180" s="545">
        <v>0.8214285714285714</v>
      </c>
    </row>
    <row r="5181" spans="1:10">
      <c r="A5181" s="441">
        <v>7612</v>
      </c>
      <c r="B5181" s="441" t="s">
        <v>4648</v>
      </c>
      <c r="C5181" s="545">
        <v>1.1666666666666667</v>
      </c>
      <c r="D5181" s="545">
        <v>0</v>
      </c>
      <c r="E5181" s="545">
        <v>0</v>
      </c>
      <c r="F5181" s="545">
        <v>0.83333333333333337</v>
      </c>
      <c r="G5181" s="545">
        <v>2.6</v>
      </c>
      <c r="H5181" s="545">
        <v>0</v>
      </c>
      <c r="I5181" s="545">
        <v>0</v>
      </c>
      <c r="J5181" s="545">
        <v>1.8571428571428572</v>
      </c>
    </row>
    <row r="5182" spans="1:10">
      <c r="A5182" s="441">
        <v>6570</v>
      </c>
      <c r="B5182" s="441" t="s">
        <v>4649</v>
      </c>
      <c r="C5182" s="545">
        <v>0.83333333333333326</v>
      </c>
      <c r="D5182" s="545">
        <v>0</v>
      </c>
      <c r="E5182" s="545">
        <v>0</v>
      </c>
      <c r="F5182" s="545">
        <v>0.59523809523809512</v>
      </c>
      <c r="G5182" s="545">
        <v>0.45</v>
      </c>
      <c r="H5182" s="545">
        <v>0.66666666666666663</v>
      </c>
      <c r="I5182" s="545">
        <v>0</v>
      </c>
      <c r="J5182" s="545">
        <v>0.41666666666666663</v>
      </c>
    </row>
    <row r="5183" spans="1:10">
      <c r="A5183" s="441">
        <v>6578</v>
      </c>
      <c r="B5183" s="441" t="s">
        <v>4649</v>
      </c>
      <c r="C5183" s="545">
        <v>0.83333333333333337</v>
      </c>
      <c r="D5183" s="545">
        <v>2</v>
      </c>
      <c r="E5183" s="545">
        <v>0</v>
      </c>
      <c r="F5183" s="545">
        <v>0.88095238095238104</v>
      </c>
      <c r="G5183" s="545">
        <v>0.95</v>
      </c>
      <c r="H5183" s="545">
        <v>3.6666666666666665</v>
      </c>
      <c r="I5183" s="545">
        <v>1</v>
      </c>
      <c r="J5183" s="545">
        <v>1.3452380952380951</v>
      </c>
    </row>
    <row r="5184" spans="1:10">
      <c r="A5184" s="441">
        <v>7638</v>
      </c>
      <c r="B5184" s="441" t="s">
        <v>4650</v>
      </c>
      <c r="C5184" s="545">
        <v>4</v>
      </c>
      <c r="D5184" s="545">
        <v>0.66666666666666663</v>
      </c>
      <c r="E5184" s="545">
        <v>1</v>
      </c>
      <c r="F5184" s="545">
        <v>3.0952380952380953</v>
      </c>
      <c r="G5184" s="545">
        <v>0.65</v>
      </c>
      <c r="H5184" s="545">
        <v>0</v>
      </c>
      <c r="I5184" s="545">
        <v>0</v>
      </c>
      <c r="J5184" s="545">
        <v>0.4642857142857143</v>
      </c>
    </row>
    <row r="5185" spans="1:10">
      <c r="A5185" s="441">
        <v>8397</v>
      </c>
      <c r="B5185" s="441" t="s">
        <v>4650</v>
      </c>
      <c r="C5185" s="545">
        <v>2.833333333333333</v>
      </c>
      <c r="D5185" s="545">
        <v>0.66666666666666663</v>
      </c>
      <c r="E5185" s="545">
        <v>1</v>
      </c>
      <c r="F5185" s="545">
        <v>2.2619047619047614</v>
      </c>
      <c r="G5185" s="545">
        <v>0.4</v>
      </c>
      <c r="H5185" s="545">
        <v>0</v>
      </c>
      <c r="I5185" s="545">
        <v>0</v>
      </c>
      <c r="J5185" s="545">
        <v>0.2857142857142857</v>
      </c>
    </row>
    <row r="5186" spans="1:10">
      <c r="A5186" s="441">
        <v>8057</v>
      </c>
      <c r="B5186" s="441" t="s">
        <v>4651</v>
      </c>
      <c r="C5186" s="545">
        <v>1.6666666666666667</v>
      </c>
      <c r="D5186" s="545">
        <v>0.33333333333333331</v>
      </c>
      <c r="E5186" s="545">
        <v>0.33333333333333331</v>
      </c>
      <c r="F5186" s="545">
        <v>1.285714285714286</v>
      </c>
      <c r="G5186" s="545">
        <v>4.8499999999999996</v>
      </c>
      <c r="H5186" s="545">
        <v>3.6666666666666665</v>
      </c>
      <c r="I5186" s="545">
        <v>1</v>
      </c>
      <c r="J5186" s="545">
        <v>4.1309523809523814</v>
      </c>
    </row>
    <row r="5187" spans="1:10">
      <c r="A5187" s="441">
        <v>8938</v>
      </c>
      <c r="B5187" s="441" t="s">
        <v>4651</v>
      </c>
      <c r="C5187" s="545">
        <v>1.8333333333333333</v>
      </c>
      <c r="D5187" s="545">
        <v>2.333333333333333</v>
      </c>
      <c r="E5187" s="545">
        <v>3.6666666666666665</v>
      </c>
      <c r="F5187" s="545">
        <v>2.1666666666666665</v>
      </c>
      <c r="G5187" s="545">
        <v>3.15</v>
      </c>
      <c r="H5187" s="545">
        <v>1.6666666666666667</v>
      </c>
      <c r="I5187" s="545">
        <v>5.333333333333333</v>
      </c>
      <c r="J5187" s="545">
        <v>3.25</v>
      </c>
    </row>
    <row r="5188" spans="1:10">
      <c r="A5188" s="441">
        <v>8058</v>
      </c>
      <c r="B5188" s="441" t="s">
        <v>4652</v>
      </c>
      <c r="C5188" s="545">
        <v>10.666666666666668</v>
      </c>
      <c r="D5188" s="545">
        <v>5.666666666666667</v>
      </c>
      <c r="E5188" s="545">
        <v>6</v>
      </c>
      <c r="F5188" s="545">
        <v>9.2857142857142865</v>
      </c>
      <c r="G5188" s="545">
        <v>3.65</v>
      </c>
      <c r="H5188" s="545">
        <v>3.3333333333333335</v>
      </c>
      <c r="I5188" s="545">
        <v>2.6666666666666665</v>
      </c>
      <c r="J5188" s="545">
        <v>3.4642857142857144</v>
      </c>
    </row>
    <row r="5189" spans="1:10">
      <c r="A5189" s="441">
        <v>12240</v>
      </c>
      <c r="B5189" s="441" t="s">
        <v>4653</v>
      </c>
      <c r="C5189" s="545">
        <v>0.16666666666666666</v>
      </c>
      <c r="D5189" s="545">
        <v>0</v>
      </c>
      <c r="E5189" s="545">
        <v>0</v>
      </c>
      <c r="F5189" s="545">
        <v>0.11904761904761904</v>
      </c>
      <c r="G5189" s="545">
        <v>0.65</v>
      </c>
      <c r="H5189" s="545">
        <v>0.66666666666666663</v>
      </c>
      <c r="I5189" s="545">
        <v>0</v>
      </c>
      <c r="J5189" s="545">
        <v>0.55952380952380953</v>
      </c>
    </row>
    <row r="5190" spans="1:10">
      <c r="A5190" s="441">
        <v>7639</v>
      </c>
      <c r="B5190" s="441" t="s">
        <v>4654</v>
      </c>
      <c r="C5190" s="545">
        <v>6.8333333333333339</v>
      </c>
      <c r="D5190" s="545">
        <v>0</v>
      </c>
      <c r="E5190" s="545">
        <v>0</v>
      </c>
      <c r="F5190" s="545">
        <v>4.8809523809523814</v>
      </c>
      <c r="G5190" s="545">
        <v>2.5</v>
      </c>
      <c r="H5190" s="545">
        <v>0</v>
      </c>
      <c r="I5190" s="545">
        <v>0</v>
      </c>
      <c r="J5190" s="545">
        <v>1.7857142857142858</v>
      </c>
    </row>
    <row r="5191" spans="1:10">
      <c r="A5191" s="441">
        <v>8054</v>
      </c>
      <c r="B5191" s="441" t="s">
        <v>4655</v>
      </c>
      <c r="C5191" s="545">
        <v>10.666666666666668</v>
      </c>
      <c r="D5191" s="545">
        <v>8</v>
      </c>
      <c r="E5191" s="545">
        <v>9.3333333333333339</v>
      </c>
      <c r="F5191" s="545">
        <v>10.095238095238097</v>
      </c>
      <c r="G5191" s="545">
        <v>5.9</v>
      </c>
      <c r="H5191" s="545">
        <v>7.333333333333333</v>
      </c>
      <c r="I5191" s="545">
        <v>2</v>
      </c>
      <c r="J5191" s="545">
        <v>5.5476190476190483</v>
      </c>
    </row>
    <row r="5192" spans="1:10">
      <c r="A5192" s="441">
        <v>8061</v>
      </c>
      <c r="B5192" s="441" t="s">
        <v>4656</v>
      </c>
      <c r="C5192" s="545">
        <v>33.333333333333329</v>
      </c>
      <c r="D5192" s="545">
        <v>26</v>
      </c>
      <c r="E5192" s="545">
        <v>21.666666666666668</v>
      </c>
      <c r="F5192" s="545">
        <v>30.619047619047613</v>
      </c>
      <c r="G5192" s="545">
        <v>23.1</v>
      </c>
      <c r="H5192" s="545">
        <v>17.333333333333332</v>
      </c>
      <c r="I5192" s="545">
        <v>12</v>
      </c>
      <c r="J5192" s="545">
        <v>20.690476190476193</v>
      </c>
    </row>
    <row r="5193" spans="1:10">
      <c r="A5193" s="441">
        <v>8934</v>
      </c>
      <c r="B5193" s="441" t="s">
        <v>4656</v>
      </c>
      <c r="C5193" s="545">
        <v>35.833333333333329</v>
      </c>
      <c r="D5193" s="545">
        <v>24</v>
      </c>
      <c r="E5193" s="545">
        <v>17.333333333333332</v>
      </c>
      <c r="F5193" s="545">
        <v>31.499999999999996</v>
      </c>
      <c r="G5193" s="545">
        <v>23.15</v>
      </c>
      <c r="H5193" s="545">
        <v>13.333333333333334</v>
      </c>
      <c r="I5193" s="545">
        <v>11</v>
      </c>
      <c r="J5193" s="545">
        <v>20.011904761904763</v>
      </c>
    </row>
    <row r="5194" spans="1:10">
      <c r="A5194" s="441">
        <v>7630</v>
      </c>
      <c r="B5194" s="441" t="s">
        <v>4657</v>
      </c>
      <c r="C5194" s="545">
        <v>1</v>
      </c>
      <c r="D5194" s="545">
        <v>0.33333333333333331</v>
      </c>
      <c r="E5194" s="545">
        <v>0</v>
      </c>
      <c r="F5194" s="545">
        <v>0.76190476190476186</v>
      </c>
      <c r="G5194" s="545">
        <v>0.9</v>
      </c>
      <c r="H5194" s="545">
        <v>0</v>
      </c>
      <c r="I5194" s="545">
        <v>0</v>
      </c>
      <c r="J5194" s="545">
        <v>0.6428571428571429</v>
      </c>
    </row>
    <row r="5195" spans="1:10">
      <c r="A5195" s="441">
        <v>7573</v>
      </c>
      <c r="B5195" s="441" t="s">
        <v>4658</v>
      </c>
      <c r="C5195" s="545">
        <v>0.83333333333333326</v>
      </c>
      <c r="D5195" s="545">
        <v>0</v>
      </c>
      <c r="E5195" s="545">
        <v>0.66666666666666663</v>
      </c>
      <c r="F5195" s="545">
        <v>0.69047619047619047</v>
      </c>
      <c r="G5195" s="545">
        <v>1.55</v>
      </c>
      <c r="H5195" s="545">
        <v>0.66666666666666663</v>
      </c>
      <c r="I5195" s="545">
        <v>0</v>
      </c>
      <c r="J5195" s="545">
        <v>1.2023809523809523</v>
      </c>
    </row>
    <row r="5196" spans="1:10">
      <c r="A5196" s="441">
        <v>11220</v>
      </c>
      <c r="B5196" s="441" t="s">
        <v>4658</v>
      </c>
      <c r="C5196" s="545">
        <v>1</v>
      </c>
      <c r="D5196" s="545">
        <v>0</v>
      </c>
      <c r="E5196" s="545">
        <v>0</v>
      </c>
      <c r="F5196" s="545">
        <v>0.7142857142857143</v>
      </c>
      <c r="G5196" s="545">
        <v>1.1000000000000001</v>
      </c>
      <c r="H5196" s="545">
        <v>0</v>
      </c>
      <c r="I5196" s="545">
        <v>0.66666666666666663</v>
      </c>
      <c r="J5196" s="545">
        <v>0.88095238095238104</v>
      </c>
    </row>
    <row r="5197" spans="1:10">
      <c r="A5197" s="441">
        <v>7577</v>
      </c>
      <c r="B5197" s="441" t="s">
        <v>4659</v>
      </c>
      <c r="C5197" s="545">
        <v>0</v>
      </c>
      <c r="D5197" s="545">
        <v>0</v>
      </c>
      <c r="E5197" s="545">
        <v>0</v>
      </c>
      <c r="F5197" s="545">
        <v>0</v>
      </c>
      <c r="G5197" s="545">
        <v>0</v>
      </c>
      <c r="H5197" s="545">
        <v>0.33333333333333331</v>
      </c>
      <c r="I5197" s="545">
        <v>0</v>
      </c>
      <c r="J5197" s="545">
        <v>4.7619047619047616E-2</v>
      </c>
    </row>
    <row r="5198" spans="1:10">
      <c r="A5198" s="441">
        <v>8063</v>
      </c>
      <c r="B5198" s="441" t="s">
        <v>4660</v>
      </c>
      <c r="C5198" s="545">
        <v>3</v>
      </c>
      <c r="D5198" s="545">
        <v>0.33333333333333331</v>
      </c>
      <c r="E5198" s="545">
        <v>0</v>
      </c>
      <c r="F5198" s="545">
        <v>2.1904761904761907</v>
      </c>
      <c r="G5198" s="545">
        <v>2.2999999999999998</v>
      </c>
      <c r="H5198" s="545">
        <v>0.33333333333333331</v>
      </c>
      <c r="I5198" s="545">
        <v>1</v>
      </c>
      <c r="J5198" s="545">
        <v>1.8333333333333335</v>
      </c>
    </row>
    <row r="5199" spans="1:10">
      <c r="A5199" s="441">
        <v>7632</v>
      </c>
      <c r="B5199" s="441" t="s">
        <v>4661</v>
      </c>
      <c r="C5199" s="545">
        <v>2.8333333333333335</v>
      </c>
      <c r="D5199" s="545">
        <v>0</v>
      </c>
      <c r="E5199" s="545">
        <v>0</v>
      </c>
      <c r="F5199" s="545">
        <v>2.0238095238095242</v>
      </c>
      <c r="G5199" s="545">
        <v>1.25</v>
      </c>
      <c r="H5199" s="545">
        <v>0</v>
      </c>
      <c r="I5199" s="545">
        <v>0</v>
      </c>
      <c r="J5199" s="545">
        <v>0.8928571428571429</v>
      </c>
    </row>
    <row r="5200" spans="1:10">
      <c r="A5200" s="441">
        <v>7594</v>
      </c>
      <c r="B5200" s="441" t="s">
        <v>4662</v>
      </c>
      <c r="C5200" s="545">
        <v>1.1666666666666667</v>
      </c>
      <c r="D5200" s="545">
        <v>0</v>
      </c>
      <c r="E5200" s="545">
        <v>0.66666666666666663</v>
      </c>
      <c r="F5200" s="545">
        <v>0.92857142857142871</v>
      </c>
      <c r="G5200" s="545">
        <v>0.35</v>
      </c>
      <c r="H5200" s="545">
        <v>0</v>
      </c>
      <c r="I5200" s="545">
        <v>0</v>
      </c>
      <c r="J5200" s="545">
        <v>0.25</v>
      </c>
    </row>
    <row r="5201" spans="1:10">
      <c r="A5201" s="441">
        <v>7613</v>
      </c>
      <c r="B5201" s="441" t="s">
        <v>4662</v>
      </c>
      <c r="C5201" s="545">
        <v>11.833333333333334</v>
      </c>
      <c r="D5201" s="545">
        <v>2.6666666666666665</v>
      </c>
      <c r="E5201" s="545">
        <v>0.33333333333333331</v>
      </c>
      <c r="F5201" s="545">
        <v>8.8809523809523814</v>
      </c>
      <c r="G5201" s="545">
        <v>6.95</v>
      </c>
      <c r="H5201" s="545">
        <v>0.66666666666666663</v>
      </c>
      <c r="I5201" s="545">
        <v>0.66666666666666663</v>
      </c>
      <c r="J5201" s="545">
        <v>5.1547619047619042</v>
      </c>
    </row>
    <row r="5202" spans="1:10">
      <c r="A5202" s="441">
        <v>7603</v>
      </c>
      <c r="B5202" s="441" t="s">
        <v>4663</v>
      </c>
      <c r="C5202" s="545">
        <v>41.166666666666671</v>
      </c>
      <c r="D5202" s="545">
        <v>22</v>
      </c>
      <c r="E5202" s="545">
        <v>28.666666666666668</v>
      </c>
      <c r="F5202" s="545">
        <v>36.642857142857153</v>
      </c>
      <c r="G5202" s="545">
        <v>25.25</v>
      </c>
      <c r="H5202" s="545">
        <v>22.666666666666668</v>
      </c>
      <c r="I5202" s="545">
        <v>15.333333333333334</v>
      </c>
      <c r="J5202" s="545">
        <v>23.464285714285715</v>
      </c>
    </row>
    <row r="5203" spans="1:10">
      <c r="A5203" s="441">
        <v>8048</v>
      </c>
      <c r="B5203" s="441" t="s">
        <v>4664</v>
      </c>
      <c r="C5203" s="545">
        <v>7.5</v>
      </c>
      <c r="D5203" s="545">
        <v>0.33333333333333331</v>
      </c>
      <c r="E5203" s="545">
        <v>2</v>
      </c>
      <c r="F5203" s="545">
        <v>5.6904761904761907</v>
      </c>
      <c r="G5203" s="545">
        <v>4</v>
      </c>
      <c r="H5203" s="545">
        <v>0.66666666666666663</v>
      </c>
      <c r="I5203" s="545">
        <v>0</v>
      </c>
      <c r="J5203" s="545">
        <v>2.9523809523809526</v>
      </c>
    </row>
    <row r="5204" spans="1:10">
      <c r="A5204" s="441">
        <v>8944</v>
      </c>
      <c r="B5204" s="441" t="s">
        <v>4664</v>
      </c>
      <c r="C5204" s="545">
        <v>5</v>
      </c>
      <c r="D5204" s="545">
        <v>0.66666666666666663</v>
      </c>
      <c r="E5204" s="545">
        <v>1</v>
      </c>
      <c r="F5204" s="545">
        <v>3.8095238095238098</v>
      </c>
      <c r="G5204" s="545">
        <v>4</v>
      </c>
      <c r="H5204" s="545">
        <v>0</v>
      </c>
      <c r="I5204" s="545">
        <v>0</v>
      </c>
      <c r="J5204" s="545">
        <v>2.8571428571428572</v>
      </c>
    </row>
    <row r="5205" spans="1:10">
      <c r="A5205" s="441">
        <v>8064</v>
      </c>
      <c r="B5205" s="441" t="s">
        <v>4665</v>
      </c>
      <c r="C5205" s="545">
        <v>13.166666666666666</v>
      </c>
      <c r="D5205" s="545">
        <v>2</v>
      </c>
      <c r="E5205" s="545">
        <v>0.66666666666666663</v>
      </c>
      <c r="F5205" s="545">
        <v>9.7857142857142865</v>
      </c>
      <c r="G5205" s="545">
        <v>6.6</v>
      </c>
      <c r="H5205" s="545">
        <v>0.33333333333333331</v>
      </c>
      <c r="I5205" s="545">
        <v>1</v>
      </c>
      <c r="J5205" s="545">
        <v>4.9047619047619051</v>
      </c>
    </row>
    <row r="5206" spans="1:10">
      <c r="A5206" s="441">
        <v>8239</v>
      </c>
      <c r="B5206" s="441" t="s">
        <v>4665</v>
      </c>
      <c r="C5206" s="545">
        <v>12.666666666666668</v>
      </c>
      <c r="D5206" s="545">
        <v>2.6666666666666665</v>
      </c>
      <c r="E5206" s="545">
        <v>1.3333333333333333</v>
      </c>
      <c r="F5206" s="545">
        <v>9.6190476190476204</v>
      </c>
      <c r="G5206" s="545">
        <v>6.15</v>
      </c>
      <c r="H5206" s="545">
        <v>1</v>
      </c>
      <c r="I5206" s="545">
        <v>0.33333333333333331</v>
      </c>
      <c r="J5206" s="545">
        <v>4.5833333333333339</v>
      </c>
    </row>
    <row r="5207" spans="1:10">
      <c r="A5207" s="441">
        <v>8943</v>
      </c>
      <c r="B5207" s="441" t="s">
        <v>4666</v>
      </c>
      <c r="C5207" s="545">
        <v>6.5</v>
      </c>
      <c r="D5207" s="545">
        <v>7</v>
      </c>
      <c r="E5207" s="545">
        <v>6.666666666666667</v>
      </c>
      <c r="F5207" s="545">
        <v>6.5952380952380949</v>
      </c>
      <c r="G5207" s="545">
        <v>7.95</v>
      </c>
      <c r="H5207" s="545">
        <v>4.333333333333333</v>
      </c>
      <c r="I5207" s="545">
        <v>0</v>
      </c>
      <c r="J5207" s="545">
        <v>6.2976190476190483</v>
      </c>
    </row>
    <row r="5208" spans="1:10">
      <c r="A5208" s="441">
        <v>7631</v>
      </c>
      <c r="B5208" s="441" t="s">
        <v>4667</v>
      </c>
      <c r="C5208" s="545">
        <v>0.66666666666666663</v>
      </c>
      <c r="D5208" s="545">
        <v>0</v>
      </c>
      <c r="E5208" s="545">
        <v>0.33333333333333331</v>
      </c>
      <c r="F5208" s="545">
        <v>0.52380952380952384</v>
      </c>
      <c r="G5208" s="545">
        <v>1.8</v>
      </c>
      <c r="H5208" s="545">
        <v>0</v>
      </c>
      <c r="I5208" s="545">
        <v>0</v>
      </c>
      <c r="J5208" s="545">
        <v>1.2857142857142858</v>
      </c>
    </row>
    <row r="5209" spans="1:10">
      <c r="A5209" s="441">
        <v>7576</v>
      </c>
      <c r="B5209" s="441" t="s">
        <v>4668</v>
      </c>
      <c r="C5209" s="545">
        <v>1.5</v>
      </c>
      <c r="D5209" s="545">
        <v>0</v>
      </c>
      <c r="E5209" s="545">
        <v>0.33333333333333331</v>
      </c>
      <c r="F5209" s="545">
        <v>1.1190476190476191</v>
      </c>
      <c r="G5209" s="545">
        <v>0.35</v>
      </c>
      <c r="H5209" s="545">
        <v>0</v>
      </c>
      <c r="I5209" s="545">
        <v>0</v>
      </c>
      <c r="J5209" s="545">
        <v>0.25</v>
      </c>
    </row>
    <row r="5210" spans="1:10">
      <c r="A5210" s="441">
        <v>141</v>
      </c>
      <c r="B5210" s="441" t="s">
        <v>4669</v>
      </c>
      <c r="C5210" s="545">
        <v>0.5</v>
      </c>
      <c r="D5210" s="545">
        <v>0.33333333333333331</v>
      </c>
      <c r="E5210" s="545">
        <v>0.33333333333333331</v>
      </c>
      <c r="F5210" s="545">
        <v>0.45238095238095244</v>
      </c>
      <c r="G5210" s="545">
        <v>0.2</v>
      </c>
      <c r="H5210" s="545">
        <v>0.33333333333333331</v>
      </c>
      <c r="I5210" s="545">
        <v>0</v>
      </c>
      <c r="J5210" s="545">
        <v>0.19047619047619047</v>
      </c>
    </row>
    <row r="5211" spans="1:10">
      <c r="A5211" s="441">
        <v>8946</v>
      </c>
      <c r="B5211" s="441" t="s">
        <v>4669</v>
      </c>
      <c r="C5211" s="545">
        <v>13.166666666666666</v>
      </c>
      <c r="D5211" s="545">
        <v>2.3333333333333335</v>
      </c>
      <c r="E5211" s="545">
        <v>5</v>
      </c>
      <c r="F5211" s="545">
        <v>10.452380952380951</v>
      </c>
      <c r="G5211" s="545">
        <v>5.6</v>
      </c>
      <c r="H5211" s="545">
        <v>1</v>
      </c>
      <c r="I5211" s="545">
        <v>1.3333333333333333</v>
      </c>
      <c r="J5211" s="545">
        <v>4.333333333333333</v>
      </c>
    </row>
    <row r="5212" spans="1:10">
      <c r="A5212" s="441">
        <v>7634</v>
      </c>
      <c r="B5212" s="441" t="s">
        <v>4670</v>
      </c>
      <c r="C5212" s="545">
        <v>1.6666666666666665</v>
      </c>
      <c r="D5212" s="545">
        <v>0</v>
      </c>
      <c r="E5212" s="545">
        <v>0</v>
      </c>
      <c r="F5212" s="545">
        <v>1.1904761904761902</v>
      </c>
      <c r="G5212" s="545">
        <v>0.35</v>
      </c>
      <c r="H5212" s="545">
        <v>0.33333333333333331</v>
      </c>
      <c r="I5212" s="545">
        <v>0.66666666666666663</v>
      </c>
      <c r="J5212" s="545">
        <v>0.39285714285714285</v>
      </c>
    </row>
    <row r="5213" spans="1:10">
      <c r="A5213" s="441">
        <v>8941</v>
      </c>
      <c r="B5213" s="441" t="s">
        <v>4671</v>
      </c>
      <c r="C5213" s="545">
        <v>13.166666666666668</v>
      </c>
      <c r="D5213" s="545">
        <v>12</v>
      </c>
      <c r="E5213" s="545">
        <v>11.333333333333334</v>
      </c>
      <c r="F5213" s="545">
        <v>12.738095238095239</v>
      </c>
      <c r="G5213" s="545">
        <v>6.1</v>
      </c>
      <c r="H5213" s="545">
        <v>5</v>
      </c>
      <c r="I5213" s="545">
        <v>2.6666666666666665</v>
      </c>
      <c r="J5213" s="545">
        <v>5.4523809523809517</v>
      </c>
    </row>
    <row r="5214" spans="1:10">
      <c r="A5214" s="441">
        <v>8045</v>
      </c>
      <c r="B5214" s="441" t="s">
        <v>4672</v>
      </c>
      <c r="C5214" s="545">
        <v>28</v>
      </c>
      <c r="D5214" s="545">
        <v>15.333333333333332</v>
      </c>
      <c r="E5214" s="545">
        <v>10.333333333333334</v>
      </c>
      <c r="F5214" s="545">
        <v>23.666666666666668</v>
      </c>
      <c r="G5214" s="545">
        <v>13.2</v>
      </c>
      <c r="H5214" s="545">
        <v>4.666666666666667</v>
      </c>
      <c r="I5214" s="545">
        <v>9</v>
      </c>
      <c r="J5214" s="545">
        <v>11.380952380952381</v>
      </c>
    </row>
    <row r="5215" spans="1:10">
      <c r="A5215" s="441">
        <v>8947</v>
      </c>
      <c r="B5215" s="441" t="s">
        <v>4672</v>
      </c>
      <c r="C5215" s="545">
        <v>30.5</v>
      </c>
      <c r="D5215" s="545">
        <v>17.333333333333332</v>
      </c>
      <c r="E5215" s="545">
        <v>12.666666666666666</v>
      </c>
      <c r="F5215" s="545">
        <v>26.071428571428573</v>
      </c>
      <c r="G5215" s="545">
        <v>11.75</v>
      </c>
      <c r="H5215" s="545">
        <v>4.666666666666667</v>
      </c>
      <c r="I5215" s="545">
        <v>8.3333333333333339</v>
      </c>
      <c r="J5215" s="545">
        <v>10.25</v>
      </c>
    </row>
    <row r="5216" spans="1:10">
      <c r="A5216" s="441">
        <v>8047</v>
      </c>
      <c r="B5216" s="441" t="s">
        <v>4673</v>
      </c>
      <c r="C5216" s="545">
        <v>4</v>
      </c>
      <c r="D5216" s="545">
        <v>1</v>
      </c>
      <c r="E5216" s="545">
        <v>0</v>
      </c>
      <c r="F5216" s="545">
        <v>3</v>
      </c>
      <c r="G5216" s="545">
        <v>1.4</v>
      </c>
      <c r="H5216" s="545">
        <v>0</v>
      </c>
      <c r="I5216" s="545">
        <v>0.33333333333333331</v>
      </c>
      <c r="J5216" s="545">
        <v>1.0476190476190477</v>
      </c>
    </row>
    <row r="5217" spans="1:10">
      <c r="A5217" s="441">
        <v>8238</v>
      </c>
      <c r="B5217" s="441" t="s">
        <v>4673</v>
      </c>
      <c r="C5217" s="545">
        <v>3.3333333333333335</v>
      </c>
      <c r="D5217" s="545">
        <v>0.33333333333333331</v>
      </c>
      <c r="E5217" s="545">
        <v>0</v>
      </c>
      <c r="F5217" s="545">
        <v>2.4285714285714284</v>
      </c>
      <c r="G5217" s="545">
        <v>2</v>
      </c>
      <c r="H5217" s="545">
        <v>0.66666666666666663</v>
      </c>
      <c r="I5217" s="545">
        <v>0</v>
      </c>
      <c r="J5217" s="545">
        <v>1.5238095238095237</v>
      </c>
    </row>
    <row r="5218" spans="1:10">
      <c r="A5218" s="441">
        <v>8945</v>
      </c>
      <c r="B5218" s="441" t="s">
        <v>4673</v>
      </c>
      <c r="C5218" s="545">
        <v>0</v>
      </c>
      <c r="D5218" s="545">
        <v>0</v>
      </c>
      <c r="E5218" s="545">
        <v>0</v>
      </c>
      <c r="F5218" s="545">
        <v>0</v>
      </c>
      <c r="G5218" s="545">
        <v>0.1</v>
      </c>
      <c r="H5218" s="545">
        <v>0</v>
      </c>
      <c r="I5218" s="545">
        <v>0</v>
      </c>
      <c r="J5218" s="545">
        <v>7.1428571428571425E-2</v>
      </c>
    </row>
    <row r="5219" spans="1:10">
      <c r="A5219" s="441">
        <v>90087</v>
      </c>
      <c r="B5219" s="441" t="s">
        <v>4674</v>
      </c>
      <c r="C5219" s="545">
        <v>10.666666666666668</v>
      </c>
      <c r="D5219" s="545">
        <v>5</v>
      </c>
      <c r="E5219" s="545">
        <v>1.6666666666666665</v>
      </c>
      <c r="F5219" s="545">
        <v>8.571428571428573</v>
      </c>
      <c r="G5219" s="545">
        <v>10.65</v>
      </c>
      <c r="H5219" s="545">
        <v>1</v>
      </c>
      <c r="I5219" s="545">
        <v>0</v>
      </c>
      <c r="J5219" s="545">
        <v>7.75</v>
      </c>
    </row>
    <row r="5220" spans="1:10">
      <c r="A5220" s="441">
        <v>11303</v>
      </c>
      <c r="B5220" s="441" t="s">
        <v>4675</v>
      </c>
      <c r="C5220" s="545">
        <v>22.333333333333336</v>
      </c>
      <c r="D5220" s="545">
        <v>11</v>
      </c>
      <c r="E5220" s="545">
        <v>13.666666666666668</v>
      </c>
      <c r="F5220" s="545">
        <v>19.476190476190478</v>
      </c>
      <c r="G5220" s="545">
        <v>22.8</v>
      </c>
      <c r="H5220" s="545">
        <v>11.666666666666666</v>
      </c>
      <c r="I5220" s="545">
        <v>16.666666666666668</v>
      </c>
      <c r="J5220" s="545">
        <v>20.333333333333336</v>
      </c>
    </row>
    <row r="5221" spans="1:10">
      <c r="A5221" s="441">
        <v>11881</v>
      </c>
      <c r="B5221" s="441" t="s">
        <v>4676</v>
      </c>
      <c r="C5221" s="545">
        <v>12.5</v>
      </c>
      <c r="D5221" s="545">
        <v>4.3333333333333339</v>
      </c>
      <c r="E5221" s="545">
        <v>3.6666666666666665</v>
      </c>
      <c r="F5221" s="545">
        <v>10.071428571428571</v>
      </c>
      <c r="G5221" s="545">
        <v>6</v>
      </c>
      <c r="H5221" s="545">
        <v>5.666666666666667</v>
      </c>
      <c r="I5221" s="545">
        <v>4.333333333333333</v>
      </c>
      <c r="J5221" s="545">
        <v>5.7142857142857144</v>
      </c>
    </row>
    <row r="5222" spans="1:10">
      <c r="A5222" s="441">
        <v>1367</v>
      </c>
      <c r="B5222" s="441" t="s">
        <v>4677</v>
      </c>
      <c r="C5222" s="545">
        <v>0</v>
      </c>
      <c r="D5222" s="545">
        <v>0</v>
      </c>
      <c r="E5222" s="545">
        <v>0</v>
      </c>
      <c r="F5222" s="545">
        <v>0</v>
      </c>
      <c r="G5222" s="545">
        <v>0</v>
      </c>
      <c r="H5222" s="545">
        <v>0.66666666666666663</v>
      </c>
      <c r="I5222" s="545">
        <v>0</v>
      </c>
      <c r="J5222" s="545">
        <v>9.5238095238095233E-2</v>
      </c>
    </row>
    <row r="5223" spans="1:10">
      <c r="A5223" s="441">
        <v>1317</v>
      </c>
      <c r="B5223" s="441" t="s">
        <v>4678</v>
      </c>
      <c r="C5223" s="545">
        <v>11.333333333333334</v>
      </c>
      <c r="D5223" s="545">
        <v>7</v>
      </c>
      <c r="E5223" s="545">
        <v>7</v>
      </c>
      <c r="F5223" s="545">
        <v>10.095238095238097</v>
      </c>
      <c r="G5223" s="545">
        <v>2.5499999999999998</v>
      </c>
      <c r="H5223" s="545">
        <v>0.66666666666666663</v>
      </c>
      <c r="I5223" s="545">
        <v>1.6666666666666667</v>
      </c>
      <c r="J5223" s="545">
        <v>2.1547619047619047</v>
      </c>
    </row>
    <row r="5224" spans="1:10">
      <c r="A5224" s="441">
        <v>2778</v>
      </c>
      <c r="B5224" s="441" t="s">
        <v>4678</v>
      </c>
      <c r="C5224" s="545">
        <v>11.166666666666668</v>
      </c>
      <c r="D5224" s="545">
        <v>10.333333333333332</v>
      </c>
      <c r="E5224" s="545">
        <v>4.333333333333333</v>
      </c>
      <c r="F5224" s="545">
        <v>10.071428571428571</v>
      </c>
      <c r="G5224" s="545">
        <v>1.95</v>
      </c>
      <c r="H5224" s="545">
        <v>2</v>
      </c>
      <c r="I5224" s="545">
        <v>3.3333333333333335</v>
      </c>
      <c r="J5224" s="545">
        <v>2.1547619047619047</v>
      </c>
    </row>
    <row r="5225" spans="1:10">
      <c r="A5225" s="441">
        <v>1353</v>
      </c>
      <c r="B5225" s="441" t="s">
        <v>4679</v>
      </c>
      <c r="C5225" s="545">
        <v>18</v>
      </c>
      <c r="D5225" s="545">
        <v>9.3333333333333339</v>
      </c>
      <c r="E5225" s="545">
        <v>7.666666666666667</v>
      </c>
      <c r="F5225" s="545">
        <v>15.285714285714286</v>
      </c>
      <c r="G5225" s="545">
        <v>9.8000000000000007</v>
      </c>
      <c r="H5225" s="545">
        <v>8.3333333333333339</v>
      </c>
      <c r="I5225" s="545">
        <v>11</v>
      </c>
      <c r="J5225" s="545">
        <v>9.7619047619047628</v>
      </c>
    </row>
    <row r="5226" spans="1:10">
      <c r="A5226" s="441">
        <v>1320</v>
      </c>
      <c r="B5226" s="441" t="s">
        <v>4680</v>
      </c>
      <c r="C5226" s="545">
        <v>5.5</v>
      </c>
      <c r="D5226" s="545">
        <v>5</v>
      </c>
      <c r="E5226" s="545">
        <v>5.333333333333333</v>
      </c>
      <c r="F5226" s="545">
        <v>5.4047619047619051</v>
      </c>
      <c r="G5226" s="545">
        <v>0.85</v>
      </c>
      <c r="H5226" s="545">
        <v>0</v>
      </c>
      <c r="I5226" s="545">
        <v>0.33333333333333331</v>
      </c>
      <c r="J5226" s="545">
        <v>0.65476190476190477</v>
      </c>
    </row>
    <row r="5227" spans="1:10">
      <c r="A5227" s="441">
        <v>2775</v>
      </c>
      <c r="B5227" s="441" t="s">
        <v>4680</v>
      </c>
      <c r="C5227" s="545">
        <v>2.5</v>
      </c>
      <c r="D5227" s="545">
        <v>2</v>
      </c>
      <c r="E5227" s="545">
        <v>3.6666666666666665</v>
      </c>
      <c r="F5227" s="545">
        <v>2.5952380952380953</v>
      </c>
      <c r="G5227" s="545">
        <v>1.1499999999999999</v>
      </c>
      <c r="H5227" s="545">
        <v>1</v>
      </c>
      <c r="I5227" s="545">
        <v>0</v>
      </c>
      <c r="J5227" s="545">
        <v>0.9642857142857143</v>
      </c>
    </row>
    <row r="5228" spans="1:10">
      <c r="A5228" s="441">
        <v>1330</v>
      </c>
      <c r="B5228" s="441" t="s">
        <v>4681</v>
      </c>
      <c r="C5228" s="545">
        <v>12.666666666666666</v>
      </c>
      <c r="D5228" s="545">
        <v>10</v>
      </c>
      <c r="E5228" s="545">
        <v>8</v>
      </c>
      <c r="F5228" s="545">
        <v>11.619047619047619</v>
      </c>
      <c r="G5228" s="545">
        <v>12.15</v>
      </c>
      <c r="H5228" s="545">
        <v>5</v>
      </c>
      <c r="I5228" s="545">
        <v>4.666666666666667</v>
      </c>
      <c r="J5228" s="545">
        <v>10.05952380952381</v>
      </c>
    </row>
    <row r="5229" spans="1:10">
      <c r="A5229" s="441">
        <v>1319</v>
      </c>
      <c r="B5229" s="441" t="s">
        <v>4682</v>
      </c>
      <c r="C5229" s="545">
        <v>2.3333333333333335</v>
      </c>
      <c r="D5229" s="545">
        <v>1.6666666666666667</v>
      </c>
      <c r="E5229" s="545">
        <v>2.3333333333333335</v>
      </c>
      <c r="F5229" s="545">
        <v>2.2380952380952381</v>
      </c>
      <c r="G5229" s="545">
        <v>1.35</v>
      </c>
      <c r="H5229" s="545">
        <v>0.66666666666666663</v>
      </c>
      <c r="I5229" s="545">
        <v>2.3333333333333335</v>
      </c>
      <c r="J5229" s="545">
        <v>1.3928571428571428</v>
      </c>
    </row>
    <row r="5230" spans="1:10">
      <c r="A5230" s="441">
        <v>2776</v>
      </c>
      <c r="B5230" s="441" t="s">
        <v>4682</v>
      </c>
      <c r="C5230" s="545">
        <v>0.5</v>
      </c>
      <c r="D5230" s="545">
        <v>1.3333333333333333</v>
      </c>
      <c r="E5230" s="545">
        <v>0.66666666666666663</v>
      </c>
      <c r="F5230" s="545">
        <v>0.6428571428571429</v>
      </c>
      <c r="G5230" s="545">
        <v>0.6</v>
      </c>
      <c r="H5230" s="545">
        <v>0.66666666666666663</v>
      </c>
      <c r="I5230" s="545">
        <v>0</v>
      </c>
      <c r="J5230" s="545">
        <v>0.52380952380952384</v>
      </c>
    </row>
    <row r="5231" spans="1:10">
      <c r="A5231" s="441">
        <v>1322</v>
      </c>
      <c r="B5231" s="441" t="s">
        <v>4683</v>
      </c>
      <c r="C5231" s="545">
        <v>23.333333333333332</v>
      </c>
      <c r="D5231" s="545">
        <v>3.6666666666666665</v>
      </c>
      <c r="E5231" s="545">
        <v>0</v>
      </c>
      <c r="F5231" s="545">
        <v>17.19047619047619</v>
      </c>
      <c r="G5231" s="545">
        <v>22.7</v>
      </c>
      <c r="H5231" s="545">
        <v>2</v>
      </c>
      <c r="I5231" s="545">
        <v>0.66666666666666663</v>
      </c>
      <c r="J5231" s="545">
        <v>16.595238095238095</v>
      </c>
    </row>
    <row r="5232" spans="1:10">
      <c r="A5232" s="441">
        <v>1326</v>
      </c>
      <c r="B5232" s="441" t="s">
        <v>4684</v>
      </c>
      <c r="C5232" s="545">
        <v>5.833333333333333</v>
      </c>
      <c r="D5232" s="545">
        <v>5</v>
      </c>
      <c r="E5232" s="545">
        <v>3.3333333333333335</v>
      </c>
      <c r="F5232" s="545">
        <v>5.3571428571428568</v>
      </c>
      <c r="G5232" s="545">
        <v>4.3499999999999996</v>
      </c>
      <c r="H5232" s="545">
        <v>3.3333333333333335</v>
      </c>
      <c r="I5232" s="545">
        <v>5</v>
      </c>
      <c r="J5232" s="545">
        <v>4.2976190476190474</v>
      </c>
    </row>
    <row r="5233" spans="1:10">
      <c r="A5233" s="441">
        <v>1350</v>
      </c>
      <c r="B5233" s="441" t="s">
        <v>4685</v>
      </c>
      <c r="C5233" s="545">
        <v>15.666666666666668</v>
      </c>
      <c r="D5233" s="545">
        <v>8</v>
      </c>
      <c r="E5233" s="545">
        <v>8.3333333333333321</v>
      </c>
      <c r="F5233" s="545">
        <v>13.523809523809524</v>
      </c>
      <c r="G5233" s="545">
        <v>11.65</v>
      </c>
      <c r="H5233" s="545">
        <v>8.3333333333333339</v>
      </c>
      <c r="I5233" s="545">
        <v>5.666666666666667</v>
      </c>
      <c r="J5233" s="545">
        <v>10.321428571428571</v>
      </c>
    </row>
    <row r="5234" spans="1:10">
      <c r="A5234" s="441">
        <v>2777</v>
      </c>
      <c r="B5234" s="441" t="s">
        <v>4686</v>
      </c>
      <c r="C5234" s="545">
        <v>3.6666666666666665</v>
      </c>
      <c r="D5234" s="545">
        <v>4</v>
      </c>
      <c r="E5234" s="545">
        <v>2</v>
      </c>
      <c r="F5234" s="545">
        <v>3.4761904761904758</v>
      </c>
      <c r="G5234" s="545">
        <v>4</v>
      </c>
      <c r="H5234" s="545">
        <v>2</v>
      </c>
      <c r="I5234" s="545">
        <v>3</v>
      </c>
      <c r="J5234" s="545">
        <v>3.5714285714285716</v>
      </c>
    </row>
    <row r="5235" spans="1:10">
      <c r="A5235" s="441">
        <v>11681</v>
      </c>
      <c r="B5235" s="441" t="s">
        <v>4686</v>
      </c>
      <c r="C5235" s="545">
        <v>6.333333333333333</v>
      </c>
      <c r="D5235" s="545">
        <v>0.33333333333333331</v>
      </c>
      <c r="E5235" s="545">
        <v>3.333333333333333</v>
      </c>
      <c r="F5235" s="545">
        <v>5.0476190476190466</v>
      </c>
      <c r="G5235" s="545">
        <v>3.65</v>
      </c>
      <c r="H5235" s="545">
        <v>3</v>
      </c>
      <c r="I5235" s="545">
        <v>1.3333333333333333</v>
      </c>
      <c r="J5235" s="545">
        <v>3.2261904761904758</v>
      </c>
    </row>
    <row r="5236" spans="1:10">
      <c r="A5236" s="441">
        <v>1321</v>
      </c>
      <c r="B5236" s="441" t="s">
        <v>4687</v>
      </c>
      <c r="C5236" s="545">
        <v>1.1666666666666667</v>
      </c>
      <c r="D5236" s="545">
        <v>0</v>
      </c>
      <c r="E5236" s="545">
        <v>0.33333333333333331</v>
      </c>
      <c r="F5236" s="545">
        <v>0.88095238095238104</v>
      </c>
      <c r="G5236" s="545">
        <v>8.25</v>
      </c>
      <c r="H5236" s="545">
        <v>3</v>
      </c>
      <c r="I5236" s="545">
        <v>2.3333333333333335</v>
      </c>
      <c r="J5236" s="545">
        <v>6.6547619047619051</v>
      </c>
    </row>
    <row r="5237" spans="1:10">
      <c r="A5237" s="441">
        <v>2774</v>
      </c>
      <c r="B5237" s="441" t="s">
        <v>4687</v>
      </c>
      <c r="C5237" s="545">
        <v>3.166666666666667</v>
      </c>
      <c r="D5237" s="545">
        <v>4.333333333333333</v>
      </c>
      <c r="E5237" s="545">
        <v>1.6666666666666665</v>
      </c>
      <c r="F5237" s="545">
        <v>3.1190476190476195</v>
      </c>
      <c r="G5237" s="545">
        <v>30.6</v>
      </c>
      <c r="H5237" s="545">
        <v>30</v>
      </c>
      <c r="I5237" s="545">
        <v>44</v>
      </c>
      <c r="J5237" s="545">
        <v>32.428571428571431</v>
      </c>
    </row>
    <row r="5238" spans="1:10">
      <c r="A5238" s="441">
        <v>1328</v>
      </c>
      <c r="B5238" s="441" t="s">
        <v>4688</v>
      </c>
      <c r="C5238" s="545">
        <v>49.666666666666664</v>
      </c>
      <c r="D5238" s="545">
        <v>31.333333333333336</v>
      </c>
      <c r="E5238" s="545">
        <v>20.666666666666664</v>
      </c>
      <c r="F5238" s="545">
        <v>42.904761904761905</v>
      </c>
      <c r="G5238" s="545">
        <v>39.35</v>
      </c>
      <c r="H5238" s="545">
        <v>24.333333333333332</v>
      </c>
      <c r="I5238" s="545">
        <v>17.333333333333332</v>
      </c>
      <c r="J5238" s="545">
        <v>34.05952380952381</v>
      </c>
    </row>
    <row r="5239" spans="1:10">
      <c r="A5239" s="441">
        <v>1352</v>
      </c>
      <c r="B5239" s="441" t="s">
        <v>4688</v>
      </c>
      <c r="C5239" s="545">
        <v>45.833333333333336</v>
      </c>
      <c r="D5239" s="545">
        <v>19.333333333333336</v>
      </c>
      <c r="E5239" s="545">
        <v>13.333333333333334</v>
      </c>
      <c r="F5239" s="545">
        <v>37.404761904761912</v>
      </c>
      <c r="G5239" s="545">
        <v>38.799999999999997</v>
      </c>
      <c r="H5239" s="545">
        <v>19.666666666666668</v>
      </c>
      <c r="I5239" s="545">
        <v>13.333333333333334</v>
      </c>
      <c r="J5239" s="545">
        <v>32.428571428571431</v>
      </c>
    </row>
    <row r="5240" spans="1:10">
      <c r="A5240" s="441">
        <v>1333</v>
      </c>
      <c r="B5240" s="441" t="s">
        <v>4689</v>
      </c>
      <c r="C5240" s="545">
        <v>18.5</v>
      </c>
      <c r="D5240" s="545">
        <v>8</v>
      </c>
      <c r="E5240" s="545">
        <v>2.6666666666666665</v>
      </c>
      <c r="F5240" s="545">
        <v>14.738095238095239</v>
      </c>
      <c r="G5240" s="545">
        <v>10.199999999999999</v>
      </c>
      <c r="H5240" s="545">
        <v>2</v>
      </c>
      <c r="I5240" s="545">
        <v>2.6666666666666665</v>
      </c>
      <c r="J5240" s="545">
        <v>7.9523809523809517</v>
      </c>
    </row>
    <row r="5241" spans="1:10">
      <c r="A5241" s="441">
        <v>1332</v>
      </c>
      <c r="B5241" s="441" t="s">
        <v>4690</v>
      </c>
      <c r="C5241" s="545">
        <v>1.1666666666666665</v>
      </c>
      <c r="D5241" s="545">
        <v>0</v>
      </c>
      <c r="E5241" s="545">
        <v>0.33333333333333331</v>
      </c>
      <c r="F5241" s="545">
        <v>0.88095238095238071</v>
      </c>
      <c r="G5241" s="545">
        <v>3.9</v>
      </c>
      <c r="H5241" s="545">
        <v>2</v>
      </c>
      <c r="I5241" s="545">
        <v>0.66666666666666663</v>
      </c>
      <c r="J5241" s="545">
        <v>3.166666666666667</v>
      </c>
    </row>
    <row r="5242" spans="1:10">
      <c r="A5242" s="441">
        <v>1348</v>
      </c>
      <c r="B5242" s="441" t="s">
        <v>4690</v>
      </c>
      <c r="C5242" s="545">
        <v>8</v>
      </c>
      <c r="D5242" s="545">
        <v>3.6666666666666665</v>
      </c>
      <c r="E5242" s="545">
        <v>3</v>
      </c>
      <c r="F5242" s="545">
        <v>6.6666666666666661</v>
      </c>
      <c r="G5242" s="545">
        <v>10.65</v>
      </c>
      <c r="H5242" s="545">
        <v>6</v>
      </c>
      <c r="I5242" s="545">
        <v>2.3333333333333335</v>
      </c>
      <c r="J5242" s="545">
        <v>8.7976190476190474</v>
      </c>
    </row>
    <row r="5243" spans="1:10">
      <c r="A5243" s="441">
        <v>1329</v>
      </c>
      <c r="B5243" s="441" t="s">
        <v>4691</v>
      </c>
      <c r="C5243" s="545">
        <v>4.6666666666666661</v>
      </c>
      <c r="D5243" s="545">
        <v>4.666666666666667</v>
      </c>
      <c r="E5243" s="545">
        <v>4.666666666666667</v>
      </c>
      <c r="F5243" s="545">
        <v>4.6666666666666661</v>
      </c>
      <c r="G5243" s="545">
        <v>8.6999999999999993</v>
      </c>
      <c r="H5243" s="545">
        <v>8.6666666666666661</v>
      </c>
      <c r="I5243" s="545">
        <v>4</v>
      </c>
      <c r="J5243" s="545">
        <v>8.0238095238095237</v>
      </c>
    </row>
    <row r="5244" spans="1:10">
      <c r="A5244" s="441">
        <v>1351</v>
      </c>
      <c r="B5244" s="441" t="s">
        <v>4691</v>
      </c>
      <c r="C5244" s="545">
        <v>7.666666666666667</v>
      </c>
      <c r="D5244" s="545">
        <v>12</v>
      </c>
      <c r="E5244" s="545">
        <v>3.6666666666666665</v>
      </c>
      <c r="F5244" s="545">
        <v>7.7142857142857144</v>
      </c>
      <c r="G5244" s="545">
        <v>9.6</v>
      </c>
      <c r="H5244" s="545">
        <v>8.3333333333333339</v>
      </c>
      <c r="I5244" s="545">
        <v>7.666666666666667</v>
      </c>
      <c r="J5244" s="545">
        <v>9.1428571428571423</v>
      </c>
    </row>
    <row r="5245" spans="1:10">
      <c r="A5245" s="441">
        <v>1372</v>
      </c>
      <c r="B5245" s="441" t="s">
        <v>4692</v>
      </c>
      <c r="C5245" s="545">
        <v>0</v>
      </c>
      <c r="D5245" s="545">
        <v>0.33333333333333331</v>
      </c>
      <c r="E5245" s="545">
        <v>1.6666666666666665</v>
      </c>
      <c r="F5245" s="545">
        <v>0.2857142857142857</v>
      </c>
      <c r="G5245" s="545">
        <v>0.05</v>
      </c>
      <c r="H5245" s="545">
        <v>0</v>
      </c>
      <c r="I5245" s="545">
        <v>0</v>
      </c>
      <c r="J5245" s="545">
        <v>3.5714285714285712E-2</v>
      </c>
    </row>
    <row r="5246" spans="1:10">
      <c r="A5246" s="441">
        <v>1331</v>
      </c>
      <c r="B5246" s="441" t="s">
        <v>4693</v>
      </c>
      <c r="C5246" s="545">
        <v>3.333333333333333</v>
      </c>
      <c r="D5246" s="545">
        <v>1.3333333333333333</v>
      </c>
      <c r="E5246" s="545">
        <v>0.66666666666666663</v>
      </c>
      <c r="F5246" s="545">
        <v>2.6666666666666665</v>
      </c>
      <c r="G5246" s="545">
        <v>1.4</v>
      </c>
      <c r="H5246" s="545">
        <v>0.66666666666666663</v>
      </c>
      <c r="I5246" s="545">
        <v>0</v>
      </c>
      <c r="J5246" s="545">
        <v>1.0952380952380953</v>
      </c>
    </row>
    <row r="5247" spans="1:10">
      <c r="A5247" s="441">
        <v>1349</v>
      </c>
      <c r="B5247" s="441" t="s">
        <v>4693</v>
      </c>
      <c r="C5247" s="545">
        <v>1.3333333333333333</v>
      </c>
      <c r="D5247" s="545">
        <v>0</v>
      </c>
      <c r="E5247" s="545">
        <v>1.6666666666666665</v>
      </c>
      <c r="F5247" s="545">
        <v>1.1904761904761902</v>
      </c>
      <c r="G5247" s="545">
        <v>1.3</v>
      </c>
      <c r="H5247" s="545">
        <v>0.33333333333333331</v>
      </c>
      <c r="I5247" s="545">
        <v>0.33333333333333331</v>
      </c>
      <c r="J5247" s="545">
        <v>1.0238095238095237</v>
      </c>
    </row>
    <row r="5248" spans="1:10">
      <c r="A5248" s="441">
        <v>1314</v>
      </c>
      <c r="B5248" s="441" t="s">
        <v>4694</v>
      </c>
      <c r="C5248" s="545">
        <v>14.833333333333334</v>
      </c>
      <c r="D5248" s="545">
        <v>13</v>
      </c>
      <c r="E5248" s="545">
        <v>14</v>
      </c>
      <c r="F5248" s="545">
        <v>14.452380952380953</v>
      </c>
      <c r="G5248" s="545">
        <v>13.3</v>
      </c>
      <c r="H5248" s="545">
        <v>8.6666666666666661</v>
      </c>
      <c r="I5248" s="545">
        <v>10.666666666666666</v>
      </c>
      <c r="J5248" s="545">
        <v>12.261904761904763</v>
      </c>
    </row>
    <row r="5249" spans="1:10">
      <c r="A5249" s="441">
        <v>1315</v>
      </c>
      <c r="B5249" s="441" t="s">
        <v>4694</v>
      </c>
      <c r="C5249" s="545">
        <v>15.833333333333334</v>
      </c>
      <c r="D5249" s="545">
        <v>10.666666666666666</v>
      </c>
      <c r="E5249" s="545">
        <v>9</v>
      </c>
      <c r="F5249" s="545">
        <v>14.11904761904762</v>
      </c>
      <c r="G5249" s="545">
        <v>5.9</v>
      </c>
      <c r="H5249" s="545">
        <v>2</v>
      </c>
      <c r="I5249" s="545">
        <v>2.6666666666666665</v>
      </c>
      <c r="J5249" s="545">
        <v>4.8809523809523805</v>
      </c>
    </row>
    <row r="5250" spans="1:10">
      <c r="A5250" s="441">
        <v>1316</v>
      </c>
      <c r="B5250" s="441" t="s">
        <v>4695</v>
      </c>
      <c r="C5250" s="545">
        <v>70.833333333333343</v>
      </c>
      <c r="D5250" s="545">
        <v>51</v>
      </c>
      <c r="E5250" s="545">
        <v>39</v>
      </c>
      <c r="F5250" s="545">
        <v>63.452380952380963</v>
      </c>
      <c r="G5250" s="545">
        <v>47.35</v>
      </c>
      <c r="H5250" s="545">
        <v>33.666666666666664</v>
      </c>
      <c r="I5250" s="545">
        <v>25.666666666666668</v>
      </c>
      <c r="J5250" s="545">
        <v>42.297619047619051</v>
      </c>
    </row>
    <row r="5251" spans="1:10">
      <c r="A5251" s="441">
        <v>2779</v>
      </c>
      <c r="B5251" s="441" t="s">
        <v>4695</v>
      </c>
      <c r="C5251" s="545">
        <v>76.166666666666671</v>
      </c>
      <c r="D5251" s="545">
        <v>38.333333333333336</v>
      </c>
      <c r="E5251" s="545">
        <v>36.333333333333336</v>
      </c>
      <c r="F5251" s="545">
        <v>65.071428571428569</v>
      </c>
      <c r="G5251" s="545">
        <v>32.4</v>
      </c>
      <c r="H5251" s="545">
        <v>18</v>
      </c>
      <c r="I5251" s="545">
        <v>17.333333333333332</v>
      </c>
      <c r="J5251" s="545">
        <v>28.190476190476193</v>
      </c>
    </row>
    <row r="5252" spans="1:10">
      <c r="A5252" s="441">
        <v>2780</v>
      </c>
      <c r="B5252" s="441" t="s">
        <v>4695</v>
      </c>
      <c r="C5252" s="545">
        <v>17</v>
      </c>
      <c r="D5252" s="545">
        <v>9.6666666666666679</v>
      </c>
      <c r="E5252" s="545">
        <v>8.3333333333333339</v>
      </c>
      <c r="F5252" s="545">
        <v>14.714285714285714</v>
      </c>
      <c r="G5252" s="545">
        <v>11.9</v>
      </c>
      <c r="H5252" s="545">
        <v>7</v>
      </c>
      <c r="I5252" s="545">
        <v>5.666666666666667</v>
      </c>
      <c r="J5252" s="545">
        <v>10.30952380952381</v>
      </c>
    </row>
    <row r="5253" spans="1:10">
      <c r="A5253" s="441">
        <v>1327</v>
      </c>
      <c r="B5253" s="441" t="s">
        <v>4696</v>
      </c>
      <c r="C5253" s="545">
        <v>15.333333333333332</v>
      </c>
      <c r="D5253" s="545">
        <v>9.3333333333333321</v>
      </c>
      <c r="E5253" s="545">
        <v>4.3333333333333339</v>
      </c>
      <c r="F5253" s="545">
        <v>12.904761904761902</v>
      </c>
      <c r="G5253" s="545">
        <v>8.25</v>
      </c>
      <c r="H5253" s="545">
        <v>7.666666666666667</v>
      </c>
      <c r="I5253" s="545">
        <v>8.3333333333333339</v>
      </c>
      <c r="J5253" s="545">
        <v>8.1785714285714288</v>
      </c>
    </row>
    <row r="5254" spans="1:10">
      <c r="A5254" s="441">
        <v>2781</v>
      </c>
      <c r="B5254" s="441" t="s">
        <v>4697</v>
      </c>
      <c r="C5254" s="545">
        <v>15.333333333333332</v>
      </c>
      <c r="D5254" s="545">
        <v>11.333333333333332</v>
      </c>
      <c r="E5254" s="545">
        <v>12.666666666666668</v>
      </c>
      <c r="F5254" s="545">
        <v>14.38095238095238</v>
      </c>
      <c r="G5254" s="545">
        <v>13.65</v>
      </c>
      <c r="H5254" s="545">
        <v>6.666666666666667</v>
      </c>
      <c r="I5254" s="545">
        <v>11.333333333333334</v>
      </c>
      <c r="J5254" s="545">
        <v>12.321428571428571</v>
      </c>
    </row>
    <row r="5255" spans="1:10">
      <c r="A5255" s="441">
        <v>11441</v>
      </c>
      <c r="B5255" s="441" t="s">
        <v>4698</v>
      </c>
      <c r="C5255" s="545">
        <v>18.833333333333332</v>
      </c>
      <c r="D5255" s="545">
        <v>12</v>
      </c>
      <c r="E5255" s="545">
        <v>6.666666666666667</v>
      </c>
      <c r="F5255" s="545">
        <v>16.119047619047617</v>
      </c>
      <c r="G5255" s="545">
        <v>9.65</v>
      </c>
      <c r="H5255" s="545">
        <v>7.333333333333333</v>
      </c>
      <c r="I5255" s="545">
        <v>9.6666666666666661</v>
      </c>
      <c r="J5255" s="545">
        <v>9.3214285714285712</v>
      </c>
    </row>
    <row r="5256" spans="1:10">
      <c r="A5256" s="441">
        <v>11440</v>
      </c>
      <c r="B5256" s="441" t="s">
        <v>4699</v>
      </c>
      <c r="C5256" s="545">
        <v>30.166666666666664</v>
      </c>
      <c r="D5256" s="545">
        <v>33.666666666666664</v>
      </c>
      <c r="E5256" s="545">
        <v>16</v>
      </c>
      <c r="F5256" s="545">
        <v>28.642857142857139</v>
      </c>
      <c r="G5256" s="545">
        <v>24</v>
      </c>
      <c r="H5256" s="545">
        <v>13.333333333333334</v>
      </c>
      <c r="I5256" s="545">
        <v>15.666666666666666</v>
      </c>
      <c r="J5256" s="545">
        <v>21.285714285714285</v>
      </c>
    </row>
    <row r="5257" spans="1:10">
      <c r="A5257" s="441">
        <v>78</v>
      </c>
      <c r="B5257" s="441" t="s">
        <v>4700</v>
      </c>
      <c r="C5257" s="545">
        <v>1621.5</v>
      </c>
      <c r="D5257" s="545">
        <v>1019</v>
      </c>
      <c r="E5257" s="545">
        <v>757.33333333333326</v>
      </c>
      <c r="F5257" s="545">
        <v>1411.9761904761906</v>
      </c>
      <c r="G5257" s="545">
        <v>925.65</v>
      </c>
      <c r="H5257" s="545">
        <v>593.33333333333337</v>
      </c>
      <c r="I5257" s="545">
        <v>510.33333333333331</v>
      </c>
      <c r="J5257" s="545">
        <v>818.84523809523796</v>
      </c>
    </row>
    <row r="5258" spans="1:10">
      <c r="A5258" s="441">
        <v>8177</v>
      </c>
      <c r="B5258" s="441" t="s">
        <v>4701</v>
      </c>
      <c r="C5258" s="545">
        <v>17.833333333333336</v>
      </c>
      <c r="D5258" s="545">
        <v>7.666666666666667</v>
      </c>
      <c r="E5258" s="545">
        <v>11</v>
      </c>
      <c r="F5258" s="545">
        <v>15.404761904761909</v>
      </c>
      <c r="G5258" s="545">
        <v>15.2</v>
      </c>
      <c r="H5258" s="545">
        <v>12.666666666666666</v>
      </c>
      <c r="I5258" s="545">
        <v>9.6666666666666661</v>
      </c>
      <c r="J5258" s="545">
        <v>14.047619047619049</v>
      </c>
    </row>
    <row r="5259" spans="1:10">
      <c r="A5259" s="441">
        <v>8178</v>
      </c>
      <c r="B5259" s="441" t="s">
        <v>4701</v>
      </c>
      <c r="C5259" s="545">
        <v>24.666666666666664</v>
      </c>
      <c r="D5259" s="545">
        <v>18</v>
      </c>
      <c r="E5259" s="545">
        <v>9.3333333333333339</v>
      </c>
      <c r="F5259" s="545">
        <v>21.523809523809522</v>
      </c>
      <c r="G5259" s="545">
        <v>21.35</v>
      </c>
      <c r="H5259" s="545">
        <v>12</v>
      </c>
      <c r="I5259" s="545">
        <v>11</v>
      </c>
      <c r="J5259" s="545">
        <v>18.535714285714285</v>
      </c>
    </row>
    <row r="5260" spans="1:10">
      <c r="A5260" s="441">
        <v>10957</v>
      </c>
      <c r="B5260" s="441" t="s">
        <v>4702</v>
      </c>
      <c r="C5260" s="545">
        <v>1.6666666666666665</v>
      </c>
      <c r="D5260" s="545">
        <v>1</v>
      </c>
      <c r="E5260" s="545">
        <v>3</v>
      </c>
      <c r="F5260" s="545">
        <v>1.7619047619047616</v>
      </c>
      <c r="G5260" s="545">
        <v>1.3</v>
      </c>
      <c r="H5260" s="545">
        <v>1</v>
      </c>
      <c r="I5260" s="545">
        <v>2</v>
      </c>
      <c r="J5260" s="545">
        <v>1.3571428571428572</v>
      </c>
    </row>
    <row r="5261" spans="1:10">
      <c r="A5261" s="441">
        <v>10958</v>
      </c>
      <c r="B5261" s="441" t="s">
        <v>4702</v>
      </c>
      <c r="C5261" s="545">
        <v>4.5</v>
      </c>
      <c r="D5261" s="545">
        <v>1</v>
      </c>
      <c r="E5261" s="545">
        <v>3.3333333333333335</v>
      </c>
      <c r="F5261" s="545">
        <v>3.833333333333333</v>
      </c>
      <c r="G5261" s="545">
        <v>1.9</v>
      </c>
      <c r="H5261" s="545">
        <v>1</v>
      </c>
      <c r="I5261" s="545">
        <v>1</v>
      </c>
      <c r="J5261" s="545">
        <v>1.6428571428571428</v>
      </c>
    </row>
    <row r="5262" spans="1:10">
      <c r="A5262" s="441">
        <v>657</v>
      </c>
      <c r="B5262" s="441" t="s">
        <v>4703</v>
      </c>
      <c r="C5262" s="545">
        <v>126</v>
      </c>
      <c r="D5262" s="545">
        <v>0</v>
      </c>
      <c r="E5262" s="545">
        <v>0</v>
      </c>
      <c r="F5262" s="545">
        <v>90</v>
      </c>
      <c r="G5262" s="545">
        <v>1.95</v>
      </c>
      <c r="H5262" s="545"/>
      <c r="I5262" s="545"/>
      <c r="J5262" s="545">
        <v>1.3928571428571428</v>
      </c>
    </row>
    <row r="5263" spans="1:10">
      <c r="A5263" s="441">
        <v>649</v>
      </c>
      <c r="B5263" s="441" t="s">
        <v>4704</v>
      </c>
      <c r="C5263" s="545">
        <v>343.33333333333337</v>
      </c>
      <c r="D5263" s="545">
        <v>0</v>
      </c>
      <c r="E5263" s="545">
        <v>0</v>
      </c>
      <c r="F5263" s="545">
        <v>245.23809523809527</v>
      </c>
      <c r="G5263" s="545">
        <v>7.65</v>
      </c>
      <c r="H5263" s="545"/>
      <c r="I5263" s="545"/>
      <c r="J5263" s="545">
        <v>5.4642857142857144</v>
      </c>
    </row>
    <row r="5264" spans="1:10">
      <c r="A5264" s="441">
        <v>656</v>
      </c>
      <c r="B5264" s="441" t="s">
        <v>4705</v>
      </c>
      <c r="C5264" s="545">
        <v>180.5</v>
      </c>
      <c r="D5264" s="545">
        <v>34.333333333333329</v>
      </c>
      <c r="E5264" s="545">
        <v>34.333333333333329</v>
      </c>
      <c r="F5264" s="545">
        <v>138.73809523809524</v>
      </c>
      <c r="G5264" s="545">
        <v>65.75</v>
      </c>
      <c r="H5264" s="545">
        <v>20.333333333333332</v>
      </c>
      <c r="I5264" s="545">
        <v>21</v>
      </c>
      <c r="J5264" s="545">
        <v>52.869047619047613</v>
      </c>
    </row>
    <row r="5265" spans="1:10">
      <c r="A5265" s="441">
        <v>619</v>
      </c>
      <c r="B5265" s="441" t="s">
        <v>4706</v>
      </c>
      <c r="C5265" s="545">
        <v>59.666666666666671</v>
      </c>
      <c r="D5265" s="545">
        <v>0</v>
      </c>
      <c r="E5265" s="545">
        <v>0</v>
      </c>
      <c r="F5265" s="545">
        <v>42.619047619047628</v>
      </c>
      <c r="G5265" s="545">
        <v>0.35</v>
      </c>
      <c r="H5265" s="545"/>
      <c r="I5265" s="545"/>
      <c r="J5265" s="545">
        <v>0.25</v>
      </c>
    </row>
    <row r="5266" spans="1:10">
      <c r="A5266" s="441">
        <v>654</v>
      </c>
      <c r="B5266" s="441" t="s">
        <v>4707</v>
      </c>
      <c r="C5266" s="545">
        <v>869.16666666666674</v>
      </c>
      <c r="D5266" s="545">
        <v>178</v>
      </c>
      <c r="E5266" s="545">
        <v>120</v>
      </c>
      <c r="F5266" s="545">
        <v>663.40476190476204</v>
      </c>
      <c r="G5266" s="545">
        <v>238.1</v>
      </c>
      <c r="H5266" s="545">
        <v>86</v>
      </c>
      <c r="I5266" s="545">
        <v>67</v>
      </c>
      <c r="J5266" s="545">
        <v>191.92857142857142</v>
      </c>
    </row>
    <row r="5267" spans="1:10">
      <c r="A5267" s="441">
        <v>9345</v>
      </c>
      <c r="B5267" s="441" t="s">
        <v>4708</v>
      </c>
      <c r="C5267" s="545">
        <v>158</v>
      </c>
      <c r="D5267" s="545">
        <v>61.333333333333336</v>
      </c>
      <c r="E5267" s="545">
        <v>52</v>
      </c>
      <c r="F5267" s="545">
        <v>129.04761904761907</v>
      </c>
      <c r="G5267" s="545">
        <v>85.8</v>
      </c>
      <c r="H5267" s="545">
        <v>41.333333333333336</v>
      </c>
      <c r="I5267" s="545">
        <v>30</v>
      </c>
      <c r="J5267" s="545">
        <v>71.476190476190467</v>
      </c>
    </row>
    <row r="5268" spans="1:10">
      <c r="A5268" s="441">
        <v>10991</v>
      </c>
      <c r="B5268" s="441" t="s">
        <v>4709</v>
      </c>
      <c r="C5268" s="545">
        <v>333.33333333333331</v>
      </c>
      <c r="D5268" s="545">
        <v>130</v>
      </c>
      <c r="E5268" s="545">
        <v>94</v>
      </c>
      <c r="F5268" s="545">
        <v>270.09523809523807</v>
      </c>
      <c r="G5268" s="545">
        <v>169</v>
      </c>
      <c r="H5268" s="545">
        <v>59</v>
      </c>
      <c r="I5268" s="545">
        <v>49.333333333333336</v>
      </c>
      <c r="J5268" s="545">
        <v>136.1904761904762</v>
      </c>
    </row>
    <row r="5269" spans="1:10">
      <c r="A5269" s="441">
        <v>9342</v>
      </c>
      <c r="B5269" s="441" t="s">
        <v>4710</v>
      </c>
      <c r="C5269" s="545">
        <v>9</v>
      </c>
      <c r="D5269" s="545">
        <v>11.333333333333334</v>
      </c>
      <c r="E5269" s="545">
        <v>10</v>
      </c>
      <c r="F5269" s="545">
        <v>9.4761904761904781</v>
      </c>
      <c r="G5269" s="545">
        <v>9.1</v>
      </c>
      <c r="H5269" s="545">
        <v>6</v>
      </c>
      <c r="I5269" s="545">
        <v>4</v>
      </c>
      <c r="J5269" s="545">
        <v>7.9285714285714288</v>
      </c>
    </row>
    <row r="5270" spans="1:10">
      <c r="A5270" s="441">
        <v>621</v>
      </c>
      <c r="B5270" s="441" t="s">
        <v>4711</v>
      </c>
      <c r="C5270" s="545">
        <v>336.33333333333337</v>
      </c>
      <c r="D5270" s="545">
        <v>51.666666666666671</v>
      </c>
      <c r="E5270" s="545">
        <v>49.333333333333336</v>
      </c>
      <c r="F5270" s="545">
        <v>254.66666666666671</v>
      </c>
      <c r="G5270" s="545">
        <v>97.5</v>
      </c>
      <c r="H5270" s="545">
        <v>40</v>
      </c>
      <c r="I5270" s="545">
        <v>71</v>
      </c>
      <c r="J5270" s="545">
        <v>85.5</v>
      </c>
    </row>
    <row r="5271" spans="1:10">
      <c r="A5271" s="441">
        <v>653</v>
      </c>
      <c r="B5271" s="441" t="s">
        <v>4712</v>
      </c>
      <c r="C5271" s="545">
        <v>397.33333333333331</v>
      </c>
      <c r="D5271" s="545">
        <v>0</v>
      </c>
      <c r="E5271" s="545">
        <v>0</v>
      </c>
      <c r="F5271" s="545">
        <v>283.8095238095238</v>
      </c>
      <c r="G5271" s="545">
        <v>2.5</v>
      </c>
      <c r="H5271" s="545"/>
      <c r="I5271" s="545"/>
      <c r="J5271" s="545">
        <v>1.7857142857142858</v>
      </c>
    </row>
    <row r="5272" spans="1:10">
      <c r="A5272" s="441">
        <v>658</v>
      </c>
      <c r="B5272" s="441" t="s">
        <v>4713</v>
      </c>
      <c r="C5272" s="545">
        <v>210.16666666666669</v>
      </c>
      <c r="D5272" s="545">
        <v>25.666666666666668</v>
      </c>
      <c r="E5272" s="545">
        <v>23.333333333333336</v>
      </c>
      <c r="F5272" s="545">
        <v>157.11904761904765</v>
      </c>
      <c r="G5272" s="545">
        <v>77.75</v>
      </c>
      <c r="H5272" s="545">
        <v>16.666666666666668</v>
      </c>
      <c r="I5272" s="545">
        <v>16.333333333333332</v>
      </c>
      <c r="J5272" s="545">
        <v>60.25</v>
      </c>
    </row>
    <row r="5273" spans="1:10">
      <c r="A5273" s="441">
        <v>9354</v>
      </c>
      <c r="B5273" s="441" t="s">
        <v>4714</v>
      </c>
      <c r="C5273" s="545">
        <v>143</v>
      </c>
      <c r="D5273" s="545">
        <v>106</v>
      </c>
      <c r="E5273" s="545">
        <v>68.666666666666671</v>
      </c>
      <c r="F5273" s="545">
        <v>127.09523809523809</v>
      </c>
      <c r="G5273" s="545">
        <v>110.3</v>
      </c>
      <c r="H5273" s="545">
        <v>67.333333333333329</v>
      </c>
      <c r="I5273" s="545">
        <v>64</v>
      </c>
      <c r="J5273" s="545">
        <v>97.547619047619051</v>
      </c>
    </row>
    <row r="5274" spans="1:10">
      <c r="A5274" s="441">
        <v>652</v>
      </c>
      <c r="B5274" s="441" t="s">
        <v>4715</v>
      </c>
      <c r="C5274" s="545">
        <v>1006.3333333333333</v>
      </c>
      <c r="D5274" s="545">
        <v>182</v>
      </c>
      <c r="E5274" s="545">
        <v>125.33333333333334</v>
      </c>
      <c r="F5274" s="545">
        <v>762.71428571428555</v>
      </c>
      <c r="G5274" s="545">
        <v>315.60000000000002</v>
      </c>
      <c r="H5274" s="545">
        <v>109.66666666666667</v>
      </c>
      <c r="I5274" s="545">
        <v>83.666666666666671</v>
      </c>
      <c r="J5274" s="545">
        <v>253.04761904761907</v>
      </c>
    </row>
    <row r="5275" spans="1:10">
      <c r="A5275" s="441">
        <v>659</v>
      </c>
      <c r="B5275" s="441" t="s">
        <v>4716</v>
      </c>
      <c r="C5275" s="545">
        <v>65</v>
      </c>
      <c r="D5275" s="545">
        <v>0</v>
      </c>
      <c r="E5275" s="545">
        <v>0</v>
      </c>
      <c r="F5275" s="545">
        <v>46.428571428571431</v>
      </c>
      <c r="G5275" s="545">
        <v>0.65</v>
      </c>
      <c r="H5275" s="545"/>
      <c r="I5275" s="545"/>
      <c r="J5275" s="545">
        <v>0.4642857142857143</v>
      </c>
    </row>
    <row r="5276" spans="1:10">
      <c r="A5276" s="441">
        <v>623</v>
      </c>
      <c r="B5276" s="441" t="s">
        <v>4717</v>
      </c>
      <c r="C5276" s="545">
        <v>537</v>
      </c>
      <c r="D5276" s="545">
        <v>392.33333333333331</v>
      </c>
      <c r="E5276" s="545">
        <v>323</v>
      </c>
      <c r="F5276" s="545">
        <v>485.76190476190476</v>
      </c>
      <c r="G5276" s="545">
        <v>372.15</v>
      </c>
      <c r="H5276" s="545">
        <v>261.33333333333331</v>
      </c>
      <c r="I5276" s="545">
        <v>189.66666666666666</v>
      </c>
      <c r="J5276" s="545">
        <v>330.25</v>
      </c>
    </row>
    <row r="5277" spans="1:10">
      <c r="A5277" s="441">
        <v>655</v>
      </c>
      <c r="B5277" s="441" t="s">
        <v>4718</v>
      </c>
      <c r="C5277" s="545">
        <v>116.33333333333333</v>
      </c>
      <c r="D5277" s="545">
        <v>0</v>
      </c>
      <c r="E5277" s="545">
        <v>0</v>
      </c>
      <c r="F5277" s="545">
        <v>83.095238095238088</v>
      </c>
      <c r="G5277" s="545">
        <v>1.2</v>
      </c>
      <c r="H5277" s="545"/>
      <c r="I5277" s="545"/>
      <c r="J5277" s="545">
        <v>0.8571428571428571</v>
      </c>
    </row>
    <row r="5278" spans="1:10">
      <c r="A5278" s="441">
        <v>647</v>
      </c>
      <c r="B5278" s="441" t="s">
        <v>4719</v>
      </c>
      <c r="C5278" s="545">
        <v>8</v>
      </c>
      <c r="D5278" s="545">
        <v>0</v>
      </c>
      <c r="E5278" s="545">
        <v>0</v>
      </c>
      <c r="F5278" s="545">
        <v>5.7142857142857144</v>
      </c>
      <c r="G5278" s="545">
        <v>1.5</v>
      </c>
      <c r="H5278" s="545"/>
      <c r="I5278" s="545"/>
      <c r="J5278" s="545">
        <v>1.0714285714285714</v>
      </c>
    </row>
    <row r="5279" spans="1:10">
      <c r="A5279" s="441">
        <v>620</v>
      </c>
      <c r="B5279" s="441" t="s">
        <v>4720</v>
      </c>
      <c r="C5279" s="545">
        <v>406.5</v>
      </c>
      <c r="D5279" s="545">
        <v>80.666666666666657</v>
      </c>
      <c r="E5279" s="545">
        <v>54.333333333333329</v>
      </c>
      <c r="F5279" s="545">
        <v>309.64285714285717</v>
      </c>
      <c r="G5279" s="545">
        <v>213.65</v>
      </c>
      <c r="H5279" s="545">
        <v>63</v>
      </c>
      <c r="I5279" s="545">
        <v>47.666666666666664</v>
      </c>
      <c r="J5279" s="545">
        <v>168.41666666666669</v>
      </c>
    </row>
    <row r="5280" spans="1:10">
      <c r="A5280" s="441">
        <v>650</v>
      </c>
      <c r="B5280" s="441" t="s">
        <v>4721</v>
      </c>
      <c r="C5280" s="545">
        <v>946.33333333333326</v>
      </c>
      <c r="D5280" s="545">
        <v>223.66666666666669</v>
      </c>
      <c r="E5280" s="545">
        <v>174.33333333333331</v>
      </c>
      <c r="F5280" s="545">
        <v>732.80952380952374</v>
      </c>
      <c r="G5280" s="545">
        <v>385.1</v>
      </c>
      <c r="H5280" s="545">
        <v>119.66666666666667</v>
      </c>
      <c r="I5280" s="545">
        <v>120.33333333333333</v>
      </c>
      <c r="J5280" s="545">
        <v>309.35714285714283</v>
      </c>
    </row>
    <row r="5281" spans="1:10">
      <c r="A5281" s="441">
        <v>648</v>
      </c>
      <c r="B5281" s="441" t="s">
        <v>4722</v>
      </c>
      <c r="C5281" s="545">
        <v>563.33333333333337</v>
      </c>
      <c r="D5281" s="545">
        <v>190.66666666666666</v>
      </c>
      <c r="E5281" s="545">
        <v>141</v>
      </c>
      <c r="F5281" s="545">
        <v>449.76190476190476</v>
      </c>
      <c r="G5281" s="545">
        <v>277.85000000000002</v>
      </c>
      <c r="H5281" s="545">
        <v>118.66666666666667</v>
      </c>
      <c r="I5281" s="545">
        <v>112</v>
      </c>
      <c r="J5281" s="545">
        <v>231.41666666666669</v>
      </c>
    </row>
    <row r="5282" spans="1:10">
      <c r="A5282" s="441">
        <v>9344</v>
      </c>
      <c r="B5282" s="441" t="s">
        <v>4723</v>
      </c>
      <c r="C5282" s="545">
        <v>21.666666666666668</v>
      </c>
      <c r="D5282" s="545">
        <v>14</v>
      </c>
      <c r="E5282" s="545">
        <v>11</v>
      </c>
      <c r="F5282" s="545">
        <v>19.047619047619047</v>
      </c>
      <c r="G5282" s="545">
        <v>13.5</v>
      </c>
      <c r="H5282" s="545">
        <v>5.666666666666667</v>
      </c>
      <c r="I5282" s="545">
        <v>7.333333333333333</v>
      </c>
      <c r="J5282" s="545">
        <v>11.5</v>
      </c>
    </row>
    <row r="5283" spans="1:10">
      <c r="A5283" s="441">
        <v>651</v>
      </c>
      <c r="B5283" s="441" t="s">
        <v>4724</v>
      </c>
      <c r="C5283" s="545">
        <v>287.66666666666669</v>
      </c>
      <c r="D5283" s="545">
        <v>0</v>
      </c>
      <c r="E5283" s="545">
        <v>0</v>
      </c>
      <c r="F5283" s="545">
        <v>205.47619047619051</v>
      </c>
      <c r="G5283" s="545">
        <v>8.75</v>
      </c>
      <c r="H5283" s="545"/>
      <c r="I5283" s="545"/>
      <c r="J5283" s="545">
        <v>6.25</v>
      </c>
    </row>
    <row r="5284" spans="1:10">
      <c r="A5284" s="441">
        <v>9343</v>
      </c>
      <c r="B5284" s="441" t="s">
        <v>4725</v>
      </c>
      <c r="C5284" s="545">
        <v>101</v>
      </c>
      <c r="D5284" s="545">
        <v>87</v>
      </c>
      <c r="E5284" s="545">
        <v>61.666666666666664</v>
      </c>
      <c r="F5284" s="545">
        <v>93.38095238095238</v>
      </c>
      <c r="G5284" s="545">
        <v>61.7</v>
      </c>
      <c r="H5284" s="545">
        <v>38.333333333333336</v>
      </c>
      <c r="I5284" s="545">
        <v>42.666666666666664</v>
      </c>
      <c r="J5284" s="545">
        <v>55.642857142857146</v>
      </c>
    </row>
    <row r="5285" spans="1:10">
      <c r="A5285" s="441">
        <v>2893</v>
      </c>
      <c r="B5285" s="441" t="s">
        <v>4726</v>
      </c>
      <c r="C5285" s="545">
        <v>2.6666666666666665</v>
      </c>
      <c r="D5285" s="545">
        <v>1</v>
      </c>
      <c r="E5285" s="545">
        <v>1</v>
      </c>
      <c r="F5285" s="545">
        <v>2.1904761904761902</v>
      </c>
      <c r="G5285" s="545">
        <v>0.3</v>
      </c>
      <c r="H5285" s="545">
        <v>1</v>
      </c>
      <c r="I5285" s="545">
        <v>0</v>
      </c>
      <c r="J5285" s="545">
        <v>0.35714285714285715</v>
      </c>
    </row>
    <row r="5286" spans="1:10">
      <c r="A5286" s="441">
        <v>2890</v>
      </c>
      <c r="B5286" s="441" t="s">
        <v>4727</v>
      </c>
      <c r="C5286" s="545">
        <v>29.333333333333336</v>
      </c>
      <c r="D5286" s="545">
        <v>10</v>
      </c>
      <c r="E5286" s="545">
        <v>15</v>
      </c>
      <c r="F5286" s="545">
        <v>24.523809523809526</v>
      </c>
      <c r="G5286" s="545">
        <v>11.65</v>
      </c>
      <c r="H5286" s="545">
        <v>7.666666666666667</v>
      </c>
      <c r="I5286" s="545">
        <v>5.666666666666667</v>
      </c>
      <c r="J5286" s="545">
        <v>10.226190476190478</v>
      </c>
    </row>
    <row r="5287" spans="1:10">
      <c r="A5287" s="441">
        <v>94</v>
      </c>
      <c r="B5287" s="441" t="s">
        <v>4728</v>
      </c>
      <c r="C5287" s="545">
        <v>2325.333333333333</v>
      </c>
      <c r="D5287" s="545">
        <v>1314.6666666666665</v>
      </c>
      <c r="E5287" s="545">
        <v>1207.3333333333333</v>
      </c>
      <c r="F5287" s="545">
        <v>2021.238095238095</v>
      </c>
      <c r="G5287" s="545">
        <v>1417.5</v>
      </c>
      <c r="H5287" s="545">
        <v>1065</v>
      </c>
      <c r="I5287" s="545">
        <v>943.66666666666663</v>
      </c>
      <c r="J5287" s="545">
        <v>1299.452380952381</v>
      </c>
    </row>
    <row r="5288" spans="1:10">
      <c r="A5288" s="441">
        <v>1794</v>
      </c>
      <c r="B5288" s="441" t="s">
        <v>4729</v>
      </c>
      <c r="C5288" s="545">
        <v>44.166666666666671</v>
      </c>
      <c r="D5288" s="545">
        <v>36.666666666666671</v>
      </c>
      <c r="E5288" s="545">
        <v>35.666666666666664</v>
      </c>
      <c r="F5288" s="545">
        <v>41.880952380952394</v>
      </c>
      <c r="G5288" s="545">
        <v>43.1</v>
      </c>
      <c r="H5288" s="545">
        <v>38.333333333333336</v>
      </c>
      <c r="I5288" s="545">
        <v>39</v>
      </c>
      <c r="J5288" s="545">
        <v>41.833333333333336</v>
      </c>
    </row>
    <row r="5289" spans="1:10">
      <c r="A5289" s="441">
        <v>1807</v>
      </c>
      <c r="B5289" s="441" t="s">
        <v>4730</v>
      </c>
      <c r="C5289" s="545">
        <v>5.8333333333333339</v>
      </c>
      <c r="D5289" s="545">
        <v>6.3333333333333339</v>
      </c>
      <c r="E5289" s="545">
        <v>0</v>
      </c>
      <c r="F5289" s="545">
        <v>5.0714285714285721</v>
      </c>
      <c r="G5289" s="545">
        <v>3.65</v>
      </c>
      <c r="H5289" s="545">
        <v>2.6666666666666665</v>
      </c>
      <c r="I5289" s="545">
        <v>4</v>
      </c>
      <c r="J5289" s="545">
        <v>3.5595238095238098</v>
      </c>
    </row>
    <row r="5290" spans="1:10">
      <c r="A5290" s="441">
        <v>1793</v>
      </c>
      <c r="B5290" s="441" t="s">
        <v>4731</v>
      </c>
      <c r="C5290" s="545">
        <v>6.1666666666666661</v>
      </c>
      <c r="D5290" s="545">
        <v>2.3333333333333335</v>
      </c>
      <c r="E5290" s="545">
        <v>3</v>
      </c>
      <c r="F5290" s="545">
        <v>5.1666666666666661</v>
      </c>
      <c r="G5290" s="545">
        <v>2.5499999999999998</v>
      </c>
      <c r="H5290" s="545">
        <v>1.6666666666666667</v>
      </c>
      <c r="I5290" s="545">
        <v>1</v>
      </c>
      <c r="J5290" s="545">
        <v>2.2023809523809521</v>
      </c>
    </row>
    <row r="5291" spans="1:10">
      <c r="A5291" s="441">
        <v>1792</v>
      </c>
      <c r="B5291" s="441" t="s">
        <v>4732</v>
      </c>
      <c r="C5291" s="545">
        <v>3.166666666666667</v>
      </c>
      <c r="D5291" s="545">
        <v>4.666666666666667</v>
      </c>
      <c r="E5291" s="545">
        <v>4</v>
      </c>
      <c r="F5291" s="545">
        <v>3.5000000000000004</v>
      </c>
      <c r="G5291" s="545">
        <v>1.4</v>
      </c>
      <c r="H5291" s="545">
        <v>0</v>
      </c>
      <c r="I5291" s="545">
        <v>1.3333333333333333</v>
      </c>
      <c r="J5291" s="545">
        <v>1.1904761904761905</v>
      </c>
    </row>
    <row r="5292" spans="1:10">
      <c r="A5292" s="441">
        <v>97</v>
      </c>
      <c r="B5292" s="441" t="s">
        <v>4733</v>
      </c>
      <c r="C5292" s="545">
        <v>1194</v>
      </c>
      <c r="D5292" s="545">
        <v>538.66666666666663</v>
      </c>
      <c r="E5292" s="545">
        <v>404.66666666666663</v>
      </c>
      <c r="F5292" s="545">
        <v>987.61904761904771</v>
      </c>
      <c r="G5292" s="545">
        <v>716.5</v>
      </c>
      <c r="H5292" s="545">
        <v>269.33333333333331</v>
      </c>
      <c r="I5292" s="545">
        <v>304</v>
      </c>
      <c r="J5292" s="545">
        <v>593.69047619047626</v>
      </c>
    </row>
    <row r="5293" spans="1:10">
      <c r="A5293" s="441">
        <v>11297</v>
      </c>
      <c r="B5293" s="441" t="s">
        <v>4734</v>
      </c>
      <c r="C5293" s="545">
        <v>414</v>
      </c>
      <c r="D5293" s="545">
        <v>93.333333333333329</v>
      </c>
      <c r="E5293" s="545">
        <v>73</v>
      </c>
      <c r="F5293" s="545">
        <v>319.47619047619048</v>
      </c>
      <c r="G5293" s="545">
        <v>203.1</v>
      </c>
      <c r="H5293" s="545">
        <v>49.666666666666664</v>
      </c>
      <c r="I5293" s="545">
        <v>44</v>
      </c>
      <c r="J5293" s="545">
        <v>158.45238095238096</v>
      </c>
    </row>
    <row r="5294" spans="1:10">
      <c r="A5294" s="441">
        <v>12146</v>
      </c>
      <c r="B5294" s="441" t="s">
        <v>4735</v>
      </c>
      <c r="C5294" s="545">
        <v>407.83333333333337</v>
      </c>
      <c r="D5294" s="545">
        <v>132.33333333333331</v>
      </c>
      <c r="E5294" s="545">
        <v>135.66666666666666</v>
      </c>
      <c r="F5294" s="545">
        <v>329.59523809523813</v>
      </c>
      <c r="G5294" s="545">
        <v>224.15</v>
      </c>
      <c r="H5294" s="545">
        <v>156</v>
      </c>
      <c r="I5294" s="545">
        <v>139.66666666666666</v>
      </c>
      <c r="J5294" s="545">
        <v>202.3452380952381</v>
      </c>
    </row>
    <row r="5295" spans="1:10">
      <c r="A5295" s="441">
        <v>82</v>
      </c>
      <c r="B5295" s="441" t="s">
        <v>4736</v>
      </c>
      <c r="C5295" s="545">
        <v>538.33333333333337</v>
      </c>
      <c r="D5295" s="545">
        <v>0</v>
      </c>
      <c r="E5295" s="545">
        <v>0</v>
      </c>
      <c r="F5295" s="545">
        <v>384.52380952380958</v>
      </c>
      <c r="G5295" s="545">
        <v>117.85</v>
      </c>
      <c r="H5295" s="545"/>
      <c r="I5295" s="545"/>
      <c r="J5295" s="545">
        <v>84.178571428571431</v>
      </c>
    </row>
    <row r="5296" spans="1:10">
      <c r="A5296" s="441">
        <v>7323</v>
      </c>
      <c r="B5296" s="441" t="s">
        <v>4737</v>
      </c>
      <c r="C5296" s="545">
        <v>8.1666666666666661</v>
      </c>
      <c r="D5296" s="545">
        <v>3.666666666666667</v>
      </c>
      <c r="E5296" s="545">
        <v>1</v>
      </c>
      <c r="F5296" s="545">
        <v>6.4999999999999991</v>
      </c>
      <c r="G5296" s="545">
        <v>6.45</v>
      </c>
      <c r="H5296" s="545">
        <v>3.3333333333333335</v>
      </c>
      <c r="I5296" s="545">
        <v>1.6666666666666667</v>
      </c>
      <c r="J5296" s="545">
        <v>5.3214285714285712</v>
      </c>
    </row>
    <row r="5297" spans="1:10">
      <c r="A5297" s="441">
        <v>7327</v>
      </c>
      <c r="B5297" s="441" t="s">
        <v>4738</v>
      </c>
      <c r="C5297" s="545">
        <v>1</v>
      </c>
      <c r="D5297" s="545">
        <v>0.33333333333333331</v>
      </c>
      <c r="E5297" s="545">
        <v>0</v>
      </c>
      <c r="F5297" s="545">
        <v>0.76190476190476186</v>
      </c>
      <c r="G5297" s="545">
        <v>0.5</v>
      </c>
      <c r="H5297" s="545">
        <v>1.6666666666666667</v>
      </c>
      <c r="I5297" s="545">
        <v>0.66666666666666663</v>
      </c>
      <c r="J5297" s="545">
        <v>0.69047619047619058</v>
      </c>
    </row>
    <row r="5298" spans="1:10">
      <c r="A5298" s="441">
        <v>8337</v>
      </c>
      <c r="B5298" s="441" t="s">
        <v>4739</v>
      </c>
      <c r="C5298" s="545">
        <v>80.833333333333329</v>
      </c>
      <c r="D5298" s="545">
        <v>42</v>
      </c>
      <c r="E5298" s="545">
        <v>38.666666666666664</v>
      </c>
      <c r="F5298" s="545">
        <v>69.261904761904759</v>
      </c>
      <c r="G5298" s="545">
        <v>33.4</v>
      </c>
      <c r="H5298" s="545">
        <v>22</v>
      </c>
      <c r="I5298" s="545">
        <v>24.333333333333332</v>
      </c>
      <c r="J5298" s="545">
        <v>30.476190476190478</v>
      </c>
    </row>
    <row r="5299" spans="1:10">
      <c r="A5299" s="441">
        <v>7333</v>
      </c>
      <c r="B5299" s="441" t="s">
        <v>4740</v>
      </c>
      <c r="C5299" s="545">
        <v>21</v>
      </c>
      <c r="D5299" s="545">
        <v>12</v>
      </c>
      <c r="E5299" s="545">
        <v>12.333333333333334</v>
      </c>
      <c r="F5299" s="545">
        <v>18.476190476190478</v>
      </c>
      <c r="G5299" s="545">
        <v>8.4</v>
      </c>
      <c r="H5299" s="545">
        <v>8</v>
      </c>
      <c r="I5299" s="545">
        <v>6.333333333333333</v>
      </c>
      <c r="J5299" s="545">
        <v>8.0476190476190474</v>
      </c>
    </row>
    <row r="5300" spans="1:10">
      <c r="A5300" s="441">
        <v>7324</v>
      </c>
      <c r="B5300" s="441" t="s">
        <v>4741</v>
      </c>
      <c r="C5300" s="545">
        <v>17.666666666666668</v>
      </c>
      <c r="D5300" s="545">
        <v>5.6666666666666661</v>
      </c>
      <c r="E5300" s="545">
        <v>7.6666666666666661</v>
      </c>
      <c r="F5300" s="545">
        <v>14.523809523809527</v>
      </c>
      <c r="G5300" s="545">
        <v>9.8000000000000007</v>
      </c>
      <c r="H5300" s="545">
        <v>6.666666666666667</v>
      </c>
      <c r="I5300" s="545">
        <v>4.666666666666667</v>
      </c>
      <c r="J5300" s="545">
        <v>8.6190476190476186</v>
      </c>
    </row>
    <row r="5301" spans="1:10">
      <c r="A5301" s="441">
        <v>8345</v>
      </c>
      <c r="B5301" s="441" t="s">
        <v>4742</v>
      </c>
      <c r="C5301" s="545">
        <v>5.8333333333333339</v>
      </c>
      <c r="D5301" s="545">
        <v>2</v>
      </c>
      <c r="E5301" s="545">
        <v>1.6666666666666665</v>
      </c>
      <c r="F5301" s="545">
        <v>4.6904761904761907</v>
      </c>
      <c r="G5301" s="545">
        <v>2.0499999999999998</v>
      </c>
      <c r="H5301" s="545">
        <v>1.3333333333333333</v>
      </c>
      <c r="I5301" s="545">
        <v>1.3333333333333333</v>
      </c>
      <c r="J5301" s="545">
        <v>1.8452380952380953</v>
      </c>
    </row>
    <row r="5302" spans="1:10">
      <c r="A5302" s="441">
        <v>7331</v>
      </c>
      <c r="B5302" s="441" t="s">
        <v>4743</v>
      </c>
      <c r="C5302" s="545">
        <v>56.833333333333329</v>
      </c>
      <c r="D5302" s="545">
        <v>21.666666666666664</v>
      </c>
      <c r="E5302" s="545">
        <v>29.666666666666668</v>
      </c>
      <c r="F5302" s="545">
        <v>47.928571428571431</v>
      </c>
      <c r="G5302" s="545">
        <v>21.95</v>
      </c>
      <c r="H5302" s="545">
        <v>16</v>
      </c>
      <c r="I5302" s="545">
        <v>11</v>
      </c>
      <c r="J5302" s="545">
        <v>19.535714285714285</v>
      </c>
    </row>
    <row r="5303" spans="1:10">
      <c r="A5303" s="441">
        <v>11399</v>
      </c>
      <c r="B5303" s="441" t="s">
        <v>4744</v>
      </c>
      <c r="C5303" s="545">
        <v>35.666666666666664</v>
      </c>
      <c r="D5303" s="545">
        <v>17</v>
      </c>
      <c r="E5303" s="545">
        <v>14</v>
      </c>
      <c r="F5303" s="545">
        <v>29.904761904761902</v>
      </c>
      <c r="G5303" s="545">
        <v>25.75</v>
      </c>
      <c r="H5303" s="545">
        <v>7</v>
      </c>
      <c r="I5303" s="545">
        <v>7.666666666666667</v>
      </c>
      <c r="J5303" s="545">
        <v>20.488095238095237</v>
      </c>
    </row>
    <row r="5304" spans="1:10">
      <c r="A5304" s="441">
        <v>12658</v>
      </c>
      <c r="B5304" s="441" t="s">
        <v>4745</v>
      </c>
      <c r="C5304" s="545">
        <v>16.666666666666668</v>
      </c>
      <c r="D5304" s="545">
        <v>6.666666666666667</v>
      </c>
      <c r="E5304" s="545">
        <v>4.333333333333333</v>
      </c>
      <c r="F5304" s="545">
        <v>13.476190476190478</v>
      </c>
      <c r="G5304" s="545">
        <v>9.4499999999999993</v>
      </c>
      <c r="H5304" s="545">
        <v>5</v>
      </c>
      <c r="I5304" s="545">
        <v>3.3333333333333335</v>
      </c>
      <c r="J5304" s="545">
        <v>7.9404761904761907</v>
      </c>
    </row>
    <row r="5305" spans="1:10">
      <c r="A5305" s="441">
        <v>12659</v>
      </c>
      <c r="B5305" s="441" t="s">
        <v>4745</v>
      </c>
      <c r="C5305" s="545">
        <v>20.333333333333336</v>
      </c>
      <c r="D5305" s="545">
        <v>8</v>
      </c>
      <c r="E5305" s="545">
        <v>8</v>
      </c>
      <c r="F5305" s="545">
        <v>16.809523809523814</v>
      </c>
      <c r="G5305" s="545">
        <v>10.55</v>
      </c>
      <c r="H5305" s="545">
        <v>9.3333333333333339</v>
      </c>
      <c r="I5305" s="545">
        <v>3</v>
      </c>
      <c r="J5305" s="545">
        <v>9.2976190476190492</v>
      </c>
    </row>
    <row r="5306" spans="1:10">
      <c r="A5306" s="441">
        <v>2666</v>
      </c>
      <c r="B5306" s="441" t="s">
        <v>4746</v>
      </c>
      <c r="C5306" s="545">
        <v>14.5</v>
      </c>
      <c r="D5306" s="545">
        <v>3.3333333333333335</v>
      </c>
      <c r="E5306" s="545">
        <v>5.6666666666666661</v>
      </c>
      <c r="F5306" s="545">
        <v>11.642857142857142</v>
      </c>
      <c r="G5306" s="545">
        <v>7.7</v>
      </c>
      <c r="H5306" s="545">
        <v>3.3333333333333335</v>
      </c>
      <c r="I5306" s="545">
        <v>3</v>
      </c>
      <c r="J5306" s="545">
        <v>6.4047619047619051</v>
      </c>
    </row>
    <row r="5307" spans="1:10">
      <c r="A5307" s="441">
        <v>2668</v>
      </c>
      <c r="B5307" s="441" t="s">
        <v>4747</v>
      </c>
      <c r="C5307" s="545">
        <v>12.666666666666668</v>
      </c>
      <c r="D5307" s="545">
        <v>2.666666666666667</v>
      </c>
      <c r="E5307" s="545">
        <v>6.333333333333333</v>
      </c>
      <c r="F5307" s="545">
        <v>10.333333333333334</v>
      </c>
      <c r="G5307" s="545">
        <v>3.45</v>
      </c>
      <c r="H5307" s="545">
        <v>4</v>
      </c>
      <c r="I5307" s="545">
        <v>1</v>
      </c>
      <c r="J5307" s="545">
        <v>3.1785714285714284</v>
      </c>
    </row>
    <row r="5308" spans="1:10">
      <c r="A5308" s="441">
        <v>2671</v>
      </c>
      <c r="B5308" s="441" t="s">
        <v>4747</v>
      </c>
      <c r="C5308" s="545">
        <v>7.6666666666666661</v>
      </c>
      <c r="D5308" s="545">
        <v>4</v>
      </c>
      <c r="E5308" s="545">
        <v>7</v>
      </c>
      <c r="F5308" s="545">
        <v>7.0476190476190466</v>
      </c>
      <c r="G5308" s="545">
        <v>4.0999999999999996</v>
      </c>
      <c r="H5308" s="545">
        <v>6.666666666666667</v>
      </c>
      <c r="I5308" s="545">
        <v>1.6666666666666667</v>
      </c>
      <c r="J5308" s="545">
        <v>4.1190476190476195</v>
      </c>
    </row>
    <row r="5309" spans="1:10">
      <c r="A5309" s="441">
        <v>2669</v>
      </c>
      <c r="B5309" s="441" t="s">
        <v>4748</v>
      </c>
      <c r="C5309" s="545">
        <v>69</v>
      </c>
      <c r="D5309" s="545">
        <v>31.333333333333332</v>
      </c>
      <c r="E5309" s="545">
        <v>31.333333333333332</v>
      </c>
      <c r="F5309" s="545">
        <v>58.238095238095234</v>
      </c>
      <c r="G5309" s="545">
        <v>34.15</v>
      </c>
      <c r="H5309" s="545">
        <v>18.666666666666668</v>
      </c>
      <c r="I5309" s="545">
        <v>14.666666666666666</v>
      </c>
      <c r="J5309" s="545">
        <v>29.154761904761902</v>
      </c>
    </row>
    <row r="5310" spans="1:10">
      <c r="A5310" s="441">
        <v>2670</v>
      </c>
      <c r="B5310" s="441" t="s">
        <v>4748</v>
      </c>
      <c r="C5310" s="545">
        <v>87</v>
      </c>
      <c r="D5310" s="545">
        <v>45.666666666666671</v>
      </c>
      <c r="E5310" s="545">
        <v>42.333333333333329</v>
      </c>
      <c r="F5310" s="545">
        <v>74.714285714285708</v>
      </c>
      <c r="G5310" s="545">
        <v>42.4</v>
      </c>
      <c r="H5310" s="545">
        <v>21.333333333333332</v>
      </c>
      <c r="I5310" s="545">
        <v>16.666666666666668</v>
      </c>
      <c r="J5310" s="545">
        <v>35.714285714285715</v>
      </c>
    </row>
    <row r="5311" spans="1:10">
      <c r="A5311" s="441">
        <v>3324</v>
      </c>
      <c r="B5311" s="441" t="s">
        <v>4749</v>
      </c>
      <c r="C5311" s="545">
        <v>19.5</v>
      </c>
      <c r="D5311" s="545">
        <v>9.6666666666666661</v>
      </c>
      <c r="E5311" s="545">
        <v>7</v>
      </c>
      <c r="F5311" s="545">
        <v>16.30952380952381</v>
      </c>
      <c r="G5311" s="545">
        <v>7.05</v>
      </c>
      <c r="H5311" s="545">
        <v>12</v>
      </c>
      <c r="I5311" s="545">
        <v>3</v>
      </c>
      <c r="J5311" s="545">
        <v>7.1785714285714288</v>
      </c>
    </row>
    <row r="5312" spans="1:10">
      <c r="A5312" s="441">
        <v>3344</v>
      </c>
      <c r="B5312" s="441" t="s">
        <v>4749</v>
      </c>
      <c r="C5312" s="545">
        <v>23.5</v>
      </c>
      <c r="D5312" s="545">
        <v>9</v>
      </c>
      <c r="E5312" s="545">
        <v>9.6666666666666661</v>
      </c>
      <c r="F5312" s="545">
        <v>19.452380952380953</v>
      </c>
      <c r="G5312" s="545">
        <v>9.35</v>
      </c>
      <c r="H5312" s="545">
        <v>4.666666666666667</v>
      </c>
      <c r="I5312" s="545">
        <v>3.6666666666666665</v>
      </c>
      <c r="J5312" s="545">
        <v>7.8690476190476186</v>
      </c>
    </row>
    <row r="5313" spans="1:10">
      <c r="A5313" s="441">
        <v>3330</v>
      </c>
      <c r="B5313" s="441" t="s">
        <v>4750</v>
      </c>
      <c r="C5313" s="545">
        <v>20</v>
      </c>
      <c r="D5313" s="545">
        <v>10</v>
      </c>
      <c r="E5313" s="545">
        <v>5.3333333333333339</v>
      </c>
      <c r="F5313" s="545">
        <v>16.476190476190474</v>
      </c>
      <c r="G5313" s="545">
        <v>15.55</v>
      </c>
      <c r="H5313" s="545">
        <v>4.333333333333333</v>
      </c>
      <c r="I5313" s="545">
        <v>5</v>
      </c>
      <c r="J5313" s="545">
        <v>12.44047619047619</v>
      </c>
    </row>
    <row r="5314" spans="1:10">
      <c r="A5314" s="441">
        <v>3335</v>
      </c>
      <c r="B5314" s="441" t="s">
        <v>4750</v>
      </c>
      <c r="C5314" s="545">
        <v>14.666666666666666</v>
      </c>
      <c r="D5314" s="545">
        <v>5.333333333333333</v>
      </c>
      <c r="E5314" s="545">
        <v>4</v>
      </c>
      <c r="F5314" s="545">
        <v>11.809523809523808</v>
      </c>
      <c r="G5314" s="545">
        <v>10.050000000000001</v>
      </c>
      <c r="H5314" s="545">
        <v>1.3333333333333333</v>
      </c>
      <c r="I5314" s="545">
        <v>1.3333333333333333</v>
      </c>
      <c r="J5314" s="545">
        <v>7.5595238095238102</v>
      </c>
    </row>
    <row r="5315" spans="1:10">
      <c r="A5315" s="441">
        <v>2673</v>
      </c>
      <c r="B5315" s="441" t="s">
        <v>4751</v>
      </c>
      <c r="C5315" s="545">
        <v>1.5</v>
      </c>
      <c r="D5315" s="545">
        <v>1.3333333333333333</v>
      </c>
      <c r="E5315" s="545">
        <v>1</v>
      </c>
      <c r="F5315" s="545">
        <v>1.4047619047619049</v>
      </c>
      <c r="G5315" s="545">
        <v>9</v>
      </c>
      <c r="H5315" s="545">
        <v>5</v>
      </c>
      <c r="I5315" s="545">
        <v>3.3333333333333335</v>
      </c>
      <c r="J5315" s="545">
        <v>7.6190476190476195</v>
      </c>
    </row>
    <row r="5316" spans="1:10">
      <c r="A5316" s="441">
        <v>3331</v>
      </c>
      <c r="B5316" s="441" t="s">
        <v>4752</v>
      </c>
      <c r="C5316" s="545">
        <v>40.333333333333329</v>
      </c>
      <c r="D5316" s="545">
        <v>9.6666666666666661</v>
      </c>
      <c r="E5316" s="545">
        <v>7</v>
      </c>
      <c r="F5316" s="545">
        <v>31.190476190476183</v>
      </c>
      <c r="G5316" s="545">
        <v>12.4</v>
      </c>
      <c r="H5316" s="545">
        <v>6.333333333333333</v>
      </c>
      <c r="I5316" s="545">
        <v>2.6666666666666665</v>
      </c>
      <c r="J5316" s="545">
        <v>10.142857142857142</v>
      </c>
    </row>
    <row r="5317" spans="1:10">
      <c r="A5317" s="441">
        <v>3334</v>
      </c>
      <c r="B5317" s="441" t="s">
        <v>4752</v>
      </c>
      <c r="C5317" s="545">
        <v>35.166666666666664</v>
      </c>
      <c r="D5317" s="545">
        <v>18</v>
      </c>
      <c r="E5317" s="545">
        <v>10.666666666666666</v>
      </c>
      <c r="F5317" s="545">
        <v>29.214285714285712</v>
      </c>
      <c r="G5317" s="545">
        <v>17.350000000000001</v>
      </c>
      <c r="H5317" s="545">
        <v>7</v>
      </c>
      <c r="I5317" s="545">
        <v>4.666666666666667</v>
      </c>
      <c r="J5317" s="545">
        <v>14.05952380952381</v>
      </c>
    </row>
    <row r="5318" spans="1:10">
      <c r="A5318" s="441">
        <v>3326</v>
      </c>
      <c r="B5318" s="441" t="s">
        <v>4753</v>
      </c>
      <c r="C5318" s="545">
        <v>19.166666666666664</v>
      </c>
      <c r="D5318" s="545">
        <v>14</v>
      </c>
      <c r="E5318" s="545">
        <v>9.3333333333333339</v>
      </c>
      <c r="F5318" s="545">
        <v>17.023809523809522</v>
      </c>
      <c r="G5318" s="545">
        <v>10.95</v>
      </c>
      <c r="H5318" s="545">
        <v>12.666666666666666</v>
      </c>
      <c r="I5318" s="545">
        <v>5.666666666666667</v>
      </c>
      <c r="J5318" s="545">
        <v>10.440476190476192</v>
      </c>
    </row>
    <row r="5319" spans="1:10">
      <c r="A5319" s="441">
        <v>3342</v>
      </c>
      <c r="B5319" s="441" t="s">
        <v>4753</v>
      </c>
      <c r="C5319" s="545">
        <v>20.166666666666668</v>
      </c>
      <c r="D5319" s="545">
        <v>11.333333333333332</v>
      </c>
      <c r="E5319" s="545">
        <v>11.333333333333332</v>
      </c>
      <c r="F5319" s="545">
        <v>17.642857142857142</v>
      </c>
      <c r="G5319" s="545">
        <v>14.65</v>
      </c>
      <c r="H5319" s="545">
        <v>12.666666666666666</v>
      </c>
      <c r="I5319" s="545">
        <v>6.666666666666667</v>
      </c>
      <c r="J5319" s="545">
        <v>13.226190476190478</v>
      </c>
    </row>
    <row r="5320" spans="1:10">
      <c r="A5320" s="441">
        <v>3338</v>
      </c>
      <c r="B5320" s="441" t="s">
        <v>4754</v>
      </c>
      <c r="C5320" s="545">
        <v>80.166666666666671</v>
      </c>
      <c r="D5320" s="545">
        <v>51</v>
      </c>
      <c r="E5320" s="545">
        <v>44.333333333333336</v>
      </c>
      <c r="F5320" s="545">
        <v>70.88095238095238</v>
      </c>
      <c r="G5320" s="545">
        <v>13.85</v>
      </c>
      <c r="H5320" s="545">
        <v>12.333333333333334</v>
      </c>
      <c r="I5320" s="545">
        <v>8</v>
      </c>
      <c r="J5320" s="545">
        <v>12.797619047619047</v>
      </c>
    </row>
    <row r="5321" spans="1:10">
      <c r="A5321" s="441">
        <v>3339</v>
      </c>
      <c r="B5321" s="441" t="s">
        <v>4754</v>
      </c>
      <c r="C5321" s="545">
        <v>121.16666666666666</v>
      </c>
      <c r="D5321" s="545">
        <v>63.333333333333329</v>
      </c>
      <c r="E5321" s="545">
        <v>56.333333333333329</v>
      </c>
      <c r="F5321" s="545">
        <v>103.64285714285714</v>
      </c>
      <c r="G5321" s="545">
        <v>19</v>
      </c>
      <c r="H5321" s="545">
        <v>14.666666666666666</v>
      </c>
      <c r="I5321" s="545">
        <v>10</v>
      </c>
      <c r="J5321" s="545">
        <v>17.095238095238095</v>
      </c>
    </row>
    <row r="5322" spans="1:10">
      <c r="A5322" s="441">
        <v>2106</v>
      </c>
      <c r="B5322" s="441" t="s">
        <v>4755</v>
      </c>
      <c r="C5322" s="545">
        <v>17.833333333333332</v>
      </c>
      <c r="D5322" s="545">
        <v>12.666666666666666</v>
      </c>
      <c r="E5322" s="545">
        <v>8.6666666666666661</v>
      </c>
      <c r="F5322" s="545">
        <v>15.785714285714286</v>
      </c>
      <c r="G5322" s="545">
        <v>7.3</v>
      </c>
      <c r="H5322" s="545">
        <v>5.333333333333333</v>
      </c>
      <c r="I5322" s="545">
        <v>3.3333333333333335</v>
      </c>
      <c r="J5322" s="545">
        <v>6.4523809523809534</v>
      </c>
    </row>
    <row r="5323" spans="1:10">
      <c r="A5323" s="441">
        <v>3337</v>
      </c>
      <c r="B5323" s="441" t="s">
        <v>4755</v>
      </c>
      <c r="C5323" s="545">
        <v>13</v>
      </c>
      <c r="D5323" s="545">
        <v>18.333333333333336</v>
      </c>
      <c r="E5323" s="545">
        <v>9.3333333333333339</v>
      </c>
      <c r="F5323" s="545">
        <v>13.238095238095239</v>
      </c>
      <c r="G5323" s="545">
        <v>5.95</v>
      </c>
      <c r="H5323" s="545">
        <v>8.6666666666666661</v>
      </c>
      <c r="I5323" s="545">
        <v>1.6666666666666667</v>
      </c>
      <c r="J5323" s="545">
        <v>5.7261904761904754</v>
      </c>
    </row>
    <row r="5324" spans="1:10">
      <c r="A5324" s="441">
        <v>2667</v>
      </c>
      <c r="B5324" s="441" t="s">
        <v>4756</v>
      </c>
      <c r="C5324" s="545">
        <v>16.5</v>
      </c>
      <c r="D5324" s="545">
        <v>4.6666666666666661</v>
      </c>
      <c r="E5324" s="545">
        <v>5</v>
      </c>
      <c r="F5324" s="545">
        <v>13.166666666666668</v>
      </c>
      <c r="G5324" s="545">
        <v>7.45</v>
      </c>
      <c r="H5324" s="545">
        <v>1.3333333333333333</v>
      </c>
      <c r="I5324" s="545">
        <v>2</v>
      </c>
      <c r="J5324" s="545">
        <v>5.7976190476190483</v>
      </c>
    </row>
    <row r="5325" spans="1:10">
      <c r="A5325" s="441">
        <v>2672</v>
      </c>
      <c r="B5325" s="441" t="s">
        <v>4756</v>
      </c>
      <c r="C5325" s="545">
        <v>27.5</v>
      </c>
      <c r="D5325" s="545">
        <v>7</v>
      </c>
      <c r="E5325" s="545">
        <v>7</v>
      </c>
      <c r="F5325" s="545">
        <v>21.642857142857142</v>
      </c>
      <c r="G5325" s="545">
        <v>4.9000000000000004</v>
      </c>
      <c r="H5325" s="545">
        <v>1</v>
      </c>
      <c r="I5325" s="545">
        <v>0.66666666666666663</v>
      </c>
      <c r="J5325" s="545">
        <v>3.7380952380952381</v>
      </c>
    </row>
    <row r="5326" spans="1:10">
      <c r="A5326" s="441">
        <v>3327</v>
      </c>
      <c r="B5326" s="441" t="s">
        <v>4757</v>
      </c>
      <c r="C5326" s="545">
        <v>17.333333333333336</v>
      </c>
      <c r="D5326" s="545">
        <v>11</v>
      </c>
      <c r="E5326" s="545">
        <v>7</v>
      </c>
      <c r="F5326" s="545">
        <v>14.952380952380954</v>
      </c>
      <c r="G5326" s="545">
        <v>12.8</v>
      </c>
      <c r="H5326" s="545">
        <v>8.3333333333333339</v>
      </c>
      <c r="I5326" s="545">
        <v>6</v>
      </c>
      <c r="J5326" s="545">
        <v>11.19047619047619</v>
      </c>
    </row>
    <row r="5327" spans="1:10">
      <c r="A5327" s="441">
        <v>3341</v>
      </c>
      <c r="B5327" s="441" t="s">
        <v>4757</v>
      </c>
      <c r="C5327" s="545">
        <v>41.5</v>
      </c>
      <c r="D5327" s="545">
        <v>27.333333333333336</v>
      </c>
      <c r="E5327" s="545">
        <v>25.333333333333332</v>
      </c>
      <c r="F5327" s="545">
        <v>37.166666666666671</v>
      </c>
      <c r="G5327" s="545">
        <v>25.6</v>
      </c>
      <c r="H5327" s="545">
        <v>15.333333333333334</v>
      </c>
      <c r="I5327" s="545">
        <v>9.3333333333333339</v>
      </c>
      <c r="J5327" s="545">
        <v>21.809523809523814</v>
      </c>
    </row>
    <row r="5328" spans="1:10">
      <c r="A5328" s="441">
        <v>3332</v>
      </c>
      <c r="B5328" s="441" t="s">
        <v>4758</v>
      </c>
      <c r="C5328" s="545">
        <v>99.666666666666657</v>
      </c>
      <c r="D5328" s="545">
        <v>58</v>
      </c>
      <c r="E5328" s="545">
        <v>51.666666666666664</v>
      </c>
      <c r="F5328" s="545">
        <v>86.857142857142847</v>
      </c>
      <c r="G5328" s="545">
        <v>51</v>
      </c>
      <c r="H5328" s="545">
        <v>32.333333333333336</v>
      </c>
      <c r="I5328" s="545">
        <v>25.666666666666668</v>
      </c>
      <c r="J5328" s="545">
        <v>44.714285714285715</v>
      </c>
    </row>
    <row r="5329" spans="1:10">
      <c r="A5329" s="441">
        <v>3333</v>
      </c>
      <c r="B5329" s="441" t="s">
        <v>4758</v>
      </c>
      <c r="C5329" s="545">
        <v>109.83333333333333</v>
      </c>
      <c r="D5329" s="545">
        <v>74.333333333333329</v>
      </c>
      <c r="E5329" s="545">
        <v>59.666666666666671</v>
      </c>
      <c r="F5329" s="545">
        <v>97.595238095238088</v>
      </c>
      <c r="G5329" s="545">
        <v>57.45</v>
      </c>
      <c r="H5329" s="545">
        <v>34.333333333333336</v>
      </c>
      <c r="I5329" s="545">
        <v>35.333333333333336</v>
      </c>
      <c r="J5329" s="545">
        <v>50.988095238095234</v>
      </c>
    </row>
    <row r="5330" spans="1:10">
      <c r="A5330" s="441">
        <v>3336</v>
      </c>
      <c r="B5330" s="441" t="s">
        <v>4759</v>
      </c>
      <c r="C5330" s="545">
        <v>42.166666666666671</v>
      </c>
      <c r="D5330" s="545">
        <v>15.333333333333334</v>
      </c>
      <c r="E5330" s="545">
        <v>16.666666666666664</v>
      </c>
      <c r="F5330" s="545">
        <v>34.690476190476197</v>
      </c>
      <c r="G5330" s="545">
        <v>31</v>
      </c>
      <c r="H5330" s="545">
        <v>8.6666666666666661</v>
      </c>
      <c r="I5330" s="545">
        <v>8</v>
      </c>
      <c r="J5330" s="545">
        <v>24.523809523809522</v>
      </c>
    </row>
    <row r="5331" spans="1:10">
      <c r="A5331" s="441">
        <v>12092</v>
      </c>
      <c r="B5331" s="441" t="s">
        <v>4760</v>
      </c>
      <c r="C5331" s="545">
        <v>105.66666666666667</v>
      </c>
      <c r="D5331" s="545">
        <v>51</v>
      </c>
      <c r="E5331" s="545">
        <v>52.666666666666671</v>
      </c>
      <c r="F5331" s="545">
        <v>90.285714285714292</v>
      </c>
      <c r="G5331" s="545">
        <v>56</v>
      </c>
      <c r="H5331" s="545">
        <v>24.333333333333332</v>
      </c>
      <c r="I5331" s="545">
        <v>16.333333333333332</v>
      </c>
      <c r="J5331" s="545">
        <v>45.809523809523803</v>
      </c>
    </row>
    <row r="5332" spans="1:10">
      <c r="A5332" s="441">
        <v>12093</v>
      </c>
      <c r="B5332" s="441" t="s">
        <v>4760</v>
      </c>
      <c r="C5332" s="545">
        <v>99.333333333333329</v>
      </c>
      <c r="D5332" s="545">
        <v>45.333333333333329</v>
      </c>
      <c r="E5332" s="545">
        <v>41</v>
      </c>
      <c r="F5332" s="545">
        <v>83.285714285714292</v>
      </c>
      <c r="G5332" s="545">
        <v>56.3</v>
      </c>
      <c r="H5332" s="545">
        <v>21.333333333333332</v>
      </c>
      <c r="I5332" s="545">
        <v>19.333333333333332</v>
      </c>
      <c r="J5332" s="545">
        <v>46.023809523809518</v>
      </c>
    </row>
    <row r="5333" spans="1:10">
      <c r="A5333" s="441">
        <v>3325</v>
      </c>
      <c r="B5333" s="441" t="s">
        <v>4761</v>
      </c>
      <c r="C5333" s="545">
        <v>24.333333333333332</v>
      </c>
      <c r="D5333" s="545">
        <v>8.3333333333333339</v>
      </c>
      <c r="E5333" s="545">
        <v>7.3333333333333339</v>
      </c>
      <c r="F5333" s="545">
        <v>19.61904761904762</v>
      </c>
      <c r="G5333" s="545">
        <v>9</v>
      </c>
      <c r="H5333" s="545">
        <v>6</v>
      </c>
      <c r="I5333" s="545">
        <v>3.6666666666666665</v>
      </c>
      <c r="J5333" s="545">
        <v>7.8095238095238093</v>
      </c>
    </row>
    <row r="5334" spans="1:10">
      <c r="A5334" s="441">
        <v>3343</v>
      </c>
      <c r="B5334" s="441" t="s">
        <v>4761</v>
      </c>
      <c r="C5334" s="545">
        <v>17.833333333333332</v>
      </c>
      <c r="D5334" s="545">
        <v>6.333333333333333</v>
      </c>
      <c r="E5334" s="545">
        <v>6.6666666666666661</v>
      </c>
      <c r="F5334" s="545">
        <v>14.595238095238093</v>
      </c>
      <c r="G5334" s="545">
        <v>10.3</v>
      </c>
      <c r="H5334" s="545">
        <v>7</v>
      </c>
      <c r="I5334" s="545">
        <v>5</v>
      </c>
      <c r="J5334" s="545">
        <v>9.0714285714285712</v>
      </c>
    </row>
    <row r="5335" spans="1:10">
      <c r="A5335" s="441">
        <v>12967</v>
      </c>
      <c r="B5335" s="441" t="s">
        <v>4762</v>
      </c>
      <c r="C5335" s="545">
        <v>57</v>
      </c>
      <c r="D5335" s="545">
        <v>32.666666666666664</v>
      </c>
      <c r="E5335" s="545">
        <v>24.333333333333336</v>
      </c>
      <c r="F5335" s="545">
        <v>48.857142857142854</v>
      </c>
      <c r="G5335" s="545">
        <v>38.200000000000003</v>
      </c>
      <c r="H5335" s="545">
        <v>25.333333333333332</v>
      </c>
      <c r="I5335" s="545">
        <v>15.666666666666666</v>
      </c>
      <c r="J5335" s="545">
        <v>33.142857142857146</v>
      </c>
    </row>
    <row r="5336" spans="1:10">
      <c r="A5336" s="441">
        <v>12968</v>
      </c>
      <c r="B5336" s="441" t="s">
        <v>4762</v>
      </c>
      <c r="C5336" s="545">
        <v>43.666666666666664</v>
      </c>
      <c r="D5336" s="545">
        <v>20.333333333333336</v>
      </c>
      <c r="E5336" s="545">
        <v>22</v>
      </c>
      <c r="F5336" s="545">
        <v>37.238095238095234</v>
      </c>
      <c r="G5336" s="545">
        <v>34.35</v>
      </c>
      <c r="H5336" s="545">
        <v>13.333333333333334</v>
      </c>
      <c r="I5336" s="545">
        <v>12</v>
      </c>
      <c r="J5336" s="545">
        <v>28.154761904761905</v>
      </c>
    </row>
    <row r="5337" spans="1:10">
      <c r="A5337" s="441">
        <v>3328</v>
      </c>
      <c r="B5337" s="441" t="s">
        <v>4763</v>
      </c>
      <c r="C5337" s="545">
        <v>181.83333333333334</v>
      </c>
      <c r="D5337" s="545">
        <v>136.33333333333334</v>
      </c>
      <c r="E5337" s="545">
        <v>110.33333333333334</v>
      </c>
      <c r="F5337" s="545">
        <v>165.11904761904762</v>
      </c>
      <c r="G5337" s="545">
        <v>90.5</v>
      </c>
      <c r="H5337" s="545">
        <v>61.333333333333336</v>
      </c>
      <c r="I5337" s="545">
        <v>57</v>
      </c>
      <c r="J5337" s="545">
        <v>81.547619047619051</v>
      </c>
    </row>
    <row r="5338" spans="1:10">
      <c r="A5338" s="441">
        <v>3340</v>
      </c>
      <c r="B5338" s="441" t="s">
        <v>4763</v>
      </c>
      <c r="C5338" s="545">
        <v>190.33333333333331</v>
      </c>
      <c r="D5338" s="545">
        <v>137.33333333333334</v>
      </c>
      <c r="E5338" s="545">
        <v>110.33333333333333</v>
      </c>
      <c r="F5338" s="545">
        <v>171.33333333333329</v>
      </c>
      <c r="G5338" s="545">
        <v>98</v>
      </c>
      <c r="H5338" s="545">
        <v>68</v>
      </c>
      <c r="I5338" s="545">
        <v>62.666666666666664</v>
      </c>
      <c r="J5338" s="545">
        <v>88.666666666666657</v>
      </c>
    </row>
    <row r="5339" spans="1:10">
      <c r="A5339" s="441">
        <v>2104</v>
      </c>
      <c r="B5339" s="441" t="s">
        <v>4764</v>
      </c>
      <c r="C5339" s="545">
        <v>8.6666666666666661</v>
      </c>
      <c r="D5339" s="545">
        <v>5.3333333333333339</v>
      </c>
      <c r="E5339" s="545">
        <v>2</v>
      </c>
      <c r="F5339" s="545">
        <v>7.2380952380952381</v>
      </c>
      <c r="G5339" s="545">
        <v>3.3</v>
      </c>
      <c r="H5339" s="545">
        <v>1.6666666666666667</v>
      </c>
      <c r="I5339" s="545">
        <v>1.6666666666666667</v>
      </c>
      <c r="J5339" s="545">
        <v>2.8333333333333335</v>
      </c>
    </row>
    <row r="5340" spans="1:10">
      <c r="A5340" s="441">
        <v>2105</v>
      </c>
      <c r="B5340" s="441" t="s">
        <v>4764</v>
      </c>
      <c r="C5340" s="545">
        <v>4</v>
      </c>
      <c r="D5340" s="545">
        <v>1</v>
      </c>
      <c r="E5340" s="545">
        <v>1.3333333333333333</v>
      </c>
      <c r="F5340" s="545">
        <v>3.1904761904761902</v>
      </c>
      <c r="G5340" s="545">
        <v>1.6</v>
      </c>
      <c r="H5340" s="545">
        <v>1</v>
      </c>
      <c r="I5340" s="545">
        <v>1</v>
      </c>
      <c r="J5340" s="545">
        <v>1.4285714285714286</v>
      </c>
    </row>
    <row r="5341" spans="1:10">
      <c r="A5341" s="441">
        <v>4516</v>
      </c>
      <c r="B5341" s="441" t="s">
        <v>4765</v>
      </c>
      <c r="C5341" s="545">
        <v>2.6666666666666665</v>
      </c>
      <c r="D5341" s="545">
        <v>2.666666666666667</v>
      </c>
      <c r="E5341" s="545">
        <v>2.3333333333333335</v>
      </c>
      <c r="F5341" s="545">
        <v>2.6190476190476191</v>
      </c>
      <c r="G5341" s="545">
        <v>1.1499999999999999</v>
      </c>
      <c r="H5341" s="545">
        <v>2</v>
      </c>
      <c r="I5341" s="545">
        <v>2.3333333333333335</v>
      </c>
      <c r="J5341" s="545">
        <v>1.4404761904761905</v>
      </c>
    </row>
    <row r="5342" spans="1:10">
      <c r="A5342" s="441">
        <v>4509</v>
      </c>
      <c r="B5342" s="441" t="s">
        <v>4766</v>
      </c>
      <c r="C5342" s="545">
        <v>1.1666666666666667</v>
      </c>
      <c r="D5342" s="545">
        <v>0</v>
      </c>
      <c r="E5342" s="545">
        <v>0</v>
      </c>
      <c r="F5342" s="545">
        <v>0.83333333333333337</v>
      </c>
      <c r="G5342" s="545">
        <v>0.5</v>
      </c>
      <c r="H5342" s="545">
        <v>0</v>
      </c>
      <c r="I5342" s="545">
        <v>0.33333333333333331</v>
      </c>
      <c r="J5342" s="545">
        <v>0.40476190476190477</v>
      </c>
    </row>
    <row r="5343" spans="1:10">
      <c r="A5343" s="441">
        <v>4515</v>
      </c>
      <c r="B5343" s="441" t="s">
        <v>4766</v>
      </c>
      <c r="C5343" s="545">
        <v>0.16666666666666666</v>
      </c>
      <c r="D5343" s="545">
        <v>0</v>
      </c>
      <c r="E5343" s="545">
        <v>0</v>
      </c>
      <c r="F5343" s="545">
        <v>0.11904761904761904</v>
      </c>
      <c r="G5343" s="545">
        <v>0.45</v>
      </c>
      <c r="H5343" s="545">
        <v>0.33333333333333331</v>
      </c>
      <c r="I5343" s="545">
        <v>0</v>
      </c>
      <c r="J5343" s="545">
        <v>0.36904761904761907</v>
      </c>
    </row>
    <row r="5344" spans="1:10">
      <c r="A5344" s="441">
        <v>745</v>
      </c>
      <c r="B5344" s="441" t="s">
        <v>4767</v>
      </c>
      <c r="C5344" s="545">
        <v>51</v>
      </c>
      <c r="D5344" s="545">
        <v>39</v>
      </c>
      <c r="E5344" s="545">
        <v>39</v>
      </c>
      <c r="F5344" s="545">
        <v>47.571428571428569</v>
      </c>
      <c r="G5344" s="545">
        <v>49.1</v>
      </c>
      <c r="H5344" s="545">
        <v>43</v>
      </c>
      <c r="I5344" s="545">
        <v>35</v>
      </c>
      <c r="J5344" s="545">
        <v>46.214285714285715</v>
      </c>
    </row>
    <row r="5345" spans="1:10">
      <c r="A5345" s="441">
        <v>744</v>
      </c>
      <c r="B5345" s="441" t="s">
        <v>4768</v>
      </c>
      <c r="C5345" s="545">
        <v>47.166666666666664</v>
      </c>
      <c r="D5345" s="545">
        <v>30</v>
      </c>
      <c r="E5345" s="545">
        <v>16.333333333333332</v>
      </c>
      <c r="F5345" s="545">
        <v>40.309523809523803</v>
      </c>
      <c r="G5345" s="545">
        <v>27.55</v>
      </c>
      <c r="H5345" s="545">
        <v>18.666666666666668</v>
      </c>
      <c r="I5345" s="545">
        <v>15.666666666666666</v>
      </c>
      <c r="J5345" s="545">
        <v>24.583333333333332</v>
      </c>
    </row>
    <row r="5346" spans="1:10">
      <c r="A5346" s="441">
        <v>11401</v>
      </c>
      <c r="B5346" s="441" t="s">
        <v>4769</v>
      </c>
      <c r="C5346" s="545">
        <v>1</v>
      </c>
      <c r="D5346" s="545">
        <v>1.6666666666666667</v>
      </c>
      <c r="E5346" s="545">
        <v>1</v>
      </c>
      <c r="F5346" s="545">
        <v>1.0952380952380953</v>
      </c>
      <c r="G5346" s="545">
        <v>0.5</v>
      </c>
      <c r="H5346" s="545">
        <v>0</v>
      </c>
      <c r="I5346" s="545">
        <v>0</v>
      </c>
      <c r="J5346" s="545">
        <v>0.35714285714285715</v>
      </c>
    </row>
    <row r="5347" spans="1:10">
      <c r="A5347" s="441">
        <v>9953</v>
      </c>
      <c r="B5347" s="441" t="s">
        <v>4770</v>
      </c>
      <c r="C5347" s="545">
        <v>611</v>
      </c>
      <c r="D5347" s="545">
        <v>59</v>
      </c>
      <c r="E5347" s="545">
        <v>56</v>
      </c>
      <c r="F5347" s="545">
        <v>452.85714285714283</v>
      </c>
      <c r="G5347" s="545">
        <v>512.79999999999995</v>
      </c>
      <c r="H5347" s="545">
        <v>49.666666666666664</v>
      </c>
      <c r="I5347" s="545">
        <v>43.333333333333336</v>
      </c>
      <c r="J5347" s="545">
        <v>379.57142857142856</v>
      </c>
    </row>
    <row r="5348" spans="1:10">
      <c r="A5348" s="441">
        <v>9951</v>
      </c>
      <c r="B5348" s="441" t="s">
        <v>4771</v>
      </c>
      <c r="C5348" s="545">
        <v>230.33333333333334</v>
      </c>
      <c r="D5348" s="545">
        <v>38.666666666666664</v>
      </c>
      <c r="E5348" s="545">
        <v>18</v>
      </c>
      <c r="F5348" s="545">
        <v>172.61904761904765</v>
      </c>
      <c r="G5348" s="545">
        <v>317.39999999999998</v>
      </c>
      <c r="H5348" s="545">
        <v>45</v>
      </c>
      <c r="I5348" s="545">
        <v>26.666666666666668</v>
      </c>
      <c r="J5348" s="545">
        <v>236.95238095238096</v>
      </c>
    </row>
    <row r="5349" spans="1:10">
      <c r="A5349" s="441">
        <v>9952</v>
      </c>
      <c r="B5349" s="441" t="s">
        <v>4771</v>
      </c>
      <c r="C5349" s="545">
        <v>139.83333333333331</v>
      </c>
      <c r="D5349" s="545">
        <v>32</v>
      </c>
      <c r="E5349" s="545">
        <v>34.333333333333336</v>
      </c>
      <c r="F5349" s="545">
        <v>109.35714285714285</v>
      </c>
      <c r="G5349" s="545">
        <v>142.6</v>
      </c>
      <c r="H5349" s="545">
        <v>26.333333333333332</v>
      </c>
      <c r="I5349" s="545">
        <v>17</v>
      </c>
      <c r="J5349" s="545">
        <v>108.04761904761905</v>
      </c>
    </row>
    <row r="5350" spans="1:10">
      <c r="A5350" s="441">
        <v>9956</v>
      </c>
      <c r="B5350" s="441" t="s">
        <v>4771</v>
      </c>
      <c r="C5350" s="545">
        <v>219.5</v>
      </c>
      <c r="D5350" s="545">
        <v>58</v>
      </c>
      <c r="E5350" s="545">
        <v>31.333333333333332</v>
      </c>
      <c r="F5350" s="545">
        <v>169.54761904761904</v>
      </c>
      <c r="G5350" s="545">
        <v>328.15</v>
      </c>
      <c r="H5350" s="545">
        <v>59.666666666666664</v>
      </c>
      <c r="I5350" s="545">
        <v>25.666666666666668</v>
      </c>
      <c r="J5350" s="545">
        <v>246.58333333333334</v>
      </c>
    </row>
    <row r="5351" spans="1:10">
      <c r="A5351" s="441">
        <v>9954</v>
      </c>
      <c r="B5351" s="441" t="s">
        <v>4772</v>
      </c>
      <c r="C5351" s="545">
        <v>158</v>
      </c>
      <c r="D5351" s="545">
        <v>18</v>
      </c>
      <c r="E5351" s="545">
        <v>12.333333333333332</v>
      </c>
      <c r="F5351" s="545">
        <v>117.19047619047619</v>
      </c>
      <c r="G5351" s="545">
        <v>140.85</v>
      </c>
      <c r="H5351" s="545">
        <v>6.333333333333333</v>
      </c>
      <c r="I5351" s="545">
        <v>4</v>
      </c>
      <c r="J5351" s="545">
        <v>102.08333333333334</v>
      </c>
    </row>
    <row r="5352" spans="1:10">
      <c r="A5352" s="441">
        <v>9955</v>
      </c>
      <c r="B5352" s="441" t="s">
        <v>4772</v>
      </c>
      <c r="C5352" s="545">
        <v>92.5</v>
      </c>
      <c r="D5352" s="545">
        <v>14.666666666666666</v>
      </c>
      <c r="E5352" s="545">
        <v>14.333333333333332</v>
      </c>
      <c r="F5352" s="545">
        <v>70.214285714285708</v>
      </c>
      <c r="G5352" s="545">
        <v>155.94999999999999</v>
      </c>
      <c r="H5352" s="545">
        <v>21</v>
      </c>
      <c r="I5352" s="545">
        <v>12.666666666666666</v>
      </c>
      <c r="J5352" s="545">
        <v>116.20238095238095</v>
      </c>
    </row>
    <row r="5353" spans="1:10">
      <c r="A5353" s="441">
        <v>183</v>
      </c>
      <c r="B5353" s="441" t="s">
        <v>4773</v>
      </c>
      <c r="C5353" s="545">
        <v>2.3333333333333335</v>
      </c>
      <c r="D5353" s="545">
        <v>0</v>
      </c>
      <c r="E5353" s="545">
        <v>0</v>
      </c>
      <c r="F5353" s="545">
        <v>1.6666666666666667</v>
      </c>
      <c r="G5353" s="545">
        <v>0.1</v>
      </c>
      <c r="H5353" s="545">
        <v>0.33333333333333331</v>
      </c>
      <c r="I5353" s="545">
        <v>0</v>
      </c>
      <c r="J5353" s="545">
        <v>0.11904761904761904</v>
      </c>
    </row>
    <row r="5354" spans="1:10">
      <c r="A5354" s="441">
        <v>1853</v>
      </c>
      <c r="B5354" s="441" t="s">
        <v>4773</v>
      </c>
      <c r="C5354" s="545">
        <v>1.8333333333333335</v>
      </c>
      <c r="D5354" s="545">
        <v>0.66666666666666663</v>
      </c>
      <c r="E5354" s="545">
        <v>1.3333333333333333</v>
      </c>
      <c r="F5354" s="545">
        <v>1.5952380952380953</v>
      </c>
      <c r="G5354" s="545">
        <v>0.5</v>
      </c>
      <c r="H5354" s="545">
        <v>0</v>
      </c>
      <c r="I5354" s="545">
        <v>0</v>
      </c>
      <c r="J5354" s="545">
        <v>0.35714285714285715</v>
      </c>
    </row>
    <row r="5355" spans="1:10">
      <c r="A5355" s="441">
        <v>1852</v>
      </c>
      <c r="B5355" s="441" t="s">
        <v>4774</v>
      </c>
      <c r="C5355" s="545">
        <v>5.333333333333333</v>
      </c>
      <c r="D5355" s="545">
        <v>1</v>
      </c>
      <c r="E5355" s="545">
        <v>5.666666666666667</v>
      </c>
      <c r="F5355" s="545">
        <v>4.761904761904761</v>
      </c>
      <c r="G5355" s="545">
        <v>4.8</v>
      </c>
      <c r="H5355" s="545">
        <v>3.3333333333333335</v>
      </c>
      <c r="I5355" s="545">
        <v>5.333333333333333</v>
      </c>
      <c r="J5355" s="545">
        <v>4.6666666666666661</v>
      </c>
    </row>
    <row r="5356" spans="1:10">
      <c r="A5356" s="441">
        <v>11439</v>
      </c>
      <c r="B5356" s="441" t="s">
        <v>4775</v>
      </c>
      <c r="C5356" s="545">
        <v>3.3333333333333335</v>
      </c>
      <c r="D5356" s="545">
        <v>0.33333333333333331</v>
      </c>
      <c r="E5356" s="545">
        <v>0</v>
      </c>
      <c r="F5356" s="545">
        <v>2.4285714285714284</v>
      </c>
      <c r="G5356" s="545">
        <v>1.75</v>
      </c>
      <c r="H5356" s="545">
        <v>0.66666666666666663</v>
      </c>
      <c r="I5356" s="545">
        <v>3</v>
      </c>
      <c r="J5356" s="545">
        <v>1.7738095238095237</v>
      </c>
    </row>
    <row r="5357" spans="1:10">
      <c r="A5357" s="441">
        <v>3575</v>
      </c>
      <c r="B5357" s="441" t="s">
        <v>4776</v>
      </c>
      <c r="C5357" s="545">
        <v>13.166666666666668</v>
      </c>
      <c r="D5357" s="545">
        <v>7.666666666666667</v>
      </c>
      <c r="E5357" s="545">
        <v>5.333333333333333</v>
      </c>
      <c r="F5357" s="545">
        <v>11.261904761904763</v>
      </c>
      <c r="G5357" s="545">
        <v>8.75</v>
      </c>
      <c r="H5357" s="545">
        <v>6.333333333333333</v>
      </c>
      <c r="I5357" s="545">
        <v>4.666666666666667</v>
      </c>
      <c r="J5357" s="545">
        <v>7.8214285714285712</v>
      </c>
    </row>
    <row r="5358" spans="1:10">
      <c r="A5358" s="441">
        <v>3573</v>
      </c>
      <c r="B5358" s="441" t="s">
        <v>4777</v>
      </c>
      <c r="C5358" s="545">
        <v>19.666666666666664</v>
      </c>
      <c r="D5358" s="545">
        <v>9.3333333333333321</v>
      </c>
      <c r="E5358" s="545">
        <v>10.333333333333332</v>
      </c>
      <c r="F5358" s="545">
        <v>16.857142857142854</v>
      </c>
      <c r="G5358" s="545">
        <v>12.95</v>
      </c>
      <c r="H5358" s="545">
        <v>19.666666666666668</v>
      </c>
      <c r="I5358" s="545">
        <v>7.333333333333333</v>
      </c>
      <c r="J5358" s="545">
        <v>13.107142857142858</v>
      </c>
    </row>
    <row r="5359" spans="1:10">
      <c r="A5359" s="441">
        <v>3574</v>
      </c>
      <c r="B5359" s="441" t="s">
        <v>4778</v>
      </c>
      <c r="C5359" s="545">
        <v>1.1666666666666665</v>
      </c>
      <c r="D5359" s="545">
        <v>0.66666666666666663</v>
      </c>
      <c r="E5359" s="545">
        <v>0</v>
      </c>
      <c r="F5359" s="545">
        <v>0.92857142857142849</v>
      </c>
      <c r="G5359" s="545">
        <v>0.4</v>
      </c>
      <c r="H5359" s="545">
        <v>0.33333333333333331</v>
      </c>
      <c r="I5359" s="545">
        <v>0</v>
      </c>
      <c r="J5359" s="545">
        <v>0.33333333333333337</v>
      </c>
    </row>
    <row r="5360" spans="1:10">
      <c r="A5360" s="441">
        <v>4109</v>
      </c>
      <c r="B5360" s="441" t="s">
        <v>4779</v>
      </c>
      <c r="C5360" s="545">
        <v>6.6666666666666661</v>
      </c>
      <c r="D5360" s="545">
        <v>5.3333333333333339</v>
      </c>
      <c r="E5360" s="545">
        <v>3</v>
      </c>
      <c r="F5360" s="545">
        <v>5.9523809523809517</v>
      </c>
      <c r="G5360" s="545">
        <v>6.6</v>
      </c>
      <c r="H5360" s="545">
        <v>3.6666666666666665</v>
      </c>
      <c r="I5360" s="545">
        <v>1.6666666666666667</v>
      </c>
      <c r="J5360" s="545">
        <v>5.4761904761904754</v>
      </c>
    </row>
    <row r="5361" spans="1:10">
      <c r="A5361" s="441">
        <v>6976</v>
      </c>
      <c r="B5361" s="441" t="s">
        <v>4780</v>
      </c>
      <c r="C5361" s="545">
        <v>11.833333333333334</v>
      </c>
      <c r="D5361" s="545">
        <v>7.666666666666667</v>
      </c>
      <c r="E5361" s="545">
        <v>6</v>
      </c>
      <c r="F5361" s="545">
        <v>10.404761904761907</v>
      </c>
      <c r="G5361" s="545">
        <v>4</v>
      </c>
      <c r="H5361" s="545">
        <v>4</v>
      </c>
      <c r="I5361" s="545">
        <v>2.6666666666666665</v>
      </c>
      <c r="J5361" s="545">
        <v>3.8095238095238098</v>
      </c>
    </row>
    <row r="5362" spans="1:10">
      <c r="A5362" s="441">
        <v>6671</v>
      </c>
      <c r="B5362" s="441" t="s">
        <v>4781</v>
      </c>
      <c r="C5362" s="545">
        <v>31.5</v>
      </c>
      <c r="D5362" s="545">
        <v>26.666666666666664</v>
      </c>
      <c r="E5362" s="545">
        <v>20</v>
      </c>
      <c r="F5362" s="545">
        <v>29.166666666666664</v>
      </c>
      <c r="G5362" s="545">
        <v>28.25</v>
      </c>
      <c r="H5362" s="545">
        <v>16.666666666666668</v>
      </c>
      <c r="I5362" s="545">
        <v>11.666666666666666</v>
      </c>
      <c r="J5362" s="545">
        <v>24.226190476190474</v>
      </c>
    </row>
    <row r="5363" spans="1:10">
      <c r="A5363" s="441">
        <v>6670</v>
      </c>
      <c r="B5363" s="441" t="s">
        <v>4782</v>
      </c>
      <c r="C5363" s="545">
        <v>12.666666666666666</v>
      </c>
      <c r="D5363" s="545">
        <v>8</v>
      </c>
      <c r="E5363" s="545">
        <v>7</v>
      </c>
      <c r="F5363" s="545">
        <v>11.19047619047619</v>
      </c>
      <c r="G5363" s="545">
        <v>8.4</v>
      </c>
      <c r="H5363" s="545">
        <v>7.333333333333333</v>
      </c>
      <c r="I5363" s="545">
        <v>4.666666666666667</v>
      </c>
      <c r="J5363" s="545">
        <v>7.7142857142857144</v>
      </c>
    </row>
    <row r="5364" spans="1:10">
      <c r="A5364" s="441">
        <v>7311</v>
      </c>
      <c r="B5364" s="441" t="s">
        <v>4783</v>
      </c>
      <c r="C5364" s="545">
        <v>13</v>
      </c>
      <c r="D5364" s="545">
        <v>6</v>
      </c>
      <c r="E5364" s="545">
        <v>3.3333333333333335</v>
      </c>
      <c r="F5364" s="545">
        <v>10.619047619047619</v>
      </c>
      <c r="G5364" s="545">
        <v>7.5</v>
      </c>
      <c r="H5364" s="545">
        <v>7.333333333333333</v>
      </c>
      <c r="I5364" s="545">
        <v>7.333333333333333</v>
      </c>
      <c r="J5364" s="545">
        <v>7.4523809523809534</v>
      </c>
    </row>
    <row r="5365" spans="1:10">
      <c r="A5365" s="441">
        <v>6668</v>
      </c>
      <c r="B5365" s="441" t="s">
        <v>4784</v>
      </c>
      <c r="C5365" s="545">
        <v>93.333333333333343</v>
      </c>
      <c r="D5365" s="545">
        <v>62</v>
      </c>
      <c r="E5365" s="545">
        <v>52.666666666666664</v>
      </c>
      <c r="F5365" s="545">
        <v>83.047619047619051</v>
      </c>
      <c r="G5365" s="545">
        <v>63.5</v>
      </c>
      <c r="H5365" s="545">
        <v>53</v>
      </c>
      <c r="I5365" s="545">
        <v>31.333333333333332</v>
      </c>
      <c r="J5365" s="545">
        <v>57.404761904761905</v>
      </c>
    </row>
    <row r="5366" spans="1:10">
      <c r="A5366" s="441">
        <v>6669</v>
      </c>
      <c r="B5366" s="441" t="s">
        <v>4785</v>
      </c>
      <c r="C5366" s="545">
        <v>44.666666666666671</v>
      </c>
      <c r="D5366" s="545">
        <v>36.333333333333329</v>
      </c>
      <c r="E5366" s="545">
        <v>22.333333333333336</v>
      </c>
      <c r="F5366" s="545">
        <v>40.285714285714285</v>
      </c>
      <c r="G5366" s="545">
        <v>28.4</v>
      </c>
      <c r="H5366" s="545">
        <v>25</v>
      </c>
      <c r="I5366" s="545">
        <v>17</v>
      </c>
      <c r="J5366" s="545">
        <v>26.285714285714285</v>
      </c>
    </row>
    <row r="5367" spans="1:10">
      <c r="A5367" s="441">
        <v>6667</v>
      </c>
      <c r="B5367" s="441" t="s">
        <v>4786</v>
      </c>
      <c r="C5367" s="545">
        <v>11.666666666666666</v>
      </c>
      <c r="D5367" s="545">
        <v>3</v>
      </c>
      <c r="E5367" s="545">
        <v>3.3333333333333335</v>
      </c>
      <c r="F5367" s="545">
        <v>9.2380952380952372</v>
      </c>
      <c r="G5367" s="545">
        <v>5.8</v>
      </c>
      <c r="H5367" s="545">
        <v>3</v>
      </c>
      <c r="I5367" s="545">
        <v>1.3333333333333333</v>
      </c>
      <c r="J5367" s="545">
        <v>4.7619047619047619</v>
      </c>
    </row>
    <row r="5368" spans="1:10">
      <c r="A5368" s="441">
        <v>6666</v>
      </c>
      <c r="B5368" s="441" t="s">
        <v>4787</v>
      </c>
      <c r="C5368" s="545">
        <v>12.666666666666668</v>
      </c>
      <c r="D5368" s="545">
        <v>3.3333333333333335</v>
      </c>
      <c r="E5368" s="545">
        <v>1</v>
      </c>
      <c r="F5368" s="545">
        <v>9.6666666666666679</v>
      </c>
      <c r="G5368" s="545">
        <v>8.9</v>
      </c>
      <c r="H5368" s="545">
        <v>2.3333333333333335</v>
      </c>
      <c r="I5368" s="545">
        <v>2</v>
      </c>
      <c r="J5368" s="545">
        <v>6.9761904761904763</v>
      </c>
    </row>
    <row r="5369" spans="1:10">
      <c r="A5369" s="441">
        <v>6665</v>
      </c>
      <c r="B5369" s="441" t="s">
        <v>4788</v>
      </c>
      <c r="C5369" s="545">
        <v>9.6666666666666661</v>
      </c>
      <c r="D5369" s="545">
        <v>13</v>
      </c>
      <c r="E5369" s="545">
        <v>5</v>
      </c>
      <c r="F5369" s="545">
        <v>9.4761904761904763</v>
      </c>
      <c r="G5369" s="545">
        <v>10.8</v>
      </c>
      <c r="H5369" s="545">
        <v>4.333333333333333</v>
      </c>
      <c r="I5369" s="545">
        <v>3</v>
      </c>
      <c r="J5369" s="545">
        <v>8.7619047619047628</v>
      </c>
    </row>
    <row r="5370" spans="1:10">
      <c r="A5370" s="441">
        <v>6664</v>
      </c>
      <c r="B5370" s="441" t="s">
        <v>4789</v>
      </c>
      <c r="C5370" s="545">
        <v>6.5</v>
      </c>
      <c r="D5370" s="545">
        <v>3</v>
      </c>
      <c r="E5370" s="545">
        <v>2</v>
      </c>
      <c r="F5370" s="545">
        <v>5.3571428571428568</v>
      </c>
      <c r="G5370" s="545">
        <v>3.95</v>
      </c>
      <c r="H5370" s="545">
        <v>4</v>
      </c>
      <c r="I5370" s="545">
        <v>1.6666666666666667</v>
      </c>
      <c r="J5370" s="545">
        <v>3.6309523809523809</v>
      </c>
    </row>
    <row r="5371" spans="1:10">
      <c r="A5371" s="441">
        <v>6663</v>
      </c>
      <c r="B5371" s="441" t="s">
        <v>4790</v>
      </c>
      <c r="C5371" s="545">
        <v>15.833333333333332</v>
      </c>
      <c r="D5371" s="545">
        <v>14</v>
      </c>
      <c r="E5371" s="545">
        <v>9.3333333333333339</v>
      </c>
      <c r="F5371" s="545">
        <v>14.642857142857141</v>
      </c>
      <c r="G5371" s="545">
        <v>10.85</v>
      </c>
      <c r="H5371" s="545">
        <v>10.333333333333334</v>
      </c>
      <c r="I5371" s="545">
        <v>4.333333333333333</v>
      </c>
      <c r="J5371" s="545">
        <v>9.8452380952380931</v>
      </c>
    </row>
    <row r="5372" spans="1:10">
      <c r="A5372" s="441">
        <v>6662</v>
      </c>
      <c r="B5372" s="441" t="s">
        <v>4791</v>
      </c>
      <c r="C5372" s="545">
        <v>25.666666666666668</v>
      </c>
      <c r="D5372" s="545">
        <v>23</v>
      </c>
      <c r="E5372" s="545">
        <v>14.666666666666666</v>
      </c>
      <c r="F5372" s="545">
        <v>23.714285714285715</v>
      </c>
      <c r="G5372" s="545">
        <v>34.15</v>
      </c>
      <c r="H5372" s="545">
        <v>22</v>
      </c>
      <c r="I5372" s="545">
        <v>16.333333333333332</v>
      </c>
      <c r="J5372" s="545">
        <v>29.86904761904762</v>
      </c>
    </row>
    <row r="5373" spans="1:10">
      <c r="A5373" s="441">
        <v>6661</v>
      </c>
      <c r="B5373" s="441" t="s">
        <v>4792</v>
      </c>
      <c r="C5373" s="545">
        <v>143.83333333333331</v>
      </c>
      <c r="D5373" s="545">
        <v>99.666666666666671</v>
      </c>
      <c r="E5373" s="545">
        <v>85.333333333333329</v>
      </c>
      <c r="F5373" s="545">
        <v>129.16666666666666</v>
      </c>
      <c r="G5373" s="545">
        <v>54.95</v>
      </c>
      <c r="H5373" s="545">
        <v>39.333333333333336</v>
      </c>
      <c r="I5373" s="545">
        <v>16.333333333333332</v>
      </c>
      <c r="J5373" s="545">
        <v>47.202380952380949</v>
      </c>
    </row>
    <row r="5374" spans="1:10">
      <c r="A5374" s="441">
        <v>6660</v>
      </c>
      <c r="B5374" s="441" t="s">
        <v>4793</v>
      </c>
      <c r="C5374" s="545">
        <v>10.333333333333332</v>
      </c>
      <c r="D5374" s="545">
        <v>8</v>
      </c>
      <c r="E5374" s="545">
        <v>5</v>
      </c>
      <c r="F5374" s="545">
        <v>9.2380952380952372</v>
      </c>
      <c r="G5374" s="545">
        <v>14.85</v>
      </c>
      <c r="H5374" s="545">
        <v>12.333333333333334</v>
      </c>
      <c r="I5374" s="545">
        <v>7.666666666666667</v>
      </c>
      <c r="J5374" s="545">
        <v>13.464285714285714</v>
      </c>
    </row>
    <row r="5375" spans="1:10">
      <c r="A5375" s="441">
        <v>6659</v>
      </c>
      <c r="B5375" s="441" t="s">
        <v>4794</v>
      </c>
      <c r="C5375" s="545">
        <v>29.666666666666668</v>
      </c>
      <c r="D5375" s="545">
        <v>24.333333333333336</v>
      </c>
      <c r="E5375" s="545">
        <v>16.666666666666668</v>
      </c>
      <c r="F5375" s="545">
        <v>27.047619047619047</v>
      </c>
      <c r="G5375" s="545">
        <v>17.25</v>
      </c>
      <c r="H5375" s="545">
        <v>18</v>
      </c>
      <c r="I5375" s="545">
        <v>9.3333333333333339</v>
      </c>
      <c r="J5375" s="545">
        <v>16.226190476190474</v>
      </c>
    </row>
    <row r="5376" spans="1:10">
      <c r="A5376" s="441">
        <v>6658</v>
      </c>
      <c r="B5376" s="441" t="s">
        <v>4795</v>
      </c>
      <c r="C5376" s="545">
        <v>9.5</v>
      </c>
      <c r="D5376" s="545">
        <v>7</v>
      </c>
      <c r="E5376" s="545">
        <v>4</v>
      </c>
      <c r="F5376" s="545">
        <v>8.3571428571428577</v>
      </c>
      <c r="G5376" s="545">
        <v>6.65</v>
      </c>
      <c r="H5376" s="545">
        <v>4.666666666666667</v>
      </c>
      <c r="I5376" s="545">
        <v>5.666666666666667</v>
      </c>
      <c r="J5376" s="545">
        <v>6.2261904761904754</v>
      </c>
    </row>
    <row r="5377" spans="1:10">
      <c r="A5377" s="441">
        <v>6657</v>
      </c>
      <c r="B5377" s="441" t="s">
        <v>4796</v>
      </c>
      <c r="C5377" s="545">
        <v>34.5</v>
      </c>
      <c r="D5377" s="545">
        <v>22.666666666666664</v>
      </c>
      <c r="E5377" s="545">
        <v>13.333333333333334</v>
      </c>
      <c r="F5377" s="545">
        <v>29.785714285714285</v>
      </c>
      <c r="G5377" s="545">
        <v>23.85</v>
      </c>
      <c r="H5377" s="545">
        <v>19.333333333333332</v>
      </c>
      <c r="I5377" s="545">
        <v>9.3333333333333339</v>
      </c>
      <c r="J5377" s="545">
        <v>21.130952380952383</v>
      </c>
    </row>
    <row r="5378" spans="1:10">
      <c r="A5378" s="441">
        <v>10699</v>
      </c>
      <c r="B5378" s="441" t="s">
        <v>4797</v>
      </c>
      <c r="C5378" s="545">
        <v>6.1666666666666661</v>
      </c>
      <c r="D5378" s="545">
        <v>1.3333333333333333</v>
      </c>
      <c r="E5378" s="545">
        <v>0.66666666666666663</v>
      </c>
      <c r="F5378" s="545">
        <v>4.6904761904761898</v>
      </c>
      <c r="G5378" s="545">
        <v>1.1000000000000001</v>
      </c>
      <c r="H5378" s="545">
        <v>0.33333333333333331</v>
      </c>
      <c r="I5378" s="545">
        <v>1.3333333333333333</v>
      </c>
      <c r="J5378" s="545">
        <v>1.0238095238095237</v>
      </c>
    </row>
    <row r="5379" spans="1:10">
      <c r="A5379" s="441">
        <v>150</v>
      </c>
      <c r="B5379" s="441" t="s">
        <v>4798</v>
      </c>
      <c r="C5379" s="545">
        <v>2.8333333333333335</v>
      </c>
      <c r="D5379" s="545">
        <v>1</v>
      </c>
      <c r="E5379" s="545">
        <v>0.33333333333333331</v>
      </c>
      <c r="F5379" s="545">
        <v>2.2142857142857144</v>
      </c>
      <c r="G5379" s="545">
        <v>1.6</v>
      </c>
      <c r="H5379" s="545">
        <v>1</v>
      </c>
      <c r="I5379" s="545">
        <v>1.3333333333333333</v>
      </c>
      <c r="J5379" s="545">
        <v>1.4761904761904763</v>
      </c>
    </row>
    <row r="5380" spans="1:10">
      <c r="A5380" s="441">
        <v>151</v>
      </c>
      <c r="B5380" s="441" t="s">
        <v>4799</v>
      </c>
      <c r="C5380" s="545">
        <v>11.333333333333332</v>
      </c>
      <c r="D5380" s="545">
        <v>3</v>
      </c>
      <c r="E5380" s="545">
        <v>1.3333333333333333</v>
      </c>
      <c r="F5380" s="545">
        <v>8.7142857142857135</v>
      </c>
      <c r="G5380" s="545">
        <v>6.4</v>
      </c>
      <c r="H5380" s="545">
        <v>2.3333333333333335</v>
      </c>
      <c r="I5380" s="545">
        <v>2</v>
      </c>
      <c r="J5380" s="545">
        <v>5.1904761904761907</v>
      </c>
    </row>
    <row r="5381" spans="1:10">
      <c r="A5381" s="441">
        <v>1696</v>
      </c>
      <c r="B5381" s="441" t="s">
        <v>4800</v>
      </c>
      <c r="C5381" s="545">
        <v>13</v>
      </c>
      <c r="D5381" s="545">
        <v>1.6666666666666667</v>
      </c>
      <c r="E5381" s="545">
        <v>0.33333333333333331</v>
      </c>
      <c r="F5381" s="545">
        <v>9.5714285714285712</v>
      </c>
      <c r="G5381" s="545">
        <v>6.45</v>
      </c>
      <c r="H5381" s="545">
        <v>0.66666666666666663</v>
      </c>
      <c r="I5381" s="545">
        <v>1.3333333333333333</v>
      </c>
      <c r="J5381" s="545">
        <v>4.8928571428571432</v>
      </c>
    </row>
    <row r="5382" spans="1:10">
      <c r="A5382" s="441">
        <v>1697</v>
      </c>
      <c r="B5382" s="441" t="s">
        <v>4800</v>
      </c>
      <c r="C5382" s="545">
        <v>2.3333333333333335</v>
      </c>
      <c r="D5382" s="545">
        <v>4.6666666666666661</v>
      </c>
      <c r="E5382" s="545">
        <v>0.66666666666666663</v>
      </c>
      <c r="F5382" s="545">
        <v>2.4285714285714293</v>
      </c>
      <c r="G5382" s="545">
        <v>0.4</v>
      </c>
      <c r="H5382" s="545">
        <v>0.33333333333333331</v>
      </c>
      <c r="I5382" s="545">
        <v>0</v>
      </c>
      <c r="J5382" s="545">
        <v>0.33333333333333337</v>
      </c>
    </row>
    <row r="5383" spans="1:10">
      <c r="A5383" s="441">
        <v>1695</v>
      </c>
      <c r="B5383" s="441" t="s">
        <v>4801</v>
      </c>
      <c r="C5383" s="545">
        <v>1.6666666666666667</v>
      </c>
      <c r="D5383" s="545">
        <v>0</v>
      </c>
      <c r="E5383" s="545">
        <v>0.33333333333333331</v>
      </c>
      <c r="F5383" s="545">
        <v>1.2380952380952384</v>
      </c>
      <c r="G5383" s="545">
        <v>1.85</v>
      </c>
      <c r="H5383" s="545">
        <v>0.66666666666666663</v>
      </c>
      <c r="I5383" s="545">
        <v>0.66666666666666663</v>
      </c>
      <c r="J5383" s="545">
        <v>1.5119047619047616</v>
      </c>
    </row>
    <row r="5384" spans="1:10">
      <c r="A5384" s="441">
        <v>147</v>
      </c>
      <c r="B5384" s="441" t="s">
        <v>4802</v>
      </c>
      <c r="C5384" s="545">
        <v>6.5</v>
      </c>
      <c r="D5384" s="545">
        <v>3.333333333333333</v>
      </c>
      <c r="E5384" s="545">
        <v>0</v>
      </c>
      <c r="F5384" s="545">
        <v>5.1190476190476195</v>
      </c>
      <c r="G5384" s="545">
        <v>1.5</v>
      </c>
      <c r="H5384" s="545">
        <v>0</v>
      </c>
      <c r="I5384" s="545">
        <v>0</v>
      </c>
      <c r="J5384" s="545">
        <v>1.0714285714285714</v>
      </c>
    </row>
    <row r="5385" spans="1:10">
      <c r="A5385" s="441">
        <v>148</v>
      </c>
      <c r="B5385" s="441" t="s">
        <v>4802</v>
      </c>
      <c r="C5385" s="545">
        <v>0.16666666666666666</v>
      </c>
      <c r="D5385" s="545">
        <v>0</v>
      </c>
      <c r="E5385" s="545">
        <v>0</v>
      </c>
      <c r="F5385" s="545">
        <v>0.11904761904761904</v>
      </c>
      <c r="G5385" s="545">
        <v>0.2</v>
      </c>
      <c r="H5385" s="545">
        <v>0.66666666666666663</v>
      </c>
      <c r="I5385" s="545">
        <v>0.66666666666666663</v>
      </c>
      <c r="J5385" s="545">
        <v>0.33333333333333331</v>
      </c>
    </row>
    <row r="5386" spans="1:10">
      <c r="A5386" s="441">
        <v>149</v>
      </c>
      <c r="B5386" s="441" t="s">
        <v>4803</v>
      </c>
      <c r="C5386" s="545">
        <v>3</v>
      </c>
      <c r="D5386" s="545">
        <v>0.66666666666666663</v>
      </c>
      <c r="E5386" s="545">
        <v>0</v>
      </c>
      <c r="F5386" s="545">
        <v>2.2380952380952381</v>
      </c>
      <c r="G5386" s="545">
        <v>3.2</v>
      </c>
      <c r="H5386" s="545">
        <v>4.666666666666667</v>
      </c>
      <c r="I5386" s="545">
        <v>3.3333333333333335</v>
      </c>
      <c r="J5386" s="545">
        <v>3.4285714285714284</v>
      </c>
    </row>
    <row r="5387" spans="1:10">
      <c r="A5387" s="441">
        <v>10062</v>
      </c>
      <c r="B5387" s="441" t="s">
        <v>4804</v>
      </c>
      <c r="C5387" s="545">
        <v>0.83333333333333326</v>
      </c>
      <c r="D5387" s="545">
        <v>0</v>
      </c>
      <c r="E5387" s="545">
        <v>0</v>
      </c>
      <c r="F5387" s="545">
        <v>0.59523809523809512</v>
      </c>
      <c r="G5387" s="545">
        <v>1.35</v>
      </c>
      <c r="H5387" s="545">
        <v>0</v>
      </c>
      <c r="I5387" s="545">
        <v>0.33333333333333331</v>
      </c>
      <c r="J5387" s="545">
        <v>1.0119047619047619</v>
      </c>
    </row>
    <row r="5388" spans="1:10">
      <c r="A5388" s="441">
        <v>12070</v>
      </c>
      <c r="B5388" s="441" t="s">
        <v>4805</v>
      </c>
      <c r="C5388" s="545">
        <v>52.666666666666664</v>
      </c>
      <c r="D5388" s="545">
        <v>7.666666666666667</v>
      </c>
      <c r="E5388" s="545">
        <v>3</v>
      </c>
      <c r="F5388" s="545">
        <v>39.142857142857146</v>
      </c>
      <c r="G5388" s="545">
        <v>4.3499999999999996</v>
      </c>
      <c r="H5388" s="545">
        <v>1.6666666666666667</v>
      </c>
      <c r="I5388" s="545">
        <v>1.3333333333333333</v>
      </c>
      <c r="J5388" s="545">
        <v>3.5357142857142856</v>
      </c>
    </row>
    <row r="5389" spans="1:10">
      <c r="A5389" s="441">
        <v>1694</v>
      </c>
      <c r="B5389" s="441" t="s">
        <v>4806</v>
      </c>
      <c r="C5389" s="545">
        <v>11.666666666666666</v>
      </c>
      <c r="D5389" s="545">
        <v>8.6666666666666661</v>
      </c>
      <c r="E5389" s="545">
        <v>5.6666666666666661</v>
      </c>
      <c r="F5389" s="545">
        <v>10.380952380952381</v>
      </c>
      <c r="G5389" s="545">
        <v>5.2</v>
      </c>
      <c r="H5389" s="545">
        <v>6</v>
      </c>
      <c r="I5389" s="545">
        <v>2.6666666666666665</v>
      </c>
      <c r="J5389" s="545">
        <v>4.9523809523809517</v>
      </c>
    </row>
    <row r="5390" spans="1:10">
      <c r="A5390" s="441">
        <v>11310</v>
      </c>
      <c r="B5390" s="441" t="s">
        <v>4806</v>
      </c>
      <c r="C5390" s="545">
        <v>18.666666666666668</v>
      </c>
      <c r="D5390" s="545">
        <v>6</v>
      </c>
      <c r="E5390" s="545">
        <v>4</v>
      </c>
      <c r="F5390" s="545">
        <v>14.761904761904763</v>
      </c>
      <c r="G5390" s="545">
        <v>13.25</v>
      </c>
      <c r="H5390" s="545">
        <v>6</v>
      </c>
      <c r="I5390" s="545">
        <v>4.333333333333333</v>
      </c>
      <c r="J5390" s="545">
        <v>10.94047619047619</v>
      </c>
    </row>
    <row r="5391" spans="1:10">
      <c r="A5391" s="441">
        <v>12026</v>
      </c>
      <c r="B5391" s="441" t="s">
        <v>4807</v>
      </c>
      <c r="C5391" s="545">
        <v>0</v>
      </c>
      <c r="D5391" s="545">
        <v>2</v>
      </c>
      <c r="E5391" s="545">
        <v>0.33333333333333331</v>
      </c>
      <c r="F5391" s="545">
        <v>0.33333333333333337</v>
      </c>
      <c r="G5391" s="545">
        <v>0.55000000000000004</v>
      </c>
      <c r="H5391" s="545">
        <v>0</v>
      </c>
      <c r="I5391" s="545">
        <v>1.6666666666666667</v>
      </c>
      <c r="J5391" s="545">
        <v>0.63095238095238104</v>
      </c>
    </row>
    <row r="5392" spans="1:10">
      <c r="A5392" s="441">
        <v>10163</v>
      </c>
      <c r="B5392" s="441" t="s">
        <v>4808</v>
      </c>
      <c r="C5392" s="545">
        <v>13.666666666666668</v>
      </c>
      <c r="D5392" s="545">
        <v>8.6666666666666661</v>
      </c>
      <c r="E5392" s="545">
        <v>3.666666666666667</v>
      </c>
      <c r="F5392" s="545">
        <v>11.523809523809527</v>
      </c>
      <c r="G5392" s="545">
        <v>10.45</v>
      </c>
      <c r="H5392" s="545">
        <v>7</v>
      </c>
      <c r="I5392" s="545">
        <v>5.333333333333333</v>
      </c>
      <c r="J5392" s="545">
        <v>9.2261904761904763</v>
      </c>
    </row>
    <row r="5393" spans="1:10">
      <c r="A5393" s="441">
        <v>1698</v>
      </c>
      <c r="B5393" s="441" t="s">
        <v>4809</v>
      </c>
      <c r="C5393" s="545">
        <v>12</v>
      </c>
      <c r="D5393" s="545">
        <v>2.3333333333333335</v>
      </c>
      <c r="E5393" s="545">
        <v>3</v>
      </c>
      <c r="F5393" s="545">
        <v>9.3333333333333339</v>
      </c>
      <c r="G5393" s="545">
        <v>4.55</v>
      </c>
      <c r="H5393" s="545">
        <v>3</v>
      </c>
      <c r="I5393" s="545">
        <v>1.3333333333333333</v>
      </c>
      <c r="J5393" s="545">
        <v>3.8690476190476191</v>
      </c>
    </row>
    <row r="5394" spans="1:10">
      <c r="A5394" s="441">
        <v>11309</v>
      </c>
      <c r="B5394" s="441" t="s">
        <v>4809</v>
      </c>
      <c r="C5394" s="545">
        <v>9.8333333333333321</v>
      </c>
      <c r="D5394" s="545">
        <v>4</v>
      </c>
      <c r="E5394" s="545">
        <v>6</v>
      </c>
      <c r="F5394" s="545">
        <v>8.4523809523809508</v>
      </c>
      <c r="G5394" s="545">
        <v>4.0999999999999996</v>
      </c>
      <c r="H5394" s="545">
        <v>2.3333333333333335</v>
      </c>
      <c r="I5394" s="545">
        <v>1.6666666666666667</v>
      </c>
      <c r="J5394" s="545">
        <v>3.5</v>
      </c>
    </row>
    <row r="5395" spans="1:10">
      <c r="A5395" s="441">
        <v>10164</v>
      </c>
      <c r="B5395" s="441" t="s">
        <v>4810</v>
      </c>
      <c r="C5395" s="545">
        <v>4.5</v>
      </c>
      <c r="D5395" s="545">
        <v>6.3333333333333339</v>
      </c>
      <c r="E5395" s="545">
        <v>0.33333333333333331</v>
      </c>
      <c r="F5395" s="545">
        <v>4.166666666666667</v>
      </c>
      <c r="G5395" s="545">
        <v>3.05</v>
      </c>
      <c r="H5395" s="545">
        <v>0.66666666666666663</v>
      </c>
      <c r="I5395" s="545">
        <v>0.66666666666666663</v>
      </c>
      <c r="J5395" s="545">
        <v>2.3690476190476191</v>
      </c>
    </row>
    <row r="5396" spans="1:10">
      <c r="A5396" s="441">
        <v>9592</v>
      </c>
      <c r="B5396" s="441" t="s">
        <v>4811</v>
      </c>
      <c r="C5396" s="545">
        <v>28.666666666666668</v>
      </c>
      <c r="D5396" s="545">
        <v>7.6666666666666661</v>
      </c>
      <c r="E5396" s="545">
        <v>5</v>
      </c>
      <c r="F5396" s="545">
        <v>22.285714285714285</v>
      </c>
      <c r="G5396" s="545">
        <v>62.2</v>
      </c>
      <c r="H5396" s="545">
        <v>4.333333333333333</v>
      </c>
      <c r="I5396" s="545">
        <v>9.6666666666666661</v>
      </c>
      <c r="J5396" s="545">
        <v>46.428571428571431</v>
      </c>
    </row>
    <row r="5397" spans="1:10">
      <c r="A5397" s="441">
        <v>6242</v>
      </c>
      <c r="B5397" s="441" t="s">
        <v>4812</v>
      </c>
      <c r="C5397" s="545">
        <v>14.666666666666668</v>
      </c>
      <c r="D5397" s="545">
        <v>12.333333333333332</v>
      </c>
      <c r="E5397" s="545">
        <v>7.3333333333333339</v>
      </c>
      <c r="F5397" s="545">
        <v>13.285714285714286</v>
      </c>
      <c r="G5397" s="545">
        <v>8.25</v>
      </c>
      <c r="H5397" s="545">
        <v>6.333333333333333</v>
      </c>
      <c r="I5397" s="545">
        <v>6.333333333333333</v>
      </c>
      <c r="J5397" s="545">
        <v>7.7023809523809534</v>
      </c>
    </row>
    <row r="5398" spans="1:10">
      <c r="A5398" s="441">
        <v>6254</v>
      </c>
      <c r="B5398" s="441" t="s">
        <v>4812</v>
      </c>
      <c r="C5398" s="545">
        <v>17.5</v>
      </c>
      <c r="D5398" s="545">
        <v>11.333333333333332</v>
      </c>
      <c r="E5398" s="545">
        <v>11.666666666666668</v>
      </c>
      <c r="F5398" s="545">
        <v>15.785714285714286</v>
      </c>
      <c r="G5398" s="545">
        <v>12.3</v>
      </c>
      <c r="H5398" s="545">
        <v>9.6666666666666661</v>
      </c>
      <c r="I5398" s="545">
        <v>3</v>
      </c>
      <c r="J5398" s="545">
        <v>10.595238095238097</v>
      </c>
    </row>
    <row r="5399" spans="1:10">
      <c r="A5399" s="441">
        <v>6012</v>
      </c>
      <c r="B5399" s="441" t="s">
        <v>4813</v>
      </c>
      <c r="C5399" s="545">
        <v>2.1666666666666665</v>
      </c>
      <c r="D5399" s="545">
        <v>0.66666666666666663</v>
      </c>
      <c r="E5399" s="545">
        <v>1.6666666666666665</v>
      </c>
      <c r="F5399" s="545">
        <v>1.8809523809523807</v>
      </c>
      <c r="G5399" s="545">
        <v>0.9</v>
      </c>
      <c r="H5399" s="545">
        <v>1.3333333333333333</v>
      </c>
      <c r="I5399" s="545">
        <v>1.6666666666666667</v>
      </c>
      <c r="J5399" s="545">
        <v>1.0714285714285714</v>
      </c>
    </row>
    <row r="5400" spans="1:10">
      <c r="A5400" s="441">
        <v>6237</v>
      </c>
      <c r="B5400" s="441" t="s">
        <v>4813</v>
      </c>
      <c r="C5400" s="545">
        <v>2.6666666666666665</v>
      </c>
      <c r="D5400" s="545">
        <v>0.66666666666666663</v>
      </c>
      <c r="E5400" s="545">
        <v>1.3333333333333333</v>
      </c>
      <c r="F5400" s="545">
        <v>2.1904761904761902</v>
      </c>
      <c r="G5400" s="545">
        <v>0.35</v>
      </c>
      <c r="H5400" s="545">
        <v>0.66666666666666663</v>
      </c>
      <c r="I5400" s="545">
        <v>0.33333333333333331</v>
      </c>
      <c r="J5400" s="545">
        <v>0.39285714285714285</v>
      </c>
    </row>
    <row r="5401" spans="1:10">
      <c r="A5401" s="441">
        <v>3774</v>
      </c>
      <c r="B5401" s="441" t="s">
        <v>4814</v>
      </c>
      <c r="C5401" s="545">
        <v>51.666666666666671</v>
      </c>
      <c r="D5401" s="545">
        <v>8.6666666666666661</v>
      </c>
      <c r="E5401" s="545">
        <v>9.3333333333333339</v>
      </c>
      <c r="F5401" s="545">
        <v>39.476190476190482</v>
      </c>
      <c r="G5401" s="545">
        <v>18.649999999999999</v>
      </c>
      <c r="H5401" s="545">
        <v>8.3333333333333339</v>
      </c>
      <c r="I5401" s="545">
        <v>5.666666666666667</v>
      </c>
      <c r="J5401" s="545">
        <v>15.321428571428571</v>
      </c>
    </row>
    <row r="5402" spans="1:10">
      <c r="A5402" s="441">
        <v>6249</v>
      </c>
      <c r="B5402" s="441" t="s">
        <v>4815</v>
      </c>
      <c r="C5402" s="545">
        <v>7.6666666666666661</v>
      </c>
      <c r="D5402" s="545">
        <v>3</v>
      </c>
      <c r="E5402" s="545">
        <v>2.666666666666667</v>
      </c>
      <c r="F5402" s="545">
        <v>6.2857142857142847</v>
      </c>
      <c r="G5402" s="545">
        <v>3.5</v>
      </c>
      <c r="H5402" s="545">
        <v>1.3333333333333333</v>
      </c>
      <c r="I5402" s="545">
        <v>3.3333333333333335</v>
      </c>
      <c r="J5402" s="545">
        <v>3.1666666666666665</v>
      </c>
    </row>
    <row r="5403" spans="1:10">
      <c r="A5403" s="441">
        <v>11873</v>
      </c>
      <c r="B5403" s="441" t="s">
        <v>4816</v>
      </c>
      <c r="C5403" s="545">
        <v>5</v>
      </c>
      <c r="D5403" s="545">
        <v>0.33333333333333331</v>
      </c>
      <c r="E5403" s="545">
        <v>3</v>
      </c>
      <c r="F5403" s="545">
        <v>4.0476190476190474</v>
      </c>
      <c r="G5403" s="545">
        <v>2.15</v>
      </c>
      <c r="H5403" s="545">
        <v>1.6666666666666667</v>
      </c>
      <c r="I5403" s="545">
        <v>2.3333333333333335</v>
      </c>
      <c r="J5403" s="545">
        <v>2.1071428571428572</v>
      </c>
    </row>
    <row r="5404" spans="1:10">
      <c r="A5404" s="441">
        <v>6243</v>
      </c>
      <c r="B5404" s="441" t="s">
        <v>4817</v>
      </c>
      <c r="C5404" s="545">
        <v>10.5</v>
      </c>
      <c r="D5404" s="545">
        <v>4.3333333333333339</v>
      </c>
      <c r="E5404" s="545">
        <v>5.333333333333333</v>
      </c>
      <c r="F5404" s="545">
        <v>8.8809523809523814</v>
      </c>
      <c r="G5404" s="545">
        <v>6.05</v>
      </c>
      <c r="H5404" s="545">
        <v>4.666666666666667</v>
      </c>
      <c r="I5404" s="545">
        <v>7</v>
      </c>
      <c r="J5404" s="545">
        <v>5.9880952380952381</v>
      </c>
    </row>
    <row r="5405" spans="1:10">
      <c r="A5405" s="441">
        <v>12173</v>
      </c>
      <c r="B5405" s="441" t="s">
        <v>4818</v>
      </c>
      <c r="C5405" s="545">
        <v>3.666666666666667</v>
      </c>
      <c r="D5405" s="545">
        <v>2.333333333333333</v>
      </c>
      <c r="E5405" s="545">
        <v>1</v>
      </c>
      <c r="F5405" s="545">
        <v>3.0952380952380953</v>
      </c>
      <c r="G5405" s="545">
        <v>3.7</v>
      </c>
      <c r="H5405" s="545">
        <v>5</v>
      </c>
      <c r="I5405" s="545">
        <v>0.66666666666666663</v>
      </c>
      <c r="J5405" s="545">
        <v>3.4523809523809526</v>
      </c>
    </row>
    <row r="5406" spans="1:10">
      <c r="A5406" s="441">
        <v>6011</v>
      </c>
      <c r="B5406" s="441" t="s">
        <v>4819</v>
      </c>
      <c r="C5406" s="545">
        <v>1.6666666666666665</v>
      </c>
      <c r="D5406" s="545">
        <v>0.33333333333333331</v>
      </c>
      <c r="E5406" s="545">
        <v>3</v>
      </c>
      <c r="F5406" s="545">
        <v>1.6666666666666665</v>
      </c>
      <c r="G5406" s="545">
        <v>1.1499999999999999</v>
      </c>
      <c r="H5406" s="545">
        <v>0.33333333333333331</v>
      </c>
      <c r="I5406" s="545">
        <v>0.66666666666666663</v>
      </c>
      <c r="J5406" s="545">
        <v>0.9642857142857143</v>
      </c>
    </row>
    <row r="5407" spans="1:10">
      <c r="A5407" s="441">
        <v>6238</v>
      </c>
      <c r="B5407" s="441" t="s">
        <v>4819</v>
      </c>
      <c r="C5407" s="545">
        <v>4.166666666666667</v>
      </c>
      <c r="D5407" s="545">
        <v>1</v>
      </c>
      <c r="E5407" s="545">
        <v>2</v>
      </c>
      <c r="F5407" s="545">
        <v>3.4047619047619051</v>
      </c>
      <c r="G5407" s="545">
        <v>2.75</v>
      </c>
      <c r="H5407" s="545">
        <v>1.3333333333333333</v>
      </c>
      <c r="I5407" s="545">
        <v>1.6666666666666667</v>
      </c>
      <c r="J5407" s="545">
        <v>2.3928571428571428</v>
      </c>
    </row>
    <row r="5408" spans="1:10">
      <c r="A5408" s="441">
        <v>6013</v>
      </c>
      <c r="B5408" s="441" t="s">
        <v>4820</v>
      </c>
      <c r="C5408" s="545">
        <v>3.5</v>
      </c>
      <c r="D5408" s="545">
        <v>1.3333333333333333</v>
      </c>
      <c r="E5408" s="545">
        <v>2</v>
      </c>
      <c r="F5408" s="545">
        <v>2.9761904761904758</v>
      </c>
      <c r="G5408" s="545">
        <v>1.85</v>
      </c>
      <c r="H5408" s="545">
        <v>1</v>
      </c>
      <c r="I5408" s="545">
        <v>0.33333333333333331</v>
      </c>
      <c r="J5408" s="545">
        <v>1.5119047619047621</v>
      </c>
    </row>
    <row r="5409" spans="1:10">
      <c r="A5409" s="441">
        <v>6236</v>
      </c>
      <c r="B5409" s="441" t="s">
        <v>4820</v>
      </c>
      <c r="C5409" s="545">
        <v>2.5</v>
      </c>
      <c r="D5409" s="545">
        <v>1.3333333333333333</v>
      </c>
      <c r="E5409" s="545">
        <v>0.66666666666666663</v>
      </c>
      <c r="F5409" s="545">
        <v>2.0714285714285716</v>
      </c>
      <c r="G5409" s="545">
        <v>1.65</v>
      </c>
      <c r="H5409" s="545">
        <v>0.33333333333333331</v>
      </c>
      <c r="I5409" s="545">
        <v>2.6666666666666665</v>
      </c>
      <c r="J5409" s="545">
        <v>1.6071428571428572</v>
      </c>
    </row>
    <row r="5410" spans="1:10">
      <c r="A5410" s="441">
        <v>6014</v>
      </c>
      <c r="B5410" s="441" t="s">
        <v>4821</v>
      </c>
      <c r="C5410" s="545">
        <v>2.8333333333333335</v>
      </c>
      <c r="D5410" s="545">
        <v>1.6666666666666665</v>
      </c>
      <c r="E5410" s="545">
        <v>3.3333333333333335</v>
      </c>
      <c r="F5410" s="545">
        <v>2.7380952380952381</v>
      </c>
      <c r="G5410" s="545">
        <v>3.55</v>
      </c>
      <c r="H5410" s="545">
        <v>3</v>
      </c>
      <c r="I5410" s="545">
        <v>2.3333333333333335</v>
      </c>
      <c r="J5410" s="545">
        <v>3.2976190476190474</v>
      </c>
    </row>
    <row r="5411" spans="1:10">
      <c r="A5411" s="441">
        <v>6235</v>
      </c>
      <c r="B5411" s="441" t="s">
        <v>4821</v>
      </c>
      <c r="C5411" s="545">
        <v>4.8333333333333339</v>
      </c>
      <c r="D5411" s="545">
        <v>2.666666666666667</v>
      </c>
      <c r="E5411" s="545">
        <v>2.6666666666666665</v>
      </c>
      <c r="F5411" s="545">
        <v>4.2142857142857153</v>
      </c>
      <c r="G5411" s="545">
        <v>2.4</v>
      </c>
      <c r="H5411" s="545">
        <v>1</v>
      </c>
      <c r="I5411" s="545">
        <v>1</v>
      </c>
      <c r="J5411" s="545">
        <v>2</v>
      </c>
    </row>
    <row r="5412" spans="1:10">
      <c r="A5412" s="441">
        <v>7556</v>
      </c>
      <c r="B5412" s="441" t="s">
        <v>4822</v>
      </c>
      <c r="C5412" s="545">
        <v>4.5</v>
      </c>
      <c r="D5412" s="545">
        <v>2</v>
      </c>
      <c r="E5412" s="545">
        <v>3.3333333333333335</v>
      </c>
      <c r="F5412" s="545">
        <v>3.9761904761904758</v>
      </c>
      <c r="G5412" s="545">
        <v>3.4</v>
      </c>
      <c r="H5412" s="545">
        <v>2.6666666666666665</v>
      </c>
      <c r="I5412" s="545">
        <v>10.333333333333334</v>
      </c>
      <c r="J5412" s="545">
        <v>4.2857142857142856</v>
      </c>
    </row>
    <row r="5413" spans="1:10">
      <c r="A5413" s="441">
        <v>7572</v>
      </c>
      <c r="B5413" s="441" t="s">
        <v>4822</v>
      </c>
      <c r="C5413" s="545">
        <v>1.6666666666666667</v>
      </c>
      <c r="D5413" s="545">
        <v>2.666666666666667</v>
      </c>
      <c r="E5413" s="545">
        <v>5</v>
      </c>
      <c r="F5413" s="545">
        <v>2.2857142857142856</v>
      </c>
      <c r="G5413" s="545">
        <v>4.3499999999999996</v>
      </c>
      <c r="H5413" s="545">
        <v>4.333333333333333</v>
      </c>
      <c r="I5413" s="545">
        <v>3.3333333333333335</v>
      </c>
      <c r="J5413" s="545">
        <v>4.2023809523809517</v>
      </c>
    </row>
    <row r="5414" spans="1:10">
      <c r="A5414" s="441">
        <v>10358</v>
      </c>
      <c r="B5414" s="441" t="s">
        <v>4823</v>
      </c>
      <c r="C5414" s="545">
        <v>25.333333333333336</v>
      </c>
      <c r="D5414" s="545">
        <v>4.6666666666666661</v>
      </c>
      <c r="E5414" s="545">
        <v>3.666666666666667</v>
      </c>
      <c r="F5414" s="545">
        <v>19.285714285714285</v>
      </c>
      <c r="G5414" s="545">
        <v>7.2</v>
      </c>
      <c r="H5414" s="545">
        <v>2.3333333333333335</v>
      </c>
      <c r="I5414" s="545">
        <v>3.6666666666666665</v>
      </c>
      <c r="J5414" s="545">
        <v>6</v>
      </c>
    </row>
    <row r="5415" spans="1:10">
      <c r="A5415" s="441">
        <v>7557</v>
      </c>
      <c r="B5415" s="441" t="s">
        <v>4824</v>
      </c>
      <c r="C5415" s="545">
        <v>9.1666666666666679</v>
      </c>
      <c r="D5415" s="545">
        <v>2</v>
      </c>
      <c r="E5415" s="545">
        <v>4.333333333333333</v>
      </c>
      <c r="F5415" s="545">
        <v>7.4523809523809543</v>
      </c>
      <c r="G5415" s="545">
        <v>3.55</v>
      </c>
      <c r="H5415" s="545">
        <v>2.3333333333333335</v>
      </c>
      <c r="I5415" s="545">
        <v>4.666666666666667</v>
      </c>
      <c r="J5415" s="545">
        <v>3.5357142857142856</v>
      </c>
    </row>
    <row r="5416" spans="1:10">
      <c r="A5416" s="441">
        <v>7571</v>
      </c>
      <c r="B5416" s="441" t="s">
        <v>4825</v>
      </c>
      <c r="C5416" s="545">
        <v>5</v>
      </c>
      <c r="D5416" s="545">
        <v>1.3333333333333333</v>
      </c>
      <c r="E5416" s="545">
        <v>3.333333333333333</v>
      </c>
      <c r="F5416" s="545">
        <v>4.2380952380952381</v>
      </c>
      <c r="G5416" s="545">
        <v>1.65</v>
      </c>
      <c r="H5416" s="545">
        <v>3</v>
      </c>
      <c r="I5416" s="545">
        <v>3</v>
      </c>
      <c r="J5416" s="545">
        <v>2.0357142857142856</v>
      </c>
    </row>
    <row r="5417" spans="1:10">
      <c r="A5417" s="441">
        <v>7559</v>
      </c>
      <c r="B5417" s="441" t="s">
        <v>4826</v>
      </c>
      <c r="C5417" s="545">
        <v>4.333333333333333</v>
      </c>
      <c r="D5417" s="545">
        <v>2</v>
      </c>
      <c r="E5417" s="545">
        <v>2.3333333333333335</v>
      </c>
      <c r="F5417" s="545">
        <v>3.714285714285714</v>
      </c>
      <c r="G5417" s="545">
        <v>2.75</v>
      </c>
      <c r="H5417" s="545">
        <v>1.3333333333333333</v>
      </c>
      <c r="I5417" s="545">
        <v>1.3333333333333333</v>
      </c>
      <c r="J5417" s="545">
        <v>2.3452380952380953</v>
      </c>
    </row>
    <row r="5418" spans="1:10">
      <c r="A5418" s="441">
        <v>7570</v>
      </c>
      <c r="B5418" s="441" t="s">
        <v>4826</v>
      </c>
      <c r="C5418" s="545">
        <v>3.5</v>
      </c>
      <c r="D5418" s="545">
        <v>2</v>
      </c>
      <c r="E5418" s="545">
        <v>0.66666666666666663</v>
      </c>
      <c r="F5418" s="545">
        <v>2.8809523809523809</v>
      </c>
      <c r="G5418" s="545">
        <v>1.85</v>
      </c>
      <c r="H5418" s="545">
        <v>2</v>
      </c>
      <c r="I5418" s="545">
        <v>5.666666666666667</v>
      </c>
      <c r="J5418" s="545">
        <v>2.416666666666667</v>
      </c>
    </row>
    <row r="5419" spans="1:10">
      <c r="A5419" s="441">
        <v>7560</v>
      </c>
      <c r="B5419" s="441" t="s">
        <v>4827</v>
      </c>
      <c r="C5419" s="545">
        <v>8.6666666666666661</v>
      </c>
      <c r="D5419" s="545">
        <v>6.3333333333333339</v>
      </c>
      <c r="E5419" s="545">
        <v>5</v>
      </c>
      <c r="F5419" s="545">
        <v>7.8095238095238093</v>
      </c>
      <c r="G5419" s="545">
        <v>6.25</v>
      </c>
      <c r="H5419" s="545">
        <v>2</v>
      </c>
      <c r="I5419" s="545">
        <v>5.333333333333333</v>
      </c>
      <c r="J5419" s="545">
        <v>5.5119047619047619</v>
      </c>
    </row>
    <row r="5420" spans="1:10">
      <c r="A5420" s="441">
        <v>7569</v>
      </c>
      <c r="B5420" s="441" t="s">
        <v>4827</v>
      </c>
      <c r="C5420" s="545">
        <v>12.333333333333332</v>
      </c>
      <c r="D5420" s="545">
        <v>6</v>
      </c>
      <c r="E5420" s="545">
        <v>13</v>
      </c>
      <c r="F5420" s="545">
        <v>11.523809523809522</v>
      </c>
      <c r="G5420" s="545">
        <v>9.1</v>
      </c>
      <c r="H5420" s="545">
        <v>10.333333333333334</v>
      </c>
      <c r="I5420" s="545">
        <v>15.666666666666666</v>
      </c>
      <c r="J5420" s="545">
        <v>10.214285714285714</v>
      </c>
    </row>
    <row r="5421" spans="1:10">
      <c r="A5421" s="441">
        <v>7561</v>
      </c>
      <c r="B5421" s="441" t="s">
        <v>4828</v>
      </c>
      <c r="C5421" s="545">
        <v>8.1666666666666661</v>
      </c>
      <c r="D5421" s="545">
        <v>2.333333333333333</v>
      </c>
      <c r="E5421" s="545">
        <v>2.333333333333333</v>
      </c>
      <c r="F5421" s="545">
        <v>6.5</v>
      </c>
      <c r="G5421" s="545">
        <v>8.1999999999999993</v>
      </c>
      <c r="H5421" s="545">
        <v>4.666666666666667</v>
      </c>
      <c r="I5421" s="545">
        <v>2.3333333333333335</v>
      </c>
      <c r="J5421" s="545">
        <v>6.8571428571428568</v>
      </c>
    </row>
    <row r="5422" spans="1:10">
      <c r="A5422" s="441">
        <v>7568</v>
      </c>
      <c r="B5422" s="441" t="s">
        <v>4828</v>
      </c>
      <c r="C5422" s="545">
        <v>10.666666666666668</v>
      </c>
      <c r="D5422" s="545">
        <v>7</v>
      </c>
      <c r="E5422" s="545">
        <v>6.666666666666667</v>
      </c>
      <c r="F5422" s="545">
        <v>9.571428571428573</v>
      </c>
      <c r="G5422" s="545">
        <v>11.35</v>
      </c>
      <c r="H5422" s="545">
        <v>10.666666666666666</v>
      </c>
      <c r="I5422" s="545">
        <v>7.666666666666667</v>
      </c>
      <c r="J5422" s="545">
        <v>10.726190476190478</v>
      </c>
    </row>
    <row r="5423" spans="1:10">
      <c r="A5423" s="441">
        <v>7562</v>
      </c>
      <c r="B5423" s="441" t="s">
        <v>4829</v>
      </c>
      <c r="C5423" s="545">
        <v>14.333333333333332</v>
      </c>
      <c r="D5423" s="545">
        <v>8.3333333333333321</v>
      </c>
      <c r="E5423" s="545">
        <v>9</v>
      </c>
      <c r="F5423" s="545">
        <v>12.714285714285712</v>
      </c>
      <c r="G5423" s="545">
        <v>8.35</v>
      </c>
      <c r="H5423" s="545">
        <v>5.666666666666667</v>
      </c>
      <c r="I5423" s="545">
        <v>5.666666666666667</v>
      </c>
      <c r="J5423" s="545">
        <v>7.583333333333333</v>
      </c>
    </row>
    <row r="5424" spans="1:10">
      <c r="A5424" s="441">
        <v>7567</v>
      </c>
      <c r="B5424" s="441" t="s">
        <v>4829</v>
      </c>
      <c r="C5424" s="545">
        <v>11</v>
      </c>
      <c r="D5424" s="545">
        <v>9.3333333333333339</v>
      </c>
      <c r="E5424" s="545">
        <v>6.6666666666666661</v>
      </c>
      <c r="F5424" s="545">
        <v>10.142857142857142</v>
      </c>
      <c r="G5424" s="545">
        <v>7.7</v>
      </c>
      <c r="H5424" s="545">
        <v>7.333333333333333</v>
      </c>
      <c r="I5424" s="545">
        <v>4.666666666666667</v>
      </c>
      <c r="J5424" s="545">
        <v>7.2142857142857144</v>
      </c>
    </row>
    <row r="5425" spans="1:10">
      <c r="A5425" s="441">
        <v>7566</v>
      </c>
      <c r="B5425" s="441" t="s">
        <v>4830</v>
      </c>
      <c r="C5425" s="545">
        <v>15.666666666666666</v>
      </c>
      <c r="D5425" s="545">
        <v>7</v>
      </c>
      <c r="E5425" s="545">
        <v>5.333333333333333</v>
      </c>
      <c r="F5425" s="545">
        <v>12.952380952380951</v>
      </c>
      <c r="G5425" s="545">
        <v>12.35</v>
      </c>
      <c r="H5425" s="545">
        <v>4.333333333333333</v>
      </c>
      <c r="I5425" s="545">
        <v>3</v>
      </c>
      <c r="J5425" s="545">
        <v>9.8690476190476186</v>
      </c>
    </row>
    <row r="5426" spans="1:10">
      <c r="A5426" s="441">
        <v>7564</v>
      </c>
      <c r="B5426" s="441" t="s">
        <v>4831</v>
      </c>
      <c r="C5426" s="545">
        <v>10.166666666666668</v>
      </c>
      <c r="D5426" s="545">
        <v>3</v>
      </c>
      <c r="E5426" s="545">
        <v>3</v>
      </c>
      <c r="F5426" s="545">
        <v>8.1190476190476204</v>
      </c>
      <c r="G5426" s="545">
        <v>8.4</v>
      </c>
      <c r="H5426" s="545">
        <v>7.333333333333333</v>
      </c>
      <c r="I5426" s="545">
        <v>7.333333333333333</v>
      </c>
      <c r="J5426" s="545">
        <v>8.0952380952380967</v>
      </c>
    </row>
    <row r="5427" spans="1:10">
      <c r="A5427" s="441">
        <v>7565</v>
      </c>
      <c r="B5427" s="441" t="s">
        <v>4831</v>
      </c>
      <c r="C5427" s="545">
        <v>7.6666666666666661</v>
      </c>
      <c r="D5427" s="545">
        <v>4</v>
      </c>
      <c r="E5427" s="545">
        <v>1.6666666666666665</v>
      </c>
      <c r="F5427" s="545">
        <v>6.2857142857142847</v>
      </c>
      <c r="G5427" s="545">
        <v>4.5999999999999996</v>
      </c>
      <c r="H5427" s="545">
        <v>3.3333333333333335</v>
      </c>
      <c r="I5427" s="545">
        <v>1.3333333333333333</v>
      </c>
      <c r="J5427" s="545">
        <v>3.9523809523809521</v>
      </c>
    </row>
    <row r="5428" spans="1:10">
      <c r="A5428" s="441">
        <v>6250</v>
      </c>
      <c r="B5428" s="441" t="s">
        <v>4832</v>
      </c>
      <c r="C5428" s="545">
        <v>6.166666666666667</v>
      </c>
      <c r="D5428" s="545">
        <v>4</v>
      </c>
      <c r="E5428" s="545">
        <v>6</v>
      </c>
      <c r="F5428" s="545">
        <v>5.8333333333333339</v>
      </c>
      <c r="G5428" s="545">
        <v>2.85</v>
      </c>
      <c r="H5428" s="545">
        <v>2.6666666666666665</v>
      </c>
      <c r="I5428" s="545">
        <v>3.6666666666666665</v>
      </c>
      <c r="J5428" s="545">
        <v>2.9404761904761907</v>
      </c>
    </row>
    <row r="5429" spans="1:10">
      <c r="A5429" s="441">
        <v>6253</v>
      </c>
      <c r="B5429" s="441" t="s">
        <v>4833</v>
      </c>
      <c r="C5429" s="545">
        <v>9.6666666666666661</v>
      </c>
      <c r="D5429" s="545">
        <v>2.3333333333333335</v>
      </c>
      <c r="E5429" s="545">
        <v>4.666666666666667</v>
      </c>
      <c r="F5429" s="545">
        <v>7.9047619047619042</v>
      </c>
      <c r="G5429" s="545">
        <v>6.4</v>
      </c>
      <c r="H5429" s="545">
        <v>3.3333333333333335</v>
      </c>
      <c r="I5429" s="545">
        <v>3.3333333333333335</v>
      </c>
      <c r="J5429" s="545">
        <v>5.5238095238095246</v>
      </c>
    </row>
    <row r="5430" spans="1:10">
      <c r="A5430" s="441">
        <v>6252</v>
      </c>
      <c r="B5430" s="441" t="s">
        <v>4834</v>
      </c>
      <c r="C5430" s="545">
        <v>4.8333333333333339</v>
      </c>
      <c r="D5430" s="545">
        <v>3.333333333333333</v>
      </c>
      <c r="E5430" s="545">
        <v>9.3333333333333339</v>
      </c>
      <c r="F5430" s="545">
        <v>5.2619047619047619</v>
      </c>
      <c r="G5430" s="545">
        <v>1.75</v>
      </c>
      <c r="H5430" s="545">
        <v>2</v>
      </c>
      <c r="I5430" s="545">
        <v>1.3333333333333333</v>
      </c>
      <c r="J5430" s="545">
        <v>1.7261904761904763</v>
      </c>
    </row>
    <row r="5431" spans="1:10">
      <c r="A5431" s="441">
        <v>3199</v>
      </c>
      <c r="B5431" s="441" t="s">
        <v>4835</v>
      </c>
      <c r="C5431" s="545">
        <v>45.666666666666664</v>
      </c>
      <c r="D5431" s="545">
        <v>5.6666666666666661</v>
      </c>
      <c r="E5431" s="545">
        <v>4.3333333333333339</v>
      </c>
      <c r="F5431" s="545">
        <v>34.047619047619044</v>
      </c>
      <c r="G5431" s="545">
        <v>16.100000000000001</v>
      </c>
      <c r="H5431" s="545">
        <v>1.3333333333333333</v>
      </c>
      <c r="I5431" s="545">
        <v>6.333333333333333</v>
      </c>
      <c r="J5431" s="545">
        <v>12.595238095238093</v>
      </c>
    </row>
    <row r="5432" spans="1:10">
      <c r="A5432" s="441">
        <v>6255</v>
      </c>
      <c r="B5432" s="441" t="s">
        <v>4836</v>
      </c>
      <c r="C5432" s="545">
        <v>6.5</v>
      </c>
      <c r="D5432" s="545">
        <v>6</v>
      </c>
      <c r="E5432" s="545">
        <v>2</v>
      </c>
      <c r="F5432" s="545">
        <v>5.7857142857142856</v>
      </c>
      <c r="G5432" s="545">
        <v>3.3</v>
      </c>
      <c r="H5432" s="545">
        <v>3.6666666666666665</v>
      </c>
      <c r="I5432" s="545">
        <v>1.3333333333333333</v>
      </c>
      <c r="J5432" s="545">
        <v>3.0714285714285716</v>
      </c>
    </row>
    <row r="5433" spans="1:10">
      <c r="A5433" s="441">
        <v>3776</v>
      </c>
      <c r="B5433" s="441" t="s">
        <v>4837</v>
      </c>
      <c r="C5433" s="545">
        <v>28.5</v>
      </c>
      <c r="D5433" s="545">
        <v>15.666666666666668</v>
      </c>
      <c r="E5433" s="545">
        <v>13.333333333333334</v>
      </c>
      <c r="F5433" s="545">
        <v>24.5</v>
      </c>
      <c r="G5433" s="545">
        <v>22.05</v>
      </c>
      <c r="H5433" s="545">
        <v>13.333333333333334</v>
      </c>
      <c r="I5433" s="545">
        <v>11.666666666666666</v>
      </c>
      <c r="J5433" s="545">
        <v>19.321428571428573</v>
      </c>
    </row>
    <row r="5434" spans="1:10">
      <c r="A5434" s="441">
        <v>6239</v>
      </c>
      <c r="B5434" s="441" t="s">
        <v>4838</v>
      </c>
      <c r="C5434" s="545">
        <v>55.5</v>
      </c>
      <c r="D5434" s="545">
        <v>39.333333333333336</v>
      </c>
      <c r="E5434" s="545">
        <v>34.333333333333329</v>
      </c>
      <c r="F5434" s="545">
        <v>50.166666666666664</v>
      </c>
      <c r="G5434" s="545">
        <v>30.7</v>
      </c>
      <c r="H5434" s="545">
        <v>20</v>
      </c>
      <c r="I5434" s="545">
        <v>12</v>
      </c>
      <c r="J5434" s="545">
        <v>26.5</v>
      </c>
    </row>
    <row r="5435" spans="1:10">
      <c r="A5435" s="441">
        <v>11613</v>
      </c>
      <c r="B5435" s="441" t="s">
        <v>4838</v>
      </c>
      <c r="C5435" s="545">
        <v>53.666666666666671</v>
      </c>
      <c r="D5435" s="545">
        <v>29.666666666666668</v>
      </c>
      <c r="E5435" s="545">
        <v>36</v>
      </c>
      <c r="F5435" s="545">
        <v>47.714285714285722</v>
      </c>
      <c r="G5435" s="545">
        <v>23.4</v>
      </c>
      <c r="H5435" s="545">
        <v>17.333333333333332</v>
      </c>
      <c r="I5435" s="545">
        <v>13</v>
      </c>
      <c r="J5435" s="545">
        <v>21.047619047619047</v>
      </c>
    </row>
    <row r="5436" spans="1:10">
      <c r="A5436" s="441">
        <v>7558</v>
      </c>
      <c r="B5436" s="441" t="s">
        <v>4839</v>
      </c>
      <c r="C5436" s="545">
        <v>10.666666666666668</v>
      </c>
      <c r="D5436" s="545">
        <v>3.6666666666666665</v>
      </c>
      <c r="E5436" s="545">
        <v>1.3333333333333333</v>
      </c>
      <c r="F5436" s="545">
        <v>8.3333333333333339</v>
      </c>
      <c r="G5436" s="545">
        <v>3.4</v>
      </c>
      <c r="H5436" s="545">
        <v>2.3333333333333335</v>
      </c>
      <c r="I5436" s="545">
        <v>1</v>
      </c>
      <c r="J5436" s="545">
        <v>2.9047619047619047</v>
      </c>
    </row>
    <row r="5437" spans="1:10">
      <c r="A5437" s="441">
        <v>6245</v>
      </c>
      <c r="B5437" s="441" t="s">
        <v>4840</v>
      </c>
      <c r="C5437" s="545">
        <v>1.8333333333333333</v>
      </c>
      <c r="D5437" s="545">
        <v>3</v>
      </c>
      <c r="E5437" s="545">
        <v>4.3333333333333339</v>
      </c>
      <c r="F5437" s="545">
        <v>2.3571428571428572</v>
      </c>
      <c r="G5437" s="545">
        <v>2.1</v>
      </c>
      <c r="H5437" s="545">
        <v>2</v>
      </c>
      <c r="I5437" s="545">
        <v>0</v>
      </c>
      <c r="J5437" s="545">
        <v>1.7857142857142858</v>
      </c>
    </row>
    <row r="5438" spans="1:10">
      <c r="A5438" s="441">
        <v>6241</v>
      </c>
      <c r="B5438" s="441" t="s">
        <v>4841</v>
      </c>
      <c r="C5438" s="545">
        <v>3.5</v>
      </c>
      <c r="D5438" s="545">
        <v>2.6666666666666665</v>
      </c>
      <c r="E5438" s="545">
        <v>0</v>
      </c>
      <c r="F5438" s="545">
        <v>2.8809523809523809</v>
      </c>
      <c r="G5438" s="545">
        <v>3.2</v>
      </c>
      <c r="H5438" s="545">
        <v>1.6666666666666667</v>
      </c>
      <c r="I5438" s="545">
        <v>0.66666666666666663</v>
      </c>
      <c r="J5438" s="545">
        <v>2.6190476190476195</v>
      </c>
    </row>
    <row r="5439" spans="1:10">
      <c r="A5439" s="441">
        <v>6244</v>
      </c>
      <c r="B5439" s="441" t="s">
        <v>4842</v>
      </c>
      <c r="C5439" s="545">
        <v>5.6666666666666661</v>
      </c>
      <c r="D5439" s="545">
        <v>3.3333333333333335</v>
      </c>
      <c r="E5439" s="545">
        <v>11</v>
      </c>
      <c r="F5439" s="545">
        <v>6.095238095238094</v>
      </c>
      <c r="G5439" s="545">
        <v>4.9000000000000004</v>
      </c>
      <c r="H5439" s="545">
        <v>1.3333333333333333</v>
      </c>
      <c r="I5439" s="545">
        <v>2.6666666666666665</v>
      </c>
      <c r="J5439" s="545">
        <v>4.0714285714285712</v>
      </c>
    </row>
    <row r="5440" spans="1:10">
      <c r="A5440" s="441">
        <v>6258</v>
      </c>
      <c r="B5440" s="441" t="s">
        <v>4843</v>
      </c>
      <c r="C5440" s="545">
        <v>7.8333333333333339</v>
      </c>
      <c r="D5440" s="545">
        <v>3</v>
      </c>
      <c r="E5440" s="545">
        <v>3</v>
      </c>
      <c r="F5440" s="545">
        <v>6.4523809523809534</v>
      </c>
      <c r="G5440" s="545">
        <v>4.6500000000000004</v>
      </c>
      <c r="H5440" s="545">
        <v>3.6666666666666665</v>
      </c>
      <c r="I5440" s="545">
        <v>0</v>
      </c>
      <c r="J5440" s="545">
        <v>3.8452380952380953</v>
      </c>
    </row>
    <row r="5441" spans="1:10">
      <c r="A5441" s="441">
        <v>3200</v>
      </c>
      <c r="B5441" s="441" t="s">
        <v>4844</v>
      </c>
      <c r="C5441" s="545">
        <v>1.6666666666666667</v>
      </c>
      <c r="D5441" s="545">
        <v>1.3333333333333333</v>
      </c>
      <c r="E5441" s="545">
        <v>0</v>
      </c>
      <c r="F5441" s="545">
        <v>1.3809523809523812</v>
      </c>
      <c r="G5441" s="545">
        <v>2.35</v>
      </c>
      <c r="H5441" s="545">
        <v>0</v>
      </c>
      <c r="I5441" s="545">
        <v>0.33333333333333331</v>
      </c>
      <c r="J5441" s="545">
        <v>1.7261904761904763</v>
      </c>
    </row>
    <row r="5442" spans="1:10">
      <c r="A5442" s="441">
        <v>3773</v>
      </c>
      <c r="B5442" s="441" t="s">
        <v>4844</v>
      </c>
      <c r="C5442" s="545">
        <v>2.5</v>
      </c>
      <c r="D5442" s="545">
        <v>1.3333333333333333</v>
      </c>
      <c r="E5442" s="545">
        <v>0</v>
      </c>
      <c r="F5442" s="545">
        <v>1.9761904761904763</v>
      </c>
      <c r="G5442" s="545">
        <v>2.15</v>
      </c>
      <c r="H5442" s="545">
        <v>0.33333333333333331</v>
      </c>
      <c r="I5442" s="545">
        <v>4.666666666666667</v>
      </c>
      <c r="J5442" s="545">
        <v>2.25</v>
      </c>
    </row>
    <row r="5443" spans="1:10">
      <c r="A5443" s="441">
        <v>7563</v>
      </c>
      <c r="B5443" s="441" t="s">
        <v>4845</v>
      </c>
      <c r="C5443" s="545">
        <v>15.833333333333332</v>
      </c>
      <c r="D5443" s="545">
        <v>11.666666666666668</v>
      </c>
      <c r="E5443" s="545">
        <v>6</v>
      </c>
      <c r="F5443" s="545">
        <v>13.833333333333332</v>
      </c>
      <c r="G5443" s="545">
        <v>11.2</v>
      </c>
      <c r="H5443" s="545">
        <v>4</v>
      </c>
      <c r="I5443" s="545">
        <v>2</v>
      </c>
      <c r="J5443" s="545">
        <v>8.8571428571428577</v>
      </c>
    </row>
    <row r="5444" spans="1:10">
      <c r="A5444" s="441">
        <v>6256</v>
      </c>
      <c r="B5444" s="441" t="s">
        <v>4846</v>
      </c>
      <c r="C5444" s="545">
        <v>3</v>
      </c>
      <c r="D5444" s="545">
        <v>4.333333333333333</v>
      </c>
      <c r="E5444" s="545">
        <v>3.666666666666667</v>
      </c>
      <c r="F5444" s="545">
        <v>3.2857142857142856</v>
      </c>
      <c r="G5444" s="545">
        <v>5.2</v>
      </c>
      <c r="H5444" s="545">
        <v>1.6666666666666667</v>
      </c>
      <c r="I5444" s="545">
        <v>1.6666666666666667</v>
      </c>
      <c r="J5444" s="545">
        <v>4.1904761904761907</v>
      </c>
    </row>
    <row r="5445" spans="1:10">
      <c r="A5445" s="441">
        <v>6248</v>
      </c>
      <c r="B5445" s="441" t="s">
        <v>4847</v>
      </c>
      <c r="C5445" s="545">
        <v>21.333333333333332</v>
      </c>
      <c r="D5445" s="545">
        <v>16.666666666666664</v>
      </c>
      <c r="E5445" s="545">
        <v>14.666666666666668</v>
      </c>
      <c r="F5445" s="545">
        <v>19.714285714285712</v>
      </c>
      <c r="G5445" s="545">
        <v>15.25</v>
      </c>
      <c r="H5445" s="545">
        <v>14.666666666666666</v>
      </c>
      <c r="I5445" s="545">
        <v>6.333333333333333</v>
      </c>
      <c r="J5445" s="545">
        <v>13.892857142857142</v>
      </c>
    </row>
    <row r="5446" spans="1:10">
      <c r="A5446" s="441">
        <v>3198</v>
      </c>
      <c r="B5446" s="441" t="s">
        <v>4848</v>
      </c>
      <c r="C5446" s="545">
        <v>13.5</v>
      </c>
      <c r="D5446" s="545">
        <v>3.6666666666666665</v>
      </c>
      <c r="E5446" s="545">
        <v>3</v>
      </c>
      <c r="F5446" s="545">
        <v>10.595238095238097</v>
      </c>
      <c r="G5446" s="545">
        <v>10.95</v>
      </c>
      <c r="H5446" s="545">
        <v>4</v>
      </c>
      <c r="I5446" s="545">
        <v>4.333333333333333</v>
      </c>
      <c r="J5446" s="545">
        <v>9.0119047619047628</v>
      </c>
    </row>
    <row r="5447" spans="1:10">
      <c r="A5447" s="441">
        <v>3775</v>
      </c>
      <c r="B5447" s="441" t="s">
        <v>4848</v>
      </c>
      <c r="C5447" s="545">
        <v>5.8333333333333339</v>
      </c>
      <c r="D5447" s="545">
        <v>6</v>
      </c>
      <c r="E5447" s="545">
        <v>3.666666666666667</v>
      </c>
      <c r="F5447" s="545">
        <v>5.5476190476190483</v>
      </c>
      <c r="G5447" s="545">
        <v>3.6</v>
      </c>
      <c r="H5447" s="545">
        <v>3.3333333333333335</v>
      </c>
      <c r="I5447" s="545">
        <v>3</v>
      </c>
      <c r="J5447" s="545">
        <v>3.4761904761904758</v>
      </c>
    </row>
    <row r="5448" spans="1:10">
      <c r="A5448" s="441">
        <v>6251</v>
      </c>
      <c r="B5448" s="441" t="s">
        <v>4849</v>
      </c>
      <c r="C5448" s="545">
        <v>2.833333333333333</v>
      </c>
      <c r="D5448" s="545">
        <v>2.3333333333333335</v>
      </c>
      <c r="E5448" s="545">
        <v>3.666666666666667</v>
      </c>
      <c r="F5448" s="545">
        <v>2.8809523809523805</v>
      </c>
      <c r="G5448" s="545">
        <v>1.5</v>
      </c>
      <c r="H5448" s="545">
        <v>1</v>
      </c>
      <c r="I5448" s="545">
        <v>0.66666666666666663</v>
      </c>
      <c r="J5448" s="545">
        <v>1.3095238095238095</v>
      </c>
    </row>
    <row r="5449" spans="1:10">
      <c r="A5449" s="441">
        <v>6246</v>
      </c>
      <c r="B5449" s="441" t="s">
        <v>4850</v>
      </c>
      <c r="C5449" s="545">
        <v>4</v>
      </c>
      <c r="D5449" s="545">
        <v>10</v>
      </c>
      <c r="E5449" s="545">
        <v>4.6666666666666661</v>
      </c>
      <c r="F5449" s="545">
        <v>4.9523809523809517</v>
      </c>
      <c r="G5449" s="545">
        <v>2.15</v>
      </c>
      <c r="H5449" s="545">
        <v>0.66666666666666663</v>
      </c>
      <c r="I5449" s="545">
        <v>0.66666666666666663</v>
      </c>
      <c r="J5449" s="545">
        <v>1.7261904761904761</v>
      </c>
    </row>
    <row r="5450" spans="1:10">
      <c r="A5450" s="441">
        <v>6247</v>
      </c>
      <c r="B5450" s="441" t="s">
        <v>4851</v>
      </c>
      <c r="C5450" s="545">
        <v>22.833333333333336</v>
      </c>
      <c r="D5450" s="545">
        <v>13.333333333333332</v>
      </c>
      <c r="E5450" s="545">
        <v>17</v>
      </c>
      <c r="F5450" s="545">
        <v>20.642857142857142</v>
      </c>
      <c r="G5450" s="545">
        <v>19.75</v>
      </c>
      <c r="H5450" s="545">
        <v>12.666666666666666</v>
      </c>
      <c r="I5450" s="545">
        <v>9.6666666666666661</v>
      </c>
      <c r="J5450" s="545">
        <v>17.297619047619047</v>
      </c>
    </row>
    <row r="5451" spans="1:10">
      <c r="A5451" s="441">
        <v>6240</v>
      </c>
      <c r="B5451" s="441" t="s">
        <v>4852</v>
      </c>
      <c r="C5451" s="545">
        <v>3.3333333333333335</v>
      </c>
      <c r="D5451" s="545">
        <v>0.66666666666666663</v>
      </c>
      <c r="E5451" s="545">
        <v>2</v>
      </c>
      <c r="F5451" s="545">
        <v>2.7619047619047623</v>
      </c>
      <c r="G5451" s="545">
        <v>2.85</v>
      </c>
      <c r="H5451" s="545">
        <v>2</v>
      </c>
      <c r="I5451" s="545">
        <v>2</v>
      </c>
      <c r="J5451" s="545">
        <v>2.6071428571428572</v>
      </c>
    </row>
    <row r="5452" spans="1:10">
      <c r="A5452" s="441">
        <v>7657</v>
      </c>
      <c r="B5452" s="441" t="s">
        <v>4853</v>
      </c>
      <c r="C5452" s="545">
        <v>12.833333333333334</v>
      </c>
      <c r="D5452" s="545">
        <v>8.6666666666666661</v>
      </c>
      <c r="E5452" s="545">
        <v>9.6666666666666661</v>
      </c>
      <c r="F5452" s="545">
        <v>11.785714285714288</v>
      </c>
      <c r="G5452" s="545">
        <v>9.85</v>
      </c>
      <c r="H5452" s="545">
        <v>8.6666666666666661</v>
      </c>
      <c r="I5452" s="545">
        <v>4.666666666666667</v>
      </c>
      <c r="J5452" s="545">
        <v>8.9404761904761898</v>
      </c>
    </row>
    <row r="5453" spans="1:10">
      <c r="A5453" s="441">
        <v>7660</v>
      </c>
      <c r="B5453" s="441" t="s">
        <v>4853</v>
      </c>
      <c r="C5453" s="545">
        <v>14.333333333333334</v>
      </c>
      <c r="D5453" s="545">
        <v>6</v>
      </c>
      <c r="E5453" s="545">
        <v>11</v>
      </c>
      <c r="F5453" s="545">
        <v>12.666666666666668</v>
      </c>
      <c r="G5453" s="545">
        <v>10.75</v>
      </c>
      <c r="H5453" s="545">
        <v>7.333333333333333</v>
      </c>
      <c r="I5453" s="545">
        <v>10.666666666666666</v>
      </c>
      <c r="J5453" s="545">
        <v>10.25</v>
      </c>
    </row>
    <row r="5454" spans="1:10">
      <c r="A5454" s="441">
        <v>7658</v>
      </c>
      <c r="B5454" s="441" t="s">
        <v>4854</v>
      </c>
      <c r="C5454" s="545">
        <v>12</v>
      </c>
      <c r="D5454" s="545">
        <v>7</v>
      </c>
      <c r="E5454" s="545">
        <v>2.6666666666666665</v>
      </c>
      <c r="F5454" s="545">
        <v>9.9523809523809526</v>
      </c>
      <c r="G5454" s="545">
        <v>15.05</v>
      </c>
      <c r="H5454" s="545">
        <v>4</v>
      </c>
      <c r="I5454" s="545">
        <v>3.6666666666666665</v>
      </c>
      <c r="J5454" s="545">
        <v>11.845238095238097</v>
      </c>
    </row>
    <row r="5455" spans="1:10">
      <c r="A5455" s="441">
        <v>7659</v>
      </c>
      <c r="B5455" s="441" t="s">
        <v>4854</v>
      </c>
      <c r="C5455" s="545">
        <v>7</v>
      </c>
      <c r="D5455" s="545">
        <v>4</v>
      </c>
      <c r="E5455" s="545">
        <v>3.3333333333333335</v>
      </c>
      <c r="F5455" s="545">
        <v>6.0476190476190483</v>
      </c>
      <c r="G5455" s="545">
        <v>15.2</v>
      </c>
      <c r="H5455" s="545">
        <v>3</v>
      </c>
      <c r="I5455" s="545">
        <v>3</v>
      </c>
      <c r="J5455" s="545">
        <v>11.714285714285714</v>
      </c>
    </row>
    <row r="5456" spans="1:10">
      <c r="A5456" s="441">
        <v>7656</v>
      </c>
      <c r="B5456" s="441" t="s">
        <v>4855</v>
      </c>
      <c r="C5456" s="545">
        <v>2.1666666666666665</v>
      </c>
      <c r="D5456" s="545">
        <v>2</v>
      </c>
      <c r="E5456" s="545">
        <v>0.66666666666666663</v>
      </c>
      <c r="F5456" s="545">
        <v>1.9285714285714284</v>
      </c>
      <c r="G5456" s="545">
        <v>3.1</v>
      </c>
      <c r="H5456" s="545">
        <v>2</v>
      </c>
      <c r="I5456" s="545">
        <v>4.333333333333333</v>
      </c>
      <c r="J5456" s="545">
        <v>3.1190476190476191</v>
      </c>
    </row>
    <row r="5457" spans="1:10">
      <c r="A5457" s="441">
        <v>12086</v>
      </c>
      <c r="B5457" s="441" t="s">
        <v>4856</v>
      </c>
      <c r="C5457" s="545">
        <v>33</v>
      </c>
      <c r="D5457" s="545">
        <v>9.6666666666666679</v>
      </c>
      <c r="E5457" s="545">
        <v>18.333333333333336</v>
      </c>
      <c r="F5457" s="545">
        <v>27.571428571428573</v>
      </c>
      <c r="G5457" s="545">
        <v>7.95</v>
      </c>
      <c r="H5457" s="545">
        <v>3</v>
      </c>
      <c r="I5457" s="545">
        <v>3</v>
      </c>
      <c r="J5457" s="545">
        <v>6.5357142857142856</v>
      </c>
    </row>
    <row r="5458" spans="1:10">
      <c r="A5458" s="441">
        <v>12087</v>
      </c>
      <c r="B5458" s="441" t="s">
        <v>4856</v>
      </c>
      <c r="C5458" s="545">
        <v>1.3333333333333335</v>
      </c>
      <c r="D5458" s="545">
        <v>0</v>
      </c>
      <c r="E5458" s="545">
        <v>1.6666666666666665</v>
      </c>
      <c r="F5458" s="545">
        <v>1.1904761904761905</v>
      </c>
      <c r="G5458" s="545">
        <v>6.45</v>
      </c>
      <c r="H5458" s="545">
        <v>15.333333333333334</v>
      </c>
      <c r="I5458" s="545">
        <v>9.3333333333333339</v>
      </c>
      <c r="J5458" s="545">
        <v>8.1309523809523814</v>
      </c>
    </row>
    <row r="5459" spans="1:10">
      <c r="A5459" s="441">
        <v>8377</v>
      </c>
      <c r="B5459" s="441" t="s">
        <v>4857</v>
      </c>
      <c r="C5459" s="545">
        <v>53.5</v>
      </c>
      <c r="D5459" s="545">
        <v>14.666666666666666</v>
      </c>
      <c r="E5459" s="545">
        <v>16</v>
      </c>
      <c r="F5459" s="545">
        <v>42.595238095238095</v>
      </c>
      <c r="G5459" s="545">
        <v>13.9</v>
      </c>
      <c r="H5459" s="545">
        <v>9.3333333333333339</v>
      </c>
      <c r="I5459" s="545">
        <v>12.333333333333334</v>
      </c>
      <c r="J5459" s="545">
        <v>13.023809523809522</v>
      </c>
    </row>
    <row r="5460" spans="1:10">
      <c r="A5460" s="441">
        <v>134</v>
      </c>
      <c r="B5460" s="441" t="s">
        <v>4858</v>
      </c>
      <c r="C5460" s="545">
        <v>37.333333333333329</v>
      </c>
      <c r="D5460" s="545">
        <v>9</v>
      </c>
      <c r="E5460" s="545">
        <v>9.6666666666666679</v>
      </c>
      <c r="F5460" s="545">
        <v>29.333333333333325</v>
      </c>
      <c r="G5460" s="545">
        <v>9.4</v>
      </c>
      <c r="H5460" s="545">
        <v>5</v>
      </c>
      <c r="I5460" s="545">
        <v>3.3333333333333335</v>
      </c>
      <c r="J5460" s="545">
        <v>7.9047619047619051</v>
      </c>
    </row>
    <row r="5461" spans="1:10">
      <c r="A5461" s="441">
        <v>8380</v>
      </c>
      <c r="B5461" s="441" t="s">
        <v>4858</v>
      </c>
      <c r="C5461" s="545">
        <v>34</v>
      </c>
      <c r="D5461" s="545">
        <v>14</v>
      </c>
      <c r="E5461" s="545">
        <v>10.666666666666666</v>
      </c>
      <c r="F5461" s="545">
        <v>27.809523809523807</v>
      </c>
      <c r="G5461" s="545">
        <v>12.55</v>
      </c>
      <c r="H5461" s="545">
        <v>7</v>
      </c>
      <c r="I5461" s="545">
        <v>9.6666666666666661</v>
      </c>
      <c r="J5461" s="545">
        <v>11.345238095238097</v>
      </c>
    </row>
    <row r="5462" spans="1:10">
      <c r="A5462" s="441">
        <v>137</v>
      </c>
      <c r="B5462" s="441" t="s">
        <v>4859</v>
      </c>
      <c r="C5462" s="545">
        <v>19.166666666666664</v>
      </c>
      <c r="D5462" s="545">
        <v>10.333333333333334</v>
      </c>
      <c r="E5462" s="545">
        <v>13.333333333333332</v>
      </c>
      <c r="F5462" s="545">
        <v>17.071428571428566</v>
      </c>
      <c r="G5462" s="545">
        <v>12.25</v>
      </c>
      <c r="H5462" s="545">
        <v>8</v>
      </c>
      <c r="I5462" s="545">
        <v>8</v>
      </c>
      <c r="J5462" s="545">
        <v>11.035714285714286</v>
      </c>
    </row>
    <row r="5463" spans="1:10">
      <c r="A5463" s="441">
        <v>8249</v>
      </c>
      <c r="B5463" s="441" t="s">
        <v>4860</v>
      </c>
      <c r="C5463" s="545">
        <v>7</v>
      </c>
      <c r="D5463" s="545">
        <v>3.666666666666667</v>
      </c>
      <c r="E5463" s="545">
        <v>3</v>
      </c>
      <c r="F5463" s="545">
        <v>5.9523809523809517</v>
      </c>
      <c r="G5463" s="545">
        <v>6.85</v>
      </c>
      <c r="H5463" s="545">
        <v>3.3333333333333335</v>
      </c>
      <c r="I5463" s="545">
        <v>1</v>
      </c>
      <c r="J5463" s="545">
        <v>5.5119047619047619</v>
      </c>
    </row>
    <row r="5464" spans="1:10">
      <c r="A5464" s="441">
        <v>8850</v>
      </c>
      <c r="B5464" s="441" t="s">
        <v>4861</v>
      </c>
      <c r="C5464" s="545">
        <v>26.166666666666668</v>
      </c>
      <c r="D5464" s="545">
        <v>8.6666666666666679</v>
      </c>
      <c r="E5464" s="545">
        <v>12.333333333333334</v>
      </c>
      <c r="F5464" s="545">
        <v>21.690476190476193</v>
      </c>
      <c r="G5464" s="545">
        <v>9.8000000000000007</v>
      </c>
      <c r="H5464" s="545">
        <v>7.333333333333333</v>
      </c>
      <c r="I5464" s="545">
        <v>8</v>
      </c>
      <c r="J5464" s="545">
        <v>9.1904761904761916</v>
      </c>
    </row>
    <row r="5465" spans="1:10">
      <c r="A5465" s="441">
        <v>3161</v>
      </c>
      <c r="B5465" s="441" t="s">
        <v>4862</v>
      </c>
      <c r="C5465" s="545">
        <v>1.1666666666666667</v>
      </c>
      <c r="D5465" s="545">
        <v>0</v>
      </c>
      <c r="E5465" s="545">
        <v>0.33333333333333331</v>
      </c>
      <c r="F5465" s="545">
        <v>0.88095238095238104</v>
      </c>
      <c r="G5465" s="545">
        <v>1.4</v>
      </c>
      <c r="H5465" s="545">
        <v>3</v>
      </c>
      <c r="I5465" s="545">
        <v>0</v>
      </c>
      <c r="J5465" s="545">
        <v>1.4285714285714286</v>
      </c>
    </row>
    <row r="5466" spans="1:10">
      <c r="A5466" s="441">
        <v>7305</v>
      </c>
      <c r="B5466" s="441" t="s">
        <v>4863</v>
      </c>
      <c r="C5466" s="545">
        <v>85</v>
      </c>
      <c r="D5466" s="545">
        <v>58.666666666666664</v>
      </c>
      <c r="E5466" s="545">
        <v>53.333333333333336</v>
      </c>
      <c r="F5466" s="545">
        <v>76.714285714285708</v>
      </c>
      <c r="G5466" s="545">
        <v>67</v>
      </c>
      <c r="H5466" s="545">
        <v>59.666666666666664</v>
      </c>
      <c r="I5466" s="545">
        <v>32.666666666666664</v>
      </c>
      <c r="J5466" s="545">
        <v>61.047619047619051</v>
      </c>
    </row>
    <row r="5467" spans="1:10">
      <c r="A5467" s="441">
        <v>7306</v>
      </c>
      <c r="B5467" s="441" t="s">
        <v>4864</v>
      </c>
      <c r="C5467" s="545">
        <v>34.833333333333336</v>
      </c>
      <c r="D5467" s="545">
        <v>30.333333333333332</v>
      </c>
      <c r="E5467" s="545">
        <v>26</v>
      </c>
      <c r="F5467" s="545">
        <v>32.928571428571431</v>
      </c>
      <c r="G5467" s="545">
        <v>34.65</v>
      </c>
      <c r="H5467" s="545">
        <v>31</v>
      </c>
      <c r="I5467" s="545">
        <v>22</v>
      </c>
      <c r="J5467" s="545">
        <v>32.321428571428569</v>
      </c>
    </row>
    <row r="5468" spans="1:10">
      <c r="A5468" s="441">
        <v>7292</v>
      </c>
      <c r="B5468" s="441" t="s">
        <v>4865</v>
      </c>
      <c r="C5468" s="545">
        <v>36.333333333333336</v>
      </c>
      <c r="D5468" s="545">
        <v>20.333333333333332</v>
      </c>
      <c r="E5468" s="545">
        <v>17.666666666666668</v>
      </c>
      <c r="F5468" s="545">
        <v>31.380952380952383</v>
      </c>
      <c r="G5468" s="545">
        <v>16.649999999999999</v>
      </c>
      <c r="H5468" s="545">
        <v>12.333333333333334</v>
      </c>
      <c r="I5468" s="545">
        <v>8.3333333333333339</v>
      </c>
      <c r="J5468" s="545">
        <v>14.845238095238093</v>
      </c>
    </row>
    <row r="5469" spans="1:10">
      <c r="A5469" s="441">
        <v>7297</v>
      </c>
      <c r="B5469" s="441" t="s">
        <v>4865</v>
      </c>
      <c r="C5469" s="545">
        <v>54.666666666666671</v>
      </c>
      <c r="D5469" s="545">
        <v>37</v>
      </c>
      <c r="E5469" s="545">
        <v>30.666666666666664</v>
      </c>
      <c r="F5469" s="545">
        <v>48.714285714285722</v>
      </c>
      <c r="G5469" s="545">
        <v>35.299999999999997</v>
      </c>
      <c r="H5469" s="545">
        <v>37.333333333333336</v>
      </c>
      <c r="I5469" s="545">
        <v>22</v>
      </c>
      <c r="J5469" s="545">
        <v>33.69047619047619</v>
      </c>
    </row>
    <row r="5470" spans="1:10">
      <c r="A5470" s="441">
        <v>7283</v>
      </c>
      <c r="B5470" s="441" t="s">
        <v>4866</v>
      </c>
      <c r="C5470" s="545">
        <v>25</v>
      </c>
      <c r="D5470" s="545">
        <v>11.333333333333332</v>
      </c>
      <c r="E5470" s="545">
        <v>14.333333333333332</v>
      </c>
      <c r="F5470" s="545">
        <v>21.523809523809526</v>
      </c>
      <c r="G5470" s="545">
        <v>22.7</v>
      </c>
      <c r="H5470" s="545">
        <v>17.333333333333332</v>
      </c>
      <c r="I5470" s="545">
        <v>8.6666666666666661</v>
      </c>
      <c r="J5470" s="545">
        <v>19.928571428571427</v>
      </c>
    </row>
    <row r="5471" spans="1:10">
      <c r="A5471" s="441">
        <v>7286</v>
      </c>
      <c r="B5471" s="441" t="s">
        <v>4867</v>
      </c>
      <c r="C5471" s="545">
        <v>26.5</v>
      </c>
      <c r="D5471" s="545">
        <v>21</v>
      </c>
      <c r="E5471" s="545">
        <v>18.666666666666664</v>
      </c>
      <c r="F5471" s="545">
        <v>24.595238095238095</v>
      </c>
      <c r="G5471" s="545">
        <v>9.4499999999999993</v>
      </c>
      <c r="H5471" s="545">
        <v>6.333333333333333</v>
      </c>
      <c r="I5471" s="545">
        <v>2.6666666666666665</v>
      </c>
      <c r="J5471" s="545">
        <v>8.0357142857142865</v>
      </c>
    </row>
    <row r="5472" spans="1:10">
      <c r="A5472" s="441">
        <v>7303</v>
      </c>
      <c r="B5472" s="441" t="s">
        <v>4867</v>
      </c>
      <c r="C5472" s="545">
        <v>20.333333333333332</v>
      </c>
      <c r="D5472" s="545">
        <v>19.666666666666668</v>
      </c>
      <c r="E5472" s="545">
        <v>11.666666666666666</v>
      </c>
      <c r="F5472" s="545">
        <v>19</v>
      </c>
      <c r="G5472" s="545">
        <v>9.5</v>
      </c>
      <c r="H5472" s="545">
        <v>9.6666666666666661</v>
      </c>
      <c r="I5472" s="545">
        <v>4.666666666666667</v>
      </c>
      <c r="J5472" s="545">
        <v>8.8333333333333321</v>
      </c>
    </row>
    <row r="5473" spans="1:10">
      <c r="A5473" s="441">
        <v>6642</v>
      </c>
      <c r="B5473" s="441" t="s">
        <v>4868</v>
      </c>
      <c r="C5473" s="545">
        <v>24.5</v>
      </c>
      <c r="D5473" s="545">
        <v>17</v>
      </c>
      <c r="E5473" s="545">
        <v>15</v>
      </c>
      <c r="F5473" s="545">
        <v>22.071428571428573</v>
      </c>
      <c r="G5473" s="545">
        <v>20.55</v>
      </c>
      <c r="H5473" s="545">
        <v>18</v>
      </c>
      <c r="I5473" s="545">
        <v>3.3333333333333335</v>
      </c>
      <c r="J5473" s="545">
        <v>17.726190476190474</v>
      </c>
    </row>
    <row r="5474" spans="1:10">
      <c r="A5474" s="441">
        <v>12646</v>
      </c>
      <c r="B5474" s="441" t="s">
        <v>4869</v>
      </c>
      <c r="C5474" s="545">
        <v>14.333333333333332</v>
      </c>
      <c r="D5474" s="545">
        <v>3.3333333333333335</v>
      </c>
      <c r="E5474" s="545">
        <v>1</v>
      </c>
      <c r="F5474" s="545">
        <v>10.857142857142856</v>
      </c>
      <c r="G5474" s="545">
        <v>7.55</v>
      </c>
      <c r="H5474" s="545">
        <v>5.333333333333333</v>
      </c>
      <c r="I5474" s="545">
        <v>0.66666666666666663</v>
      </c>
      <c r="J5474" s="545">
        <v>6.25</v>
      </c>
    </row>
    <row r="5475" spans="1:10">
      <c r="A5475" s="441">
        <v>12647</v>
      </c>
      <c r="B5475" s="441" t="s">
        <v>4869</v>
      </c>
      <c r="C5475" s="545">
        <v>2.666666666666667</v>
      </c>
      <c r="D5475" s="545">
        <v>1</v>
      </c>
      <c r="E5475" s="545">
        <v>0</v>
      </c>
      <c r="F5475" s="545">
        <v>2.0476190476190479</v>
      </c>
      <c r="G5475" s="545">
        <v>3.6</v>
      </c>
      <c r="H5475" s="545">
        <v>2</v>
      </c>
      <c r="I5475" s="545">
        <v>1.3333333333333333</v>
      </c>
      <c r="J5475" s="545">
        <v>3.0476190476190474</v>
      </c>
    </row>
    <row r="5476" spans="1:10">
      <c r="A5476" s="441">
        <v>7302</v>
      </c>
      <c r="B5476" s="441" t="s">
        <v>4870</v>
      </c>
      <c r="C5476" s="545">
        <v>25.5</v>
      </c>
      <c r="D5476" s="545">
        <v>18.333333333333332</v>
      </c>
      <c r="E5476" s="545">
        <v>18.333333333333332</v>
      </c>
      <c r="F5476" s="545">
        <v>23.452380952380956</v>
      </c>
      <c r="G5476" s="545">
        <v>17.8</v>
      </c>
      <c r="H5476" s="545">
        <v>15.666666666666666</v>
      </c>
      <c r="I5476" s="545">
        <v>8.6666666666666661</v>
      </c>
      <c r="J5476" s="545">
        <v>16.190476190476193</v>
      </c>
    </row>
    <row r="5477" spans="1:10">
      <c r="A5477" s="441">
        <v>7285</v>
      </c>
      <c r="B5477" s="441" t="s">
        <v>4871</v>
      </c>
      <c r="C5477" s="545">
        <v>25.5</v>
      </c>
      <c r="D5477" s="545">
        <v>17.666666666666668</v>
      </c>
      <c r="E5477" s="545">
        <v>16.333333333333336</v>
      </c>
      <c r="F5477" s="545">
        <v>23.071428571428573</v>
      </c>
      <c r="G5477" s="545">
        <v>19.95</v>
      </c>
      <c r="H5477" s="545">
        <v>20</v>
      </c>
      <c r="I5477" s="545">
        <v>22.333333333333332</v>
      </c>
      <c r="J5477" s="545">
        <v>20.297619047619047</v>
      </c>
    </row>
    <row r="5478" spans="1:10">
      <c r="A5478" s="441">
        <v>7304</v>
      </c>
      <c r="B5478" s="441" t="s">
        <v>4871</v>
      </c>
      <c r="C5478" s="545">
        <v>40.666666666666664</v>
      </c>
      <c r="D5478" s="545">
        <v>21.666666666666664</v>
      </c>
      <c r="E5478" s="545">
        <v>26</v>
      </c>
      <c r="F5478" s="545">
        <v>35.857142857142854</v>
      </c>
      <c r="G5478" s="545">
        <v>26.95</v>
      </c>
      <c r="H5478" s="545">
        <v>21.333333333333332</v>
      </c>
      <c r="I5478" s="545">
        <v>16.333333333333332</v>
      </c>
      <c r="J5478" s="545">
        <v>24.630952380952383</v>
      </c>
    </row>
    <row r="5479" spans="1:10">
      <c r="A5479" s="441">
        <v>7293</v>
      </c>
      <c r="B5479" s="441" t="s">
        <v>4872</v>
      </c>
      <c r="C5479" s="545">
        <v>8.8333333333333339</v>
      </c>
      <c r="D5479" s="545">
        <v>5.333333333333333</v>
      </c>
      <c r="E5479" s="545">
        <v>4.666666666666667</v>
      </c>
      <c r="F5479" s="545">
        <v>7.738095238095239</v>
      </c>
      <c r="G5479" s="545">
        <v>7.05</v>
      </c>
      <c r="H5479" s="545">
        <v>9.3333333333333339</v>
      </c>
      <c r="I5479" s="545">
        <v>4</v>
      </c>
      <c r="J5479" s="545">
        <v>6.9404761904761907</v>
      </c>
    </row>
    <row r="5480" spans="1:10">
      <c r="A5480" s="441">
        <v>7296</v>
      </c>
      <c r="B5480" s="441" t="s">
        <v>4872</v>
      </c>
      <c r="C5480" s="545">
        <v>5.833333333333333</v>
      </c>
      <c r="D5480" s="545">
        <v>3</v>
      </c>
      <c r="E5480" s="545">
        <v>2.6666666666666665</v>
      </c>
      <c r="F5480" s="545">
        <v>4.9761904761904754</v>
      </c>
      <c r="G5480" s="545">
        <v>4.25</v>
      </c>
      <c r="H5480" s="545">
        <v>4.666666666666667</v>
      </c>
      <c r="I5480" s="545">
        <v>3</v>
      </c>
      <c r="J5480" s="545">
        <v>4.1309523809523814</v>
      </c>
    </row>
    <row r="5481" spans="1:10">
      <c r="A5481" s="441">
        <v>12645</v>
      </c>
      <c r="B5481" s="441" t="s">
        <v>4873</v>
      </c>
      <c r="C5481" s="545">
        <v>12.666666666666666</v>
      </c>
      <c r="D5481" s="545">
        <v>6</v>
      </c>
      <c r="E5481" s="545">
        <v>7.333333333333333</v>
      </c>
      <c r="F5481" s="545">
        <v>10.952380952380951</v>
      </c>
      <c r="G5481" s="545">
        <v>3.95</v>
      </c>
      <c r="H5481" s="545">
        <v>3</v>
      </c>
      <c r="I5481" s="545">
        <v>10.666666666666666</v>
      </c>
      <c r="J5481" s="545">
        <v>4.7738095238095237</v>
      </c>
    </row>
    <row r="5482" spans="1:10">
      <c r="A5482" s="441">
        <v>7291</v>
      </c>
      <c r="B5482" s="441" t="s">
        <v>4874</v>
      </c>
      <c r="C5482" s="545">
        <v>19</v>
      </c>
      <c r="D5482" s="545">
        <v>14.666666666666668</v>
      </c>
      <c r="E5482" s="545">
        <v>6.3333333333333339</v>
      </c>
      <c r="F5482" s="545">
        <v>16.571428571428573</v>
      </c>
      <c r="G5482" s="545">
        <v>11.9</v>
      </c>
      <c r="H5482" s="545">
        <v>13</v>
      </c>
      <c r="I5482" s="545">
        <v>7.333333333333333</v>
      </c>
      <c r="J5482" s="545">
        <v>11.404761904761903</v>
      </c>
    </row>
    <row r="5483" spans="1:10">
      <c r="A5483" s="441">
        <v>7298</v>
      </c>
      <c r="B5483" s="441" t="s">
        <v>4874</v>
      </c>
      <c r="C5483" s="545">
        <v>3.833333333333333</v>
      </c>
      <c r="D5483" s="545">
        <v>9</v>
      </c>
      <c r="E5483" s="545">
        <v>0.66666666666666663</v>
      </c>
      <c r="F5483" s="545">
        <v>4.1190476190476186</v>
      </c>
      <c r="G5483" s="545">
        <v>2.9</v>
      </c>
      <c r="H5483" s="545">
        <v>2</v>
      </c>
      <c r="I5483" s="545">
        <v>1</v>
      </c>
      <c r="J5483" s="545">
        <v>2.5</v>
      </c>
    </row>
    <row r="5484" spans="1:10">
      <c r="A5484" s="441">
        <v>6644</v>
      </c>
      <c r="B5484" s="441" t="s">
        <v>4875</v>
      </c>
      <c r="C5484" s="545">
        <v>81.5</v>
      </c>
      <c r="D5484" s="545">
        <v>64</v>
      </c>
      <c r="E5484" s="545">
        <v>58.333333333333329</v>
      </c>
      <c r="F5484" s="545">
        <v>75.69047619047619</v>
      </c>
      <c r="G5484" s="545">
        <v>54.4</v>
      </c>
      <c r="H5484" s="545">
        <v>48.333333333333336</v>
      </c>
      <c r="I5484" s="545">
        <v>29.333333333333332</v>
      </c>
      <c r="J5484" s="545">
        <v>49.952380952380949</v>
      </c>
    </row>
    <row r="5485" spans="1:10">
      <c r="A5485" s="441">
        <v>6645</v>
      </c>
      <c r="B5485" s="441" t="s">
        <v>4876</v>
      </c>
      <c r="C5485" s="545">
        <v>84</v>
      </c>
      <c r="D5485" s="545">
        <v>68.333333333333329</v>
      </c>
      <c r="E5485" s="545">
        <v>43</v>
      </c>
      <c r="F5485" s="545">
        <v>75.904761904761898</v>
      </c>
      <c r="G5485" s="545">
        <v>50.25</v>
      </c>
      <c r="H5485" s="545">
        <v>39.333333333333336</v>
      </c>
      <c r="I5485" s="545">
        <v>23</v>
      </c>
      <c r="J5485" s="545">
        <v>44.797619047619044</v>
      </c>
    </row>
    <row r="5486" spans="1:10">
      <c r="A5486" s="441">
        <v>6646</v>
      </c>
      <c r="B5486" s="441" t="s">
        <v>4877</v>
      </c>
      <c r="C5486" s="545">
        <v>7.1666666666666661</v>
      </c>
      <c r="D5486" s="545">
        <v>2</v>
      </c>
      <c r="E5486" s="545">
        <v>0.66666666666666663</v>
      </c>
      <c r="F5486" s="545">
        <v>5.4999999999999991</v>
      </c>
      <c r="G5486" s="545">
        <v>4.4000000000000004</v>
      </c>
      <c r="H5486" s="545">
        <v>0</v>
      </c>
      <c r="I5486" s="545">
        <v>1.3333333333333333</v>
      </c>
      <c r="J5486" s="545">
        <v>3.333333333333333</v>
      </c>
    </row>
    <row r="5487" spans="1:10">
      <c r="A5487" s="441">
        <v>6647</v>
      </c>
      <c r="B5487" s="441" t="s">
        <v>4878</v>
      </c>
      <c r="C5487" s="545">
        <v>13</v>
      </c>
      <c r="D5487" s="545">
        <v>3.3333333333333335</v>
      </c>
      <c r="E5487" s="545">
        <v>0</v>
      </c>
      <c r="F5487" s="545">
        <v>9.761904761904761</v>
      </c>
      <c r="G5487" s="545">
        <v>8.9</v>
      </c>
      <c r="H5487" s="545">
        <v>0.66666666666666663</v>
      </c>
      <c r="I5487" s="545">
        <v>0.66666666666666663</v>
      </c>
      <c r="J5487" s="545">
        <v>6.5476190476190466</v>
      </c>
    </row>
    <row r="5488" spans="1:10">
      <c r="A5488" s="441">
        <v>6648</v>
      </c>
      <c r="B5488" s="441" t="s">
        <v>4879</v>
      </c>
      <c r="C5488" s="545">
        <v>23.666666666666668</v>
      </c>
      <c r="D5488" s="545">
        <v>22.333333333333336</v>
      </c>
      <c r="E5488" s="545">
        <v>10.333333333333332</v>
      </c>
      <c r="F5488" s="545">
        <v>21.571428571428577</v>
      </c>
      <c r="G5488" s="545">
        <v>18.7</v>
      </c>
      <c r="H5488" s="545">
        <v>15</v>
      </c>
      <c r="I5488" s="545">
        <v>7.333333333333333</v>
      </c>
      <c r="J5488" s="545">
        <v>16.547619047619047</v>
      </c>
    </row>
    <row r="5489" spans="1:10">
      <c r="A5489" s="441">
        <v>6649</v>
      </c>
      <c r="B5489" s="441" t="s">
        <v>4880</v>
      </c>
      <c r="C5489" s="545">
        <v>6</v>
      </c>
      <c r="D5489" s="545">
        <v>8</v>
      </c>
      <c r="E5489" s="545">
        <v>5.666666666666667</v>
      </c>
      <c r="F5489" s="545">
        <v>6.2380952380952381</v>
      </c>
      <c r="G5489" s="545">
        <v>7.45</v>
      </c>
      <c r="H5489" s="545">
        <v>7.333333333333333</v>
      </c>
      <c r="I5489" s="545">
        <v>2</v>
      </c>
      <c r="J5489" s="545">
        <v>6.6547619047619051</v>
      </c>
    </row>
    <row r="5490" spans="1:10">
      <c r="A5490" s="441">
        <v>6650</v>
      </c>
      <c r="B5490" s="441" t="s">
        <v>4881</v>
      </c>
      <c r="C5490" s="545">
        <v>11.833333333333334</v>
      </c>
      <c r="D5490" s="545">
        <v>9</v>
      </c>
      <c r="E5490" s="545">
        <v>7</v>
      </c>
      <c r="F5490" s="545">
        <v>10.738095238095239</v>
      </c>
      <c r="G5490" s="545">
        <v>10.85</v>
      </c>
      <c r="H5490" s="545">
        <v>11</v>
      </c>
      <c r="I5490" s="545">
        <v>2.6666666666666665</v>
      </c>
      <c r="J5490" s="545">
        <v>9.7023809523809526</v>
      </c>
    </row>
    <row r="5491" spans="1:10">
      <c r="A5491" s="441">
        <v>6651</v>
      </c>
      <c r="B5491" s="441" t="s">
        <v>4882</v>
      </c>
      <c r="C5491" s="545">
        <v>6.333333333333333</v>
      </c>
      <c r="D5491" s="545">
        <v>5.666666666666667</v>
      </c>
      <c r="E5491" s="545">
        <v>5.666666666666667</v>
      </c>
      <c r="F5491" s="545">
        <v>6.1428571428571415</v>
      </c>
      <c r="G5491" s="545">
        <v>8.4</v>
      </c>
      <c r="H5491" s="545">
        <v>8.3333333333333339</v>
      </c>
      <c r="I5491" s="545">
        <v>3.6666666666666665</v>
      </c>
      <c r="J5491" s="545">
        <v>7.7142857142857144</v>
      </c>
    </row>
    <row r="5492" spans="1:10">
      <c r="A5492" s="441">
        <v>6652</v>
      </c>
      <c r="B5492" s="441" t="s">
        <v>4883</v>
      </c>
      <c r="C5492" s="545">
        <v>150.66666666666669</v>
      </c>
      <c r="D5492" s="545">
        <v>110.66666666666666</v>
      </c>
      <c r="E5492" s="545">
        <v>83</v>
      </c>
      <c r="F5492" s="545">
        <v>135.28571428571431</v>
      </c>
      <c r="G5492" s="545">
        <v>93.95</v>
      </c>
      <c r="H5492" s="545">
        <v>69.666666666666671</v>
      </c>
      <c r="I5492" s="545">
        <v>36.333333333333336</v>
      </c>
      <c r="J5492" s="545">
        <v>82.25</v>
      </c>
    </row>
    <row r="5493" spans="1:10">
      <c r="A5493" s="441">
        <v>6653</v>
      </c>
      <c r="B5493" s="441" t="s">
        <v>4884</v>
      </c>
      <c r="C5493" s="545">
        <v>15.333333333333332</v>
      </c>
      <c r="D5493" s="545">
        <v>9</v>
      </c>
      <c r="E5493" s="545">
        <v>7.6666666666666661</v>
      </c>
      <c r="F5493" s="545">
        <v>13.333333333333332</v>
      </c>
      <c r="G5493" s="545">
        <v>8.65</v>
      </c>
      <c r="H5493" s="545">
        <v>7.666666666666667</v>
      </c>
      <c r="I5493" s="545">
        <v>4.666666666666667</v>
      </c>
      <c r="J5493" s="545">
        <v>7.9404761904761898</v>
      </c>
    </row>
    <row r="5494" spans="1:10">
      <c r="A5494" s="441">
        <v>6654</v>
      </c>
      <c r="B5494" s="441" t="s">
        <v>4885</v>
      </c>
      <c r="C5494" s="545">
        <v>43.833333333333329</v>
      </c>
      <c r="D5494" s="545">
        <v>37.333333333333336</v>
      </c>
      <c r="E5494" s="545">
        <v>32.333333333333336</v>
      </c>
      <c r="F5494" s="545">
        <v>41.261904761904752</v>
      </c>
      <c r="G5494" s="545">
        <v>33.15</v>
      </c>
      <c r="H5494" s="545">
        <v>23.333333333333332</v>
      </c>
      <c r="I5494" s="545">
        <v>20.333333333333332</v>
      </c>
      <c r="J5494" s="545">
        <v>29.916666666666668</v>
      </c>
    </row>
    <row r="5495" spans="1:10">
      <c r="A5495" s="441">
        <v>6655</v>
      </c>
      <c r="B5495" s="441" t="s">
        <v>4886</v>
      </c>
      <c r="C5495" s="545">
        <v>4.166666666666667</v>
      </c>
      <c r="D5495" s="545">
        <v>3.3333333333333335</v>
      </c>
      <c r="E5495" s="545">
        <v>3.3333333333333335</v>
      </c>
      <c r="F5495" s="545">
        <v>3.9285714285714284</v>
      </c>
      <c r="G5495" s="545">
        <v>4.5999999999999996</v>
      </c>
      <c r="H5495" s="545">
        <v>3</v>
      </c>
      <c r="I5495" s="545">
        <v>2</v>
      </c>
      <c r="J5495" s="545">
        <v>4</v>
      </c>
    </row>
    <row r="5496" spans="1:10">
      <c r="A5496" s="441">
        <v>6656</v>
      </c>
      <c r="B5496" s="441" t="s">
        <v>4887</v>
      </c>
      <c r="C5496" s="545">
        <v>33.666666666666664</v>
      </c>
      <c r="D5496" s="545">
        <v>27.666666666666668</v>
      </c>
      <c r="E5496" s="545">
        <v>14</v>
      </c>
      <c r="F5496" s="545">
        <v>29.999999999999996</v>
      </c>
      <c r="G5496" s="545">
        <v>25.05</v>
      </c>
      <c r="H5496" s="545">
        <v>19.666666666666668</v>
      </c>
      <c r="I5496" s="545">
        <v>13</v>
      </c>
      <c r="J5496" s="545">
        <v>22.559523809523807</v>
      </c>
    </row>
    <row r="5497" spans="1:10">
      <c r="A5497" s="441">
        <v>7276</v>
      </c>
      <c r="B5497" s="441" t="s">
        <v>4888</v>
      </c>
      <c r="C5497" s="545">
        <v>17.166666666666668</v>
      </c>
      <c r="D5497" s="545">
        <v>12.666666666666666</v>
      </c>
      <c r="E5497" s="545">
        <v>7.6666666666666661</v>
      </c>
      <c r="F5497" s="545">
        <v>15.16666666666667</v>
      </c>
      <c r="G5497" s="545">
        <v>9.0500000000000007</v>
      </c>
      <c r="H5497" s="545">
        <v>10</v>
      </c>
      <c r="I5497" s="545">
        <v>9</v>
      </c>
      <c r="J5497" s="545">
        <v>9.1785714285714288</v>
      </c>
    </row>
    <row r="5498" spans="1:10">
      <c r="A5498" s="441">
        <v>7277</v>
      </c>
      <c r="B5498" s="441" t="s">
        <v>4889</v>
      </c>
      <c r="C5498" s="545">
        <v>27.833333333333336</v>
      </c>
      <c r="D5498" s="545">
        <v>18.333333333333332</v>
      </c>
      <c r="E5498" s="545">
        <v>10.333333333333334</v>
      </c>
      <c r="F5498" s="545">
        <v>23.976190476190482</v>
      </c>
      <c r="G5498" s="545">
        <v>16.2</v>
      </c>
      <c r="H5498" s="545">
        <v>11</v>
      </c>
      <c r="I5498" s="545">
        <v>10</v>
      </c>
      <c r="J5498" s="545">
        <v>14.571428571428571</v>
      </c>
    </row>
    <row r="5499" spans="1:10">
      <c r="A5499" s="441">
        <v>7310</v>
      </c>
      <c r="B5499" s="441" t="s">
        <v>4889</v>
      </c>
      <c r="C5499" s="545">
        <v>231.16666666666669</v>
      </c>
      <c r="D5499" s="545">
        <v>149.66666666666666</v>
      </c>
      <c r="E5499" s="545">
        <v>113</v>
      </c>
      <c r="F5499" s="545">
        <v>202.64285714285717</v>
      </c>
      <c r="G5499" s="545">
        <v>153.9</v>
      </c>
      <c r="H5499" s="545">
        <v>114</v>
      </c>
      <c r="I5499" s="545">
        <v>75.666666666666671</v>
      </c>
      <c r="J5499" s="545">
        <v>137.02380952380952</v>
      </c>
    </row>
    <row r="5500" spans="1:10">
      <c r="A5500" s="441">
        <v>7309</v>
      </c>
      <c r="B5500" s="441" t="s">
        <v>4890</v>
      </c>
      <c r="C5500" s="545">
        <v>24</v>
      </c>
      <c r="D5500" s="545">
        <v>15.666666666666668</v>
      </c>
      <c r="E5500" s="545">
        <v>13.666666666666668</v>
      </c>
      <c r="F5500" s="545">
        <v>21.333333333333332</v>
      </c>
      <c r="G5500" s="545">
        <v>16.899999999999999</v>
      </c>
      <c r="H5500" s="545">
        <v>13</v>
      </c>
      <c r="I5500" s="545">
        <v>7</v>
      </c>
      <c r="J5500" s="545">
        <v>14.928571428571429</v>
      </c>
    </row>
    <row r="5501" spans="1:10">
      <c r="A5501" s="441">
        <v>7281</v>
      </c>
      <c r="B5501" s="441" t="s">
        <v>4891</v>
      </c>
      <c r="C5501" s="545">
        <v>24.666666666666668</v>
      </c>
      <c r="D5501" s="545">
        <v>22</v>
      </c>
      <c r="E5501" s="545">
        <v>15</v>
      </c>
      <c r="F5501" s="545">
        <v>22.904761904761905</v>
      </c>
      <c r="G5501" s="545">
        <v>4.4000000000000004</v>
      </c>
      <c r="H5501" s="545">
        <v>3.3333333333333335</v>
      </c>
      <c r="I5501" s="545">
        <v>2.3333333333333335</v>
      </c>
      <c r="J5501" s="545">
        <v>3.9523809523809521</v>
      </c>
    </row>
    <row r="5502" spans="1:10">
      <c r="A5502" s="441">
        <v>7307</v>
      </c>
      <c r="B5502" s="441" t="s">
        <v>4892</v>
      </c>
      <c r="C5502" s="545">
        <v>57</v>
      </c>
      <c r="D5502" s="545">
        <v>40.333333333333329</v>
      </c>
      <c r="E5502" s="545">
        <v>28.666666666666664</v>
      </c>
      <c r="F5502" s="545">
        <v>50.571428571428569</v>
      </c>
      <c r="G5502" s="545">
        <v>31.35</v>
      </c>
      <c r="H5502" s="545">
        <v>22.333333333333332</v>
      </c>
      <c r="I5502" s="545">
        <v>15.333333333333334</v>
      </c>
      <c r="J5502" s="545">
        <v>27.773809523809526</v>
      </c>
    </row>
    <row r="5503" spans="1:10">
      <c r="A5503" s="441">
        <v>6643</v>
      </c>
      <c r="B5503" s="441" t="s">
        <v>4893</v>
      </c>
      <c r="C5503" s="545">
        <v>11.666666666666668</v>
      </c>
      <c r="D5503" s="545">
        <v>4.6666666666666661</v>
      </c>
      <c r="E5503" s="545">
        <v>4</v>
      </c>
      <c r="F5503" s="545">
        <v>9.5714285714285712</v>
      </c>
      <c r="G5503" s="545">
        <v>14.8</v>
      </c>
      <c r="H5503" s="545">
        <v>9.3333333333333339</v>
      </c>
      <c r="I5503" s="545">
        <v>4</v>
      </c>
      <c r="J5503" s="545">
        <v>12.476190476190476</v>
      </c>
    </row>
    <row r="5504" spans="1:10">
      <c r="A5504" s="441">
        <v>13005</v>
      </c>
      <c r="B5504" s="441" t="s">
        <v>4894</v>
      </c>
      <c r="C5504" s="545">
        <v>125.83333333333334</v>
      </c>
      <c r="D5504" s="545">
        <v>85.333333333333329</v>
      </c>
      <c r="E5504" s="545">
        <v>57.333333333333329</v>
      </c>
      <c r="F5504" s="545">
        <v>110.26190476190479</v>
      </c>
      <c r="G5504" s="545">
        <v>93.9</v>
      </c>
      <c r="H5504" s="545">
        <v>59.666666666666664</v>
      </c>
      <c r="I5504" s="545">
        <v>43.333333333333336</v>
      </c>
      <c r="J5504" s="545">
        <v>81.785714285714292</v>
      </c>
    </row>
    <row r="5505" spans="1:10">
      <c r="A5505" s="441">
        <v>12648</v>
      </c>
      <c r="B5505" s="441" t="s">
        <v>4895</v>
      </c>
      <c r="C5505" s="545">
        <v>16.166666666666668</v>
      </c>
      <c r="D5505" s="545">
        <v>10</v>
      </c>
      <c r="E5505" s="545">
        <v>5</v>
      </c>
      <c r="F5505" s="545">
        <v>13.690476190476192</v>
      </c>
      <c r="G5505" s="545">
        <v>15.9</v>
      </c>
      <c r="H5505" s="545">
        <v>16.666666666666668</v>
      </c>
      <c r="I5505" s="545">
        <v>4.666666666666667</v>
      </c>
      <c r="J5505" s="545">
        <v>14.404761904761907</v>
      </c>
    </row>
    <row r="5506" spans="1:10">
      <c r="A5506" s="441">
        <v>7290</v>
      </c>
      <c r="B5506" s="441" t="s">
        <v>4896</v>
      </c>
      <c r="C5506" s="545">
        <v>291.33333333333331</v>
      </c>
      <c r="D5506" s="545">
        <v>189.33333333333334</v>
      </c>
      <c r="E5506" s="545">
        <v>134.33333333333331</v>
      </c>
      <c r="F5506" s="545">
        <v>254.33333333333329</v>
      </c>
      <c r="G5506" s="545">
        <v>154.85</v>
      </c>
      <c r="H5506" s="545">
        <v>103</v>
      </c>
      <c r="I5506" s="545">
        <v>67</v>
      </c>
      <c r="J5506" s="545">
        <v>134.89285714285714</v>
      </c>
    </row>
    <row r="5507" spans="1:10">
      <c r="A5507" s="441">
        <v>7299</v>
      </c>
      <c r="B5507" s="441" t="s">
        <v>4896</v>
      </c>
      <c r="C5507" s="545">
        <v>222.66666666666666</v>
      </c>
      <c r="D5507" s="545">
        <v>160</v>
      </c>
      <c r="E5507" s="545">
        <v>103</v>
      </c>
      <c r="F5507" s="545">
        <v>196.61904761904762</v>
      </c>
      <c r="G5507" s="545">
        <v>137.9</v>
      </c>
      <c r="H5507" s="545">
        <v>94.666666666666671</v>
      </c>
      <c r="I5507" s="545">
        <v>68</v>
      </c>
      <c r="J5507" s="545">
        <v>121.73809523809523</v>
      </c>
    </row>
    <row r="5508" spans="1:10">
      <c r="A5508" s="441">
        <v>12403</v>
      </c>
      <c r="B5508" s="441" t="s">
        <v>4897</v>
      </c>
      <c r="C5508" s="545">
        <v>1.5</v>
      </c>
      <c r="D5508" s="545">
        <v>0.66666666666666663</v>
      </c>
      <c r="E5508" s="545">
        <v>1</v>
      </c>
      <c r="F5508" s="545">
        <v>1.3095238095238095</v>
      </c>
      <c r="G5508" s="545">
        <v>1.3</v>
      </c>
      <c r="H5508" s="545">
        <v>1.6666666666666667</v>
      </c>
      <c r="I5508" s="545">
        <v>0.66666666666666663</v>
      </c>
      <c r="J5508" s="545">
        <v>1.2619047619047616</v>
      </c>
    </row>
    <row r="5509" spans="1:10">
      <c r="A5509" s="441">
        <v>12402</v>
      </c>
      <c r="B5509" s="441" t="s">
        <v>4898</v>
      </c>
      <c r="C5509" s="545">
        <v>9.3333333333333339</v>
      </c>
      <c r="D5509" s="545">
        <v>8.6666666666666661</v>
      </c>
      <c r="E5509" s="545">
        <v>3.666666666666667</v>
      </c>
      <c r="F5509" s="545">
        <v>8.4285714285714288</v>
      </c>
      <c r="G5509" s="545">
        <v>4.25</v>
      </c>
      <c r="H5509" s="545">
        <v>4</v>
      </c>
      <c r="I5509" s="545">
        <v>4.333333333333333</v>
      </c>
      <c r="J5509" s="545">
        <v>4.2261904761904763</v>
      </c>
    </row>
    <row r="5510" spans="1:10">
      <c r="A5510" s="441">
        <v>2647</v>
      </c>
      <c r="B5510" s="441" t="s">
        <v>4899</v>
      </c>
      <c r="C5510" s="545">
        <v>0.5</v>
      </c>
      <c r="D5510" s="545">
        <v>1.6666666666666665</v>
      </c>
      <c r="E5510" s="545">
        <v>0</v>
      </c>
      <c r="F5510" s="545">
        <v>0.59523809523809512</v>
      </c>
      <c r="G5510" s="545">
        <v>0.9</v>
      </c>
      <c r="H5510" s="545">
        <v>0</v>
      </c>
      <c r="I5510" s="545">
        <v>0.66666666666666663</v>
      </c>
      <c r="J5510" s="545">
        <v>0.73809523809523814</v>
      </c>
    </row>
    <row r="5511" spans="1:10">
      <c r="A5511" s="441">
        <v>1294</v>
      </c>
      <c r="B5511" s="441" t="s">
        <v>4900</v>
      </c>
      <c r="C5511" s="545">
        <v>5.3333333333333339</v>
      </c>
      <c r="D5511" s="545">
        <v>6.333333333333333</v>
      </c>
      <c r="E5511" s="545">
        <v>5.6666666666666661</v>
      </c>
      <c r="F5511" s="545">
        <v>5.5238095238095246</v>
      </c>
      <c r="G5511" s="545">
        <v>5.45</v>
      </c>
      <c r="H5511" s="545">
        <v>4.333333333333333</v>
      </c>
      <c r="I5511" s="545">
        <v>3</v>
      </c>
      <c r="J5511" s="545">
        <v>4.9404761904761898</v>
      </c>
    </row>
    <row r="5512" spans="1:10">
      <c r="A5512" s="441">
        <v>12884</v>
      </c>
      <c r="B5512" s="441" t="s">
        <v>4901</v>
      </c>
      <c r="C5512" s="545">
        <v>3.3333333333333335</v>
      </c>
      <c r="D5512" s="545">
        <v>1</v>
      </c>
      <c r="E5512" s="545">
        <v>1.6666666666666667</v>
      </c>
      <c r="F5512" s="545">
        <v>2.7619047619047623</v>
      </c>
      <c r="G5512" s="545">
        <v>4.45</v>
      </c>
      <c r="H5512" s="545">
        <v>0.33333333333333331</v>
      </c>
      <c r="I5512" s="545">
        <v>3.3333333333333335</v>
      </c>
      <c r="J5512" s="545">
        <v>3.7023809523809521</v>
      </c>
    </row>
    <row r="5513" spans="1:10">
      <c r="A5513" s="441">
        <v>1300</v>
      </c>
      <c r="B5513" s="441" t="s">
        <v>4902</v>
      </c>
      <c r="C5513" s="545">
        <v>3.166666666666667</v>
      </c>
      <c r="D5513" s="545">
        <v>1.6666666666666665</v>
      </c>
      <c r="E5513" s="545">
        <v>0</v>
      </c>
      <c r="F5513" s="545">
        <v>2.5000000000000004</v>
      </c>
      <c r="G5513" s="545">
        <v>1.35</v>
      </c>
      <c r="H5513" s="545">
        <v>2</v>
      </c>
      <c r="I5513" s="545">
        <v>1.3333333333333333</v>
      </c>
      <c r="J5513" s="545">
        <v>1.4404761904761905</v>
      </c>
    </row>
    <row r="5514" spans="1:10">
      <c r="A5514" s="441">
        <v>2639</v>
      </c>
      <c r="B5514" s="441" t="s">
        <v>4902</v>
      </c>
      <c r="C5514" s="545">
        <v>2.1666666666666665</v>
      </c>
      <c r="D5514" s="545">
        <v>0.33333333333333331</v>
      </c>
      <c r="E5514" s="545">
        <v>0.33333333333333331</v>
      </c>
      <c r="F5514" s="545">
        <v>1.6428571428571428</v>
      </c>
      <c r="G5514" s="545">
        <v>3.65</v>
      </c>
      <c r="H5514" s="545">
        <v>5.666666666666667</v>
      </c>
      <c r="I5514" s="545">
        <v>1.3333333333333333</v>
      </c>
      <c r="J5514" s="545">
        <v>3.6071428571428572</v>
      </c>
    </row>
    <row r="5515" spans="1:10">
      <c r="A5515" s="441">
        <v>1299</v>
      </c>
      <c r="B5515" s="441" t="s">
        <v>4903</v>
      </c>
      <c r="C5515" s="545">
        <v>2.5</v>
      </c>
      <c r="D5515" s="545">
        <v>1</v>
      </c>
      <c r="E5515" s="545">
        <v>0.33333333333333331</v>
      </c>
      <c r="F5515" s="545">
        <v>1.9761904761904763</v>
      </c>
      <c r="G5515" s="545">
        <v>0.05</v>
      </c>
      <c r="H5515" s="545">
        <v>0.33333333333333331</v>
      </c>
      <c r="I5515" s="545">
        <v>0.66666666666666663</v>
      </c>
      <c r="J5515" s="545">
        <v>0.17857142857142858</v>
      </c>
    </row>
    <row r="5516" spans="1:10">
      <c r="A5516" s="441">
        <v>2640</v>
      </c>
      <c r="B5516" s="441" t="s">
        <v>4903</v>
      </c>
      <c r="C5516" s="545">
        <v>1.8333333333333333</v>
      </c>
      <c r="D5516" s="545">
        <v>0</v>
      </c>
      <c r="E5516" s="545">
        <v>0.33333333333333331</v>
      </c>
      <c r="F5516" s="545">
        <v>1.3571428571428572</v>
      </c>
      <c r="G5516" s="545">
        <v>0.1</v>
      </c>
      <c r="H5516" s="545">
        <v>0</v>
      </c>
      <c r="I5516" s="545">
        <v>0.33333333333333331</v>
      </c>
      <c r="J5516" s="545">
        <v>0.11904761904761904</v>
      </c>
    </row>
    <row r="5517" spans="1:10">
      <c r="A5517" s="441">
        <v>1296</v>
      </c>
      <c r="B5517" s="441" t="s">
        <v>4904</v>
      </c>
      <c r="C5517" s="545">
        <v>6.8333333333333339</v>
      </c>
      <c r="D5517" s="545">
        <v>3.333333333333333</v>
      </c>
      <c r="E5517" s="545">
        <v>3.3333333333333335</v>
      </c>
      <c r="F5517" s="545">
        <v>5.8333333333333348</v>
      </c>
      <c r="G5517" s="545">
        <v>3.55</v>
      </c>
      <c r="H5517" s="545">
        <v>2</v>
      </c>
      <c r="I5517" s="545">
        <v>0.33333333333333331</v>
      </c>
      <c r="J5517" s="545">
        <v>2.8690476190476191</v>
      </c>
    </row>
    <row r="5518" spans="1:10">
      <c r="A5518" s="441">
        <v>1265</v>
      </c>
      <c r="B5518" s="441" t="s">
        <v>4905</v>
      </c>
      <c r="C5518" s="545">
        <v>8.8333333333333339</v>
      </c>
      <c r="D5518" s="545">
        <v>4.6666666666666661</v>
      </c>
      <c r="E5518" s="545">
        <v>2</v>
      </c>
      <c r="F5518" s="545">
        <v>7.2619047619047619</v>
      </c>
      <c r="G5518" s="545">
        <v>3.15</v>
      </c>
      <c r="H5518" s="545">
        <v>1.6666666666666667</v>
      </c>
      <c r="I5518" s="545">
        <v>0.66666666666666663</v>
      </c>
      <c r="J5518" s="545">
        <v>2.5833333333333335</v>
      </c>
    </row>
    <row r="5519" spans="1:10">
      <c r="A5519" s="441">
        <v>2648</v>
      </c>
      <c r="B5519" s="441" t="s">
        <v>4905</v>
      </c>
      <c r="C5519" s="545">
        <v>5</v>
      </c>
      <c r="D5519" s="545">
        <v>4.3333333333333339</v>
      </c>
      <c r="E5519" s="545">
        <v>3.3333333333333335</v>
      </c>
      <c r="F5519" s="545">
        <v>4.666666666666667</v>
      </c>
      <c r="G5519" s="545">
        <v>2</v>
      </c>
      <c r="H5519" s="545">
        <v>1.6666666666666667</v>
      </c>
      <c r="I5519" s="545">
        <v>5</v>
      </c>
      <c r="J5519" s="545">
        <v>2.3809523809523805</v>
      </c>
    </row>
    <row r="5520" spans="1:10">
      <c r="A5520" s="441">
        <v>2643</v>
      </c>
      <c r="B5520" s="441" t="s">
        <v>4906</v>
      </c>
      <c r="C5520" s="545">
        <v>9.1666666666666661</v>
      </c>
      <c r="D5520" s="545">
        <v>9.3333333333333339</v>
      </c>
      <c r="E5520" s="545">
        <v>3.6666666666666665</v>
      </c>
      <c r="F5520" s="545">
        <v>8.4047619047619033</v>
      </c>
      <c r="G5520" s="545">
        <v>10.1</v>
      </c>
      <c r="H5520" s="545">
        <v>8</v>
      </c>
      <c r="I5520" s="545">
        <v>3.6666666666666665</v>
      </c>
      <c r="J5520" s="545">
        <v>8.8809523809523814</v>
      </c>
    </row>
    <row r="5521" spans="1:10">
      <c r="A5521" s="441">
        <v>1264</v>
      </c>
      <c r="B5521" s="441" t="s">
        <v>4907</v>
      </c>
      <c r="C5521" s="545">
        <v>1.5</v>
      </c>
      <c r="D5521" s="545">
        <v>1</v>
      </c>
      <c r="E5521" s="545">
        <v>0.66666666666666663</v>
      </c>
      <c r="F5521" s="545">
        <v>1.3095238095238095</v>
      </c>
      <c r="G5521" s="545">
        <v>0.4</v>
      </c>
      <c r="H5521" s="545">
        <v>0.33333333333333331</v>
      </c>
      <c r="I5521" s="545">
        <v>0.66666666666666663</v>
      </c>
      <c r="J5521" s="545">
        <v>0.42857142857142855</v>
      </c>
    </row>
    <row r="5522" spans="1:10">
      <c r="A5522" s="441">
        <v>2649</v>
      </c>
      <c r="B5522" s="441" t="s">
        <v>4907</v>
      </c>
      <c r="C5522" s="545">
        <v>0.5</v>
      </c>
      <c r="D5522" s="545">
        <v>0.33333333333333331</v>
      </c>
      <c r="E5522" s="545">
        <v>0</v>
      </c>
      <c r="F5522" s="545">
        <v>0.40476190476190477</v>
      </c>
      <c r="G5522" s="545">
        <v>0.3</v>
      </c>
      <c r="H5522" s="545">
        <v>0</v>
      </c>
      <c r="I5522" s="545">
        <v>0</v>
      </c>
      <c r="J5522" s="545">
        <v>0.21428571428571427</v>
      </c>
    </row>
    <row r="5523" spans="1:10">
      <c r="A5523" s="441">
        <v>1298</v>
      </c>
      <c r="B5523" s="441" t="s">
        <v>4908</v>
      </c>
      <c r="C5523" s="545">
        <v>0.33333333333333331</v>
      </c>
      <c r="D5523" s="545">
        <v>1</v>
      </c>
      <c r="E5523" s="545">
        <v>1</v>
      </c>
      <c r="F5523" s="545">
        <v>0.52380952380952384</v>
      </c>
      <c r="G5523" s="545">
        <v>0.55000000000000004</v>
      </c>
      <c r="H5523" s="545">
        <v>0.33333333333333331</v>
      </c>
      <c r="I5523" s="545">
        <v>0</v>
      </c>
      <c r="J5523" s="545">
        <v>0.44047619047619052</v>
      </c>
    </row>
    <row r="5524" spans="1:10">
      <c r="A5524" s="441">
        <v>2641</v>
      </c>
      <c r="B5524" s="441" t="s">
        <v>4908</v>
      </c>
      <c r="C5524" s="545">
        <v>2</v>
      </c>
      <c r="D5524" s="545">
        <v>1</v>
      </c>
      <c r="E5524" s="545">
        <v>1</v>
      </c>
      <c r="F5524" s="545">
        <v>1.7142857142857142</v>
      </c>
      <c r="G5524" s="545">
        <v>0</v>
      </c>
      <c r="H5524" s="545">
        <v>0.33333333333333331</v>
      </c>
      <c r="I5524" s="545">
        <v>0</v>
      </c>
      <c r="J5524" s="545">
        <v>4.7619047619047616E-2</v>
      </c>
    </row>
    <row r="5525" spans="1:10">
      <c r="A5525" s="441">
        <v>1293</v>
      </c>
      <c r="B5525" s="441" t="s">
        <v>4909</v>
      </c>
      <c r="C5525" s="545">
        <v>1.8333333333333335</v>
      </c>
      <c r="D5525" s="545">
        <v>0.33333333333333331</v>
      </c>
      <c r="E5525" s="545">
        <v>0</v>
      </c>
      <c r="F5525" s="545">
        <v>1.3571428571428574</v>
      </c>
      <c r="G5525" s="545">
        <v>1</v>
      </c>
      <c r="H5525" s="545">
        <v>0.66666666666666663</v>
      </c>
      <c r="I5525" s="545">
        <v>0</v>
      </c>
      <c r="J5525" s="545">
        <v>0.80952380952380953</v>
      </c>
    </row>
    <row r="5526" spans="1:10">
      <c r="A5526" s="441">
        <v>2645</v>
      </c>
      <c r="B5526" s="441" t="s">
        <v>4910</v>
      </c>
      <c r="C5526" s="545">
        <v>10.833333333333334</v>
      </c>
      <c r="D5526" s="545">
        <v>9</v>
      </c>
      <c r="E5526" s="545">
        <v>3</v>
      </c>
      <c r="F5526" s="545">
        <v>9.4523809523809526</v>
      </c>
      <c r="G5526" s="545">
        <v>2.25</v>
      </c>
      <c r="H5526" s="545">
        <v>1.6666666666666667</v>
      </c>
      <c r="I5526" s="545">
        <v>1</v>
      </c>
      <c r="J5526" s="545">
        <v>1.9880952380952379</v>
      </c>
    </row>
    <row r="5527" spans="1:10">
      <c r="A5527" s="441">
        <v>2644</v>
      </c>
      <c r="B5527" s="441" t="s">
        <v>4911</v>
      </c>
      <c r="C5527" s="545">
        <v>13.333333333333332</v>
      </c>
      <c r="D5527" s="545">
        <v>4.666666666666667</v>
      </c>
      <c r="E5527" s="545">
        <v>4.666666666666667</v>
      </c>
      <c r="F5527" s="545">
        <v>10.857142857142858</v>
      </c>
      <c r="G5527" s="545">
        <v>3.5</v>
      </c>
      <c r="H5527" s="545">
        <v>4</v>
      </c>
      <c r="I5527" s="545">
        <v>2</v>
      </c>
      <c r="J5527" s="545">
        <v>3.3571428571428572</v>
      </c>
    </row>
    <row r="5528" spans="1:10">
      <c r="A5528" s="441">
        <v>1297</v>
      </c>
      <c r="B5528" s="441" t="s">
        <v>4912</v>
      </c>
      <c r="C5528" s="545">
        <v>13.166666666666668</v>
      </c>
      <c r="D5528" s="545">
        <v>13</v>
      </c>
      <c r="E5528" s="545">
        <v>5.6666666666666661</v>
      </c>
      <c r="F5528" s="545">
        <v>12.071428571428573</v>
      </c>
      <c r="G5528" s="545">
        <v>16.899999999999999</v>
      </c>
      <c r="H5528" s="545">
        <v>8</v>
      </c>
      <c r="I5528" s="545">
        <v>4.666666666666667</v>
      </c>
      <c r="J5528" s="545">
        <v>13.880952380952381</v>
      </c>
    </row>
    <row r="5529" spans="1:10">
      <c r="A5529" s="441">
        <v>2642</v>
      </c>
      <c r="B5529" s="441" t="s">
        <v>4912</v>
      </c>
      <c r="C5529" s="545">
        <v>7.833333333333333</v>
      </c>
      <c r="D5529" s="545">
        <v>5</v>
      </c>
      <c r="E5529" s="545">
        <v>4</v>
      </c>
      <c r="F5529" s="545">
        <v>6.8809523809523805</v>
      </c>
      <c r="G5529" s="545">
        <v>6.25</v>
      </c>
      <c r="H5529" s="545">
        <v>5.666666666666667</v>
      </c>
      <c r="I5529" s="545">
        <v>4</v>
      </c>
      <c r="J5529" s="545">
        <v>5.8452380952380949</v>
      </c>
    </row>
    <row r="5530" spans="1:10">
      <c r="A5530" s="441">
        <v>1305</v>
      </c>
      <c r="B5530" s="441" t="s">
        <v>4913</v>
      </c>
      <c r="C5530" s="545">
        <v>14.166666666666666</v>
      </c>
      <c r="D5530" s="545">
        <v>0.66666666666666663</v>
      </c>
      <c r="E5530" s="545">
        <v>1.3333333333333333</v>
      </c>
      <c r="F5530" s="545">
        <v>10.404761904761903</v>
      </c>
      <c r="G5530" s="545">
        <v>3.85</v>
      </c>
      <c r="H5530" s="545">
        <v>0.66666666666666663</v>
      </c>
      <c r="I5530" s="545">
        <v>0.33333333333333331</v>
      </c>
      <c r="J5530" s="545">
        <v>2.8928571428571428</v>
      </c>
    </row>
    <row r="5531" spans="1:10">
      <c r="A5531" s="441">
        <v>12883</v>
      </c>
      <c r="B5531" s="441" t="s">
        <v>4914</v>
      </c>
      <c r="C5531" s="545">
        <v>7.8333333333333339</v>
      </c>
      <c r="D5531" s="545">
        <v>1</v>
      </c>
      <c r="E5531" s="545">
        <v>3.3333333333333335</v>
      </c>
      <c r="F5531" s="545">
        <v>6.2142857142857153</v>
      </c>
      <c r="G5531" s="545">
        <v>1.7</v>
      </c>
      <c r="H5531" s="545">
        <v>0.33333333333333331</v>
      </c>
      <c r="I5531" s="545">
        <v>1.3333333333333333</v>
      </c>
      <c r="J5531" s="545">
        <v>1.4523809523809526</v>
      </c>
    </row>
    <row r="5532" spans="1:10">
      <c r="A5532" s="441">
        <v>144</v>
      </c>
      <c r="B5532" s="441" t="s">
        <v>4915</v>
      </c>
      <c r="C5532" s="545">
        <v>4.833333333333333</v>
      </c>
      <c r="D5532" s="545">
        <v>3.666666666666667</v>
      </c>
      <c r="E5532" s="545">
        <v>2.6666666666666665</v>
      </c>
      <c r="F5532" s="545">
        <v>4.3571428571428568</v>
      </c>
      <c r="G5532" s="545">
        <v>4.6500000000000004</v>
      </c>
      <c r="H5532" s="545">
        <v>4.333333333333333</v>
      </c>
      <c r="I5532" s="545">
        <v>1.6666666666666667</v>
      </c>
      <c r="J5532" s="545">
        <v>4.1785714285714288</v>
      </c>
    </row>
    <row r="5533" spans="1:10">
      <c r="A5533" s="441">
        <v>145</v>
      </c>
      <c r="B5533" s="441" t="s">
        <v>4916</v>
      </c>
      <c r="C5533" s="545">
        <v>1.8333333333333335</v>
      </c>
      <c r="D5533" s="545">
        <v>2</v>
      </c>
      <c r="E5533" s="545">
        <v>2.333333333333333</v>
      </c>
      <c r="F5533" s="545">
        <v>1.9285714285714286</v>
      </c>
      <c r="G5533" s="545">
        <v>2</v>
      </c>
      <c r="H5533" s="545">
        <v>1</v>
      </c>
      <c r="I5533" s="545">
        <v>1.3333333333333333</v>
      </c>
      <c r="J5533" s="545">
        <v>1.7619047619047621</v>
      </c>
    </row>
    <row r="5534" spans="1:10">
      <c r="A5534" s="441">
        <v>2646</v>
      </c>
      <c r="B5534" s="441" t="s">
        <v>4917</v>
      </c>
      <c r="C5534" s="545">
        <v>1</v>
      </c>
      <c r="D5534" s="545">
        <v>8.3333333333333321</v>
      </c>
      <c r="E5534" s="545">
        <v>0.66666666666666663</v>
      </c>
      <c r="F5534" s="545">
        <v>1.9999999999999998</v>
      </c>
      <c r="G5534" s="545">
        <v>1.75</v>
      </c>
      <c r="H5534" s="545">
        <v>0.66666666666666663</v>
      </c>
      <c r="I5534" s="545">
        <v>0.66666666666666663</v>
      </c>
      <c r="J5534" s="545">
        <v>1.4404761904761902</v>
      </c>
    </row>
    <row r="5535" spans="1:10">
      <c r="A5535" s="441">
        <v>1302</v>
      </c>
      <c r="B5535" s="441" t="s">
        <v>4918</v>
      </c>
      <c r="C5535" s="545">
        <v>1.3333333333333335</v>
      </c>
      <c r="D5535" s="545">
        <v>3</v>
      </c>
      <c r="E5535" s="545">
        <v>0.66666666666666663</v>
      </c>
      <c r="F5535" s="545">
        <v>1.4761904761904763</v>
      </c>
      <c r="G5535" s="545">
        <v>1.8</v>
      </c>
      <c r="H5535" s="545">
        <v>0.66666666666666663</v>
      </c>
      <c r="I5535" s="545">
        <v>1</v>
      </c>
      <c r="J5535" s="545">
        <v>1.5238095238095237</v>
      </c>
    </row>
    <row r="5536" spans="1:10">
      <c r="A5536" s="441">
        <v>2637</v>
      </c>
      <c r="B5536" s="441" t="s">
        <v>4918</v>
      </c>
      <c r="C5536" s="545">
        <v>2.1666666666666665</v>
      </c>
      <c r="D5536" s="545">
        <v>2</v>
      </c>
      <c r="E5536" s="545">
        <v>1</v>
      </c>
      <c r="F5536" s="545">
        <v>1.9761904761904761</v>
      </c>
      <c r="G5536" s="545">
        <v>0.85</v>
      </c>
      <c r="H5536" s="545">
        <v>0</v>
      </c>
      <c r="I5536" s="545">
        <v>0.66666666666666663</v>
      </c>
      <c r="J5536" s="545">
        <v>0.70238095238095244</v>
      </c>
    </row>
    <row r="5537" spans="1:10">
      <c r="A5537" s="441">
        <v>1263</v>
      </c>
      <c r="B5537" s="441" t="s">
        <v>4919</v>
      </c>
      <c r="C5537" s="545">
        <v>4.1666666666666661</v>
      </c>
      <c r="D5537" s="545">
        <v>3</v>
      </c>
      <c r="E5537" s="545">
        <v>4</v>
      </c>
      <c r="F5537" s="545">
        <v>3.9761904761904754</v>
      </c>
      <c r="G5537" s="545">
        <v>2.5499999999999998</v>
      </c>
      <c r="H5537" s="545">
        <v>3.6666666666666665</v>
      </c>
      <c r="I5537" s="545">
        <v>1</v>
      </c>
      <c r="J5537" s="545">
        <v>2.4880952380952381</v>
      </c>
    </row>
    <row r="5538" spans="1:10">
      <c r="A5538" s="441">
        <v>2650</v>
      </c>
      <c r="B5538" s="441" t="s">
        <v>4919</v>
      </c>
      <c r="C5538" s="545">
        <v>9.1666666666666661</v>
      </c>
      <c r="D5538" s="545">
        <v>4.3333333333333339</v>
      </c>
      <c r="E5538" s="545">
        <v>3</v>
      </c>
      <c r="F5538" s="545">
        <v>7.5952380952380949</v>
      </c>
      <c r="G5538" s="545">
        <v>3.45</v>
      </c>
      <c r="H5538" s="545">
        <v>4.333333333333333</v>
      </c>
      <c r="I5538" s="545">
        <v>1.3333333333333333</v>
      </c>
      <c r="J5538" s="545">
        <v>3.2738095238095233</v>
      </c>
    </row>
    <row r="5539" spans="1:10">
      <c r="A5539" s="441">
        <v>1306</v>
      </c>
      <c r="B5539" s="441" t="s">
        <v>4920</v>
      </c>
      <c r="C5539" s="545">
        <v>1</v>
      </c>
      <c r="D5539" s="545">
        <v>0</v>
      </c>
      <c r="E5539" s="545">
        <v>0</v>
      </c>
      <c r="F5539" s="545">
        <v>0.7142857142857143</v>
      </c>
      <c r="G5539" s="545">
        <v>0.3</v>
      </c>
      <c r="H5539" s="545">
        <v>0</v>
      </c>
      <c r="I5539" s="545">
        <v>0.33333333333333331</v>
      </c>
      <c r="J5539" s="545">
        <v>0.26190476190476192</v>
      </c>
    </row>
    <row r="5540" spans="1:10">
      <c r="A5540" s="441">
        <v>1301</v>
      </c>
      <c r="B5540" s="441" t="s">
        <v>4921</v>
      </c>
      <c r="C5540" s="545">
        <v>2.6666666666666665</v>
      </c>
      <c r="D5540" s="545">
        <v>0</v>
      </c>
      <c r="E5540" s="545">
        <v>1</v>
      </c>
      <c r="F5540" s="545">
        <v>2.0476190476190474</v>
      </c>
      <c r="G5540" s="545">
        <v>6.85</v>
      </c>
      <c r="H5540" s="545">
        <v>3.6666666666666665</v>
      </c>
      <c r="I5540" s="545">
        <v>2</v>
      </c>
      <c r="J5540" s="545">
        <v>5.7023809523809517</v>
      </c>
    </row>
    <row r="5541" spans="1:10">
      <c r="A5541" s="441">
        <v>2638</v>
      </c>
      <c r="B5541" s="441" t="s">
        <v>4921</v>
      </c>
      <c r="C5541" s="545">
        <v>2.5</v>
      </c>
      <c r="D5541" s="545">
        <v>0.33333333333333331</v>
      </c>
      <c r="E5541" s="545">
        <v>0</v>
      </c>
      <c r="F5541" s="545">
        <v>1.8333333333333335</v>
      </c>
      <c r="G5541" s="545">
        <v>4.3</v>
      </c>
      <c r="H5541" s="545">
        <v>0.66666666666666663</v>
      </c>
      <c r="I5541" s="545">
        <v>1.6666666666666667</v>
      </c>
      <c r="J5541" s="545">
        <v>3.4047619047619051</v>
      </c>
    </row>
    <row r="5542" spans="1:10">
      <c r="A5542" s="441">
        <v>1295</v>
      </c>
      <c r="B5542" s="441" t="s">
        <v>4922</v>
      </c>
      <c r="C5542" s="545">
        <v>12.333333333333334</v>
      </c>
      <c r="D5542" s="545">
        <v>7.6666666666666661</v>
      </c>
      <c r="E5542" s="545">
        <v>3.3333333333333335</v>
      </c>
      <c r="F5542" s="545">
        <v>10.380952380952381</v>
      </c>
      <c r="G5542" s="545">
        <v>2.5</v>
      </c>
      <c r="H5542" s="545">
        <v>1.6666666666666667</v>
      </c>
      <c r="I5542" s="545">
        <v>0</v>
      </c>
      <c r="J5542" s="545">
        <v>2.0238095238095237</v>
      </c>
    </row>
    <row r="5543" spans="1:10">
      <c r="A5543" s="441">
        <v>12971</v>
      </c>
      <c r="B5543" s="441" t="s">
        <v>4923</v>
      </c>
      <c r="C5543" s="545">
        <v>0.33333333333333331</v>
      </c>
      <c r="D5543" s="545">
        <v>0.66666666666666663</v>
      </c>
      <c r="E5543" s="545">
        <v>1</v>
      </c>
      <c r="F5543" s="545">
        <v>0.47619047619047616</v>
      </c>
      <c r="G5543" s="545">
        <v>1</v>
      </c>
      <c r="H5543" s="545">
        <v>0.33333333333333331</v>
      </c>
      <c r="I5543" s="545">
        <v>0.33333333333333331</v>
      </c>
      <c r="J5543" s="545">
        <v>0.80952380952380942</v>
      </c>
    </row>
    <row r="5544" spans="1:10">
      <c r="A5544" s="441">
        <v>12972</v>
      </c>
      <c r="B5544" s="441" t="s">
        <v>4923</v>
      </c>
      <c r="C5544" s="545">
        <v>0.5</v>
      </c>
      <c r="D5544" s="545">
        <v>0.33333333333333331</v>
      </c>
      <c r="E5544" s="545">
        <v>0.33333333333333331</v>
      </c>
      <c r="F5544" s="545">
        <v>0.45238095238095244</v>
      </c>
      <c r="G5544" s="545">
        <v>1.6</v>
      </c>
      <c r="H5544" s="545">
        <v>0.66666666666666663</v>
      </c>
      <c r="I5544" s="545">
        <v>1.3333333333333333</v>
      </c>
      <c r="J5544" s="545">
        <v>1.4285714285714286</v>
      </c>
    </row>
    <row r="5545" spans="1:10">
      <c r="A5545" s="441">
        <v>1304</v>
      </c>
      <c r="B5545" s="441" t="s">
        <v>4924</v>
      </c>
      <c r="C5545" s="545">
        <v>1.5</v>
      </c>
      <c r="D5545" s="545">
        <v>2.6666666666666665</v>
      </c>
      <c r="E5545" s="545">
        <v>0</v>
      </c>
      <c r="F5545" s="545">
        <v>1.4523809523809523</v>
      </c>
      <c r="G5545" s="545">
        <v>2.95</v>
      </c>
      <c r="H5545" s="545">
        <v>1.3333333333333333</v>
      </c>
      <c r="I5545" s="545">
        <v>0.66666666666666663</v>
      </c>
      <c r="J5545" s="545">
        <v>2.3928571428571428</v>
      </c>
    </row>
    <row r="5546" spans="1:10">
      <c r="A5546" s="441">
        <v>2636</v>
      </c>
      <c r="B5546" s="441" t="s">
        <v>4925</v>
      </c>
      <c r="C5546" s="545">
        <v>11</v>
      </c>
      <c r="D5546" s="545">
        <v>7</v>
      </c>
      <c r="E5546" s="545">
        <v>5.3333333333333339</v>
      </c>
      <c r="F5546" s="545">
        <v>9.6190476190476186</v>
      </c>
      <c r="G5546" s="545">
        <v>4.25</v>
      </c>
      <c r="H5546" s="545">
        <v>3.6666666666666665</v>
      </c>
      <c r="I5546" s="545">
        <v>1.6666666666666667</v>
      </c>
      <c r="J5546" s="545">
        <v>3.7976190476190479</v>
      </c>
    </row>
    <row r="5547" spans="1:10">
      <c r="A5547" s="441">
        <v>1307</v>
      </c>
      <c r="B5547" s="441" t="s">
        <v>4926</v>
      </c>
      <c r="C5547" s="545">
        <v>1.5</v>
      </c>
      <c r="D5547" s="545">
        <v>1</v>
      </c>
      <c r="E5547" s="545">
        <v>1.3333333333333333</v>
      </c>
      <c r="F5547" s="545">
        <v>1.4047619047619049</v>
      </c>
      <c r="G5547" s="545">
        <v>2.15</v>
      </c>
      <c r="H5547" s="545">
        <v>0.66666666666666663</v>
      </c>
      <c r="I5547" s="545">
        <v>1.3333333333333333</v>
      </c>
      <c r="J5547" s="545">
        <v>1.8214285714285714</v>
      </c>
    </row>
    <row r="5548" spans="1:10">
      <c r="A5548" s="441">
        <v>11686</v>
      </c>
      <c r="B5548" s="441" t="s">
        <v>4926</v>
      </c>
      <c r="C5548" s="545">
        <v>10.166666666666666</v>
      </c>
      <c r="D5548" s="545">
        <v>5.6666666666666661</v>
      </c>
      <c r="E5548" s="545">
        <v>3</v>
      </c>
      <c r="F5548" s="545">
        <v>8.4999999999999982</v>
      </c>
      <c r="G5548" s="545">
        <v>6.2</v>
      </c>
      <c r="H5548" s="545">
        <v>3.3333333333333335</v>
      </c>
      <c r="I5548" s="545">
        <v>1.6666666666666667</v>
      </c>
      <c r="J5548" s="545">
        <v>5.1428571428571432</v>
      </c>
    </row>
    <row r="5549" spans="1:10">
      <c r="A5549" s="441">
        <v>12958</v>
      </c>
      <c r="B5549" s="441" t="s">
        <v>4927</v>
      </c>
      <c r="C5549" s="545">
        <v>2.333333333333333</v>
      </c>
      <c r="D5549" s="545">
        <v>3</v>
      </c>
      <c r="E5549" s="545">
        <v>0.66666666666666663</v>
      </c>
      <c r="F5549" s="545">
        <v>2.1904761904761902</v>
      </c>
      <c r="G5549" s="545">
        <v>0.7</v>
      </c>
      <c r="H5549" s="545">
        <v>0</v>
      </c>
      <c r="I5549" s="545">
        <v>0</v>
      </c>
      <c r="J5549" s="545">
        <v>0.5</v>
      </c>
    </row>
    <row r="5550" spans="1:10">
      <c r="A5550" s="441">
        <v>12959</v>
      </c>
      <c r="B5550" s="441" t="s">
        <v>4927</v>
      </c>
      <c r="C5550" s="545">
        <v>10</v>
      </c>
      <c r="D5550" s="545">
        <v>2</v>
      </c>
      <c r="E5550" s="545">
        <v>1</v>
      </c>
      <c r="F5550" s="545">
        <v>7.5714285714285712</v>
      </c>
      <c r="G5550" s="545">
        <v>3.45</v>
      </c>
      <c r="H5550" s="545">
        <v>1.3333333333333333</v>
      </c>
      <c r="I5550" s="545">
        <v>0.33333333333333331</v>
      </c>
      <c r="J5550" s="545">
        <v>2.7023809523809521</v>
      </c>
    </row>
    <row r="5551" spans="1:10">
      <c r="A5551" s="441">
        <v>1303</v>
      </c>
      <c r="B5551" s="441" t="s">
        <v>4928</v>
      </c>
      <c r="C5551" s="545">
        <v>2.666666666666667</v>
      </c>
      <c r="D5551" s="545">
        <v>2.666666666666667</v>
      </c>
      <c r="E5551" s="545">
        <v>3.3333333333333335</v>
      </c>
      <c r="F5551" s="545">
        <v>2.7619047619047623</v>
      </c>
      <c r="G5551" s="545">
        <v>3.1</v>
      </c>
      <c r="H5551" s="545">
        <v>3.3333333333333335</v>
      </c>
      <c r="I5551" s="545">
        <v>1</v>
      </c>
      <c r="J5551" s="545">
        <v>2.833333333333333</v>
      </c>
    </row>
    <row r="5552" spans="1:10">
      <c r="A5552" s="441">
        <v>1440</v>
      </c>
      <c r="B5552" s="441" t="s">
        <v>4929</v>
      </c>
      <c r="C5552" s="545">
        <v>7.5</v>
      </c>
      <c r="D5552" s="545">
        <v>2.666666666666667</v>
      </c>
      <c r="E5552" s="545">
        <v>0.33333333333333331</v>
      </c>
      <c r="F5552" s="545">
        <v>5.7857142857142856</v>
      </c>
      <c r="G5552" s="545">
        <v>5.15</v>
      </c>
      <c r="H5552" s="545">
        <v>1.3333333333333333</v>
      </c>
      <c r="I5552" s="545">
        <v>1.6666666666666667</v>
      </c>
      <c r="J5552" s="545">
        <v>4.1071428571428568</v>
      </c>
    </row>
    <row r="5553" spans="1:10">
      <c r="A5553" s="441">
        <v>1443</v>
      </c>
      <c r="B5553" s="441" t="s">
        <v>4929</v>
      </c>
      <c r="C5553" s="545">
        <v>5</v>
      </c>
      <c r="D5553" s="545">
        <v>1.3333333333333333</v>
      </c>
      <c r="E5553" s="545">
        <v>1.3333333333333333</v>
      </c>
      <c r="F5553" s="545">
        <v>3.9523809523809521</v>
      </c>
      <c r="G5553" s="545">
        <v>2.4</v>
      </c>
      <c r="H5553" s="545">
        <v>0.33333333333333331</v>
      </c>
      <c r="I5553" s="545">
        <v>0.33333333333333331</v>
      </c>
      <c r="J5553" s="545">
        <v>1.8095238095238098</v>
      </c>
    </row>
    <row r="5554" spans="1:10">
      <c r="A5554" s="441">
        <v>9756</v>
      </c>
      <c r="B5554" s="441" t="s">
        <v>4930</v>
      </c>
      <c r="C5554" s="545">
        <v>17.833333333333332</v>
      </c>
      <c r="D5554" s="545">
        <v>14.333333333333334</v>
      </c>
      <c r="E5554" s="545">
        <v>11.333333333333332</v>
      </c>
      <c r="F5554" s="545">
        <v>16.404761904761902</v>
      </c>
      <c r="G5554" s="545">
        <v>15</v>
      </c>
      <c r="H5554" s="545">
        <v>8.3333333333333339</v>
      </c>
      <c r="I5554" s="545">
        <v>6.666666666666667</v>
      </c>
      <c r="J5554" s="545">
        <v>12.857142857142858</v>
      </c>
    </row>
    <row r="5555" spans="1:10">
      <c r="A5555" s="441">
        <v>1441</v>
      </c>
      <c r="B5555" s="441" t="s">
        <v>4931</v>
      </c>
      <c r="C5555" s="545">
        <v>4.6666666666666661</v>
      </c>
      <c r="D5555" s="545">
        <v>1.6666666666666665</v>
      </c>
      <c r="E5555" s="545">
        <v>3</v>
      </c>
      <c r="F5555" s="545">
        <v>3.9999999999999996</v>
      </c>
      <c r="G5555" s="545">
        <v>2.7</v>
      </c>
      <c r="H5555" s="545">
        <v>2</v>
      </c>
      <c r="I5555" s="545">
        <v>3.6666666666666665</v>
      </c>
      <c r="J5555" s="545">
        <v>2.7380952380952381</v>
      </c>
    </row>
    <row r="5556" spans="1:10">
      <c r="A5556" s="441">
        <v>1442</v>
      </c>
      <c r="B5556" s="441" t="s">
        <v>4931</v>
      </c>
      <c r="C5556" s="545">
        <v>11.166666666666668</v>
      </c>
      <c r="D5556" s="545">
        <v>1.6666666666666667</v>
      </c>
      <c r="E5556" s="545">
        <v>1.6666666666666665</v>
      </c>
      <c r="F5556" s="545">
        <v>8.4523809523809526</v>
      </c>
      <c r="G5556" s="545">
        <v>7.3</v>
      </c>
      <c r="H5556" s="545">
        <v>1</v>
      </c>
      <c r="I5556" s="545">
        <v>2.6666666666666665</v>
      </c>
      <c r="J5556" s="545">
        <v>5.7380952380952381</v>
      </c>
    </row>
    <row r="5557" spans="1:10">
      <c r="A5557" s="441">
        <v>13008</v>
      </c>
      <c r="B5557" s="441" t="s">
        <v>4932</v>
      </c>
      <c r="C5557" s="545">
        <v>16</v>
      </c>
      <c r="D5557" s="545">
        <v>5</v>
      </c>
      <c r="E5557" s="545">
        <v>9.3333333333333321</v>
      </c>
      <c r="F5557" s="545">
        <v>13.476190476190476</v>
      </c>
      <c r="G5557" s="545">
        <v>32.35</v>
      </c>
      <c r="H5557" s="545">
        <v>6.666666666666667</v>
      </c>
      <c r="I5557" s="545">
        <v>7.333333333333333</v>
      </c>
      <c r="J5557" s="545">
        <v>25.107142857142858</v>
      </c>
    </row>
    <row r="5558" spans="1:10">
      <c r="A5558" s="441">
        <v>1433</v>
      </c>
      <c r="B5558" s="441" t="s">
        <v>4933</v>
      </c>
      <c r="C5558" s="545">
        <v>12.833333333333334</v>
      </c>
      <c r="D5558" s="545">
        <v>0</v>
      </c>
      <c r="E5558" s="545">
        <v>0.66666666666666663</v>
      </c>
      <c r="F5558" s="545">
        <v>9.2619047619047628</v>
      </c>
      <c r="G5558" s="545">
        <v>0.6</v>
      </c>
      <c r="H5558" s="545">
        <v>0</v>
      </c>
      <c r="I5558" s="545">
        <v>2</v>
      </c>
      <c r="J5558" s="545">
        <v>0.7142857142857143</v>
      </c>
    </row>
    <row r="5559" spans="1:10">
      <c r="A5559" s="441">
        <v>9801</v>
      </c>
      <c r="B5559" s="441" t="s">
        <v>4933</v>
      </c>
      <c r="C5559" s="545">
        <v>4.666666666666667</v>
      </c>
      <c r="D5559" s="545">
        <v>0</v>
      </c>
      <c r="E5559" s="545">
        <v>0</v>
      </c>
      <c r="F5559" s="545">
        <v>3.3333333333333335</v>
      </c>
      <c r="G5559" s="545">
        <v>2.6</v>
      </c>
      <c r="H5559" s="545">
        <v>0</v>
      </c>
      <c r="I5559" s="545">
        <v>0.33333333333333331</v>
      </c>
      <c r="J5559" s="545">
        <v>1.9047619047619049</v>
      </c>
    </row>
    <row r="5560" spans="1:10">
      <c r="A5560" s="441">
        <v>1434</v>
      </c>
      <c r="B5560" s="441" t="s">
        <v>4934</v>
      </c>
      <c r="C5560" s="545">
        <v>32.166666666666664</v>
      </c>
      <c r="D5560" s="545">
        <v>9</v>
      </c>
      <c r="E5560" s="545">
        <v>4.666666666666667</v>
      </c>
      <c r="F5560" s="545">
        <v>24.928571428571423</v>
      </c>
      <c r="G5560" s="545">
        <v>10.1</v>
      </c>
      <c r="H5560" s="545">
        <v>1</v>
      </c>
      <c r="I5560" s="545">
        <v>0.33333333333333331</v>
      </c>
      <c r="J5560" s="545">
        <v>7.4047619047619051</v>
      </c>
    </row>
    <row r="5561" spans="1:10">
      <c r="A5561" s="441">
        <v>1435</v>
      </c>
      <c r="B5561" s="441" t="s">
        <v>4935</v>
      </c>
      <c r="C5561" s="545">
        <v>4.166666666666667</v>
      </c>
      <c r="D5561" s="545">
        <v>1.3333333333333333</v>
      </c>
      <c r="E5561" s="545">
        <v>0</v>
      </c>
      <c r="F5561" s="545">
        <v>3.166666666666667</v>
      </c>
      <c r="G5561" s="545">
        <v>2.5</v>
      </c>
      <c r="H5561" s="545">
        <v>2</v>
      </c>
      <c r="I5561" s="545">
        <v>1</v>
      </c>
      <c r="J5561" s="545">
        <v>2.2142857142857144</v>
      </c>
    </row>
    <row r="5562" spans="1:10">
      <c r="A5562" s="441">
        <v>1583</v>
      </c>
      <c r="B5562" s="441" t="s">
        <v>4936</v>
      </c>
      <c r="C5562" s="545">
        <v>5.333333333333333</v>
      </c>
      <c r="D5562" s="545">
        <v>4.333333333333333</v>
      </c>
      <c r="E5562" s="545">
        <v>3.666666666666667</v>
      </c>
      <c r="F5562" s="545">
        <v>4.9523809523809517</v>
      </c>
      <c r="G5562" s="545">
        <v>2.0499999999999998</v>
      </c>
      <c r="H5562" s="545">
        <v>1.6666666666666667</v>
      </c>
      <c r="I5562" s="545">
        <v>5.666666666666667</v>
      </c>
      <c r="J5562" s="545">
        <v>2.5119047619047619</v>
      </c>
    </row>
    <row r="5563" spans="1:10">
      <c r="A5563" s="441">
        <v>1552</v>
      </c>
      <c r="B5563" s="441" t="s">
        <v>4937</v>
      </c>
      <c r="C5563" s="545">
        <v>6.333333333333333</v>
      </c>
      <c r="D5563" s="545">
        <v>4</v>
      </c>
      <c r="E5563" s="545">
        <v>5.333333333333333</v>
      </c>
      <c r="F5563" s="545">
        <v>5.8571428571428568</v>
      </c>
      <c r="G5563" s="545">
        <v>3</v>
      </c>
      <c r="H5563" s="545">
        <v>5.666666666666667</v>
      </c>
      <c r="I5563" s="545">
        <v>5.666666666666667</v>
      </c>
      <c r="J5563" s="545">
        <v>3.7619047619047623</v>
      </c>
    </row>
    <row r="5564" spans="1:10">
      <c r="A5564" s="441">
        <v>1584</v>
      </c>
      <c r="B5564" s="441" t="s">
        <v>4937</v>
      </c>
      <c r="C5564" s="545">
        <v>2.333333333333333</v>
      </c>
      <c r="D5564" s="545">
        <v>1.3333333333333333</v>
      </c>
      <c r="E5564" s="545">
        <v>2</v>
      </c>
      <c r="F5564" s="545">
        <v>2.1428571428571428</v>
      </c>
      <c r="G5564" s="545">
        <v>0.7</v>
      </c>
      <c r="H5564" s="545">
        <v>0.66666666666666663</v>
      </c>
      <c r="I5564" s="545">
        <v>0.66666666666666663</v>
      </c>
      <c r="J5564" s="545">
        <v>0.69047619047619058</v>
      </c>
    </row>
    <row r="5565" spans="1:10">
      <c r="A5565" s="441">
        <v>10199</v>
      </c>
      <c r="B5565" s="441" t="s">
        <v>4938</v>
      </c>
      <c r="C5565" s="545">
        <v>1.5</v>
      </c>
      <c r="D5565" s="545">
        <v>0.33333333333333331</v>
      </c>
      <c r="E5565" s="545">
        <v>1</v>
      </c>
      <c r="F5565" s="545">
        <v>1.2619047619047616</v>
      </c>
      <c r="G5565" s="545">
        <v>4.0999999999999996</v>
      </c>
      <c r="H5565" s="545">
        <v>0.66666666666666663</v>
      </c>
      <c r="I5565" s="545">
        <v>1.6666666666666667</v>
      </c>
      <c r="J5565" s="545">
        <v>3.2619047619047623</v>
      </c>
    </row>
    <row r="5566" spans="1:10">
      <c r="A5566" s="441">
        <v>1236</v>
      </c>
      <c r="B5566" s="441" t="s">
        <v>4939</v>
      </c>
      <c r="C5566" s="545">
        <v>34.5</v>
      </c>
      <c r="D5566" s="545">
        <v>23.333333333333336</v>
      </c>
      <c r="E5566" s="545">
        <v>21</v>
      </c>
      <c r="F5566" s="545">
        <v>30.976190476190478</v>
      </c>
      <c r="G5566" s="545">
        <v>30.3</v>
      </c>
      <c r="H5566" s="545">
        <v>20.333333333333332</v>
      </c>
      <c r="I5566" s="545">
        <v>20</v>
      </c>
      <c r="J5566" s="545">
        <v>27.404761904761905</v>
      </c>
    </row>
    <row r="5567" spans="1:10">
      <c r="A5567" s="441">
        <v>1261</v>
      </c>
      <c r="B5567" s="441" t="s">
        <v>4939</v>
      </c>
      <c r="C5567" s="545">
        <v>57.666666666666671</v>
      </c>
      <c r="D5567" s="545">
        <v>35.666666666666671</v>
      </c>
      <c r="E5567" s="545">
        <v>38.333333333333329</v>
      </c>
      <c r="F5567" s="545">
        <v>51.761904761904766</v>
      </c>
      <c r="G5567" s="545">
        <v>45.15</v>
      </c>
      <c r="H5567" s="545">
        <v>26</v>
      </c>
      <c r="I5567" s="545">
        <v>37.666666666666664</v>
      </c>
      <c r="J5567" s="545">
        <v>41.345238095238095</v>
      </c>
    </row>
    <row r="5568" spans="1:10">
      <c r="A5568" s="441">
        <v>353</v>
      </c>
      <c r="B5568" s="441" t="s">
        <v>4940</v>
      </c>
      <c r="C5568" s="545">
        <v>16.666666666666668</v>
      </c>
      <c r="D5568" s="545">
        <v>21.666666666666668</v>
      </c>
      <c r="E5568" s="545">
        <v>13.666666666666668</v>
      </c>
      <c r="F5568" s="545">
        <v>16.952380952380956</v>
      </c>
      <c r="G5568" s="545">
        <v>8.6999999999999993</v>
      </c>
      <c r="H5568" s="545">
        <v>6.666666666666667</v>
      </c>
      <c r="I5568" s="545">
        <v>3.6666666666666665</v>
      </c>
      <c r="J5568" s="545">
        <v>7.6904761904761898</v>
      </c>
    </row>
    <row r="5569" spans="1:10">
      <c r="A5569" s="441">
        <v>433</v>
      </c>
      <c r="B5569" s="441" t="s">
        <v>4941</v>
      </c>
      <c r="C5569" s="545">
        <v>53.166666666666664</v>
      </c>
      <c r="D5569" s="545">
        <v>9</v>
      </c>
      <c r="E5569" s="545">
        <v>8.3333333333333339</v>
      </c>
      <c r="F5569" s="545">
        <v>40.452380952380949</v>
      </c>
      <c r="G5569" s="545">
        <v>5.85</v>
      </c>
      <c r="H5569" s="545">
        <v>2.3333333333333335</v>
      </c>
      <c r="I5569" s="545">
        <v>3</v>
      </c>
      <c r="J5569" s="545">
        <v>4.9404761904761898</v>
      </c>
    </row>
    <row r="5570" spans="1:10">
      <c r="A5570" s="441">
        <v>4940</v>
      </c>
      <c r="B5570" s="441" t="s">
        <v>4942</v>
      </c>
      <c r="C5570" s="545">
        <v>3.6666666666666665</v>
      </c>
      <c r="D5570" s="545">
        <v>1</v>
      </c>
      <c r="E5570" s="545">
        <v>1.3333333333333333</v>
      </c>
      <c r="F5570" s="545">
        <v>2.9523809523809521</v>
      </c>
      <c r="G5570" s="545">
        <v>5.35</v>
      </c>
      <c r="H5570" s="545">
        <v>1</v>
      </c>
      <c r="I5570" s="545">
        <v>0</v>
      </c>
      <c r="J5570" s="545">
        <v>3.9642857142857144</v>
      </c>
    </row>
    <row r="5571" spans="1:10">
      <c r="A5571" s="441">
        <v>4937</v>
      </c>
      <c r="B5571" s="441" t="s">
        <v>4943</v>
      </c>
      <c r="C5571" s="545">
        <v>2.6666666666666665</v>
      </c>
      <c r="D5571" s="545">
        <v>2</v>
      </c>
      <c r="E5571" s="545">
        <v>6</v>
      </c>
      <c r="F5571" s="545">
        <v>3.0476190476190474</v>
      </c>
      <c r="G5571" s="545">
        <v>3.15</v>
      </c>
      <c r="H5571" s="545">
        <v>2</v>
      </c>
      <c r="I5571" s="545">
        <v>2</v>
      </c>
      <c r="J5571" s="545">
        <v>2.8214285714285716</v>
      </c>
    </row>
    <row r="5572" spans="1:10">
      <c r="A5572" s="441">
        <v>4942</v>
      </c>
      <c r="B5572" s="441" t="s">
        <v>4944</v>
      </c>
      <c r="C5572" s="545">
        <v>4</v>
      </c>
      <c r="D5572" s="545">
        <v>1.3333333333333333</v>
      </c>
      <c r="E5572" s="545">
        <v>2</v>
      </c>
      <c r="F5572" s="545">
        <v>3.333333333333333</v>
      </c>
      <c r="G5572" s="545">
        <v>1.6</v>
      </c>
      <c r="H5572" s="545">
        <v>4</v>
      </c>
      <c r="I5572" s="545">
        <v>1.3333333333333333</v>
      </c>
      <c r="J5572" s="545">
        <v>1.9047619047619049</v>
      </c>
    </row>
    <row r="5573" spans="1:10">
      <c r="A5573" s="441">
        <v>5540</v>
      </c>
      <c r="B5573" s="441" t="s">
        <v>4944</v>
      </c>
      <c r="C5573" s="545">
        <v>1.6666666666666667</v>
      </c>
      <c r="D5573" s="545">
        <v>1.6666666666666667</v>
      </c>
      <c r="E5573" s="545">
        <v>1.3333333333333333</v>
      </c>
      <c r="F5573" s="545">
        <v>1.6190476190476191</v>
      </c>
      <c r="G5573" s="545">
        <v>2.0499999999999998</v>
      </c>
      <c r="H5573" s="545">
        <v>1.3333333333333333</v>
      </c>
      <c r="I5573" s="545">
        <v>0.66666666666666663</v>
      </c>
      <c r="J5573" s="545">
        <v>1.75</v>
      </c>
    </row>
    <row r="5574" spans="1:10">
      <c r="A5574" s="441">
        <v>4938</v>
      </c>
      <c r="B5574" s="441" t="s">
        <v>4945</v>
      </c>
      <c r="C5574" s="545">
        <v>4</v>
      </c>
      <c r="D5574" s="545">
        <v>1</v>
      </c>
      <c r="E5574" s="545">
        <v>2.333333333333333</v>
      </c>
      <c r="F5574" s="545">
        <v>3.333333333333333</v>
      </c>
      <c r="G5574" s="545">
        <v>5.0999999999999996</v>
      </c>
      <c r="H5574" s="545">
        <v>2.3333333333333335</v>
      </c>
      <c r="I5574" s="545">
        <v>1.3333333333333333</v>
      </c>
      <c r="J5574" s="545">
        <v>4.1666666666666661</v>
      </c>
    </row>
    <row r="5575" spans="1:10">
      <c r="A5575" s="441">
        <v>5544</v>
      </c>
      <c r="B5575" s="441" t="s">
        <v>4945</v>
      </c>
      <c r="C5575" s="545">
        <v>5</v>
      </c>
      <c r="D5575" s="545">
        <v>1.3333333333333333</v>
      </c>
      <c r="E5575" s="545">
        <v>3.6666666666666665</v>
      </c>
      <c r="F5575" s="545">
        <v>4.2857142857142856</v>
      </c>
      <c r="G5575" s="545">
        <v>3.15</v>
      </c>
      <c r="H5575" s="545">
        <v>1.6666666666666667</v>
      </c>
      <c r="I5575" s="545">
        <v>2.3333333333333335</v>
      </c>
      <c r="J5575" s="545">
        <v>2.8214285714285716</v>
      </c>
    </row>
    <row r="5576" spans="1:10">
      <c r="A5576" s="441">
        <v>4941</v>
      </c>
      <c r="B5576" s="441" t="s">
        <v>4946</v>
      </c>
      <c r="C5576" s="545">
        <v>10.5</v>
      </c>
      <c r="D5576" s="545">
        <v>8.3333333333333339</v>
      </c>
      <c r="E5576" s="545">
        <v>3</v>
      </c>
      <c r="F5576" s="545">
        <v>9.1190476190476186</v>
      </c>
      <c r="G5576" s="545">
        <v>16.45</v>
      </c>
      <c r="H5576" s="545">
        <v>10.666666666666666</v>
      </c>
      <c r="I5576" s="545">
        <v>8.3333333333333339</v>
      </c>
      <c r="J5576" s="545">
        <v>14.464285714285714</v>
      </c>
    </row>
    <row r="5577" spans="1:10">
      <c r="A5577" s="441">
        <v>5541</v>
      </c>
      <c r="B5577" s="441" t="s">
        <v>4946</v>
      </c>
      <c r="C5577" s="545">
        <v>11.166666666666668</v>
      </c>
      <c r="D5577" s="545">
        <v>11</v>
      </c>
      <c r="E5577" s="545">
        <v>5</v>
      </c>
      <c r="F5577" s="545">
        <v>10.261904761904763</v>
      </c>
      <c r="G5577" s="545">
        <v>11.95</v>
      </c>
      <c r="H5577" s="545">
        <v>5.333333333333333</v>
      </c>
      <c r="I5577" s="545">
        <v>10</v>
      </c>
      <c r="J5577" s="545">
        <v>10.726190476190476</v>
      </c>
    </row>
    <row r="5578" spans="1:10">
      <c r="A5578" s="441">
        <v>4934</v>
      </c>
      <c r="B5578" s="441" t="s">
        <v>4947</v>
      </c>
      <c r="C5578" s="545">
        <v>4.5</v>
      </c>
      <c r="D5578" s="545">
        <v>2</v>
      </c>
      <c r="E5578" s="545">
        <v>1.3333333333333333</v>
      </c>
      <c r="F5578" s="545">
        <v>3.6904761904761902</v>
      </c>
      <c r="G5578" s="545">
        <v>3.8</v>
      </c>
      <c r="H5578" s="545">
        <v>2</v>
      </c>
      <c r="I5578" s="545">
        <v>2.6666666666666665</v>
      </c>
      <c r="J5578" s="545">
        <v>3.3809523809523809</v>
      </c>
    </row>
    <row r="5579" spans="1:10">
      <c r="A5579" s="441">
        <v>4935</v>
      </c>
      <c r="B5579" s="441" t="s">
        <v>4947</v>
      </c>
      <c r="C5579" s="545">
        <v>12</v>
      </c>
      <c r="D5579" s="545">
        <v>6.666666666666667</v>
      </c>
      <c r="E5579" s="545">
        <v>7.666666666666667</v>
      </c>
      <c r="F5579" s="545">
        <v>10.61904761904762</v>
      </c>
      <c r="G5579" s="545">
        <v>9.5500000000000007</v>
      </c>
      <c r="H5579" s="545">
        <v>5.333333333333333</v>
      </c>
      <c r="I5579" s="545">
        <v>5.666666666666667</v>
      </c>
      <c r="J5579" s="545">
        <v>8.3928571428571423</v>
      </c>
    </row>
    <row r="5580" spans="1:10">
      <c r="A5580" s="441">
        <v>5542</v>
      </c>
      <c r="B5580" s="441" t="s">
        <v>4948</v>
      </c>
      <c r="C5580" s="545">
        <v>2.5</v>
      </c>
      <c r="D5580" s="545">
        <v>1</v>
      </c>
      <c r="E5580" s="545">
        <v>1</v>
      </c>
      <c r="F5580" s="545">
        <v>2.0714285714285716</v>
      </c>
      <c r="G5580" s="545">
        <v>1.9</v>
      </c>
      <c r="H5580" s="545">
        <v>1</v>
      </c>
      <c r="I5580" s="545">
        <v>1</v>
      </c>
      <c r="J5580" s="545">
        <v>1.6428571428571428</v>
      </c>
    </row>
    <row r="5581" spans="1:10">
      <c r="A5581" s="441">
        <v>4936</v>
      </c>
      <c r="B5581" s="441" t="s">
        <v>4949</v>
      </c>
      <c r="C5581" s="545">
        <v>11.333333333333332</v>
      </c>
      <c r="D5581" s="545">
        <v>8</v>
      </c>
      <c r="E5581" s="545">
        <v>7.333333333333333</v>
      </c>
      <c r="F5581" s="545">
        <v>10.285714285714283</v>
      </c>
      <c r="G5581" s="545">
        <v>10.3</v>
      </c>
      <c r="H5581" s="545">
        <v>8.6666666666666661</v>
      </c>
      <c r="I5581" s="545">
        <v>6.333333333333333</v>
      </c>
      <c r="J5581" s="545">
        <v>9.5</v>
      </c>
    </row>
    <row r="5582" spans="1:10">
      <c r="A5582" s="441">
        <v>4939</v>
      </c>
      <c r="B5582" s="441" t="s">
        <v>4950</v>
      </c>
      <c r="C5582" s="545">
        <v>2.333333333333333</v>
      </c>
      <c r="D5582" s="545">
        <v>0</v>
      </c>
      <c r="E5582" s="545">
        <v>0</v>
      </c>
      <c r="F5582" s="545">
        <v>1.6666666666666663</v>
      </c>
      <c r="G5582" s="545">
        <v>2.15</v>
      </c>
      <c r="H5582" s="545">
        <v>0</v>
      </c>
      <c r="I5582" s="545">
        <v>0.33333333333333331</v>
      </c>
      <c r="J5582" s="545">
        <v>1.5833333333333335</v>
      </c>
    </row>
    <row r="5583" spans="1:10">
      <c r="A5583" s="441">
        <v>5543</v>
      </c>
      <c r="B5583" s="441" t="s">
        <v>4950</v>
      </c>
      <c r="C5583" s="545">
        <v>1.3333333333333333</v>
      </c>
      <c r="D5583" s="545">
        <v>0</v>
      </c>
      <c r="E5583" s="545">
        <v>0</v>
      </c>
      <c r="F5583" s="545">
        <v>0.95238095238095233</v>
      </c>
      <c r="G5583" s="545">
        <v>2.1</v>
      </c>
      <c r="H5583" s="545">
        <v>1</v>
      </c>
      <c r="I5583" s="545">
        <v>1</v>
      </c>
      <c r="J5583" s="545">
        <v>1.7857142857142858</v>
      </c>
    </row>
    <row r="5584" spans="1:10">
      <c r="A5584" s="441">
        <v>5854</v>
      </c>
      <c r="B5584" s="441" t="s">
        <v>4951</v>
      </c>
      <c r="C5584" s="545">
        <v>207.5</v>
      </c>
      <c r="D5584" s="545">
        <v>107.33333333333334</v>
      </c>
      <c r="E5584" s="545">
        <v>88</v>
      </c>
      <c r="F5584" s="545">
        <v>176.11904761904762</v>
      </c>
      <c r="G5584" s="545">
        <v>143.6</v>
      </c>
      <c r="H5584" s="545">
        <v>75.666666666666671</v>
      </c>
      <c r="I5584" s="545">
        <v>62</v>
      </c>
      <c r="J5584" s="545">
        <v>122.23809523809523</v>
      </c>
    </row>
    <row r="5585" spans="1:10">
      <c r="A5585" s="441">
        <v>5851</v>
      </c>
      <c r="B5585" s="441" t="s">
        <v>4952</v>
      </c>
      <c r="C5585" s="545">
        <v>32.333333333333336</v>
      </c>
      <c r="D5585" s="545">
        <v>48</v>
      </c>
      <c r="E5585" s="545">
        <v>29</v>
      </c>
      <c r="F5585" s="545">
        <v>34.095238095238095</v>
      </c>
      <c r="G5585" s="545">
        <v>20.05</v>
      </c>
      <c r="H5585" s="545">
        <v>13</v>
      </c>
      <c r="I5585" s="545">
        <v>6</v>
      </c>
      <c r="J5585" s="545">
        <v>17.035714285714285</v>
      </c>
    </row>
    <row r="5586" spans="1:10">
      <c r="A5586" s="441">
        <v>5852</v>
      </c>
      <c r="B5586" s="441" t="s">
        <v>4953</v>
      </c>
      <c r="C5586" s="545">
        <v>47.166666666666664</v>
      </c>
      <c r="D5586" s="545">
        <v>23.666666666666664</v>
      </c>
      <c r="E5586" s="545">
        <v>15</v>
      </c>
      <c r="F5586" s="545">
        <v>39.214285714285715</v>
      </c>
      <c r="G5586" s="545">
        <v>33.25</v>
      </c>
      <c r="H5586" s="545">
        <v>22.333333333333332</v>
      </c>
      <c r="I5586" s="545">
        <v>19.333333333333332</v>
      </c>
      <c r="J5586" s="545">
        <v>29.702380952380956</v>
      </c>
    </row>
    <row r="5587" spans="1:10">
      <c r="A5587" s="441">
        <v>10682</v>
      </c>
      <c r="B5587" s="441" t="s">
        <v>4954</v>
      </c>
      <c r="C5587" s="545">
        <v>36.166666666666664</v>
      </c>
      <c r="D5587" s="545">
        <v>34</v>
      </c>
      <c r="E5587" s="545">
        <v>20.666666666666668</v>
      </c>
      <c r="F5587" s="545">
        <v>33.642857142857139</v>
      </c>
      <c r="G5587" s="545">
        <v>29.55</v>
      </c>
      <c r="H5587" s="545">
        <v>24.333333333333332</v>
      </c>
      <c r="I5587" s="545">
        <v>20.666666666666668</v>
      </c>
      <c r="J5587" s="545">
        <v>27.535714285714285</v>
      </c>
    </row>
    <row r="5588" spans="1:10">
      <c r="A5588" s="441">
        <v>4022</v>
      </c>
      <c r="B5588" s="441" t="s">
        <v>4955</v>
      </c>
      <c r="C5588" s="545">
        <v>6.5</v>
      </c>
      <c r="D5588" s="545">
        <v>1.6666666666666665</v>
      </c>
      <c r="E5588" s="545">
        <v>0.66666666666666663</v>
      </c>
      <c r="F5588" s="545">
        <v>4.9761904761904754</v>
      </c>
      <c r="G5588" s="545">
        <v>4.45</v>
      </c>
      <c r="H5588" s="545">
        <v>0.33333333333333331</v>
      </c>
      <c r="I5588" s="545">
        <v>0</v>
      </c>
      <c r="J5588" s="545">
        <v>3.2261904761904758</v>
      </c>
    </row>
    <row r="5589" spans="1:10">
      <c r="A5589" s="441">
        <v>6793</v>
      </c>
      <c r="B5589" s="441" t="s">
        <v>4956</v>
      </c>
      <c r="C5589" s="545">
        <v>38.333333333333329</v>
      </c>
      <c r="D5589" s="545">
        <v>13.333333333333332</v>
      </c>
      <c r="E5589" s="545">
        <v>15</v>
      </c>
      <c r="F5589" s="545">
        <v>31.428571428571423</v>
      </c>
      <c r="G5589" s="545">
        <v>18.649999999999999</v>
      </c>
      <c r="H5589" s="545">
        <v>10</v>
      </c>
      <c r="I5589" s="545">
        <v>7</v>
      </c>
      <c r="J5589" s="545">
        <v>15.75</v>
      </c>
    </row>
    <row r="5590" spans="1:10">
      <c r="A5590" s="441">
        <v>5525</v>
      </c>
      <c r="B5590" s="441" t="s">
        <v>4957</v>
      </c>
      <c r="C5590" s="545">
        <v>4.666666666666667</v>
      </c>
      <c r="D5590" s="545">
        <v>4.3333333333333339</v>
      </c>
      <c r="E5590" s="545">
        <v>1</v>
      </c>
      <c r="F5590" s="545">
        <v>4.0952380952380958</v>
      </c>
      <c r="G5590" s="545">
        <v>3.15</v>
      </c>
      <c r="H5590" s="545">
        <v>3</v>
      </c>
      <c r="I5590" s="545">
        <v>2</v>
      </c>
      <c r="J5590" s="545">
        <v>2.9642857142857144</v>
      </c>
    </row>
    <row r="5591" spans="1:10">
      <c r="A5591" s="441">
        <v>5830</v>
      </c>
      <c r="B5591" s="441" t="s">
        <v>4958</v>
      </c>
      <c r="C5591" s="545">
        <v>1.5</v>
      </c>
      <c r="D5591" s="545">
        <v>1.6666666666666665</v>
      </c>
      <c r="E5591" s="545">
        <v>0.33333333333333331</v>
      </c>
      <c r="F5591" s="545">
        <v>1.3571428571428572</v>
      </c>
      <c r="G5591" s="545">
        <v>1.75</v>
      </c>
      <c r="H5591" s="545">
        <v>0.33333333333333331</v>
      </c>
      <c r="I5591" s="545">
        <v>0</v>
      </c>
      <c r="J5591" s="545">
        <v>1.2976190476190477</v>
      </c>
    </row>
    <row r="5592" spans="1:10">
      <c r="A5592" s="441">
        <v>10215</v>
      </c>
      <c r="B5592" s="441" t="s">
        <v>4959</v>
      </c>
      <c r="C5592" s="545">
        <v>19.333333333333336</v>
      </c>
      <c r="D5592" s="545">
        <v>15</v>
      </c>
      <c r="E5592" s="545">
        <v>10.333333333333332</v>
      </c>
      <c r="F5592" s="545">
        <v>17.428571428571431</v>
      </c>
      <c r="G5592" s="545">
        <v>19.3</v>
      </c>
      <c r="H5592" s="545">
        <v>19</v>
      </c>
      <c r="I5592" s="545">
        <v>16.666666666666668</v>
      </c>
      <c r="J5592" s="545">
        <v>18.88095238095238</v>
      </c>
    </row>
    <row r="5593" spans="1:10">
      <c r="A5593" s="441">
        <v>6794</v>
      </c>
      <c r="B5593" s="441" t="s">
        <v>4960</v>
      </c>
      <c r="C5593" s="545">
        <v>144.33333333333334</v>
      </c>
      <c r="D5593" s="545">
        <v>71</v>
      </c>
      <c r="E5593" s="545">
        <v>65.333333333333343</v>
      </c>
      <c r="F5593" s="545">
        <v>122.57142857142858</v>
      </c>
      <c r="G5593" s="545">
        <v>113.7</v>
      </c>
      <c r="H5593" s="545">
        <v>54.333333333333336</v>
      </c>
      <c r="I5593" s="545">
        <v>47.333333333333336</v>
      </c>
      <c r="J5593" s="545">
        <v>95.738095238095255</v>
      </c>
    </row>
    <row r="5594" spans="1:10">
      <c r="A5594" s="441">
        <v>12894</v>
      </c>
      <c r="B5594" s="441" t="s">
        <v>4961</v>
      </c>
      <c r="C5594" s="545">
        <v>7.5</v>
      </c>
      <c r="D5594" s="545">
        <v>6</v>
      </c>
      <c r="E5594" s="545">
        <v>0.66666666666666663</v>
      </c>
      <c r="F5594" s="545">
        <v>6.3095238095238093</v>
      </c>
      <c r="G5594" s="545">
        <v>3.3</v>
      </c>
      <c r="H5594" s="545">
        <v>3.3333333333333335</v>
      </c>
      <c r="I5594" s="545">
        <v>0.66666666666666663</v>
      </c>
      <c r="J5594" s="545">
        <v>2.9285714285714284</v>
      </c>
    </row>
    <row r="5595" spans="1:10">
      <c r="A5595" s="441">
        <v>4984</v>
      </c>
      <c r="B5595" s="441" t="s">
        <v>4962</v>
      </c>
      <c r="C5595" s="545">
        <v>106.16666666666667</v>
      </c>
      <c r="D5595" s="545">
        <v>89.666666666666657</v>
      </c>
      <c r="E5595" s="545">
        <v>64.333333333333329</v>
      </c>
      <c r="F5595" s="545">
        <v>97.833333333333343</v>
      </c>
      <c r="G5595" s="545">
        <v>46.85</v>
      </c>
      <c r="H5595" s="545">
        <v>38</v>
      </c>
      <c r="I5595" s="545">
        <v>37.333333333333336</v>
      </c>
      <c r="J5595" s="545">
        <v>44.226190476190474</v>
      </c>
    </row>
    <row r="5596" spans="1:10">
      <c r="A5596" s="441">
        <v>12102</v>
      </c>
      <c r="B5596" s="441" t="s">
        <v>4963</v>
      </c>
      <c r="C5596" s="545">
        <v>14.333333333333334</v>
      </c>
      <c r="D5596" s="545">
        <v>10.666666666666668</v>
      </c>
      <c r="E5596" s="545">
        <v>18.666666666666664</v>
      </c>
      <c r="F5596" s="545">
        <v>14.428571428571429</v>
      </c>
      <c r="G5596" s="545">
        <v>14.35</v>
      </c>
      <c r="H5596" s="545">
        <v>7.666666666666667</v>
      </c>
      <c r="I5596" s="545">
        <v>6</v>
      </c>
      <c r="J5596" s="545">
        <v>12.202380952380953</v>
      </c>
    </row>
    <row r="5597" spans="1:10">
      <c r="A5597" s="441">
        <v>5853</v>
      </c>
      <c r="B5597" s="441" t="s">
        <v>4964</v>
      </c>
      <c r="C5597" s="545">
        <v>24.5</v>
      </c>
      <c r="D5597" s="545">
        <v>15.666666666666668</v>
      </c>
      <c r="E5597" s="545">
        <v>6.333333333333333</v>
      </c>
      <c r="F5597" s="545">
        <v>20.642857142857142</v>
      </c>
      <c r="G5597" s="545">
        <v>19.850000000000001</v>
      </c>
      <c r="H5597" s="545">
        <v>9</v>
      </c>
      <c r="I5597" s="545">
        <v>8.3333333333333339</v>
      </c>
      <c r="J5597" s="545">
        <v>16.654761904761905</v>
      </c>
    </row>
    <row r="5598" spans="1:10">
      <c r="A5598" s="441">
        <v>6795</v>
      </c>
      <c r="B5598" s="441" t="s">
        <v>4964</v>
      </c>
      <c r="C5598" s="545">
        <v>19.333333333333332</v>
      </c>
      <c r="D5598" s="545">
        <v>19.666666666666664</v>
      </c>
      <c r="E5598" s="545">
        <v>15.666666666666668</v>
      </c>
      <c r="F5598" s="545">
        <v>18.857142857142854</v>
      </c>
      <c r="G5598" s="545">
        <v>18.05</v>
      </c>
      <c r="H5598" s="545">
        <v>20.666666666666668</v>
      </c>
      <c r="I5598" s="545">
        <v>8.3333333333333339</v>
      </c>
      <c r="J5598" s="545">
        <v>17.035714285714285</v>
      </c>
    </row>
    <row r="5599" spans="1:10">
      <c r="A5599" s="441">
        <v>11435</v>
      </c>
      <c r="B5599" s="441" t="s">
        <v>4965</v>
      </c>
      <c r="C5599" s="545">
        <v>63.833333333333336</v>
      </c>
      <c r="D5599" s="545">
        <v>55.666666666666664</v>
      </c>
      <c r="E5599" s="545">
        <v>41</v>
      </c>
      <c r="F5599" s="545">
        <v>59.404761904761912</v>
      </c>
      <c r="G5599" s="545">
        <v>37.6</v>
      </c>
      <c r="H5599" s="545">
        <v>32.333333333333336</v>
      </c>
      <c r="I5599" s="545">
        <v>23.666666666666668</v>
      </c>
      <c r="J5599" s="545">
        <v>34.857142857142854</v>
      </c>
    </row>
    <row r="5600" spans="1:10">
      <c r="A5600" s="441">
        <v>12892</v>
      </c>
      <c r="B5600" s="441" t="s">
        <v>4966</v>
      </c>
      <c r="C5600" s="545">
        <v>1.1666666666666665</v>
      </c>
      <c r="D5600" s="545">
        <v>1.3333333333333333</v>
      </c>
      <c r="E5600" s="545">
        <v>1.6666666666666665</v>
      </c>
      <c r="F5600" s="545">
        <v>1.2619047619047616</v>
      </c>
      <c r="G5600" s="545">
        <v>1.2</v>
      </c>
      <c r="H5600" s="545">
        <v>1.6666666666666667</v>
      </c>
      <c r="I5600" s="545">
        <v>0.66666666666666663</v>
      </c>
      <c r="J5600" s="545">
        <v>1.1904761904761905</v>
      </c>
    </row>
    <row r="5601" spans="1:10">
      <c r="A5601" s="441">
        <v>12893</v>
      </c>
      <c r="B5601" s="441" t="s">
        <v>4966</v>
      </c>
      <c r="C5601" s="545">
        <v>5.166666666666667</v>
      </c>
      <c r="D5601" s="545">
        <v>6</v>
      </c>
      <c r="E5601" s="545">
        <v>4.333333333333333</v>
      </c>
      <c r="F5601" s="545">
        <v>5.166666666666667</v>
      </c>
      <c r="G5601" s="545">
        <v>4.55</v>
      </c>
      <c r="H5601" s="545">
        <v>4.666666666666667</v>
      </c>
      <c r="I5601" s="545">
        <v>1.3333333333333333</v>
      </c>
      <c r="J5601" s="545">
        <v>4.1071428571428568</v>
      </c>
    </row>
    <row r="5602" spans="1:10">
      <c r="A5602" s="441">
        <v>5527</v>
      </c>
      <c r="B5602" s="441" t="s">
        <v>4967</v>
      </c>
      <c r="C5602" s="545">
        <v>23.166666666666668</v>
      </c>
      <c r="D5602" s="545">
        <v>14.666666666666666</v>
      </c>
      <c r="E5602" s="545">
        <v>17</v>
      </c>
      <c r="F5602" s="545">
        <v>21.071428571428573</v>
      </c>
      <c r="G5602" s="545">
        <v>20.6</v>
      </c>
      <c r="H5602" s="545">
        <v>20</v>
      </c>
      <c r="I5602" s="545">
        <v>15</v>
      </c>
      <c r="J5602" s="545">
        <v>19.714285714285715</v>
      </c>
    </row>
    <row r="5603" spans="1:10">
      <c r="A5603" s="441">
        <v>5526</v>
      </c>
      <c r="B5603" s="441" t="s">
        <v>4968</v>
      </c>
      <c r="C5603" s="545">
        <v>7.666666666666667</v>
      </c>
      <c r="D5603" s="545">
        <v>3</v>
      </c>
      <c r="E5603" s="545">
        <v>3</v>
      </c>
      <c r="F5603" s="545">
        <v>6.3333333333333339</v>
      </c>
      <c r="G5603" s="545">
        <v>3.7</v>
      </c>
      <c r="H5603" s="545">
        <v>2.3333333333333335</v>
      </c>
      <c r="I5603" s="545">
        <v>0.33333333333333331</v>
      </c>
      <c r="J5603" s="545">
        <v>3.0238095238095233</v>
      </c>
    </row>
    <row r="5604" spans="1:10">
      <c r="A5604" s="441">
        <v>5850</v>
      </c>
      <c r="B5604" s="441" t="s">
        <v>4969</v>
      </c>
      <c r="C5604" s="545">
        <v>79.666666666666657</v>
      </c>
      <c r="D5604" s="545">
        <v>71</v>
      </c>
      <c r="E5604" s="545">
        <v>60.333333333333329</v>
      </c>
      <c r="F5604" s="545">
        <v>75.666666666666657</v>
      </c>
      <c r="G5604" s="545">
        <v>58.25</v>
      </c>
      <c r="H5604" s="545">
        <v>45.333333333333336</v>
      </c>
      <c r="I5604" s="545">
        <v>43</v>
      </c>
      <c r="J5604" s="545">
        <v>54.226190476190474</v>
      </c>
    </row>
    <row r="5605" spans="1:10">
      <c r="A5605" s="441">
        <v>13108</v>
      </c>
      <c r="B5605" s="441" t="s">
        <v>4969</v>
      </c>
      <c r="C5605" s="545" t="e">
        <v>#N/A</v>
      </c>
      <c r="D5605" s="545" t="e">
        <v>#N/A</v>
      </c>
      <c r="E5605" s="545" t="e">
        <v>#N/A</v>
      </c>
      <c r="F5605" s="545" t="e">
        <v>#N/A</v>
      </c>
      <c r="G5605" s="545">
        <v>31.15</v>
      </c>
      <c r="H5605" s="545">
        <v>37.333333333333336</v>
      </c>
      <c r="I5605" s="545">
        <v>14</v>
      </c>
      <c r="J5605" s="545">
        <v>29.583333333333336</v>
      </c>
    </row>
    <row r="5606" spans="1:10">
      <c r="A5606" s="441">
        <v>83</v>
      </c>
      <c r="B5606" s="441" t="s">
        <v>4970</v>
      </c>
      <c r="C5606" s="545">
        <v>2697.3333333333335</v>
      </c>
      <c r="D5606" s="545">
        <v>1555.3333333333335</v>
      </c>
      <c r="E5606" s="545">
        <v>1299.6666666666665</v>
      </c>
      <c r="F5606" s="545">
        <v>2334.5238095238096</v>
      </c>
      <c r="G5606" s="545">
        <v>1998.25</v>
      </c>
      <c r="H5606" s="545">
        <v>991.33333333333337</v>
      </c>
      <c r="I5606" s="545">
        <v>882.66666666666663</v>
      </c>
      <c r="J5606" s="545">
        <v>1695.0357142857142</v>
      </c>
    </row>
    <row r="5607" spans="1:10">
      <c r="A5607" s="441">
        <v>4025</v>
      </c>
      <c r="B5607" s="441" t="s">
        <v>4971</v>
      </c>
      <c r="C5607" s="545">
        <v>85.666666666666671</v>
      </c>
      <c r="D5607" s="545">
        <v>51.666666666666664</v>
      </c>
      <c r="E5607" s="545">
        <v>45.333333333333336</v>
      </c>
      <c r="F5607" s="545">
        <v>75.047619047619051</v>
      </c>
      <c r="G5607" s="545">
        <v>25.8</v>
      </c>
      <c r="H5607" s="545">
        <v>24</v>
      </c>
      <c r="I5607" s="545">
        <v>15.666666666666666</v>
      </c>
      <c r="J5607" s="545">
        <v>24.095238095238095</v>
      </c>
    </row>
    <row r="5608" spans="1:10">
      <c r="A5608" s="441">
        <v>4029</v>
      </c>
      <c r="B5608" s="441" t="s">
        <v>4971</v>
      </c>
      <c r="C5608" s="545">
        <v>71.666666666666671</v>
      </c>
      <c r="D5608" s="545">
        <v>49.333333333333329</v>
      </c>
      <c r="E5608" s="545">
        <v>39.666666666666664</v>
      </c>
      <c r="F5608" s="545">
        <v>63.904761904761912</v>
      </c>
      <c r="G5608" s="545">
        <v>24.75</v>
      </c>
      <c r="H5608" s="545">
        <v>19</v>
      </c>
      <c r="I5608" s="545">
        <v>11</v>
      </c>
      <c r="J5608" s="545">
        <v>21.964285714285715</v>
      </c>
    </row>
    <row r="5609" spans="1:10">
      <c r="A5609" s="441">
        <v>4027</v>
      </c>
      <c r="B5609" s="441" t="s">
        <v>4972</v>
      </c>
      <c r="C5609" s="545">
        <v>10</v>
      </c>
      <c r="D5609" s="545">
        <v>6</v>
      </c>
      <c r="E5609" s="545">
        <v>2.3333333333333335</v>
      </c>
      <c r="F5609" s="545">
        <v>8.3333333333333339</v>
      </c>
      <c r="G5609" s="545">
        <v>6.8947368421052628</v>
      </c>
      <c r="H5609" s="545">
        <v>5</v>
      </c>
      <c r="I5609" s="545">
        <v>3.3333333333333335</v>
      </c>
      <c r="J5609" s="545">
        <v>6.1152882205513786</v>
      </c>
    </row>
    <row r="5610" spans="1:10">
      <c r="A5610" s="441">
        <v>4026</v>
      </c>
      <c r="B5610" s="441" t="s">
        <v>4973</v>
      </c>
      <c r="C5610" s="545">
        <v>42</v>
      </c>
      <c r="D5610" s="545">
        <v>31</v>
      </c>
      <c r="E5610" s="545">
        <v>28.666666666666664</v>
      </c>
      <c r="F5610" s="545">
        <v>38.523809523809526</v>
      </c>
      <c r="G5610" s="545">
        <v>26.25</v>
      </c>
      <c r="H5610" s="545">
        <v>14.333333333333334</v>
      </c>
      <c r="I5610" s="545">
        <v>13</v>
      </c>
      <c r="J5610" s="545">
        <v>22.654761904761905</v>
      </c>
    </row>
    <row r="5611" spans="1:10">
      <c r="A5611" s="441">
        <v>4028</v>
      </c>
      <c r="B5611" s="441" t="s">
        <v>4973</v>
      </c>
      <c r="C5611" s="545">
        <v>44.5</v>
      </c>
      <c r="D5611" s="545">
        <v>23.666666666666664</v>
      </c>
      <c r="E5611" s="545">
        <v>20</v>
      </c>
      <c r="F5611" s="545">
        <v>38.023809523809518</v>
      </c>
      <c r="G5611" s="545">
        <v>27.1</v>
      </c>
      <c r="H5611" s="545">
        <v>37</v>
      </c>
      <c r="I5611" s="545">
        <v>15.333333333333334</v>
      </c>
      <c r="J5611" s="545">
        <v>26.833333333333336</v>
      </c>
    </row>
    <row r="5612" spans="1:10">
      <c r="A5612" s="441">
        <v>4011</v>
      </c>
      <c r="B5612" s="441" t="s">
        <v>4974</v>
      </c>
      <c r="C5612" s="545">
        <v>13.5</v>
      </c>
      <c r="D5612" s="545">
        <v>9.3333333333333321</v>
      </c>
      <c r="E5612" s="545">
        <v>11.333333333333334</v>
      </c>
      <c r="F5612" s="545">
        <v>12.595238095238093</v>
      </c>
      <c r="G5612" s="545">
        <v>13.65</v>
      </c>
      <c r="H5612" s="545">
        <v>11.333333333333334</v>
      </c>
      <c r="I5612" s="545">
        <v>7.666666666666667</v>
      </c>
      <c r="J5612" s="545">
        <v>12.464285714285714</v>
      </c>
    </row>
    <row r="5613" spans="1:10">
      <c r="A5613" s="441">
        <v>4013</v>
      </c>
      <c r="B5613" s="441" t="s">
        <v>4974</v>
      </c>
      <c r="C5613" s="545">
        <v>22.833333333333332</v>
      </c>
      <c r="D5613" s="545">
        <v>15.333333333333334</v>
      </c>
      <c r="E5613" s="545">
        <v>16.333333333333332</v>
      </c>
      <c r="F5613" s="545">
        <v>20.833333333333336</v>
      </c>
      <c r="G5613" s="545">
        <v>17.649999999999999</v>
      </c>
      <c r="H5613" s="545">
        <v>14.666666666666666</v>
      </c>
      <c r="I5613" s="545">
        <v>26.333333333333332</v>
      </c>
      <c r="J5613" s="545">
        <v>18.464285714285715</v>
      </c>
    </row>
    <row r="5614" spans="1:10">
      <c r="A5614" s="441">
        <v>4012</v>
      </c>
      <c r="B5614" s="441" t="s">
        <v>4975</v>
      </c>
      <c r="C5614" s="545">
        <v>46</v>
      </c>
      <c r="D5614" s="545">
        <v>23.666666666666664</v>
      </c>
      <c r="E5614" s="545">
        <v>23</v>
      </c>
      <c r="F5614" s="545">
        <v>39.523809523809518</v>
      </c>
      <c r="G5614" s="545">
        <v>31.75</v>
      </c>
      <c r="H5614" s="545">
        <v>22.333333333333332</v>
      </c>
      <c r="I5614" s="545">
        <v>19</v>
      </c>
      <c r="J5614" s="545">
        <v>28.583333333333336</v>
      </c>
    </row>
    <row r="5615" spans="1:10">
      <c r="A5615" s="441">
        <v>5813</v>
      </c>
      <c r="B5615" s="441" t="s">
        <v>4976</v>
      </c>
      <c r="C5615" s="545">
        <v>16.166666666666668</v>
      </c>
      <c r="D5615" s="545">
        <v>11.666666666666666</v>
      </c>
      <c r="E5615" s="545">
        <v>10.666666666666666</v>
      </c>
      <c r="F5615" s="545">
        <v>14.738095238095241</v>
      </c>
      <c r="G5615" s="545">
        <v>6.4</v>
      </c>
      <c r="H5615" s="545">
        <v>5.333333333333333</v>
      </c>
      <c r="I5615" s="545">
        <v>4</v>
      </c>
      <c r="J5615" s="545">
        <v>5.9047619047619051</v>
      </c>
    </row>
    <row r="5616" spans="1:10">
      <c r="A5616" s="441">
        <v>5848</v>
      </c>
      <c r="B5616" s="441" t="s">
        <v>4976</v>
      </c>
      <c r="C5616" s="545">
        <v>0.33333333333333331</v>
      </c>
      <c r="D5616" s="545">
        <v>0.33333333333333331</v>
      </c>
      <c r="E5616" s="545">
        <v>0.33333333333333331</v>
      </c>
      <c r="F5616" s="545">
        <v>0.33333333333333331</v>
      </c>
      <c r="G5616" s="545">
        <v>0.15</v>
      </c>
      <c r="H5616" s="545">
        <v>0.66666666666666663</v>
      </c>
      <c r="I5616" s="545">
        <v>0</v>
      </c>
      <c r="J5616" s="545">
        <v>0.20238095238095236</v>
      </c>
    </row>
    <row r="5617" spans="1:10">
      <c r="A5617" s="441">
        <v>5815</v>
      </c>
      <c r="B5617" s="441" t="s">
        <v>4977</v>
      </c>
      <c r="C5617" s="545">
        <v>1</v>
      </c>
      <c r="D5617" s="545">
        <v>0</v>
      </c>
      <c r="E5617" s="545">
        <v>0</v>
      </c>
      <c r="F5617" s="545">
        <v>0.7142857142857143</v>
      </c>
      <c r="G5617" s="545">
        <v>2.75</v>
      </c>
      <c r="H5617" s="545">
        <v>1</v>
      </c>
      <c r="I5617" s="545">
        <v>0.33333333333333331</v>
      </c>
      <c r="J5617" s="545">
        <v>2.1547619047619047</v>
      </c>
    </row>
    <row r="5618" spans="1:10">
      <c r="A5618" s="441">
        <v>5531</v>
      </c>
      <c r="B5618" s="441" t="s">
        <v>4978</v>
      </c>
      <c r="C5618" s="545">
        <v>4.833333333333333</v>
      </c>
      <c r="D5618" s="545">
        <v>3.6666666666666665</v>
      </c>
      <c r="E5618" s="545">
        <v>5.333333333333333</v>
      </c>
      <c r="F5618" s="545">
        <v>4.7380952380952381</v>
      </c>
      <c r="G5618" s="545">
        <v>3.25</v>
      </c>
      <c r="H5618" s="545">
        <v>3</v>
      </c>
      <c r="I5618" s="545">
        <v>2</v>
      </c>
      <c r="J5618" s="545">
        <v>3.0357142857142856</v>
      </c>
    </row>
    <row r="5619" spans="1:10">
      <c r="A5619" s="441">
        <v>5536</v>
      </c>
      <c r="B5619" s="441" t="s">
        <v>4978</v>
      </c>
      <c r="C5619" s="545">
        <v>5.3333333333333339</v>
      </c>
      <c r="D5619" s="545">
        <v>6</v>
      </c>
      <c r="E5619" s="545">
        <v>3</v>
      </c>
      <c r="F5619" s="545">
        <v>5.0952380952380958</v>
      </c>
      <c r="G5619" s="545">
        <v>5.0999999999999996</v>
      </c>
      <c r="H5619" s="545">
        <v>1.6666666666666667</v>
      </c>
      <c r="I5619" s="545">
        <v>2.3333333333333335</v>
      </c>
      <c r="J5619" s="545">
        <v>4.2142857142857144</v>
      </c>
    </row>
    <row r="5620" spans="1:10">
      <c r="A5620" s="441">
        <v>5849</v>
      </c>
      <c r="B5620" s="441" t="s">
        <v>4979</v>
      </c>
      <c r="C5620" s="545">
        <v>22.333333333333332</v>
      </c>
      <c r="D5620" s="545">
        <v>17.666666666666664</v>
      </c>
      <c r="E5620" s="545">
        <v>9.6666666666666661</v>
      </c>
      <c r="F5620" s="545">
        <v>19.857142857142854</v>
      </c>
      <c r="G5620" s="545">
        <v>12.6</v>
      </c>
      <c r="H5620" s="545">
        <v>7.666666666666667</v>
      </c>
      <c r="I5620" s="545">
        <v>6</v>
      </c>
      <c r="J5620" s="545">
        <v>10.952380952380953</v>
      </c>
    </row>
    <row r="5621" spans="1:10">
      <c r="A5621" s="441">
        <v>5528</v>
      </c>
      <c r="B5621" s="441" t="s">
        <v>4980</v>
      </c>
      <c r="C5621" s="545">
        <v>11.666666666666668</v>
      </c>
      <c r="D5621" s="545">
        <v>5.666666666666667</v>
      </c>
      <c r="E5621" s="545">
        <v>5.6666666666666661</v>
      </c>
      <c r="F5621" s="545">
        <v>9.9523809523809543</v>
      </c>
      <c r="G5621" s="545">
        <v>3.25</v>
      </c>
      <c r="H5621" s="545">
        <v>2</v>
      </c>
      <c r="I5621" s="545">
        <v>0</v>
      </c>
      <c r="J5621" s="545">
        <v>2.6071428571428572</v>
      </c>
    </row>
    <row r="5622" spans="1:10">
      <c r="A5622" s="441">
        <v>5529</v>
      </c>
      <c r="B5622" s="441" t="s">
        <v>4980</v>
      </c>
      <c r="C5622" s="545">
        <v>11.166666666666668</v>
      </c>
      <c r="D5622" s="545">
        <v>2</v>
      </c>
      <c r="E5622" s="545">
        <v>3</v>
      </c>
      <c r="F5622" s="545">
        <v>8.6904761904761916</v>
      </c>
      <c r="G5622" s="545">
        <v>7</v>
      </c>
      <c r="H5622" s="545">
        <v>5</v>
      </c>
      <c r="I5622" s="545">
        <v>5</v>
      </c>
      <c r="J5622" s="545">
        <v>6.4285714285714288</v>
      </c>
    </row>
    <row r="5623" spans="1:10">
      <c r="A5623" s="441">
        <v>5537</v>
      </c>
      <c r="B5623" s="441" t="s">
        <v>4981</v>
      </c>
      <c r="C5623" s="545">
        <v>3</v>
      </c>
      <c r="D5623" s="545">
        <v>2</v>
      </c>
      <c r="E5623" s="545">
        <v>1.3333333333333333</v>
      </c>
      <c r="F5623" s="545">
        <v>2.6190476190476191</v>
      </c>
      <c r="G5623" s="545">
        <v>3.4</v>
      </c>
      <c r="H5623" s="545">
        <v>1.6666666666666667</v>
      </c>
      <c r="I5623" s="545">
        <v>2.6666666666666665</v>
      </c>
      <c r="J5623" s="545">
        <v>3.0476190476190479</v>
      </c>
    </row>
    <row r="5624" spans="1:10">
      <c r="A5624" s="441">
        <v>5538</v>
      </c>
      <c r="B5624" s="441" t="s">
        <v>4981</v>
      </c>
      <c r="C5624" s="545">
        <v>8.8333333333333339</v>
      </c>
      <c r="D5624" s="545">
        <v>6.666666666666667</v>
      </c>
      <c r="E5624" s="545">
        <v>3.666666666666667</v>
      </c>
      <c r="F5624" s="545">
        <v>7.7857142857142856</v>
      </c>
      <c r="G5624" s="545">
        <v>7.75</v>
      </c>
      <c r="H5624" s="545">
        <v>3.3333333333333335</v>
      </c>
      <c r="I5624" s="545">
        <v>5</v>
      </c>
      <c r="J5624" s="545">
        <v>6.7261904761904763</v>
      </c>
    </row>
    <row r="5625" spans="1:10">
      <c r="A5625" s="441">
        <v>5539</v>
      </c>
      <c r="B5625" s="441" t="s">
        <v>4981</v>
      </c>
      <c r="C5625" s="545">
        <v>13.833333333333334</v>
      </c>
      <c r="D5625" s="545">
        <v>8.3333333333333339</v>
      </c>
      <c r="E5625" s="545">
        <v>2.666666666666667</v>
      </c>
      <c r="F5625" s="545">
        <v>11.452380952380953</v>
      </c>
      <c r="G5625" s="545">
        <v>5.85</v>
      </c>
      <c r="H5625" s="545">
        <v>1.3333333333333333</v>
      </c>
      <c r="I5625" s="545">
        <v>1</v>
      </c>
      <c r="J5625" s="545">
        <v>4.5119047619047619</v>
      </c>
    </row>
    <row r="5626" spans="1:10">
      <c r="A5626" s="441">
        <v>5533</v>
      </c>
      <c r="B5626" s="441" t="s">
        <v>4982</v>
      </c>
      <c r="C5626" s="545">
        <v>6</v>
      </c>
      <c r="D5626" s="545">
        <v>2.3333333333333335</v>
      </c>
      <c r="E5626" s="545">
        <v>2.6666666666666665</v>
      </c>
      <c r="F5626" s="545">
        <v>5</v>
      </c>
      <c r="G5626" s="545">
        <v>7.8</v>
      </c>
      <c r="H5626" s="545">
        <v>2.6666666666666665</v>
      </c>
      <c r="I5626" s="545">
        <v>8</v>
      </c>
      <c r="J5626" s="545">
        <v>7.0952380952380949</v>
      </c>
    </row>
    <row r="5627" spans="1:10">
      <c r="A5627" s="441">
        <v>5534</v>
      </c>
      <c r="B5627" s="441" t="s">
        <v>4982</v>
      </c>
      <c r="C5627" s="545">
        <v>11.666666666666666</v>
      </c>
      <c r="D5627" s="545">
        <v>6.333333333333333</v>
      </c>
      <c r="E5627" s="545">
        <v>5.3333333333333339</v>
      </c>
      <c r="F5627" s="545">
        <v>9.9999999999999982</v>
      </c>
      <c r="G5627" s="545">
        <v>9.5</v>
      </c>
      <c r="H5627" s="545">
        <v>7</v>
      </c>
      <c r="I5627" s="545">
        <v>3.6666666666666665</v>
      </c>
      <c r="J5627" s="545">
        <v>8.3095238095238084</v>
      </c>
    </row>
    <row r="5628" spans="1:10">
      <c r="A5628" s="441">
        <v>5814</v>
      </c>
      <c r="B5628" s="441" t="s">
        <v>4983</v>
      </c>
      <c r="C5628" s="545">
        <v>0</v>
      </c>
      <c r="D5628" s="545">
        <v>0</v>
      </c>
      <c r="E5628" s="545">
        <v>0</v>
      </c>
      <c r="F5628" s="545">
        <v>0</v>
      </c>
      <c r="G5628" s="545">
        <v>0.35</v>
      </c>
      <c r="H5628" s="545">
        <v>0.33333333333333331</v>
      </c>
      <c r="I5628" s="545">
        <v>0</v>
      </c>
      <c r="J5628" s="545">
        <v>0.29761904761904762</v>
      </c>
    </row>
    <row r="5629" spans="1:10">
      <c r="A5629" s="441">
        <v>5847</v>
      </c>
      <c r="B5629" s="441" t="s">
        <v>4983</v>
      </c>
      <c r="C5629" s="545">
        <v>1.3333333333333335</v>
      </c>
      <c r="D5629" s="545">
        <v>0</v>
      </c>
      <c r="E5629" s="545">
        <v>1</v>
      </c>
      <c r="F5629" s="545">
        <v>1.0952380952380953</v>
      </c>
      <c r="G5629" s="545">
        <v>0.6</v>
      </c>
      <c r="H5629" s="545">
        <v>0</v>
      </c>
      <c r="I5629" s="545">
        <v>0.33333333333333331</v>
      </c>
      <c r="J5629" s="545">
        <v>0.47619047619047622</v>
      </c>
    </row>
    <row r="5630" spans="1:10">
      <c r="A5630" s="441">
        <v>5532</v>
      </c>
      <c r="B5630" s="441" t="s">
        <v>4984</v>
      </c>
      <c r="C5630" s="545">
        <v>3.5</v>
      </c>
      <c r="D5630" s="545">
        <v>0.66666666666666663</v>
      </c>
      <c r="E5630" s="545">
        <v>1</v>
      </c>
      <c r="F5630" s="545">
        <v>2.7380952380952381</v>
      </c>
      <c r="G5630" s="545">
        <v>1.65</v>
      </c>
      <c r="H5630" s="545">
        <v>2</v>
      </c>
      <c r="I5630" s="545">
        <v>1.6666666666666667</v>
      </c>
      <c r="J5630" s="545">
        <v>1.7023809523809523</v>
      </c>
    </row>
    <row r="5631" spans="1:10">
      <c r="A5631" s="441">
        <v>5535</v>
      </c>
      <c r="B5631" s="441" t="s">
        <v>4984</v>
      </c>
      <c r="C5631" s="545">
        <v>3.3333333333333335</v>
      </c>
      <c r="D5631" s="545">
        <v>0.33333333333333331</v>
      </c>
      <c r="E5631" s="545">
        <v>1</v>
      </c>
      <c r="F5631" s="545">
        <v>2.5714285714285716</v>
      </c>
      <c r="G5631" s="545">
        <v>1.1499999999999999</v>
      </c>
      <c r="H5631" s="545">
        <v>1.3333333333333333</v>
      </c>
      <c r="I5631" s="545">
        <v>2</v>
      </c>
      <c r="J5631" s="545">
        <v>1.2976190476190474</v>
      </c>
    </row>
    <row r="5632" spans="1:10">
      <c r="A5632" s="441">
        <v>5530</v>
      </c>
      <c r="B5632" s="441" t="s">
        <v>4985</v>
      </c>
      <c r="C5632" s="545">
        <v>7.6666666666666661</v>
      </c>
      <c r="D5632" s="545">
        <v>7.3333333333333339</v>
      </c>
      <c r="E5632" s="545">
        <v>1.6666666666666665</v>
      </c>
      <c r="F5632" s="545">
        <v>6.761904761904761</v>
      </c>
      <c r="G5632" s="545">
        <v>5.05</v>
      </c>
      <c r="H5632" s="545">
        <v>2</v>
      </c>
      <c r="I5632" s="545">
        <v>2.6666666666666665</v>
      </c>
      <c r="J5632" s="545">
        <v>4.2738095238095237</v>
      </c>
    </row>
    <row r="5633" spans="1:10">
      <c r="A5633" s="441">
        <v>10585</v>
      </c>
      <c r="B5633" s="441" t="s">
        <v>4986</v>
      </c>
      <c r="C5633" s="545">
        <v>3460.333333333333</v>
      </c>
      <c r="D5633" s="545">
        <v>2254.3333333333335</v>
      </c>
      <c r="E5633" s="545">
        <v>1961.6666666666665</v>
      </c>
      <c r="F5633" s="545">
        <v>3073.9523809523807</v>
      </c>
      <c r="G5633" s="545">
        <v>1595.45</v>
      </c>
      <c r="H5633" s="545">
        <v>1234.3333333333333</v>
      </c>
      <c r="I5633" s="545">
        <v>1090.3333333333333</v>
      </c>
      <c r="J5633" s="545">
        <v>1471.7023809523812</v>
      </c>
    </row>
    <row r="5634" spans="1:10">
      <c r="A5634" s="441">
        <v>4015</v>
      </c>
      <c r="B5634" s="441" t="s">
        <v>4987</v>
      </c>
      <c r="C5634" s="545">
        <v>43</v>
      </c>
      <c r="D5634" s="545">
        <v>27</v>
      </c>
      <c r="E5634" s="545">
        <v>21.333333333333332</v>
      </c>
      <c r="F5634" s="545">
        <v>37.619047619047613</v>
      </c>
      <c r="G5634" s="545">
        <v>30.05</v>
      </c>
      <c r="H5634" s="545">
        <v>12.666666666666666</v>
      </c>
      <c r="I5634" s="545">
        <v>9</v>
      </c>
      <c r="J5634" s="545">
        <v>24.559523809523807</v>
      </c>
    </row>
    <row r="5635" spans="1:10">
      <c r="A5635" s="441">
        <v>95</v>
      </c>
      <c r="B5635" s="441" t="s">
        <v>4988</v>
      </c>
      <c r="C5635" s="545">
        <v>2125.666666666667</v>
      </c>
      <c r="D5635" s="545">
        <v>0</v>
      </c>
      <c r="E5635" s="545">
        <v>0</v>
      </c>
      <c r="F5635" s="545">
        <v>1518.3333333333337</v>
      </c>
      <c r="G5635" s="545">
        <v>644.85</v>
      </c>
      <c r="H5635" s="545"/>
      <c r="I5635" s="545"/>
      <c r="J5635" s="545">
        <v>460.60714285714283</v>
      </c>
    </row>
    <row r="5636" spans="1:10">
      <c r="A5636" s="441">
        <v>13170</v>
      </c>
      <c r="B5636" s="441" t="s">
        <v>4989</v>
      </c>
      <c r="C5636" s="545" t="e">
        <v>#N/A</v>
      </c>
      <c r="D5636" s="545" t="e">
        <v>#N/A</v>
      </c>
      <c r="E5636" s="545" t="e">
        <v>#N/A</v>
      </c>
      <c r="F5636" s="545" t="e">
        <v>#N/A</v>
      </c>
      <c r="G5636" s="545">
        <v>1546.7</v>
      </c>
      <c r="H5636" s="545">
        <v>976.66666666666663</v>
      </c>
      <c r="I5636" s="545">
        <v>961</v>
      </c>
      <c r="J5636" s="545">
        <v>1381.5952380952381</v>
      </c>
    </row>
    <row r="5637" spans="1:10">
      <c r="A5637" s="441">
        <v>79</v>
      </c>
      <c r="B5637" s="441" t="s">
        <v>4990</v>
      </c>
      <c r="C5637" s="545" t="e">
        <v>#N/A</v>
      </c>
      <c r="D5637" s="545" t="e">
        <v>#N/A</v>
      </c>
      <c r="E5637" s="545" t="e">
        <v>#N/A</v>
      </c>
      <c r="F5637" s="545" t="e">
        <v>#N/A</v>
      </c>
      <c r="G5637" s="545">
        <v>1660.05</v>
      </c>
      <c r="H5637" s="545">
        <v>834</v>
      </c>
      <c r="I5637" s="545">
        <v>817.33333333333337</v>
      </c>
      <c r="J5637" s="545">
        <v>1421.6547619047619</v>
      </c>
    </row>
    <row r="5638" spans="1:10">
      <c r="A5638" s="441">
        <v>13162</v>
      </c>
      <c r="B5638" s="441" t="s">
        <v>4991</v>
      </c>
      <c r="C5638" s="545">
        <v>1825.3333333333335</v>
      </c>
      <c r="D5638" s="545">
        <v>774</v>
      </c>
      <c r="E5638" s="545">
        <v>711.66666666666663</v>
      </c>
      <c r="F5638" s="545">
        <v>1516.047619047619</v>
      </c>
      <c r="G5638" s="545">
        <v>140.55000000000001</v>
      </c>
      <c r="H5638" s="545"/>
      <c r="I5638" s="545"/>
      <c r="J5638" s="545">
        <v>100.39285714285714</v>
      </c>
    </row>
    <row r="5639" spans="1:10">
      <c r="A5639" s="441">
        <v>1369</v>
      </c>
      <c r="B5639" s="441" t="s">
        <v>4992</v>
      </c>
      <c r="C5639" s="545">
        <v>8.3333333333333339</v>
      </c>
      <c r="D5639" s="545">
        <v>6.3333333333333339</v>
      </c>
      <c r="E5639" s="545">
        <v>1</v>
      </c>
      <c r="F5639" s="545">
        <v>7.0000000000000009</v>
      </c>
      <c r="G5639" s="545">
        <v>1.1000000000000001</v>
      </c>
      <c r="H5639" s="545">
        <v>1.3333333333333333</v>
      </c>
      <c r="I5639" s="545">
        <v>0</v>
      </c>
      <c r="J5639" s="545">
        <v>0.97619047619047616</v>
      </c>
    </row>
    <row r="5640" spans="1:10">
      <c r="A5640" s="441">
        <v>199</v>
      </c>
      <c r="B5640" s="441" t="s">
        <v>4993</v>
      </c>
      <c r="C5640" s="545">
        <v>0.5</v>
      </c>
      <c r="D5640" s="545">
        <v>0</v>
      </c>
      <c r="E5640" s="545">
        <v>1.6666666666666667</v>
      </c>
      <c r="F5640" s="545">
        <v>0.59523809523809523</v>
      </c>
      <c r="G5640" s="545">
        <v>0.3</v>
      </c>
      <c r="H5640" s="545">
        <v>0</v>
      </c>
      <c r="I5640" s="545">
        <v>0.66666666666666663</v>
      </c>
      <c r="J5640" s="545">
        <v>0.30952380952380948</v>
      </c>
    </row>
    <row r="5641" spans="1:10">
      <c r="A5641" s="441">
        <v>206</v>
      </c>
      <c r="B5641" s="441" t="s">
        <v>4993</v>
      </c>
      <c r="C5641" s="545">
        <v>0.33333333333333331</v>
      </c>
      <c r="D5641" s="545">
        <v>0</v>
      </c>
      <c r="E5641" s="545">
        <v>1.3333333333333333</v>
      </c>
      <c r="F5641" s="545">
        <v>0.42857142857142855</v>
      </c>
      <c r="G5641" s="545">
        <v>0.1</v>
      </c>
      <c r="H5641" s="545">
        <v>0</v>
      </c>
      <c r="I5641" s="545">
        <v>0.66666666666666663</v>
      </c>
      <c r="J5641" s="545">
        <v>0.16666666666666666</v>
      </c>
    </row>
    <row r="5642" spans="1:10">
      <c r="A5642" s="441">
        <v>207</v>
      </c>
      <c r="B5642" s="441" t="s">
        <v>4994</v>
      </c>
      <c r="C5642" s="545">
        <v>5.333333333333333</v>
      </c>
      <c r="D5642" s="545">
        <v>2.666666666666667</v>
      </c>
      <c r="E5642" s="545">
        <v>0</v>
      </c>
      <c r="F5642" s="545">
        <v>4.1904761904761907</v>
      </c>
      <c r="G5642" s="545">
        <v>3.45</v>
      </c>
      <c r="H5642" s="545">
        <v>1</v>
      </c>
      <c r="I5642" s="545">
        <v>0.33333333333333331</v>
      </c>
      <c r="J5642" s="545">
        <v>2.6547619047619047</v>
      </c>
    </row>
    <row r="5643" spans="1:10">
      <c r="A5643" s="441">
        <v>208</v>
      </c>
      <c r="B5643" s="441" t="s">
        <v>4994</v>
      </c>
      <c r="C5643" s="545">
        <v>0.5</v>
      </c>
      <c r="D5643" s="545">
        <v>0.66666666666666663</v>
      </c>
      <c r="E5643" s="545">
        <v>0</v>
      </c>
      <c r="F5643" s="545">
        <v>0.45238095238095238</v>
      </c>
      <c r="G5643" s="545">
        <v>0.15</v>
      </c>
      <c r="H5643" s="545">
        <v>1</v>
      </c>
      <c r="I5643" s="545">
        <v>0</v>
      </c>
      <c r="J5643" s="545">
        <v>0.25</v>
      </c>
    </row>
    <row r="5644" spans="1:10">
      <c r="A5644" s="441">
        <v>10237</v>
      </c>
      <c r="B5644" s="441" t="s">
        <v>4994</v>
      </c>
      <c r="C5644" s="545">
        <v>4.5</v>
      </c>
      <c r="D5644" s="545">
        <v>2.333333333333333</v>
      </c>
      <c r="E5644" s="545">
        <v>0</v>
      </c>
      <c r="F5644" s="545">
        <v>3.5476190476190474</v>
      </c>
      <c r="G5644" s="545">
        <v>3.9</v>
      </c>
      <c r="H5644" s="545">
        <v>0.33333333333333331</v>
      </c>
      <c r="I5644" s="545">
        <v>1.6666666666666667</v>
      </c>
      <c r="J5644" s="545">
        <v>3.0714285714285716</v>
      </c>
    </row>
    <row r="5645" spans="1:10">
      <c r="A5645" s="441">
        <v>202</v>
      </c>
      <c r="B5645" s="441" t="s">
        <v>4995</v>
      </c>
      <c r="C5645" s="545">
        <v>7</v>
      </c>
      <c r="D5645" s="545">
        <v>0.33333333333333331</v>
      </c>
      <c r="E5645" s="545">
        <v>0</v>
      </c>
      <c r="F5645" s="545">
        <v>5.0476190476190483</v>
      </c>
      <c r="G5645" s="545">
        <v>0.9</v>
      </c>
      <c r="H5645" s="545">
        <v>1.6666666666666667</v>
      </c>
      <c r="I5645" s="545">
        <v>3.3333333333333335</v>
      </c>
      <c r="J5645" s="545">
        <v>1.3571428571428572</v>
      </c>
    </row>
    <row r="5646" spans="1:10">
      <c r="A5646" s="441">
        <v>203</v>
      </c>
      <c r="B5646" s="441" t="s">
        <v>4995</v>
      </c>
      <c r="C5646" s="545">
        <v>1.5</v>
      </c>
      <c r="D5646" s="545">
        <v>0.33333333333333331</v>
      </c>
      <c r="E5646" s="545">
        <v>1</v>
      </c>
      <c r="F5646" s="545">
        <v>1.2619047619047616</v>
      </c>
      <c r="G5646" s="545">
        <v>2.15</v>
      </c>
      <c r="H5646" s="545">
        <v>1</v>
      </c>
      <c r="I5646" s="545">
        <v>2</v>
      </c>
      <c r="J5646" s="545">
        <v>1.9642857142857142</v>
      </c>
    </row>
    <row r="5647" spans="1:10">
      <c r="A5647" s="441">
        <v>200</v>
      </c>
      <c r="B5647" s="441" t="s">
        <v>4996</v>
      </c>
      <c r="C5647" s="545">
        <v>2.1666666666666665</v>
      </c>
      <c r="D5647" s="545">
        <v>0</v>
      </c>
      <c r="E5647" s="545">
        <v>0</v>
      </c>
      <c r="F5647" s="545">
        <v>1.5476190476190474</v>
      </c>
      <c r="G5647" s="545">
        <v>0.35</v>
      </c>
      <c r="H5647" s="545">
        <v>0</v>
      </c>
      <c r="I5647" s="545">
        <v>0.33333333333333331</v>
      </c>
      <c r="J5647" s="545">
        <v>0.29761904761904762</v>
      </c>
    </row>
    <row r="5648" spans="1:10">
      <c r="A5648" s="441">
        <v>205</v>
      </c>
      <c r="B5648" s="441" t="s">
        <v>4996</v>
      </c>
      <c r="C5648" s="545">
        <v>5.1666666666666661</v>
      </c>
      <c r="D5648" s="545">
        <v>3.333333333333333</v>
      </c>
      <c r="E5648" s="545">
        <v>0</v>
      </c>
      <c r="F5648" s="545">
        <v>4.1666666666666661</v>
      </c>
      <c r="G5648" s="545">
        <v>0.4</v>
      </c>
      <c r="H5648" s="545">
        <v>0.33333333333333331</v>
      </c>
      <c r="I5648" s="545">
        <v>0</v>
      </c>
      <c r="J5648" s="545">
        <v>0.33333333333333337</v>
      </c>
    </row>
    <row r="5649" spans="1:10">
      <c r="A5649" s="441">
        <v>201</v>
      </c>
      <c r="B5649" s="441" t="s">
        <v>4997</v>
      </c>
      <c r="C5649" s="545">
        <v>3.166666666666667</v>
      </c>
      <c r="D5649" s="545">
        <v>0.66666666666666663</v>
      </c>
      <c r="E5649" s="545">
        <v>1</v>
      </c>
      <c r="F5649" s="545">
        <v>2.5000000000000004</v>
      </c>
      <c r="G5649" s="545">
        <v>2.5499999999999998</v>
      </c>
      <c r="H5649" s="545">
        <v>0.66666666666666663</v>
      </c>
      <c r="I5649" s="545">
        <v>0</v>
      </c>
      <c r="J5649" s="545">
        <v>1.9166666666666665</v>
      </c>
    </row>
    <row r="5650" spans="1:10">
      <c r="A5650" s="441">
        <v>204</v>
      </c>
      <c r="B5650" s="441" t="s">
        <v>4997</v>
      </c>
      <c r="C5650" s="545">
        <v>2.6666666666666665</v>
      </c>
      <c r="D5650" s="545">
        <v>0.33333333333333331</v>
      </c>
      <c r="E5650" s="545">
        <v>0</v>
      </c>
      <c r="F5650" s="545">
        <v>1.9523809523809523</v>
      </c>
      <c r="G5650" s="545">
        <v>1.3</v>
      </c>
      <c r="H5650" s="545">
        <v>0</v>
      </c>
      <c r="I5650" s="545">
        <v>0.33333333333333331</v>
      </c>
      <c r="J5650" s="545">
        <v>0.97619047619047616</v>
      </c>
    </row>
    <row r="5651" spans="1:10">
      <c r="A5651" s="441">
        <v>11966</v>
      </c>
      <c r="B5651" s="441" t="s">
        <v>4998</v>
      </c>
      <c r="C5651" s="545">
        <v>171.5</v>
      </c>
      <c r="D5651" s="545">
        <v>7.6666666666666661</v>
      </c>
      <c r="E5651" s="545">
        <v>4.333333333333333</v>
      </c>
      <c r="F5651" s="545">
        <v>124.21428571428571</v>
      </c>
      <c r="G5651" s="545">
        <v>80</v>
      </c>
      <c r="H5651" s="545">
        <v>25.333333333333332</v>
      </c>
      <c r="I5651" s="545">
        <v>22.333333333333332</v>
      </c>
      <c r="J5651" s="545">
        <v>63.952380952380949</v>
      </c>
    </row>
    <row r="5652" spans="1:10">
      <c r="A5652" s="441">
        <v>11967</v>
      </c>
      <c r="B5652" s="441" t="s">
        <v>4998</v>
      </c>
      <c r="C5652" s="545">
        <v>141</v>
      </c>
      <c r="D5652" s="545">
        <v>8</v>
      </c>
      <c r="E5652" s="545">
        <v>5</v>
      </c>
      <c r="F5652" s="545">
        <v>102.57142857142857</v>
      </c>
      <c r="G5652" s="545">
        <v>57.15</v>
      </c>
      <c r="H5652" s="545">
        <v>17</v>
      </c>
      <c r="I5652" s="545">
        <v>13.333333333333334</v>
      </c>
      <c r="J5652" s="545">
        <v>45.154761904761905</v>
      </c>
    </row>
    <row r="5653" spans="1:10">
      <c r="A5653" s="441">
        <v>198</v>
      </c>
      <c r="B5653" s="441" t="s">
        <v>4999</v>
      </c>
      <c r="C5653" s="545">
        <v>0.5</v>
      </c>
      <c r="D5653" s="545">
        <v>0</v>
      </c>
      <c r="E5653" s="545">
        <v>0</v>
      </c>
      <c r="F5653" s="545">
        <v>0.35714285714285715</v>
      </c>
      <c r="G5653" s="545">
        <v>0.1</v>
      </c>
      <c r="H5653" s="545">
        <v>0.33333333333333331</v>
      </c>
      <c r="I5653" s="545">
        <v>0</v>
      </c>
      <c r="J5653" s="545">
        <v>0.11904761904761904</v>
      </c>
    </row>
    <row r="5654" spans="1:10">
      <c r="A5654" s="441">
        <v>12078</v>
      </c>
      <c r="B5654" s="441" t="s">
        <v>5000</v>
      </c>
      <c r="C5654" s="545">
        <v>6.166666666666667</v>
      </c>
      <c r="D5654" s="545">
        <v>1.3333333333333333</v>
      </c>
      <c r="E5654" s="545">
        <v>2</v>
      </c>
      <c r="F5654" s="545">
        <v>4.8809523809523814</v>
      </c>
      <c r="G5654" s="545">
        <v>5.85</v>
      </c>
      <c r="H5654" s="545">
        <v>1.3333333333333333</v>
      </c>
      <c r="I5654" s="545">
        <v>0</v>
      </c>
      <c r="J5654" s="545">
        <v>4.3690476190476186</v>
      </c>
    </row>
    <row r="5655" spans="1:10">
      <c r="A5655" s="441">
        <v>1083</v>
      </c>
      <c r="B5655" s="441" t="s">
        <v>5001</v>
      </c>
      <c r="C5655" s="545">
        <v>1</v>
      </c>
      <c r="D5655" s="545">
        <v>0.66666666666666663</v>
      </c>
      <c r="E5655" s="545">
        <v>0</v>
      </c>
      <c r="F5655" s="545">
        <v>0.80952380952380953</v>
      </c>
      <c r="G5655" s="545">
        <v>1.3</v>
      </c>
      <c r="H5655" s="545">
        <v>0.66666666666666663</v>
      </c>
      <c r="I5655" s="545">
        <v>1.6666666666666667</v>
      </c>
      <c r="J5655" s="545">
        <v>1.2619047619047621</v>
      </c>
    </row>
    <row r="5656" spans="1:10">
      <c r="A5656" s="441">
        <v>1084</v>
      </c>
      <c r="B5656" s="441" t="s">
        <v>5002</v>
      </c>
      <c r="C5656" s="545">
        <v>54.833333333333336</v>
      </c>
      <c r="D5656" s="545">
        <v>28</v>
      </c>
      <c r="E5656" s="545">
        <v>24.666666666666664</v>
      </c>
      <c r="F5656" s="545">
        <v>46.690476190476197</v>
      </c>
      <c r="G5656" s="545">
        <v>34.65</v>
      </c>
      <c r="H5656" s="545">
        <v>28</v>
      </c>
      <c r="I5656" s="545">
        <v>9.6666666666666661</v>
      </c>
      <c r="J5656" s="545">
        <v>30.13095238095238</v>
      </c>
    </row>
    <row r="5657" spans="1:10">
      <c r="A5657" s="441">
        <v>1085</v>
      </c>
      <c r="B5657" s="441" t="s">
        <v>5003</v>
      </c>
      <c r="C5657" s="545">
        <v>31.333333333333332</v>
      </c>
      <c r="D5657" s="545">
        <v>19.333333333333336</v>
      </c>
      <c r="E5657" s="545">
        <v>10.666666666666668</v>
      </c>
      <c r="F5657" s="545">
        <v>26.666666666666664</v>
      </c>
      <c r="G5657" s="545">
        <v>15.5</v>
      </c>
      <c r="H5657" s="545">
        <v>8.3333333333333339</v>
      </c>
      <c r="I5657" s="545">
        <v>7</v>
      </c>
      <c r="J5657" s="545">
        <v>13.261904761904761</v>
      </c>
    </row>
    <row r="5658" spans="1:10">
      <c r="A5658" s="441">
        <v>10496</v>
      </c>
      <c r="B5658" s="441" t="s">
        <v>5004</v>
      </c>
      <c r="C5658" s="545">
        <v>115.16666666666666</v>
      </c>
      <c r="D5658" s="545">
        <v>25</v>
      </c>
      <c r="E5658" s="545">
        <v>29</v>
      </c>
      <c r="F5658" s="545">
        <v>89.976190476190467</v>
      </c>
      <c r="G5658" s="545">
        <v>57.5</v>
      </c>
      <c r="H5658" s="545">
        <v>29</v>
      </c>
      <c r="I5658" s="545">
        <v>13.333333333333334</v>
      </c>
      <c r="J5658" s="545">
        <v>47.119047619047613</v>
      </c>
    </row>
    <row r="5659" spans="1:10">
      <c r="A5659" s="441">
        <v>1082</v>
      </c>
      <c r="B5659" s="441" t="s">
        <v>5005</v>
      </c>
      <c r="C5659" s="545">
        <v>47.666666666666671</v>
      </c>
      <c r="D5659" s="545">
        <v>42</v>
      </c>
      <c r="E5659" s="545">
        <v>12.666666666666666</v>
      </c>
      <c r="F5659" s="545">
        <v>41.857142857142868</v>
      </c>
      <c r="G5659" s="545">
        <v>21.35</v>
      </c>
      <c r="H5659" s="545">
        <v>15.333333333333334</v>
      </c>
      <c r="I5659" s="545">
        <v>6.333333333333333</v>
      </c>
      <c r="J5659" s="545">
        <v>18.345238095238095</v>
      </c>
    </row>
    <row r="5660" spans="1:10">
      <c r="A5660" s="441">
        <v>8325</v>
      </c>
      <c r="B5660" s="441" t="s">
        <v>5006</v>
      </c>
      <c r="C5660" s="545">
        <v>23.833333333333336</v>
      </c>
      <c r="D5660" s="545">
        <v>22.666666666666668</v>
      </c>
      <c r="E5660" s="545">
        <v>20.666666666666664</v>
      </c>
      <c r="F5660" s="545">
        <v>23.214285714285715</v>
      </c>
      <c r="G5660" s="545">
        <v>24.4</v>
      </c>
      <c r="H5660" s="545">
        <v>17.333333333333332</v>
      </c>
      <c r="I5660" s="545">
        <v>14.333333333333334</v>
      </c>
      <c r="J5660" s="545">
        <v>21.952380952380956</v>
      </c>
    </row>
    <row r="5661" spans="1:10">
      <c r="A5661" s="441">
        <v>8326</v>
      </c>
      <c r="B5661" s="441" t="s">
        <v>5006</v>
      </c>
      <c r="C5661" s="545">
        <v>19.333333333333332</v>
      </c>
      <c r="D5661" s="545">
        <v>14</v>
      </c>
      <c r="E5661" s="545">
        <v>17.666666666666668</v>
      </c>
      <c r="F5661" s="545">
        <v>18.333333333333332</v>
      </c>
      <c r="G5661" s="545">
        <v>13.5</v>
      </c>
      <c r="H5661" s="545">
        <v>6.666666666666667</v>
      </c>
      <c r="I5661" s="545">
        <v>2.6666666666666665</v>
      </c>
      <c r="J5661" s="545">
        <v>10.976190476190478</v>
      </c>
    </row>
    <row r="5662" spans="1:10">
      <c r="A5662" s="441">
        <v>11638</v>
      </c>
      <c r="B5662" s="441" t="s">
        <v>5007</v>
      </c>
      <c r="C5662" s="545">
        <v>20.166666666666668</v>
      </c>
      <c r="D5662" s="545">
        <v>22</v>
      </c>
      <c r="E5662" s="545">
        <v>16.666666666666664</v>
      </c>
      <c r="F5662" s="545">
        <v>19.928571428571427</v>
      </c>
      <c r="G5662" s="545">
        <v>11.1</v>
      </c>
      <c r="H5662" s="545">
        <v>11.666666666666666</v>
      </c>
      <c r="I5662" s="545">
        <v>5.666666666666667</v>
      </c>
      <c r="J5662" s="545">
        <v>10.404761904761907</v>
      </c>
    </row>
    <row r="5663" spans="1:10">
      <c r="A5663" s="441">
        <v>10208</v>
      </c>
      <c r="B5663" s="441" t="s">
        <v>5008</v>
      </c>
      <c r="C5663" s="545">
        <v>20.333333333333336</v>
      </c>
      <c r="D5663" s="545">
        <v>19.333333333333332</v>
      </c>
      <c r="E5663" s="545">
        <v>19</v>
      </c>
      <c r="F5663" s="545">
        <v>20</v>
      </c>
      <c r="G5663" s="545">
        <v>16.75</v>
      </c>
      <c r="H5663" s="545">
        <v>10</v>
      </c>
      <c r="I5663" s="545">
        <v>10</v>
      </c>
      <c r="J5663" s="545">
        <v>14.821428571428571</v>
      </c>
    </row>
    <row r="5664" spans="1:10">
      <c r="A5664" s="441">
        <v>12587</v>
      </c>
      <c r="B5664" s="441" t="s">
        <v>5009</v>
      </c>
      <c r="C5664" s="545">
        <v>21</v>
      </c>
      <c r="D5664" s="545">
        <v>6.6666666666666661</v>
      </c>
      <c r="E5664" s="545">
        <v>3.666666666666667</v>
      </c>
      <c r="F5664" s="545">
        <v>16.476190476190478</v>
      </c>
      <c r="G5664" s="545">
        <v>8.3000000000000007</v>
      </c>
      <c r="H5664" s="545">
        <v>2.3333333333333335</v>
      </c>
      <c r="I5664" s="545">
        <v>4</v>
      </c>
      <c r="J5664" s="545">
        <v>6.8333333333333339</v>
      </c>
    </row>
    <row r="5665" spans="1:10">
      <c r="A5665" s="441">
        <v>12588</v>
      </c>
      <c r="B5665" s="441" t="s">
        <v>5010</v>
      </c>
      <c r="C5665" s="545">
        <v>323.16666666666669</v>
      </c>
      <c r="D5665" s="545">
        <v>304</v>
      </c>
      <c r="E5665" s="545">
        <v>229.66666666666666</v>
      </c>
      <c r="F5665" s="545">
        <v>307.07142857142856</v>
      </c>
      <c r="G5665" s="545">
        <v>252.5</v>
      </c>
      <c r="H5665" s="545">
        <v>150.66666666666666</v>
      </c>
      <c r="I5665" s="545">
        <v>165</v>
      </c>
      <c r="J5665" s="545">
        <v>225.45238095238096</v>
      </c>
    </row>
    <row r="5666" spans="1:10">
      <c r="A5666" s="441">
        <v>11400</v>
      </c>
      <c r="B5666" s="441" t="s">
        <v>5011</v>
      </c>
      <c r="C5666" s="545">
        <v>2.8333333333333335</v>
      </c>
      <c r="D5666" s="545">
        <v>2.6666666666666665</v>
      </c>
      <c r="E5666" s="545">
        <v>2</v>
      </c>
      <c r="F5666" s="545">
        <v>2.6904761904761907</v>
      </c>
      <c r="G5666" s="545">
        <v>1.9</v>
      </c>
      <c r="H5666" s="545">
        <v>2.3333333333333335</v>
      </c>
      <c r="I5666" s="545">
        <v>2.3333333333333335</v>
      </c>
      <c r="J5666" s="545">
        <v>2.0238095238095242</v>
      </c>
    </row>
    <row r="5667" spans="1:10">
      <c r="A5667" s="441">
        <v>3183</v>
      </c>
      <c r="B5667" s="441" t="s">
        <v>5012</v>
      </c>
      <c r="C5667" s="545">
        <v>0.83333333333333326</v>
      </c>
      <c r="D5667" s="545">
        <v>0</v>
      </c>
      <c r="E5667" s="545">
        <v>0</v>
      </c>
      <c r="F5667" s="545">
        <v>0.59523809523809512</v>
      </c>
      <c r="G5667" s="545">
        <v>0.05</v>
      </c>
      <c r="H5667" s="545">
        <v>0</v>
      </c>
      <c r="I5667" s="545">
        <v>0.33333333333333331</v>
      </c>
      <c r="J5667" s="545">
        <v>8.3333333333333329E-2</v>
      </c>
    </row>
    <row r="5668" spans="1:10">
      <c r="A5668" s="441">
        <v>3182</v>
      </c>
      <c r="B5668" s="441" t="s">
        <v>5013</v>
      </c>
      <c r="C5668" s="545">
        <v>4.666666666666667</v>
      </c>
      <c r="D5668" s="545">
        <v>1</v>
      </c>
      <c r="E5668" s="545">
        <v>1.3333333333333333</v>
      </c>
      <c r="F5668" s="545">
        <v>3.666666666666667</v>
      </c>
      <c r="G5668" s="545">
        <v>1.5</v>
      </c>
      <c r="H5668" s="545">
        <v>1.3333333333333333</v>
      </c>
      <c r="I5668" s="545">
        <v>1.3333333333333333</v>
      </c>
      <c r="J5668" s="545">
        <v>1.4523809523809526</v>
      </c>
    </row>
    <row r="5669" spans="1:10">
      <c r="A5669" s="441">
        <v>6548</v>
      </c>
      <c r="B5669" s="441" t="s">
        <v>5014</v>
      </c>
      <c r="C5669" s="545">
        <v>5.6666666666666661</v>
      </c>
      <c r="D5669" s="545">
        <v>3</v>
      </c>
      <c r="E5669" s="545">
        <v>1.3333333333333333</v>
      </c>
      <c r="F5669" s="545">
        <v>4.6666666666666661</v>
      </c>
      <c r="G5669" s="545">
        <v>2.25</v>
      </c>
      <c r="H5669" s="545">
        <v>1</v>
      </c>
      <c r="I5669" s="545">
        <v>1.6666666666666667</v>
      </c>
      <c r="J5669" s="545">
        <v>1.9880952380952379</v>
      </c>
    </row>
    <row r="5670" spans="1:10">
      <c r="A5670" s="441">
        <v>6555</v>
      </c>
      <c r="B5670" s="441" t="s">
        <v>5014</v>
      </c>
      <c r="C5670" s="545">
        <v>5.666666666666667</v>
      </c>
      <c r="D5670" s="545">
        <v>1</v>
      </c>
      <c r="E5670" s="545">
        <v>1.3333333333333333</v>
      </c>
      <c r="F5670" s="545">
        <v>4.3809523809523814</v>
      </c>
      <c r="G5670" s="545">
        <v>2.25</v>
      </c>
      <c r="H5670" s="545">
        <v>0</v>
      </c>
      <c r="I5670" s="545">
        <v>1.3333333333333333</v>
      </c>
      <c r="J5670" s="545">
        <v>1.7976190476190477</v>
      </c>
    </row>
    <row r="5671" spans="1:10">
      <c r="A5671" s="441">
        <v>6550</v>
      </c>
      <c r="B5671" s="441" t="s">
        <v>5015</v>
      </c>
      <c r="C5671" s="545">
        <v>13</v>
      </c>
      <c r="D5671" s="545">
        <v>4</v>
      </c>
      <c r="E5671" s="545">
        <v>1.6666666666666665</v>
      </c>
      <c r="F5671" s="545">
        <v>10.095238095238097</v>
      </c>
      <c r="G5671" s="545">
        <v>9.85</v>
      </c>
      <c r="H5671" s="545">
        <v>4</v>
      </c>
      <c r="I5671" s="545">
        <v>2.6666666666666665</v>
      </c>
      <c r="J5671" s="545">
        <v>7.9880952380952381</v>
      </c>
    </row>
    <row r="5672" spans="1:10">
      <c r="A5672" s="441">
        <v>6553</v>
      </c>
      <c r="B5672" s="441" t="s">
        <v>5015</v>
      </c>
      <c r="C5672" s="545">
        <v>14</v>
      </c>
      <c r="D5672" s="545">
        <v>2.333333333333333</v>
      </c>
      <c r="E5672" s="545">
        <v>6.3333333333333339</v>
      </c>
      <c r="F5672" s="545">
        <v>11.238095238095237</v>
      </c>
      <c r="G5672" s="545">
        <v>11.35</v>
      </c>
      <c r="H5672" s="545">
        <v>4.333333333333333</v>
      </c>
      <c r="I5672" s="545">
        <v>3</v>
      </c>
      <c r="J5672" s="545">
        <v>9.1547619047619069</v>
      </c>
    </row>
    <row r="5673" spans="1:10">
      <c r="A5673" s="441">
        <v>6549</v>
      </c>
      <c r="B5673" s="441" t="s">
        <v>5016</v>
      </c>
      <c r="C5673" s="545">
        <v>10.666666666666668</v>
      </c>
      <c r="D5673" s="545">
        <v>2.333333333333333</v>
      </c>
      <c r="E5673" s="545">
        <v>0.33333333333333331</v>
      </c>
      <c r="F5673" s="545">
        <v>8.0000000000000018</v>
      </c>
      <c r="G5673" s="545">
        <v>3.5</v>
      </c>
      <c r="H5673" s="545">
        <v>1</v>
      </c>
      <c r="I5673" s="545">
        <v>1</v>
      </c>
      <c r="J5673" s="545">
        <v>2.7857142857142856</v>
      </c>
    </row>
    <row r="5674" spans="1:10">
      <c r="A5674" s="441">
        <v>6554</v>
      </c>
      <c r="B5674" s="441" t="s">
        <v>5016</v>
      </c>
      <c r="C5674" s="545">
        <v>11.5</v>
      </c>
      <c r="D5674" s="545">
        <v>4</v>
      </c>
      <c r="E5674" s="545">
        <v>0.33333333333333331</v>
      </c>
      <c r="F5674" s="545">
        <v>8.8333333333333339</v>
      </c>
      <c r="G5674" s="545">
        <v>2.9</v>
      </c>
      <c r="H5674" s="545">
        <v>0.33333333333333331</v>
      </c>
      <c r="I5674" s="545">
        <v>0.33333333333333331</v>
      </c>
      <c r="J5674" s="545">
        <v>2.166666666666667</v>
      </c>
    </row>
    <row r="5675" spans="1:10">
      <c r="A5675" s="441">
        <v>6551</v>
      </c>
      <c r="B5675" s="441" t="s">
        <v>5017</v>
      </c>
      <c r="C5675" s="545">
        <v>13</v>
      </c>
      <c r="D5675" s="545">
        <v>1.6666666666666665</v>
      </c>
      <c r="E5675" s="545">
        <v>2.3333333333333335</v>
      </c>
      <c r="F5675" s="545">
        <v>9.8571428571428577</v>
      </c>
      <c r="G5675" s="545">
        <v>7.7</v>
      </c>
      <c r="H5675" s="545">
        <v>1.3333333333333333</v>
      </c>
      <c r="I5675" s="545">
        <v>0</v>
      </c>
      <c r="J5675" s="545">
        <v>5.6904761904761907</v>
      </c>
    </row>
    <row r="5676" spans="1:10">
      <c r="A5676" s="441">
        <v>6552</v>
      </c>
      <c r="B5676" s="441" t="s">
        <v>5017</v>
      </c>
      <c r="C5676" s="545">
        <v>11.166666666666668</v>
      </c>
      <c r="D5676" s="545">
        <v>3.3333333333333335</v>
      </c>
      <c r="E5676" s="545">
        <v>1</v>
      </c>
      <c r="F5676" s="545">
        <v>8.5952380952380967</v>
      </c>
      <c r="G5676" s="545">
        <v>8.4</v>
      </c>
      <c r="H5676" s="545">
        <v>3</v>
      </c>
      <c r="I5676" s="545">
        <v>1</v>
      </c>
      <c r="J5676" s="545">
        <v>6.5714285714285712</v>
      </c>
    </row>
    <row r="5677" spans="1:10">
      <c r="A5677" s="441">
        <v>3150</v>
      </c>
      <c r="B5677" s="441" t="s">
        <v>5018</v>
      </c>
      <c r="C5677" s="545">
        <v>43.333333333333329</v>
      </c>
      <c r="D5677" s="545">
        <v>20</v>
      </c>
      <c r="E5677" s="545">
        <v>13.666666666666666</v>
      </c>
      <c r="F5677" s="545">
        <v>35.761904761904752</v>
      </c>
      <c r="G5677" s="545">
        <v>35.85</v>
      </c>
      <c r="H5677" s="545">
        <v>11.333333333333334</v>
      </c>
      <c r="I5677" s="545">
        <v>6.666666666666667</v>
      </c>
      <c r="J5677" s="545">
        <v>28.178571428571427</v>
      </c>
    </row>
    <row r="5678" spans="1:10">
      <c r="A5678" s="441">
        <v>12692</v>
      </c>
      <c r="B5678" s="441" t="s">
        <v>5019</v>
      </c>
      <c r="C5678" s="545">
        <v>22.833333333333332</v>
      </c>
      <c r="D5678" s="545">
        <v>11.666666666666668</v>
      </c>
      <c r="E5678" s="545">
        <v>9.6666666666666679</v>
      </c>
      <c r="F5678" s="545">
        <v>19.357142857142858</v>
      </c>
      <c r="G5678" s="545">
        <v>21.1</v>
      </c>
      <c r="H5678" s="545">
        <v>5</v>
      </c>
      <c r="I5678" s="545">
        <v>4.666666666666667</v>
      </c>
      <c r="J5678" s="545">
        <v>16.452380952380953</v>
      </c>
    </row>
    <row r="5679" spans="1:10">
      <c r="A5679" s="441">
        <v>12693</v>
      </c>
      <c r="B5679" s="441" t="s">
        <v>5019</v>
      </c>
      <c r="C5679" s="545">
        <v>27.333333333333336</v>
      </c>
      <c r="D5679" s="545">
        <v>12</v>
      </c>
      <c r="E5679" s="545">
        <v>5.666666666666667</v>
      </c>
      <c r="F5679" s="545">
        <v>22.047619047619047</v>
      </c>
      <c r="G5679" s="545">
        <v>22.9</v>
      </c>
      <c r="H5679" s="545">
        <v>8.3333333333333339</v>
      </c>
      <c r="I5679" s="545">
        <v>6</v>
      </c>
      <c r="J5679" s="545">
        <v>18.404761904761902</v>
      </c>
    </row>
    <row r="5680" spans="1:10">
      <c r="A5680" s="441">
        <v>12688</v>
      </c>
      <c r="B5680" s="441" t="s">
        <v>5020</v>
      </c>
      <c r="C5680" s="545">
        <v>9.6666666666666661</v>
      </c>
      <c r="D5680" s="545">
        <v>11.333333333333334</v>
      </c>
      <c r="E5680" s="545">
        <v>6</v>
      </c>
      <c r="F5680" s="545">
        <v>9.3809523809523796</v>
      </c>
      <c r="G5680" s="545">
        <v>15.05</v>
      </c>
      <c r="H5680" s="545">
        <v>11.333333333333334</v>
      </c>
      <c r="I5680" s="545">
        <v>10</v>
      </c>
      <c r="J5680" s="545">
        <v>13.797619047619047</v>
      </c>
    </row>
    <row r="5681" spans="1:10">
      <c r="A5681" s="441">
        <v>12689</v>
      </c>
      <c r="B5681" s="441" t="s">
        <v>5020</v>
      </c>
      <c r="C5681" s="545">
        <v>14.833333333333332</v>
      </c>
      <c r="D5681" s="545">
        <v>10.666666666666666</v>
      </c>
      <c r="E5681" s="545">
        <v>6.666666666666667</v>
      </c>
      <c r="F5681" s="545">
        <v>13.071428571428571</v>
      </c>
      <c r="G5681" s="545">
        <v>16.25</v>
      </c>
      <c r="H5681" s="545">
        <v>12</v>
      </c>
      <c r="I5681" s="545">
        <v>10.333333333333334</v>
      </c>
      <c r="J5681" s="545">
        <v>14.797619047619047</v>
      </c>
    </row>
    <row r="5682" spans="1:10">
      <c r="A5682" s="441">
        <v>3124</v>
      </c>
      <c r="B5682" s="441" t="s">
        <v>5021</v>
      </c>
      <c r="C5682" s="545">
        <v>2.5</v>
      </c>
      <c r="D5682" s="545">
        <v>3</v>
      </c>
      <c r="E5682" s="545">
        <v>2</v>
      </c>
      <c r="F5682" s="545">
        <v>2.5</v>
      </c>
      <c r="G5682" s="545">
        <v>2.2999999999999998</v>
      </c>
      <c r="H5682" s="545">
        <v>2.3333333333333335</v>
      </c>
      <c r="I5682" s="545">
        <v>2.6666666666666665</v>
      </c>
      <c r="J5682" s="545">
        <v>2.3571428571428572</v>
      </c>
    </row>
    <row r="5683" spans="1:10">
      <c r="A5683" s="441">
        <v>3140</v>
      </c>
      <c r="B5683" s="441" t="s">
        <v>5021</v>
      </c>
      <c r="C5683" s="545">
        <v>4.166666666666667</v>
      </c>
      <c r="D5683" s="545">
        <v>1.6666666666666665</v>
      </c>
      <c r="E5683" s="545">
        <v>1.6666666666666665</v>
      </c>
      <c r="F5683" s="545">
        <v>3.452380952380953</v>
      </c>
      <c r="G5683" s="545">
        <v>2.2999999999999998</v>
      </c>
      <c r="H5683" s="545">
        <v>1</v>
      </c>
      <c r="I5683" s="545">
        <v>0.66666666666666663</v>
      </c>
      <c r="J5683" s="545">
        <v>1.8809523809523809</v>
      </c>
    </row>
    <row r="5684" spans="1:10">
      <c r="A5684" s="441">
        <v>12697</v>
      </c>
      <c r="B5684" s="441" t="s">
        <v>5022</v>
      </c>
      <c r="C5684" s="545">
        <v>4.666666666666667</v>
      </c>
      <c r="D5684" s="545">
        <v>3</v>
      </c>
      <c r="E5684" s="545">
        <v>0.66666666666666663</v>
      </c>
      <c r="F5684" s="545">
        <v>3.8571428571428577</v>
      </c>
      <c r="G5684" s="545">
        <v>3.7</v>
      </c>
      <c r="H5684" s="545">
        <v>2</v>
      </c>
      <c r="I5684" s="545">
        <v>1.3333333333333333</v>
      </c>
      <c r="J5684" s="545">
        <v>3.1190476190476191</v>
      </c>
    </row>
    <row r="5685" spans="1:10">
      <c r="A5685" s="441">
        <v>3122</v>
      </c>
      <c r="B5685" s="441" t="s">
        <v>5023</v>
      </c>
      <c r="C5685" s="545">
        <v>39</v>
      </c>
      <c r="D5685" s="545">
        <v>12</v>
      </c>
      <c r="E5685" s="545">
        <v>12.666666666666668</v>
      </c>
      <c r="F5685" s="545">
        <v>31.38095238095238</v>
      </c>
      <c r="G5685" s="545">
        <v>19.5</v>
      </c>
      <c r="H5685" s="545">
        <v>18.666666666666668</v>
      </c>
      <c r="I5685" s="545">
        <v>16.333333333333332</v>
      </c>
      <c r="J5685" s="545">
        <v>18.928571428571427</v>
      </c>
    </row>
    <row r="5686" spans="1:10">
      <c r="A5686" s="441">
        <v>3142</v>
      </c>
      <c r="B5686" s="441" t="s">
        <v>5023</v>
      </c>
      <c r="C5686" s="545">
        <v>23.666666666666668</v>
      </c>
      <c r="D5686" s="545">
        <v>22</v>
      </c>
      <c r="E5686" s="545">
        <v>16</v>
      </c>
      <c r="F5686" s="545">
        <v>22.333333333333336</v>
      </c>
      <c r="G5686" s="545">
        <v>18.75</v>
      </c>
      <c r="H5686" s="545">
        <v>27.666666666666668</v>
      </c>
      <c r="I5686" s="545">
        <v>10.333333333333334</v>
      </c>
      <c r="J5686" s="545">
        <v>18.821428571428573</v>
      </c>
    </row>
    <row r="5687" spans="1:10">
      <c r="A5687" s="441">
        <v>3123</v>
      </c>
      <c r="B5687" s="441" t="s">
        <v>5024</v>
      </c>
      <c r="C5687" s="545">
        <v>10</v>
      </c>
      <c r="D5687" s="545">
        <v>8.3333333333333339</v>
      </c>
      <c r="E5687" s="545">
        <v>8</v>
      </c>
      <c r="F5687" s="545">
        <v>9.4761904761904781</v>
      </c>
      <c r="G5687" s="545">
        <v>9.5500000000000007</v>
      </c>
      <c r="H5687" s="545">
        <v>6.666666666666667</v>
      </c>
      <c r="I5687" s="545">
        <v>4</v>
      </c>
      <c r="J5687" s="545">
        <v>8.3452380952380949</v>
      </c>
    </row>
    <row r="5688" spans="1:10">
      <c r="A5688" s="441">
        <v>3141</v>
      </c>
      <c r="B5688" s="441" t="s">
        <v>5024</v>
      </c>
      <c r="C5688" s="545">
        <v>25.333333333333336</v>
      </c>
      <c r="D5688" s="545">
        <v>11.666666666666668</v>
      </c>
      <c r="E5688" s="545">
        <v>9.3333333333333321</v>
      </c>
      <c r="F5688" s="545">
        <v>21.095238095238098</v>
      </c>
      <c r="G5688" s="545">
        <v>10.25</v>
      </c>
      <c r="H5688" s="545">
        <v>5.666666666666667</v>
      </c>
      <c r="I5688" s="545">
        <v>5.666666666666667</v>
      </c>
      <c r="J5688" s="545">
        <v>8.9404761904761898</v>
      </c>
    </row>
    <row r="5689" spans="1:10">
      <c r="A5689" s="441">
        <v>12694</v>
      </c>
      <c r="B5689" s="441" t="s">
        <v>5025</v>
      </c>
      <c r="C5689" s="545">
        <v>16.833333333333332</v>
      </c>
      <c r="D5689" s="545">
        <v>1.6666666666666665</v>
      </c>
      <c r="E5689" s="545">
        <v>2</v>
      </c>
      <c r="F5689" s="545">
        <v>12.547619047619047</v>
      </c>
      <c r="G5689" s="545">
        <v>7.95</v>
      </c>
      <c r="H5689" s="545">
        <v>3.3333333333333335</v>
      </c>
      <c r="I5689" s="545">
        <v>1</v>
      </c>
      <c r="J5689" s="545">
        <v>6.2976190476190483</v>
      </c>
    </row>
    <row r="5690" spans="1:10">
      <c r="A5690" s="441">
        <v>12695</v>
      </c>
      <c r="B5690" s="441" t="s">
        <v>5025</v>
      </c>
      <c r="C5690" s="545">
        <v>9</v>
      </c>
      <c r="D5690" s="545">
        <v>19.333333333333336</v>
      </c>
      <c r="E5690" s="545">
        <v>2.333333333333333</v>
      </c>
      <c r="F5690" s="545">
        <v>9.5238095238095237</v>
      </c>
      <c r="G5690" s="545">
        <v>6.55</v>
      </c>
      <c r="H5690" s="545">
        <v>2.3333333333333335</v>
      </c>
      <c r="I5690" s="545">
        <v>0.66666666666666663</v>
      </c>
      <c r="J5690" s="545">
        <v>5.1071428571428568</v>
      </c>
    </row>
    <row r="5691" spans="1:10">
      <c r="A5691" s="441">
        <v>3148</v>
      </c>
      <c r="B5691" s="441" t="s">
        <v>5026</v>
      </c>
      <c r="C5691" s="545">
        <v>3.666666666666667</v>
      </c>
      <c r="D5691" s="545">
        <v>2.3333333333333335</v>
      </c>
      <c r="E5691" s="545">
        <v>3.333333333333333</v>
      </c>
      <c r="F5691" s="545">
        <v>3.4285714285714284</v>
      </c>
      <c r="G5691" s="545">
        <v>3.65</v>
      </c>
      <c r="H5691" s="545">
        <v>1.6666666666666667</v>
      </c>
      <c r="I5691" s="545">
        <v>1.3333333333333333</v>
      </c>
      <c r="J5691" s="545">
        <v>3.0357142857142856</v>
      </c>
    </row>
    <row r="5692" spans="1:10">
      <c r="A5692" s="441">
        <v>3121</v>
      </c>
      <c r="B5692" s="441" t="s">
        <v>5027</v>
      </c>
      <c r="C5692" s="545">
        <v>74</v>
      </c>
      <c r="D5692" s="545">
        <v>35.333333333333329</v>
      </c>
      <c r="E5692" s="545">
        <v>21.333333333333332</v>
      </c>
      <c r="F5692" s="545">
        <v>60.952380952380949</v>
      </c>
      <c r="G5692" s="545">
        <v>47.9</v>
      </c>
      <c r="H5692" s="545">
        <v>42.333333333333336</v>
      </c>
      <c r="I5692" s="545">
        <v>54.666666666666664</v>
      </c>
      <c r="J5692" s="545">
        <v>48.071428571428569</v>
      </c>
    </row>
    <row r="5693" spans="1:10">
      <c r="A5693" s="441">
        <v>3143</v>
      </c>
      <c r="B5693" s="441" t="s">
        <v>5027</v>
      </c>
      <c r="C5693" s="545">
        <v>29.666666666666664</v>
      </c>
      <c r="D5693" s="545">
        <v>15.333333333333332</v>
      </c>
      <c r="E5693" s="545">
        <v>12</v>
      </c>
      <c r="F5693" s="545">
        <v>25.095238095238095</v>
      </c>
      <c r="G5693" s="545">
        <v>26.9</v>
      </c>
      <c r="H5693" s="545">
        <v>21</v>
      </c>
      <c r="I5693" s="545">
        <v>5.333333333333333</v>
      </c>
      <c r="J5693" s="545">
        <v>22.976190476190478</v>
      </c>
    </row>
    <row r="5694" spans="1:10">
      <c r="A5694" s="441">
        <v>3113</v>
      </c>
      <c r="B5694" s="441" t="s">
        <v>5028</v>
      </c>
      <c r="C5694" s="545">
        <v>40.166666666666664</v>
      </c>
      <c r="D5694" s="545">
        <v>20</v>
      </c>
      <c r="E5694" s="545">
        <v>19</v>
      </c>
      <c r="F5694" s="545">
        <v>34.261904761904759</v>
      </c>
      <c r="G5694" s="545">
        <v>27.35</v>
      </c>
      <c r="H5694" s="545">
        <v>11.333333333333334</v>
      </c>
      <c r="I5694" s="545">
        <v>8</v>
      </c>
      <c r="J5694" s="545">
        <v>22.297619047619047</v>
      </c>
    </row>
    <row r="5695" spans="1:10">
      <c r="A5695" s="441">
        <v>3149</v>
      </c>
      <c r="B5695" s="441" t="s">
        <v>5028</v>
      </c>
      <c r="C5695" s="545">
        <v>37.5</v>
      </c>
      <c r="D5695" s="545">
        <v>17</v>
      </c>
      <c r="E5695" s="545">
        <v>13</v>
      </c>
      <c r="F5695" s="545">
        <v>31.071428571428573</v>
      </c>
      <c r="G5695" s="545">
        <v>20.350000000000001</v>
      </c>
      <c r="H5695" s="545">
        <v>15</v>
      </c>
      <c r="I5695" s="545">
        <v>9.3333333333333339</v>
      </c>
      <c r="J5695" s="545">
        <v>18.011904761904763</v>
      </c>
    </row>
    <row r="5696" spans="1:10">
      <c r="A5696" s="441">
        <v>3128</v>
      </c>
      <c r="B5696" s="441" t="s">
        <v>5029</v>
      </c>
      <c r="C5696" s="545">
        <v>5.666666666666667</v>
      </c>
      <c r="D5696" s="545">
        <v>2.3333333333333335</v>
      </c>
      <c r="E5696" s="545">
        <v>0.33333333333333331</v>
      </c>
      <c r="F5696" s="545">
        <v>4.4285714285714288</v>
      </c>
      <c r="G5696" s="545">
        <v>9.75</v>
      </c>
      <c r="H5696" s="545">
        <v>3</v>
      </c>
      <c r="I5696" s="545">
        <v>3.3333333333333335</v>
      </c>
      <c r="J5696" s="545">
        <v>7.8690476190476195</v>
      </c>
    </row>
    <row r="5697" spans="1:10">
      <c r="A5697" s="441">
        <v>3137</v>
      </c>
      <c r="B5697" s="441" t="s">
        <v>5029</v>
      </c>
      <c r="C5697" s="545">
        <v>5</v>
      </c>
      <c r="D5697" s="545">
        <v>4.666666666666667</v>
      </c>
      <c r="E5697" s="545">
        <v>1.6666666666666665</v>
      </c>
      <c r="F5697" s="545">
        <v>4.4761904761904763</v>
      </c>
      <c r="G5697" s="545">
        <v>7.65</v>
      </c>
      <c r="H5697" s="545">
        <v>2.3333333333333335</v>
      </c>
      <c r="I5697" s="545">
        <v>0</v>
      </c>
      <c r="J5697" s="545">
        <v>5.7976190476190483</v>
      </c>
    </row>
    <row r="5698" spans="1:10">
      <c r="A5698" s="441">
        <v>3138</v>
      </c>
      <c r="B5698" s="441" t="s">
        <v>5029</v>
      </c>
      <c r="C5698" s="545">
        <v>0.16666666666666666</v>
      </c>
      <c r="D5698" s="545">
        <v>0.33333333333333331</v>
      </c>
      <c r="E5698" s="545">
        <v>0</v>
      </c>
      <c r="F5698" s="545">
        <v>0.16666666666666666</v>
      </c>
      <c r="G5698" s="545">
        <v>0.6</v>
      </c>
      <c r="H5698" s="545">
        <v>0.33333333333333331</v>
      </c>
      <c r="I5698" s="545">
        <v>0</v>
      </c>
      <c r="J5698" s="545">
        <v>0.47619047619047622</v>
      </c>
    </row>
    <row r="5699" spans="1:10">
      <c r="A5699" s="441">
        <v>3118</v>
      </c>
      <c r="B5699" s="441" t="s">
        <v>5030</v>
      </c>
      <c r="C5699" s="545">
        <v>2.1666666666666665</v>
      </c>
      <c r="D5699" s="545">
        <v>1.3333333333333333</v>
      </c>
      <c r="E5699" s="545">
        <v>0.66666666666666663</v>
      </c>
      <c r="F5699" s="545">
        <v>1.8333333333333333</v>
      </c>
      <c r="G5699" s="545">
        <v>2.6</v>
      </c>
      <c r="H5699" s="545">
        <v>2.3333333333333335</v>
      </c>
      <c r="I5699" s="545">
        <v>0</v>
      </c>
      <c r="J5699" s="545">
        <v>2.1904761904761907</v>
      </c>
    </row>
    <row r="5700" spans="1:10">
      <c r="A5700" s="441">
        <v>3119</v>
      </c>
      <c r="B5700" s="441" t="s">
        <v>5031</v>
      </c>
      <c r="C5700" s="545">
        <v>4.3333333333333339</v>
      </c>
      <c r="D5700" s="545">
        <v>0</v>
      </c>
      <c r="E5700" s="545">
        <v>0</v>
      </c>
      <c r="F5700" s="545">
        <v>3.0952380952380958</v>
      </c>
      <c r="G5700" s="545">
        <v>2.75</v>
      </c>
      <c r="H5700" s="545">
        <v>11.666666666666666</v>
      </c>
      <c r="I5700" s="545">
        <v>0.33333333333333331</v>
      </c>
      <c r="J5700" s="545">
        <v>3.6785714285714279</v>
      </c>
    </row>
    <row r="5701" spans="1:10">
      <c r="A5701" s="441">
        <v>3144</v>
      </c>
      <c r="B5701" s="441" t="s">
        <v>5031</v>
      </c>
      <c r="C5701" s="545">
        <v>4.3333333333333339</v>
      </c>
      <c r="D5701" s="545">
        <v>0.66666666666666663</v>
      </c>
      <c r="E5701" s="545">
        <v>2.6666666666666665</v>
      </c>
      <c r="F5701" s="545">
        <v>3.5714285714285725</v>
      </c>
      <c r="G5701" s="545">
        <v>2.5</v>
      </c>
      <c r="H5701" s="545">
        <v>1.3333333333333333</v>
      </c>
      <c r="I5701" s="545">
        <v>1.3333333333333333</v>
      </c>
      <c r="J5701" s="545">
        <v>2.166666666666667</v>
      </c>
    </row>
    <row r="5702" spans="1:10">
      <c r="A5702" s="441">
        <v>9644</v>
      </c>
      <c r="B5702" s="441" t="s">
        <v>5032</v>
      </c>
      <c r="C5702" s="545">
        <v>15.5</v>
      </c>
      <c r="D5702" s="545">
        <v>6.6666666666666661</v>
      </c>
      <c r="E5702" s="545">
        <v>2.6666666666666665</v>
      </c>
      <c r="F5702" s="545">
        <v>12.404761904761907</v>
      </c>
      <c r="G5702" s="545">
        <v>7.9</v>
      </c>
      <c r="H5702" s="545">
        <v>5</v>
      </c>
      <c r="I5702" s="545">
        <v>3.3333333333333335</v>
      </c>
      <c r="J5702" s="545">
        <v>6.8333333333333339</v>
      </c>
    </row>
    <row r="5703" spans="1:10">
      <c r="A5703" s="441">
        <v>9871</v>
      </c>
      <c r="B5703" s="441" t="s">
        <v>5032</v>
      </c>
      <c r="C5703" s="545">
        <v>24.833333333333332</v>
      </c>
      <c r="D5703" s="545">
        <v>9.3333333333333339</v>
      </c>
      <c r="E5703" s="545">
        <v>6</v>
      </c>
      <c r="F5703" s="545">
        <v>19.928571428571427</v>
      </c>
      <c r="G5703" s="545">
        <v>13.5</v>
      </c>
      <c r="H5703" s="545">
        <v>3</v>
      </c>
      <c r="I5703" s="545">
        <v>4.666666666666667</v>
      </c>
      <c r="J5703" s="545">
        <v>10.738095238095239</v>
      </c>
    </row>
    <row r="5704" spans="1:10">
      <c r="A5704" s="441">
        <v>3120</v>
      </c>
      <c r="B5704" s="441" t="s">
        <v>5033</v>
      </c>
      <c r="C5704" s="545">
        <v>6.1666666666666661</v>
      </c>
      <c r="D5704" s="545">
        <v>0.33333333333333331</v>
      </c>
      <c r="E5704" s="545">
        <v>3.333333333333333</v>
      </c>
      <c r="F5704" s="545">
        <v>4.9285714285714279</v>
      </c>
      <c r="G5704" s="545">
        <v>1.8</v>
      </c>
      <c r="H5704" s="545">
        <v>2.3333333333333335</v>
      </c>
      <c r="I5704" s="545">
        <v>0.33333333333333331</v>
      </c>
      <c r="J5704" s="545">
        <v>1.6666666666666667</v>
      </c>
    </row>
    <row r="5705" spans="1:10">
      <c r="A5705" s="441">
        <v>3116</v>
      </c>
      <c r="B5705" s="441" t="s">
        <v>5034</v>
      </c>
      <c r="C5705" s="545">
        <v>76.833333333333343</v>
      </c>
      <c r="D5705" s="545">
        <v>39.333333333333336</v>
      </c>
      <c r="E5705" s="545">
        <v>31.666666666666668</v>
      </c>
      <c r="F5705" s="545">
        <v>65.023809523809533</v>
      </c>
      <c r="G5705" s="545">
        <v>43.3</v>
      </c>
      <c r="H5705" s="545">
        <v>24.333333333333332</v>
      </c>
      <c r="I5705" s="545">
        <v>19.666666666666668</v>
      </c>
      <c r="J5705" s="545">
        <v>37.214285714285715</v>
      </c>
    </row>
    <row r="5706" spans="1:10">
      <c r="A5706" s="441">
        <v>3146</v>
      </c>
      <c r="B5706" s="441" t="s">
        <v>5034</v>
      </c>
      <c r="C5706" s="545">
        <v>96.166666666666657</v>
      </c>
      <c r="D5706" s="545">
        <v>66.666666666666657</v>
      </c>
      <c r="E5706" s="545">
        <v>51.666666666666671</v>
      </c>
      <c r="F5706" s="545">
        <v>85.595238095238074</v>
      </c>
      <c r="G5706" s="545">
        <v>56.55</v>
      </c>
      <c r="H5706" s="545">
        <v>35.666666666666664</v>
      </c>
      <c r="I5706" s="545">
        <v>22.666666666666668</v>
      </c>
      <c r="J5706" s="545">
        <v>48.726190476190482</v>
      </c>
    </row>
    <row r="5707" spans="1:10">
      <c r="A5707" s="441">
        <v>3129</v>
      </c>
      <c r="B5707" s="441" t="s">
        <v>5035</v>
      </c>
      <c r="C5707" s="545">
        <v>8</v>
      </c>
      <c r="D5707" s="545">
        <v>8.3333333333333339</v>
      </c>
      <c r="E5707" s="545">
        <v>2.6666666666666665</v>
      </c>
      <c r="F5707" s="545">
        <v>7.2857142857142856</v>
      </c>
      <c r="G5707" s="545">
        <v>6.7</v>
      </c>
      <c r="H5707" s="545">
        <v>4.333333333333333</v>
      </c>
      <c r="I5707" s="545">
        <v>2.6666666666666665</v>
      </c>
      <c r="J5707" s="545">
        <v>5.7857142857142856</v>
      </c>
    </row>
    <row r="5708" spans="1:10">
      <c r="A5708" s="441">
        <v>3136</v>
      </c>
      <c r="B5708" s="441" t="s">
        <v>5035</v>
      </c>
      <c r="C5708" s="545">
        <v>6</v>
      </c>
      <c r="D5708" s="545">
        <v>6.333333333333333</v>
      </c>
      <c r="E5708" s="545">
        <v>3</v>
      </c>
      <c r="F5708" s="545">
        <v>5.6190476190476195</v>
      </c>
      <c r="G5708" s="545">
        <v>5.25</v>
      </c>
      <c r="H5708" s="545">
        <v>4</v>
      </c>
      <c r="I5708" s="545">
        <v>1.6666666666666667</v>
      </c>
      <c r="J5708" s="545">
        <v>4.5595238095238093</v>
      </c>
    </row>
    <row r="5709" spans="1:10">
      <c r="A5709" s="441">
        <v>12198</v>
      </c>
      <c r="B5709" s="441" t="s">
        <v>5036</v>
      </c>
      <c r="C5709" s="545">
        <v>95.166666666666657</v>
      </c>
      <c r="D5709" s="545">
        <v>56</v>
      </c>
      <c r="E5709" s="545">
        <v>38</v>
      </c>
      <c r="F5709" s="545">
        <v>81.404761904761898</v>
      </c>
      <c r="G5709" s="545">
        <v>64.8</v>
      </c>
      <c r="H5709" s="545">
        <v>40.333333333333336</v>
      </c>
      <c r="I5709" s="545">
        <v>31</v>
      </c>
      <c r="J5709" s="545">
        <v>56.476190476190474</v>
      </c>
    </row>
    <row r="5710" spans="1:10">
      <c r="A5710" s="441">
        <v>12199</v>
      </c>
      <c r="B5710" s="441" t="s">
        <v>5036</v>
      </c>
      <c r="C5710" s="545">
        <v>71.666666666666671</v>
      </c>
      <c r="D5710" s="545">
        <v>53.666666666666671</v>
      </c>
      <c r="E5710" s="545">
        <v>35</v>
      </c>
      <c r="F5710" s="545">
        <v>63.857142857142868</v>
      </c>
      <c r="G5710" s="545">
        <v>61.1</v>
      </c>
      <c r="H5710" s="545">
        <v>38.333333333333336</v>
      </c>
      <c r="I5710" s="545">
        <v>23</v>
      </c>
      <c r="J5710" s="545">
        <v>52.404761904761905</v>
      </c>
    </row>
    <row r="5711" spans="1:10">
      <c r="A5711" s="441">
        <v>9870</v>
      </c>
      <c r="B5711" s="441" t="s">
        <v>5037</v>
      </c>
      <c r="C5711" s="545">
        <v>20.333333333333332</v>
      </c>
      <c r="D5711" s="545">
        <v>3</v>
      </c>
      <c r="E5711" s="545">
        <v>6.666666666666667</v>
      </c>
      <c r="F5711" s="545">
        <v>15.904761904761903</v>
      </c>
      <c r="G5711" s="545">
        <v>11.35</v>
      </c>
      <c r="H5711" s="545">
        <v>5</v>
      </c>
      <c r="I5711" s="545">
        <v>4.666666666666667</v>
      </c>
      <c r="J5711" s="545">
        <v>9.488095238095239</v>
      </c>
    </row>
    <row r="5712" spans="1:10">
      <c r="A5712" s="441">
        <v>9872</v>
      </c>
      <c r="B5712" s="441" t="s">
        <v>5037</v>
      </c>
      <c r="C5712" s="545">
        <v>16.666666666666668</v>
      </c>
      <c r="D5712" s="545">
        <v>2.3333333333333335</v>
      </c>
      <c r="E5712" s="545">
        <v>3</v>
      </c>
      <c r="F5712" s="545">
        <v>12.666666666666668</v>
      </c>
      <c r="G5712" s="545">
        <v>7.15</v>
      </c>
      <c r="H5712" s="545">
        <v>4.333333333333333</v>
      </c>
      <c r="I5712" s="545">
        <v>3</v>
      </c>
      <c r="J5712" s="545">
        <v>6.1547619047619051</v>
      </c>
    </row>
    <row r="5713" spans="1:10">
      <c r="A5713" s="441">
        <v>10190</v>
      </c>
      <c r="B5713" s="441" t="s">
        <v>5038</v>
      </c>
      <c r="C5713" s="545">
        <v>0.66666666666666663</v>
      </c>
      <c r="D5713" s="545">
        <v>0</v>
      </c>
      <c r="E5713" s="545">
        <v>0.66666666666666663</v>
      </c>
      <c r="F5713" s="545">
        <v>0.5714285714285714</v>
      </c>
      <c r="G5713" s="545">
        <v>3.4</v>
      </c>
      <c r="H5713" s="545">
        <v>0</v>
      </c>
      <c r="I5713" s="545">
        <v>0.33333333333333331</v>
      </c>
      <c r="J5713" s="545">
        <v>2.4761904761904758</v>
      </c>
    </row>
    <row r="5714" spans="1:10">
      <c r="A5714" s="441">
        <v>3126</v>
      </c>
      <c r="B5714" s="441" t="s">
        <v>5039</v>
      </c>
      <c r="C5714" s="545">
        <v>4.166666666666667</v>
      </c>
      <c r="D5714" s="545">
        <v>1.6666666666666665</v>
      </c>
      <c r="E5714" s="545">
        <v>0</v>
      </c>
      <c r="F5714" s="545">
        <v>3.2142857142857149</v>
      </c>
      <c r="G5714" s="545">
        <v>2.8</v>
      </c>
      <c r="H5714" s="545">
        <v>1.6666666666666667</v>
      </c>
      <c r="I5714" s="545">
        <v>0.33333333333333331</v>
      </c>
      <c r="J5714" s="545">
        <v>2.2857142857142856</v>
      </c>
    </row>
    <row r="5715" spans="1:10">
      <c r="A5715" s="441">
        <v>3127</v>
      </c>
      <c r="B5715" s="441" t="s">
        <v>5039</v>
      </c>
      <c r="C5715" s="545">
        <v>0.83333333333333326</v>
      </c>
      <c r="D5715" s="545">
        <v>1.3333333333333333</v>
      </c>
      <c r="E5715" s="545">
        <v>0.33333333333333331</v>
      </c>
      <c r="F5715" s="545">
        <v>0.83333333333333315</v>
      </c>
      <c r="G5715" s="545">
        <v>0.35</v>
      </c>
      <c r="H5715" s="545">
        <v>0</v>
      </c>
      <c r="I5715" s="545">
        <v>0</v>
      </c>
      <c r="J5715" s="545">
        <v>0.25</v>
      </c>
    </row>
    <row r="5716" spans="1:10">
      <c r="A5716" s="441">
        <v>3130</v>
      </c>
      <c r="B5716" s="441" t="s">
        <v>5040</v>
      </c>
      <c r="C5716" s="545">
        <v>8.5</v>
      </c>
      <c r="D5716" s="545">
        <v>3.666666666666667</v>
      </c>
      <c r="E5716" s="545">
        <v>2</v>
      </c>
      <c r="F5716" s="545">
        <v>6.8809523809523805</v>
      </c>
      <c r="G5716" s="545">
        <v>5.8</v>
      </c>
      <c r="H5716" s="545">
        <v>2.3333333333333335</v>
      </c>
      <c r="I5716" s="545">
        <v>4.333333333333333</v>
      </c>
      <c r="J5716" s="545">
        <v>5.0952380952380949</v>
      </c>
    </row>
    <row r="5717" spans="1:10">
      <c r="A5717" s="441">
        <v>3135</v>
      </c>
      <c r="B5717" s="441" t="s">
        <v>5040</v>
      </c>
      <c r="C5717" s="545">
        <v>3.8333333333333335</v>
      </c>
      <c r="D5717" s="545">
        <v>2.666666666666667</v>
      </c>
      <c r="E5717" s="545">
        <v>1.3333333333333333</v>
      </c>
      <c r="F5717" s="545">
        <v>3.3095238095238098</v>
      </c>
      <c r="G5717" s="545">
        <v>4.3499999999999996</v>
      </c>
      <c r="H5717" s="545">
        <v>4</v>
      </c>
      <c r="I5717" s="545">
        <v>2</v>
      </c>
      <c r="J5717" s="545">
        <v>3.9642857142857144</v>
      </c>
    </row>
    <row r="5718" spans="1:10">
      <c r="A5718" s="441">
        <v>3117</v>
      </c>
      <c r="B5718" s="441" t="s">
        <v>5041</v>
      </c>
      <c r="C5718" s="545">
        <v>100.66666666666666</v>
      </c>
      <c r="D5718" s="545">
        <v>65.666666666666671</v>
      </c>
      <c r="E5718" s="545">
        <v>60.666666666666671</v>
      </c>
      <c r="F5718" s="545">
        <v>89.952380952380935</v>
      </c>
      <c r="G5718" s="545">
        <v>100.85</v>
      </c>
      <c r="H5718" s="545">
        <v>37.666666666666664</v>
      </c>
      <c r="I5718" s="545">
        <v>21.666666666666668</v>
      </c>
      <c r="J5718" s="545">
        <v>80.511904761904745</v>
      </c>
    </row>
    <row r="5719" spans="1:10">
      <c r="A5719" s="441">
        <v>12687</v>
      </c>
      <c r="B5719" s="441" t="s">
        <v>5042</v>
      </c>
      <c r="C5719" s="545">
        <v>21.5</v>
      </c>
      <c r="D5719" s="545">
        <v>4.666666666666667</v>
      </c>
      <c r="E5719" s="545">
        <v>2</v>
      </c>
      <c r="F5719" s="545">
        <v>16.30952380952381</v>
      </c>
      <c r="G5719" s="545">
        <v>15.1</v>
      </c>
      <c r="H5719" s="545">
        <v>4.333333333333333</v>
      </c>
      <c r="I5719" s="545">
        <v>4.333333333333333</v>
      </c>
      <c r="J5719" s="545">
        <v>12.023809523809522</v>
      </c>
    </row>
    <row r="5720" spans="1:10">
      <c r="A5720" s="441">
        <v>3132</v>
      </c>
      <c r="B5720" s="441" t="s">
        <v>5043</v>
      </c>
      <c r="C5720" s="545">
        <v>2.6666666666666665</v>
      </c>
      <c r="D5720" s="545">
        <v>0</v>
      </c>
      <c r="E5720" s="545">
        <v>0.66666666666666663</v>
      </c>
      <c r="F5720" s="545">
        <v>1.9999999999999998</v>
      </c>
      <c r="G5720" s="545">
        <v>1.05</v>
      </c>
      <c r="H5720" s="545">
        <v>1.3333333333333333</v>
      </c>
      <c r="I5720" s="545">
        <v>2.6666666666666665</v>
      </c>
      <c r="J5720" s="545">
        <v>1.3214285714285714</v>
      </c>
    </row>
    <row r="5721" spans="1:10">
      <c r="A5721" s="441">
        <v>3133</v>
      </c>
      <c r="B5721" s="441" t="s">
        <v>5043</v>
      </c>
      <c r="C5721" s="545">
        <v>3.333333333333333</v>
      </c>
      <c r="D5721" s="545">
        <v>1.3333333333333333</v>
      </c>
      <c r="E5721" s="545">
        <v>3.3333333333333335</v>
      </c>
      <c r="F5721" s="545">
        <v>3.047619047619047</v>
      </c>
      <c r="G5721" s="545">
        <v>2.8</v>
      </c>
      <c r="H5721" s="545">
        <v>2.6666666666666665</v>
      </c>
      <c r="I5721" s="545">
        <v>2.6666666666666665</v>
      </c>
      <c r="J5721" s="545">
        <v>2.7619047619047623</v>
      </c>
    </row>
    <row r="5722" spans="1:10">
      <c r="A5722" s="441">
        <v>3115</v>
      </c>
      <c r="B5722" s="441" t="s">
        <v>5044</v>
      </c>
      <c r="C5722" s="545">
        <v>36.166666666666671</v>
      </c>
      <c r="D5722" s="545">
        <v>24.333333333333336</v>
      </c>
      <c r="E5722" s="545">
        <v>16</v>
      </c>
      <c r="F5722" s="545">
        <v>31.595238095238102</v>
      </c>
      <c r="G5722" s="545">
        <v>31.6</v>
      </c>
      <c r="H5722" s="545">
        <v>21</v>
      </c>
      <c r="I5722" s="545">
        <v>8.6666666666666661</v>
      </c>
      <c r="J5722" s="545">
        <v>26.809523809523807</v>
      </c>
    </row>
    <row r="5723" spans="1:10">
      <c r="A5723" s="441">
        <v>3147</v>
      </c>
      <c r="B5723" s="441" t="s">
        <v>5044</v>
      </c>
      <c r="C5723" s="545">
        <v>43.666666666666671</v>
      </c>
      <c r="D5723" s="545">
        <v>34</v>
      </c>
      <c r="E5723" s="545">
        <v>18.666666666666664</v>
      </c>
      <c r="F5723" s="545">
        <v>38.714285714285722</v>
      </c>
      <c r="G5723" s="545">
        <v>39.1</v>
      </c>
      <c r="H5723" s="545">
        <v>32</v>
      </c>
      <c r="I5723" s="545">
        <v>22</v>
      </c>
      <c r="J5723" s="545">
        <v>35.642857142857146</v>
      </c>
    </row>
    <row r="5724" spans="1:10">
      <c r="A5724" s="441">
        <v>3131</v>
      </c>
      <c r="B5724" s="441" t="s">
        <v>5045</v>
      </c>
      <c r="C5724" s="545">
        <v>2.8333333333333335</v>
      </c>
      <c r="D5724" s="545">
        <v>0.66666666666666663</v>
      </c>
      <c r="E5724" s="545">
        <v>2</v>
      </c>
      <c r="F5724" s="545">
        <v>2.4047619047619051</v>
      </c>
      <c r="G5724" s="545">
        <v>2.75</v>
      </c>
      <c r="H5724" s="545">
        <v>0.33333333333333331</v>
      </c>
      <c r="I5724" s="545">
        <v>0.33333333333333331</v>
      </c>
      <c r="J5724" s="545">
        <v>2.0595238095238098</v>
      </c>
    </row>
    <row r="5725" spans="1:10">
      <c r="A5725" s="441">
        <v>3134</v>
      </c>
      <c r="B5725" s="441" t="s">
        <v>5045</v>
      </c>
      <c r="C5725" s="545">
        <v>1.3333333333333335</v>
      </c>
      <c r="D5725" s="545">
        <v>1.6666666666666665</v>
      </c>
      <c r="E5725" s="545">
        <v>0.33333333333333331</v>
      </c>
      <c r="F5725" s="545">
        <v>1.2380952380952384</v>
      </c>
      <c r="G5725" s="545">
        <v>1.05</v>
      </c>
      <c r="H5725" s="545">
        <v>0</v>
      </c>
      <c r="I5725" s="545">
        <v>0</v>
      </c>
      <c r="J5725" s="545">
        <v>0.75</v>
      </c>
    </row>
    <row r="5726" spans="1:10">
      <c r="A5726" s="441">
        <v>12690</v>
      </c>
      <c r="B5726" s="441" t="s">
        <v>5046</v>
      </c>
      <c r="C5726" s="545">
        <v>6.5</v>
      </c>
      <c r="D5726" s="545">
        <v>2.333333333333333</v>
      </c>
      <c r="E5726" s="545">
        <v>5</v>
      </c>
      <c r="F5726" s="545">
        <v>5.6904761904761907</v>
      </c>
      <c r="G5726" s="545">
        <v>7.2</v>
      </c>
      <c r="H5726" s="545">
        <v>6.666666666666667</v>
      </c>
      <c r="I5726" s="545">
        <v>4.333333333333333</v>
      </c>
      <c r="J5726" s="545">
        <v>6.7142857142857144</v>
      </c>
    </row>
    <row r="5727" spans="1:10">
      <c r="A5727" s="441">
        <v>12691</v>
      </c>
      <c r="B5727" s="441" t="s">
        <v>5046</v>
      </c>
      <c r="C5727" s="545">
        <v>6</v>
      </c>
      <c r="D5727" s="545">
        <v>3.3333333333333335</v>
      </c>
      <c r="E5727" s="545">
        <v>0.66666666666666663</v>
      </c>
      <c r="F5727" s="545">
        <v>4.8571428571428568</v>
      </c>
      <c r="G5727" s="545">
        <v>6.25</v>
      </c>
      <c r="H5727" s="545">
        <v>3.6666666666666665</v>
      </c>
      <c r="I5727" s="545">
        <v>2.3333333333333335</v>
      </c>
      <c r="J5727" s="545">
        <v>5.3214285714285712</v>
      </c>
    </row>
    <row r="5728" spans="1:10">
      <c r="A5728" s="441">
        <v>3114</v>
      </c>
      <c r="B5728" s="441" t="s">
        <v>5047</v>
      </c>
      <c r="C5728" s="545">
        <v>9.6666666666666661</v>
      </c>
      <c r="D5728" s="545">
        <v>8.6666666666666679</v>
      </c>
      <c r="E5728" s="545">
        <v>3</v>
      </c>
      <c r="F5728" s="545">
        <v>8.5714285714285712</v>
      </c>
      <c r="G5728" s="545">
        <v>6.3</v>
      </c>
      <c r="H5728" s="545">
        <v>2</v>
      </c>
      <c r="I5728" s="545">
        <v>2.3333333333333335</v>
      </c>
      <c r="J5728" s="545">
        <v>5.1190476190476195</v>
      </c>
    </row>
    <row r="5729" spans="1:10">
      <c r="A5729" s="441">
        <v>13105</v>
      </c>
      <c r="B5729" s="441" t="s">
        <v>5048</v>
      </c>
      <c r="C5729" s="545">
        <v>3.1666666666666665</v>
      </c>
      <c r="D5729" s="545">
        <v>2</v>
      </c>
      <c r="E5729" s="545">
        <v>3.666666666666667</v>
      </c>
      <c r="F5729" s="545">
        <v>3.0714285714285716</v>
      </c>
      <c r="G5729" s="545">
        <v>1.95</v>
      </c>
      <c r="H5729" s="545">
        <v>4.666666666666667</v>
      </c>
      <c r="I5729" s="545">
        <v>2.3333333333333335</v>
      </c>
      <c r="J5729" s="545">
        <v>2.3928571428571428</v>
      </c>
    </row>
    <row r="5730" spans="1:10">
      <c r="A5730" s="441">
        <v>12767</v>
      </c>
      <c r="B5730" s="441" t="s">
        <v>5049</v>
      </c>
      <c r="C5730" s="545">
        <v>19.666666666666664</v>
      </c>
      <c r="D5730" s="545">
        <v>12</v>
      </c>
      <c r="E5730" s="545">
        <v>12.333333333333332</v>
      </c>
      <c r="F5730" s="545">
        <v>17.523809523809522</v>
      </c>
      <c r="G5730" s="545">
        <v>13.15</v>
      </c>
      <c r="H5730" s="545">
        <v>12.666666666666666</v>
      </c>
      <c r="I5730" s="545">
        <v>9.6666666666666661</v>
      </c>
      <c r="J5730" s="545">
        <v>12.583333333333334</v>
      </c>
    </row>
    <row r="5731" spans="1:10">
      <c r="A5731" s="441">
        <v>12765</v>
      </c>
      <c r="B5731" s="441" t="s">
        <v>5050</v>
      </c>
      <c r="C5731" s="545">
        <v>14.333333333333332</v>
      </c>
      <c r="D5731" s="545">
        <v>9.3333333333333321</v>
      </c>
      <c r="E5731" s="545">
        <v>6.333333333333333</v>
      </c>
      <c r="F5731" s="545">
        <v>12.476190476190473</v>
      </c>
      <c r="G5731" s="545">
        <v>15.4</v>
      </c>
      <c r="H5731" s="545">
        <v>9.6666666666666661</v>
      </c>
      <c r="I5731" s="545">
        <v>10</v>
      </c>
      <c r="J5731" s="545">
        <v>13.80952380952381</v>
      </c>
    </row>
    <row r="5732" spans="1:10">
      <c r="A5732" s="441">
        <v>12766</v>
      </c>
      <c r="B5732" s="441" t="s">
        <v>5050</v>
      </c>
      <c r="C5732" s="545">
        <v>16.666666666666668</v>
      </c>
      <c r="D5732" s="545">
        <v>11.333333333333334</v>
      </c>
      <c r="E5732" s="545">
        <v>8</v>
      </c>
      <c r="F5732" s="545">
        <v>14.666666666666668</v>
      </c>
      <c r="G5732" s="545">
        <v>16.25</v>
      </c>
      <c r="H5732" s="545">
        <v>10.333333333333334</v>
      </c>
      <c r="I5732" s="545">
        <v>10</v>
      </c>
      <c r="J5732" s="545">
        <v>14.511904761904761</v>
      </c>
    </row>
    <row r="5733" spans="1:10">
      <c r="A5733" s="441">
        <v>12727</v>
      </c>
      <c r="B5733" s="441" t="s">
        <v>5051</v>
      </c>
      <c r="C5733" s="545">
        <v>5.333333333333333</v>
      </c>
      <c r="D5733" s="545">
        <v>1.6666666666666667</v>
      </c>
      <c r="E5733" s="545">
        <v>2.3333333333333335</v>
      </c>
      <c r="F5733" s="545">
        <v>4.3809523809523805</v>
      </c>
      <c r="G5733" s="545">
        <v>12.6</v>
      </c>
      <c r="H5733" s="545">
        <v>10.666666666666666</v>
      </c>
      <c r="I5733" s="545">
        <v>6</v>
      </c>
      <c r="J5733" s="545">
        <v>11.380952380952381</v>
      </c>
    </row>
    <row r="5734" spans="1:10">
      <c r="A5734" s="441">
        <v>12728</v>
      </c>
      <c r="B5734" s="441" t="s">
        <v>5051</v>
      </c>
      <c r="C5734" s="545">
        <v>6.333333333333333</v>
      </c>
      <c r="D5734" s="545">
        <v>4</v>
      </c>
      <c r="E5734" s="545">
        <v>7.3333333333333339</v>
      </c>
      <c r="F5734" s="545">
        <v>6.1428571428571432</v>
      </c>
      <c r="G5734" s="545">
        <v>21.75</v>
      </c>
      <c r="H5734" s="545">
        <v>17.666666666666668</v>
      </c>
      <c r="I5734" s="545">
        <v>12.666666666666666</v>
      </c>
      <c r="J5734" s="545">
        <v>19.86904761904762</v>
      </c>
    </row>
    <row r="5735" spans="1:10">
      <c r="A5735" s="441">
        <v>9690</v>
      </c>
      <c r="B5735" s="441" t="s">
        <v>5052</v>
      </c>
      <c r="C5735" s="545">
        <v>14.5</v>
      </c>
      <c r="D5735" s="545">
        <v>8.3333333333333339</v>
      </c>
      <c r="E5735" s="545">
        <v>8.6666666666666661</v>
      </c>
      <c r="F5735" s="545">
        <v>12.785714285714286</v>
      </c>
      <c r="G5735" s="545">
        <v>10.55</v>
      </c>
      <c r="H5735" s="545">
        <v>2.3333333333333335</v>
      </c>
      <c r="I5735" s="545">
        <v>4</v>
      </c>
      <c r="J5735" s="545">
        <v>8.4404761904761916</v>
      </c>
    </row>
    <row r="5736" spans="1:10">
      <c r="A5736" s="441">
        <v>9738</v>
      </c>
      <c r="B5736" s="441" t="s">
        <v>5052</v>
      </c>
      <c r="C5736" s="545">
        <v>10.666666666666668</v>
      </c>
      <c r="D5736" s="545">
        <v>5</v>
      </c>
      <c r="E5736" s="545">
        <v>6.6666666666666661</v>
      </c>
      <c r="F5736" s="545">
        <v>9.2857142857142883</v>
      </c>
      <c r="G5736" s="545">
        <v>7.75</v>
      </c>
      <c r="H5736" s="545">
        <v>2.3333333333333335</v>
      </c>
      <c r="I5736" s="545">
        <v>2.3333333333333335</v>
      </c>
      <c r="J5736" s="545">
        <v>6.2023809523809534</v>
      </c>
    </row>
    <row r="5737" spans="1:10">
      <c r="A5737" s="441">
        <v>9691</v>
      </c>
      <c r="B5737" s="441" t="s">
        <v>5053</v>
      </c>
      <c r="C5737" s="545">
        <v>9.6666666666666679</v>
      </c>
      <c r="D5737" s="545">
        <v>0</v>
      </c>
      <c r="E5737" s="545">
        <v>0.66666666666666663</v>
      </c>
      <c r="F5737" s="545">
        <v>7.0000000000000009</v>
      </c>
      <c r="G5737" s="545">
        <v>6.3</v>
      </c>
      <c r="H5737" s="545">
        <v>0.33333333333333331</v>
      </c>
      <c r="I5737" s="545">
        <v>2.3333333333333335</v>
      </c>
      <c r="J5737" s="545">
        <v>4.8809523809523805</v>
      </c>
    </row>
    <row r="5738" spans="1:10">
      <c r="A5738" s="441">
        <v>9737</v>
      </c>
      <c r="B5738" s="441" t="s">
        <v>5053</v>
      </c>
      <c r="C5738" s="545">
        <v>10.333333333333334</v>
      </c>
      <c r="D5738" s="545">
        <v>0</v>
      </c>
      <c r="E5738" s="545">
        <v>2.666666666666667</v>
      </c>
      <c r="F5738" s="545">
        <v>7.7619047619047619</v>
      </c>
      <c r="G5738" s="545">
        <v>6.5</v>
      </c>
      <c r="H5738" s="545">
        <v>0</v>
      </c>
      <c r="I5738" s="545">
        <v>0.33333333333333331</v>
      </c>
      <c r="J5738" s="545">
        <v>4.6904761904761907</v>
      </c>
    </row>
    <row r="5739" spans="1:10">
      <c r="A5739" s="441">
        <v>9692</v>
      </c>
      <c r="B5739" s="441" t="s">
        <v>5054</v>
      </c>
      <c r="C5739" s="545">
        <v>3.1666666666666665</v>
      </c>
      <c r="D5739" s="545">
        <v>2</v>
      </c>
      <c r="E5739" s="545">
        <v>1</v>
      </c>
      <c r="F5739" s="545">
        <v>2.6904761904761902</v>
      </c>
      <c r="G5739" s="545">
        <v>2.85</v>
      </c>
      <c r="H5739" s="545">
        <v>1</v>
      </c>
      <c r="I5739" s="545">
        <v>1</v>
      </c>
      <c r="J5739" s="545">
        <v>2.3214285714285716</v>
      </c>
    </row>
    <row r="5740" spans="1:10">
      <c r="A5740" s="441">
        <v>9736</v>
      </c>
      <c r="B5740" s="441" t="s">
        <v>5054</v>
      </c>
      <c r="C5740" s="545">
        <v>3.5</v>
      </c>
      <c r="D5740" s="545">
        <v>0.66666666666666663</v>
      </c>
      <c r="E5740" s="545">
        <v>0</v>
      </c>
      <c r="F5740" s="545">
        <v>2.5952380952380953</v>
      </c>
      <c r="G5740" s="545">
        <v>1.7</v>
      </c>
      <c r="H5740" s="545">
        <v>1.3333333333333333</v>
      </c>
      <c r="I5740" s="545">
        <v>0.33333333333333331</v>
      </c>
      <c r="J5740" s="545">
        <v>1.4523809523809526</v>
      </c>
    </row>
    <row r="5741" spans="1:10">
      <c r="A5741" s="441">
        <v>846</v>
      </c>
      <c r="B5741" s="441" t="s">
        <v>5055</v>
      </c>
      <c r="C5741" s="545">
        <v>10.833333333333334</v>
      </c>
      <c r="D5741" s="545">
        <v>11.333333333333332</v>
      </c>
      <c r="E5741" s="545">
        <v>7</v>
      </c>
      <c r="F5741" s="545">
        <v>10.357142857142858</v>
      </c>
      <c r="G5741" s="545">
        <v>2.4500000000000002</v>
      </c>
      <c r="H5741" s="545">
        <v>2</v>
      </c>
      <c r="I5741" s="545">
        <v>2</v>
      </c>
      <c r="J5741" s="545">
        <v>2.3214285714285716</v>
      </c>
    </row>
    <row r="5742" spans="1:10">
      <c r="A5742" s="441">
        <v>847</v>
      </c>
      <c r="B5742" s="441" t="s">
        <v>5056</v>
      </c>
      <c r="C5742" s="545">
        <v>7.5</v>
      </c>
      <c r="D5742" s="545">
        <v>3</v>
      </c>
      <c r="E5742" s="545">
        <v>4.333333333333333</v>
      </c>
      <c r="F5742" s="545">
        <v>6.4047619047619051</v>
      </c>
      <c r="G5742" s="545">
        <v>8.9</v>
      </c>
      <c r="H5742" s="545">
        <v>5</v>
      </c>
      <c r="I5742" s="545">
        <v>1.6666666666666667</v>
      </c>
      <c r="J5742" s="545">
        <v>7.3095238095238093</v>
      </c>
    </row>
    <row r="5743" spans="1:10">
      <c r="A5743" s="441">
        <v>854</v>
      </c>
      <c r="B5743" s="441" t="s">
        <v>5056</v>
      </c>
      <c r="C5743" s="545">
        <v>7.833333333333333</v>
      </c>
      <c r="D5743" s="545">
        <v>2.3333333333333335</v>
      </c>
      <c r="E5743" s="545">
        <v>2</v>
      </c>
      <c r="F5743" s="545">
        <v>6.2142857142857144</v>
      </c>
      <c r="G5743" s="545">
        <v>6.7</v>
      </c>
      <c r="H5743" s="545">
        <v>6.333333333333333</v>
      </c>
      <c r="I5743" s="545">
        <v>5.666666666666667</v>
      </c>
      <c r="J5743" s="545">
        <v>6.5</v>
      </c>
    </row>
    <row r="5744" spans="1:10">
      <c r="A5744" s="441">
        <v>855</v>
      </c>
      <c r="B5744" s="441" t="s">
        <v>5056</v>
      </c>
      <c r="C5744" s="545">
        <v>11</v>
      </c>
      <c r="D5744" s="545">
        <v>9</v>
      </c>
      <c r="E5744" s="545">
        <v>6.333333333333333</v>
      </c>
      <c r="F5744" s="545">
        <v>10.047619047619047</v>
      </c>
      <c r="G5744" s="545">
        <v>6.85</v>
      </c>
      <c r="H5744" s="545">
        <v>5.666666666666667</v>
      </c>
      <c r="I5744" s="545">
        <v>5</v>
      </c>
      <c r="J5744" s="545">
        <v>6.4166666666666661</v>
      </c>
    </row>
    <row r="5745" spans="1:10">
      <c r="A5745" s="441">
        <v>850</v>
      </c>
      <c r="B5745" s="441" t="s">
        <v>5057</v>
      </c>
      <c r="C5745" s="545">
        <v>26.333333333333332</v>
      </c>
      <c r="D5745" s="545">
        <v>9.6666666666666679</v>
      </c>
      <c r="E5745" s="545">
        <v>5.333333333333333</v>
      </c>
      <c r="F5745" s="545">
        <v>20.952380952380953</v>
      </c>
      <c r="G5745" s="545">
        <v>28.05</v>
      </c>
      <c r="H5745" s="545">
        <v>12</v>
      </c>
      <c r="I5745" s="545">
        <v>8.6666666666666661</v>
      </c>
      <c r="J5745" s="545">
        <v>22.988095238095237</v>
      </c>
    </row>
    <row r="5746" spans="1:10">
      <c r="A5746" s="441">
        <v>848</v>
      </c>
      <c r="B5746" s="441" t="s">
        <v>5058</v>
      </c>
      <c r="C5746" s="545">
        <v>0.66666666666666663</v>
      </c>
      <c r="D5746" s="545">
        <v>0.33333333333333331</v>
      </c>
      <c r="E5746" s="545">
        <v>1.3333333333333333</v>
      </c>
      <c r="F5746" s="545">
        <v>0.7142857142857143</v>
      </c>
      <c r="G5746" s="545">
        <v>5.15</v>
      </c>
      <c r="H5746" s="545">
        <v>0.66666666666666663</v>
      </c>
      <c r="I5746" s="545">
        <v>1.6666666666666667</v>
      </c>
      <c r="J5746" s="545">
        <v>4.0119047619047619</v>
      </c>
    </row>
    <row r="5747" spans="1:10">
      <c r="A5747" s="441">
        <v>849</v>
      </c>
      <c r="B5747" s="441" t="s">
        <v>5059</v>
      </c>
      <c r="C5747" s="545">
        <v>3</v>
      </c>
      <c r="D5747" s="545">
        <v>4.666666666666667</v>
      </c>
      <c r="E5747" s="545">
        <v>0</v>
      </c>
      <c r="F5747" s="545">
        <v>2.8095238095238098</v>
      </c>
      <c r="G5747" s="545">
        <v>3.9</v>
      </c>
      <c r="H5747" s="545">
        <v>2.6666666666666665</v>
      </c>
      <c r="I5747" s="545">
        <v>1.3333333333333333</v>
      </c>
      <c r="J5747" s="545">
        <v>3.3571428571428572</v>
      </c>
    </row>
    <row r="5748" spans="1:10">
      <c r="A5748" s="441">
        <v>9695</v>
      </c>
      <c r="B5748" s="441" t="s">
        <v>5060</v>
      </c>
      <c r="C5748" s="545">
        <v>4.166666666666667</v>
      </c>
      <c r="D5748" s="545">
        <v>1.6666666666666665</v>
      </c>
      <c r="E5748" s="545">
        <v>0.33333333333333331</v>
      </c>
      <c r="F5748" s="545">
        <v>3.2619047619047623</v>
      </c>
      <c r="G5748" s="545">
        <v>1.55</v>
      </c>
      <c r="H5748" s="545">
        <v>1</v>
      </c>
      <c r="I5748" s="545">
        <v>1.3333333333333333</v>
      </c>
      <c r="J5748" s="545">
        <v>1.4404761904761905</v>
      </c>
    </row>
    <row r="5749" spans="1:10">
      <c r="A5749" s="441">
        <v>9721</v>
      </c>
      <c r="B5749" s="441" t="s">
        <v>5060</v>
      </c>
      <c r="C5749" s="545">
        <v>3.8333333333333335</v>
      </c>
      <c r="D5749" s="545">
        <v>1.6666666666666667</v>
      </c>
      <c r="E5749" s="545">
        <v>2.6666666666666665</v>
      </c>
      <c r="F5749" s="545">
        <v>3.3571428571428577</v>
      </c>
      <c r="G5749" s="545">
        <v>0.7</v>
      </c>
      <c r="H5749" s="545">
        <v>0</v>
      </c>
      <c r="I5749" s="545">
        <v>0.66666666666666663</v>
      </c>
      <c r="J5749" s="545">
        <v>0.59523809523809523</v>
      </c>
    </row>
    <row r="5750" spans="1:10">
      <c r="A5750" s="441">
        <v>851</v>
      </c>
      <c r="B5750" s="441" t="s">
        <v>5061</v>
      </c>
      <c r="C5750" s="545">
        <v>25.833333333333332</v>
      </c>
      <c r="D5750" s="545">
        <v>8</v>
      </c>
      <c r="E5750" s="545">
        <v>5.6666666666666661</v>
      </c>
      <c r="F5750" s="545">
        <v>20.404761904761902</v>
      </c>
      <c r="G5750" s="545">
        <v>37.299999999999997</v>
      </c>
      <c r="H5750" s="545">
        <v>11.666666666666666</v>
      </c>
      <c r="I5750" s="545">
        <v>11.333333333333334</v>
      </c>
      <c r="J5750" s="545">
        <v>29.928571428571427</v>
      </c>
    </row>
    <row r="5751" spans="1:10">
      <c r="A5751" s="441">
        <v>9693</v>
      </c>
      <c r="B5751" s="441" t="s">
        <v>5062</v>
      </c>
      <c r="C5751" s="545">
        <v>3</v>
      </c>
      <c r="D5751" s="545">
        <v>0.33333333333333331</v>
      </c>
      <c r="E5751" s="545">
        <v>2</v>
      </c>
      <c r="F5751" s="545">
        <v>2.4761904761904767</v>
      </c>
      <c r="G5751" s="545">
        <v>1.1000000000000001</v>
      </c>
      <c r="H5751" s="545">
        <v>0</v>
      </c>
      <c r="I5751" s="545">
        <v>1</v>
      </c>
      <c r="J5751" s="545">
        <v>0.9285714285714286</v>
      </c>
    </row>
    <row r="5752" spans="1:10">
      <c r="A5752" s="441">
        <v>9735</v>
      </c>
      <c r="B5752" s="441" t="s">
        <v>5062</v>
      </c>
      <c r="C5752" s="545">
        <v>1.8333333333333333</v>
      </c>
      <c r="D5752" s="545">
        <v>0.33333333333333331</v>
      </c>
      <c r="E5752" s="545">
        <v>0</v>
      </c>
      <c r="F5752" s="545">
        <v>1.3571428571428572</v>
      </c>
      <c r="G5752" s="545">
        <v>1.85</v>
      </c>
      <c r="H5752" s="545">
        <v>0.33333333333333331</v>
      </c>
      <c r="I5752" s="545">
        <v>1.6666666666666667</v>
      </c>
      <c r="J5752" s="545">
        <v>1.6071428571428572</v>
      </c>
    </row>
    <row r="5753" spans="1:10">
      <c r="A5753" s="441">
        <v>9694</v>
      </c>
      <c r="B5753" s="441" t="s">
        <v>5063</v>
      </c>
      <c r="C5753" s="545">
        <v>11.833333333333334</v>
      </c>
      <c r="D5753" s="545">
        <v>6.6666666666666661</v>
      </c>
      <c r="E5753" s="545">
        <v>5.666666666666667</v>
      </c>
      <c r="F5753" s="545">
        <v>10.214285714285717</v>
      </c>
      <c r="G5753" s="545">
        <v>10.7</v>
      </c>
      <c r="H5753" s="545">
        <v>5.333333333333333</v>
      </c>
      <c r="I5753" s="545">
        <v>5.666666666666667</v>
      </c>
      <c r="J5753" s="545">
        <v>9.2142857142857135</v>
      </c>
    </row>
    <row r="5754" spans="1:10">
      <c r="A5754" s="441">
        <v>9722</v>
      </c>
      <c r="B5754" s="441" t="s">
        <v>5063</v>
      </c>
      <c r="C5754" s="545">
        <v>13</v>
      </c>
      <c r="D5754" s="545">
        <v>7.6666666666666661</v>
      </c>
      <c r="E5754" s="545">
        <v>5.6666666666666661</v>
      </c>
      <c r="F5754" s="545">
        <v>11.190476190476192</v>
      </c>
      <c r="G5754" s="545">
        <v>12.85</v>
      </c>
      <c r="H5754" s="545">
        <v>9.3333333333333339</v>
      </c>
      <c r="I5754" s="545">
        <v>10.333333333333334</v>
      </c>
      <c r="J5754" s="545">
        <v>11.988095238095237</v>
      </c>
    </row>
    <row r="5755" spans="1:10">
      <c r="A5755" s="441">
        <v>852</v>
      </c>
      <c r="B5755" s="441" t="s">
        <v>5064</v>
      </c>
      <c r="C5755" s="545">
        <v>3</v>
      </c>
      <c r="D5755" s="545">
        <v>0.33333333333333331</v>
      </c>
      <c r="E5755" s="545">
        <v>0.33333333333333331</v>
      </c>
      <c r="F5755" s="545">
        <v>2.2380952380952381</v>
      </c>
      <c r="G5755" s="545">
        <v>6.55</v>
      </c>
      <c r="H5755" s="545">
        <v>1</v>
      </c>
      <c r="I5755" s="545">
        <v>1.6666666666666667</v>
      </c>
      <c r="J5755" s="545">
        <v>5.0595238095238093</v>
      </c>
    </row>
    <row r="5756" spans="1:10">
      <c r="A5756" s="441">
        <v>853</v>
      </c>
      <c r="B5756" s="441" t="s">
        <v>5064</v>
      </c>
      <c r="C5756" s="545">
        <v>1</v>
      </c>
      <c r="D5756" s="545">
        <v>0.33333333333333331</v>
      </c>
      <c r="E5756" s="545">
        <v>0</v>
      </c>
      <c r="F5756" s="545">
        <v>0.76190476190476186</v>
      </c>
      <c r="G5756" s="545">
        <v>2.2000000000000002</v>
      </c>
      <c r="H5756" s="545">
        <v>0.33333333333333331</v>
      </c>
      <c r="I5756" s="545">
        <v>1.3333333333333333</v>
      </c>
      <c r="J5756" s="545">
        <v>1.8095238095238098</v>
      </c>
    </row>
    <row r="5757" spans="1:10">
      <c r="A5757" s="441">
        <v>9696</v>
      </c>
      <c r="B5757" s="441" t="s">
        <v>5065</v>
      </c>
      <c r="C5757" s="545">
        <v>35.333333333333329</v>
      </c>
      <c r="D5757" s="545">
        <v>18</v>
      </c>
      <c r="E5757" s="545">
        <v>17.666666666666664</v>
      </c>
      <c r="F5757" s="545">
        <v>30.333333333333325</v>
      </c>
      <c r="G5757" s="545">
        <v>24.7</v>
      </c>
      <c r="H5757" s="545">
        <v>10.333333333333334</v>
      </c>
      <c r="I5757" s="545">
        <v>12.666666666666666</v>
      </c>
      <c r="J5757" s="545">
        <v>20.928571428571427</v>
      </c>
    </row>
    <row r="5758" spans="1:10">
      <c r="A5758" s="441">
        <v>9720</v>
      </c>
      <c r="B5758" s="441" t="s">
        <v>5065</v>
      </c>
      <c r="C5758" s="545">
        <v>25.833333333333336</v>
      </c>
      <c r="D5758" s="545">
        <v>14.666666666666668</v>
      </c>
      <c r="E5758" s="545">
        <v>13.333333333333332</v>
      </c>
      <c r="F5758" s="545">
        <v>22.452380952380956</v>
      </c>
      <c r="G5758" s="545">
        <v>16.25</v>
      </c>
      <c r="H5758" s="545">
        <v>9.6666666666666661</v>
      </c>
      <c r="I5758" s="545">
        <v>9.3333333333333339</v>
      </c>
      <c r="J5758" s="545">
        <v>14.321428571428571</v>
      </c>
    </row>
    <row r="5759" spans="1:10">
      <c r="A5759" s="441">
        <v>11809</v>
      </c>
      <c r="B5759" s="441" t="s">
        <v>5066</v>
      </c>
      <c r="C5759" s="545">
        <v>29</v>
      </c>
      <c r="D5759" s="545">
        <v>24</v>
      </c>
      <c r="E5759" s="545">
        <v>25.333333333333336</v>
      </c>
      <c r="F5759" s="545">
        <v>27.761904761904763</v>
      </c>
      <c r="G5759" s="545">
        <v>8.6999999999999993</v>
      </c>
      <c r="H5759" s="545">
        <v>7</v>
      </c>
      <c r="I5759" s="545">
        <v>7</v>
      </c>
      <c r="J5759" s="545">
        <v>8.2142857142857135</v>
      </c>
    </row>
    <row r="5760" spans="1:10">
      <c r="A5760" s="441">
        <v>8069</v>
      </c>
      <c r="B5760" s="441" t="s">
        <v>5067</v>
      </c>
      <c r="C5760" s="545">
        <v>36.333333333333329</v>
      </c>
      <c r="D5760" s="545">
        <v>26.666666666666668</v>
      </c>
      <c r="E5760" s="545">
        <v>23.333333333333332</v>
      </c>
      <c r="F5760" s="545">
        <v>33.095238095238088</v>
      </c>
      <c r="G5760" s="545">
        <v>17</v>
      </c>
      <c r="H5760" s="545">
        <v>16.666666666666668</v>
      </c>
      <c r="I5760" s="545">
        <v>12</v>
      </c>
      <c r="J5760" s="545">
        <v>16.238095238095237</v>
      </c>
    </row>
    <row r="5761" spans="1:10">
      <c r="A5761" s="441">
        <v>13153</v>
      </c>
      <c r="B5761" s="441" t="s">
        <v>5068</v>
      </c>
      <c r="C5761" s="545">
        <v>0.33333333333333331</v>
      </c>
      <c r="D5761" s="545">
        <v>0.33333333333333331</v>
      </c>
      <c r="E5761" s="545">
        <v>0.66666666666666663</v>
      </c>
      <c r="F5761" s="545">
        <v>0.38095238095238093</v>
      </c>
      <c r="G5761" s="545">
        <v>0.9</v>
      </c>
      <c r="H5761" s="545">
        <v>3.3333333333333335</v>
      </c>
      <c r="I5761" s="545">
        <v>4.666666666666667</v>
      </c>
      <c r="J5761" s="545">
        <v>1.7857142857142858</v>
      </c>
    </row>
    <row r="5762" spans="1:10">
      <c r="A5762" s="441">
        <v>13154</v>
      </c>
      <c r="B5762" s="441" t="s">
        <v>5069</v>
      </c>
      <c r="C5762" s="545">
        <v>3.5</v>
      </c>
      <c r="D5762" s="545">
        <v>1.6666666666666665</v>
      </c>
      <c r="E5762" s="545">
        <v>0</v>
      </c>
      <c r="F5762" s="545">
        <v>2.7380952380952381</v>
      </c>
      <c r="G5762" s="545">
        <v>2.95</v>
      </c>
      <c r="H5762" s="545">
        <v>3.3333333333333335</v>
      </c>
      <c r="I5762" s="545">
        <v>1.6666666666666667</v>
      </c>
      <c r="J5762" s="545">
        <v>2.8214285714285716</v>
      </c>
    </row>
    <row r="5763" spans="1:10">
      <c r="A5763" s="441">
        <v>13156</v>
      </c>
      <c r="B5763" s="441" t="s">
        <v>5070</v>
      </c>
      <c r="C5763" s="545">
        <v>5.5</v>
      </c>
      <c r="D5763" s="545">
        <v>2.3333333333333335</v>
      </c>
      <c r="E5763" s="545">
        <v>0.66666666666666663</v>
      </c>
      <c r="F5763" s="545">
        <v>4.3571428571428568</v>
      </c>
      <c r="G5763" s="545">
        <v>2</v>
      </c>
      <c r="H5763" s="545">
        <v>0.33333333333333331</v>
      </c>
      <c r="I5763" s="545">
        <v>0</v>
      </c>
      <c r="J5763" s="545">
        <v>1.4761904761904763</v>
      </c>
    </row>
    <row r="5764" spans="1:10">
      <c r="A5764" s="441">
        <v>13155</v>
      </c>
      <c r="B5764" s="441" t="s">
        <v>5071</v>
      </c>
      <c r="C5764" s="545">
        <v>2.3333333333333335</v>
      </c>
      <c r="D5764" s="545">
        <v>0</v>
      </c>
      <c r="E5764" s="545">
        <v>1.3333333333333333</v>
      </c>
      <c r="F5764" s="545">
        <v>1.8571428571428574</v>
      </c>
      <c r="G5764" s="545">
        <v>0.7</v>
      </c>
      <c r="H5764" s="545">
        <v>1.6666666666666667</v>
      </c>
      <c r="I5764" s="545">
        <v>0.66666666666666663</v>
      </c>
      <c r="J5764" s="545">
        <v>0.83333333333333337</v>
      </c>
    </row>
    <row r="5765" spans="1:10">
      <c r="A5765" s="441">
        <v>12004</v>
      </c>
      <c r="B5765" s="441" t="s">
        <v>5072</v>
      </c>
      <c r="C5765" s="545">
        <v>236.33333333333334</v>
      </c>
      <c r="D5765" s="545">
        <v>219.66666666666666</v>
      </c>
      <c r="E5765" s="545">
        <v>153.33333333333331</v>
      </c>
      <c r="F5765" s="545">
        <v>222.0952380952381</v>
      </c>
      <c r="G5765" s="545">
        <v>149.9</v>
      </c>
      <c r="H5765" s="545">
        <v>113.33333333333333</v>
      </c>
      <c r="I5765" s="545">
        <v>102</v>
      </c>
      <c r="J5765" s="545">
        <v>137.83333333333334</v>
      </c>
    </row>
    <row r="5766" spans="1:10">
      <c r="A5766" s="441">
        <v>12319</v>
      </c>
      <c r="B5766" s="441" t="s">
        <v>5072</v>
      </c>
      <c r="C5766" s="545">
        <v>215.33333333333334</v>
      </c>
      <c r="D5766" s="545">
        <v>175.33333333333334</v>
      </c>
      <c r="E5766" s="545">
        <v>133.33333333333334</v>
      </c>
      <c r="F5766" s="545">
        <v>197.9047619047619</v>
      </c>
      <c r="G5766" s="545">
        <v>144.44999999999999</v>
      </c>
      <c r="H5766" s="545">
        <v>111</v>
      </c>
      <c r="I5766" s="545">
        <v>87.666666666666671</v>
      </c>
      <c r="J5766" s="545">
        <v>131.5595238095238</v>
      </c>
    </row>
    <row r="5767" spans="1:10">
      <c r="A5767" s="441">
        <v>12022</v>
      </c>
      <c r="B5767" s="441" t="s">
        <v>5073</v>
      </c>
      <c r="C5767" s="545">
        <v>43.666666666666671</v>
      </c>
      <c r="D5767" s="545">
        <v>34.333333333333329</v>
      </c>
      <c r="E5767" s="545">
        <v>30</v>
      </c>
      <c r="F5767" s="545">
        <v>40.380952380952387</v>
      </c>
      <c r="G5767" s="545">
        <v>28.15</v>
      </c>
      <c r="H5767" s="545">
        <v>16.333333333333332</v>
      </c>
      <c r="I5767" s="545">
        <v>13.333333333333334</v>
      </c>
      <c r="J5767" s="545">
        <v>24.345238095238098</v>
      </c>
    </row>
    <row r="5768" spans="1:10">
      <c r="A5768" s="441">
        <v>12007</v>
      </c>
      <c r="B5768" s="441" t="s">
        <v>5074</v>
      </c>
      <c r="C5768" s="545">
        <v>38.333333333333329</v>
      </c>
      <c r="D5768" s="545">
        <v>34.666666666666664</v>
      </c>
      <c r="E5768" s="545">
        <v>22.333333333333332</v>
      </c>
      <c r="F5768" s="545">
        <v>35.523809523809518</v>
      </c>
      <c r="G5768" s="545">
        <v>30.3</v>
      </c>
      <c r="H5768" s="545">
        <v>16.333333333333332</v>
      </c>
      <c r="I5768" s="545">
        <v>17</v>
      </c>
      <c r="J5768" s="545">
        <v>26.404761904761905</v>
      </c>
    </row>
    <row r="5769" spans="1:10">
      <c r="A5769" s="441">
        <v>12000</v>
      </c>
      <c r="B5769" s="441" t="s">
        <v>5075</v>
      </c>
      <c r="C5769" s="545">
        <v>55.333333333333336</v>
      </c>
      <c r="D5769" s="545">
        <v>44</v>
      </c>
      <c r="E5769" s="545">
        <v>29</v>
      </c>
      <c r="F5769" s="545">
        <v>49.952380952380956</v>
      </c>
      <c r="G5769" s="545">
        <v>22.75</v>
      </c>
      <c r="H5769" s="545">
        <v>20.333333333333332</v>
      </c>
      <c r="I5769" s="545">
        <v>20.333333333333332</v>
      </c>
      <c r="J5769" s="545">
        <v>22.059523809523814</v>
      </c>
    </row>
    <row r="5770" spans="1:10">
      <c r="A5770" s="441">
        <v>12006</v>
      </c>
      <c r="B5770" s="441" t="s">
        <v>5076</v>
      </c>
      <c r="C5770" s="545">
        <v>24</v>
      </c>
      <c r="D5770" s="545">
        <v>16</v>
      </c>
      <c r="E5770" s="545">
        <v>13.333333333333332</v>
      </c>
      <c r="F5770" s="545">
        <v>21.333333333333336</v>
      </c>
      <c r="G5770" s="545">
        <v>13.8</v>
      </c>
      <c r="H5770" s="545">
        <v>6.333333333333333</v>
      </c>
      <c r="I5770" s="545">
        <v>7</v>
      </c>
      <c r="J5770" s="545">
        <v>11.761904761904761</v>
      </c>
    </row>
    <row r="5771" spans="1:10">
      <c r="A5771" s="441">
        <v>12317</v>
      </c>
      <c r="B5771" s="441" t="s">
        <v>5077</v>
      </c>
      <c r="C5771" s="545">
        <v>24.833333333333332</v>
      </c>
      <c r="D5771" s="545">
        <v>17.333333333333336</v>
      </c>
      <c r="E5771" s="545">
        <v>15.666666666666668</v>
      </c>
      <c r="F5771" s="545">
        <v>22.452380952380953</v>
      </c>
      <c r="G5771" s="545">
        <v>14.85</v>
      </c>
      <c r="H5771" s="545">
        <v>8.6666666666666661</v>
      </c>
      <c r="I5771" s="545">
        <v>5</v>
      </c>
      <c r="J5771" s="545">
        <v>12.55952380952381</v>
      </c>
    </row>
    <row r="5772" spans="1:10">
      <c r="A5772" s="441">
        <v>12005</v>
      </c>
      <c r="B5772" s="441" t="s">
        <v>5078</v>
      </c>
      <c r="C5772" s="545">
        <v>4.5</v>
      </c>
      <c r="D5772" s="545">
        <v>1.3333333333333333</v>
      </c>
      <c r="E5772" s="545">
        <v>0.33333333333333331</v>
      </c>
      <c r="F5772" s="545">
        <v>3.4523809523809521</v>
      </c>
      <c r="G5772" s="545">
        <v>3.35</v>
      </c>
      <c r="H5772" s="545">
        <v>2.6666666666666665</v>
      </c>
      <c r="I5772" s="545">
        <v>3</v>
      </c>
      <c r="J5772" s="545">
        <v>3.2023809523809526</v>
      </c>
    </row>
    <row r="5773" spans="1:10">
      <c r="A5773" s="441">
        <v>12318</v>
      </c>
      <c r="B5773" s="441" t="s">
        <v>5079</v>
      </c>
      <c r="C5773" s="545">
        <v>2.166666666666667</v>
      </c>
      <c r="D5773" s="545">
        <v>2</v>
      </c>
      <c r="E5773" s="545">
        <v>1.3333333333333333</v>
      </c>
      <c r="F5773" s="545">
        <v>2.0238095238095242</v>
      </c>
      <c r="G5773" s="545">
        <v>2.25</v>
      </c>
      <c r="H5773" s="545">
        <v>2.3333333333333335</v>
      </c>
      <c r="I5773" s="545">
        <v>1.6666666666666667</v>
      </c>
      <c r="J5773" s="545">
        <v>2.1785714285714284</v>
      </c>
    </row>
    <row r="5774" spans="1:10">
      <c r="A5774" s="441">
        <v>11997</v>
      </c>
      <c r="B5774" s="441" t="s">
        <v>5080</v>
      </c>
      <c r="C5774" s="545">
        <v>94.333333333333329</v>
      </c>
      <c r="D5774" s="545">
        <v>17</v>
      </c>
      <c r="E5774" s="545">
        <v>7.6666666666666661</v>
      </c>
      <c r="F5774" s="545">
        <v>70.904761904761898</v>
      </c>
      <c r="G5774" s="545">
        <v>35.65</v>
      </c>
      <c r="H5774" s="545">
        <v>4</v>
      </c>
      <c r="I5774" s="545">
        <v>2.6666666666666665</v>
      </c>
      <c r="J5774" s="545">
        <v>26.416666666666664</v>
      </c>
    </row>
    <row r="5775" spans="1:10">
      <c r="A5775" s="441">
        <v>11998</v>
      </c>
      <c r="B5775" s="441" t="s">
        <v>5080</v>
      </c>
      <c r="C5775" s="545">
        <v>74.833333333333343</v>
      </c>
      <c r="D5775" s="545">
        <v>18.666666666666668</v>
      </c>
      <c r="E5775" s="545">
        <v>4.333333333333333</v>
      </c>
      <c r="F5775" s="545">
        <v>56.738095238095248</v>
      </c>
      <c r="G5775" s="545">
        <v>34.200000000000003</v>
      </c>
      <c r="H5775" s="545">
        <v>4.666666666666667</v>
      </c>
      <c r="I5775" s="545">
        <v>6.333333333333333</v>
      </c>
      <c r="J5775" s="545">
        <v>26</v>
      </c>
    </row>
    <row r="5776" spans="1:10">
      <c r="A5776" s="441">
        <v>11999</v>
      </c>
      <c r="B5776" s="441" t="s">
        <v>5081</v>
      </c>
      <c r="C5776" s="545">
        <v>45.833333333333329</v>
      </c>
      <c r="D5776" s="545">
        <v>38</v>
      </c>
      <c r="E5776" s="545">
        <v>23.333333333333332</v>
      </c>
      <c r="F5776" s="545">
        <v>41.499999999999993</v>
      </c>
      <c r="G5776" s="545">
        <v>23.15</v>
      </c>
      <c r="H5776" s="545">
        <v>20</v>
      </c>
      <c r="I5776" s="545">
        <v>19</v>
      </c>
      <c r="J5776" s="545">
        <v>22.107142857142858</v>
      </c>
    </row>
    <row r="5777" spans="1:10">
      <c r="A5777" s="441">
        <v>2364</v>
      </c>
      <c r="B5777" s="441" t="s">
        <v>5082</v>
      </c>
      <c r="C5777" s="545">
        <v>37.166666666666664</v>
      </c>
      <c r="D5777" s="545">
        <v>16.333333333333336</v>
      </c>
      <c r="E5777" s="545">
        <v>6</v>
      </c>
      <c r="F5777" s="545">
        <v>29.738095238095237</v>
      </c>
      <c r="G5777" s="545">
        <v>26.5</v>
      </c>
      <c r="H5777" s="545">
        <v>7.666666666666667</v>
      </c>
      <c r="I5777" s="545">
        <v>6</v>
      </c>
      <c r="J5777" s="545">
        <v>20.88095238095238</v>
      </c>
    </row>
    <row r="5778" spans="1:10">
      <c r="A5778" s="441">
        <v>12032</v>
      </c>
      <c r="B5778" s="441" t="s">
        <v>5082</v>
      </c>
      <c r="C5778" s="545">
        <v>36.666666666666671</v>
      </c>
      <c r="D5778" s="545">
        <v>18.333333333333336</v>
      </c>
      <c r="E5778" s="545">
        <v>7</v>
      </c>
      <c r="F5778" s="545">
        <v>29.809523809523817</v>
      </c>
      <c r="G5778" s="545">
        <v>26.9</v>
      </c>
      <c r="H5778" s="545">
        <v>8</v>
      </c>
      <c r="I5778" s="545">
        <v>3.3333333333333335</v>
      </c>
      <c r="J5778" s="545">
        <v>20.833333333333336</v>
      </c>
    </row>
    <row r="5779" spans="1:10">
      <c r="A5779" s="441">
        <v>5491</v>
      </c>
      <c r="B5779" s="441" t="s">
        <v>5083</v>
      </c>
      <c r="C5779" s="545">
        <v>2</v>
      </c>
      <c r="D5779" s="545">
        <v>1.3333333333333333</v>
      </c>
      <c r="E5779" s="545">
        <v>1</v>
      </c>
      <c r="F5779" s="545">
        <v>1.7619047619047621</v>
      </c>
      <c r="G5779" s="545">
        <v>1</v>
      </c>
      <c r="H5779" s="545">
        <v>1</v>
      </c>
      <c r="I5779" s="545">
        <v>0.66666666666666663</v>
      </c>
      <c r="J5779" s="545">
        <v>0.95238095238095244</v>
      </c>
    </row>
    <row r="5780" spans="1:10">
      <c r="A5780" s="441">
        <v>5510</v>
      </c>
      <c r="B5780" s="441" t="s">
        <v>5083</v>
      </c>
      <c r="C5780" s="545">
        <v>1</v>
      </c>
      <c r="D5780" s="545">
        <v>0.66666666666666663</v>
      </c>
      <c r="E5780" s="545">
        <v>0.66666666666666663</v>
      </c>
      <c r="F5780" s="545">
        <v>0.90476190476190488</v>
      </c>
      <c r="G5780" s="545">
        <v>1.1000000000000001</v>
      </c>
      <c r="H5780" s="545">
        <v>0.33333333333333331</v>
      </c>
      <c r="I5780" s="545">
        <v>1</v>
      </c>
      <c r="J5780" s="545">
        <v>0.97619047619047616</v>
      </c>
    </row>
    <row r="5781" spans="1:10">
      <c r="A5781" s="441">
        <v>5511</v>
      </c>
      <c r="B5781" s="441" t="s">
        <v>5084</v>
      </c>
      <c r="C5781" s="545">
        <v>0</v>
      </c>
      <c r="D5781" s="545">
        <v>0</v>
      </c>
      <c r="E5781" s="545">
        <v>1</v>
      </c>
      <c r="F5781" s="545">
        <v>0.14285714285714285</v>
      </c>
      <c r="G5781" s="545">
        <v>0.45</v>
      </c>
      <c r="H5781" s="545">
        <v>2.3333333333333335</v>
      </c>
      <c r="I5781" s="545">
        <v>0.66666666666666663</v>
      </c>
      <c r="J5781" s="545">
        <v>0.75000000000000011</v>
      </c>
    </row>
    <row r="5782" spans="1:10">
      <c r="A5782" s="441">
        <v>5492</v>
      </c>
      <c r="B5782" s="441" t="s">
        <v>5085</v>
      </c>
      <c r="C5782" s="545">
        <v>3.5</v>
      </c>
      <c r="D5782" s="545">
        <v>0.66666666666666663</v>
      </c>
      <c r="E5782" s="545">
        <v>2</v>
      </c>
      <c r="F5782" s="545">
        <v>2.8809523809523809</v>
      </c>
      <c r="G5782" s="545">
        <v>0.9</v>
      </c>
      <c r="H5782" s="545">
        <v>0.66666666666666663</v>
      </c>
      <c r="I5782" s="545">
        <v>0.33333333333333331</v>
      </c>
      <c r="J5782" s="545">
        <v>0.7857142857142857</v>
      </c>
    </row>
    <row r="5783" spans="1:10">
      <c r="A5783" s="441">
        <v>10444</v>
      </c>
      <c r="B5783" s="441" t="s">
        <v>5086</v>
      </c>
      <c r="C5783" s="545">
        <v>10.5</v>
      </c>
      <c r="D5783" s="545">
        <v>6.333333333333333</v>
      </c>
      <c r="E5783" s="545">
        <v>6</v>
      </c>
      <c r="F5783" s="545">
        <v>9.2619047619047628</v>
      </c>
      <c r="G5783" s="545">
        <v>9.6</v>
      </c>
      <c r="H5783" s="545">
        <v>4.666666666666667</v>
      </c>
      <c r="I5783" s="545">
        <v>2.6666666666666665</v>
      </c>
      <c r="J5783" s="545">
        <v>7.9047619047619042</v>
      </c>
    </row>
    <row r="5784" spans="1:10">
      <c r="A5784" s="441">
        <v>10445</v>
      </c>
      <c r="B5784" s="441" t="s">
        <v>5086</v>
      </c>
      <c r="C5784" s="545">
        <v>31</v>
      </c>
      <c r="D5784" s="545">
        <v>10</v>
      </c>
      <c r="E5784" s="545">
        <v>7</v>
      </c>
      <c r="F5784" s="545">
        <v>24.571428571428573</v>
      </c>
      <c r="G5784" s="545">
        <v>14.65</v>
      </c>
      <c r="H5784" s="545">
        <v>8</v>
      </c>
      <c r="I5784" s="545">
        <v>6.333333333333333</v>
      </c>
      <c r="J5784" s="545">
        <v>12.511904761904761</v>
      </c>
    </row>
    <row r="5785" spans="1:10">
      <c r="A5785" s="441">
        <v>10443</v>
      </c>
      <c r="B5785" s="441" t="s">
        <v>5087</v>
      </c>
      <c r="C5785" s="545">
        <v>14.166666666666666</v>
      </c>
      <c r="D5785" s="545">
        <v>12.666666666666668</v>
      </c>
      <c r="E5785" s="545">
        <v>12</v>
      </c>
      <c r="F5785" s="545">
        <v>13.642857142857142</v>
      </c>
      <c r="G5785" s="545">
        <v>8.15</v>
      </c>
      <c r="H5785" s="545">
        <v>1.3333333333333333</v>
      </c>
      <c r="I5785" s="545">
        <v>2</v>
      </c>
      <c r="J5785" s="545">
        <v>6.2976190476190483</v>
      </c>
    </row>
    <row r="5786" spans="1:10">
      <c r="A5786" s="441">
        <v>10448</v>
      </c>
      <c r="B5786" s="441" t="s">
        <v>5087</v>
      </c>
      <c r="C5786" s="545">
        <v>23.333333333333336</v>
      </c>
      <c r="D5786" s="545">
        <v>14.666666666666668</v>
      </c>
      <c r="E5786" s="545">
        <v>15.666666666666666</v>
      </c>
      <c r="F5786" s="545">
        <v>21</v>
      </c>
      <c r="G5786" s="545">
        <v>13.2</v>
      </c>
      <c r="H5786" s="545">
        <v>1.6666666666666667</v>
      </c>
      <c r="I5786" s="545">
        <v>3.3333333333333335</v>
      </c>
      <c r="J5786" s="545">
        <v>10.142857142857142</v>
      </c>
    </row>
    <row r="5787" spans="1:10">
      <c r="A5787" s="441">
        <v>10466</v>
      </c>
      <c r="B5787" s="441" t="s">
        <v>5088</v>
      </c>
      <c r="C5787" s="545">
        <v>0</v>
      </c>
      <c r="D5787" s="545">
        <v>0</v>
      </c>
      <c r="E5787" s="545">
        <v>0</v>
      </c>
      <c r="F5787" s="545">
        <v>0</v>
      </c>
      <c r="G5787" s="545">
        <v>0.25</v>
      </c>
      <c r="H5787" s="545">
        <v>0.66666666666666663</v>
      </c>
      <c r="I5787" s="545">
        <v>0.33333333333333331</v>
      </c>
      <c r="J5787" s="545">
        <v>0.32142857142857145</v>
      </c>
    </row>
    <row r="5788" spans="1:10">
      <c r="A5788" s="441">
        <v>10446</v>
      </c>
      <c r="B5788" s="441" t="s">
        <v>5089</v>
      </c>
      <c r="C5788" s="545">
        <v>4.333333333333333</v>
      </c>
      <c r="D5788" s="545">
        <v>3</v>
      </c>
      <c r="E5788" s="545">
        <v>4.3333333333333339</v>
      </c>
      <c r="F5788" s="545">
        <v>4.1428571428571432</v>
      </c>
      <c r="G5788" s="545">
        <v>7.95</v>
      </c>
      <c r="H5788" s="545">
        <v>3</v>
      </c>
      <c r="I5788" s="545">
        <v>4</v>
      </c>
      <c r="J5788" s="545">
        <v>6.6785714285714288</v>
      </c>
    </row>
    <row r="5789" spans="1:10">
      <c r="A5789" s="441">
        <v>12983</v>
      </c>
      <c r="B5789" s="441" t="s">
        <v>5090</v>
      </c>
      <c r="C5789" s="545">
        <v>5</v>
      </c>
      <c r="D5789" s="545">
        <v>2</v>
      </c>
      <c r="E5789" s="545">
        <v>2.666666666666667</v>
      </c>
      <c r="F5789" s="545">
        <v>4.2380952380952381</v>
      </c>
      <c r="G5789" s="545">
        <v>7.2</v>
      </c>
      <c r="H5789" s="545">
        <v>1</v>
      </c>
      <c r="I5789" s="545">
        <v>2</v>
      </c>
      <c r="J5789" s="545">
        <v>5.5714285714285712</v>
      </c>
    </row>
    <row r="5790" spans="1:10">
      <c r="A5790" s="441">
        <v>9369</v>
      </c>
      <c r="B5790" s="441" t="s">
        <v>5091</v>
      </c>
      <c r="C5790" s="545">
        <v>37.166666666666664</v>
      </c>
      <c r="D5790" s="545">
        <v>49</v>
      </c>
      <c r="E5790" s="545">
        <v>41.333333333333336</v>
      </c>
      <c r="F5790" s="545">
        <v>39.452380952380949</v>
      </c>
      <c r="G5790" s="545">
        <v>28.25</v>
      </c>
      <c r="H5790" s="545">
        <v>17</v>
      </c>
      <c r="I5790" s="545">
        <v>23</v>
      </c>
      <c r="J5790" s="545">
        <v>25.892857142857142</v>
      </c>
    </row>
    <row r="5791" spans="1:10">
      <c r="A5791" s="441">
        <v>9368</v>
      </c>
      <c r="B5791" s="441" t="s">
        <v>5092</v>
      </c>
      <c r="C5791" s="545">
        <v>33.666666666666671</v>
      </c>
      <c r="D5791" s="545">
        <v>9.3333333333333339</v>
      </c>
      <c r="E5791" s="545">
        <v>14.666666666666668</v>
      </c>
      <c r="F5791" s="545">
        <v>27.476190476190482</v>
      </c>
      <c r="G5791" s="545">
        <v>29.1</v>
      </c>
      <c r="H5791" s="545">
        <v>18.666666666666668</v>
      </c>
      <c r="I5791" s="545">
        <v>18.333333333333332</v>
      </c>
      <c r="J5791" s="545">
        <v>26.071428571428573</v>
      </c>
    </row>
    <row r="5792" spans="1:10">
      <c r="A5792" s="441">
        <v>9367</v>
      </c>
      <c r="B5792" s="441" t="s">
        <v>5093</v>
      </c>
      <c r="C5792" s="545">
        <v>80.166666666666671</v>
      </c>
      <c r="D5792" s="545">
        <v>25</v>
      </c>
      <c r="E5792" s="545">
        <v>17.333333333333332</v>
      </c>
      <c r="F5792" s="545">
        <v>63.30952380952381</v>
      </c>
      <c r="G5792" s="545">
        <v>68.3</v>
      </c>
      <c r="H5792" s="545">
        <v>46</v>
      </c>
      <c r="I5792" s="545">
        <v>35</v>
      </c>
      <c r="J5792" s="545">
        <v>60.357142857142854</v>
      </c>
    </row>
    <row r="5793" spans="1:10">
      <c r="A5793" s="441">
        <v>9370</v>
      </c>
      <c r="B5793" s="441" t="s">
        <v>5094</v>
      </c>
      <c r="C5793" s="545">
        <v>26.333333333333332</v>
      </c>
      <c r="D5793" s="545">
        <v>7.666666666666667</v>
      </c>
      <c r="E5793" s="545">
        <v>11.333333333333332</v>
      </c>
      <c r="F5793" s="545">
        <v>21.523809523809522</v>
      </c>
      <c r="G5793" s="545">
        <v>8</v>
      </c>
      <c r="H5793" s="545">
        <v>5.333333333333333</v>
      </c>
      <c r="I5793" s="545">
        <v>3</v>
      </c>
      <c r="J5793" s="545">
        <v>6.9047619047619051</v>
      </c>
    </row>
    <row r="5794" spans="1:10">
      <c r="A5794" s="441">
        <v>11043</v>
      </c>
      <c r="B5794" s="441" t="s">
        <v>5095</v>
      </c>
      <c r="C5794" s="545">
        <v>61</v>
      </c>
      <c r="D5794" s="545">
        <v>43</v>
      </c>
      <c r="E5794" s="545">
        <v>32</v>
      </c>
      <c r="F5794" s="545">
        <v>54.285714285714285</v>
      </c>
      <c r="G5794" s="545">
        <v>43.5</v>
      </c>
      <c r="H5794" s="545">
        <v>39</v>
      </c>
      <c r="I5794" s="545">
        <v>19.333333333333332</v>
      </c>
      <c r="J5794" s="545">
        <v>39.404761904761905</v>
      </c>
    </row>
    <row r="5795" spans="1:10">
      <c r="A5795" s="441">
        <v>9366</v>
      </c>
      <c r="B5795" s="441" t="s">
        <v>5096</v>
      </c>
      <c r="C5795" s="545">
        <v>520.33333333333337</v>
      </c>
      <c r="D5795" s="545">
        <v>370.33333333333337</v>
      </c>
      <c r="E5795" s="545">
        <v>327.66666666666669</v>
      </c>
      <c r="F5795" s="545">
        <v>471.38095238095241</v>
      </c>
      <c r="G5795" s="545">
        <v>517.70000000000005</v>
      </c>
      <c r="H5795" s="545">
        <v>347.66666666666669</v>
      </c>
      <c r="I5795" s="545">
        <v>277.66666666666669</v>
      </c>
      <c r="J5795" s="545">
        <v>459.11904761904759</v>
      </c>
    </row>
    <row r="5796" spans="1:10">
      <c r="A5796" s="441">
        <v>10553</v>
      </c>
      <c r="B5796" s="441" t="s">
        <v>5097</v>
      </c>
      <c r="C5796" s="545">
        <v>76.666666666666657</v>
      </c>
      <c r="D5796" s="545">
        <v>46.333333333333336</v>
      </c>
      <c r="E5796" s="545">
        <v>47.333333333333329</v>
      </c>
      <c r="F5796" s="545">
        <v>68.142857142857125</v>
      </c>
      <c r="G5796" s="545">
        <v>66.2</v>
      </c>
      <c r="H5796" s="545">
        <v>50</v>
      </c>
      <c r="I5796" s="545">
        <v>45.666666666666664</v>
      </c>
      <c r="J5796" s="545">
        <v>60.952380952380956</v>
      </c>
    </row>
    <row r="5797" spans="1:10">
      <c r="A5797" s="441">
        <v>618</v>
      </c>
      <c r="B5797" s="441" t="s">
        <v>5098</v>
      </c>
      <c r="C5797" s="545">
        <v>18.833333333333332</v>
      </c>
      <c r="D5797" s="545">
        <v>17.333333333333332</v>
      </c>
      <c r="E5797" s="545">
        <v>13.333333333333334</v>
      </c>
      <c r="F5797" s="545">
        <v>17.833333333333332</v>
      </c>
      <c r="G5797" s="545">
        <v>16.2</v>
      </c>
      <c r="H5797" s="545">
        <v>12</v>
      </c>
      <c r="I5797" s="545">
        <v>7</v>
      </c>
      <c r="J5797" s="545">
        <v>14.285714285714286</v>
      </c>
    </row>
    <row r="5798" spans="1:10">
      <c r="A5798" s="441">
        <v>9364</v>
      </c>
      <c r="B5798" s="441" t="s">
        <v>5099</v>
      </c>
      <c r="C5798" s="545">
        <v>61.833333333333336</v>
      </c>
      <c r="D5798" s="545">
        <v>9.6666666666666661</v>
      </c>
      <c r="E5798" s="545">
        <v>15.333333333333332</v>
      </c>
      <c r="F5798" s="545">
        <v>47.738095238095241</v>
      </c>
      <c r="G5798" s="545">
        <v>20.5</v>
      </c>
      <c r="H5798" s="545">
        <v>7</v>
      </c>
      <c r="I5798" s="545">
        <v>11</v>
      </c>
      <c r="J5798" s="545">
        <v>17.214285714285715</v>
      </c>
    </row>
    <row r="5799" spans="1:10">
      <c r="A5799" s="441">
        <v>9365</v>
      </c>
      <c r="B5799" s="441" t="s">
        <v>5100</v>
      </c>
      <c r="C5799" s="545">
        <v>898.16666666666674</v>
      </c>
      <c r="D5799" s="545">
        <v>532.33333333333337</v>
      </c>
      <c r="E5799" s="545">
        <v>436.33333333333331</v>
      </c>
      <c r="F5799" s="545">
        <v>779.92857142857144</v>
      </c>
      <c r="G5799" s="545">
        <v>646.25</v>
      </c>
      <c r="H5799" s="545">
        <v>493</v>
      </c>
      <c r="I5799" s="545">
        <v>404.66666666666669</v>
      </c>
      <c r="J5799" s="545">
        <v>589.84523809523819</v>
      </c>
    </row>
    <row r="5800" spans="1:10">
      <c r="A5800" s="441">
        <v>6409</v>
      </c>
      <c r="B5800" s="441" t="s">
        <v>5101</v>
      </c>
      <c r="C5800" s="545">
        <v>3</v>
      </c>
      <c r="D5800" s="545">
        <v>2.333333333333333</v>
      </c>
      <c r="E5800" s="545">
        <v>0.33333333333333331</v>
      </c>
      <c r="F5800" s="545">
        <v>2.5238095238095233</v>
      </c>
      <c r="G5800" s="545">
        <v>1.1499999999999999</v>
      </c>
      <c r="H5800" s="545">
        <v>0.66666666666666663</v>
      </c>
      <c r="I5800" s="545">
        <v>0.33333333333333331</v>
      </c>
      <c r="J5800" s="545">
        <v>0.9642857142857143</v>
      </c>
    </row>
    <row r="5801" spans="1:10">
      <c r="A5801" s="441">
        <v>6414</v>
      </c>
      <c r="B5801" s="441" t="s">
        <v>5101</v>
      </c>
      <c r="C5801" s="545">
        <v>7.8333333333333339</v>
      </c>
      <c r="D5801" s="545">
        <v>6</v>
      </c>
      <c r="E5801" s="545">
        <v>7</v>
      </c>
      <c r="F5801" s="545">
        <v>7.4523809523809534</v>
      </c>
      <c r="G5801" s="545">
        <v>5.9</v>
      </c>
      <c r="H5801" s="545">
        <v>3.3333333333333335</v>
      </c>
      <c r="I5801" s="545">
        <v>4</v>
      </c>
      <c r="J5801" s="545">
        <v>5.2619047619047619</v>
      </c>
    </row>
    <row r="5802" spans="1:10">
      <c r="A5802" s="441">
        <v>10232</v>
      </c>
      <c r="B5802" s="441" t="s">
        <v>5101</v>
      </c>
      <c r="C5802" s="545">
        <v>8.5</v>
      </c>
      <c r="D5802" s="545">
        <v>5.666666666666667</v>
      </c>
      <c r="E5802" s="545">
        <v>4.333333333333333</v>
      </c>
      <c r="F5802" s="545">
        <v>7.5</v>
      </c>
      <c r="G5802" s="545">
        <v>7.6</v>
      </c>
      <c r="H5802" s="545">
        <v>4.333333333333333</v>
      </c>
      <c r="I5802" s="545">
        <v>4</v>
      </c>
      <c r="J5802" s="545">
        <v>6.6190476190476195</v>
      </c>
    </row>
    <row r="5803" spans="1:10">
      <c r="A5803" s="441">
        <v>6407</v>
      </c>
      <c r="B5803" s="441" t="s">
        <v>5102</v>
      </c>
      <c r="C5803" s="545">
        <v>11.666666666666668</v>
      </c>
      <c r="D5803" s="545">
        <v>8</v>
      </c>
      <c r="E5803" s="545">
        <v>3</v>
      </c>
      <c r="F5803" s="545">
        <v>9.9047619047619069</v>
      </c>
      <c r="G5803" s="545">
        <v>5.8</v>
      </c>
      <c r="H5803" s="545">
        <v>4</v>
      </c>
      <c r="I5803" s="545">
        <v>1</v>
      </c>
      <c r="J5803" s="545">
        <v>4.8571428571428568</v>
      </c>
    </row>
    <row r="5804" spans="1:10">
      <c r="A5804" s="441">
        <v>6416</v>
      </c>
      <c r="B5804" s="441" t="s">
        <v>5102</v>
      </c>
      <c r="C5804" s="545">
        <v>10</v>
      </c>
      <c r="D5804" s="545">
        <v>8</v>
      </c>
      <c r="E5804" s="545">
        <v>9</v>
      </c>
      <c r="F5804" s="545">
        <v>9.5714285714285712</v>
      </c>
      <c r="G5804" s="545">
        <v>7.35</v>
      </c>
      <c r="H5804" s="545">
        <v>5.333333333333333</v>
      </c>
      <c r="I5804" s="545">
        <v>4</v>
      </c>
      <c r="J5804" s="545">
        <v>6.5833333333333339</v>
      </c>
    </row>
    <row r="5805" spans="1:10">
      <c r="A5805" s="441">
        <v>10120</v>
      </c>
      <c r="B5805" s="441" t="s">
        <v>5103</v>
      </c>
      <c r="C5805" s="545">
        <v>3.333333333333333</v>
      </c>
      <c r="D5805" s="545">
        <v>0.33333333333333331</v>
      </c>
      <c r="E5805" s="545">
        <v>0</v>
      </c>
      <c r="F5805" s="545">
        <v>2.4285714285714279</v>
      </c>
      <c r="G5805" s="545">
        <v>0.95</v>
      </c>
      <c r="H5805" s="545">
        <v>0</v>
      </c>
      <c r="I5805" s="545">
        <v>1</v>
      </c>
      <c r="J5805" s="545">
        <v>0.8214285714285714</v>
      </c>
    </row>
    <row r="5806" spans="1:10">
      <c r="A5806" s="441">
        <v>6410</v>
      </c>
      <c r="B5806" s="441" t="s">
        <v>5104</v>
      </c>
      <c r="C5806" s="545">
        <v>7.1666666666666661</v>
      </c>
      <c r="D5806" s="545">
        <v>1</v>
      </c>
      <c r="E5806" s="545">
        <v>1.3333333333333333</v>
      </c>
      <c r="F5806" s="545">
        <v>5.4523809523809517</v>
      </c>
      <c r="G5806" s="545">
        <v>2.95</v>
      </c>
      <c r="H5806" s="545">
        <v>1</v>
      </c>
      <c r="I5806" s="545">
        <v>0.33333333333333331</v>
      </c>
      <c r="J5806" s="545">
        <v>2.2976190476190474</v>
      </c>
    </row>
    <row r="5807" spans="1:10">
      <c r="A5807" s="441">
        <v>6412</v>
      </c>
      <c r="B5807" s="441" t="s">
        <v>5104</v>
      </c>
      <c r="C5807" s="545">
        <v>7.166666666666667</v>
      </c>
      <c r="D5807" s="545">
        <v>1</v>
      </c>
      <c r="E5807" s="545">
        <v>1</v>
      </c>
      <c r="F5807" s="545">
        <v>5.4047619047619051</v>
      </c>
      <c r="G5807" s="545">
        <v>1.85</v>
      </c>
      <c r="H5807" s="545">
        <v>0.66666666666666663</v>
      </c>
      <c r="I5807" s="545">
        <v>0.66666666666666663</v>
      </c>
      <c r="J5807" s="545">
        <v>1.5119047619047616</v>
      </c>
    </row>
    <row r="5808" spans="1:10">
      <c r="A5808" s="441">
        <v>6413</v>
      </c>
      <c r="B5808" s="441" t="s">
        <v>5104</v>
      </c>
      <c r="C5808" s="545">
        <v>2.6666666666666665</v>
      </c>
      <c r="D5808" s="545">
        <v>0</v>
      </c>
      <c r="E5808" s="545">
        <v>0</v>
      </c>
      <c r="F5808" s="545">
        <v>1.9047619047619047</v>
      </c>
      <c r="G5808" s="545">
        <v>4.7</v>
      </c>
      <c r="H5808" s="545">
        <v>0.33333333333333331</v>
      </c>
      <c r="I5808" s="545">
        <v>0.66666666666666663</v>
      </c>
      <c r="J5808" s="545">
        <v>3.5</v>
      </c>
    </row>
    <row r="5809" spans="1:10">
      <c r="A5809" s="441">
        <v>10121</v>
      </c>
      <c r="B5809" s="441" t="s">
        <v>5105</v>
      </c>
      <c r="C5809" s="545">
        <v>0.66666666666666663</v>
      </c>
      <c r="D5809" s="545">
        <v>0</v>
      </c>
      <c r="E5809" s="545">
        <v>0</v>
      </c>
      <c r="F5809" s="545">
        <v>0.47619047619047616</v>
      </c>
      <c r="G5809" s="545">
        <v>1.65</v>
      </c>
      <c r="H5809" s="545">
        <v>0.66666666666666663</v>
      </c>
      <c r="I5809" s="545">
        <v>1.6666666666666667</v>
      </c>
      <c r="J5809" s="545">
        <v>1.5119047619047616</v>
      </c>
    </row>
    <row r="5810" spans="1:10">
      <c r="A5810" s="441">
        <v>10344</v>
      </c>
      <c r="B5810" s="441" t="s">
        <v>5105</v>
      </c>
      <c r="C5810" s="545">
        <v>1.6666666666666665</v>
      </c>
      <c r="D5810" s="545">
        <v>0.33333333333333331</v>
      </c>
      <c r="E5810" s="545">
        <v>0.66666666666666663</v>
      </c>
      <c r="F5810" s="545">
        <v>1.3333333333333333</v>
      </c>
      <c r="G5810" s="545">
        <v>1.6</v>
      </c>
      <c r="H5810" s="545">
        <v>0</v>
      </c>
      <c r="I5810" s="545">
        <v>0.33333333333333331</v>
      </c>
      <c r="J5810" s="545">
        <v>1.1904761904761905</v>
      </c>
    </row>
    <row r="5811" spans="1:10">
      <c r="A5811" s="441">
        <v>10122</v>
      </c>
      <c r="B5811" s="441" t="s">
        <v>5106</v>
      </c>
      <c r="C5811" s="545">
        <v>3.6666666666666665</v>
      </c>
      <c r="D5811" s="545">
        <v>4.666666666666667</v>
      </c>
      <c r="E5811" s="545">
        <v>2.3333333333333335</v>
      </c>
      <c r="F5811" s="545">
        <v>3.6190476190476191</v>
      </c>
      <c r="G5811" s="545">
        <v>8.1</v>
      </c>
      <c r="H5811" s="545">
        <v>1.3333333333333333</v>
      </c>
      <c r="I5811" s="545">
        <v>1</v>
      </c>
      <c r="J5811" s="545">
        <v>6.1190476190476195</v>
      </c>
    </row>
    <row r="5812" spans="1:10">
      <c r="A5812" s="441">
        <v>10345</v>
      </c>
      <c r="B5812" s="441" t="s">
        <v>5107</v>
      </c>
      <c r="C5812" s="545">
        <v>1.5</v>
      </c>
      <c r="D5812" s="545">
        <v>1</v>
      </c>
      <c r="E5812" s="545">
        <v>0</v>
      </c>
      <c r="F5812" s="545">
        <v>1.2142857142857142</v>
      </c>
      <c r="G5812" s="545">
        <v>1.5</v>
      </c>
      <c r="H5812" s="545">
        <v>1</v>
      </c>
      <c r="I5812" s="545">
        <v>1.6666666666666667</v>
      </c>
      <c r="J5812" s="545">
        <v>1.4523809523809523</v>
      </c>
    </row>
    <row r="5813" spans="1:10">
      <c r="A5813" s="441">
        <v>6408</v>
      </c>
      <c r="B5813" s="441" t="s">
        <v>5108</v>
      </c>
      <c r="C5813" s="545">
        <v>1</v>
      </c>
      <c r="D5813" s="545">
        <v>0.33333333333333331</v>
      </c>
      <c r="E5813" s="545">
        <v>0.33333333333333331</v>
      </c>
      <c r="F5813" s="545">
        <v>0.80952380952380942</v>
      </c>
      <c r="G5813" s="545">
        <v>0.5</v>
      </c>
      <c r="H5813" s="545">
        <v>0.33333333333333331</v>
      </c>
      <c r="I5813" s="545">
        <v>0</v>
      </c>
      <c r="J5813" s="545">
        <v>0.40476190476190477</v>
      </c>
    </row>
    <row r="5814" spans="1:10">
      <c r="A5814" s="441">
        <v>6411</v>
      </c>
      <c r="B5814" s="441" t="s">
        <v>5109</v>
      </c>
      <c r="C5814" s="545">
        <v>40.333333333333329</v>
      </c>
      <c r="D5814" s="545">
        <v>18.333333333333336</v>
      </c>
      <c r="E5814" s="545">
        <v>18.333333333333336</v>
      </c>
      <c r="F5814" s="545">
        <v>34.047619047619044</v>
      </c>
      <c r="G5814" s="545">
        <v>19.850000000000001</v>
      </c>
      <c r="H5814" s="545">
        <v>11</v>
      </c>
      <c r="I5814" s="545">
        <v>9</v>
      </c>
      <c r="J5814" s="545">
        <v>17.035714285714285</v>
      </c>
    </row>
    <row r="5815" spans="1:10">
      <c r="A5815" s="441">
        <v>10127</v>
      </c>
      <c r="B5815" s="441" t="s">
        <v>5109</v>
      </c>
      <c r="C5815" s="545">
        <v>37.5</v>
      </c>
      <c r="D5815" s="545">
        <v>25</v>
      </c>
      <c r="E5815" s="545">
        <v>15</v>
      </c>
      <c r="F5815" s="545">
        <v>32.5</v>
      </c>
      <c r="G5815" s="545">
        <v>24.85</v>
      </c>
      <c r="H5815" s="545">
        <v>14.666666666666666</v>
      </c>
      <c r="I5815" s="545">
        <v>12.666666666666666</v>
      </c>
      <c r="J5815" s="545">
        <v>21.654761904761902</v>
      </c>
    </row>
    <row r="5816" spans="1:10">
      <c r="A5816" s="441">
        <v>8433</v>
      </c>
      <c r="B5816" s="441" t="s">
        <v>5110</v>
      </c>
      <c r="C5816" s="545">
        <v>21.666666666666664</v>
      </c>
      <c r="D5816" s="545">
        <v>17.666666666666664</v>
      </c>
      <c r="E5816" s="545">
        <v>14</v>
      </c>
      <c r="F5816" s="545">
        <v>19.999999999999996</v>
      </c>
      <c r="G5816" s="545">
        <v>10.199999999999999</v>
      </c>
      <c r="H5816" s="545">
        <v>10</v>
      </c>
      <c r="I5816" s="545">
        <v>1</v>
      </c>
      <c r="J5816" s="545">
        <v>8.8571428571428577</v>
      </c>
    </row>
    <row r="5817" spans="1:10">
      <c r="A5817" s="441">
        <v>8434</v>
      </c>
      <c r="B5817" s="441" t="s">
        <v>5110</v>
      </c>
      <c r="C5817" s="545">
        <v>9.8333333333333339</v>
      </c>
      <c r="D5817" s="545">
        <v>8.3333333333333339</v>
      </c>
      <c r="E5817" s="545">
        <v>11</v>
      </c>
      <c r="F5817" s="545">
        <v>9.7857142857142865</v>
      </c>
      <c r="G5817" s="545">
        <v>8.15</v>
      </c>
      <c r="H5817" s="545">
        <v>9</v>
      </c>
      <c r="I5817" s="545">
        <v>1.3333333333333333</v>
      </c>
      <c r="J5817" s="545">
        <v>7.2976190476190483</v>
      </c>
    </row>
    <row r="5818" spans="1:10">
      <c r="A5818" s="441">
        <v>8435</v>
      </c>
      <c r="B5818" s="441" t="s">
        <v>5111</v>
      </c>
      <c r="C5818" s="545">
        <v>130.83333333333331</v>
      </c>
      <c r="D5818" s="545">
        <v>97.333333333333343</v>
      </c>
      <c r="E5818" s="545">
        <v>100</v>
      </c>
      <c r="F5818" s="545">
        <v>121.64285714285712</v>
      </c>
      <c r="G5818" s="545">
        <v>92.35</v>
      </c>
      <c r="H5818" s="545">
        <v>70</v>
      </c>
      <c r="I5818" s="545">
        <v>24.666666666666668</v>
      </c>
      <c r="J5818" s="545">
        <v>79.488095238095227</v>
      </c>
    </row>
    <row r="5819" spans="1:10">
      <c r="A5819" s="441">
        <v>105</v>
      </c>
      <c r="B5819" s="441" t="s">
        <v>5112</v>
      </c>
      <c r="C5819" s="545">
        <v>50.666666666666671</v>
      </c>
      <c r="D5819" s="545">
        <v>39.666666666666671</v>
      </c>
      <c r="E5819" s="545">
        <v>40.333333333333336</v>
      </c>
      <c r="F5819" s="545">
        <v>47.619047619047628</v>
      </c>
      <c r="G5819" s="545">
        <v>30.85</v>
      </c>
      <c r="H5819" s="545">
        <v>44.666666666666664</v>
      </c>
      <c r="I5819" s="545">
        <v>35.333333333333336</v>
      </c>
      <c r="J5819" s="545">
        <v>33.464285714285715</v>
      </c>
    </row>
    <row r="5820" spans="1:10">
      <c r="A5820" s="441">
        <v>7440</v>
      </c>
      <c r="B5820" s="441" t="s">
        <v>5112</v>
      </c>
      <c r="C5820" s="545">
        <v>75</v>
      </c>
      <c r="D5820" s="545">
        <v>57.666666666666671</v>
      </c>
      <c r="E5820" s="545">
        <v>43.666666666666664</v>
      </c>
      <c r="F5820" s="545">
        <v>68.047619047619051</v>
      </c>
      <c r="G5820" s="545">
        <v>63.3</v>
      </c>
      <c r="H5820" s="545">
        <v>62.666666666666664</v>
      </c>
      <c r="I5820" s="545">
        <v>49</v>
      </c>
      <c r="J5820" s="545">
        <v>61.166666666666671</v>
      </c>
    </row>
    <row r="5821" spans="1:10">
      <c r="A5821" s="441">
        <v>7465</v>
      </c>
      <c r="B5821" s="441" t="s">
        <v>5112</v>
      </c>
      <c r="C5821" s="545">
        <v>90.166666666666671</v>
      </c>
      <c r="D5821" s="545">
        <v>79.666666666666657</v>
      </c>
      <c r="E5821" s="545">
        <v>80</v>
      </c>
      <c r="F5821" s="545">
        <v>87.214285714285708</v>
      </c>
      <c r="G5821" s="545">
        <v>70.150000000000006</v>
      </c>
      <c r="H5821" s="545">
        <v>78.333333333333329</v>
      </c>
      <c r="I5821" s="545">
        <v>68</v>
      </c>
      <c r="J5821" s="545">
        <v>71.011904761904759</v>
      </c>
    </row>
    <row r="5822" spans="1:10">
      <c r="A5822" s="441">
        <v>11662</v>
      </c>
      <c r="B5822" s="441" t="s">
        <v>5112</v>
      </c>
      <c r="C5822" s="545">
        <v>291.16666666666669</v>
      </c>
      <c r="D5822" s="545">
        <v>241.66666666666669</v>
      </c>
      <c r="E5822" s="545">
        <v>239.66666666666669</v>
      </c>
      <c r="F5822" s="545">
        <v>276.7380952380953</v>
      </c>
      <c r="G5822" s="545">
        <v>186.3</v>
      </c>
      <c r="H5822" s="545">
        <v>194.66666666666666</v>
      </c>
      <c r="I5822" s="545">
        <v>188.33333333333334</v>
      </c>
      <c r="J5822" s="545">
        <v>187.78571428571428</v>
      </c>
    </row>
    <row r="5823" spans="1:10">
      <c r="A5823" s="441">
        <v>1856</v>
      </c>
      <c r="B5823" s="441" t="s">
        <v>5113</v>
      </c>
      <c r="C5823" s="545">
        <v>8.3333333333333339</v>
      </c>
      <c r="D5823" s="545">
        <v>4.666666666666667</v>
      </c>
      <c r="E5823" s="545">
        <v>3.333333333333333</v>
      </c>
      <c r="F5823" s="545">
        <v>7.0952380952380958</v>
      </c>
      <c r="G5823" s="545">
        <v>8.8000000000000007</v>
      </c>
      <c r="H5823" s="545">
        <v>1.6666666666666667</v>
      </c>
      <c r="I5823" s="545">
        <v>2.3333333333333335</v>
      </c>
      <c r="J5823" s="545">
        <v>6.8571428571428568</v>
      </c>
    </row>
    <row r="5824" spans="1:10">
      <c r="A5824" s="441">
        <v>10116</v>
      </c>
      <c r="B5824" s="441" t="s">
        <v>5113</v>
      </c>
      <c r="C5824" s="545">
        <v>7</v>
      </c>
      <c r="D5824" s="545">
        <v>4.333333333333333</v>
      </c>
      <c r="E5824" s="545">
        <v>1.3333333333333333</v>
      </c>
      <c r="F5824" s="545">
        <v>5.8095238095238102</v>
      </c>
      <c r="G5824" s="545">
        <v>8.1999999999999993</v>
      </c>
      <c r="H5824" s="545">
        <v>5</v>
      </c>
      <c r="I5824" s="545">
        <v>0.66666666666666663</v>
      </c>
      <c r="J5824" s="545">
        <v>6.6666666666666661</v>
      </c>
    </row>
    <row r="5825" spans="1:10">
      <c r="A5825" s="441">
        <v>181</v>
      </c>
      <c r="B5825" s="441" t="s">
        <v>5114</v>
      </c>
      <c r="C5825" s="545">
        <v>1.5</v>
      </c>
      <c r="D5825" s="545">
        <v>0.66666666666666663</v>
      </c>
      <c r="E5825" s="545">
        <v>0</v>
      </c>
      <c r="F5825" s="545">
        <v>1.1666666666666665</v>
      </c>
      <c r="G5825" s="545">
        <v>0.1</v>
      </c>
      <c r="H5825" s="545">
        <v>0</v>
      </c>
      <c r="I5825" s="545">
        <v>0</v>
      </c>
      <c r="J5825" s="545">
        <v>7.1428571428571425E-2</v>
      </c>
    </row>
    <row r="5826" spans="1:10">
      <c r="A5826" s="441">
        <v>170</v>
      </c>
      <c r="B5826" s="441" t="s">
        <v>5115</v>
      </c>
      <c r="C5826" s="545">
        <v>16.5</v>
      </c>
      <c r="D5826" s="545">
        <v>9.6666666666666679</v>
      </c>
      <c r="E5826" s="545">
        <v>3.3333333333333335</v>
      </c>
      <c r="F5826" s="545">
        <v>13.642857142857142</v>
      </c>
      <c r="G5826" s="545">
        <v>9.25</v>
      </c>
      <c r="H5826" s="545">
        <v>5.666666666666667</v>
      </c>
      <c r="I5826" s="545">
        <v>2.6666666666666665</v>
      </c>
      <c r="J5826" s="545">
        <v>7.7976190476190466</v>
      </c>
    </row>
    <row r="5827" spans="1:10">
      <c r="A5827" s="441">
        <v>171</v>
      </c>
      <c r="B5827" s="441" t="s">
        <v>5115</v>
      </c>
      <c r="C5827" s="545">
        <v>0.66666666666666663</v>
      </c>
      <c r="D5827" s="545">
        <v>0</v>
      </c>
      <c r="E5827" s="545">
        <v>0</v>
      </c>
      <c r="F5827" s="545">
        <v>0.47619047619047616</v>
      </c>
      <c r="G5827" s="545">
        <v>0.1</v>
      </c>
      <c r="H5827" s="545">
        <v>0</v>
      </c>
      <c r="I5827" s="545">
        <v>0</v>
      </c>
      <c r="J5827" s="545">
        <v>7.1428571428571425E-2</v>
      </c>
    </row>
    <row r="5828" spans="1:10">
      <c r="A5828" s="441">
        <v>172</v>
      </c>
      <c r="B5828" s="441" t="s">
        <v>5116</v>
      </c>
      <c r="C5828" s="545">
        <v>6</v>
      </c>
      <c r="D5828" s="545">
        <v>1.3333333333333333</v>
      </c>
      <c r="E5828" s="545">
        <v>0</v>
      </c>
      <c r="F5828" s="545">
        <v>4.4761904761904763</v>
      </c>
      <c r="G5828" s="545">
        <v>1.75</v>
      </c>
      <c r="H5828" s="545">
        <v>0.33333333333333331</v>
      </c>
      <c r="I5828" s="545">
        <v>0.66666666666666663</v>
      </c>
      <c r="J5828" s="545">
        <v>1.3928571428571428</v>
      </c>
    </row>
    <row r="5829" spans="1:10">
      <c r="A5829" s="441">
        <v>1867</v>
      </c>
      <c r="B5829" s="441" t="s">
        <v>5117</v>
      </c>
      <c r="C5829" s="545">
        <v>16</v>
      </c>
      <c r="D5829" s="545">
        <v>7.6666666666666661</v>
      </c>
      <c r="E5829" s="545">
        <v>5.333333333333333</v>
      </c>
      <c r="F5829" s="545">
        <v>13.285714285714286</v>
      </c>
      <c r="G5829" s="545">
        <v>15.6</v>
      </c>
      <c r="H5829" s="545">
        <v>8.6666666666666661</v>
      </c>
      <c r="I5829" s="545">
        <v>9.3333333333333339</v>
      </c>
      <c r="J5829" s="545">
        <v>13.714285714285714</v>
      </c>
    </row>
    <row r="5830" spans="1:10">
      <c r="A5830" s="441">
        <v>9460</v>
      </c>
      <c r="B5830" s="441" t="s">
        <v>5118</v>
      </c>
      <c r="C5830" s="545">
        <v>5.666666666666667</v>
      </c>
      <c r="D5830" s="545">
        <v>1</v>
      </c>
      <c r="E5830" s="545">
        <v>2.3333333333333335</v>
      </c>
      <c r="F5830" s="545">
        <v>4.5238095238095237</v>
      </c>
      <c r="G5830" s="545">
        <v>1.5</v>
      </c>
      <c r="H5830" s="545">
        <v>1.6666666666666667</v>
      </c>
      <c r="I5830" s="545">
        <v>0</v>
      </c>
      <c r="J5830" s="545">
        <v>1.3095238095238095</v>
      </c>
    </row>
    <row r="5831" spans="1:10">
      <c r="A5831" s="441">
        <v>9176</v>
      </c>
      <c r="B5831" s="441" t="s">
        <v>5119</v>
      </c>
      <c r="C5831" s="545">
        <v>59.666666666666664</v>
      </c>
      <c r="D5831" s="545">
        <v>41</v>
      </c>
      <c r="E5831" s="545">
        <v>39.333333333333329</v>
      </c>
      <c r="F5831" s="545">
        <v>54.095238095238088</v>
      </c>
      <c r="G5831" s="545">
        <v>68.599999999999994</v>
      </c>
      <c r="H5831" s="545">
        <v>41.333333333333336</v>
      </c>
      <c r="I5831" s="545">
        <v>50.333333333333336</v>
      </c>
      <c r="J5831" s="545">
        <v>62.095238095238088</v>
      </c>
    </row>
    <row r="5832" spans="1:10">
      <c r="A5832" s="441">
        <v>9477</v>
      </c>
      <c r="B5832" s="441" t="s">
        <v>5120</v>
      </c>
      <c r="C5832" s="545">
        <v>17.5</v>
      </c>
      <c r="D5832" s="545">
        <v>14.666666666666668</v>
      </c>
      <c r="E5832" s="545">
        <v>6.333333333333333</v>
      </c>
      <c r="F5832" s="545">
        <v>15.5</v>
      </c>
      <c r="G5832" s="545">
        <v>8.9</v>
      </c>
      <c r="H5832" s="545">
        <v>5.666666666666667</v>
      </c>
      <c r="I5832" s="545">
        <v>5.333333333333333</v>
      </c>
      <c r="J5832" s="545">
        <v>7.9285714285714288</v>
      </c>
    </row>
    <row r="5833" spans="1:10">
      <c r="A5833" s="441">
        <v>9479</v>
      </c>
      <c r="B5833" s="441" t="s">
        <v>5121</v>
      </c>
      <c r="C5833" s="545">
        <v>14</v>
      </c>
      <c r="D5833" s="545">
        <v>7.333333333333333</v>
      </c>
      <c r="E5833" s="545">
        <v>6.6666666666666661</v>
      </c>
      <c r="F5833" s="545">
        <v>12</v>
      </c>
      <c r="G5833" s="545">
        <v>5.3</v>
      </c>
      <c r="H5833" s="545">
        <v>4.333333333333333</v>
      </c>
      <c r="I5833" s="545">
        <v>4.666666666666667</v>
      </c>
      <c r="J5833" s="545">
        <v>5.0714285714285712</v>
      </c>
    </row>
    <row r="5834" spans="1:10">
      <c r="A5834" s="441">
        <v>9981</v>
      </c>
      <c r="B5834" s="441" t="s">
        <v>5121</v>
      </c>
      <c r="C5834" s="545">
        <v>13.833333333333334</v>
      </c>
      <c r="D5834" s="545">
        <v>6.6666666666666661</v>
      </c>
      <c r="E5834" s="545">
        <v>7</v>
      </c>
      <c r="F5834" s="545">
        <v>11.833333333333334</v>
      </c>
      <c r="G5834" s="545">
        <v>4.3499999999999996</v>
      </c>
      <c r="H5834" s="545">
        <v>3</v>
      </c>
      <c r="I5834" s="545">
        <v>4.333333333333333</v>
      </c>
      <c r="J5834" s="545">
        <v>4.1547619047619042</v>
      </c>
    </row>
    <row r="5835" spans="1:10">
      <c r="A5835" s="441">
        <v>1165</v>
      </c>
      <c r="B5835" s="441" t="s">
        <v>5122</v>
      </c>
      <c r="C5835" s="545">
        <v>47</v>
      </c>
      <c r="D5835" s="545">
        <v>28.333333333333332</v>
      </c>
      <c r="E5835" s="545">
        <v>32.333333333333336</v>
      </c>
      <c r="F5835" s="545">
        <v>42.238095238095234</v>
      </c>
      <c r="G5835" s="545">
        <v>67.349999999999994</v>
      </c>
      <c r="H5835" s="545">
        <v>45</v>
      </c>
      <c r="I5835" s="545">
        <v>35.333333333333336</v>
      </c>
      <c r="J5835" s="545">
        <v>59.583333333333329</v>
      </c>
    </row>
    <row r="5836" spans="1:10">
      <c r="A5836" s="441">
        <v>1173</v>
      </c>
      <c r="B5836" s="441" t="s">
        <v>5122</v>
      </c>
      <c r="C5836" s="545">
        <v>60.666666666666671</v>
      </c>
      <c r="D5836" s="545">
        <v>40.666666666666664</v>
      </c>
      <c r="E5836" s="545">
        <v>34.333333333333336</v>
      </c>
      <c r="F5836" s="545">
        <v>54.047619047619051</v>
      </c>
      <c r="G5836" s="545">
        <v>49.7</v>
      </c>
      <c r="H5836" s="545">
        <v>46.333333333333336</v>
      </c>
      <c r="I5836" s="545">
        <v>34.333333333333336</v>
      </c>
      <c r="J5836" s="545">
        <v>47.023809523809518</v>
      </c>
    </row>
    <row r="5837" spans="1:10">
      <c r="A5837" s="441">
        <v>1158</v>
      </c>
      <c r="B5837" s="441" t="s">
        <v>5123</v>
      </c>
      <c r="C5837" s="545">
        <v>15.833333333333334</v>
      </c>
      <c r="D5837" s="545">
        <v>3</v>
      </c>
      <c r="E5837" s="545">
        <v>3.666666666666667</v>
      </c>
      <c r="F5837" s="545">
        <v>12.261904761904763</v>
      </c>
      <c r="G5837" s="545">
        <v>17.25</v>
      </c>
      <c r="H5837" s="545">
        <v>5.666666666666667</v>
      </c>
      <c r="I5837" s="545">
        <v>2.6666666666666665</v>
      </c>
      <c r="J5837" s="545">
        <v>13.511904761904763</v>
      </c>
    </row>
    <row r="5838" spans="1:10">
      <c r="A5838" s="441">
        <v>1180</v>
      </c>
      <c r="B5838" s="441" t="s">
        <v>5123</v>
      </c>
      <c r="C5838" s="545">
        <v>13.333333333333334</v>
      </c>
      <c r="D5838" s="545">
        <v>4.333333333333333</v>
      </c>
      <c r="E5838" s="545">
        <v>2</v>
      </c>
      <c r="F5838" s="545">
        <v>10.428571428571429</v>
      </c>
      <c r="G5838" s="545">
        <v>16.25</v>
      </c>
      <c r="H5838" s="545">
        <v>5</v>
      </c>
      <c r="I5838" s="545">
        <v>4.666666666666667</v>
      </c>
      <c r="J5838" s="545">
        <v>12.988095238095239</v>
      </c>
    </row>
    <row r="5839" spans="1:10">
      <c r="A5839" s="441">
        <v>9467</v>
      </c>
      <c r="B5839" s="441" t="s">
        <v>5124</v>
      </c>
      <c r="C5839" s="545">
        <v>16.666666666666668</v>
      </c>
      <c r="D5839" s="545">
        <v>7.6666666666666661</v>
      </c>
      <c r="E5839" s="545">
        <v>5</v>
      </c>
      <c r="F5839" s="545">
        <v>13.714285714285717</v>
      </c>
      <c r="G5839" s="545">
        <v>8.5</v>
      </c>
      <c r="H5839" s="545">
        <v>6.666666666666667</v>
      </c>
      <c r="I5839" s="545">
        <v>4</v>
      </c>
      <c r="J5839" s="545">
        <v>7.5952380952380949</v>
      </c>
    </row>
    <row r="5840" spans="1:10">
      <c r="A5840" s="441">
        <v>9475</v>
      </c>
      <c r="B5840" s="441" t="s">
        <v>5124</v>
      </c>
      <c r="C5840" s="545">
        <v>18.166666666666668</v>
      </c>
      <c r="D5840" s="545">
        <v>8.3333333333333321</v>
      </c>
      <c r="E5840" s="545">
        <v>5.333333333333333</v>
      </c>
      <c r="F5840" s="545">
        <v>14.928571428571429</v>
      </c>
      <c r="G5840" s="545">
        <v>12</v>
      </c>
      <c r="H5840" s="545">
        <v>9.3333333333333339</v>
      </c>
      <c r="I5840" s="545">
        <v>7</v>
      </c>
      <c r="J5840" s="545">
        <v>10.904761904761903</v>
      </c>
    </row>
    <row r="5841" spans="1:10">
      <c r="A5841" s="441">
        <v>1167</v>
      </c>
      <c r="B5841" s="441" t="s">
        <v>5125</v>
      </c>
      <c r="C5841" s="545">
        <v>9.8333333333333339</v>
      </c>
      <c r="D5841" s="545">
        <v>3</v>
      </c>
      <c r="E5841" s="545">
        <v>2</v>
      </c>
      <c r="F5841" s="545">
        <v>7.738095238095239</v>
      </c>
      <c r="G5841" s="545">
        <v>11.1</v>
      </c>
      <c r="H5841" s="545">
        <v>2.6666666666666665</v>
      </c>
      <c r="I5841" s="545">
        <v>2.3333333333333335</v>
      </c>
      <c r="J5841" s="545">
        <v>8.6428571428571423</v>
      </c>
    </row>
    <row r="5842" spans="1:10">
      <c r="A5842" s="441">
        <v>1171</v>
      </c>
      <c r="B5842" s="441" t="s">
        <v>5125</v>
      </c>
      <c r="C5842" s="545">
        <v>17.333333333333336</v>
      </c>
      <c r="D5842" s="545">
        <v>7</v>
      </c>
      <c r="E5842" s="545">
        <v>3</v>
      </c>
      <c r="F5842" s="545">
        <v>13.809523809523812</v>
      </c>
      <c r="G5842" s="545">
        <v>20.7</v>
      </c>
      <c r="H5842" s="545">
        <v>3.6666666666666665</v>
      </c>
      <c r="I5842" s="545">
        <v>2.3333333333333335</v>
      </c>
      <c r="J5842" s="545">
        <v>15.642857142857142</v>
      </c>
    </row>
    <row r="5843" spans="1:10">
      <c r="A5843" s="441">
        <v>9466</v>
      </c>
      <c r="B5843" s="441" t="s">
        <v>5126</v>
      </c>
      <c r="C5843" s="545">
        <v>13.833333333333332</v>
      </c>
      <c r="D5843" s="545">
        <v>7.333333333333333</v>
      </c>
      <c r="E5843" s="545">
        <v>8.3333333333333339</v>
      </c>
      <c r="F5843" s="545">
        <v>12.119047619047617</v>
      </c>
      <c r="G5843" s="545">
        <v>9.75</v>
      </c>
      <c r="H5843" s="545">
        <v>3.3333333333333335</v>
      </c>
      <c r="I5843" s="545">
        <v>9</v>
      </c>
      <c r="J5843" s="545">
        <v>8.7261904761904763</v>
      </c>
    </row>
    <row r="5844" spans="1:10">
      <c r="A5844" s="441">
        <v>1168</v>
      </c>
      <c r="B5844" s="441" t="s">
        <v>5127</v>
      </c>
      <c r="C5844" s="545">
        <v>8.3333333333333339</v>
      </c>
      <c r="D5844" s="545">
        <v>2.6666666666666665</v>
      </c>
      <c r="E5844" s="545">
        <v>1.3333333333333333</v>
      </c>
      <c r="F5844" s="545">
        <v>6.5238095238095246</v>
      </c>
      <c r="G5844" s="545">
        <v>9.25</v>
      </c>
      <c r="H5844" s="545">
        <v>4.333333333333333</v>
      </c>
      <c r="I5844" s="545">
        <v>2.6666666666666665</v>
      </c>
      <c r="J5844" s="545">
        <v>7.6071428571428568</v>
      </c>
    </row>
    <row r="5845" spans="1:10">
      <c r="A5845" s="441">
        <v>9476</v>
      </c>
      <c r="B5845" s="441" t="s">
        <v>5128</v>
      </c>
      <c r="C5845" s="545">
        <v>7.166666666666667</v>
      </c>
      <c r="D5845" s="545">
        <v>3.6666666666666665</v>
      </c>
      <c r="E5845" s="545">
        <v>11.666666666666666</v>
      </c>
      <c r="F5845" s="545">
        <v>7.3095238095238093</v>
      </c>
      <c r="G5845" s="545">
        <v>4.05</v>
      </c>
      <c r="H5845" s="545">
        <v>3.3333333333333335</v>
      </c>
      <c r="I5845" s="545">
        <v>2</v>
      </c>
      <c r="J5845" s="545">
        <v>3.6547619047619047</v>
      </c>
    </row>
    <row r="5846" spans="1:10">
      <c r="A5846" s="441">
        <v>12190</v>
      </c>
      <c r="B5846" s="441" t="s">
        <v>5129</v>
      </c>
      <c r="C5846" s="545">
        <v>54.166666666666671</v>
      </c>
      <c r="D5846" s="545">
        <v>55</v>
      </c>
      <c r="E5846" s="545">
        <v>44</v>
      </c>
      <c r="F5846" s="545">
        <v>52.833333333333336</v>
      </c>
      <c r="G5846" s="545">
        <v>66.2</v>
      </c>
      <c r="H5846" s="545">
        <v>40</v>
      </c>
      <c r="I5846" s="545">
        <v>28.666666666666668</v>
      </c>
      <c r="J5846" s="545">
        <v>57.095238095238095</v>
      </c>
    </row>
    <row r="5847" spans="1:10">
      <c r="A5847" s="441">
        <v>9464</v>
      </c>
      <c r="B5847" s="441" t="s">
        <v>5130</v>
      </c>
      <c r="C5847" s="545">
        <v>3.1666666666666665</v>
      </c>
      <c r="D5847" s="545">
        <v>1.3333333333333333</v>
      </c>
      <c r="E5847" s="545">
        <v>1</v>
      </c>
      <c r="F5847" s="545">
        <v>2.5952380952380949</v>
      </c>
      <c r="G5847" s="545">
        <v>1.55</v>
      </c>
      <c r="H5847" s="545">
        <v>4</v>
      </c>
      <c r="I5847" s="545">
        <v>0.66666666666666663</v>
      </c>
      <c r="J5847" s="545">
        <v>1.7738095238095237</v>
      </c>
    </row>
    <row r="5848" spans="1:10">
      <c r="A5848" s="441">
        <v>9478</v>
      </c>
      <c r="B5848" s="441" t="s">
        <v>5130</v>
      </c>
      <c r="C5848" s="545">
        <v>3.5</v>
      </c>
      <c r="D5848" s="545">
        <v>1.6666666666666665</v>
      </c>
      <c r="E5848" s="545">
        <v>3</v>
      </c>
      <c r="F5848" s="545">
        <v>3.166666666666667</v>
      </c>
      <c r="G5848" s="545">
        <v>1.9</v>
      </c>
      <c r="H5848" s="545">
        <v>4.333333333333333</v>
      </c>
      <c r="I5848" s="545">
        <v>1</v>
      </c>
      <c r="J5848" s="545">
        <v>2.1190476190476191</v>
      </c>
    </row>
    <row r="5849" spans="1:10">
      <c r="A5849" s="441">
        <v>9461</v>
      </c>
      <c r="B5849" s="441" t="s">
        <v>5131</v>
      </c>
      <c r="C5849" s="545">
        <v>51.333333333333329</v>
      </c>
      <c r="D5849" s="545">
        <v>52</v>
      </c>
      <c r="E5849" s="545">
        <v>42.333333333333329</v>
      </c>
      <c r="F5849" s="545">
        <v>50.142857142857132</v>
      </c>
      <c r="G5849" s="545">
        <v>17.75</v>
      </c>
      <c r="H5849" s="545">
        <v>21.666666666666668</v>
      </c>
      <c r="I5849" s="545">
        <v>17.666666666666668</v>
      </c>
      <c r="J5849" s="545">
        <v>18.297619047619047</v>
      </c>
    </row>
    <row r="5850" spans="1:10">
      <c r="A5850" s="441">
        <v>9462</v>
      </c>
      <c r="B5850" s="441" t="s">
        <v>5131</v>
      </c>
      <c r="C5850" s="545">
        <v>6.8333333333333339</v>
      </c>
      <c r="D5850" s="545">
        <v>5</v>
      </c>
      <c r="E5850" s="545">
        <v>1.3333333333333333</v>
      </c>
      <c r="F5850" s="545">
        <v>5.7857142857142865</v>
      </c>
      <c r="G5850" s="545">
        <v>3.6</v>
      </c>
      <c r="H5850" s="545">
        <v>3.3333333333333335</v>
      </c>
      <c r="I5850" s="545">
        <v>0.33333333333333331</v>
      </c>
      <c r="J5850" s="545">
        <v>3.0952380952380949</v>
      </c>
    </row>
    <row r="5851" spans="1:10">
      <c r="A5851" s="441">
        <v>9481</v>
      </c>
      <c r="B5851" s="441" t="s">
        <v>5131</v>
      </c>
      <c r="C5851" s="545">
        <v>3.8333333333333335</v>
      </c>
      <c r="D5851" s="545">
        <v>5</v>
      </c>
      <c r="E5851" s="545">
        <v>20.666666666666664</v>
      </c>
      <c r="F5851" s="545">
        <v>6.4047619047619042</v>
      </c>
      <c r="G5851" s="545">
        <v>6.1</v>
      </c>
      <c r="H5851" s="545">
        <v>3.6666666666666665</v>
      </c>
      <c r="I5851" s="545">
        <v>1</v>
      </c>
      <c r="J5851" s="545">
        <v>5.0238095238095237</v>
      </c>
    </row>
    <row r="5852" spans="1:10">
      <c r="A5852" s="441">
        <v>9485</v>
      </c>
      <c r="B5852" s="441" t="s">
        <v>5131</v>
      </c>
      <c r="C5852" s="545">
        <v>78.833333333333329</v>
      </c>
      <c r="D5852" s="545">
        <v>73.666666666666657</v>
      </c>
      <c r="E5852" s="545">
        <v>85.666666666666671</v>
      </c>
      <c r="F5852" s="545">
        <v>79.071428571428555</v>
      </c>
      <c r="G5852" s="545">
        <v>50.1</v>
      </c>
      <c r="H5852" s="545">
        <v>18.333333333333332</v>
      </c>
      <c r="I5852" s="545">
        <v>21.666666666666668</v>
      </c>
      <c r="J5852" s="545">
        <v>41.5</v>
      </c>
    </row>
    <row r="5853" spans="1:10">
      <c r="A5853" s="441">
        <v>11413</v>
      </c>
      <c r="B5853" s="441" t="s">
        <v>5131</v>
      </c>
      <c r="C5853" s="545">
        <v>5</v>
      </c>
      <c r="D5853" s="545">
        <v>3</v>
      </c>
      <c r="E5853" s="545">
        <v>1</v>
      </c>
      <c r="F5853" s="545">
        <v>4.1428571428571432</v>
      </c>
      <c r="G5853" s="545">
        <v>2.2000000000000002</v>
      </c>
      <c r="H5853" s="545">
        <v>1</v>
      </c>
      <c r="I5853" s="545">
        <v>0.33333333333333331</v>
      </c>
      <c r="J5853" s="545">
        <v>1.7619047619047621</v>
      </c>
    </row>
    <row r="5854" spans="1:10">
      <c r="A5854" s="441">
        <v>9463</v>
      </c>
      <c r="B5854" s="441" t="s">
        <v>5132</v>
      </c>
      <c r="C5854" s="545">
        <v>10.833333333333332</v>
      </c>
      <c r="D5854" s="545">
        <v>6.333333333333333</v>
      </c>
      <c r="E5854" s="545">
        <v>1.6666666666666665</v>
      </c>
      <c r="F5854" s="545">
        <v>8.8809523809523796</v>
      </c>
      <c r="G5854" s="545">
        <v>8.9499999999999993</v>
      </c>
      <c r="H5854" s="545">
        <v>4.666666666666667</v>
      </c>
      <c r="I5854" s="545">
        <v>1</v>
      </c>
      <c r="J5854" s="545">
        <v>7.2023809523809517</v>
      </c>
    </row>
    <row r="5855" spans="1:10">
      <c r="A5855" s="441">
        <v>9480</v>
      </c>
      <c r="B5855" s="441" t="s">
        <v>5132</v>
      </c>
      <c r="C5855" s="545">
        <v>10.333333333333332</v>
      </c>
      <c r="D5855" s="545">
        <v>4.333333333333333</v>
      </c>
      <c r="E5855" s="545">
        <v>2</v>
      </c>
      <c r="F5855" s="545">
        <v>8.2857142857142847</v>
      </c>
      <c r="G5855" s="545">
        <v>5</v>
      </c>
      <c r="H5855" s="545">
        <v>1.6666666666666667</v>
      </c>
      <c r="I5855" s="545">
        <v>2</v>
      </c>
      <c r="J5855" s="545">
        <v>4.0952380952380958</v>
      </c>
    </row>
    <row r="5856" spans="1:10">
      <c r="A5856" s="441">
        <v>1163</v>
      </c>
      <c r="B5856" s="441" t="s">
        <v>5133</v>
      </c>
      <c r="C5856" s="545">
        <v>12.166666666666668</v>
      </c>
      <c r="D5856" s="545">
        <v>5.333333333333333</v>
      </c>
      <c r="E5856" s="545">
        <v>5.666666666666667</v>
      </c>
      <c r="F5856" s="545">
        <v>10.261904761904763</v>
      </c>
      <c r="G5856" s="545">
        <v>16.55</v>
      </c>
      <c r="H5856" s="545">
        <v>9</v>
      </c>
      <c r="I5856" s="545">
        <v>3</v>
      </c>
      <c r="J5856" s="545">
        <v>13.535714285714286</v>
      </c>
    </row>
    <row r="5857" spans="1:10">
      <c r="A5857" s="441">
        <v>1175</v>
      </c>
      <c r="B5857" s="441" t="s">
        <v>5133</v>
      </c>
      <c r="C5857" s="545">
        <v>9.1666666666666661</v>
      </c>
      <c r="D5857" s="545">
        <v>7</v>
      </c>
      <c r="E5857" s="545">
        <v>3</v>
      </c>
      <c r="F5857" s="545">
        <v>7.9761904761904754</v>
      </c>
      <c r="G5857" s="545">
        <v>7.25</v>
      </c>
      <c r="H5857" s="545">
        <v>5.333333333333333</v>
      </c>
      <c r="I5857" s="545">
        <v>3.3333333333333335</v>
      </c>
      <c r="J5857" s="545">
        <v>6.416666666666667</v>
      </c>
    </row>
    <row r="5858" spans="1:10">
      <c r="A5858" s="441">
        <v>1160</v>
      </c>
      <c r="B5858" s="441" t="s">
        <v>5134</v>
      </c>
      <c r="C5858" s="545">
        <v>10.666666666666668</v>
      </c>
      <c r="D5858" s="545">
        <v>2.3333333333333335</v>
      </c>
      <c r="E5858" s="545">
        <v>3.6666666666666665</v>
      </c>
      <c r="F5858" s="545">
        <v>8.4761904761904781</v>
      </c>
      <c r="G5858" s="545">
        <v>13.4</v>
      </c>
      <c r="H5858" s="545">
        <v>3.6666666666666665</v>
      </c>
      <c r="I5858" s="545">
        <v>5</v>
      </c>
      <c r="J5858" s="545">
        <v>10.80952380952381</v>
      </c>
    </row>
    <row r="5859" spans="1:10">
      <c r="A5859" s="441">
        <v>1178</v>
      </c>
      <c r="B5859" s="441" t="s">
        <v>5134</v>
      </c>
      <c r="C5859" s="545">
        <v>8.5</v>
      </c>
      <c r="D5859" s="545">
        <v>4</v>
      </c>
      <c r="E5859" s="545">
        <v>2.3333333333333335</v>
      </c>
      <c r="F5859" s="545">
        <v>6.9761904761904763</v>
      </c>
      <c r="G5859" s="545">
        <v>19.850000000000001</v>
      </c>
      <c r="H5859" s="545">
        <v>4</v>
      </c>
      <c r="I5859" s="545">
        <v>5.333333333333333</v>
      </c>
      <c r="J5859" s="545">
        <v>15.511904761904761</v>
      </c>
    </row>
    <row r="5860" spans="1:10">
      <c r="A5860" s="441">
        <v>1169</v>
      </c>
      <c r="B5860" s="441" t="s">
        <v>5135</v>
      </c>
      <c r="C5860" s="545">
        <v>34.333333333333329</v>
      </c>
      <c r="D5860" s="545">
        <v>70</v>
      </c>
      <c r="E5860" s="545">
        <v>16.666666666666668</v>
      </c>
      <c r="F5860" s="545">
        <v>36.904761904761905</v>
      </c>
      <c r="G5860" s="545">
        <v>17.649999999999999</v>
      </c>
      <c r="H5860" s="545">
        <v>18</v>
      </c>
      <c r="I5860" s="545">
        <v>10.333333333333334</v>
      </c>
      <c r="J5860" s="545">
        <v>16.654761904761905</v>
      </c>
    </row>
    <row r="5861" spans="1:10">
      <c r="A5861" s="441">
        <v>1161</v>
      </c>
      <c r="B5861" s="441" t="s">
        <v>5136</v>
      </c>
      <c r="C5861" s="545">
        <v>15</v>
      </c>
      <c r="D5861" s="545">
        <v>3</v>
      </c>
      <c r="E5861" s="545">
        <v>6.333333333333333</v>
      </c>
      <c r="F5861" s="545">
        <v>12.047619047619047</v>
      </c>
      <c r="G5861" s="545">
        <v>51.4</v>
      </c>
      <c r="H5861" s="545">
        <v>20.666666666666668</v>
      </c>
      <c r="I5861" s="545">
        <v>18.333333333333332</v>
      </c>
      <c r="J5861" s="545">
        <v>42.285714285714285</v>
      </c>
    </row>
    <row r="5862" spans="1:10">
      <c r="A5862" s="441">
        <v>1162</v>
      </c>
      <c r="B5862" s="441" t="s">
        <v>5136</v>
      </c>
      <c r="C5862" s="545">
        <v>20</v>
      </c>
      <c r="D5862" s="545">
        <v>16</v>
      </c>
      <c r="E5862" s="545">
        <v>15</v>
      </c>
      <c r="F5862" s="545">
        <v>18.714285714285715</v>
      </c>
      <c r="G5862" s="545">
        <v>0.7</v>
      </c>
      <c r="H5862" s="545">
        <v>2.6666666666666665</v>
      </c>
      <c r="I5862" s="545">
        <v>0.66666666666666663</v>
      </c>
      <c r="J5862" s="545">
        <v>0.97619047619047616</v>
      </c>
    </row>
    <row r="5863" spans="1:10">
      <c r="A5863" s="441">
        <v>1176</v>
      </c>
      <c r="B5863" s="441" t="s">
        <v>5136</v>
      </c>
      <c r="C5863" s="545">
        <v>35.166666666666671</v>
      </c>
      <c r="D5863" s="545">
        <v>20.666666666666668</v>
      </c>
      <c r="E5863" s="545">
        <v>18</v>
      </c>
      <c r="F5863" s="545">
        <v>30.642857142857146</v>
      </c>
      <c r="G5863" s="545">
        <v>37.15</v>
      </c>
      <c r="H5863" s="545">
        <v>22.333333333333332</v>
      </c>
      <c r="I5863" s="545">
        <v>26</v>
      </c>
      <c r="J5863" s="545">
        <v>33.44047619047619</v>
      </c>
    </row>
    <row r="5864" spans="1:10">
      <c r="A5864" s="441">
        <v>1166</v>
      </c>
      <c r="B5864" s="441" t="s">
        <v>5137</v>
      </c>
      <c r="C5864" s="545">
        <v>26.666666666666664</v>
      </c>
      <c r="D5864" s="545">
        <v>9.6666666666666661</v>
      </c>
      <c r="E5864" s="545">
        <v>10</v>
      </c>
      <c r="F5864" s="545">
        <v>21.857142857142854</v>
      </c>
      <c r="G5864" s="545">
        <v>19.399999999999999</v>
      </c>
      <c r="H5864" s="545">
        <v>11.666666666666666</v>
      </c>
      <c r="I5864" s="545">
        <v>9.6666666666666661</v>
      </c>
      <c r="J5864" s="545">
        <v>16.904761904761905</v>
      </c>
    </row>
    <row r="5865" spans="1:10">
      <c r="A5865" s="441">
        <v>1172</v>
      </c>
      <c r="B5865" s="441" t="s">
        <v>5137</v>
      </c>
      <c r="C5865" s="545">
        <v>27.333333333333336</v>
      </c>
      <c r="D5865" s="545">
        <v>13.666666666666668</v>
      </c>
      <c r="E5865" s="545">
        <v>14.666666666666666</v>
      </c>
      <c r="F5865" s="545">
        <v>23.571428571428573</v>
      </c>
      <c r="G5865" s="545">
        <v>29.75</v>
      </c>
      <c r="H5865" s="545">
        <v>8.6666666666666661</v>
      </c>
      <c r="I5865" s="545">
        <v>11.333333333333334</v>
      </c>
      <c r="J5865" s="545">
        <v>24.107142857142858</v>
      </c>
    </row>
    <row r="5866" spans="1:10">
      <c r="A5866" s="441">
        <v>1181</v>
      </c>
      <c r="B5866" s="441" t="s">
        <v>5138</v>
      </c>
      <c r="C5866" s="545">
        <v>5.333333333333333</v>
      </c>
      <c r="D5866" s="545">
        <v>2.666666666666667</v>
      </c>
      <c r="E5866" s="545">
        <v>2</v>
      </c>
      <c r="F5866" s="545">
        <v>4.4761904761904763</v>
      </c>
      <c r="G5866" s="545">
        <v>26.45</v>
      </c>
      <c r="H5866" s="545">
        <v>12.333333333333334</v>
      </c>
      <c r="I5866" s="545">
        <v>10</v>
      </c>
      <c r="J5866" s="545">
        <v>22.083333333333336</v>
      </c>
    </row>
    <row r="5867" spans="1:10">
      <c r="A5867" s="441">
        <v>1183</v>
      </c>
      <c r="B5867" s="441" t="s">
        <v>5139</v>
      </c>
      <c r="C5867" s="545">
        <v>19.166666666666668</v>
      </c>
      <c r="D5867" s="545">
        <v>17.333333333333336</v>
      </c>
      <c r="E5867" s="545">
        <v>17.333333333333336</v>
      </c>
      <c r="F5867" s="545">
        <v>18.642857142857146</v>
      </c>
      <c r="G5867" s="545">
        <v>26.35</v>
      </c>
      <c r="H5867" s="545">
        <v>23</v>
      </c>
      <c r="I5867" s="545">
        <v>15.666666666666666</v>
      </c>
      <c r="J5867" s="545">
        <v>24.345238095238095</v>
      </c>
    </row>
    <row r="5868" spans="1:10">
      <c r="A5868" s="441">
        <v>13097</v>
      </c>
      <c r="B5868" s="441" t="s">
        <v>5139</v>
      </c>
      <c r="C5868" s="545">
        <v>16.666666666666668</v>
      </c>
      <c r="D5868" s="545">
        <v>9</v>
      </c>
      <c r="E5868" s="545">
        <v>11.666666666666668</v>
      </c>
      <c r="F5868" s="545">
        <v>14.857142857142859</v>
      </c>
      <c r="G5868" s="545">
        <v>17.3</v>
      </c>
      <c r="H5868" s="545">
        <v>21.666666666666668</v>
      </c>
      <c r="I5868" s="545">
        <v>16</v>
      </c>
      <c r="J5868" s="545">
        <v>17.738095238095237</v>
      </c>
    </row>
    <row r="5869" spans="1:10">
      <c r="A5869" s="441">
        <v>12947</v>
      </c>
      <c r="B5869" s="441" t="s">
        <v>5140</v>
      </c>
      <c r="C5869" s="545">
        <v>9.5</v>
      </c>
      <c r="D5869" s="545">
        <v>4.3333333333333339</v>
      </c>
      <c r="E5869" s="545">
        <v>5.3333333333333339</v>
      </c>
      <c r="F5869" s="545">
        <v>8.1666666666666679</v>
      </c>
      <c r="G5869" s="545">
        <v>26.3</v>
      </c>
      <c r="H5869" s="545">
        <v>13.666666666666666</v>
      </c>
      <c r="I5869" s="545">
        <v>12.666666666666666</v>
      </c>
      <c r="J5869" s="545">
        <v>22.547619047619044</v>
      </c>
    </row>
    <row r="5870" spans="1:10">
      <c r="A5870" s="441">
        <v>9488</v>
      </c>
      <c r="B5870" s="441" t="s">
        <v>5141</v>
      </c>
      <c r="C5870" s="545">
        <v>41.166666666666671</v>
      </c>
      <c r="D5870" s="545">
        <v>25</v>
      </c>
      <c r="E5870" s="545">
        <v>28.333333333333336</v>
      </c>
      <c r="F5870" s="545">
        <v>37.023809523809526</v>
      </c>
      <c r="G5870" s="545">
        <v>25.75</v>
      </c>
      <c r="H5870" s="545">
        <v>21</v>
      </c>
      <c r="I5870" s="545">
        <v>13.333333333333334</v>
      </c>
      <c r="J5870" s="545">
        <v>23.297619047619047</v>
      </c>
    </row>
    <row r="5871" spans="1:10">
      <c r="A5871" s="441">
        <v>1170</v>
      </c>
      <c r="B5871" s="441" t="s">
        <v>5142</v>
      </c>
      <c r="C5871" s="545">
        <v>22.5</v>
      </c>
      <c r="D5871" s="545">
        <v>12.333333333333334</v>
      </c>
      <c r="E5871" s="545">
        <v>10</v>
      </c>
      <c r="F5871" s="545">
        <v>19.261904761904759</v>
      </c>
      <c r="G5871" s="545">
        <v>16.2</v>
      </c>
      <c r="H5871" s="545">
        <v>9</v>
      </c>
      <c r="I5871" s="545">
        <v>9.3333333333333339</v>
      </c>
      <c r="J5871" s="545">
        <v>14.19047619047619</v>
      </c>
    </row>
    <row r="5872" spans="1:10">
      <c r="A5872" s="441">
        <v>9459</v>
      </c>
      <c r="B5872" s="441" t="s">
        <v>5143</v>
      </c>
      <c r="C5872" s="545">
        <v>50</v>
      </c>
      <c r="D5872" s="545">
        <v>31.333333333333336</v>
      </c>
      <c r="E5872" s="545">
        <v>30.666666666666664</v>
      </c>
      <c r="F5872" s="545">
        <v>44.571428571428569</v>
      </c>
      <c r="G5872" s="545">
        <v>30.4</v>
      </c>
      <c r="H5872" s="545">
        <v>18.333333333333332</v>
      </c>
      <c r="I5872" s="545">
        <v>14</v>
      </c>
      <c r="J5872" s="545">
        <v>26.333333333333336</v>
      </c>
    </row>
    <row r="5873" spans="1:10">
      <c r="A5873" s="441">
        <v>9465</v>
      </c>
      <c r="B5873" s="441" t="s">
        <v>5144</v>
      </c>
      <c r="C5873" s="545">
        <v>9.3333333333333339</v>
      </c>
      <c r="D5873" s="545">
        <v>3.333333333333333</v>
      </c>
      <c r="E5873" s="545">
        <v>4.666666666666667</v>
      </c>
      <c r="F5873" s="545">
        <v>7.8095238095238102</v>
      </c>
      <c r="G5873" s="545">
        <v>3.3</v>
      </c>
      <c r="H5873" s="545">
        <v>2</v>
      </c>
      <c r="I5873" s="545">
        <v>1.3333333333333333</v>
      </c>
      <c r="J5873" s="545">
        <v>2.833333333333333</v>
      </c>
    </row>
    <row r="5874" spans="1:10">
      <c r="A5874" s="441">
        <v>5212</v>
      </c>
      <c r="B5874" s="441" t="s">
        <v>5145</v>
      </c>
      <c r="C5874" s="545">
        <v>18.5</v>
      </c>
      <c r="D5874" s="545">
        <v>7.666666666666667</v>
      </c>
      <c r="E5874" s="545">
        <v>6.666666666666667</v>
      </c>
      <c r="F5874" s="545">
        <v>15.261904761904763</v>
      </c>
      <c r="G5874" s="545">
        <v>10.6</v>
      </c>
      <c r="H5874" s="545">
        <v>2.6666666666666665</v>
      </c>
      <c r="I5874" s="545">
        <v>6.333333333333333</v>
      </c>
      <c r="J5874" s="545">
        <v>8.8571428571428577</v>
      </c>
    </row>
    <row r="5875" spans="1:10">
      <c r="A5875" s="441">
        <v>5214</v>
      </c>
      <c r="B5875" s="441" t="s">
        <v>5145</v>
      </c>
      <c r="C5875" s="545">
        <v>16.833333333333332</v>
      </c>
      <c r="D5875" s="545">
        <v>8.6666666666666679</v>
      </c>
      <c r="E5875" s="545">
        <v>6</v>
      </c>
      <c r="F5875" s="545">
        <v>14.119047619047619</v>
      </c>
      <c r="G5875" s="545">
        <v>9.5</v>
      </c>
      <c r="H5875" s="545">
        <v>5.666666666666667</v>
      </c>
      <c r="I5875" s="545">
        <v>5.333333333333333</v>
      </c>
      <c r="J5875" s="545">
        <v>8.3571428571428577</v>
      </c>
    </row>
    <row r="5876" spans="1:10">
      <c r="A5876" s="441">
        <v>12060</v>
      </c>
      <c r="B5876" s="441" t="s">
        <v>5146</v>
      </c>
      <c r="C5876" s="545">
        <v>7</v>
      </c>
      <c r="D5876" s="545">
        <v>2.333333333333333</v>
      </c>
      <c r="E5876" s="545">
        <v>0</v>
      </c>
      <c r="F5876" s="545">
        <v>5.3333333333333339</v>
      </c>
      <c r="G5876" s="545">
        <v>2.6</v>
      </c>
      <c r="H5876" s="545">
        <v>0</v>
      </c>
      <c r="I5876" s="545">
        <v>0.66666666666666663</v>
      </c>
      <c r="J5876" s="545">
        <v>1.9523809523809523</v>
      </c>
    </row>
    <row r="5877" spans="1:10">
      <c r="A5877" s="441">
        <v>430</v>
      </c>
      <c r="B5877" s="441" t="s">
        <v>5147</v>
      </c>
      <c r="C5877" s="545">
        <v>9</v>
      </c>
      <c r="D5877" s="545">
        <v>3</v>
      </c>
      <c r="E5877" s="545">
        <v>3.666666666666667</v>
      </c>
      <c r="F5877" s="545">
        <v>7.3809523809523805</v>
      </c>
      <c r="G5877" s="545">
        <v>2.4500000000000002</v>
      </c>
      <c r="H5877" s="545">
        <v>1</v>
      </c>
      <c r="I5877" s="545">
        <v>0.66666666666666663</v>
      </c>
      <c r="J5877" s="545">
        <v>1.9880952380952379</v>
      </c>
    </row>
    <row r="5878" spans="1:10">
      <c r="A5878" s="441">
        <v>435</v>
      </c>
      <c r="B5878" s="441" t="s">
        <v>5147</v>
      </c>
      <c r="C5878" s="545">
        <v>5.833333333333333</v>
      </c>
      <c r="D5878" s="545">
        <v>1</v>
      </c>
      <c r="E5878" s="545">
        <v>1</v>
      </c>
      <c r="F5878" s="545">
        <v>4.4523809523809517</v>
      </c>
      <c r="G5878" s="545">
        <v>0.75</v>
      </c>
      <c r="H5878" s="545">
        <v>1.6666666666666667</v>
      </c>
      <c r="I5878" s="545">
        <v>1</v>
      </c>
      <c r="J5878" s="545">
        <v>0.91666666666666674</v>
      </c>
    </row>
    <row r="5879" spans="1:10">
      <c r="A5879" s="441">
        <v>432</v>
      </c>
      <c r="B5879" s="441" t="s">
        <v>5148</v>
      </c>
      <c r="C5879" s="545">
        <v>27.166666666666668</v>
      </c>
      <c r="D5879" s="545">
        <v>3.666666666666667</v>
      </c>
      <c r="E5879" s="545">
        <v>3.3333333333333335</v>
      </c>
      <c r="F5879" s="545">
        <v>20.404761904761905</v>
      </c>
      <c r="G5879" s="545">
        <v>5.6</v>
      </c>
      <c r="H5879" s="545">
        <v>5.666666666666667</v>
      </c>
      <c r="I5879" s="545">
        <v>2.3333333333333335</v>
      </c>
      <c r="J5879" s="545">
        <v>5.1428571428571432</v>
      </c>
    </row>
    <row r="5880" spans="1:10">
      <c r="A5880" s="441">
        <v>431</v>
      </c>
      <c r="B5880" s="441" t="s">
        <v>5149</v>
      </c>
      <c r="C5880" s="545">
        <v>12</v>
      </c>
      <c r="D5880" s="545">
        <v>1.6666666666666667</v>
      </c>
      <c r="E5880" s="545">
        <v>1.3333333333333333</v>
      </c>
      <c r="F5880" s="545">
        <v>9</v>
      </c>
      <c r="G5880" s="545">
        <v>2.85</v>
      </c>
      <c r="H5880" s="545">
        <v>1</v>
      </c>
      <c r="I5880" s="545">
        <v>2.6666666666666665</v>
      </c>
      <c r="J5880" s="545">
        <v>2.5595238095238098</v>
      </c>
    </row>
    <row r="5881" spans="1:10">
      <c r="A5881" s="441">
        <v>434</v>
      </c>
      <c r="B5881" s="441" t="s">
        <v>5150</v>
      </c>
      <c r="C5881" s="545">
        <v>9.6666666666666679</v>
      </c>
      <c r="D5881" s="545">
        <v>1</v>
      </c>
      <c r="E5881" s="545">
        <v>0.33333333333333331</v>
      </c>
      <c r="F5881" s="545">
        <v>7.0952380952380967</v>
      </c>
      <c r="G5881" s="545">
        <v>1.3</v>
      </c>
      <c r="H5881" s="545">
        <v>0.66666666666666663</v>
      </c>
      <c r="I5881" s="545">
        <v>1</v>
      </c>
      <c r="J5881" s="545">
        <v>1.1666666666666667</v>
      </c>
    </row>
    <row r="5882" spans="1:10">
      <c r="A5882" s="441">
        <v>8895</v>
      </c>
      <c r="B5882" s="441" t="s">
        <v>5151</v>
      </c>
      <c r="C5882" s="545">
        <v>13.833333333333332</v>
      </c>
      <c r="D5882" s="545">
        <v>2.666666666666667</v>
      </c>
      <c r="E5882" s="545">
        <v>4</v>
      </c>
      <c r="F5882" s="545">
        <v>10.833333333333332</v>
      </c>
      <c r="G5882" s="545">
        <v>5.2</v>
      </c>
      <c r="H5882" s="545">
        <v>4.333333333333333</v>
      </c>
      <c r="I5882" s="545">
        <v>3</v>
      </c>
      <c r="J5882" s="545">
        <v>4.761904761904761</v>
      </c>
    </row>
    <row r="5883" spans="1:10">
      <c r="A5883" s="441">
        <v>8248</v>
      </c>
      <c r="B5883" s="441" t="s">
        <v>5152</v>
      </c>
      <c r="C5883" s="545">
        <v>31.5</v>
      </c>
      <c r="D5883" s="545">
        <v>17.333333333333336</v>
      </c>
      <c r="E5883" s="545">
        <v>10.333333333333332</v>
      </c>
      <c r="F5883" s="545">
        <v>26.452380952380956</v>
      </c>
      <c r="G5883" s="545">
        <v>14.85</v>
      </c>
      <c r="H5883" s="545">
        <v>7.666666666666667</v>
      </c>
      <c r="I5883" s="545">
        <v>8</v>
      </c>
      <c r="J5883" s="545">
        <v>12.845238095238097</v>
      </c>
    </row>
    <row r="5884" spans="1:10">
      <c r="A5884" s="441">
        <v>8258</v>
      </c>
      <c r="B5884" s="441" t="s">
        <v>5152</v>
      </c>
      <c r="C5884" s="545">
        <v>28.333333333333336</v>
      </c>
      <c r="D5884" s="545">
        <v>8</v>
      </c>
      <c r="E5884" s="545">
        <v>14</v>
      </c>
      <c r="F5884" s="545">
        <v>23.380952380952383</v>
      </c>
      <c r="G5884" s="545">
        <v>13.7</v>
      </c>
      <c r="H5884" s="545">
        <v>9.6666666666666661</v>
      </c>
      <c r="I5884" s="545">
        <v>4.666666666666667</v>
      </c>
      <c r="J5884" s="545">
        <v>11.833333333333334</v>
      </c>
    </row>
    <row r="5885" spans="1:10">
      <c r="A5885" s="441">
        <v>8849</v>
      </c>
      <c r="B5885" s="441" t="s">
        <v>5153</v>
      </c>
      <c r="C5885" s="545">
        <v>11.833333333333332</v>
      </c>
      <c r="D5885" s="545">
        <v>8</v>
      </c>
      <c r="E5885" s="545">
        <v>3.666666666666667</v>
      </c>
      <c r="F5885" s="545">
        <v>10.119047619047619</v>
      </c>
      <c r="G5885" s="545">
        <v>12.45</v>
      </c>
      <c r="H5885" s="545">
        <v>5</v>
      </c>
      <c r="I5885" s="545">
        <v>3.6666666666666665</v>
      </c>
      <c r="J5885" s="545">
        <v>10.130952380952381</v>
      </c>
    </row>
    <row r="5886" spans="1:10">
      <c r="A5886" s="441">
        <v>11549</v>
      </c>
      <c r="B5886" s="441" t="s">
        <v>5153</v>
      </c>
      <c r="C5886" s="545">
        <v>13.166666666666666</v>
      </c>
      <c r="D5886" s="545">
        <v>8.3333333333333321</v>
      </c>
      <c r="E5886" s="545">
        <v>5.3333333333333339</v>
      </c>
      <c r="F5886" s="545">
        <v>11.357142857142856</v>
      </c>
      <c r="G5886" s="545">
        <v>11.95</v>
      </c>
      <c r="H5886" s="545">
        <v>4.666666666666667</v>
      </c>
      <c r="I5886" s="545">
        <v>3.3333333333333335</v>
      </c>
      <c r="J5886" s="545">
        <v>9.6785714285714288</v>
      </c>
    </row>
    <row r="5887" spans="1:10">
      <c r="A5887" s="441">
        <v>8852</v>
      </c>
      <c r="B5887" s="441" t="s">
        <v>5154</v>
      </c>
      <c r="C5887" s="545">
        <v>5.3333333333333339</v>
      </c>
      <c r="D5887" s="545">
        <v>16.666666666666668</v>
      </c>
      <c r="E5887" s="545">
        <v>6.333333333333333</v>
      </c>
      <c r="F5887" s="545">
        <v>7.0952380952380967</v>
      </c>
      <c r="G5887" s="545">
        <v>2.5499999999999998</v>
      </c>
      <c r="H5887" s="545">
        <v>1</v>
      </c>
      <c r="I5887" s="545">
        <v>0.66666666666666663</v>
      </c>
      <c r="J5887" s="545">
        <v>2.0595238095238093</v>
      </c>
    </row>
    <row r="5888" spans="1:10">
      <c r="A5888" s="441">
        <v>8851</v>
      </c>
      <c r="B5888" s="441" t="s">
        <v>5155</v>
      </c>
      <c r="C5888" s="545">
        <v>2.5</v>
      </c>
      <c r="D5888" s="545">
        <v>0.33333333333333331</v>
      </c>
      <c r="E5888" s="545">
        <v>0.33333333333333331</v>
      </c>
      <c r="F5888" s="545">
        <v>1.8809523809523812</v>
      </c>
      <c r="G5888" s="545">
        <v>4</v>
      </c>
      <c r="H5888" s="545">
        <v>1</v>
      </c>
      <c r="I5888" s="545">
        <v>0.66666666666666663</v>
      </c>
      <c r="J5888" s="545">
        <v>3.0952380952380953</v>
      </c>
    </row>
    <row r="5889" spans="1:10">
      <c r="A5889" s="441">
        <v>11579</v>
      </c>
      <c r="B5889" s="441" t="s">
        <v>5155</v>
      </c>
      <c r="C5889" s="545">
        <v>13.333333333333332</v>
      </c>
      <c r="D5889" s="545">
        <v>8.6666666666666679</v>
      </c>
      <c r="E5889" s="545">
        <v>11.666666666666668</v>
      </c>
      <c r="F5889" s="545">
        <v>12.428571428571429</v>
      </c>
      <c r="G5889" s="545">
        <v>7.15</v>
      </c>
      <c r="H5889" s="545">
        <v>2.6666666666666665</v>
      </c>
      <c r="I5889" s="545">
        <v>2</v>
      </c>
      <c r="J5889" s="545">
        <v>5.7738095238095237</v>
      </c>
    </row>
    <row r="5890" spans="1:10">
      <c r="A5890" s="441">
        <v>11205</v>
      </c>
      <c r="B5890" s="441" t="s">
        <v>5156</v>
      </c>
      <c r="C5890" s="545">
        <v>33.166666666666664</v>
      </c>
      <c r="D5890" s="545">
        <v>2</v>
      </c>
      <c r="E5890" s="545">
        <v>3</v>
      </c>
      <c r="F5890" s="545">
        <v>24.404761904761902</v>
      </c>
      <c r="G5890" s="545">
        <v>35.450000000000003</v>
      </c>
      <c r="H5890" s="545">
        <v>32</v>
      </c>
      <c r="I5890" s="545">
        <v>6.333333333333333</v>
      </c>
      <c r="J5890" s="545">
        <v>30.797619047619047</v>
      </c>
    </row>
    <row r="5891" spans="1:10">
      <c r="A5891" s="441">
        <v>10205</v>
      </c>
      <c r="B5891" s="441" t="s">
        <v>5157</v>
      </c>
      <c r="C5891" s="545" t="e">
        <v>#N/A</v>
      </c>
      <c r="D5891" s="545" t="e">
        <v>#N/A</v>
      </c>
      <c r="E5891" s="545" t="e">
        <v>#N/A</v>
      </c>
      <c r="F5891" s="545" t="e">
        <v>#N/A</v>
      </c>
      <c r="G5891" s="545">
        <v>4.5999999999999996</v>
      </c>
      <c r="H5891" s="545">
        <v>2</v>
      </c>
      <c r="I5891" s="545">
        <v>15</v>
      </c>
      <c r="J5891" s="545">
        <v>5.7142857142857144</v>
      </c>
    </row>
    <row r="5892" spans="1:10">
      <c r="A5892" s="441">
        <v>11216</v>
      </c>
      <c r="B5892" s="441" t="s">
        <v>5157</v>
      </c>
      <c r="C5892" s="545">
        <v>169.33333333333334</v>
      </c>
      <c r="D5892" s="545">
        <v>62.333333333333336</v>
      </c>
      <c r="E5892" s="545">
        <v>43</v>
      </c>
      <c r="F5892" s="545">
        <v>136.00000000000003</v>
      </c>
      <c r="G5892" s="545">
        <v>82.1</v>
      </c>
      <c r="H5892" s="545">
        <v>40.333333333333336</v>
      </c>
      <c r="I5892" s="545">
        <v>34.333333333333336</v>
      </c>
      <c r="J5892" s="545">
        <v>69.30952380952381</v>
      </c>
    </row>
    <row r="5893" spans="1:10">
      <c r="A5893" s="441">
        <v>11255</v>
      </c>
      <c r="B5893" s="441" t="s">
        <v>5158</v>
      </c>
      <c r="C5893" s="545">
        <v>201.5</v>
      </c>
      <c r="D5893" s="545">
        <v>38</v>
      </c>
      <c r="E5893" s="545">
        <v>41.333333333333336</v>
      </c>
      <c r="F5893" s="545">
        <v>155.26190476190476</v>
      </c>
      <c r="G5893" s="545">
        <v>97.3</v>
      </c>
      <c r="H5893" s="545">
        <v>29.333333333333332</v>
      </c>
      <c r="I5893" s="545">
        <v>18.666666666666668</v>
      </c>
      <c r="J5893" s="545">
        <v>76.357142857142861</v>
      </c>
    </row>
    <row r="5894" spans="1:10">
      <c r="A5894" s="441">
        <v>13044</v>
      </c>
      <c r="B5894" s="441" t="s">
        <v>5159</v>
      </c>
      <c r="C5894" s="545">
        <v>117.66666666666667</v>
      </c>
      <c r="D5894" s="545">
        <v>18</v>
      </c>
      <c r="E5894" s="545">
        <v>8</v>
      </c>
      <c r="F5894" s="545">
        <v>87.761904761904773</v>
      </c>
      <c r="G5894" s="545">
        <v>83.7</v>
      </c>
      <c r="H5894" s="545">
        <v>32.666666666666664</v>
      </c>
      <c r="I5894" s="545">
        <v>26.666666666666668</v>
      </c>
      <c r="J5894" s="545">
        <v>68.261904761904773</v>
      </c>
    </row>
    <row r="5895" spans="1:10">
      <c r="A5895" s="441">
        <v>480</v>
      </c>
      <c r="B5895" s="441" t="s">
        <v>5160</v>
      </c>
      <c r="C5895" s="545">
        <v>3.666666666666667</v>
      </c>
      <c r="D5895" s="545">
        <v>0.66666666666666663</v>
      </c>
      <c r="E5895" s="545">
        <v>2.3333333333333335</v>
      </c>
      <c r="F5895" s="545">
        <v>3.0476190476190479</v>
      </c>
      <c r="G5895" s="545">
        <v>3.05</v>
      </c>
      <c r="H5895" s="545">
        <v>3</v>
      </c>
      <c r="I5895" s="545">
        <v>10.666666666666666</v>
      </c>
      <c r="J5895" s="545">
        <v>4.1309523809523805</v>
      </c>
    </row>
    <row r="5896" spans="1:10">
      <c r="A5896" s="441">
        <v>10678</v>
      </c>
      <c r="B5896" s="441" t="s">
        <v>5161</v>
      </c>
      <c r="C5896" s="545">
        <v>31.666666666666664</v>
      </c>
      <c r="D5896" s="545">
        <v>0</v>
      </c>
      <c r="E5896" s="545">
        <v>0</v>
      </c>
      <c r="F5896" s="545">
        <v>22.619047619047617</v>
      </c>
      <c r="G5896" s="545">
        <v>17.7</v>
      </c>
      <c r="H5896" s="545"/>
      <c r="I5896" s="545"/>
      <c r="J5896" s="545">
        <v>12.642857142857142</v>
      </c>
    </row>
    <row r="5897" spans="1:10">
      <c r="A5897" s="441">
        <v>279</v>
      </c>
      <c r="B5897" s="441" t="s">
        <v>5162</v>
      </c>
      <c r="C5897" s="545">
        <v>53.333333333333336</v>
      </c>
      <c r="D5897" s="545">
        <v>23</v>
      </c>
      <c r="E5897" s="545">
        <v>33.333333333333336</v>
      </c>
      <c r="F5897" s="545">
        <v>46.142857142857146</v>
      </c>
      <c r="G5897" s="545">
        <v>41.6</v>
      </c>
      <c r="H5897" s="545">
        <v>24</v>
      </c>
      <c r="I5897" s="545">
        <v>24.333333333333332</v>
      </c>
      <c r="J5897" s="545">
        <v>36.619047619047613</v>
      </c>
    </row>
    <row r="5898" spans="1:10">
      <c r="A5898" s="441">
        <v>11256</v>
      </c>
      <c r="B5898" s="441" t="s">
        <v>5163</v>
      </c>
      <c r="C5898" s="545">
        <v>26.833333333333336</v>
      </c>
      <c r="D5898" s="545">
        <v>21.666666666666664</v>
      </c>
      <c r="E5898" s="545">
        <v>11.666666666666666</v>
      </c>
      <c r="F5898" s="545">
        <v>23.928571428571427</v>
      </c>
      <c r="G5898" s="545">
        <v>10.85</v>
      </c>
      <c r="H5898" s="545">
        <v>21.333333333333332</v>
      </c>
      <c r="I5898" s="545">
        <v>7.333333333333333</v>
      </c>
      <c r="J5898" s="545">
        <v>11.845238095238093</v>
      </c>
    </row>
    <row r="5899" spans="1:10">
      <c r="A5899" s="441">
        <v>1512</v>
      </c>
      <c r="B5899" s="441" t="s">
        <v>5164</v>
      </c>
      <c r="C5899" s="545">
        <v>0.83333333333333337</v>
      </c>
      <c r="D5899" s="545">
        <v>0</v>
      </c>
      <c r="E5899" s="545">
        <v>0.66666666666666663</v>
      </c>
      <c r="F5899" s="545">
        <v>0.69047619047619058</v>
      </c>
      <c r="G5899" s="545">
        <v>0.4</v>
      </c>
      <c r="H5899" s="545">
        <v>0</v>
      </c>
      <c r="I5899" s="545">
        <v>0</v>
      </c>
      <c r="J5899" s="545">
        <v>0.2857142857142857</v>
      </c>
    </row>
    <row r="5900" spans="1:10">
      <c r="A5900" s="441">
        <v>1515</v>
      </c>
      <c r="B5900" s="441" t="s">
        <v>5164</v>
      </c>
      <c r="C5900" s="545">
        <v>0.5</v>
      </c>
      <c r="D5900" s="545">
        <v>0</v>
      </c>
      <c r="E5900" s="545">
        <v>0</v>
      </c>
      <c r="F5900" s="545">
        <v>0.35714285714285715</v>
      </c>
      <c r="G5900" s="545">
        <v>0.1</v>
      </c>
      <c r="H5900" s="545">
        <v>11</v>
      </c>
      <c r="I5900" s="545">
        <v>0</v>
      </c>
      <c r="J5900" s="545">
        <v>1.6428571428571428</v>
      </c>
    </row>
    <row r="5901" spans="1:10">
      <c r="A5901" s="441">
        <v>1516</v>
      </c>
      <c r="B5901" s="441" t="s">
        <v>5165</v>
      </c>
      <c r="C5901" s="545">
        <v>23.666666666666668</v>
      </c>
      <c r="D5901" s="545">
        <v>2</v>
      </c>
      <c r="E5901" s="545">
        <v>4</v>
      </c>
      <c r="F5901" s="545">
        <v>17.761904761904763</v>
      </c>
      <c r="G5901" s="545">
        <v>15.05</v>
      </c>
      <c r="H5901" s="545">
        <v>8.3333333333333339</v>
      </c>
      <c r="I5901" s="545">
        <v>0.66666666666666663</v>
      </c>
      <c r="J5901" s="545">
        <v>12.035714285714286</v>
      </c>
    </row>
    <row r="5902" spans="1:10">
      <c r="A5902" s="441">
        <v>1513</v>
      </c>
      <c r="B5902" s="441" t="s">
        <v>5166</v>
      </c>
      <c r="C5902" s="545">
        <v>9.6666666666666679</v>
      </c>
      <c r="D5902" s="545">
        <v>4</v>
      </c>
      <c r="E5902" s="545">
        <v>5.333333333333333</v>
      </c>
      <c r="F5902" s="545">
        <v>8.238095238095239</v>
      </c>
      <c r="G5902" s="545">
        <v>6.15</v>
      </c>
      <c r="H5902" s="545">
        <v>2.6666666666666665</v>
      </c>
      <c r="I5902" s="545">
        <v>4.333333333333333</v>
      </c>
      <c r="J5902" s="545">
        <v>5.3928571428571432</v>
      </c>
    </row>
    <row r="5903" spans="1:10">
      <c r="A5903" s="441">
        <v>1514</v>
      </c>
      <c r="B5903" s="441" t="s">
        <v>5166</v>
      </c>
      <c r="C5903" s="545">
        <v>6.6666666666666661</v>
      </c>
      <c r="D5903" s="545">
        <v>0.66666666666666663</v>
      </c>
      <c r="E5903" s="545">
        <v>2.3333333333333335</v>
      </c>
      <c r="F5903" s="545">
        <v>5.1904761904761898</v>
      </c>
      <c r="G5903" s="545">
        <v>2.2999999999999998</v>
      </c>
      <c r="H5903" s="545">
        <v>2.3333333333333335</v>
      </c>
      <c r="I5903" s="545">
        <v>1.6666666666666667</v>
      </c>
      <c r="J5903" s="545">
        <v>2.2142857142857144</v>
      </c>
    </row>
    <row r="5904" spans="1:10">
      <c r="A5904" s="441">
        <v>3276</v>
      </c>
      <c r="B5904" s="441" t="s">
        <v>5167</v>
      </c>
      <c r="C5904" s="545">
        <v>76.833333333333329</v>
      </c>
      <c r="D5904" s="545">
        <v>38.333333333333336</v>
      </c>
      <c r="E5904" s="545">
        <v>31.333333333333332</v>
      </c>
      <c r="F5904" s="545">
        <v>64.833333333333329</v>
      </c>
      <c r="G5904" s="545">
        <v>29.7</v>
      </c>
      <c r="H5904" s="545">
        <v>26.666666666666668</v>
      </c>
      <c r="I5904" s="545">
        <v>18.666666666666668</v>
      </c>
      <c r="J5904" s="545">
        <v>27.690476190476186</v>
      </c>
    </row>
    <row r="5905" spans="1:10">
      <c r="A5905" s="441">
        <v>3259</v>
      </c>
      <c r="B5905" s="441" t="s">
        <v>5168</v>
      </c>
      <c r="C5905" s="545">
        <v>5.166666666666667</v>
      </c>
      <c r="D5905" s="545">
        <v>1.3333333333333333</v>
      </c>
      <c r="E5905" s="545">
        <v>1.3333333333333333</v>
      </c>
      <c r="F5905" s="545">
        <v>4.0714285714285712</v>
      </c>
      <c r="G5905" s="545">
        <v>3.4</v>
      </c>
      <c r="H5905" s="545">
        <v>1</v>
      </c>
      <c r="I5905" s="545">
        <v>2</v>
      </c>
      <c r="J5905" s="545">
        <v>2.8571428571428572</v>
      </c>
    </row>
    <row r="5906" spans="1:10">
      <c r="A5906" s="441">
        <v>3272</v>
      </c>
      <c r="B5906" s="441" t="s">
        <v>5168</v>
      </c>
      <c r="C5906" s="545">
        <v>4.666666666666667</v>
      </c>
      <c r="D5906" s="545">
        <v>1</v>
      </c>
      <c r="E5906" s="545">
        <v>3</v>
      </c>
      <c r="F5906" s="545">
        <v>3.9047619047619051</v>
      </c>
      <c r="G5906" s="545">
        <v>2.35</v>
      </c>
      <c r="H5906" s="545">
        <v>1</v>
      </c>
      <c r="I5906" s="545">
        <v>0.33333333333333331</v>
      </c>
      <c r="J5906" s="545">
        <v>1.8690476190476191</v>
      </c>
    </row>
    <row r="5907" spans="1:10">
      <c r="A5907" s="441">
        <v>2291</v>
      </c>
      <c r="B5907" s="441" t="s">
        <v>5169</v>
      </c>
      <c r="C5907" s="545">
        <v>5.833333333333333</v>
      </c>
      <c r="D5907" s="545">
        <v>3.6666666666666665</v>
      </c>
      <c r="E5907" s="545">
        <v>4</v>
      </c>
      <c r="F5907" s="545">
        <v>5.261904761904761</v>
      </c>
      <c r="G5907" s="545">
        <v>3.75</v>
      </c>
      <c r="H5907" s="545">
        <v>1.6666666666666667</v>
      </c>
      <c r="I5907" s="545">
        <v>4</v>
      </c>
      <c r="J5907" s="545">
        <v>3.4880952380952381</v>
      </c>
    </row>
    <row r="5908" spans="1:10">
      <c r="A5908" s="441">
        <v>2332</v>
      </c>
      <c r="B5908" s="441" t="s">
        <v>5169</v>
      </c>
      <c r="C5908" s="545">
        <v>9.8333333333333321</v>
      </c>
      <c r="D5908" s="545">
        <v>6</v>
      </c>
      <c r="E5908" s="545">
        <v>4.6666666666666661</v>
      </c>
      <c r="F5908" s="545">
        <v>8.5476190476190457</v>
      </c>
      <c r="G5908" s="545">
        <v>5.7</v>
      </c>
      <c r="H5908" s="545">
        <v>4.666666666666667</v>
      </c>
      <c r="I5908" s="545">
        <v>1.6666666666666667</v>
      </c>
      <c r="J5908" s="545">
        <v>4.9761904761904754</v>
      </c>
    </row>
    <row r="5909" spans="1:10">
      <c r="A5909" s="441">
        <v>3256</v>
      </c>
      <c r="B5909" s="441" t="s">
        <v>5170</v>
      </c>
      <c r="C5909" s="545">
        <v>7.666666666666667</v>
      </c>
      <c r="D5909" s="545">
        <v>2</v>
      </c>
      <c r="E5909" s="545">
        <v>2.6666666666666665</v>
      </c>
      <c r="F5909" s="545">
        <v>6.1428571428571432</v>
      </c>
      <c r="G5909" s="545">
        <v>3.35</v>
      </c>
      <c r="H5909" s="545">
        <v>0.66666666666666663</v>
      </c>
      <c r="I5909" s="545">
        <v>0</v>
      </c>
      <c r="J5909" s="545">
        <v>2.4880952380952381</v>
      </c>
    </row>
    <row r="5910" spans="1:10">
      <c r="A5910" s="441">
        <v>3275</v>
      </c>
      <c r="B5910" s="441" t="s">
        <v>5170</v>
      </c>
      <c r="C5910" s="545">
        <v>3.6666666666666665</v>
      </c>
      <c r="D5910" s="545">
        <v>0.66666666666666663</v>
      </c>
      <c r="E5910" s="545">
        <v>0.66666666666666663</v>
      </c>
      <c r="F5910" s="545">
        <v>2.8095238095238098</v>
      </c>
      <c r="G5910" s="545">
        <v>3.1</v>
      </c>
      <c r="H5910" s="545">
        <v>0.33333333333333331</v>
      </c>
      <c r="I5910" s="545">
        <v>0</v>
      </c>
      <c r="J5910" s="545">
        <v>2.2619047619047619</v>
      </c>
    </row>
    <row r="5911" spans="1:10">
      <c r="A5911" s="441">
        <v>12390</v>
      </c>
      <c r="B5911" s="441" t="s">
        <v>5171</v>
      </c>
      <c r="C5911" s="545">
        <v>16.666666666666664</v>
      </c>
      <c r="D5911" s="545">
        <v>7.6666666666666661</v>
      </c>
      <c r="E5911" s="545">
        <v>8</v>
      </c>
      <c r="F5911" s="545">
        <v>14.142857142857141</v>
      </c>
      <c r="G5911" s="545">
        <v>11.1</v>
      </c>
      <c r="H5911" s="545">
        <v>8.3333333333333339</v>
      </c>
      <c r="I5911" s="545">
        <v>6</v>
      </c>
      <c r="J5911" s="545">
        <v>9.9761904761904781</v>
      </c>
    </row>
    <row r="5912" spans="1:10">
      <c r="A5912" s="441">
        <v>12391</v>
      </c>
      <c r="B5912" s="441" t="s">
        <v>5171</v>
      </c>
      <c r="C5912" s="545">
        <v>11.833333333333332</v>
      </c>
      <c r="D5912" s="545">
        <v>11</v>
      </c>
      <c r="E5912" s="545">
        <v>6</v>
      </c>
      <c r="F5912" s="545">
        <v>10.88095238095238</v>
      </c>
      <c r="G5912" s="545">
        <v>7.8</v>
      </c>
      <c r="H5912" s="545">
        <v>6.333333333333333</v>
      </c>
      <c r="I5912" s="545">
        <v>5.333333333333333</v>
      </c>
      <c r="J5912" s="545">
        <v>7.238095238095239</v>
      </c>
    </row>
    <row r="5913" spans="1:10">
      <c r="A5913" s="441">
        <v>3260</v>
      </c>
      <c r="B5913" s="441" t="s">
        <v>5172</v>
      </c>
      <c r="C5913" s="545">
        <v>5.666666666666667</v>
      </c>
      <c r="D5913" s="545">
        <v>3</v>
      </c>
      <c r="E5913" s="545">
        <v>4.333333333333333</v>
      </c>
      <c r="F5913" s="545">
        <v>5.0952380952380958</v>
      </c>
      <c r="G5913" s="545">
        <v>3.8</v>
      </c>
      <c r="H5913" s="545">
        <v>2.3333333333333335</v>
      </c>
      <c r="I5913" s="545">
        <v>2.3333333333333335</v>
      </c>
      <c r="J5913" s="545">
        <v>3.3809523809523805</v>
      </c>
    </row>
    <row r="5914" spans="1:10">
      <c r="A5914" s="441">
        <v>3271</v>
      </c>
      <c r="B5914" s="441" t="s">
        <v>5172</v>
      </c>
      <c r="C5914" s="545">
        <v>7</v>
      </c>
      <c r="D5914" s="545">
        <v>5.666666666666667</v>
      </c>
      <c r="E5914" s="545">
        <v>4.6666666666666661</v>
      </c>
      <c r="F5914" s="545">
        <v>6.4761904761904754</v>
      </c>
      <c r="G5914" s="545">
        <v>6.05</v>
      </c>
      <c r="H5914" s="545">
        <v>2.6666666666666665</v>
      </c>
      <c r="I5914" s="545">
        <v>2</v>
      </c>
      <c r="J5914" s="545">
        <v>4.9880952380952381</v>
      </c>
    </row>
    <row r="5915" spans="1:10">
      <c r="A5915" s="441">
        <v>3265</v>
      </c>
      <c r="B5915" s="441" t="s">
        <v>5173</v>
      </c>
      <c r="C5915" s="545">
        <v>26.5</v>
      </c>
      <c r="D5915" s="545">
        <v>18.666666666666664</v>
      </c>
      <c r="E5915" s="545">
        <v>12.666666666666668</v>
      </c>
      <c r="F5915" s="545">
        <v>23.404761904761902</v>
      </c>
      <c r="G5915" s="545">
        <v>16.55</v>
      </c>
      <c r="H5915" s="545">
        <v>14.333333333333334</v>
      </c>
      <c r="I5915" s="545">
        <v>8</v>
      </c>
      <c r="J5915" s="545">
        <v>15.011904761904761</v>
      </c>
    </row>
    <row r="5916" spans="1:10">
      <c r="A5916" s="441">
        <v>3266</v>
      </c>
      <c r="B5916" s="441" t="s">
        <v>5173</v>
      </c>
      <c r="C5916" s="545">
        <v>17.666666666666664</v>
      </c>
      <c r="D5916" s="545">
        <v>17.666666666666668</v>
      </c>
      <c r="E5916" s="545">
        <v>9</v>
      </c>
      <c r="F5916" s="545">
        <v>16.428571428571427</v>
      </c>
      <c r="G5916" s="545">
        <v>14.2</v>
      </c>
      <c r="H5916" s="545">
        <v>9.3333333333333339</v>
      </c>
      <c r="I5916" s="545">
        <v>5.333333333333333</v>
      </c>
      <c r="J5916" s="545">
        <v>12.238095238095237</v>
      </c>
    </row>
    <row r="5917" spans="1:10">
      <c r="A5917" s="441">
        <v>3262</v>
      </c>
      <c r="B5917" s="441" t="s">
        <v>5174</v>
      </c>
      <c r="C5917" s="545">
        <v>20.333333333333336</v>
      </c>
      <c r="D5917" s="545">
        <v>3.666666666666667</v>
      </c>
      <c r="E5917" s="545">
        <v>4.666666666666667</v>
      </c>
      <c r="F5917" s="545">
        <v>15.714285714285719</v>
      </c>
      <c r="G5917" s="545">
        <v>5.75</v>
      </c>
      <c r="H5917" s="545">
        <v>6</v>
      </c>
      <c r="I5917" s="545">
        <v>2</v>
      </c>
      <c r="J5917" s="545">
        <v>5.25</v>
      </c>
    </row>
    <row r="5918" spans="1:10">
      <c r="A5918" s="441">
        <v>3269</v>
      </c>
      <c r="B5918" s="441" t="s">
        <v>5174</v>
      </c>
      <c r="C5918" s="545">
        <v>6.166666666666667</v>
      </c>
      <c r="D5918" s="545">
        <v>5</v>
      </c>
      <c r="E5918" s="545">
        <v>3.333333333333333</v>
      </c>
      <c r="F5918" s="545">
        <v>5.5952380952380958</v>
      </c>
      <c r="G5918" s="545">
        <v>4.5</v>
      </c>
      <c r="H5918" s="545">
        <v>5.333333333333333</v>
      </c>
      <c r="I5918" s="545">
        <v>4.333333333333333</v>
      </c>
      <c r="J5918" s="545">
        <v>4.5952380952380949</v>
      </c>
    </row>
    <row r="5919" spans="1:10">
      <c r="A5919" s="441">
        <v>3261</v>
      </c>
      <c r="B5919" s="441" t="s">
        <v>5175</v>
      </c>
      <c r="C5919" s="545">
        <v>4.8333333333333339</v>
      </c>
      <c r="D5919" s="545">
        <v>2</v>
      </c>
      <c r="E5919" s="545">
        <v>2.333333333333333</v>
      </c>
      <c r="F5919" s="545">
        <v>4.0714285714285721</v>
      </c>
      <c r="G5919" s="545">
        <v>4.4000000000000004</v>
      </c>
      <c r="H5919" s="545">
        <v>3</v>
      </c>
      <c r="I5919" s="545">
        <v>4</v>
      </c>
      <c r="J5919" s="545">
        <v>4.1428571428571432</v>
      </c>
    </row>
    <row r="5920" spans="1:10">
      <c r="A5920" s="441">
        <v>3270</v>
      </c>
      <c r="B5920" s="441" t="s">
        <v>5175</v>
      </c>
      <c r="C5920" s="545">
        <v>11.333333333333332</v>
      </c>
      <c r="D5920" s="545">
        <v>7.666666666666667</v>
      </c>
      <c r="E5920" s="545">
        <v>2</v>
      </c>
      <c r="F5920" s="545">
        <v>9.4761904761904763</v>
      </c>
      <c r="G5920" s="545">
        <v>6.4</v>
      </c>
      <c r="H5920" s="545">
        <v>3.3333333333333335</v>
      </c>
      <c r="I5920" s="545">
        <v>3.6666666666666665</v>
      </c>
      <c r="J5920" s="545">
        <v>5.5714285714285712</v>
      </c>
    </row>
    <row r="5921" spans="1:10">
      <c r="A5921" s="441">
        <v>12389</v>
      </c>
      <c r="B5921" s="441" t="s">
        <v>5176</v>
      </c>
      <c r="C5921" s="545">
        <v>31.5</v>
      </c>
      <c r="D5921" s="545">
        <v>19</v>
      </c>
      <c r="E5921" s="545">
        <v>12.333333333333334</v>
      </c>
      <c r="F5921" s="545">
        <v>26.976190476190478</v>
      </c>
      <c r="G5921" s="545">
        <v>12.8</v>
      </c>
      <c r="H5921" s="545">
        <v>9.6666666666666661</v>
      </c>
      <c r="I5921" s="545">
        <v>9.3333333333333339</v>
      </c>
      <c r="J5921" s="545">
        <v>11.857142857142858</v>
      </c>
    </row>
    <row r="5922" spans="1:10">
      <c r="A5922" s="441">
        <v>3264</v>
      </c>
      <c r="B5922" s="441" t="s">
        <v>5177</v>
      </c>
      <c r="C5922" s="545">
        <v>6</v>
      </c>
      <c r="D5922" s="545">
        <v>2.3333333333333335</v>
      </c>
      <c r="E5922" s="545">
        <v>3</v>
      </c>
      <c r="F5922" s="545">
        <v>5.0476190476190483</v>
      </c>
      <c r="G5922" s="545">
        <v>2.4</v>
      </c>
      <c r="H5922" s="545">
        <v>2.3333333333333335</v>
      </c>
      <c r="I5922" s="545">
        <v>0.66666666666666663</v>
      </c>
      <c r="J5922" s="545">
        <v>2.1428571428571428</v>
      </c>
    </row>
    <row r="5923" spans="1:10">
      <c r="A5923" s="441">
        <v>3267</v>
      </c>
      <c r="B5923" s="441" t="s">
        <v>5177</v>
      </c>
      <c r="C5923" s="545">
        <v>12</v>
      </c>
      <c r="D5923" s="545">
        <v>6.333333333333333</v>
      </c>
      <c r="E5923" s="545">
        <v>9.6666666666666661</v>
      </c>
      <c r="F5923" s="545">
        <v>10.857142857142858</v>
      </c>
      <c r="G5923" s="545">
        <v>3.8</v>
      </c>
      <c r="H5923" s="545">
        <v>1.6666666666666667</v>
      </c>
      <c r="I5923" s="545">
        <v>2.3333333333333335</v>
      </c>
      <c r="J5923" s="545">
        <v>3.2857142857142856</v>
      </c>
    </row>
    <row r="5924" spans="1:10">
      <c r="A5924" s="441">
        <v>3258</v>
      </c>
      <c r="B5924" s="441" t="s">
        <v>5178</v>
      </c>
      <c r="C5924" s="545">
        <v>33.166666666666671</v>
      </c>
      <c r="D5924" s="545">
        <v>14.666666666666666</v>
      </c>
      <c r="E5924" s="545">
        <v>12</v>
      </c>
      <c r="F5924" s="545">
        <v>27.500000000000004</v>
      </c>
      <c r="G5924" s="545">
        <v>21.95</v>
      </c>
      <c r="H5924" s="545">
        <v>19.333333333333332</v>
      </c>
      <c r="I5924" s="545">
        <v>7</v>
      </c>
      <c r="J5924" s="545">
        <v>19.440476190476193</v>
      </c>
    </row>
    <row r="5925" spans="1:10">
      <c r="A5925" s="441">
        <v>3273</v>
      </c>
      <c r="B5925" s="441" t="s">
        <v>5178</v>
      </c>
      <c r="C5925" s="545">
        <v>26.166666666666668</v>
      </c>
      <c r="D5925" s="545">
        <v>8.6666666666666661</v>
      </c>
      <c r="E5925" s="545">
        <v>16.666666666666668</v>
      </c>
      <c r="F5925" s="545">
        <v>22.309523809523807</v>
      </c>
      <c r="G5925" s="545">
        <v>19.7</v>
      </c>
      <c r="H5925" s="545">
        <v>8.3333333333333339</v>
      </c>
      <c r="I5925" s="545">
        <v>5</v>
      </c>
      <c r="J5925" s="545">
        <v>15.976190476190476</v>
      </c>
    </row>
    <row r="5926" spans="1:10">
      <c r="A5926" s="441">
        <v>3263</v>
      </c>
      <c r="B5926" s="441" t="s">
        <v>5179</v>
      </c>
      <c r="C5926" s="545">
        <v>3.3333333333333335</v>
      </c>
      <c r="D5926" s="545">
        <v>3.3333333333333335</v>
      </c>
      <c r="E5926" s="545">
        <v>1.3333333333333333</v>
      </c>
      <c r="F5926" s="545">
        <v>3.0476190476190474</v>
      </c>
      <c r="G5926" s="545">
        <v>2.9</v>
      </c>
      <c r="H5926" s="545">
        <v>1.3333333333333333</v>
      </c>
      <c r="I5926" s="545">
        <v>3</v>
      </c>
      <c r="J5926" s="545">
        <v>2.6904761904761907</v>
      </c>
    </row>
    <row r="5927" spans="1:10">
      <c r="A5927" s="441">
        <v>3268</v>
      </c>
      <c r="B5927" s="441" t="s">
        <v>5179</v>
      </c>
      <c r="C5927" s="545">
        <v>2.6666666666666665</v>
      </c>
      <c r="D5927" s="545">
        <v>2.666666666666667</v>
      </c>
      <c r="E5927" s="545">
        <v>4.6666666666666661</v>
      </c>
      <c r="F5927" s="545">
        <v>2.9523809523809521</v>
      </c>
      <c r="G5927" s="545">
        <v>1.65</v>
      </c>
      <c r="H5927" s="545">
        <v>1.6666666666666667</v>
      </c>
      <c r="I5927" s="545">
        <v>0.33333333333333331</v>
      </c>
      <c r="J5927" s="545">
        <v>1.4642857142857142</v>
      </c>
    </row>
    <row r="5928" spans="1:10">
      <c r="A5928" s="441">
        <v>11421</v>
      </c>
      <c r="B5928" s="441" t="s">
        <v>5180</v>
      </c>
      <c r="C5928" s="545">
        <v>6.1666666666666661</v>
      </c>
      <c r="D5928" s="545">
        <v>11.333333333333332</v>
      </c>
      <c r="E5928" s="545">
        <v>0.33333333333333331</v>
      </c>
      <c r="F5928" s="545">
        <v>6.0714285714285703</v>
      </c>
      <c r="G5928" s="545">
        <v>3.75</v>
      </c>
      <c r="H5928" s="545">
        <v>0.33333333333333331</v>
      </c>
      <c r="I5928" s="545">
        <v>0</v>
      </c>
      <c r="J5928" s="545">
        <v>2.7261904761904758</v>
      </c>
    </row>
    <row r="5929" spans="1:10">
      <c r="A5929" s="441">
        <v>9000</v>
      </c>
      <c r="B5929" s="441" t="s">
        <v>5181</v>
      </c>
      <c r="C5929" s="545">
        <v>29.166666666666668</v>
      </c>
      <c r="D5929" s="545">
        <v>16.666666666666668</v>
      </c>
      <c r="E5929" s="545">
        <v>11</v>
      </c>
      <c r="F5929" s="545">
        <v>24.785714285714285</v>
      </c>
      <c r="G5929" s="545">
        <v>23.3</v>
      </c>
      <c r="H5929" s="545">
        <v>15.666666666666666</v>
      </c>
      <c r="I5929" s="545">
        <v>11.666666666666666</v>
      </c>
      <c r="J5929" s="545">
        <v>20.547619047619044</v>
      </c>
    </row>
    <row r="5930" spans="1:10">
      <c r="A5930" s="441">
        <v>9011</v>
      </c>
      <c r="B5930" s="441" t="s">
        <v>5181</v>
      </c>
      <c r="C5930" s="545">
        <v>19.666666666666668</v>
      </c>
      <c r="D5930" s="545">
        <v>10.333333333333332</v>
      </c>
      <c r="E5930" s="545">
        <v>5.6666666666666661</v>
      </c>
      <c r="F5930" s="545">
        <v>16.333333333333336</v>
      </c>
      <c r="G5930" s="545">
        <v>17.95</v>
      </c>
      <c r="H5930" s="545">
        <v>16</v>
      </c>
      <c r="I5930" s="545">
        <v>10</v>
      </c>
      <c r="J5930" s="545">
        <v>16.535714285714285</v>
      </c>
    </row>
    <row r="5931" spans="1:10">
      <c r="A5931" s="441">
        <v>8999</v>
      </c>
      <c r="B5931" s="441" t="s">
        <v>5182</v>
      </c>
      <c r="C5931" s="545">
        <v>44.666666666666671</v>
      </c>
      <c r="D5931" s="545">
        <v>20</v>
      </c>
      <c r="E5931" s="545">
        <v>19.333333333333332</v>
      </c>
      <c r="F5931" s="545">
        <v>37.523809523809526</v>
      </c>
      <c r="G5931" s="545">
        <v>31.4</v>
      </c>
      <c r="H5931" s="545">
        <v>28</v>
      </c>
      <c r="I5931" s="545">
        <v>12.666666666666666</v>
      </c>
      <c r="J5931" s="545">
        <v>28.238095238095237</v>
      </c>
    </row>
    <row r="5932" spans="1:10">
      <c r="A5932" s="441">
        <v>9012</v>
      </c>
      <c r="B5932" s="441" t="s">
        <v>5182</v>
      </c>
      <c r="C5932" s="545">
        <v>27.333333333333332</v>
      </c>
      <c r="D5932" s="545">
        <v>11.333333333333332</v>
      </c>
      <c r="E5932" s="545">
        <v>16.666666666666668</v>
      </c>
      <c r="F5932" s="545">
        <v>23.523809523809522</v>
      </c>
      <c r="G5932" s="545">
        <v>19.45</v>
      </c>
      <c r="H5932" s="545">
        <v>11.666666666666666</v>
      </c>
      <c r="I5932" s="545">
        <v>11.666666666666666</v>
      </c>
      <c r="J5932" s="545">
        <v>17.226190476190478</v>
      </c>
    </row>
    <row r="5933" spans="1:10">
      <c r="A5933" s="441">
        <v>103</v>
      </c>
      <c r="B5933" s="441" t="s">
        <v>5183</v>
      </c>
      <c r="C5933" s="545">
        <v>11.5</v>
      </c>
      <c r="D5933" s="545">
        <v>5.6666666666666661</v>
      </c>
      <c r="E5933" s="545">
        <v>8</v>
      </c>
      <c r="F5933" s="545">
        <v>10.166666666666666</v>
      </c>
      <c r="G5933" s="545">
        <v>13.6</v>
      </c>
      <c r="H5933" s="545">
        <v>10</v>
      </c>
      <c r="I5933" s="545">
        <v>6</v>
      </c>
      <c r="J5933" s="545">
        <v>12</v>
      </c>
    </row>
    <row r="5934" spans="1:10">
      <c r="A5934" s="441">
        <v>9002</v>
      </c>
      <c r="B5934" s="441" t="s">
        <v>5183</v>
      </c>
      <c r="C5934" s="545">
        <v>47.833333333333329</v>
      </c>
      <c r="D5934" s="545">
        <v>13.333333333333332</v>
      </c>
      <c r="E5934" s="545">
        <v>7.6666666666666661</v>
      </c>
      <c r="F5934" s="545">
        <v>37.166666666666664</v>
      </c>
      <c r="G5934" s="545">
        <v>13.35</v>
      </c>
      <c r="H5934" s="545">
        <v>9.6666666666666661</v>
      </c>
      <c r="I5934" s="545">
        <v>5.666666666666667</v>
      </c>
      <c r="J5934" s="545">
        <v>11.726190476190478</v>
      </c>
    </row>
    <row r="5935" spans="1:10">
      <c r="A5935" s="441">
        <v>9003</v>
      </c>
      <c r="B5935" s="441" t="s">
        <v>5183</v>
      </c>
      <c r="C5935" s="545">
        <v>15.833333333333334</v>
      </c>
      <c r="D5935" s="545">
        <v>5</v>
      </c>
      <c r="E5935" s="545">
        <v>1.3333333333333333</v>
      </c>
      <c r="F5935" s="545">
        <v>12.214285714285714</v>
      </c>
      <c r="G5935" s="545">
        <v>9.5500000000000007</v>
      </c>
      <c r="H5935" s="545">
        <v>5.666666666666667</v>
      </c>
      <c r="I5935" s="545">
        <v>4.666666666666667</v>
      </c>
      <c r="J5935" s="545">
        <v>8.2976190476190474</v>
      </c>
    </row>
    <row r="5936" spans="1:10">
      <c r="A5936" s="441">
        <v>9009</v>
      </c>
      <c r="B5936" s="441" t="s">
        <v>5183</v>
      </c>
      <c r="C5936" s="545">
        <v>9.6666666666666661</v>
      </c>
      <c r="D5936" s="545">
        <v>0</v>
      </c>
      <c r="E5936" s="545">
        <v>0</v>
      </c>
      <c r="F5936" s="545">
        <v>6.9047619047619042</v>
      </c>
      <c r="G5936" s="545">
        <v>5.05</v>
      </c>
      <c r="H5936" s="545"/>
      <c r="I5936" s="545"/>
      <c r="J5936" s="545">
        <v>3.6071428571428572</v>
      </c>
    </row>
    <row r="5937" spans="1:10">
      <c r="A5937" s="441">
        <v>10934</v>
      </c>
      <c r="B5937" s="441" t="s">
        <v>5183</v>
      </c>
      <c r="C5937" s="545">
        <v>29.166666666666668</v>
      </c>
      <c r="D5937" s="545">
        <v>16.333333333333336</v>
      </c>
      <c r="E5937" s="545">
        <v>8.6666666666666661</v>
      </c>
      <c r="F5937" s="545">
        <v>24.404761904761905</v>
      </c>
      <c r="G5937" s="545">
        <v>20.85</v>
      </c>
      <c r="H5937" s="545">
        <v>8</v>
      </c>
      <c r="I5937" s="545">
        <v>8</v>
      </c>
      <c r="J5937" s="545">
        <v>17.178571428571427</v>
      </c>
    </row>
    <row r="5938" spans="1:10">
      <c r="A5938" s="441">
        <v>102</v>
      </c>
      <c r="B5938" s="441" t="s">
        <v>5184</v>
      </c>
      <c r="C5938" s="545">
        <v>19.666666666666668</v>
      </c>
      <c r="D5938" s="545">
        <v>6.6666666666666661</v>
      </c>
      <c r="E5938" s="545">
        <v>8.6666666666666679</v>
      </c>
      <c r="F5938" s="545">
        <v>16.238095238095241</v>
      </c>
      <c r="G5938" s="545">
        <v>20.3</v>
      </c>
      <c r="H5938" s="545">
        <v>20</v>
      </c>
      <c r="I5938" s="545">
        <v>15.333333333333334</v>
      </c>
      <c r="J5938" s="545">
        <v>19.547619047619047</v>
      </c>
    </row>
    <row r="5939" spans="1:10">
      <c r="A5939" s="441">
        <v>9001</v>
      </c>
      <c r="B5939" s="441" t="s">
        <v>5184</v>
      </c>
      <c r="C5939" s="545">
        <v>38.333333333333329</v>
      </c>
      <c r="D5939" s="545">
        <v>22.666666666666664</v>
      </c>
      <c r="E5939" s="545">
        <v>19</v>
      </c>
      <c r="F5939" s="545">
        <v>33.333333333333329</v>
      </c>
      <c r="G5939" s="545">
        <v>29.15</v>
      </c>
      <c r="H5939" s="545">
        <v>22.666666666666668</v>
      </c>
      <c r="I5939" s="545">
        <v>12.666666666666666</v>
      </c>
      <c r="J5939" s="545">
        <v>25.869047619047617</v>
      </c>
    </row>
    <row r="5940" spans="1:10">
      <c r="A5940" s="441">
        <v>9010</v>
      </c>
      <c r="B5940" s="441" t="s">
        <v>5184</v>
      </c>
      <c r="C5940" s="545">
        <v>45.5</v>
      </c>
      <c r="D5940" s="545">
        <v>23.333333333333336</v>
      </c>
      <c r="E5940" s="545">
        <v>13.333333333333332</v>
      </c>
      <c r="F5940" s="545">
        <v>37.738095238095241</v>
      </c>
      <c r="G5940" s="545">
        <v>30.7</v>
      </c>
      <c r="H5940" s="545">
        <v>17.666666666666668</v>
      </c>
      <c r="I5940" s="545">
        <v>14.666666666666666</v>
      </c>
      <c r="J5940" s="545">
        <v>26.547619047619044</v>
      </c>
    </row>
    <row r="5941" spans="1:10">
      <c r="A5941" s="441">
        <v>1759</v>
      </c>
      <c r="B5941" s="441" t="s">
        <v>5185</v>
      </c>
      <c r="C5941" s="545">
        <v>0.83333333333333337</v>
      </c>
      <c r="D5941" s="545">
        <v>0</v>
      </c>
      <c r="E5941" s="545">
        <v>0</v>
      </c>
      <c r="F5941" s="545">
        <v>0.59523809523809523</v>
      </c>
      <c r="G5941" s="545">
        <v>0.85</v>
      </c>
      <c r="H5941" s="545">
        <v>0.33333333333333331</v>
      </c>
      <c r="I5941" s="545">
        <v>0.33333333333333331</v>
      </c>
      <c r="J5941" s="545">
        <v>0.70238095238095233</v>
      </c>
    </row>
    <row r="5942" spans="1:10">
      <c r="A5942" s="441">
        <v>1762</v>
      </c>
      <c r="B5942" s="441" t="s">
        <v>5185</v>
      </c>
      <c r="C5942" s="545">
        <v>2.6666666666666665</v>
      </c>
      <c r="D5942" s="545">
        <v>1.3333333333333333</v>
      </c>
      <c r="E5942" s="545">
        <v>1</v>
      </c>
      <c r="F5942" s="545">
        <v>2.2380952380952381</v>
      </c>
      <c r="G5942" s="545">
        <v>1.95</v>
      </c>
      <c r="H5942" s="545">
        <v>0.33333333333333331</v>
      </c>
      <c r="I5942" s="545">
        <v>0.66666666666666663</v>
      </c>
      <c r="J5942" s="545">
        <v>1.5357142857142858</v>
      </c>
    </row>
    <row r="5943" spans="1:10">
      <c r="A5943" s="441">
        <v>1760</v>
      </c>
      <c r="B5943" s="441" t="s">
        <v>5186</v>
      </c>
      <c r="C5943" s="545">
        <v>13.166666666666668</v>
      </c>
      <c r="D5943" s="545">
        <v>5.666666666666667</v>
      </c>
      <c r="E5943" s="545">
        <v>7.3333333333333339</v>
      </c>
      <c r="F5943" s="545">
        <v>11.261904761904763</v>
      </c>
      <c r="G5943" s="545">
        <v>11.8</v>
      </c>
      <c r="H5943" s="545">
        <v>8.3333333333333339</v>
      </c>
      <c r="I5943" s="545">
        <v>8.6666666666666661</v>
      </c>
      <c r="J5943" s="545">
        <v>10.857142857142858</v>
      </c>
    </row>
    <row r="5944" spans="1:10">
      <c r="A5944" s="441">
        <v>1761</v>
      </c>
      <c r="B5944" s="441" t="s">
        <v>5187</v>
      </c>
      <c r="C5944" s="545">
        <v>1.1666666666666667</v>
      </c>
      <c r="D5944" s="545">
        <v>0.33333333333333331</v>
      </c>
      <c r="E5944" s="545">
        <v>0.66666666666666663</v>
      </c>
      <c r="F5944" s="545">
        <v>0.97619047619047628</v>
      </c>
      <c r="G5944" s="545">
        <v>1.2</v>
      </c>
      <c r="H5944" s="545">
        <v>1</v>
      </c>
      <c r="I5944" s="545">
        <v>0.33333333333333331</v>
      </c>
      <c r="J5944" s="545">
        <v>1.0476190476190477</v>
      </c>
    </row>
    <row r="5945" spans="1:10">
      <c r="A5945" s="441">
        <v>10162</v>
      </c>
      <c r="B5945" s="441" t="s">
        <v>5187</v>
      </c>
      <c r="C5945" s="545">
        <v>1.1666666666666667</v>
      </c>
      <c r="D5945" s="545">
        <v>0.33333333333333331</v>
      </c>
      <c r="E5945" s="545">
        <v>0</v>
      </c>
      <c r="F5945" s="545">
        <v>0.88095238095238104</v>
      </c>
      <c r="G5945" s="545">
        <v>2.2999999999999998</v>
      </c>
      <c r="H5945" s="545">
        <v>1</v>
      </c>
      <c r="I5945" s="545">
        <v>1.3333333333333333</v>
      </c>
      <c r="J5945" s="545">
        <v>1.9761904761904763</v>
      </c>
    </row>
    <row r="5946" spans="1:10">
      <c r="A5946" s="441">
        <v>2344</v>
      </c>
      <c r="B5946" s="441" t="s">
        <v>5188</v>
      </c>
      <c r="C5946" s="545">
        <v>22.666666666666664</v>
      </c>
      <c r="D5946" s="545">
        <v>17</v>
      </c>
      <c r="E5946" s="545">
        <v>7</v>
      </c>
      <c r="F5946" s="545">
        <v>19.619047619047617</v>
      </c>
      <c r="G5946" s="545">
        <v>22.7</v>
      </c>
      <c r="H5946" s="545">
        <v>10.333333333333334</v>
      </c>
      <c r="I5946" s="545">
        <v>5.333333333333333</v>
      </c>
      <c r="J5946" s="545">
        <v>18.452380952380953</v>
      </c>
    </row>
    <row r="5947" spans="1:10">
      <c r="A5947" s="441">
        <v>4398</v>
      </c>
      <c r="B5947" s="441" t="s">
        <v>5189</v>
      </c>
      <c r="C5947" s="545">
        <v>8.8333333333333339</v>
      </c>
      <c r="D5947" s="545">
        <v>5.6666666666666661</v>
      </c>
      <c r="E5947" s="545">
        <v>3.333333333333333</v>
      </c>
      <c r="F5947" s="545">
        <v>7.5952380952380958</v>
      </c>
      <c r="G5947" s="545">
        <v>2.35</v>
      </c>
      <c r="H5947" s="545">
        <v>1.6666666666666667</v>
      </c>
      <c r="I5947" s="545">
        <v>1.3333333333333333</v>
      </c>
      <c r="J5947" s="545">
        <v>2.1071428571428572</v>
      </c>
    </row>
    <row r="5948" spans="1:10">
      <c r="A5948" s="441">
        <v>4402</v>
      </c>
      <c r="B5948" s="441" t="s">
        <v>5189</v>
      </c>
      <c r="C5948" s="545">
        <v>4.833333333333333</v>
      </c>
      <c r="D5948" s="545">
        <v>4.333333333333333</v>
      </c>
      <c r="E5948" s="545">
        <v>5</v>
      </c>
      <c r="F5948" s="545">
        <v>4.7857142857142856</v>
      </c>
      <c r="G5948" s="545">
        <v>1.2</v>
      </c>
      <c r="H5948" s="545">
        <v>4.333333333333333</v>
      </c>
      <c r="I5948" s="545">
        <v>0.66666666666666663</v>
      </c>
      <c r="J5948" s="545">
        <v>1.5714285714285712</v>
      </c>
    </row>
    <row r="5949" spans="1:10">
      <c r="A5949" s="441">
        <v>3878</v>
      </c>
      <c r="B5949" s="441" t="s">
        <v>5190</v>
      </c>
      <c r="C5949" s="545">
        <v>2</v>
      </c>
      <c r="D5949" s="545">
        <v>1.6666666666666665</v>
      </c>
      <c r="E5949" s="545">
        <v>2.666666666666667</v>
      </c>
      <c r="F5949" s="545">
        <v>2.0476190476190474</v>
      </c>
      <c r="G5949" s="545">
        <v>3.05</v>
      </c>
      <c r="H5949" s="545">
        <v>1.3333333333333333</v>
      </c>
      <c r="I5949" s="545">
        <v>1.3333333333333333</v>
      </c>
      <c r="J5949" s="545">
        <v>2.5595238095238093</v>
      </c>
    </row>
    <row r="5950" spans="1:10">
      <c r="A5950" s="441">
        <v>3879</v>
      </c>
      <c r="B5950" s="441" t="s">
        <v>5190</v>
      </c>
      <c r="C5950" s="545">
        <v>1.6666666666666667</v>
      </c>
      <c r="D5950" s="545">
        <v>0.33333333333333331</v>
      </c>
      <c r="E5950" s="545">
        <v>0</v>
      </c>
      <c r="F5950" s="545">
        <v>1.2380952380952384</v>
      </c>
      <c r="G5950" s="545">
        <v>0.55000000000000004</v>
      </c>
      <c r="H5950" s="545">
        <v>3.6666666666666665</v>
      </c>
      <c r="I5950" s="545">
        <v>0.33333333333333331</v>
      </c>
      <c r="J5950" s="545">
        <v>0.96428571428571419</v>
      </c>
    </row>
    <row r="5951" spans="1:10">
      <c r="A5951" s="441">
        <v>12710</v>
      </c>
      <c r="B5951" s="441" t="s">
        <v>5190</v>
      </c>
      <c r="C5951" s="545">
        <v>5.166666666666667</v>
      </c>
      <c r="D5951" s="545">
        <v>2</v>
      </c>
      <c r="E5951" s="545">
        <v>0</v>
      </c>
      <c r="F5951" s="545">
        <v>3.9761904761904767</v>
      </c>
      <c r="G5951" s="545">
        <v>3.2</v>
      </c>
      <c r="H5951" s="545">
        <v>2.3333333333333335</v>
      </c>
      <c r="I5951" s="545">
        <v>21.666666666666668</v>
      </c>
      <c r="J5951" s="545">
        <v>5.7142857142857144</v>
      </c>
    </row>
    <row r="5952" spans="1:10">
      <c r="A5952" s="441">
        <v>4401</v>
      </c>
      <c r="B5952" s="441" t="s">
        <v>5191</v>
      </c>
      <c r="C5952" s="545">
        <v>5.6666666666666661</v>
      </c>
      <c r="D5952" s="545">
        <v>1.6666666666666665</v>
      </c>
      <c r="E5952" s="545">
        <v>0.66666666666666663</v>
      </c>
      <c r="F5952" s="545">
        <v>4.3809523809523805</v>
      </c>
      <c r="G5952" s="545">
        <v>2.2000000000000002</v>
      </c>
      <c r="H5952" s="545">
        <v>1.6666666666666667</v>
      </c>
      <c r="I5952" s="545">
        <v>1.3333333333333333</v>
      </c>
      <c r="J5952" s="545">
        <v>2</v>
      </c>
    </row>
    <row r="5953" spans="1:10">
      <c r="A5953" s="441">
        <v>12703</v>
      </c>
      <c r="B5953" s="441" t="s">
        <v>5192</v>
      </c>
      <c r="C5953" s="545">
        <v>3</v>
      </c>
      <c r="D5953" s="545">
        <v>0.33333333333333331</v>
      </c>
      <c r="E5953" s="545">
        <v>0.33333333333333331</v>
      </c>
      <c r="F5953" s="545">
        <v>2.2380952380952381</v>
      </c>
      <c r="G5953" s="545">
        <v>1.6</v>
      </c>
      <c r="H5953" s="545">
        <v>1.3333333333333333</v>
      </c>
      <c r="I5953" s="545">
        <v>1</v>
      </c>
      <c r="J5953" s="545">
        <v>1.4761904761904763</v>
      </c>
    </row>
    <row r="5954" spans="1:10">
      <c r="A5954" s="441">
        <v>11960</v>
      </c>
      <c r="B5954" s="441" t="s">
        <v>5193</v>
      </c>
      <c r="C5954" s="545">
        <v>70.5</v>
      </c>
      <c r="D5954" s="545">
        <v>38.666666666666671</v>
      </c>
      <c r="E5954" s="545">
        <v>29.333333333333336</v>
      </c>
      <c r="F5954" s="545">
        <v>60.071428571428569</v>
      </c>
      <c r="G5954" s="545">
        <v>43.8</v>
      </c>
      <c r="H5954" s="545">
        <v>33</v>
      </c>
      <c r="I5954" s="545">
        <v>33.333333333333336</v>
      </c>
      <c r="J5954" s="545">
        <v>40.761904761904759</v>
      </c>
    </row>
    <row r="5955" spans="1:10">
      <c r="A5955" s="441">
        <v>12711</v>
      </c>
      <c r="B5955" s="441" t="s">
        <v>5193</v>
      </c>
      <c r="C5955" s="545">
        <v>25.333333333333336</v>
      </c>
      <c r="D5955" s="545">
        <v>13.666666666666666</v>
      </c>
      <c r="E5955" s="545">
        <v>8</v>
      </c>
      <c r="F5955" s="545">
        <v>21.190476190476193</v>
      </c>
      <c r="G5955" s="545">
        <v>7.7</v>
      </c>
      <c r="H5955" s="545">
        <v>4.666666666666667</v>
      </c>
      <c r="I5955" s="545">
        <v>3.6666666666666665</v>
      </c>
      <c r="J5955" s="545">
        <v>6.6904761904761898</v>
      </c>
    </row>
    <row r="5956" spans="1:10">
      <c r="A5956" s="441">
        <v>13083</v>
      </c>
      <c r="B5956" s="441" t="s">
        <v>5193</v>
      </c>
      <c r="C5956" s="545">
        <v>44.333333333333336</v>
      </c>
      <c r="D5956" s="545">
        <v>19.666666666666668</v>
      </c>
      <c r="E5956" s="545">
        <v>18.333333333333332</v>
      </c>
      <c r="F5956" s="545">
        <v>37.095238095238095</v>
      </c>
      <c r="G5956" s="545">
        <v>31.45</v>
      </c>
      <c r="H5956" s="545">
        <v>23.666666666666668</v>
      </c>
      <c r="I5956" s="545">
        <v>28.666666666666668</v>
      </c>
      <c r="J5956" s="545">
        <v>29.940476190476186</v>
      </c>
    </row>
    <row r="5957" spans="1:10">
      <c r="A5957" s="441">
        <v>11953</v>
      </c>
      <c r="B5957" s="441" t="s">
        <v>5194</v>
      </c>
      <c r="C5957" s="545">
        <v>3.166666666666667</v>
      </c>
      <c r="D5957" s="545">
        <v>1.6666666666666665</v>
      </c>
      <c r="E5957" s="545">
        <v>1</v>
      </c>
      <c r="F5957" s="545">
        <v>2.6428571428571432</v>
      </c>
      <c r="G5957" s="545">
        <v>1.35</v>
      </c>
      <c r="H5957" s="545">
        <v>0.66666666666666663</v>
      </c>
      <c r="I5957" s="545">
        <v>2.6666666666666665</v>
      </c>
      <c r="J5957" s="545">
        <v>1.4404761904761905</v>
      </c>
    </row>
    <row r="5958" spans="1:10">
      <c r="A5958" s="441">
        <v>11954</v>
      </c>
      <c r="B5958" s="441" t="s">
        <v>5194</v>
      </c>
      <c r="C5958" s="545">
        <v>6.833333333333333</v>
      </c>
      <c r="D5958" s="545">
        <v>5</v>
      </c>
      <c r="E5958" s="545">
        <v>1.6666666666666665</v>
      </c>
      <c r="F5958" s="545">
        <v>5.833333333333333</v>
      </c>
      <c r="G5958" s="545">
        <v>1.55</v>
      </c>
      <c r="H5958" s="545">
        <v>2</v>
      </c>
      <c r="I5958" s="545">
        <v>3.6666666666666665</v>
      </c>
      <c r="J5958" s="545">
        <v>1.9166666666666665</v>
      </c>
    </row>
    <row r="5959" spans="1:10">
      <c r="A5959" s="441">
        <v>11955</v>
      </c>
      <c r="B5959" s="441" t="s">
        <v>5195</v>
      </c>
      <c r="C5959" s="545">
        <v>1.6666666666666665</v>
      </c>
      <c r="D5959" s="545">
        <v>2</v>
      </c>
      <c r="E5959" s="545">
        <v>1.3333333333333333</v>
      </c>
      <c r="F5959" s="545">
        <v>1.6666666666666665</v>
      </c>
      <c r="G5959" s="545">
        <v>2.5499999999999998</v>
      </c>
      <c r="H5959" s="545">
        <v>2.6666666666666665</v>
      </c>
      <c r="I5959" s="545">
        <v>1.3333333333333333</v>
      </c>
      <c r="J5959" s="545">
        <v>2.3928571428571428</v>
      </c>
    </row>
    <row r="5960" spans="1:10">
      <c r="A5960" s="441">
        <v>11956</v>
      </c>
      <c r="B5960" s="441" t="s">
        <v>5195</v>
      </c>
      <c r="C5960" s="545">
        <v>2.8333333333333335</v>
      </c>
      <c r="D5960" s="545">
        <v>0.33333333333333331</v>
      </c>
      <c r="E5960" s="545">
        <v>0</v>
      </c>
      <c r="F5960" s="545">
        <v>2.0714285714285716</v>
      </c>
      <c r="G5960" s="545">
        <v>1.35</v>
      </c>
      <c r="H5960" s="545">
        <v>0.66666666666666663</v>
      </c>
      <c r="I5960" s="545">
        <v>1.3333333333333333</v>
      </c>
      <c r="J5960" s="545">
        <v>1.25</v>
      </c>
    </row>
    <row r="5961" spans="1:10">
      <c r="A5961" s="441">
        <v>11957</v>
      </c>
      <c r="B5961" s="441" t="s">
        <v>5196</v>
      </c>
      <c r="C5961" s="545">
        <v>5</v>
      </c>
      <c r="D5961" s="545">
        <v>2</v>
      </c>
      <c r="E5961" s="545">
        <v>2</v>
      </c>
      <c r="F5961" s="545">
        <v>4.1428571428571432</v>
      </c>
      <c r="G5961" s="545">
        <v>1</v>
      </c>
      <c r="H5961" s="545">
        <v>1.3333333333333333</v>
      </c>
      <c r="I5961" s="545">
        <v>1.6666666666666667</v>
      </c>
      <c r="J5961" s="545">
        <v>1.1428571428571428</v>
      </c>
    </row>
    <row r="5962" spans="1:10">
      <c r="A5962" s="441">
        <v>11958</v>
      </c>
      <c r="B5962" s="441" t="s">
        <v>5196</v>
      </c>
      <c r="C5962" s="545">
        <v>6.1666666666666661</v>
      </c>
      <c r="D5962" s="545">
        <v>6</v>
      </c>
      <c r="E5962" s="545">
        <v>1.3333333333333333</v>
      </c>
      <c r="F5962" s="545">
        <v>5.4523809523809517</v>
      </c>
      <c r="G5962" s="545">
        <v>2.0499999999999998</v>
      </c>
      <c r="H5962" s="545">
        <v>1</v>
      </c>
      <c r="I5962" s="545">
        <v>1.6666666666666667</v>
      </c>
      <c r="J5962" s="545">
        <v>1.8452380952380951</v>
      </c>
    </row>
    <row r="5963" spans="1:10">
      <c r="A5963" s="441">
        <v>3869</v>
      </c>
      <c r="B5963" s="441" t="s">
        <v>5197</v>
      </c>
      <c r="C5963" s="545">
        <v>3.5</v>
      </c>
      <c r="D5963" s="545">
        <v>2</v>
      </c>
      <c r="E5963" s="545">
        <v>1.3333333333333333</v>
      </c>
      <c r="F5963" s="545">
        <v>2.9761904761904758</v>
      </c>
      <c r="G5963" s="545">
        <v>1.1000000000000001</v>
      </c>
      <c r="H5963" s="545">
        <v>1.6666666666666667</v>
      </c>
      <c r="I5963" s="545">
        <v>2</v>
      </c>
      <c r="J5963" s="545">
        <v>1.3095238095238098</v>
      </c>
    </row>
    <row r="5964" spans="1:10">
      <c r="A5964" s="441">
        <v>12709</v>
      </c>
      <c r="B5964" s="441" t="s">
        <v>5197</v>
      </c>
      <c r="C5964" s="545">
        <v>7.6666666666666661</v>
      </c>
      <c r="D5964" s="545">
        <v>5</v>
      </c>
      <c r="E5964" s="545">
        <v>1.3333333333333333</v>
      </c>
      <c r="F5964" s="545">
        <v>6.3809523809523805</v>
      </c>
      <c r="G5964" s="545">
        <v>3.55</v>
      </c>
      <c r="H5964" s="545">
        <v>4</v>
      </c>
      <c r="I5964" s="545">
        <v>1</v>
      </c>
      <c r="J5964" s="545">
        <v>3.25</v>
      </c>
    </row>
    <row r="5965" spans="1:10">
      <c r="A5965" s="441">
        <v>12706</v>
      </c>
      <c r="B5965" s="441" t="s">
        <v>5198</v>
      </c>
      <c r="C5965" s="545">
        <v>29.666666666666664</v>
      </c>
      <c r="D5965" s="545">
        <v>7.666666666666667</v>
      </c>
      <c r="E5965" s="545">
        <v>11.333333333333334</v>
      </c>
      <c r="F5965" s="545">
        <v>23.904761904761902</v>
      </c>
      <c r="G5965" s="545">
        <v>14.5</v>
      </c>
      <c r="H5965" s="545">
        <v>6.666666666666667</v>
      </c>
      <c r="I5965" s="545">
        <v>5.333333333333333</v>
      </c>
      <c r="J5965" s="545">
        <v>12.071428571428571</v>
      </c>
    </row>
    <row r="5966" spans="1:10">
      <c r="A5966" s="441">
        <v>12707</v>
      </c>
      <c r="B5966" s="441" t="s">
        <v>5198</v>
      </c>
      <c r="C5966" s="545">
        <v>21.833333333333336</v>
      </c>
      <c r="D5966" s="545">
        <v>7.6666666666666661</v>
      </c>
      <c r="E5966" s="545">
        <v>9.6666666666666679</v>
      </c>
      <c r="F5966" s="545">
        <v>18.071428571428577</v>
      </c>
      <c r="G5966" s="545">
        <v>9.65</v>
      </c>
      <c r="H5966" s="545">
        <v>8.3333333333333339</v>
      </c>
      <c r="I5966" s="545">
        <v>5.333333333333333</v>
      </c>
      <c r="J5966" s="545">
        <v>8.8452380952380967</v>
      </c>
    </row>
    <row r="5967" spans="1:10">
      <c r="A5967" s="441">
        <v>4399</v>
      </c>
      <c r="B5967" s="441" t="s">
        <v>5199</v>
      </c>
      <c r="C5967" s="545">
        <v>9.3333333333333339</v>
      </c>
      <c r="D5967" s="545">
        <v>5.666666666666667</v>
      </c>
      <c r="E5967" s="545">
        <v>0.66666666666666663</v>
      </c>
      <c r="F5967" s="545">
        <v>7.5714285714285712</v>
      </c>
      <c r="G5967" s="545">
        <v>0.95</v>
      </c>
      <c r="H5967" s="545">
        <v>1.3333333333333333</v>
      </c>
      <c r="I5967" s="545">
        <v>3.3333333333333335</v>
      </c>
      <c r="J5967" s="545">
        <v>1.3452380952380951</v>
      </c>
    </row>
    <row r="5968" spans="1:10">
      <c r="A5968" s="441">
        <v>3870</v>
      </c>
      <c r="B5968" s="441" t="s">
        <v>5200</v>
      </c>
      <c r="C5968" s="545">
        <v>16.833333333333332</v>
      </c>
      <c r="D5968" s="545">
        <v>8.3333333333333339</v>
      </c>
      <c r="E5968" s="545">
        <v>5.6666666666666661</v>
      </c>
      <c r="F5968" s="545">
        <v>14.023809523809522</v>
      </c>
      <c r="G5968" s="545">
        <v>11.3</v>
      </c>
      <c r="H5968" s="545">
        <v>11.666666666666666</v>
      </c>
      <c r="I5968" s="545">
        <v>9</v>
      </c>
      <c r="J5968" s="545">
        <v>11.023809523809524</v>
      </c>
    </row>
    <row r="5969" spans="1:10">
      <c r="A5969" s="441">
        <v>12708</v>
      </c>
      <c r="B5969" s="441" t="s">
        <v>5200</v>
      </c>
      <c r="C5969" s="545">
        <v>21.333333333333336</v>
      </c>
      <c r="D5969" s="545">
        <v>8</v>
      </c>
      <c r="E5969" s="545">
        <v>4.333333333333333</v>
      </c>
      <c r="F5969" s="545">
        <v>17.000000000000004</v>
      </c>
      <c r="G5969" s="545">
        <v>12.15</v>
      </c>
      <c r="H5969" s="545">
        <v>11.666666666666666</v>
      </c>
      <c r="I5969" s="545">
        <v>8</v>
      </c>
      <c r="J5969" s="545">
        <v>11.488095238095239</v>
      </c>
    </row>
    <row r="5970" spans="1:10">
      <c r="A5970" s="441">
        <v>11942</v>
      </c>
      <c r="B5970" s="441" t="s">
        <v>5201</v>
      </c>
      <c r="C5970" s="545">
        <v>33.333333333333329</v>
      </c>
      <c r="D5970" s="545">
        <v>20.333333333333336</v>
      </c>
      <c r="E5970" s="545">
        <v>6.3333333333333339</v>
      </c>
      <c r="F5970" s="545">
        <v>27.619047619047617</v>
      </c>
      <c r="G5970" s="545">
        <v>15.15</v>
      </c>
      <c r="H5970" s="545">
        <v>10.333333333333334</v>
      </c>
      <c r="I5970" s="545">
        <v>13</v>
      </c>
      <c r="J5970" s="545">
        <v>14.154761904761903</v>
      </c>
    </row>
    <row r="5971" spans="1:10">
      <c r="A5971" s="441">
        <v>11941</v>
      </c>
      <c r="B5971" s="441" t="s">
        <v>5202</v>
      </c>
      <c r="C5971" s="545">
        <v>20.166666666666664</v>
      </c>
      <c r="D5971" s="545">
        <v>9</v>
      </c>
      <c r="E5971" s="545">
        <v>3.3333333333333335</v>
      </c>
      <c r="F5971" s="545">
        <v>16.166666666666664</v>
      </c>
      <c r="G5971" s="545">
        <v>3.5</v>
      </c>
      <c r="H5971" s="545">
        <v>3.3333333333333335</v>
      </c>
      <c r="I5971" s="545">
        <v>0.66666666666666663</v>
      </c>
      <c r="J5971" s="545">
        <v>3.0714285714285716</v>
      </c>
    </row>
    <row r="5972" spans="1:10">
      <c r="A5972" s="441">
        <v>4364</v>
      </c>
      <c r="B5972" s="441" t="s">
        <v>5203</v>
      </c>
      <c r="C5972" s="545">
        <v>60.333333333333329</v>
      </c>
      <c r="D5972" s="545">
        <v>20.666666666666664</v>
      </c>
      <c r="E5972" s="545">
        <v>20.333333333333336</v>
      </c>
      <c r="F5972" s="545">
        <v>48.952380952380949</v>
      </c>
      <c r="G5972" s="545">
        <v>27.85</v>
      </c>
      <c r="H5972" s="545">
        <v>21.333333333333332</v>
      </c>
      <c r="I5972" s="545">
        <v>17.333333333333332</v>
      </c>
      <c r="J5972" s="545">
        <v>25.416666666666668</v>
      </c>
    </row>
    <row r="5973" spans="1:10">
      <c r="A5973" s="441">
        <v>4400</v>
      </c>
      <c r="B5973" s="441" t="s">
        <v>5203</v>
      </c>
      <c r="C5973" s="545">
        <v>76.833333333333329</v>
      </c>
      <c r="D5973" s="545">
        <v>29.333333333333332</v>
      </c>
      <c r="E5973" s="545">
        <v>20.333333333333332</v>
      </c>
      <c r="F5973" s="545">
        <v>61.976190476190467</v>
      </c>
      <c r="G5973" s="545">
        <v>34.9</v>
      </c>
      <c r="H5973" s="545">
        <v>16</v>
      </c>
      <c r="I5973" s="545">
        <v>11</v>
      </c>
      <c r="J5973" s="545">
        <v>28.785714285714285</v>
      </c>
    </row>
    <row r="5974" spans="1:10">
      <c r="A5974" s="441">
        <v>11943</v>
      </c>
      <c r="B5974" s="441" t="s">
        <v>5204</v>
      </c>
      <c r="C5974" s="545">
        <v>23.166666666666664</v>
      </c>
      <c r="D5974" s="545">
        <v>16.666666666666664</v>
      </c>
      <c r="E5974" s="545">
        <v>11.333333333333334</v>
      </c>
      <c r="F5974" s="545">
        <v>20.547619047619044</v>
      </c>
      <c r="G5974" s="545">
        <v>12.3</v>
      </c>
      <c r="H5974" s="545">
        <v>6</v>
      </c>
      <c r="I5974" s="545">
        <v>11.666666666666666</v>
      </c>
      <c r="J5974" s="545">
        <v>11.30952380952381</v>
      </c>
    </row>
    <row r="5975" spans="1:10">
      <c r="A5975" s="441">
        <v>12873</v>
      </c>
      <c r="B5975" s="441" t="s">
        <v>5204</v>
      </c>
      <c r="C5975" s="545">
        <v>16.5</v>
      </c>
      <c r="D5975" s="545">
        <v>14.666666666666666</v>
      </c>
      <c r="E5975" s="545">
        <v>4.6666666666666661</v>
      </c>
      <c r="F5975" s="545">
        <v>14.547619047619049</v>
      </c>
      <c r="G5975" s="545">
        <v>8.15</v>
      </c>
      <c r="H5975" s="545">
        <v>6.333333333333333</v>
      </c>
      <c r="I5975" s="545">
        <v>5.333333333333333</v>
      </c>
      <c r="J5975" s="545">
        <v>7.488095238095239</v>
      </c>
    </row>
    <row r="5976" spans="1:10">
      <c r="A5976" s="441">
        <v>12872</v>
      </c>
      <c r="B5976" s="441" t="s">
        <v>5205</v>
      </c>
      <c r="C5976" s="545">
        <v>16.833333333333332</v>
      </c>
      <c r="D5976" s="545">
        <v>7.333333333333333</v>
      </c>
      <c r="E5976" s="545">
        <v>2.6666666666666665</v>
      </c>
      <c r="F5976" s="545">
        <v>13.452380952380951</v>
      </c>
      <c r="G5976" s="545">
        <v>4.25</v>
      </c>
      <c r="H5976" s="545">
        <v>5</v>
      </c>
      <c r="I5976" s="545">
        <v>2.6666666666666665</v>
      </c>
      <c r="J5976" s="545">
        <v>4.1309523809523814</v>
      </c>
    </row>
    <row r="5977" spans="1:10">
      <c r="A5977" s="441">
        <v>12704</v>
      </c>
      <c r="B5977" s="441" t="s">
        <v>5206</v>
      </c>
      <c r="C5977" s="545">
        <v>4.1666666666666661</v>
      </c>
      <c r="D5977" s="545">
        <v>1</v>
      </c>
      <c r="E5977" s="545">
        <v>2.3333333333333335</v>
      </c>
      <c r="F5977" s="545">
        <v>3.4523809523809517</v>
      </c>
      <c r="G5977" s="545">
        <v>1.75</v>
      </c>
      <c r="H5977" s="545">
        <v>0.33333333333333331</v>
      </c>
      <c r="I5977" s="545">
        <v>1.3333333333333333</v>
      </c>
      <c r="J5977" s="545">
        <v>1.4880952380952384</v>
      </c>
    </row>
    <row r="5978" spans="1:10">
      <c r="A5978" s="441">
        <v>12705</v>
      </c>
      <c r="B5978" s="441" t="s">
        <v>5206</v>
      </c>
      <c r="C5978" s="545">
        <v>5</v>
      </c>
      <c r="D5978" s="545">
        <v>1.6666666666666665</v>
      </c>
      <c r="E5978" s="545">
        <v>2</v>
      </c>
      <c r="F5978" s="545">
        <v>4.0952380952380958</v>
      </c>
      <c r="G5978" s="545">
        <v>2.1</v>
      </c>
      <c r="H5978" s="545">
        <v>0.33333333333333331</v>
      </c>
      <c r="I5978" s="545">
        <v>0.33333333333333331</v>
      </c>
      <c r="J5978" s="545">
        <v>1.5952380952380953</v>
      </c>
    </row>
    <row r="5979" spans="1:10">
      <c r="A5979" s="441">
        <v>7682</v>
      </c>
      <c r="B5979" s="441" t="s">
        <v>5207</v>
      </c>
      <c r="C5979" s="545">
        <v>5.1666666666666661</v>
      </c>
      <c r="D5979" s="545">
        <v>1</v>
      </c>
      <c r="E5979" s="545">
        <v>2</v>
      </c>
      <c r="F5979" s="545">
        <v>4.1190476190476186</v>
      </c>
      <c r="G5979" s="545">
        <v>15</v>
      </c>
      <c r="H5979" s="545">
        <v>14</v>
      </c>
      <c r="I5979" s="545">
        <v>6.666666666666667</v>
      </c>
      <c r="J5979" s="545">
        <v>13.666666666666668</v>
      </c>
    </row>
    <row r="5980" spans="1:10">
      <c r="A5980" s="441">
        <v>7683</v>
      </c>
      <c r="B5980" s="441" t="s">
        <v>5207</v>
      </c>
      <c r="C5980" s="545">
        <v>4.666666666666667</v>
      </c>
      <c r="D5980" s="545">
        <v>1.3333333333333333</v>
      </c>
      <c r="E5980" s="545">
        <v>0.66666666666666663</v>
      </c>
      <c r="F5980" s="545">
        <v>3.6190476190476195</v>
      </c>
      <c r="G5980" s="545">
        <v>4.8</v>
      </c>
      <c r="H5980" s="545">
        <v>6.666666666666667</v>
      </c>
      <c r="I5980" s="545">
        <v>4.666666666666667</v>
      </c>
      <c r="J5980" s="545">
        <v>5.0476190476190483</v>
      </c>
    </row>
    <row r="5981" spans="1:10">
      <c r="A5981" s="441">
        <v>11713</v>
      </c>
      <c r="B5981" s="441" t="s">
        <v>5208</v>
      </c>
      <c r="C5981" s="545">
        <v>45.833333333333336</v>
      </c>
      <c r="D5981" s="545">
        <v>28.333333333333332</v>
      </c>
      <c r="E5981" s="545">
        <v>16.333333333333332</v>
      </c>
      <c r="F5981" s="545">
        <v>39.119047619047613</v>
      </c>
      <c r="G5981" s="545">
        <v>33.299999999999997</v>
      </c>
      <c r="H5981" s="545">
        <v>19</v>
      </c>
      <c r="I5981" s="545">
        <v>11.333333333333334</v>
      </c>
      <c r="J5981" s="545">
        <v>28.11904761904762</v>
      </c>
    </row>
    <row r="5982" spans="1:10">
      <c r="A5982" s="441">
        <v>11714</v>
      </c>
      <c r="B5982" s="441" t="s">
        <v>5208</v>
      </c>
      <c r="C5982" s="545">
        <v>40</v>
      </c>
      <c r="D5982" s="545">
        <v>28.333333333333332</v>
      </c>
      <c r="E5982" s="545">
        <v>24.333333333333332</v>
      </c>
      <c r="F5982" s="545">
        <v>36.095238095238095</v>
      </c>
      <c r="G5982" s="545">
        <v>36.25</v>
      </c>
      <c r="H5982" s="545">
        <v>21</v>
      </c>
      <c r="I5982" s="545">
        <v>6.666666666666667</v>
      </c>
      <c r="J5982" s="545">
        <v>29.845238095238095</v>
      </c>
    </row>
    <row r="5983" spans="1:10">
      <c r="A5983" s="441">
        <v>11725</v>
      </c>
      <c r="B5983" s="441" t="s">
        <v>5209</v>
      </c>
      <c r="C5983" s="545">
        <v>48.666666666666664</v>
      </c>
      <c r="D5983" s="545">
        <v>33.333333333333329</v>
      </c>
      <c r="E5983" s="545">
        <v>32.666666666666671</v>
      </c>
      <c r="F5983" s="545">
        <v>44.19047619047619</v>
      </c>
      <c r="G5983" s="545">
        <v>43.5</v>
      </c>
      <c r="H5983" s="545">
        <v>26.666666666666668</v>
      </c>
      <c r="I5983" s="545">
        <v>12</v>
      </c>
      <c r="J5983" s="545">
        <v>36.595238095238088</v>
      </c>
    </row>
    <row r="5984" spans="1:10">
      <c r="A5984" s="441">
        <v>11726</v>
      </c>
      <c r="B5984" s="441" t="s">
        <v>5209</v>
      </c>
      <c r="C5984" s="545">
        <v>90.833333333333329</v>
      </c>
      <c r="D5984" s="545">
        <v>68.666666666666671</v>
      </c>
      <c r="E5984" s="545">
        <v>73.666666666666671</v>
      </c>
      <c r="F5984" s="545">
        <v>85.214285714285694</v>
      </c>
      <c r="G5984" s="545">
        <v>76.599999999999994</v>
      </c>
      <c r="H5984" s="545">
        <v>54.666666666666664</v>
      </c>
      <c r="I5984" s="545">
        <v>25.333333333333332</v>
      </c>
      <c r="J5984" s="545">
        <v>66.142857142857139</v>
      </c>
    </row>
    <row r="5985" spans="1:10">
      <c r="A5985" s="441">
        <v>11705</v>
      </c>
      <c r="B5985" s="441" t="s">
        <v>5210</v>
      </c>
      <c r="C5985" s="545">
        <v>1</v>
      </c>
      <c r="D5985" s="545">
        <v>1.6666666666666667</v>
      </c>
      <c r="E5985" s="545">
        <v>1.6666666666666667</v>
      </c>
      <c r="F5985" s="545">
        <v>1.1904761904761905</v>
      </c>
      <c r="G5985" s="545">
        <v>5.0999999999999996</v>
      </c>
      <c r="H5985" s="545">
        <v>2</v>
      </c>
      <c r="I5985" s="545">
        <v>2.3333333333333335</v>
      </c>
      <c r="J5985" s="545">
        <v>4.2619047619047619</v>
      </c>
    </row>
    <row r="5986" spans="1:10">
      <c r="A5986" s="441">
        <v>11706</v>
      </c>
      <c r="B5986" s="441" t="s">
        <v>5210</v>
      </c>
      <c r="C5986" s="545">
        <v>2.5</v>
      </c>
      <c r="D5986" s="545">
        <v>1.3333333333333333</v>
      </c>
      <c r="E5986" s="545">
        <v>1.6666666666666667</v>
      </c>
      <c r="F5986" s="545">
        <v>2.2142857142857144</v>
      </c>
      <c r="G5986" s="545">
        <v>1.55</v>
      </c>
      <c r="H5986" s="545">
        <v>1</v>
      </c>
      <c r="I5986" s="545">
        <v>1.6666666666666667</v>
      </c>
      <c r="J5986" s="545">
        <v>1.4880952380952379</v>
      </c>
    </row>
    <row r="5987" spans="1:10">
      <c r="A5987" s="441">
        <v>11719</v>
      </c>
      <c r="B5987" s="441" t="s">
        <v>5211</v>
      </c>
      <c r="C5987" s="545">
        <v>94.5</v>
      </c>
      <c r="D5987" s="545">
        <v>50.666666666666664</v>
      </c>
      <c r="E5987" s="545">
        <v>42</v>
      </c>
      <c r="F5987" s="545">
        <v>80.738095238095227</v>
      </c>
      <c r="G5987" s="545">
        <v>75.650000000000006</v>
      </c>
      <c r="H5987" s="545">
        <v>34</v>
      </c>
      <c r="I5987" s="545">
        <v>17</v>
      </c>
      <c r="J5987" s="545">
        <v>61.321428571428569</v>
      </c>
    </row>
    <row r="5988" spans="1:10">
      <c r="A5988" s="441">
        <v>11720</v>
      </c>
      <c r="B5988" s="441" t="s">
        <v>5211</v>
      </c>
      <c r="C5988" s="545">
        <v>82.833333333333343</v>
      </c>
      <c r="D5988" s="545">
        <v>50</v>
      </c>
      <c r="E5988" s="545">
        <v>42.333333333333336</v>
      </c>
      <c r="F5988" s="545">
        <v>72.357142857142861</v>
      </c>
      <c r="G5988" s="545">
        <v>59.8</v>
      </c>
      <c r="H5988" s="545">
        <v>34.333333333333336</v>
      </c>
      <c r="I5988" s="545">
        <v>19.666666666666668</v>
      </c>
      <c r="J5988" s="545">
        <v>50.428571428571431</v>
      </c>
    </row>
    <row r="5989" spans="1:10">
      <c r="A5989" s="441">
        <v>11704</v>
      </c>
      <c r="B5989" s="441" t="s">
        <v>5212</v>
      </c>
      <c r="C5989" s="545">
        <v>9.8333333333333339</v>
      </c>
      <c r="D5989" s="545">
        <v>3.6666666666666665</v>
      </c>
      <c r="E5989" s="545">
        <v>3</v>
      </c>
      <c r="F5989" s="545">
        <v>7.9761904761904763</v>
      </c>
      <c r="G5989" s="545">
        <v>9.15</v>
      </c>
      <c r="H5989" s="545">
        <v>4.333333333333333</v>
      </c>
      <c r="I5989" s="545">
        <v>1.6666666666666667</v>
      </c>
      <c r="J5989" s="545">
        <v>7.3928571428571432</v>
      </c>
    </row>
    <row r="5990" spans="1:10">
      <c r="A5990" s="441">
        <v>11729</v>
      </c>
      <c r="B5990" s="441" t="s">
        <v>5213</v>
      </c>
      <c r="C5990" s="545">
        <v>10.666666666666666</v>
      </c>
      <c r="D5990" s="545">
        <v>5.666666666666667</v>
      </c>
      <c r="E5990" s="545">
        <v>4.666666666666667</v>
      </c>
      <c r="F5990" s="545">
        <v>9.0952380952380931</v>
      </c>
      <c r="G5990" s="545">
        <v>8</v>
      </c>
      <c r="H5990" s="545">
        <v>2.3333333333333335</v>
      </c>
      <c r="I5990" s="545">
        <v>4</v>
      </c>
      <c r="J5990" s="545">
        <v>6.6190476190476195</v>
      </c>
    </row>
    <row r="5991" spans="1:10">
      <c r="A5991" s="441">
        <v>11730</v>
      </c>
      <c r="B5991" s="441" t="s">
        <v>5213</v>
      </c>
      <c r="C5991" s="545">
        <v>7</v>
      </c>
      <c r="D5991" s="545">
        <v>2.666666666666667</v>
      </c>
      <c r="E5991" s="545">
        <v>4.333333333333333</v>
      </c>
      <c r="F5991" s="545">
        <v>6</v>
      </c>
      <c r="G5991" s="545">
        <v>6.8</v>
      </c>
      <c r="H5991" s="545">
        <v>3.3333333333333335</v>
      </c>
      <c r="I5991" s="545">
        <v>2.6666666666666665</v>
      </c>
      <c r="J5991" s="545">
        <v>5.7142857142857144</v>
      </c>
    </row>
    <row r="5992" spans="1:10">
      <c r="A5992" s="441">
        <v>11711</v>
      </c>
      <c r="B5992" s="441" t="s">
        <v>5214</v>
      </c>
      <c r="C5992" s="545">
        <v>0</v>
      </c>
      <c r="D5992" s="545">
        <v>0</v>
      </c>
      <c r="E5992" s="545">
        <v>0</v>
      </c>
      <c r="F5992" s="545">
        <v>0</v>
      </c>
      <c r="G5992" s="545">
        <v>0.5</v>
      </c>
      <c r="H5992" s="545">
        <v>0.33333333333333331</v>
      </c>
      <c r="I5992" s="545">
        <v>0.33333333333333331</v>
      </c>
      <c r="J5992" s="545">
        <v>0.45238095238095244</v>
      </c>
    </row>
    <row r="5993" spans="1:10">
      <c r="A5993" s="441">
        <v>11712</v>
      </c>
      <c r="B5993" s="441" t="s">
        <v>5214</v>
      </c>
      <c r="C5993" s="545">
        <v>0.33333333333333331</v>
      </c>
      <c r="D5993" s="545">
        <v>0</v>
      </c>
      <c r="E5993" s="545">
        <v>0.33333333333333331</v>
      </c>
      <c r="F5993" s="545">
        <v>0.2857142857142857</v>
      </c>
      <c r="G5993" s="545">
        <v>1.5</v>
      </c>
      <c r="H5993" s="545">
        <v>0</v>
      </c>
      <c r="I5993" s="545">
        <v>1.6666666666666667</v>
      </c>
      <c r="J5993" s="545">
        <v>1.3095238095238095</v>
      </c>
    </row>
    <row r="5994" spans="1:10">
      <c r="A5994" s="441">
        <v>11727</v>
      </c>
      <c r="B5994" s="441" t="s">
        <v>5215</v>
      </c>
      <c r="C5994" s="545">
        <v>75</v>
      </c>
      <c r="D5994" s="545">
        <v>63</v>
      </c>
      <c r="E5994" s="545">
        <v>61</v>
      </c>
      <c r="F5994" s="545">
        <v>71.285714285714292</v>
      </c>
      <c r="G5994" s="545">
        <v>66.7</v>
      </c>
      <c r="H5994" s="545">
        <v>53</v>
      </c>
      <c r="I5994" s="545">
        <v>23.666666666666668</v>
      </c>
      <c r="J5994" s="545">
        <v>58.595238095238095</v>
      </c>
    </row>
    <row r="5995" spans="1:10">
      <c r="A5995" s="441">
        <v>11728</v>
      </c>
      <c r="B5995" s="441" t="s">
        <v>5215</v>
      </c>
      <c r="C5995" s="545">
        <v>27.833333333333332</v>
      </c>
      <c r="D5995" s="545">
        <v>25.666666666666668</v>
      </c>
      <c r="E5995" s="545">
        <v>26.666666666666668</v>
      </c>
      <c r="F5995" s="545">
        <v>27.357142857142854</v>
      </c>
      <c r="G5995" s="545">
        <v>19.899999999999999</v>
      </c>
      <c r="H5995" s="545">
        <v>16.333333333333332</v>
      </c>
      <c r="I5995" s="545">
        <v>6.666666666666667</v>
      </c>
      <c r="J5995" s="545">
        <v>17.5</v>
      </c>
    </row>
    <row r="5996" spans="1:10">
      <c r="A5996" s="441">
        <v>11723</v>
      </c>
      <c r="B5996" s="441" t="s">
        <v>5216</v>
      </c>
      <c r="C5996" s="545">
        <v>10.333333333333334</v>
      </c>
      <c r="D5996" s="545">
        <v>3.666666666666667</v>
      </c>
      <c r="E5996" s="545">
        <v>3.6666666666666665</v>
      </c>
      <c r="F5996" s="545">
        <v>8.4285714285714288</v>
      </c>
      <c r="G5996" s="545">
        <v>5.35</v>
      </c>
      <c r="H5996" s="545">
        <v>3</v>
      </c>
      <c r="I5996" s="545">
        <v>3</v>
      </c>
      <c r="J5996" s="545">
        <v>4.6785714285714288</v>
      </c>
    </row>
    <row r="5997" spans="1:10">
      <c r="A5997" s="441">
        <v>11724</v>
      </c>
      <c r="B5997" s="441" t="s">
        <v>5216</v>
      </c>
      <c r="C5997" s="545">
        <v>10.166666666666668</v>
      </c>
      <c r="D5997" s="545">
        <v>9</v>
      </c>
      <c r="E5997" s="545">
        <v>5.6666666666666661</v>
      </c>
      <c r="F5997" s="545">
        <v>9.3571428571428594</v>
      </c>
      <c r="G5997" s="545">
        <v>6.95</v>
      </c>
      <c r="H5997" s="545">
        <v>4</v>
      </c>
      <c r="I5997" s="545">
        <v>4</v>
      </c>
      <c r="J5997" s="545">
        <v>6.1071428571428568</v>
      </c>
    </row>
    <row r="5998" spans="1:10">
      <c r="A5998" s="441">
        <v>11733</v>
      </c>
      <c r="B5998" s="441" t="s">
        <v>5217</v>
      </c>
      <c r="C5998" s="545">
        <v>25</v>
      </c>
      <c r="D5998" s="545">
        <v>17.666666666666664</v>
      </c>
      <c r="E5998" s="545">
        <v>14.333333333333332</v>
      </c>
      <c r="F5998" s="545">
        <v>22.428571428571427</v>
      </c>
      <c r="G5998" s="545">
        <v>14.35</v>
      </c>
      <c r="H5998" s="545">
        <v>9.3333333333333339</v>
      </c>
      <c r="I5998" s="545">
        <v>15.666666666666666</v>
      </c>
      <c r="J5998" s="545">
        <v>13.821428571428571</v>
      </c>
    </row>
    <row r="5999" spans="1:10">
      <c r="A5999" s="441">
        <v>11734</v>
      </c>
      <c r="B5999" s="441" t="s">
        <v>5217</v>
      </c>
      <c r="C5999" s="545">
        <v>22.5</v>
      </c>
      <c r="D5999" s="545">
        <v>12.666666666666666</v>
      </c>
      <c r="E5999" s="545">
        <v>11.666666666666666</v>
      </c>
      <c r="F5999" s="545">
        <v>19.547619047619047</v>
      </c>
      <c r="G5999" s="545">
        <v>15.3</v>
      </c>
      <c r="H5999" s="545">
        <v>8.6666666666666661</v>
      </c>
      <c r="I5999" s="545">
        <v>8.6666666666666661</v>
      </c>
      <c r="J5999" s="545">
        <v>13.404761904761907</v>
      </c>
    </row>
    <row r="6000" spans="1:10">
      <c r="A6000" s="441">
        <v>11737</v>
      </c>
      <c r="B6000" s="441" t="s">
        <v>5218</v>
      </c>
      <c r="C6000" s="545">
        <v>137.16666666666669</v>
      </c>
      <c r="D6000" s="545">
        <v>101</v>
      </c>
      <c r="E6000" s="545">
        <v>102.33333333333333</v>
      </c>
      <c r="F6000" s="545">
        <v>127.02380952380955</v>
      </c>
      <c r="G6000" s="545">
        <v>97.35</v>
      </c>
      <c r="H6000" s="545">
        <v>63</v>
      </c>
      <c r="I6000" s="545">
        <v>31</v>
      </c>
      <c r="J6000" s="545">
        <v>82.964285714285708</v>
      </c>
    </row>
    <row r="6001" spans="1:10">
      <c r="A6001" s="441">
        <v>11738</v>
      </c>
      <c r="B6001" s="441" t="s">
        <v>5218</v>
      </c>
      <c r="C6001" s="545">
        <v>104.33333333333334</v>
      </c>
      <c r="D6001" s="545">
        <v>82.666666666666657</v>
      </c>
      <c r="E6001" s="545">
        <v>68</v>
      </c>
      <c r="F6001" s="545">
        <v>96.047619047619051</v>
      </c>
      <c r="G6001" s="545">
        <v>73.25</v>
      </c>
      <c r="H6001" s="545">
        <v>51.666666666666664</v>
      </c>
      <c r="I6001" s="545">
        <v>25.333333333333332</v>
      </c>
      <c r="J6001" s="545">
        <v>63.321428571428569</v>
      </c>
    </row>
    <row r="6002" spans="1:10">
      <c r="A6002" s="441">
        <v>11735</v>
      </c>
      <c r="B6002" s="441" t="s">
        <v>5219</v>
      </c>
      <c r="C6002" s="545">
        <v>138.16666666666666</v>
      </c>
      <c r="D6002" s="545">
        <v>90.333333333333343</v>
      </c>
      <c r="E6002" s="545">
        <v>67</v>
      </c>
      <c r="F6002" s="545">
        <v>121.16666666666666</v>
      </c>
      <c r="G6002" s="545">
        <v>115.5</v>
      </c>
      <c r="H6002" s="545">
        <v>66</v>
      </c>
      <c r="I6002" s="545">
        <v>25.666666666666668</v>
      </c>
      <c r="J6002" s="545">
        <v>95.595238095238088</v>
      </c>
    </row>
    <row r="6003" spans="1:10">
      <c r="A6003" s="441">
        <v>11736</v>
      </c>
      <c r="B6003" s="441" t="s">
        <v>5219</v>
      </c>
      <c r="C6003" s="545">
        <v>150.83333333333334</v>
      </c>
      <c r="D6003" s="545">
        <v>101</v>
      </c>
      <c r="E6003" s="545">
        <v>90.333333333333343</v>
      </c>
      <c r="F6003" s="545">
        <v>135.07142857142858</v>
      </c>
      <c r="G6003" s="545">
        <v>99.45</v>
      </c>
      <c r="H6003" s="545">
        <v>61</v>
      </c>
      <c r="I6003" s="545">
        <v>28</v>
      </c>
      <c r="J6003" s="545">
        <v>83.75</v>
      </c>
    </row>
    <row r="6004" spans="1:10">
      <c r="A6004" s="441">
        <v>11707</v>
      </c>
      <c r="B6004" s="441" t="s">
        <v>5220</v>
      </c>
      <c r="C6004" s="545">
        <v>2.6666666666666665</v>
      </c>
      <c r="D6004" s="545">
        <v>1.3333333333333333</v>
      </c>
      <c r="E6004" s="545">
        <v>0.33333333333333331</v>
      </c>
      <c r="F6004" s="545">
        <v>2.1428571428571428</v>
      </c>
      <c r="G6004" s="545">
        <v>1.8</v>
      </c>
      <c r="H6004" s="545">
        <v>0</v>
      </c>
      <c r="I6004" s="545">
        <v>0.66666666666666663</v>
      </c>
      <c r="J6004" s="545">
        <v>1.3809523809523809</v>
      </c>
    </row>
    <row r="6005" spans="1:10">
      <c r="A6005" s="441">
        <v>11708</v>
      </c>
      <c r="B6005" s="441" t="s">
        <v>5220</v>
      </c>
      <c r="C6005" s="545">
        <v>4.333333333333333</v>
      </c>
      <c r="D6005" s="545">
        <v>1.3333333333333333</v>
      </c>
      <c r="E6005" s="545">
        <v>0.33333333333333331</v>
      </c>
      <c r="F6005" s="545">
        <v>3.3333333333333326</v>
      </c>
      <c r="G6005" s="545">
        <v>2.2000000000000002</v>
      </c>
      <c r="H6005" s="545">
        <v>0</v>
      </c>
      <c r="I6005" s="545">
        <v>0.33333333333333331</v>
      </c>
      <c r="J6005" s="545">
        <v>1.6190476190476191</v>
      </c>
    </row>
    <row r="6006" spans="1:10">
      <c r="A6006" s="441">
        <v>11709</v>
      </c>
      <c r="B6006" s="441" t="s">
        <v>5221</v>
      </c>
      <c r="C6006" s="545">
        <v>0.16666666666666666</v>
      </c>
      <c r="D6006" s="545">
        <v>0.33333333333333331</v>
      </c>
      <c r="E6006" s="545">
        <v>0</v>
      </c>
      <c r="F6006" s="545">
        <v>0.16666666666666666</v>
      </c>
      <c r="G6006" s="545">
        <v>0.8</v>
      </c>
      <c r="H6006" s="545">
        <v>0</v>
      </c>
      <c r="I6006" s="545">
        <v>0</v>
      </c>
      <c r="J6006" s="545">
        <v>0.5714285714285714</v>
      </c>
    </row>
    <row r="6007" spans="1:10">
      <c r="A6007" s="441">
        <v>11710</v>
      </c>
      <c r="B6007" s="441" t="s">
        <v>5221</v>
      </c>
      <c r="C6007" s="545">
        <v>0.5</v>
      </c>
      <c r="D6007" s="545">
        <v>1</v>
      </c>
      <c r="E6007" s="545">
        <v>0</v>
      </c>
      <c r="F6007" s="545">
        <v>0.5</v>
      </c>
      <c r="G6007" s="545">
        <v>0.6</v>
      </c>
      <c r="H6007" s="545">
        <v>1</v>
      </c>
      <c r="I6007" s="545">
        <v>2.3333333333333335</v>
      </c>
      <c r="J6007" s="545">
        <v>0.90476190476190488</v>
      </c>
    </row>
    <row r="6008" spans="1:10">
      <c r="A6008" s="441">
        <v>11721</v>
      </c>
      <c r="B6008" s="441" t="s">
        <v>5222</v>
      </c>
      <c r="C6008" s="545">
        <v>4.666666666666667</v>
      </c>
      <c r="D6008" s="545">
        <v>4.333333333333333</v>
      </c>
      <c r="E6008" s="545">
        <v>2.6666666666666665</v>
      </c>
      <c r="F6008" s="545">
        <v>4.3333333333333339</v>
      </c>
      <c r="G6008" s="545">
        <v>5.15</v>
      </c>
      <c r="H6008" s="545">
        <v>1</v>
      </c>
      <c r="I6008" s="545">
        <v>0</v>
      </c>
      <c r="J6008" s="545">
        <v>3.8214285714285716</v>
      </c>
    </row>
    <row r="6009" spans="1:10">
      <c r="A6009" s="441">
        <v>11722</v>
      </c>
      <c r="B6009" s="441" t="s">
        <v>5222</v>
      </c>
      <c r="C6009" s="545">
        <v>9.8333333333333339</v>
      </c>
      <c r="D6009" s="545">
        <v>4</v>
      </c>
      <c r="E6009" s="545">
        <v>2.6666666666666665</v>
      </c>
      <c r="F6009" s="545">
        <v>7.9761904761904763</v>
      </c>
      <c r="G6009" s="545">
        <v>4.6500000000000004</v>
      </c>
      <c r="H6009" s="545">
        <v>4.666666666666667</v>
      </c>
      <c r="I6009" s="545">
        <v>2.6666666666666665</v>
      </c>
      <c r="J6009" s="545">
        <v>4.3690476190476195</v>
      </c>
    </row>
    <row r="6010" spans="1:10">
      <c r="A6010" s="441">
        <v>11715</v>
      </c>
      <c r="B6010" s="441" t="s">
        <v>5223</v>
      </c>
      <c r="C6010" s="545">
        <v>1.8333333333333335</v>
      </c>
      <c r="D6010" s="545">
        <v>2.3333333333333335</v>
      </c>
      <c r="E6010" s="545">
        <v>0.66666666666666663</v>
      </c>
      <c r="F6010" s="545">
        <v>1.7380952380952384</v>
      </c>
      <c r="G6010" s="545">
        <v>2.4500000000000002</v>
      </c>
      <c r="H6010" s="545">
        <v>0</v>
      </c>
      <c r="I6010" s="545">
        <v>2</v>
      </c>
      <c r="J6010" s="545">
        <v>2.0357142857142856</v>
      </c>
    </row>
    <row r="6011" spans="1:10">
      <c r="A6011" s="441">
        <v>11716</v>
      </c>
      <c r="B6011" s="441" t="s">
        <v>5223</v>
      </c>
      <c r="C6011" s="545">
        <v>0.83333333333333326</v>
      </c>
      <c r="D6011" s="545">
        <v>0.33333333333333331</v>
      </c>
      <c r="E6011" s="545">
        <v>0</v>
      </c>
      <c r="F6011" s="545">
        <v>0.64285714285714268</v>
      </c>
      <c r="G6011" s="545">
        <v>2.5</v>
      </c>
      <c r="H6011" s="545">
        <v>0.66666666666666663</v>
      </c>
      <c r="I6011" s="545">
        <v>0.33333333333333331</v>
      </c>
      <c r="J6011" s="545">
        <v>1.9285714285714286</v>
      </c>
    </row>
    <row r="6012" spans="1:10">
      <c r="A6012" s="441">
        <v>11731</v>
      </c>
      <c r="B6012" s="441" t="s">
        <v>5224</v>
      </c>
      <c r="C6012" s="545">
        <v>5.166666666666667</v>
      </c>
      <c r="D6012" s="545">
        <v>2</v>
      </c>
      <c r="E6012" s="545">
        <v>1.3333333333333333</v>
      </c>
      <c r="F6012" s="545">
        <v>4.166666666666667</v>
      </c>
      <c r="G6012" s="545">
        <v>3.45</v>
      </c>
      <c r="H6012" s="545">
        <v>2.3333333333333335</v>
      </c>
      <c r="I6012" s="545">
        <v>0.66666666666666663</v>
      </c>
      <c r="J6012" s="545">
        <v>2.8928571428571428</v>
      </c>
    </row>
    <row r="6013" spans="1:10">
      <c r="A6013" s="441">
        <v>11732</v>
      </c>
      <c r="B6013" s="441" t="s">
        <v>5224</v>
      </c>
      <c r="C6013" s="545">
        <v>3.5</v>
      </c>
      <c r="D6013" s="545">
        <v>2.3333333333333335</v>
      </c>
      <c r="E6013" s="545">
        <v>2.3333333333333335</v>
      </c>
      <c r="F6013" s="545">
        <v>3.1666666666666665</v>
      </c>
      <c r="G6013" s="545">
        <v>4.3</v>
      </c>
      <c r="H6013" s="545">
        <v>1.6666666666666667</v>
      </c>
      <c r="I6013" s="545">
        <v>1</v>
      </c>
      <c r="J6013" s="545">
        <v>3.4523809523809526</v>
      </c>
    </row>
    <row r="6014" spans="1:10">
      <c r="A6014" s="441">
        <v>11717</v>
      </c>
      <c r="B6014" s="441" t="s">
        <v>5225</v>
      </c>
      <c r="C6014" s="545">
        <v>7.166666666666667</v>
      </c>
      <c r="D6014" s="545">
        <v>7.6666666666666661</v>
      </c>
      <c r="E6014" s="545">
        <v>2.666666666666667</v>
      </c>
      <c r="F6014" s="545">
        <v>6.5952380952380949</v>
      </c>
      <c r="G6014" s="545">
        <v>4</v>
      </c>
      <c r="H6014" s="545">
        <v>4.666666666666667</v>
      </c>
      <c r="I6014" s="545">
        <v>1.3333333333333333</v>
      </c>
      <c r="J6014" s="545">
        <v>3.7142857142857144</v>
      </c>
    </row>
    <row r="6015" spans="1:10">
      <c r="A6015" s="441">
        <v>11718</v>
      </c>
      <c r="B6015" s="441" t="s">
        <v>5225</v>
      </c>
      <c r="C6015" s="545">
        <v>9.5</v>
      </c>
      <c r="D6015" s="545">
        <v>6</v>
      </c>
      <c r="E6015" s="545">
        <v>8.3333333333333339</v>
      </c>
      <c r="F6015" s="545">
        <v>8.8333333333333339</v>
      </c>
      <c r="G6015" s="545">
        <v>8</v>
      </c>
      <c r="H6015" s="545">
        <v>3.6666666666666665</v>
      </c>
      <c r="I6015" s="545">
        <v>5.333333333333333</v>
      </c>
      <c r="J6015" s="545">
        <v>7</v>
      </c>
    </row>
    <row r="6016" spans="1:10">
      <c r="A6016" s="441">
        <v>11739</v>
      </c>
      <c r="B6016" s="441" t="s">
        <v>5226</v>
      </c>
      <c r="C6016" s="545">
        <v>34.5</v>
      </c>
      <c r="D6016" s="545">
        <v>17.666666666666668</v>
      </c>
      <c r="E6016" s="545">
        <v>19.333333333333336</v>
      </c>
      <c r="F6016" s="545">
        <v>29.928571428571427</v>
      </c>
      <c r="G6016" s="545">
        <v>19.5</v>
      </c>
      <c r="H6016" s="545">
        <v>18.333333333333332</v>
      </c>
      <c r="I6016" s="545">
        <v>9.6666666666666661</v>
      </c>
      <c r="J6016" s="545">
        <v>17.928571428571427</v>
      </c>
    </row>
    <row r="6017" spans="1:10">
      <c r="A6017" s="441">
        <v>11299</v>
      </c>
      <c r="B6017" s="441" t="s">
        <v>5227</v>
      </c>
      <c r="C6017" s="545">
        <v>12.166666666666666</v>
      </c>
      <c r="D6017" s="545">
        <v>8.3333333333333339</v>
      </c>
      <c r="E6017" s="545">
        <v>10</v>
      </c>
      <c r="F6017" s="545">
        <v>11.309523809523808</v>
      </c>
      <c r="G6017" s="545">
        <v>8.75</v>
      </c>
      <c r="H6017" s="545">
        <v>5</v>
      </c>
      <c r="I6017" s="545">
        <v>6</v>
      </c>
      <c r="J6017" s="545">
        <v>7.8214285714285712</v>
      </c>
    </row>
    <row r="6018" spans="1:10">
      <c r="A6018" s="441">
        <v>9727</v>
      </c>
      <c r="B6018" s="441" t="s">
        <v>5228</v>
      </c>
      <c r="C6018" s="545">
        <v>0</v>
      </c>
      <c r="D6018" s="545">
        <v>0</v>
      </c>
      <c r="E6018" s="545">
        <v>0</v>
      </c>
      <c r="F6018" s="545">
        <v>0</v>
      </c>
      <c r="G6018" s="545">
        <v>4.0999999999999996</v>
      </c>
      <c r="H6018" s="545">
        <v>4.666666666666667</v>
      </c>
      <c r="I6018" s="545">
        <v>3.6666666666666665</v>
      </c>
      <c r="J6018" s="545">
        <v>4.1190476190476195</v>
      </c>
    </row>
    <row r="6019" spans="1:10">
      <c r="A6019" s="441">
        <v>9728</v>
      </c>
      <c r="B6019" s="441" t="s">
        <v>5228</v>
      </c>
      <c r="C6019" s="545">
        <v>2.5</v>
      </c>
      <c r="D6019" s="545">
        <v>2</v>
      </c>
      <c r="E6019" s="545">
        <v>2</v>
      </c>
      <c r="F6019" s="545">
        <v>2.3571428571428572</v>
      </c>
      <c r="G6019" s="545">
        <v>3.05</v>
      </c>
      <c r="H6019" s="545">
        <v>3.6666666666666665</v>
      </c>
      <c r="I6019" s="545">
        <v>1.6666666666666667</v>
      </c>
      <c r="J6019" s="545">
        <v>2.9404761904761907</v>
      </c>
    </row>
    <row r="6020" spans="1:10">
      <c r="A6020" s="441">
        <v>9732</v>
      </c>
      <c r="B6020" s="441" t="s">
        <v>5229</v>
      </c>
      <c r="C6020" s="545">
        <v>3.3333333333333335</v>
      </c>
      <c r="D6020" s="545">
        <v>3.3333333333333335</v>
      </c>
      <c r="E6020" s="545">
        <v>1</v>
      </c>
      <c r="F6020" s="545">
        <v>3</v>
      </c>
      <c r="G6020" s="545">
        <v>2.9</v>
      </c>
      <c r="H6020" s="545">
        <v>3.3333333333333335</v>
      </c>
      <c r="I6020" s="545">
        <v>1.6666666666666667</v>
      </c>
      <c r="J6020" s="545">
        <v>2.7857142857142856</v>
      </c>
    </row>
    <row r="6021" spans="1:10">
      <c r="A6021" s="441">
        <v>10646</v>
      </c>
      <c r="B6021" s="441" t="s">
        <v>5230</v>
      </c>
      <c r="C6021" s="545">
        <v>5.1666666666666661</v>
      </c>
      <c r="D6021" s="545">
        <v>3.6666666666666665</v>
      </c>
      <c r="E6021" s="545">
        <v>0.66666666666666663</v>
      </c>
      <c r="F6021" s="545">
        <v>4.3095238095238093</v>
      </c>
      <c r="G6021" s="545">
        <v>3.8</v>
      </c>
      <c r="H6021" s="545">
        <v>0.66666666666666663</v>
      </c>
      <c r="I6021" s="545">
        <v>0.33333333333333331</v>
      </c>
      <c r="J6021" s="545">
        <v>2.8571428571428572</v>
      </c>
    </row>
    <row r="6022" spans="1:10">
      <c r="A6022" s="441">
        <v>10657</v>
      </c>
      <c r="B6022" s="441" t="s">
        <v>5230</v>
      </c>
      <c r="C6022" s="545">
        <v>4</v>
      </c>
      <c r="D6022" s="545">
        <v>2</v>
      </c>
      <c r="E6022" s="545">
        <v>0</v>
      </c>
      <c r="F6022" s="545">
        <v>3.1428571428571428</v>
      </c>
      <c r="G6022" s="545">
        <v>6.35</v>
      </c>
      <c r="H6022" s="545">
        <v>2.3333333333333335</v>
      </c>
      <c r="I6022" s="545">
        <v>0.33333333333333331</v>
      </c>
      <c r="J6022" s="545">
        <v>4.916666666666667</v>
      </c>
    </row>
    <row r="6023" spans="1:10">
      <c r="A6023" s="441">
        <v>9725</v>
      </c>
      <c r="B6023" s="441" t="s">
        <v>5231</v>
      </c>
      <c r="C6023" s="545">
        <v>3.3333333333333335</v>
      </c>
      <c r="D6023" s="545">
        <v>2.6666666666666665</v>
      </c>
      <c r="E6023" s="545">
        <v>0.66666666666666663</v>
      </c>
      <c r="F6023" s="545">
        <v>2.8571428571428577</v>
      </c>
      <c r="G6023" s="545">
        <v>1.3</v>
      </c>
      <c r="H6023" s="545">
        <v>1.6666666666666667</v>
      </c>
      <c r="I6023" s="545">
        <v>0</v>
      </c>
      <c r="J6023" s="545">
        <v>1.1666666666666665</v>
      </c>
    </row>
    <row r="6024" spans="1:10">
      <c r="A6024" s="441">
        <v>9730</v>
      </c>
      <c r="B6024" s="441" t="s">
        <v>5231</v>
      </c>
      <c r="C6024" s="545">
        <v>5.833333333333333</v>
      </c>
      <c r="D6024" s="545">
        <v>3.666666666666667</v>
      </c>
      <c r="E6024" s="545">
        <v>2</v>
      </c>
      <c r="F6024" s="545">
        <v>4.9761904761904754</v>
      </c>
      <c r="G6024" s="545">
        <v>0.55000000000000004</v>
      </c>
      <c r="H6024" s="545">
        <v>0.33333333333333331</v>
      </c>
      <c r="I6024" s="545">
        <v>0</v>
      </c>
      <c r="J6024" s="545">
        <v>0.44047619047619052</v>
      </c>
    </row>
    <row r="6025" spans="1:10">
      <c r="A6025" s="441">
        <v>9724</v>
      </c>
      <c r="B6025" s="441" t="s">
        <v>5232</v>
      </c>
      <c r="C6025" s="545">
        <v>4.333333333333333</v>
      </c>
      <c r="D6025" s="545">
        <v>2.6666666666666665</v>
      </c>
      <c r="E6025" s="545">
        <v>4.3333333333333339</v>
      </c>
      <c r="F6025" s="545">
        <v>4.0952380952380949</v>
      </c>
      <c r="G6025" s="545">
        <v>3.85</v>
      </c>
      <c r="H6025" s="545">
        <v>0.33333333333333331</v>
      </c>
      <c r="I6025" s="545">
        <v>1</v>
      </c>
      <c r="J6025" s="545">
        <v>2.9404761904761902</v>
      </c>
    </row>
    <row r="6026" spans="1:10">
      <c r="A6026" s="441">
        <v>9731</v>
      </c>
      <c r="B6026" s="441" t="s">
        <v>5232</v>
      </c>
      <c r="C6026" s="545">
        <v>2</v>
      </c>
      <c r="D6026" s="545">
        <v>2</v>
      </c>
      <c r="E6026" s="545">
        <v>0.33333333333333331</v>
      </c>
      <c r="F6026" s="545">
        <v>1.7619047619047621</v>
      </c>
      <c r="G6026" s="545">
        <v>2.7</v>
      </c>
      <c r="H6026" s="545">
        <v>1.3333333333333333</v>
      </c>
      <c r="I6026" s="545">
        <v>0</v>
      </c>
      <c r="J6026" s="545">
        <v>2.1190476190476191</v>
      </c>
    </row>
    <row r="6027" spans="1:10">
      <c r="A6027" s="441">
        <v>9723</v>
      </c>
      <c r="B6027" s="441" t="s">
        <v>5233</v>
      </c>
      <c r="C6027" s="545">
        <v>4.166666666666667</v>
      </c>
      <c r="D6027" s="545">
        <v>3.3333333333333335</v>
      </c>
      <c r="E6027" s="545">
        <v>0.66666666666666663</v>
      </c>
      <c r="F6027" s="545">
        <v>3.5476190476190479</v>
      </c>
      <c r="G6027" s="545">
        <v>6.3</v>
      </c>
      <c r="H6027" s="545">
        <v>4.666666666666667</v>
      </c>
      <c r="I6027" s="545">
        <v>1.3333333333333333</v>
      </c>
      <c r="J6027" s="545">
        <v>5.3571428571428568</v>
      </c>
    </row>
    <row r="6028" spans="1:10">
      <c r="A6028" s="441">
        <v>10645</v>
      </c>
      <c r="B6028" s="441" t="s">
        <v>5234</v>
      </c>
      <c r="C6028" s="545">
        <v>1.8333333333333335</v>
      </c>
      <c r="D6028" s="545">
        <v>0.66666666666666663</v>
      </c>
      <c r="E6028" s="545">
        <v>0.33333333333333331</v>
      </c>
      <c r="F6028" s="545">
        <v>1.4523809523809526</v>
      </c>
      <c r="G6028" s="545">
        <v>0.55000000000000004</v>
      </c>
      <c r="H6028" s="545">
        <v>0</v>
      </c>
      <c r="I6028" s="545">
        <v>0</v>
      </c>
      <c r="J6028" s="545">
        <v>0.39285714285714285</v>
      </c>
    </row>
    <row r="6029" spans="1:10">
      <c r="A6029" s="441">
        <v>10656</v>
      </c>
      <c r="B6029" s="441" t="s">
        <v>5234</v>
      </c>
      <c r="C6029" s="545">
        <v>4.166666666666667</v>
      </c>
      <c r="D6029" s="545">
        <v>0.66666666666666663</v>
      </c>
      <c r="E6029" s="545">
        <v>0.33333333333333331</v>
      </c>
      <c r="F6029" s="545">
        <v>3.1190476190476195</v>
      </c>
      <c r="G6029" s="545">
        <v>1.1499999999999999</v>
      </c>
      <c r="H6029" s="545">
        <v>0</v>
      </c>
      <c r="I6029" s="545">
        <v>0</v>
      </c>
      <c r="J6029" s="545">
        <v>0.8214285714285714</v>
      </c>
    </row>
    <row r="6030" spans="1:10">
      <c r="A6030" s="441">
        <v>9733</v>
      </c>
      <c r="B6030" s="441" t="s">
        <v>5235</v>
      </c>
      <c r="C6030" s="545">
        <v>21.833333333333336</v>
      </c>
      <c r="D6030" s="545">
        <v>12</v>
      </c>
      <c r="E6030" s="545">
        <v>17.666666666666664</v>
      </c>
      <c r="F6030" s="545">
        <v>19.833333333333336</v>
      </c>
      <c r="G6030" s="545">
        <v>13.75</v>
      </c>
      <c r="H6030" s="545">
        <v>9.6666666666666661</v>
      </c>
      <c r="I6030" s="545">
        <v>5</v>
      </c>
      <c r="J6030" s="545">
        <v>11.916666666666668</v>
      </c>
    </row>
    <row r="6031" spans="1:10">
      <c r="A6031" s="441">
        <v>10647</v>
      </c>
      <c r="B6031" s="441" t="s">
        <v>5235</v>
      </c>
      <c r="C6031" s="545">
        <v>15.666666666666666</v>
      </c>
      <c r="D6031" s="545">
        <v>10</v>
      </c>
      <c r="E6031" s="545">
        <v>4.666666666666667</v>
      </c>
      <c r="F6031" s="545">
        <v>13.285714285714286</v>
      </c>
      <c r="G6031" s="545">
        <v>11.4</v>
      </c>
      <c r="H6031" s="545">
        <v>6.666666666666667</v>
      </c>
      <c r="I6031" s="545">
        <v>3.6666666666666665</v>
      </c>
      <c r="J6031" s="545">
        <v>9.6190476190476186</v>
      </c>
    </row>
    <row r="6032" spans="1:10">
      <c r="A6032" s="441">
        <v>10648</v>
      </c>
      <c r="B6032" s="441" t="s">
        <v>5236</v>
      </c>
      <c r="C6032" s="545">
        <v>7.833333333333333</v>
      </c>
      <c r="D6032" s="545">
        <v>12.333333333333332</v>
      </c>
      <c r="E6032" s="545">
        <v>2.3333333333333335</v>
      </c>
      <c r="F6032" s="545">
        <v>7.6904761904761907</v>
      </c>
      <c r="G6032" s="545">
        <v>5.05</v>
      </c>
      <c r="H6032" s="545">
        <v>5.666666666666667</v>
      </c>
      <c r="I6032" s="545">
        <v>3.6666666666666665</v>
      </c>
      <c r="J6032" s="545">
        <v>4.9404761904761907</v>
      </c>
    </row>
    <row r="6033" spans="1:10">
      <c r="A6033" s="441">
        <v>11629</v>
      </c>
      <c r="B6033" s="441" t="s">
        <v>5236</v>
      </c>
      <c r="C6033" s="545">
        <v>9.6666666666666661</v>
      </c>
      <c r="D6033" s="545">
        <v>1</v>
      </c>
      <c r="E6033" s="545">
        <v>2.3333333333333335</v>
      </c>
      <c r="F6033" s="545">
        <v>7.3809523809523805</v>
      </c>
      <c r="G6033" s="545">
        <v>3.55</v>
      </c>
      <c r="H6033" s="545">
        <v>1</v>
      </c>
      <c r="I6033" s="545">
        <v>0.33333333333333331</v>
      </c>
      <c r="J6033" s="545">
        <v>2.7261904761904758</v>
      </c>
    </row>
    <row r="6034" spans="1:10">
      <c r="A6034" s="441">
        <v>9726</v>
      </c>
      <c r="B6034" s="441" t="s">
        <v>5237</v>
      </c>
      <c r="C6034" s="545">
        <v>0.83333333333333337</v>
      </c>
      <c r="D6034" s="545">
        <v>1</v>
      </c>
      <c r="E6034" s="545">
        <v>0.33333333333333331</v>
      </c>
      <c r="F6034" s="545">
        <v>0.7857142857142857</v>
      </c>
      <c r="G6034" s="545">
        <v>2.2000000000000002</v>
      </c>
      <c r="H6034" s="545">
        <v>3.3333333333333335</v>
      </c>
      <c r="I6034" s="545">
        <v>0</v>
      </c>
      <c r="J6034" s="545">
        <v>2.0476190476190479</v>
      </c>
    </row>
    <row r="6035" spans="1:10">
      <c r="A6035" s="441">
        <v>9729</v>
      </c>
      <c r="B6035" s="441" t="s">
        <v>5237</v>
      </c>
      <c r="C6035" s="545">
        <v>1</v>
      </c>
      <c r="D6035" s="545">
        <v>2.666666666666667</v>
      </c>
      <c r="E6035" s="545">
        <v>1</v>
      </c>
      <c r="F6035" s="545">
        <v>1.2380952380952384</v>
      </c>
      <c r="G6035" s="545">
        <v>2.4500000000000002</v>
      </c>
      <c r="H6035" s="545">
        <v>0.33333333333333331</v>
      </c>
      <c r="I6035" s="545">
        <v>0</v>
      </c>
      <c r="J6035" s="545">
        <v>1.7976190476190477</v>
      </c>
    </row>
    <row r="6036" spans="1:10">
      <c r="A6036" s="441">
        <v>10644</v>
      </c>
      <c r="B6036" s="441" t="s">
        <v>5238</v>
      </c>
      <c r="C6036" s="545">
        <v>2.833333333333333</v>
      </c>
      <c r="D6036" s="545">
        <v>0</v>
      </c>
      <c r="E6036" s="545">
        <v>0</v>
      </c>
      <c r="F6036" s="545">
        <v>2.0238095238095233</v>
      </c>
      <c r="G6036" s="545">
        <v>1.85</v>
      </c>
      <c r="H6036" s="545">
        <v>0.33333333333333331</v>
      </c>
      <c r="I6036" s="545">
        <v>0</v>
      </c>
      <c r="J6036" s="545">
        <v>1.3690476190476191</v>
      </c>
    </row>
    <row r="6037" spans="1:10">
      <c r="A6037" s="441">
        <v>10655</v>
      </c>
      <c r="B6037" s="441" t="s">
        <v>5238</v>
      </c>
      <c r="C6037" s="545">
        <v>8.8333333333333321</v>
      </c>
      <c r="D6037" s="545">
        <v>1</v>
      </c>
      <c r="E6037" s="545">
        <v>0.33333333333333331</v>
      </c>
      <c r="F6037" s="545">
        <v>6.4999999999999991</v>
      </c>
      <c r="G6037" s="545">
        <v>1</v>
      </c>
      <c r="H6037" s="545">
        <v>0</v>
      </c>
      <c r="I6037" s="545">
        <v>0</v>
      </c>
      <c r="J6037" s="545">
        <v>0.7142857142857143</v>
      </c>
    </row>
    <row r="6038" spans="1:10">
      <c r="A6038" s="441">
        <v>10663</v>
      </c>
      <c r="B6038" s="441" t="s">
        <v>5239</v>
      </c>
      <c r="C6038" s="545">
        <v>6.5</v>
      </c>
      <c r="D6038" s="545">
        <v>15</v>
      </c>
      <c r="E6038" s="545">
        <v>3</v>
      </c>
      <c r="F6038" s="545">
        <v>7.2142857142857144</v>
      </c>
      <c r="G6038" s="545">
        <v>1.75</v>
      </c>
      <c r="H6038" s="545">
        <v>0.66666666666666663</v>
      </c>
      <c r="I6038" s="545">
        <v>0.33333333333333331</v>
      </c>
      <c r="J6038" s="545">
        <v>1.3928571428571428</v>
      </c>
    </row>
    <row r="6039" spans="1:10">
      <c r="A6039" s="441">
        <v>10985</v>
      </c>
      <c r="B6039" s="441" t="s">
        <v>5240</v>
      </c>
      <c r="C6039" s="545">
        <v>10.166666666666666</v>
      </c>
      <c r="D6039" s="545">
        <v>4</v>
      </c>
      <c r="E6039" s="545">
        <v>3.666666666666667</v>
      </c>
      <c r="F6039" s="545">
        <v>8.3571428571428559</v>
      </c>
      <c r="G6039" s="545">
        <v>2.15</v>
      </c>
      <c r="H6039" s="545">
        <v>1.3333333333333333</v>
      </c>
      <c r="I6039" s="545">
        <v>1.3333333333333333</v>
      </c>
      <c r="J6039" s="545">
        <v>1.9166666666666667</v>
      </c>
    </row>
    <row r="6040" spans="1:10">
      <c r="A6040" s="441">
        <v>5480</v>
      </c>
      <c r="B6040" s="441" t="s">
        <v>5241</v>
      </c>
      <c r="C6040" s="545">
        <v>33.166666666666671</v>
      </c>
      <c r="D6040" s="545">
        <v>27.666666666666668</v>
      </c>
      <c r="E6040" s="545">
        <v>24.666666666666668</v>
      </c>
      <c r="F6040" s="545">
        <v>31.166666666666668</v>
      </c>
      <c r="G6040" s="545">
        <v>14.65</v>
      </c>
      <c r="H6040" s="545">
        <v>9</v>
      </c>
      <c r="I6040" s="545">
        <v>8.6666666666666661</v>
      </c>
      <c r="J6040" s="545">
        <v>12.988095238095239</v>
      </c>
    </row>
    <row r="6041" spans="1:10">
      <c r="A6041" s="441">
        <v>5481</v>
      </c>
      <c r="B6041" s="441" t="s">
        <v>5242</v>
      </c>
      <c r="C6041" s="545">
        <v>1.5</v>
      </c>
      <c r="D6041" s="545">
        <v>1.3333333333333333</v>
      </c>
      <c r="E6041" s="545">
        <v>0</v>
      </c>
      <c r="F6041" s="545">
        <v>1.2619047619047621</v>
      </c>
      <c r="G6041" s="545">
        <v>3.05</v>
      </c>
      <c r="H6041" s="545">
        <v>0</v>
      </c>
      <c r="I6041" s="545">
        <v>0.33333333333333331</v>
      </c>
      <c r="J6041" s="545">
        <v>2.2261904761904763</v>
      </c>
    </row>
    <row r="6042" spans="1:10">
      <c r="A6042" s="441">
        <v>708</v>
      </c>
      <c r="B6042" s="441" t="s">
        <v>5243</v>
      </c>
      <c r="C6042" s="545">
        <v>1.8333333333333335</v>
      </c>
      <c r="D6042" s="545">
        <v>2.3333333333333335</v>
      </c>
      <c r="E6042" s="545">
        <v>3.666666666666667</v>
      </c>
      <c r="F6042" s="545">
        <v>2.166666666666667</v>
      </c>
      <c r="G6042" s="545">
        <v>2.5</v>
      </c>
      <c r="H6042" s="545">
        <v>1.3333333333333333</v>
      </c>
      <c r="I6042" s="545">
        <v>0</v>
      </c>
      <c r="J6042" s="545">
        <v>1.9761904761904763</v>
      </c>
    </row>
    <row r="6043" spans="1:10">
      <c r="A6043" s="441">
        <v>9031</v>
      </c>
      <c r="B6043" s="441" t="s">
        <v>5244</v>
      </c>
      <c r="C6043" s="545">
        <v>4.833333333333333</v>
      </c>
      <c r="D6043" s="545">
        <v>0.66666666666666663</v>
      </c>
      <c r="E6043" s="545">
        <v>0</v>
      </c>
      <c r="F6043" s="545">
        <v>3.5476190476190474</v>
      </c>
      <c r="G6043" s="545">
        <v>2.2999999999999998</v>
      </c>
      <c r="H6043" s="545">
        <v>0.66666666666666663</v>
      </c>
      <c r="I6043" s="545">
        <v>0.33333333333333331</v>
      </c>
      <c r="J6043" s="545">
        <v>1.7857142857142858</v>
      </c>
    </row>
    <row r="6044" spans="1:10">
      <c r="A6044" s="441">
        <v>9038</v>
      </c>
      <c r="B6044" s="441" t="s">
        <v>5244</v>
      </c>
      <c r="C6044" s="545">
        <v>6.1666666666666661</v>
      </c>
      <c r="D6044" s="545">
        <v>2</v>
      </c>
      <c r="E6044" s="545">
        <v>1.6666666666666665</v>
      </c>
      <c r="F6044" s="545">
        <v>4.9285714285714279</v>
      </c>
      <c r="G6044" s="545">
        <v>3.5</v>
      </c>
      <c r="H6044" s="545">
        <v>1.3333333333333333</v>
      </c>
      <c r="I6044" s="545">
        <v>1.3333333333333333</v>
      </c>
      <c r="J6044" s="545">
        <v>2.8809523809523805</v>
      </c>
    </row>
    <row r="6045" spans="1:10">
      <c r="A6045" s="441">
        <v>9039</v>
      </c>
      <c r="B6045" s="441" t="s">
        <v>5244</v>
      </c>
      <c r="C6045" s="545">
        <v>68.833333333333329</v>
      </c>
      <c r="D6045" s="545">
        <v>44.666666666666671</v>
      </c>
      <c r="E6045" s="545">
        <v>35.333333333333336</v>
      </c>
      <c r="F6045" s="545">
        <v>60.595238095238088</v>
      </c>
      <c r="G6045" s="545">
        <v>46.55</v>
      </c>
      <c r="H6045" s="545">
        <v>26.666666666666668</v>
      </c>
      <c r="I6045" s="545">
        <v>29</v>
      </c>
      <c r="J6045" s="545">
        <v>41.202380952380956</v>
      </c>
    </row>
    <row r="6046" spans="1:10">
      <c r="A6046" s="441">
        <v>5546</v>
      </c>
      <c r="B6046" s="441" t="s">
        <v>5245</v>
      </c>
      <c r="C6046" s="545">
        <v>45.666666666666671</v>
      </c>
      <c r="D6046" s="545">
        <v>24.333333333333336</v>
      </c>
      <c r="E6046" s="545">
        <v>21.666666666666664</v>
      </c>
      <c r="F6046" s="545">
        <v>39.190476190476197</v>
      </c>
      <c r="G6046" s="545">
        <v>24.45</v>
      </c>
      <c r="H6046" s="545">
        <v>23.666666666666668</v>
      </c>
      <c r="I6046" s="545">
        <v>13</v>
      </c>
      <c r="J6046" s="545">
        <v>22.702380952380953</v>
      </c>
    </row>
    <row r="6047" spans="1:10">
      <c r="A6047" s="441">
        <v>9058</v>
      </c>
      <c r="B6047" s="441" t="s">
        <v>5246</v>
      </c>
      <c r="C6047" s="545">
        <v>17.5</v>
      </c>
      <c r="D6047" s="545">
        <v>15</v>
      </c>
      <c r="E6047" s="545">
        <v>9</v>
      </c>
      <c r="F6047" s="545">
        <v>15.928571428571429</v>
      </c>
      <c r="G6047" s="545">
        <v>10.199999999999999</v>
      </c>
      <c r="H6047" s="545">
        <v>10.666666666666666</v>
      </c>
      <c r="I6047" s="545">
        <v>9.6666666666666661</v>
      </c>
      <c r="J6047" s="545">
        <v>10.19047619047619</v>
      </c>
    </row>
    <row r="6048" spans="1:10">
      <c r="A6048" s="441">
        <v>9059</v>
      </c>
      <c r="B6048" s="441" t="s">
        <v>5246</v>
      </c>
      <c r="C6048" s="545">
        <v>7.166666666666667</v>
      </c>
      <c r="D6048" s="545">
        <v>8.6666666666666679</v>
      </c>
      <c r="E6048" s="545">
        <v>7</v>
      </c>
      <c r="F6048" s="545">
        <v>7.3571428571428568</v>
      </c>
      <c r="G6048" s="545">
        <v>6.8</v>
      </c>
      <c r="H6048" s="545">
        <v>9</v>
      </c>
      <c r="I6048" s="545">
        <v>5.333333333333333</v>
      </c>
      <c r="J6048" s="545">
        <v>6.9047619047619051</v>
      </c>
    </row>
    <row r="6049" spans="1:10">
      <c r="A6049" s="441">
        <v>9067</v>
      </c>
      <c r="B6049" s="441" t="s">
        <v>5246</v>
      </c>
      <c r="C6049" s="545">
        <v>9.5</v>
      </c>
      <c r="D6049" s="545">
        <v>8</v>
      </c>
      <c r="E6049" s="545">
        <v>6.333333333333333</v>
      </c>
      <c r="F6049" s="545">
        <v>8.8333333333333339</v>
      </c>
      <c r="G6049" s="545">
        <v>8.65</v>
      </c>
      <c r="H6049" s="545">
        <v>4.666666666666667</v>
      </c>
      <c r="I6049" s="545">
        <v>6</v>
      </c>
      <c r="J6049" s="545">
        <v>7.7023809523809517</v>
      </c>
    </row>
    <row r="6050" spans="1:10">
      <c r="A6050" s="441">
        <v>7190</v>
      </c>
      <c r="B6050" s="441" t="s">
        <v>5247</v>
      </c>
      <c r="C6050" s="545">
        <v>5.333333333333333</v>
      </c>
      <c r="D6050" s="545">
        <v>3.333333333333333</v>
      </c>
      <c r="E6050" s="545">
        <v>2.3333333333333335</v>
      </c>
      <c r="F6050" s="545">
        <v>4.6190476190476186</v>
      </c>
      <c r="G6050" s="545">
        <v>6</v>
      </c>
      <c r="H6050" s="545">
        <v>3</v>
      </c>
      <c r="I6050" s="545">
        <v>4</v>
      </c>
      <c r="J6050" s="545">
        <v>5.2857142857142856</v>
      </c>
    </row>
    <row r="6051" spans="1:10">
      <c r="A6051" s="441">
        <v>9068</v>
      </c>
      <c r="B6051" s="441" t="s">
        <v>5247</v>
      </c>
      <c r="C6051" s="545">
        <v>18.833333333333332</v>
      </c>
      <c r="D6051" s="545">
        <v>13.666666666666666</v>
      </c>
      <c r="E6051" s="545">
        <v>10.666666666666666</v>
      </c>
      <c r="F6051" s="545">
        <v>16.928571428571427</v>
      </c>
      <c r="G6051" s="545">
        <v>30.55</v>
      </c>
      <c r="H6051" s="545">
        <v>19.666666666666668</v>
      </c>
      <c r="I6051" s="545">
        <v>14.333333333333334</v>
      </c>
      <c r="J6051" s="545">
        <v>26.678571428571427</v>
      </c>
    </row>
    <row r="6052" spans="1:10">
      <c r="A6052" s="441">
        <v>9037</v>
      </c>
      <c r="B6052" s="441" t="s">
        <v>5248</v>
      </c>
      <c r="C6052" s="545">
        <v>0</v>
      </c>
      <c r="D6052" s="545">
        <v>0.33333333333333331</v>
      </c>
      <c r="E6052" s="545">
        <v>0</v>
      </c>
      <c r="F6052" s="545">
        <v>4.7619047619047616E-2</v>
      </c>
      <c r="G6052" s="545">
        <v>0.5</v>
      </c>
      <c r="H6052" s="545">
        <v>0.66666666666666663</v>
      </c>
      <c r="I6052" s="545">
        <v>0.33333333333333331</v>
      </c>
      <c r="J6052" s="545">
        <v>0.5</v>
      </c>
    </row>
    <row r="6053" spans="1:10">
      <c r="A6053" s="441">
        <v>9019</v>
      </c>
      <c r="B6053" s="441" t="s">
        <v>5249</v>
      </c>
      <c r="C6053" s="545">
        <v>62.166666666666664</v>
      </c>
      <c r="D6053" s="545">
        <v>26.333333333333332</v>
      </c>
      <c r="E6053" s="545">
        <v>27.333333333333332</v>
      </c>
      <c r="F6053" s="545">
        <v>52.071428571428562</v>
      </c>
      <c r="G6053" s="545">
        <v>47.85</v>
      </c>
      <c r="H6053" s="545">
        <v>26.666666666666668</v>
      </c>
      <c r="I6053" s="545">
        <v>21.666666666666668</v>
      </c>
      <c r="J6053" s="545">
        <v>41.083333333333336</v>
      </c>
    </row>
    <row r="6054" spans="1:10">
      <c r="A6054" s="441">
        <v>9071</v>
      </c>
      <c r="B6054" s="441" t="s">
        <v>5249</v>
      </c>
      <c r="C6054" s="545">
        <v>60.833333333333336</v>
      </c>
      <c r="D6054" s="545">
        <v>30.666666666666664</v>
      </c>
      <c r="E6054" s="545">
        <v>15.333333333333332</v>
      </c>
      <c r="F6054" s="545">
        <v>50.023809523809526</v>
      </c>
      <c r="G6054" s="545">
        <v>42.15</v>
      </c>
      <c r="H6054" s="545">
        <v>20.333333333333332</v>
      </c>
      <c r="I6054" s="545">
        <v>16</v>
      </c>
      <c r="J6054" s="545">
        <v>35.297619047619051</v>
      </c>
    </row>
    <row r="6055" spans="1:10">
      <c r="A6055" s="441">
        <v>701</v>
      </c>
      <c r="B6055" s="441" t="s">
        <v>5250</v>
      </c>
      <c r="C6055" s="545">
        <v>60.833333333333329</v>
      </c>
      <c r="D6055" s="545">
        <v>25.333333333333336</v>
      </c>
      <c r="E6055" s="545">
        <v>21</v>
      </c>
      <c r="F6055" s="545">
        <v>50.071428571428562</v>
      </c>
      <c r="G6055" s="545">
        <v>35.75</v>
      </c>
      <c r="H6055" s="545">
        <v>15.666666666666666</v>
      </c>
      <c r="I6055" s="545">
        <v>10.333333333333334</v>
      </c>
      <c r="J6055" s="545">
        <v>29.25</v>
      </c>
    </row>
    <row r="6056" spans="1:10">
      <c r="A6056" s="441">
        <v>5545</v>
      </c>
      <c r="B6056" s="441" t="s">
        <v>5250</v>
      </c>
      <c r="C6056" s="545">
        <v>31.666666666666664</v>
      </c>
      <c r="D6056" s="545">
        <v>11</v>
      </c>
      <c r="E6056" s="545">
        <v>10.666666666666668</v>
      </c>
      <c r="F6056" s="545">
        <v>25.714285714285712</v>
      </c>
      <c r="G6056" s="545">
        <v>17.45</v>
      </c>
      <c r="H6056" s="545">
        <v>14.666666666666666</v>
      </c>
      <c r="I6056" s="545">
        <v>10.333333333333334</v>
      </c>
      <c r="J6056" s="545">
        <v>16.035714285714285</v>
      </c>
    </row>
    <row r="6057" spans="1:10">
      <c r="A6057" s="441">
        <v>6603</v>
      </c>
      <c r="B6057" s="441" t="s">
        <v>5250</v>
      </c>
      <c r="C6057" s="545">
        <v>62.5</v>
      </c>
      <c r="D6057" s="545">
        <v>27.666666666666664</v>
      </c>
      <c r="E6057" s="545">
        <v>31.333333333333332</v>
      </c>
      <c r="F6057" s="545">
        <v>53.071428571428569</v>
      </c>
      <c r="G6057" s="545">
        <v>36.6</v>
      </c>
      <c r="H6057" s="545">
        <v>22.333333333333332</v>
      </c>
      <c r="I6057" s="545">
        <v>19</v>
      </c>
      <c r="J6057" s="545">
        <v>32.047619047619051</v>
      </c>
    </row>
    <row r="6058" spans="1:10">
      <c r="A6058" s="441">
        <v>11047</v>
      </c>
      <c r="B6058" s="441" t="s">
        <v>5251</v>
      </c>
      <c r="C6058" s="545">
        <v>30.666666666666668</v>
      </c>
      <c r="D6058" s="545">
        <v>28.666666666666664</v>
      </c>
      <c r="E6058" s="545">
        <v>16.666666666666668</v>
      </c>
      <c r="F6058" s="545">
        <v>28.38095238095238</v>
      </c>
      <c r="G6058" s="545">
        <v>23.9</v>
      </c>
      <c r="H6058" s="545">
        <v>19.333333333333332</v>
      </c>
      <c r="I6058" s="545">
        <v>20.333333333333332</v>
      </c>
      <c r="J6058" s="545">
        <v>22.738095238095241</v>
      </c>
    </row>
    <row r="6059" spans="1:10">
      <c r="A6059" s="441">
        <v>9029</v>
      </c>
      <c r="B6059" s="441" t="s">
        <v>5252</v>
      </c>
      <c r="C6059" s="545">
        <v>4.666666666666667</v>
      </c>
      <c r="D6059" s="545">
        <v>6.6666666666666661</v>
      </c>
      <c r="E6059" s="545">
        <v>2.3333333333333335</v>
      </c>
      <c r="F6059" s="545">
        <v>4.6190476190476195</v>
      </c>
      <c r="G6059" s="545">
        <v>4.5999999999999996</v>
      </c>
      <c r="H6059" s="545">
        <v>2.6666666666666665</v>
      </c>
      <c r="I6059" s="545">
        <v>1.6666666666666667</v>
      </c>
      <c r="J6059" s="545">
        <v>3.9047619047619051</v>
      </c>
    </row>
    <row r="6060" spans="1:10">
      <c r="A6060" s="441">
        <v>9041</v>
      </c>
      <c r="B6060" s="441" t="s">
        <v>5252</v>
      </c>
      <c r="C6060" s="545">
        <v>8</v>
      </c>
      <c r="D6060" s="545">
        <v>6</v>
      </c>
      <c r="E6060" s="545">
        <v>3.666666666666667</v>
      </c>
      <c r="F6060" s="545">
        <v>7.0952380952380949</v>
      </c>
      <c r="G6060" s="545">
        <v>6.35</v>
      </c>
      <c r="H6060" s="545">
        <v>6</v>
      </c>
      <c r="I6060" s="545">
        <v>1.6666666666666667</v>
      </c>
      <c r="J6060" s="545">
        <v>5.6309523809523805</v>
      </c>
    </row>
    <row r="6061" spans="1:10">
      <c r="A6061" s="441">
        <v>9042</v>
      </c>
      <c r="B6061" s="441" t="s">
        <v>5252</v>
      </c>
      <c r="C6061" s="545">
        <v>7.3333333333333339</v>
      </c>
      <c r="D6061" s="545">
        <v>3</v>
      </c>
      <c r="E6061" s="545">
        <v>2.6666666666666665</v>
      </c>
      <c r="F6061" s="545">
        <v>6.0476190476190483</v>
      </c>
      <c r="G6061" s="545">
        <v>4.95</v>
      </c>
      <c r="H6061" s="545">
        <v>2.6666666666666665</v>
      </c>
      <c r="I6061" s="545">
        <v>3</v>
      </c>
      <c r="J6061" s="545">
        <v>4.3452380952380958</v>
      </c>
    </row>
    <row r="6062" spans="1:10">
      <c r="A6062" s="441">
        <v>157</v>
      </c>
      <c r="B6062" s="441" t="s">
        <v>5253</v>
      </c>
      <c r="C6062" s="545">
        <v>91</v>
      </c>
      <c r="D6062" s="545">
        <v>41.333333333333329</v>
      </c>
      <c r="E6062" s="545">
        <v>9.6666666666666679</v>
      </c>
      <c r="F6062" s="545">
        <v>72.285714285714292</v>
      </c>
      <c r="G6062" s="545">
        <v>58.5</v>
      </c>
      <c r="H6062" s="545">
        <v>39.666666666666664</v>
      </c>
      <c r="I6062" s="545">
        <v>29.666666666666668</v>
      </c>
      <c r="J6062" s="545">
        <v>51.690476190476197</v>
      </c>
    </row>
    <row r="6063" spans="1:10">
      <c r="A6063" s="441">
        <v>9056</v>
      </c>
      <c r="B6063" s="441" t="s">
        <v>5254</v>
      </c>
      <c r="C6063" s="545">
        <v>122.66666666666667</v>
      </c>
      <c r="D6063" s="545">
        <v>79</v>
      </c>
      <c r="E6063" s="545">
        <v>62</v>
      </c>
      <c r="F6063" s="545">
        <v>107.76190476190477</v>
      </c>
      <c r="G6063" s="545">
        <v>96.75</v>
      </c>
      <c r="H6063" s="545">
        <v>65.666666666666671</v>
      </c>
      <c r="I6063" s="545">
        <v>57</v>
      </c>
      <c r="J6063" s="545">
        <v>86.63095238095238</v>
      </c>
    </row>
    <row r="6064" spans="1:10">
      <c r="A6064" s="441">
        <v>9057</v>
      </c>
      <c r="B6064" s="441" t="s">
        <v>5254</v>
      </c>
      <c r="C6064" s="545">
        <v>112.83333333333334</v>
      </c>
      <c r="D6064" s="545">
        <v>61.333333333333329</v>
      </c>
      <c r="E6064" s="545">
        <v>49</v>
      </c>
      <c r="F6064" s="545">
        <v>96.357142857142875</v>
      </c>
      <c r="G6064" s="545">
        <v>92.95</v>
      </c>
      <c r="H6064" s="545">
        <v>57.333333333333336</v>
      </c>
      <c r="I6064" s="545">
        <v>58.333333333333336</v>
      </c>
      <c r="J6064" s="545">
        <v>82.916666666666671</v>
      </c>
    </row>
    <row r="6065" spans="1:10">
      <c r="A6065" s="441">
        <v>9033</v>
      </c>
      <c r="B6065" s="441" t="s">
        <v>5255</v>
      </c>
      <c r="C6065" s="545">
        <v>4.166666666666667</v>
      </c>
      <c r="D6065" s="545">
        <v>1.6666666666666665</v>
      </c>
      <c r="E6065" s="545">
        <v>2</v>
      </c>
      <c r="F6065" s="545">
        <v>3.5000000000000004</v>
      </c>
      <c r="G6065" s="545">
        <v>3.25</v>
      </c>
      <c r="H6065" s="545">
        <v>3.6666666666666665</v>
      </c>
      <c r="I6065" s="545">
        <v>2</v>
      </c>
      <c r="J6065" s="545">
        <v>3.1309523809523809</v>
      </c>
    </row>
    <row r="6066" spans="1:10">
      <c r="A6066" s="441">
        <v>9028</v>
      </c>
      <c r="B6066" s="441" t="s">
        <v>5256</v>
      </c>
      <c r="C6066" s="545">
        <v>28.833333333333332</v>
      </c>
      <c r="D6066" s="545">
        <v>19.666666666666664</v>
      </c>
      <c r="E6066" s="545">
        <v>12.666666666666668</v>
      </c>
      <c r="F6066" s="545">
        <v>25.214285714285712</v>
      </c>
      <c r="G6066" s="545">
        <v>48.9</v>
      </c>
      <c r="H6066" s="545">
        <v>36.333333333333336</v>
      </c>
      <c r="I6066" s="545">
        <v>29.666666666666668</v>
      </c>
      <c r="J6066" s="545">
        <v>44.357142857142854</v>
      </c>
    </row>
    <row r="6067" spans="1:10">
      <c r="A6067" s="441">
        <v>5189</v>
      </c>
      <c r="B6067" s="441" t="s">
        <v>5257</v>
      </c>
      <c r="C6067" s="545">
        <v>69.833333333333329</v>
      </c>
      <c r="D6067" s="545">
        <v>31</v>
      </c>
      <c r="E6067" s="545">
        <v>27.666666666666664</v>
      </c>
      <c r="F6067" s="545">
        <v>58.261904761904759</v>
      </c>
      <c r="G6067" s="545">
        <v>44.65</v>
      </c>
      <c r="H6067" s="545">
        <v>29</v>
      </c>
      <c r="I6067" s="545">
        <v>25.666666666666668</v>
      </c>
      <c r="J6067" s="545">
        <v>39.702380952380956</v>
      </c>
    </row>
    <row r="6068" spans="1:10">
      <c r="A6068" s="441">
        <v>10056</v>
      </c>
      <c r="B6068" s="441" t="s">
        <v>5257</v>
      </c>
      <c r="C6068" s="545">
        <v>78.333333333333343</v>
      </c>
      <c r="D6068" s="545">
        <v>42.333333333333336</v>
      </c>
      <c r="E6068" s="545">
        <v>31</v>
      </c>
      <c r="F6068" s="545">
        <v>66.428571428571431</v>
      </c>
      <c r="G6068" s="545">
        <v>56.9</v>
      </c>
      <c r="H6068" s="545">
        <v>45.666666666666664</v>
      </c>
      <c r="I6068" s="545">
        <v>36</v>
      </c>
      <c r="J6068" s="545">
        <v>52.30952380952381</v>
      </c>
    </row>
    <row r="6069" spans="1:10">
      <c r="A6069" s="441">
        <v>7974</v>
      </c>
      <c r="B6069" s="441" t="s">
        <v>5258</v>
      </c>
      <c r="C6069" s="545">
        <v>35</v>
      </c>
      <c r="D6069" s="545">
        <v>16.333333333333332</v>
      </c>
      <c r="E6069" s="545">
        <v>17</v>
      </c>
      <c r="F6069" s="545">
        <v>29.761904761904763</v>
      </c>
      <c r="G6069" s="545">
        <v>28.95</v>
      </c>
      <c r="H6069" s="545">
        <v>18.666666666666668</v>
      </c>
      <c r="I6069" s="545">
        <v>14.333333333333334</v>
      </c>
      <c r="J6069" s="545">
        <v>25.392857142857142</v>
      </c>
    </row>
    <row r="6070" spans="1:10">
      <c r="A6070" s="441">
        <v>5192</v>
      </c>
      <c r="B6070" s="441" t="s">
        <v>5259</v>
      </c>
      <c r="C6070" s="545">
        <v>40.5</v>
      </c>
      <c r="D6070" s="545">
        <v>9.3333333333333321</v>
      </c>
      <c r="E6070" s="545">
        <v>6</v>
      </c>
      <c r="F6070" s="545">
        <v>31.11904761904762</v>
      </c>
      <c r="G6070" s="545">
        <v>13.8</v>
      </c>
      <c r="H6070" s="545">
        <v>4.333333333333333</v>
      </c>
      <c r="I6070" s="545">
        <v>4.666666666666667</v>
      </c>
      <c r="J6070" s="545">
        <v>11.142857142857142</v>
      </c>
    </row>
    <row r="6071" spans="1:10">
      <c r="A6071" s="441">
        <v>5193</v>
      </c>
      <c r="B6071" s="441" t="s">
        <v>5259</v>
      </c>
      <c r="C6071" s="545">
        <v>1.3333333333333333</v>
      </c>
      <c r="D6071" s="545">
        <v>0.66666666666666663</v>
      </c>
      <c r="E6071" s="545">
        <v>1.3333333333333333</v>
      </c>
      <c r="F6071" s="545">
        <v>1.2380952380952379</v>
      </c>
      <c r="G6071" s="545">
        <v>1.55</v>
      </c>
      <c r="H6071" s="545">
        <v>0.33333333333333331</v>
      </c>
      <c r="I6071" s="545">
        <v>0.66666666666666663</v>
      </c>
      <c r="J6071" s="545">
        <v>1.25</v>
      </c>
    </row>
    <row r="6072" spans="1:10">
      <c r="A6072" s="441">
        <v>5194</v>
      </c>
      <c r="B6072" s="441" t="s">
        <v>5259</v>
      </c>
      <c r="C6072" s="545">
        <v>5</v>
      </c>
      <c r="D6072" s="545">
        <v>5</v>
      </c>
      <c r="E6072" s="545">
        <v>6.6666666666666661</v>
      </c>
      <c r="F6072" s="545">
        <v>5.2380952380952381</v>
      </c>
      <c r="G6072" s="545">
        <v>5.15</v>
      </c>
      <c r="H6072" s="545">
        <v>7</v>
      </c>
      <c r="I6072" s="545">
        <v>3</v>
      </c>
      <c r="J6072" s="545">
        <v>5.1071428571428568</v>
      </c>
    </row>
    <row r="6073" spans="1:10">
      <c r="A6073" s="441">
        <v>5206</v>
      </c>
      <c r="B6073" s="441" t="s">
        <v>5259</v>
      </c>
      <c r="C6073" s="545">
        <v>28.833333333333332</v>
      </c>
      <c r="D6073" s="545">
        <v>8</v>
      </c>
      <c r="E6073" s="545">
        <v>5.333333333333333</v>
      </c>
      <c r="F6073" s="545">
        <v>22.5</v>
      </c>
      <c r="G6073" s="545">
        <v>11.5</v>
      </c>
      <c r="H6073" s="545">
        <v>4</v>
      </c>
      <c r="I6073" s="545">
        <v>1.6666666666666667</v>
      </c>
      <c r="J6073" s="545">
        <v>9.0238095238095237</v>
      </c>
    </row>
    <row r="6074" spans="1:10">
      <c r="A6074" s="441">
        <v>2966</v>
      </c>
      <c r="B6074" s="441" t="s">
        <v>5260</v>
      </c>
      <c r="C6074" s="545">
        <v>38.5</v>
      </c>
      <c r="D6074" s="545">
        <v>35</v>
      </c>
      <c r="E6074" s="545">
        <v>29.333333333333336</v>
      </c>
      <c r="F6074" s="545">
        <v>36.69047619047619</v>
      </c>
      <c r="G6074" s="545">
        <v>38.200000000000003</v>
      </c>
      <c r="H6074" s="545">
        <v>32</v>
      </c>
      <c r="I6074" s="545">
        <v>32</v>
      </c>
      <c r="J6074" s="545">
        <v>36.428571428571431</v>
      </c>
    </row>
    <row r="6075" spans="1:10">
      <c r="A6075" s="441">
        <v>2980</v>
      </c>
      <c r="B6075" s="441" t="s">
        <v>5260</v>
      </c>
      <c r="C6075" s="545">
        <v>34</v>
      </c>
      <c r="D6075" s="545">
        <v>32.666666666666664</v>
      </c>
      <c r="E6075" s="545">
        <v>34</v>
      </c>
      <c r="F6075" s="545">
        <v>33.80952380952381</v>
      </c>
      <c r="G6075" s="545">
        <v>35.35</v>
      </c>
      <c r="H6075" s="545">
        <v>33.333333333333336</v>
      </c>
      <c r="I6075" s="545">
        <v>26.666666666666668</v>
      </c>
      <c r="J6075" s="545">
        <v>33.821428571428569</v>
      </c>
    </row>
    <row r="6076" spans="1:10">
      <c r="A6076" s="441">
        <v>9030</v>
      </c>
      <c r="B6076" s="441" t="s">
        <v>5261</v>
      </c>
      <c r="C6076" s="545">
        <v>115.66666666666666</v>
      </c>
      <c r="D6076" s="545">
        <v>100</v>
      </c>
      <c r="E6076" s="545">
        <v>83.333333333333343</v>
      </c>
      <c r="F6076" s="545">
        <v>108.80952380952381</v>
      </c>
      <c r="G6076" s="545">
        <v>77.7</v>
      </c>
      <c r="H6076" s="545">
        <v>61</v>
      </c>
      <c r="I6076" s="545">
        <v>48.666666666666664</v>
      </c>
      <c r="J6076" s="545">
        <v>71.166666666666671</v>
      </c>
    </row>
    <row r="6077" spans="1:10">
      <c r="A6077" s="441">
        <v>9040</v>
      </c>
      <c r="B6077" s="441" t="s">
        <v>5261</v>
      </c>
      <c r="C6077" s="545">
        <v>123.33333333333334</v>
      </c>
      <c r="D6077" s="545">
        <v>89.666666666666671</v>
      </c>
      <c r="E6077" s="545">
        <v>88</v>
      </c>
      <c r="F6077" s="545">
        <v>113.47619047619048</v>
      </c>
      <c r="G6077" s="545">
        <v>121.85</v>
      </c>
      <c r="H6077" s="545">
        <v>92</v>
      </c>
      <c r="I6077" s="545">
        <v>83</v>
      </c>
      <c r="J6077" s="545">
        <v>112.03571428571429</v>
      </c>
    </row>
    <row r="6078" spans="1:10">
      <c r="A6078" s="441">
        <v>9013</v>
      </c>
      <c r="B6078" s="441" t="s">
        <v>5262</v>
      </c>
      <c r="C6078" s="545">
        <v>83.166666666666671</v>
      </c>
      <c r="D6078" s="545">
        <v>61.333333333333329</v>
      </c>
      <c r="E6078" s="545">
        <v>51.666666666666671</v>
      </c>
      <c r="F6078" s="545">
        <v>75.547619047619051</v>
      </c>
      <c r="G6078" s="545">
        <v>92.3</v>
      </c>
      <c r="H6078" s="545">
        <v>76</v>
      </c>
      <c r="I6078" s="545">
        <v>71.333333333333329</v>
      </c>
      <c r="J6078" s="545">
        <v>86.976190476190482</v>
      </c>
    </row>
    <row r="6079" spans="1:10">
      <c r="A6079" s="441">
        <v>5547</v>
      </c>
      <c r="B6079" s="441" t="s">
        <v>5263</v>
      </c>
      <c r="C6079" s="545">
        <v>67.333333333333343</v>
      </c>
      <c r="D6079" s="545">
        <v>25</v>
      </c>
      <c r="E6079" s="545">
        <v>9.6666666666666661</v>
      </c>
      <c r="F6079" s="545">
        <v>53.047619047619058</v>
      </c>
      <c r="G6079" s="545">
        <v>47.6</v>
      </c>
      <c r="H6079" s="545">
        <v>17.666666666666668</v>
      </c>
      <c r="I6079" s="545">
        <v>18.333333333333332</v>
      </c>
      <c r="J6079" s="545">
        <v>39.142857142857146</v>
      </c>
    </row>
    <row r="6080" spans="1:10">
      <c r="A6080" s="441">
        <v>6601</v>
      </c>
      <c r="B6080" s="441" t="s">
        <v>5263</v>
      </c>
      <c r="C6080" s="545">
        <v>56.833333333333329</v>
      </c>
      <c r="D6080" s="545">
        <v>21</v>
      </c>
      <c r="E6080" s="545">
        <v>11</v>
      </c>
      <c r="F6080" s="545">
        <v>45.166666666666664</v>
      </c>
      <c r="G6080" s="545">
        <v>58.6</v>
      </c>
      <c r="H6080" s="545">
        <v>22.666666666666668</v>
      </c>
      <c r="I6080" s="545">
        <v>14.666666666666666</v>
      </c>
      <c r="J6080" s="545">
        <v>47.190476190476197</v>
      </c>
    </row>
    <row r="6081" spans="1:10">
      <c r="A6081" s="441">
        <v>6602</v>
      </c>
      <c r="B6081" s="441" t="s">
        <v>5263</v>
      </c>
      <c r="C6081" s="545">
        <v>50.666666666666671</v>
      </c>
      <c r="D6081" s="545">
        <v>14.333333333333332</v>
      </c>
      <c r="E6081" s="545">
        <v>20</v>
      </c>
      <c r="F6081" s="545">
        <v>41.095238095238095</v>
      </c>
      <c r="G6081" s="545">
        <v>27.7</v>
      </c>
      <c r="H6081" s="545">
        <v>16</v>
      </c>
      <c r="I6081" s="545">
        <v>16.333333333333332</v>
      </c>
      <c r="J6081" s="545">
        <v>24.404761904761905</v>
      </c>
    </row>
    <row r="6082" spans="1:10">
      <c r="A6082" s="441">
        <v>698</v>
      </c>
      <c r="B6082" s="441" t="s">
        <v>5264</v>
      </c>
      <c r="C6082" s="545">
        <v>58</v>
      </c>
      <c r="D6082" s="545">
        <v>15</v>
      </c>
      <c r="E6082" s="545">
        <v>48.666666666666664</v>
      </c>
      <c r="F6082" s="545">
        <v>50.523809523809526</v>
      </c>
      <c r="G6082" s="545">
        <v>17.55</v>
      </c>
      <c r="H6082" s="545">
        <v>8</v>
      </c>
      <c r="I6082" s="545">
        <v>31.333333333333332</v>
      </c>
      <c r="J6082" s="545">
        <v>18.154761904761905</v>
      </c>
    </row>
    <row r="6083" spans="1:10">
      <c r="A6083" s="441">
        <v>700</v>
      </c>
      <c r="B6083" s="441" t="s">
        <v>5264</v>
      </c>
      <c r="C6083" s="545">
        <v>82.833333333333343</v>
      </c>
      <c r="D6083" s="545">
        <v>43.666666666666671</v>
      </c>
      <c r="E6083" s="545">
        <v>50.666666666666671</v>
      </c>
      <c r="F6083" s="545">
        <v>72.642857142857153</v>
      </c>
      <c r="G6083" s="545">
        <v>63.95</v>
      </c>
      <c r="H6083" s="545">
        <v>22</v>
      </c>
      <c r="I6083" s="545">
        <v>40</v>
      </c>
      <c r="J6083" s="545">
        <v>54.535714285714285</v>
      </c>
    </row>
    <row r="6084" spans="1:10">
      <c r="A6084" s="441">
        <v>6605</v>
      </c>
      <c r="B6084" s="441" t="s">
        <v>5264</v>
      </c>
      <c r="C6084" s="545">
        <v>87.5</v>
      </c>
      <c r="D6084" s="545">
        <v>34.333333333333336</v>
      </c>
      <c r="E6084" s="545">
        <v>47.333333333333336</v>
      </c>
      <c r="F6084" s="545">
        <v>74.166666666666657</v>
      </c>
      <c r="G6084" s="545">
        <v>42.5</v>
      </c>
      <c r="H6084" s="545">
        <v>22.333333333333332</v>
      </c>
      <c r="I6084" s="545">
        <v>32.333333333333336</v>
      </c>
      <c r="J6084" s="545">
        <v>38.166666666666671</v>
      </c>
    </row>
    <row r="6085" spans="1:10">
      <c r="A6085" s="441">
        <v>9021</v>
      </c>
      <c r="B6085" s="441" t="s">
        <v>5265</v>
      </c>
      <c r="C6085" s="545">
        <v>20</v>
      </c>
      <c r="D6085" s="545">
        <v>16</v>
      </c>
      <c r="E6085" s="545">
        <v>11</v>
      </c>
      <c r="F6085" s="545">
        <v>18.142857142857142</v>
      </c>
      <c r="G6085" s="545">
        <v>20.7</v>
      </c>
      <c r="H6085" s="545">
        <v>14</v>
      </c>
      <c r="I6085" s="545">
        <v>11</v>
      </c>
      <c r="J6085" s="545">
        <v>18.357142857142858</v>
      </c>
    </row>
    <row r="6086" spans="1:10">
      <c r="A6086" s="441">
        <v>9047</v>
      </c>
      <c r="B6086" s="441" t="s">
        <v>5265</v>
      </c>
      <c r="C6086" s="545">
        <v>42.166666666666664</v>
      </c>
      <c r="D6086" s="545">
        <v>26.666666666666664</v>
      </c>
      <c r="E6086" s="545">
        <v>17.333333333333336</v>
      </c>
      <c r="F6086" s="545">
        <v>36.404761904761905</v>
      </c>
      <c r="G6086" s="545">
        <v>33.049999999999997</v>
      </c>
      <c r="H6086" s="545">
        <v>25</v>
      </c>
      <c r="I6086" s="545">
        <v>16</v>
      </c>
      <c r="J6086" s="545">
        <v>29.464285714285715</v>
      </c>
    </row>
    <row r="6087" spans="1:10">
      <c r="A6087" s="441">
        <v>9027</v>
      </c>
      <c r="B6087" s="441" t="s">
        <v>5266</v>
      </c>
      <c r="C6087" s="545">
        <v>170</v>
      </c>
      <c r="D6087" s="545">
        <v>115.66666666666667</v>
      </c>
      <c r="E6087" s="545">
        <v>97.333333333333329</v>
      </c>
      <c r="F6087" s="545">
        <v>151.85714285714286</v>
      </c>
      <c r="G6087" s="545">
        <v>110.85</v>
      </c>
      <c r="H6087" s="545">
        <v>82.333333333333329</v>
      </c>
      <c r="I6087" s="545">
        <v>57</v>
      </c>
      <c r="J6087" s="545">
        <v>99.083333333333343</v>
      </c>
    </row>
    <row r="6088" spans="1:10">
      <c r="A6088" s="441">
        <v>9043</v>
      </c>
      <c r="B6088" s="441" t="s">
        <v>5266</v>
      </c>
      <c r="C6088" s="545">
        <v>170.66666666666666</v>
      </c>
      <c r="D6088" s="545">
        <v>116.33333333333333</v>
      </c>
      <c r="E6088" s="545">
        <v>83</v>
      </c>
      <c r="F6088" s="545">
        <v>150.38095238095235</v>
      </c>
      <c r="G6088" s="545">
        <v>144.85</v>
      </c>
      <c r="H6088" s="545">
        <v>97.333333333333329</v>
      </c>
      <c r="I6088" s="545">
        <v>70.333333333333329</v>
      </c>
      <c r="J6088" s="545">
        <v>127.41666666666667</v>
      </c>
    </row>
    <row r="6089" spans="1:10">
      <c r="A6089" s="441">
        <v>9014</v>
      </c>
      <c r="B6089" s="441" t="s">
        <v>5267</v>
      </c>
      <c r="C6089" s="545">
        <v>133.16666666666666</v>
      </c>
      <c r="D6089" s="545">
        <v>85</v>
      </c>
      <c r="E6089" s="545">
        <v>81</v>
      </c>
      <c r="F6089" s="545">
        <v>118.83333333333333</v>
      </c>
      <c r="G6089" s="545">
        <v>120.95</v>
      </c>
      <c r="H6089" s="545">
        <v>117</v>
      </c>
      <c r="I6089" s="545">
        <v>87.333333333333329</v>
      </c>
      <c r="J6089" s="545">
        <v>115.58333333333334</v>
      </c>
    </row>
    <row r="6090" spans="1:10">
      <c r="A6090" s="441">
        <v>9054</v>
      </c>
      <c r="B6090" s="441" t="s">
        <v>5267</v>
      </c>
      <c r="C6090" s="545">
        <v>171.5</v>
      </c>
      <c r="D6090" s="545">
        <v>129</v>
      </c>
      <c r="E6090" s="545">
        <v>112</v>
      </c>
      <c r="F6090" s="545">
        <v>156.92857142857142</v>
      </c>
      <c r="G6090" s="545">
        <v>133.19999999999999</v>
      </c>
      <c r="H6090" s="545">
        <v>105</v>
      </c>
      <c r="I6090" s="545">
        <v>81.333333333333329</v>
      </c>
      <c r="J6090" s="545">
        <v>121.76190476190477</v>
      </c>
    </row>
    <row r="6091" spans="1:10">
      <c r="A6091" s="441">
        <v>9055</v>
      </c>
      <c r="B6091" s="441" t="s">
        <v>5267</v>
      </c>
      <c r="C6091" s="545">
        <v>8.6666666666666661</v>
      </c>
      <c r="D6091" s="545">
        <v>12</v>
      </c>
      <c r="E6091" s="545">
        <v>8.3333333333333339</v>
      </c>
      <c r="F6091" s="545">
        <v>9.0952380952380949</v>
      </c>
      <c r="G6091" s="545">
        <v>15.45</v>
      </c>
      <c r="H6091" s="545">
        <v>20</v>
      </c>
      <c r="I6091" s="545">
        <v>12.666666666666666</v>
      </c>
      <c r="J6091" s="545">
        <v>15.702380952380953</v>
      </c>
    </row>
    <row r="6092" spans="1:10">
      <c r="A6092" s="441">
        <v>9069</v>
      </c>
      <c r="B6092" s="441" t="s">
        <v>5267</v>
      </c>
      <c r="C6092" s="545">
        <v>69.666666666666657</v>
      </c>
      <c r="D6092" s="545">
        <v>45.666666666666671</v>
      </c>
      <c r="E6092" s="545">
        <v>41.333333333333329</v>
      </c>
      <c r="F6092" s="545">
        <v>62.190476190476183</v>
      </c>
      <c r="G6092" s="545">
        <v>42.95</v>
      </c>
      <c r="H6092" s="545">
        <v>19.666666666666668</v>
      </c>
      <c r="I6092" s="545">
        <v>22.333333333333332</v>
      </c>
      <c r="J6092" s="545">
        <v>36.678571428571431</v>
      </c>
    </row>
    <row r="6093" spans="1:10">
      <c r="A6093" s="441">
        <v>9017</v>
      </c>
      <c r="B6093" s="441" t="s">
        <v>5268</v>
      </c>
      <c r="C6093" s="545">
        <v>203.5</v>
      </c>
      <c r="D6093" s="545">
        <v>143.33333333333331</v>
      </c>
      <c r="E6093" s="545">
        <v>89.333333333333329</v>
      </c>
      <c r="F6093" s="545">
        <v>178.59523809523807</v>
      </c>
      <c r="G6093" s="545">
        <v>186.05</v>
      </c>
      <c r="H6093" s="545">
        <v>135.33333333333334</v>
      </c>
      <c r="I6093" s="545">
        <v>94.666666666666671</v>
      </c>
      <c r="J6093" s="545">
        <v>165.75</v>
      </c>
    </row>
    <row r="6094" spans="1:10">
      <c r="A6094" s="441">
        <v>2977</v>
      </c>
      <c r="B6094" s="441" t="s">
        <v>5269</v>
      </c>
      <c r="C6094" s="545">
        <v>30</v>
      </c>
      <c r="D6094" s="545">
        <v>16.333333333333332</v>
      </c>
      <c r="E6094" s="545">
        <v>9.3333333333333339</v>
      </c>
      <c r="F6094" s="545">
        <v>25.095238095238098</v>
      </c>
      <c r="G6094" s="545">
        <v>26.4</v>
      </c>
      <c r="H6094" s="545">
        <v>28.333333333333332</v>
      </c>
      <c r="I6094" s="545">
        <v>23.333333333333332</v>
      </c>
      <c r="J6094" s="545">
        <v>26.238095238095241</v>
      </c>
    </row>
    <row r="6095" spans="1:10">
      <c r="A6095" s="441">
        <v>13171</v>
      </c>
      <c r="B6095" s="441" t="s">
        <v>5270</v>
      </c>
      <c r="C6095" s="545" t="e">
        <v>#N/A</v>
      </c>
      <c r="D6095" s="545" t="e">
        <v>#N/A</v>
      </c>
      <c r="E6095" s="545" t="e">
        <v>#N/A</v>
      </c>
      <c r="F6095" s="545" t="e">
        <v>#N/A</v>
      </c>
      <c r="G6095" s="545">
        <v>316.35000000000002</v>
      </c>
      <c r="H6095" s="545">
        <v>205.33333333333334</v>
      </c>
      <c r="I6095" s="545">
        <v>190.33333333333334</v>
      </c>
      <c r="J6095" s="545">
        <v>282.48809523809524</v>
      </c>
    </row>
    <row r="6096" spans="1:10">
      <c r="A6096" s="441">
        <v>5551</v>
      </c>
      <c r="B6096" s="441" t="s">
        <v>5271</v>
      </c>
      <c r="C6096" s="545">
        <v>22.5</v>
      </c>
      <c r="D6096" s="545">
        <v>11.333333333333332</v>
      </c>
      <c r="E6096" s="545">
        <v>11.333333333333332</v>
      </c>
      <c r="F6096" s="545">
        <v>19.309523809523807</v>
      </c>
      <c r="G6096" s="545">
        <v>24.6</v>
      </c>
      <c r="H6096" s="545">
        <v>18</v>
      </c>
      <c r="I6096" s="545">
        <v>12</v>
      </c>
      <c r="J6096" s="545">
        <v>21.857142857142858</v>
      </c>
    </row>
    <row r="6097" spans="1:10">
      <c r="A6097" s="441">
        <v>6597</v>
      </c>
      <c r="B6097" s="441" t="s">
        <v>5271</v>
      </c>
      <c r="C6097" s="545">
        <v>17.5</v>
      </c>
      <c r="D6097" s="545">
        <v>9.6666666666666661</v>
      </c>
      <c r="E6097" s="545">
        <v>7.3333333333333339</v>
      </c>
      <c r="F6097" s="545">
        <v>14.928571428571429</v>
      </c>
      <c r="G6097" s="545">
        <v>17.5</v>
      </c>
      <c r="H6097" s="545">
        <v>9.6666666666666661</v>
      </c>
      <c r="I6097" s="545">
        <v>10</v>
      </c>
      <c r="J6097" s="545">
        <v>15.30952380952381</v>
      </c>
    </row>
    <row r="6098" spans="1:10">
      <c r="A6098" s="441">
        <v>9015</v>
      </c>
      <c r="B6098" s="441" t="s">
        <v>5272</v>
      </c>
      <c r="C6098" s="545">
        <v>57.666666666666671</v>
      </c>
      <c r="D6098" s="545">
        <v>36.666666666666664</v>
      </c>
      <c r="E6098" s="545">
        <v>34.666666666666664</v>
      </c>
      <c r="F6098" s="545">
        <v>51.380952380952394</v>
      </c>
      <c r="G6098" s="545">
        <v>40.65</v>
      </c>
      <c r="H6098" s="545">
        <v>33</v>
      </c>
      <c r="I6098" s="545">
        <v>24.333333333333332</v>
      </c>
      <c r="J6098" s="545">
        <v>37.226190476190474</v>
      </c>
    </row>
    <row r="6099" spans="1:10">
      <c r="A6099" s="441">
        <v>9053</v>
      </c>
      <c r="B6099" s="441" t="s">
        <v>5272</v>
      </c>
      <c r="C6099" s="545">
        <v>42</v>
      </c>
      <c r="D6099" s="545">
        <v>27</v>
      </c>
      <c r="E6099" s="545">
        <v>21.666666666666668</v>
      </c>
      <c r="F6099" s="545">
        <v>36.952380952380956</v>
      </c>
      <c r="G6099" s="545">
        <v>29</v>
      </c>
      <c r="H6099" s="545">
        <v>7.666666666666667</v>
      </c>
      <c r="I6099" s="545">
        <v>8.6666666666666661</v>
      </c>
      <c r="J6099" s="545">
        <v>23.047619047619044</v>
      </c>
    </row>
    <row r="6100" spans="1:10">
      <c r="A6100" s="441">
        <v>9060</v>
      </c>
      <c r="B6100" s="441" t="s">
        <v>5272</v>
      </c>
      <c r="C6100" s="545">
        <v>30.666666666666664</v>
      </c>
      <c r="D6100" s="545">
        <v>22.333333333333336</v>
      </c>
      <c r="E6100" s="545">
        <v>23</v>
      </c>
      <c r="F6100" s="545">
        <v>28.38095238095238</v>
      </c>
      <c r="G6100" s="545">
        <v>63.85</v>
      </c>
      <c r="H6100" s="545">
        <v>54.666666666666664</v>
      </c>
      <c r="I6100" s="545">
        <v>48.333333333333336</v>
      </c>
      <c r="J6100" s="545">
        <v>60.321428571428569</v>
      </c>
    </row>
    <row r="6101" spans="1:10">
      <c r="A6101" s="441">
        <v>9061</v>
      </c>
      <c r="B6101" s="441" t="s">
        <v>5272</v>
      </c>
      <c r="C6101" s="545">
        <v>58.5</v>
      </c>
      <c r="D6101" s="545">
        <v>49.666666666666664</v>
      </c>
      <c r="E6101" s="545">
        <v>48.333333333333336</v>
      </c>
      <c r="F6101" s="545">
        <v>55.785714285714285</v>
      </c>
      <c r="G6101" s="545">
        <v>52.95</v>
      </c>
      <c r="H6101" s="545">
        <v>42.666666666666664</v>
      </c>
      <c r="I6101" s="545">
        <v>36</v>
      </c>
      <c r="J6101" s="545">
        <v>49.05952380952381</v>
      </c>
    </row>
    <row r="6102" spans="1:10">
      <c r="A6102" s="441">
        <v>10139</v>
      </c>
      <c r="B6102" s="441" t="s">
        <v>5272</v>
      </c>
      <c r="C6102" s="545">
        <v>55.166666666666671</v>
      </c>
      <c r="D6102" s="545">
        <v>42.666666666666664</v>
      </c>
      <c r="E6102" s="545">
        <v>32.666666666666664</v>
      </c>
      <c r="F6102" s="545">
        <v>50.166666666666679</v>
      </c>
      <c r="G6102" s="545">
        <v>44.95</v>
      </c>
      <c r="H6102" s="545">
        <v>32.333333333333336</v>
      </c>
      <c r="I6102" s="545">
        <v>20.666666666666668</v>
      </c>
      <c r="J6102" s="545">
        <v>39.678571428571431</v>
      </c>
    </row>
    <row r="6103" spans="1:10">
      <c r="A6103" s="441">
        <v>5199</v>
      </c>
      <c r="B6103" s="441" t="s">
        <v>5273</v>
      </c>
      <c r="C6103" s="545">
        <v>22.166666666666668</v>
      </c>
      <c r="D6103" s="545">
        <v>12.666666666666666</v>
      </c>
      <c r="E6103" s="545">
        <v>10.333333333333332</v>
      </c>
      <c r="F6103" s="545">
        <v>19.11904761904762</v>
      </c>
      <c r="G6103" s="545">
        <v>6.1</v>
      </c>
      <c r="H6103" s="545">
        <v>4</v>
      </c>
      <c r="I6103" s="545">
        <v>2</v>
      </c>
      <c r="J6103" s="545">
        <v>5.2142857142857144</v>
      </c>
    </row>
    <row r="6104" spans="1:10">
      <c r="A6104" s="441">
        <v>7960</v>
      </c>
      <c r="B6104" s="441" t="s">
        <v>5274</v>
      </c>
      <c r="C6104" s="545">
        <v>52.5</v>
      </c>
      <c r="D6104" s="545">
        <v>19.666666666666664</v>
      </c>
      <c r="E6104" s="545">
        <v>11.666666666666666</v>
      </c>
      <c r="F6104" s="545">
        <v>41.976190476190482</v>
      </c>
      <c r="G6104" s="545">
        <v>15.85</v>
      </c>
      <c r="H6104" s="545">
        <v>8.6666666666666661</v>
      </c>
      <c r="I6104" s="545">
        <v>4.333333333333333</v>
      </c>
      <c r="J6104" s="545">
        <v>13.178571428571429</v>
      </c>
    </row>
    <row r="6105" spans="1:10">
      <c r="A6105" s="441">
        <v>7961</v>
      </c>
      <c r="B6105" s="441" t="s">
        <v>5274</v>
      </c>
      <c r="C6105" s="545">
        <v>2.333333333333333</v>
      </c>
      <c r="D6105" s="545">
        <v>0.33333333333333331</v>
      </c>
      <c r="E6105" s="545">
        <v>0</v>
      </c>
      <c r="F6105" s="545">
        <v>1.714285714285714</v>
      </c>
      <c r="G6105" s="545">
        <v>2.25</v>
      </c>
      <c r="H6105" s="545">
        <v>0</v>
      </c>
      <c r="I6105" s="545">
        <v>0</v>
      </c>
      <c r="J6105" s="545">
        <v>1.6071428571428572</v>
      </c>
    </row>
    <row r="6106" spans="1:10">
      <c r="A6106" s="441">
        <v>8990</v>
      </c>
      <c r="B6106" s="441" t="s">
        <v>5274</v>
      </c>
      <c r="C6106" s="545">
        <v>46.166666666666671</v>
      </c>
      <c r="D6106" s="545">
        <v>18</v>
      </c>
      <c r="E6106" s="545">
        <v>13</v>
      </c>
      <c r="F6106" s="545">
        <v>37.404761904761912</v>
      </c>
      <c r="G6106" s="545">
        <v>18.899999999999999</v>
      </c>
      <c r="H6106" s="545">
        <v>12.333333333333334</v>
      </c>
      <c r="I6106" s="545">
        <v>3</v>
      </c>
      <c r="J6106" s="545">
        <v>15.69047619047619</v>
      </c>
    </row>
    <row r="6107" spans="1:10">
      <c r="A6107" s="441">
        <v>2964</v>
      </c>
      <c r="B6107" s="441" t="s">
        <v>5275</v>
      </c>
      <c r="C6107" s="545">
        <v>58</v>
      </c>
      <c r="D6107" s="545">
        <v>31.333333333333332</v>
      </c>
      <c r="E6107" s="545">
        <v>36.666666666666664</v>
      </c>
      <c r="F6107" s="545">
        <v>51.142857142857146</v>
      </c>
      <c r="G6107" s="545">
        <v>55.75</v>
      </c>
      <c r="H6107" s="545">
        <v>37</v>
      </c>
      <c r="I6107" s="545">
        <v>35</v>
      </c>
      <c r="J6107" s="545">
        <v>50.107142857142854</v>
      </c>
    </row>
    <row r="6108" spans="1:10">
      <c r="A6108" s="441">
        <v>2982</v>
      </c>
      <c r="B6108" s="441" t="s">
        <v>5275</v>
      </c>
      <c r="C6108" s="545">
        <v>47.833333333333336</v>
      </c>
      <c r="D6108" s="545">
        <v>30.333333333333336</v>
      </c>
      <c r="E6108" s="545">
        <v>30</v>
      </c>
      <c r="F6108" s="545">
        <v>42.785714285714285</v>
      </c>
      <c r="G6108" s="545">
        <v>49.65</v>
      </c>
      <c r="H6108" s="545">
        <v>36.333333333333336</v>
      </c>
      <c r="I6108" s="545">
        <v>28.666666666666668</v>
      </c>
      <c r="J6108" s="545">
        <v>44.75</v>
      </c>
    </row>
    <row r="6109" spans="1:10">
      <c r="A6109" s="441">
        <v>9034</v>
      </c>
      <c r="B6109" s="441" t="s">
        <v>5276</v>
      </c>
      <c r="C6109" s="545">
        <v>314.5</v>
      </c>
      <c r="D6109" s="545">
        <v>208.66666666666669</v>
      </c>
      <c r="E6109" s="545">
        <v>172.33333333333331</v>
      </c>
      <c r="F6109" s="545">
        <v>279.07142857142856</v>
      </c>
      <c r="G6109" s="545">
        <v>314.5</v>
      </c>
      <c r="H6109" s="545">
        <v>229</v>
      </c>
      <c r="I6109" s="545">
        <v>194.33333333333334</v>
      </c>
      <c r="J6109" s="545">
        <v>285.11904761904759</v>
      </c>
    </row>
    <row r="6110" spans="1:10">
      <c r="A6110" s="441">
        <v>9035</v>
      </c>
      <c r="B6110" s="441" t="s">
        <v>5276</v>
      </c>
      <c r="C6110" s="545">
        <v>288.83333333333337</v>
      </c>
      <c r="D6110" s="545">
        <v>188.66666666666669</v>
      </c>
      <c r="E6110" s="545">
        <v>159</v>
      </c>
      <c r="F6110" s="545">
        <v>255.97619047619054</v>
      </c>
      <c r="G6110" s="545">
        <v>289.35000000000002</v>
      </c>
      <c r="H6110" s="545">
        <v>200.33333333333334</v>
      </c>
      <c r="I6110" s="545">
        <v>158</v>
      </c>
      <c r="J6110" s="545">
        <v>257.86904761904759</v>
      </c>
    </row>
    <row r="6111" spans="1:10">
      <c r="A6111" s="441">
        <v>2973</v>
      </c>
      <c r="B6111" s="441" t="s">
        <v>5277</v>
      </c>
      <c r="C6111" s="545">
        <v>20.333333333333332</v>
      </c>
      <c r="D6111" s="545">
        <v>9.3333333333333321</v>
      </c>
      <c r="E6111" s="545">
        <v>5.6666666666666661</v>
      </c>
      <c r="F6111" s="545">
        <v>16.666666666666664</v>
      </c>
      <c r="G6111" s="545">
        <v>18.05</v>
      </c>
      <c r="H6111" s="545">
        <v>15.333333333333334</v>
      </c>
      <c r="I6111" s="545">
        <v>12</v>
      </c>
      <c r="J6111" s="545">
        <v>16.797619047619047</v>
      </c>
    </row>
    <row r="6112" spans="1:10">
      <c r="A6112" s="441">
        <v>2974</v>
      </c>
      <c r="B6112" s="441" t="s">
        <v>5277</v>
      </c>
      <c r="C6112" s="545">
        <v>28.5</v>
      </c>
      <c r="D6112" s="545">
        <v>12</v>
      </c>
      <c r="E6112" s="545">
        <v>14</v>
      </c>
      <c r="F6112" s="545">
        <v>24.071428571428573</v>
      </c>
      <c r="G6112" s="545">
        <v>21.25</v>
      </c>
      <c r="H6112" s="545">
        <v>16.666666666666668</v>
      </c>
      <c r="I6112" s="545">
        <v>13</v>
      </c>
      <c r="J6112" s="545">
        <v>19.416666666666668</v>
      </c>
    </row>
    <row r="6113" spans="1:10">
      <c r="A6113" s="441">
        <v>9026</v>
      </c>
      <c r="B6113" s="441" t="s">
        <v>5278</v>
      </c>
      <c r="C6113" s="545">
        <v>21.5</v>
      </c>
      <c r="D6113" s="545">
        <v>15.666666666666668</v>
      </c>
      <c r="E6113" s="545">
        <v>16.333333333333332</v>
      </c>
      <c r="F6113" s="545">
        <v>19.928571428571427</v>
      </c>
      <c r="G6113" s="545">
        <v>23.15</v>
      </c>
      <c r="H6113" s="545">
        <v>17.666666666666668</v>
      </c>
      <c r="I6113" s="545">
        <v>14.666666666666666</v>
      </c>
      <c r="J6113" s="545">
        <v>21.154761904761902</v>
      </c>
    </row>
    <row r="6114" spans="1:10">
      <c r="A6114" s="441">
        <v>9070</v>
      </c>
      <c r="B6114" s="441" t="s">
        <v>5278</v>
      </c>
      <c r="C6114" s="545">
        <v>86.333333333333343</v>
      </c>
      <c r="D6114" s="545">
        <v>14.333333333333332</v>
      </c>
      <c r="E6114" s="545">
        <v>13.666666666666666</v>
      </c>
      <c r="F6114" s="545">
        <v>65.666666666666671</v>
      </c>
      <c r="G6114" s="545">
        <v>29.9</v>
      </c>
      <c r="H6114" s="545">
        <v>25</v>
      </c>
      <c r="I6114" s="545">
        <v>10</v>
      </c>
      <c r="J6114" s="545">
        <v>26.357142857142858</v>
      </c>
    </row>
    <row r="6115" spans="1:10">
      <c r="A6115" s="441">
        <v>5549</v>
      </c>
      <c r="B6115" s="441" t="s">
        <v>5279</v>
      </c>
      <c r="C6115" s="545">
        <v>130.5</v>
      </c>
      <c r="D6115" s="545">
        <v>107</v>
      </c>
      <c r="E6115" s="545">
        <v>100.66666666666667</v>
      </c>
      <c r="F6115" s="545">
        <v>122.88095238095238</v>
      </c>
      <c r="G6115" s="545">
        <v>113.6</v>
      </c>
      <c r="H6115" s="545">
        <v>125.33333333333333</v>
      </c>
      <c r="I6115" s="545">
        <v>93.666666666666671</v>
      </c>
      <c r="J6115" s="545">
        <v>112.42857142857143</v>
      </c>
    </row>
    <row r="6116" spans="1:10">
      <c r="A6116" s="441">
        <v>6599</v>
      </c>
      <c r="B6116" s="441" t="s">
        <v>5279</v>
      </c>
      <c r="C6116" s="545">
        <v>110.66666666666666</v>
      </c>
      <c r="D6116" s="545">
        <v>83.333333333333343</v>
      </c>
      <c r="E6116" s="545">
        <v>82.666666666666657</v>
      </c>
      <c r="F6116" s="545">
        <v>102.76190476190474</v>
      </c>
      <c r="G6116" s="545">
        <v>104.85</v>
      </c>
      <c r="H6116" s="545">
        <v>100.33333333333333</v>
      </c>
      <c r="I6116" s="545">
        <v>75.666666666666671</v>
      </c>
      <c r="J6116" s="545">
        <v>100.03571428571429</v>
      </c>
    </row>
    <row r="6117" spans="1:10">
      <c r="A6117" s="441">
        <v>11583</v>
      </c>
      <c r="B6117" s="441" t="s">
        <v>5280</v>
      </c>
      <c r="C6117" s="545">
        <v>4.5</v>
      </c>
      <c r="D6117" s="545">
        <v>3</v>
      </c>
      <c r="E6117" s="545">
        <v>2.666666666666667</v>
      </c>
      <c r="F6117" s="545">
        <v>4.0238095238095237</v>
      </c>
      <c r="G6117" s="545">
        <v>2.95</v>
      </c>
      <c r="H6117" s="545">
        <v>2.3333333333333335</v>
      </c>
      <c r="I6117" s="545">
        <v>3.3333333333333335</v>
      </c>
      <c r="J6117" s="545">
        <v>2.9166666666666665</v>
      </c>
    </row>
    <row r="6118" spans="1:10">
      <c r="A6118" s="441">
        <v>5198</v>
      </c>
      <c r="B6118" s="441" t="s">
        <v>5281</v>
      </c>
      <c r="C6118" s="545">
        <v>9.3333333333333339</v>
      </c>
      <c r="D6118" s="545">
        <v>3.333333333333333</v>
      </c>
      <c r="E6118" s="545">
        <v>2.666666666666667</v>
      </c>
      <c r="F6118" s="545">
        <v>7.5238095238095246</v>
      </c>
      <c r="G6118" s="545">
        <v>8.8000000000000007</v>
      </c>
      <c r="H6118" s="545">
        <v>9.3333333333333339</v>
      </c>
      <c r="I6118" s="545">
        <v>8.6666666666666661</v>
      </c>
      <c r="J6118" s="545">
        <v>8.8571428571428577</v>
      </c>
    </row>
    <row r="6119" spans="1:10">
      <c r="A6119" s="441">
        <v>5201</v>
      </c>
      <c r="B6119" s="441" t="s">
        <v>5281</v>
      </c>
      <c r="C6119" s="545">
        <v>5.1666666666666661</v>
      </c>
      <c r="D6119" s="545">
        <v>3.6666666666666665</v>
      </c>
      <c r="E6119" s="545">
        <v>3</v>
      </c>
      <c r="F6119" s="545">
        <v>4.6428571428571432</v>
      </c>
      <c r="G6119" s="545">
        <v>6.15</v>
      </c>
      <c r="H6119" s="545">
        <v>5.666666666666667</v>
      </c>
      <c r="I6119" s="545">
        <v>6</v>
      </c>
      <c r="J6119" s="545">
        <v>6.0595238095238093</v>
      </c>
    </row>
    <row r="6120" spans="1:10">
      <c r="A6120" s="441">
        <v>2968</v>
      </c>
      <c r="B6120" s="441" t="s">
        <v>5282</v>
      </c>
      <c r="C6120" s="545">
        <v>12.333333333333334</v>
      </c>
      <c r="D6120" s="545">
        <v>11.333333333333332</v>
      </c>
      <c r="E6120" s="545">
        <v>8</v>
      </c>
      <c r="F6120" s="545">
        <v>11.571428571428571</v>
      </c>
      <c r="G6120" s="545">
        <v>9.1</v>
      </c>
      <c r="H6120" s="545">
        <v>9.3333333333333339</v>
      </c>
      <c r="I6120" s="545">
        <v>8</v>
      </c>
      <c r="J6120" s="545">
        <v>8.9761904761904763</v>
      </c>
    </row>
    <row r="6121" spans="1:10">
      <c r="A6121" s="441">
        <v>2978</v>
      </c>
      <c r="B6121" s="441" t="s">
        <v>5282</v>
      </c>
      <c r="C6121" s="545">
        <v>7</v>
      </c>
      <c r="D6121" s="545">
        <v>10</v>
      </c>
      <c r="E6121" s="545">
        <v>7</v>
      </c>
      <c r="F6121" s="545">
        <v>7.4285714285714288</v>
      </c>
      <c r="G6121" s="545">
        <v>9.75</v>
      </c>
      <c r="H6121" s="545">
        <v>8</v>
      </c>
      <c r="I6121" s="545">
        <v>8.3333333333333339</v>
      </c>
      <c r="J6121" s="545">
        <v>9.2976190476190474</v>
      </c>
    </row>
    <row r="6122" spans="1:10">
      <c r="A6122" s="441">
        <v>2967</v>
      </c>
      <c r="B6122" s="441" t="s">
        <v>5283</v>
      </c>
      <c r="C6122" s="545">
        <v>17.833333333333332</v>
      </c>
      <c r="D6122" s="545">
        <v>8.3333333333333321</v>
      </c>
      <c r="E6122" s="545">
        <v>11.333333333333332</v>
      </c>
      <c r="F6122" s="545">
        <v>15.547619047619046</v>
      </c>
      <c r="G6122" s="545">
        <v>10.3</v>
      </c>
      <c r="H6122" s="545">
        <v>6.333333333333333</v>
      </c>
      <c r="I6122" s="545">
        <v>11.333333333333334</v>
      </c>
      <c r="J6122" s="545">
        <v>9.8809523809523814</v>
      </c>
    </row>
    <row r="6123" spans="1:10">
      <c r="A6123" s="441">
        <v>2979</v>
      </c>
      <c r="B6123" s="441" t="s">
        <v>5283</v>
      </c>
      <c r="C6123" s="545">
        <v>21</v>
      </c>
      <c r="D6123" s="545">
        <v>7</v>
      </c>
      <c r="E6123" s="545">
        <v>10.666666666666666</v>
      </c>
      <c r="F6123" s="545">
        <v>17.523809523809526</v>
      </c>
      <c r="G6123" s="545">
        <v>14.2</v>
      </c>
      <c r="H6123" s="545">
        <v>11.666666666666666</v>
      </c>
      <c r="I6123" s="545">
        <v>11.333333333333334</v>
      </c>
      <c r="J6123" s="545">
        <v>13.428571428571429</v>
      </c>
    </row>
    <row r="6124" spans="1:10">
      <c r="A6124" s="441">
        <v>7187</v>
      </c>
      <c r="B6124" s="441" t="s">
        <v>5284</v>
      </c>
      <c r="C6124" s="545">
        <v>64.666666666666657</v>
      </c>
      <c r="D6124" s="545">
        <v>34.333333333333329</v>
      </c>
      <c r="E6124" s="545">
        <v>34</v>
      </c>
      <c r="F6124" s="545">
        <v>55.952380952380942</v>
      </c>
      <c r="G6124" s="545">
        <v>63.35</v>
      </c>
      <c r="H6124" s="545">
        <v>42.333333333333336</v>
      </c>
      <c r="I6124" s="545">
        <v>25.666666666666668</v>
      </c>
      <c r="J6124" s="545">
        <v>54.964285714285715</v>
      </c>
    </row>
    <row r="6125" spans="1:10">
      <c r="A6125" s="441">
        <v>7194</v>
      </c>
      <c r="B6125" s="441" t="s">
        <v>5284</v>
      </c>
      <c r="C6125" s="545">
        <v>84.666666666666657</v>
      </c>
      <c r="D6125" s="545">
        <v>70</v>
      </c>
      <c r="E6125" s="545">
        <v>60</v>
      </c>
      <c r="F6125" s="545">
        <v>79.047619047619037</v>
      </c>
      <c r="G6125" s="545">
        <v>50.05</v>
      </c>
      <c r="H6125" s="545">
        <v>38</v>
      </c>
      <c r="I6125" s="545">
        <v>38.333333333333336</v>
      </c>
      <c r="J6125" s="545">
        <v>46.654761904761905</v>
      </c>
    </row>
    <row r="6126" spans="1:10">
      <c r="A6126" s="441">
        <v>5200</v>
      </c>
      <c r="B6126" s="441" t="s">
        <v>5285</v>
      </c>
      <c r="C6126" s="545">
        <v>22.833333333333332</v>
      </c>
      <c r="D6126" s="545">
        <v>12</v>
      </c>
      <c r="E6126" s="545">
        <v>13</v>
      </c>
      <c r="F6126" s="545">
        <v>19.88095238095238</v>
      </c>
      <c r="G6126" s="545">
        <v>13.2</v>
      </c>
      <c r="H6126" s="545">
        <v>11.333333333333334</v>
      </c>
      <c r="I6126" s="545">
        <v>8.6666666666666661</v>
      </c>
      <c r="J6126" s="545">
        <v>12.285714285714286</v>
      </c>
    </row>
    <row r="6127" spans="1:10">
      <c r="A6127" s="441">
        <v>5195</v>
      </c>
      <c r="B6127" s="441" t="s">
        <v>5286</v>
      </c>
      <c r="C6127" s="545">
        <v>3.8333333333333335</v>
      </c>
      <c r="D6127" s="545">
        <v>0.66666666666666663</v>
      </c>
      <c r="E6127" s="545">
        <v>1</v>
      </c>
      <c r="F6127" s="545">
        <v>2.9761904761904767</v>
      </c>
      <c r="G6127" s="545">
        <v>3.3</v>
      </c>
      <c r="H6127" s="545">
        <v>3</v>
      </c>
      <c r="I6127" s="545">
        <v>0</v>
      </c>
      <c r="J6127" s="545">
        <v>2.7857142857142856</v>
      </c>
    </row>
    <row r="6128" spans="1:10">
      <c r="A6128" s="441">
        <v>5204</v>
      </c>
      <c r="B6128" s="441" t="s">
        <v>5286</v>
      </c>
      <c r="C6128" s="545">
        <v>7</v>
      </c>
      <c r="D6128" s="545">
        <v>4.6666666666666661</v>
      </c>
      <c r="E6128" s="545">
        <v>2.666666666666667</v>
      </c>
      <c r="F6128" s="545">
        <v>6.0476190476190466</v>
      </c>
      <c r="G6128" s="545">
        <v>4.25</v>
      </c>
      <c r="H6128" s="545">
        <v>3.3333333333333335</v>
      </c>
      <c r="I6128" s="545">
        <v>0.33333333333333331</v>
      </c>
      <c r="J6128" s="545">
        <v>3.5595238095238093</v>
      </c>
    </row>
    <row r="6129" spans="1:10">
      <c r="A6129" s="441">
        <v>5205</v>
      </c>
      <c r="B6129" s="441" t="s">
        <v>5287</v>
      </c>
      <c r="C6129" s="545">
        <v>6.5</v>
      </c>
      <c r="D6129" s="545">
        <v>3</v>
      </c>
      <c r="E6129" s="545">
        <v>3.3333333333333335</v>
      </c>
      <c r="F6129" s="545">
        <v>5.5476190476190483</v>
      </c>
      <c r="G6129" s="545">
        <v>7.5</v>
      </c>
      <c r="H6129" s="545">
        <v>5</v>
      </c>
      <c r="I6129" s="545">
        <v>4.666666666666667</v>
      </c>
      <c r="J6129" s="545">
        <v>6.7380952380952381</v>
      </c>
    </row>
    <row r="6130" spans="1:10">
      <c r="A6130" s="441">
        <v>2970</v>
      </c>
      <c r="B6130" s="441" t="s">
        <v>5288</v>
      </c>
      <c r="C6130" s="545">
        <v>159.16666666666666</v>
      </c>
      <c r="D6130" s="545">
        <v>86.666666666666657</v>
      </c>
      <c r="E6130" s="545">
        <v>77.333333333333329</v>
      </c>
      <c r="F6130" s="545">
        <v>137.11904761904762</v>
      </c>
      <c r="G6130" s="545">
        <v>94.5</v>
      </c>
      <c r="H6130" s="545">
        <v>74.333333333333329</v>
      </c>
      <c r="I6130" s="545">
        <v>63.333333333333336</v>
      </c>
      <c r="J6130" s="545">
        <v>87.166666666666671</v>
      </c>
    </row>
    <row r="6131" spans="1:10">
      <c r="A6131" s="441">
        <v>2976</v>
      </c>
      <c r="B6131" s="441" t="s">
        <v>5288</v>
      </c>
      <c r="C6131" s="545">
        <v>146.83333333333331</v>
      </c>
      <c r="D6131" s="545">
        <v>100.33333333333334</v>
      </c>
      <c r="E6131" s="545">
        <v>89</v>
      </c>
      <c r="F6131" s="545">
        <v>131.92857142857142</v>
      </c>
      <c r="G6131" s="545">
        <v>89.8</v>
      </c>
      <c r="H6131" s="545">
        <v>60.666666666666664</v>
      </c>
      <c r="I6131" s="545">
        <v>64</v>
      </c>
      <c r="J6131" s="545">
        <v>81.952380952380963</v>
      </c>
    </row>
    <row r="6132" spans="1:10">
      <c r="A6132" s="441">
        <v>5550</v>
      </c>
      <c r="B6132" s="441" t="s">
        <v>5289</v>
      </c>
      <c r="C6132" s="545">
        <v>11.166666666666666</v>
      </c>
      <c r="D6132" s="545">
        <v>8.6666666666666679</v>
      </c>
      <c r="E6132" s="545">
        <v>4.666666666666667</v>
      </c>
      <c r="F6132" s="545">
        <v>9.8809523809523814</v>
      </c>
      <c r="G6132" s="545">
        <v>10.1</v>
      </c>
      <c r="H6132" s="545">
        <v>7.333333333333333</v>
      </c>
      <c r="I6132" s="545">
        <v>6.666666666666667</v>
      </c>
      <c r="J6132" s="545">
        <v>9.2142857142857135</v>
      </c>
    </row>
    <row r="6133" spans="1:10">
      <c r="A6133" s="441">
        <v>6598</v>
      </c>
      <c r="B6133" s="441" t="s">
        <v>5289</v>
      </c>
      <c r="C6133" s="545">
        <v>11</v>
      </c>
      <c r="D6133" s="545">
        <v>12.666666666666668</v>
      </c>
      <c r="E6133" s="545">
        <v>7.666666666666667</v>
      </c>
      <c r="F6133" s="545">
        <v>10.761904761904763</v>
      </c>
      <c r="G6133" s="545">
        <v>9.6999999999999993</v>
      </c>
      <c r="H6133" s="545">
        <v>5.666666666666667</v>
      </c>
      <c r="I6133" s="545">
        <v>5</v>
      </c>
      <c r="J6133" s="545">
        <v>8.4523809523809526</v>
      </c>
    </row>
    <row r="6134" spans="1:10">
      <c r="A6134" s="441">
        <v>2969</v>
      </c>
      <c r="B6134" s="441" t="s">
        <v>5290</v>
      </c>
      <c r="C6134" s="545">
        <v>13.833333333333334</v>
      </c>
      <c r="D6134" s="545">
        <v>10</v>
      </c>
      <c r="E6134" s="545">
        <v>5.666666666666667</v>
      </c>
      <c r="F6134" s="545">
        <v>12.11904761904762</v>
      </c>
      <c r="G6134" s="545">
        <v>15.55</v>
      </c>
      <c r="H6134" s="545">
        <v>18</v>
      </c>
      <c r="I6134" s="545">
        <v>14.666666666666666</v>
      </c>
      <c r="J6134" s="545">
        <v>15.773809523809524</v>
      </c>
    </row>
    <row r="6135" spans="1:10">
      <c r="A6135" s="441">
        <v>5196</v>
      </c>
      <c r="B6135" s="441" t="s">
        <v>5291</v>
      </c>
      <c r="C6135" s="545">
        <v>10.5</v>
      </c>
      <c r="D6135" s="545">
        <v>2</v>
      </c>
      <c r="E6135" s="545">
        <v>1.6666666666666667</v>
      </c>
      <c r="F6135" s="545">
        <v>8.0238095238095237</v>
      </c>
      <c r="G6135" s="545">
        <v>3.6</v>
      </c>
      <c r="H6135" s="545">
        <v>2.6666666666666665</v>
      </c>
      <c r="I6135" s="545">
        <v>0.33333333333333331</v>
      </c>
      <c r="J6135" s="545">
        <v>3</v>
      </c>
    </row>
    <row r="6136" spans="1:10">
      <c r="A6136" s="441">
        <v>5203</v>
      </c>
      <c r="B6136" s="441" t="s">
        <v>5291</v>
      </c>
      <c r="C6136" s="545">
        <v>8.3333333333333339</v>
      </c>
      <c r="D6136" s="545">
        <v>4</v>
      </c>
      <c r="E6136" s="545">
        <v>3</v>
      </c>
      <c r="F6136" s="545">
        <v>6.9523809523809534</v>
      </c>
      <c r="G6136" s="545">
        <v>4</v>
      </c>
      <c r="H6136" s="545">
        <v>1</v>
      </c>
      <c r="I6136" s="545">
        <v>0</v>
      </c>
      <c r="J6136" s="545">
        <v>3</v>
      </c>
    </row>
    <row r="6137" spans="1:10">
      <c r="A6137" s="441">
        <v>9025</v>
      </c>
      <c r="B6137" s="441" t="s">
        <v>5292</v>
      </c>
      <c r="C6137" s="545">
        <v>135.16666666666666</v>
      </c>
      <c r="D6137" s="545">
        <v>84.666666666666657</v>
      </c>
      <c r="E6137" s="545">
        <v>70</v>
      </c>
      <c r="F6137" s="545">
        <v>118.64285714285712</v>
      </c>
      <c r="G6137" s="545">
        <v>124.1</v>
      </c>
      <c r="H6137" s="545">
        <v>86.333333333333329</v>
      </c>
      <c r="I6137" s="545">
        <v>62.333333333333336</v>
      </c>
      <c r="J6137" s="545">
        <v>109.88095238095239</v>
      </c>
    </row>
    <row r="6138" spans="1:10">
      <c r="A6138" s="441">
        <v>9044</v>
      </c>
      <c r="B6138" s="441" t="s">
        <v>5292</v>
      </c>
      <c r="C6138" s="545">
        <v>144</v>
      </c>
      <c r="D6138" s="545">
        <v>87.333333333333329</v>
      </c>
      <c r="E6138" s="545">
        <v>79</v>
      </c>
      <c r="F6138" s="545">
        <v>126.61904761904762</v>
      </c>
      <c r="G6138" s="545">
        <v>121.2</v>
      </c>
      <c r="H6138" s="545">
        <v>78.333333333333329</v>
      </c>
      <c r="I6138" s="545">
        <v>68</v>
      </c>
      <c r="J6138" s="545">
        <v>107.47619047619048</v>
      </c>
    </row>
    <row r="6139" spans="1:10">
      <c r="A6139" s="441">
        <v>7186</v>
      </c>
      <c r="B6139" s="441" t="s">
        <v>5293</v>
      </c>
      <c r="C6139" s="545">
        <v>36.166666666666671</v>
      </c>
      <c r="D6139" s="545">
        <v>51.333333333333329</v>
      </c>
      <c r="E6139" s="545">
        <v>35.666666666666664</v>
      </c>
      <c r="F6139" s="545">
        <v>38.261904761904766</v>
      </c>
      <c r="G6139" s="545">
        <v>78.849999999999994</v>
      </c>
      <c r="H6139" s="545">
        <v>71.333333333333329</v>
      </c>
      <c r="I6139" s="545">
        <v>59.666666666666664</v>
      </c>
      <c r="J6139" s="545">
        <v>75.035714285714292</v>
      </c>
    </row>
    <row r="6140" spans="1:10">
      <c r="A6140" s="441">
        <v>7195</v>
      </c>
      <c r="B6140" s="441" t="s">
        <v>5293</v>
      </c>
      <c r="C6140" s="545">
        <v>16.333333333333336</v>
      </c>
      <c r="D6140" s="545">
        <v>17.333333333333336</v>
      </c>
      <c r="E6140" s="545">
        <v>10.333333333333332</v>
      </c>
      <c r="F6140" s="545">
        <v>15.619047619047622</v>
      </c>
      <c r="G6140" s="545">
        <v>58.5</v>
      </c>
      <c r="H6140" s="545">
        <v>50</v>
      </c>
      <c r="I6140" s="545">
        <v>51.333333333333336</v>
      </c>
      <c r="J6140" s="545">
        <v>56.261904761904759</v>
      </c>
    </row>
    <row r="6141" spans="1:10">
      <c r="A6141" s="441">
        <v>7966</v>
      </c>
      <c r="B6141" s="441" t="s">
        <v>5294</v>
      </c>
      <c r="C6141" s="545">
        <v>120.5</v>
      </c>
      <c r="D6141" s="545">
        <v>87</v>
      </c>
      <c r="E6141" s="545">
        <v>62.333333333333329</v>
      </c>
      <c r="F6141" s="545">
        <v>107.40476190476191</v>
      </c>
      <c r="G6141" s="545">
        <v>103.3</v>
      </c>
      <c r="H6141" s="545">
        <v>60.666666666666664</v>
      </c>
      <c r="I6141" s="545">
        <v>54.333333333333336</v>
      </c>
      <c r="J6141" s="545">
        <v>90.214285714285708</v>
      </c>
    </row>
    <row r="6142" spans="1:10">
      <c r="A6142" s="441">
        <v>7967</v>
      </c>
      <c r="B6142" s="441" t="s">
        <v>5294</v>
      </c>
      <c r="C6142" s="545">
        <v>132</v>
      </c>
      <c r="D6142" s="545">
        <v>86</v>
      </c>
      <c r="E6142" s="545">
        <v>68</v>
      </c>
      <c r="F6142" s="545">
        <v>116.28571428571429</v>
      </c>
      <c r="G6142" s="545">
        <v>101.95</v>
      </c>
      <c r="H6142" s="545">
        <v>69.333333333333329</v>
      </c>
      <c r="I6142" s="545">
        <v>64.333333333333329</v>
      </c>
      <c r="J6142" s="545">
        <v>91.916666666666671</v>
      </c>
    </row>
    <row r="6143" spans="1:10">
      <c r="A6143" s="441">
        <v>7968</v>
      </c>
      <c r="B6143" s="441" t="s">
        <v>5294</v>
      </c>
      <c r="C6143" s="545">
        <v>9.8333333333333339</v>
      </c>
      <c r="D6143" s="545">
        <v>2.6666666666666665</v>
      </c>
      <c r="E6143" s="545">
        <v>1.6666666666666665</v>
      </c>
      <c r="F6143" s="545">
        <v>7.6428571428571432</v>
      </c>
      <c r="G6143" s="545">
        <v>6.3</v>
      </c>
      <c r="H6143" s="545">
        <v>0.66666666666666663</v>
      </c>
      <c r="I6143" s="545">
        <v>1.6666666666666667</v>
      </c>
      <c r="J6143" s="545">
        <v>4.833333333333333</v>
      </c>
    </row>
    <row r="6144" spans="1:10">
      <c r="A6144" s="441">
        <v>8986</v>
      </c>
      <c r="B6144" s="441" t="s">
        <v>5294</v>
      </c>
      <c r="C6144" s="545">
        <v>5.8333333333333339</v>
      </c>
      <c r="D6144" s="545">
        <v>1.6666666666666665</v>
      </c>
      <c r="E6144" s="545">
        <v>1.3333333333333333</v>
      </c>
      <c r="F6144" s="545">
        <v>4.5952380952380958</v>
      </c>
      <c r="G6144" s="545">
        <v>4.9000000000000004</v>
      </c>
      <c r="H6144" s="545">
        <v>3.6666666666666665</v>
      </c>
      <c r="I6144" s="545">
        <v>2.6666666666666665</v>
      </c>
      <c r="J6144" s="545">
        <v>4.4047619047619051</v>
      </c>
    </row>
    <row r="6145" spans="1:10">
      <c r="A6145" s="441">
        <v>2971</v>
      </c>
      <c r="B6145" s="441" t="s">
        <v>5295</v>
      </c>
      <c r="C6145" s="545">
        <v>12.333333333333334</v>
      </c>
      <c r="D6145" s="545">
        <v>12</v>
      </c>
      <c r="E6145" s="545">
        <v>9.6666666666666679</v>
      </c>
      <c r="F6145" s="545">
        <v>11.904761904761907</v>
      </c>
      <c r="G6145" s="545">
        <v>13.95</v>
      </c>
      <c r="H6145" s="545">
        <v>8</v>
      </c>
      <c r="I6145" s="545">
        <v>6.666666666666667</v>
      </c>
      <c r="J6145" s="545">
        <v>12.05952380952381</v>
      </c>
    </row>
    <row r="6146" spans="1:10">
      <c r="A6146" s="441">
        <v>11584</v>
      </c>
      <c r="B6146" s="441" t="s">
        <v>5296</v>
      </c>
      <c r="C6146" s="545">
        <v>3.5</v>
      </c>
      <c r="D6146" s="545">
        <v>2</v>
      </c>
      <c r="E6146" s="545">
        <v>3</v>
      </c>
      <c r="F6146" s="545">
        <v>3.2142857142857144</v>
      </c>
      <c r="G6146" s="545">
        <v>4.1500000000000004</v>
      </c>
      <c r="H6146" s="545">
        <v>2</v>
      </c>
      <c r="I6146" s="545">
        <v>3.3333333333333335</v>
      </c>
      <c r="J6146" s="545">
        <v>3.7261904761904758</v>
      </c>
    </row>
    <row r="6147" spans="1:10">
      <c r="A6147" s="441">
        <v>9022</v>
      </c>
      <c r="B6147" s="441" t="s">
        <v>5297</v>
      </c>
      <c r="C6147" s="545">
        <v>218</v>
      </c>
      <c r="D6147" s="545">
        <v>125.66666666666666</v>
      </c>
      <c r="E6147" s="545">
        <v>104.33333333333334</v>
      </c>
      <c r="F6147" s="545">
        <v>188.57142857142858</v>
      </c>
      <c r="G6147" s="545">
        <v>196.65</v>
      </c>
      <c r="H6147" s="545">
        <v>132.33333333333334</v>
      </c>
      <c r="I6147" s="545">
        <v>107.66666666666667</v>
      </c>
      <c r="J6147" s="545">
        <v>174.75</v>
      </c>
    </row>
    <row r="6148" spans="1:10">
      <c r="A6148" s="441">
        <v>7970</v>
      </c>
      <c r="B6148" s="441" t="s">
        <v>5298</v>
      </c>
      <c r="C6148" s="545">
        <v>55.166666666666664</v>
      </c>
      <c r="D6148" s="545">
        <v>41.666666666666664</v>
      </c>
      <c r="E6148" s="545">
        <v>28.666666666666664</v>
      </c>
      <c r="F6148" s="545">
        <v>49.452380952380956</v>
      </c>
      <c r="G6148" s="545">
        <v>49.25</v>
      </c>
      <c r="H6148" s="545">
        <v>43</v>
      </c>
      <c r="I6148" s="545">
        <v>39.666666666666664</v>
      </c>
      <c r="J6148" s="545">
        <v>46.988095238095241</v>
      </c>
    </row>
    <row r="6149" spans="1:10">
      <c r="A6149" s="441">
        <v>11582</v>
      </c>
      <c r="B6149" s="441" t="s">
        <v>5298</v>
      </c>
      <c r="C6149" s="545">
        <v>53.5</v>
      </c>
      <c r="D6149" s="545">
        <v>39</v>
      </c>
      <c r="E6149" s="545">
        <v>26</v>
      </c>
      <c r="F6149" s="545">
        <v>47.5</v>
      </c>
      <c r="G6149" s="545">
        <v>43.9</v>
      </c>
      <c r="H6149" s="545">
        <v>37.666666666666664</v>
      </c>
      <c r="I6149" s="545">
        <v>36</v>
      </c>
      <c r="J6149" s="545">
        <v>41.880952380952387</v>
      </c>
    </row>
    <row r="6150" spans="1:10">
      <c r="A6150" s="441">
        <v>7188</v>
      </c>
      <c r="B6150" s="441" t="s">
        <v>5299</v>
      </c>
      <c r="C6150" s="545">
        <v>170.83333333333331</v>
      </c>
      <c r="D6150" s="545">
        <v>131.33333333333334</v>
      </c>
      <c r="E6150" s="545">
        <v>110.33333333333334</v>
      </c>
      <c r="F6150" s="545">
        <v>156.54761904761904</v>
      </c>
      <c r="G6150" s="545">
        <v>112.05</v>
      </c>
      <c r="H6150" s="545">
        <v>89</v>
      </c>
      <c r="I6150" s="545">
        <v>90.333333333333329</v>
      </c>
      <c r="J6150" s="545">
        <v>105.65476190476191</v>
      </c>
    </row>
    <row r="6151" spans="1:10">
      <c r="A6151" s="441">
        <v>7192</v>
      </c>
      <c r="B6151" s="441" t="s">
        <v>5299</v>
      </c>
      <c r="C6151" s="545">
        <v>31.166666666666664</v>
      </c>
      <c r="D6151" s="545">
        <v>25.333333333333336</v>
      </c>
      <c r="E6151" s="545">
        <v>15.666666666666666</v>
      </c>
      <c r="F6151" s="545">
        <v>28.119047619047617</v>
      </c>
      <c r="G6151" s="545">
        <v>32.549999999999997</v>
      </c>
      <c r="H6151" s="545">
        <v>18.333333333333332</v>
      </c>
      <c r="I6151" s="545">
        <v>26.666666666666668</v>
      </c>
      <c r="J6151" s="545">
        <v>29.678571428571427</v>
      </c>
    </row>
    <row r="6152" spans="1:10">
      <c r="A6152" s="441">
        <v>7884</v>
      </c>
      <c r="B6152" s="441" t="s">
        <v>5300</v>
      </c>
      <c r="C6152" s="545">
        <v>200.5</v>
      </c>
      <c r="D6152" s="545">
        <v>159</v>
      </c>
      <c r="E6152" s="545">
        <v>109.66666666666666</v>
      </c>
      <c r="F6152" s="545">
        <v>181.5952380952381</v>
      </c>
      <c r="G6152" s="545">
        <v>84.05</v>
      </c>
      <c r="H6152" s="545">
        <v>58.666666666666664</v>
      </c>
      <c r="I6152" s="545">
        <v>51.333333333333336</v>
      </c>
      <c r="J6152" s="545">
        <v>75.75</v>
      </c>
    </row>
    <row r="6153" spans="1:10">
      <c r="A6153" s="441">
        <v>2963</v>
      </c>
      <c r="B6153" s="441" t="s">
        <v>5301</v>
      </c>
      <c r="C6153" s="545">
        <v>132.33333333333334</v>
      </c>
      <c r="D6153" s="545">
        <v>87.666666666666671</v>
      </c>
      <c r="E6153" s="545">
        <v>96.666666666666671</v>
      </c>
      <c r="F6153" s="545">
        <v>120.85714285714286</v>
      </c>
      <c r="G6153" s="545">
        <v>113.25</v>
      </c>
      <c r="H6153" s="545">
        <v>96.333333333333329</v>
      </c>
      <c r="I6153" s="545">
        <v>73.333333333333329</v>
      </c>
      <c r="J6153" s="545">
        <v>105.13095238095239</v>
      </c>
    </row>
    <row r="6154" spans="1:10">
      <c r="A6154" s="441">
        <v>2983</v>
      </c>
      <c r="B6154" s="441" t="s">
        <v>5301</v>
      </c>
      <c r="C6154" s="545">
        <v>132.5</v>
      </c>
      <c r="D6154" s="545">
        <v>95.333333333333343</v>
      </c>
      <c r="E6154" s="545">
        <v>94.333333333333329</v>
      </c>
      <c r="F6154" s="545">
        <v>121.73809523809526</v>
      </c>
      <c r="G6154" s="545">
        <v>101.6</v>
      </c>
      <c r="H6154" s="545">
        <v>84.333333333333329</v>
      </c>
      <c r="I6154" s="545">
        <v>76.666666666666671</v>
      </c>
      <c r="J6154" s="545">
        <v>95.571428571428569</v>
      </c>
    </row>
    <row r="6155" spans="1:10">
      <c r="A6155" s="441">
        <v>7193</v>
      </c>
      <c r="B6155" s="441" t="s">
        <v>5302</v>
      </c>
      <c r="C6155" s="545">
        <v>178.16666666666669</v>
      </c>
      <c r="D6155" s="545">
        <v>127</v>
      </c>
      <c r="E6155" s="545">
        <v>112.66666666666667</v>
      </c>
      <c r="F6155" s="545">
        <v>161.50000000000003</v>
      </c>
      <c r="G6155" s="545">
        <v>125.05</v>
      </c>
      <c r="H6155" s="545">
        <v>106</v>
      </c>
      <c r="I6155" s="545">
        <v>89.333333333333329</v>
      </c>
      <c r="J6155" s="545">
        <v>117.22619047619048</v>
      </c>
    </row>
    <row r="6156" spans="1:10">
      <c r="A6156" s="441">
        <v>9050</v>
      </c>
      <c r="B6156" s="441" t="s">
        <v>5303</v>
      </c>
      <c r="C6156" s="545">
        <v>13.5</v>
      </c>
      <c r="D6156" s="545">
        <v>1.6666666666666667</v>
      </c>
      <c r="E6156" s="545">
        <v>0.66666666666666663</v>
      </c>
      <c r="F6156" s="545">
        <v>9.9761904761904781</v>
      </c>
      <c r="G6156" s="545">
        <v>8.85</v>
      </c>
      <c r="H6156" s="545">
        <v>1.6666666666666667</v>
      </c>
      <c r="I6156" s="545">
        <v>2</v>
      </c>
      <c r="J6156" s="545">
        <v>6.8452380952380949</v>
      </c>
    </row>
    <row r="6157" spans="1:10">
      <c r="A6157" s="441">
        <v>7955</v>
      </c>
      <c r="B6157" s="441" t="s">
        <v>5304</v>
      </c>
      <c r="C6157" s="545">
        <v>33.166666666666664</v>
      </c>
      <c r="D6157" s="545">
        <v>14</v>
      </c>
      <c r="E6157" s="545">
        <v>10.666666666666666</v>
      </c>
      <c r="F6157" s="545">
        <v>27.214285714285712</v>
      </c>
      <c r="G6157" s="545">
        <v>26.7</v>
      </c>
      <c r="H6157" s="545">
        <v>19</v>
      </c>
      <c r="I6157" s="545">
        <v>8</v>
      </c>
      <c r="J6157" s="545">
        <v>22.928571428571427</v>
      </c>
    </row>
    <row r="6158" spans="1:10">
      <c r="A6158" s="441">
        <v>7973</v>
      </c>
      <c r="B6158" s="441" t="s">
        <v>5304</v>
      </c>
      <c r="C6158" s="545">
        <v>27.666666666666668</v>
      </c>
      <c r="D6158" s="545">
        <v>13.666666666666668</v>
      </c>
      <c r="E6158" s="545">
        <v>10</v>
      </c>
      <c r="F6158" s="545">
        <v>23.142857142857142</v>
      </c>
      <c r="G6158" s="545">
        <v>24.65</v>
      </c>
      <c r="H6158" s="545">
        <v>11.333333333333334</v>
      </c>
      <c r="I6158" s="545">
        <v>7.666666666666667</v>
      </c>
      <c r="J6158" s="545">
        <v>20.321428571428573</v>
      </c>
    </row>
    <row r="6159" spans="1:10">
      <c r="A6159" s="441">
        <v>2972</v>
      </c>
      <c r="B6159" s="441" t="s">
        <v>5305</v>
      </c>
      <c r="C6159" s="545">
        <v>10.5</v>
      </c>
      <c r="D6159" s="545">
        <v>4.333333333333333</v>
      </c>
      <c r="E6159" s="545">
        <v>4.6666666666666661</v>
      </c>
      <c r="F6159" s="545">
        <v>8.7857142857142865</v>
      </c>
      <c r="G6159" s="545">
        <v>0.45</v>
      </c>
      <c r="H6159" s="545">
        <v>1.6666666666666667</v>
      </c>
      <c r="I6159" s="545">
        <v>0.33333333333333331</v>
      </c>
      <c r="J6159" s="545">
        <v>0.6071428571428571</v>
      </c>
    </row>
    <row r="6160" spans="1:10">
      <c r="A6160" s="441">
        <v>2975</v>
      </c>
      <c r="B6160" s="441" t="s">
        <v>5305</v>
      </c>
      <c r="C6160" s="545">
        <v>31.166666666666668</v>
      </c>
      <c r="D6160" s="545">
        <v>10.666666666666666</v>
      </c>
      <c r="E6160" s="545">
        <v>9.6666666666666679</v>
      </c>
      <c r="F6160" s="545">
        <v>25.166666666666664</v>
      </c>
      <c r="G6160" s="545">
        <v>15.05</v>
      </c>
      <c r="H6160" s="545">
        <v>6.666666666666667</v>
      </c>
      <c r="I6160" s="545">
        <v>3.3333333333333335</v>
      </c>
      <c r="J6160" s="545">
        <v>12.178571428571429</v>
      </c>
    </row>
    <row r="6161" spans="1:10">
      <c r="A6161" s="441">
        <v>5197</v>
      </c>
      <c r="B6161" s="441" t="s">
        <v>5306</v>
      </c>
      <c r="C6161" s="545">
        <v>11.166666666666666</v>
      </c>
      <c r="D6161" s="545">
        <v>1.6666666666666665</v>
      </c>
      <c r="E6161" s="545">
        <v>0.33333333333333331</v>
      </c>
      <c r="F6161" s="545">
        <v>8.261904761904761</v>
      </c>
      <c r="G6161" s="545">
        <v>2.65</v>
      </c>
      <c r="H6161" s="545">
        <v>2.3333333333333335</v>
      </c>
      <c r="I6161" s="545">
        <v>0.66666666666666663</v>
      </c>
      <c r="J6161" s="545">
        <v>2.3214285714285716</v>
      </c>
    </row>
    <row r="6162" spans="1:10">
      <c r="A6162" s="441">
        <v>5202</v>
      </c>
      <c r="B6162" s="441" t="s">
        <v>5306</v>
      </c>
      <c r="C6162" s="545">
        <v>1.6666666666666667</v>
      </c>
      <c r="D6162" s="545">
        <v>0.66666666666666663</v>
      </c>
      <c r="E6162" s="545">
        <v>0</v>
      </c>
      <c r="F6162" s="545">
        <v>1.2857142857142858</v>
      </c>
      <c r="G6162" s="545">
        <v>1.75</v>
      </c>
      <c r="H6162" s="545">
        <v>2</v>
      </c>
      <c r="I6162" s="545">
        <v>1.6666666666666667</v>
      </c>
      <c r="J6162" s="545">
        <v>1.7738095238095237</v>
      </c>
    </row>
    <row r="6163" spans="1:10">
      <c r="A6163" s="441">
        <v>9032</v>
      </c>
      <c r="B6163" s="441" t="s">
        <v>5307</v>
      </c>
      <c r="C6163" s="545">
        <v>5.833333333333333</v>
      </c>
      <c r="D6163" s="545">
        <v>2.666666666666667</v>
      </c>
      <c r="E6163" s="545">
        <v>5.6666666666666661</v>
      </c>
      <c r="F6163" s="545">
        <v>5.3571428571428568</v>
      </c>
      <c r="G6163" s="545">
        <v>9.0500000000000007</v>
      </c>
      <c r="H6163" s="545">
        <v>6</v>
      </c>
      <c r="I6163" s="545">
        <v>3</v>
      </c>
      <c r="J6163" s="545">
        <v>7.75</v>
      </c>
    </row>
    <row r="6164" spans="1:10">
      <c r="A6164" s="441">
        <v>9036</v>
      </c>
      <c r="B6164" s="441" t="s">
        <v>5307</v>
      </c>
      <c r="C6164" s="545">
        <v>11.666666666666668</v>
      </c>
      <c r="D6164" s="545">
        <v>3.333333333333333</v>
      </c>
      <c r="E6164" s="545">
        <v>4.6666666666666661</v>
      </c>
      <c r="F6164" s="545">
        <v>9.4761904761904781</v>
      </c>
      <c r="G6164" s="545">
        <v>9</v>
      </c>
      <c r="H6164" s="545">
        <v>4.333333333333333</v>
      </c>
      <c r="I6164" s="545">
        <v>6</v>
      </c>
      <c r="J6164" s="545">
        <v>7.9047619047619051</v>
      </c>
    </row>
    <row r="6165" spans="1:10">
      <c r="A6165" s="441">
        <v>9023</v>
      </c>
      <c r="B6165" s="441" t="s">
        <v>5308</v>
      </c>
      <c r="C6165" s="545">
        <v>35.666666666666664</v>
      </c>
      <c r="D6165" s="545">
        <v>14</v>
      </c>
      <c r="E6165" s="545">
        <v>18.666666666666664</v>
      </c>
      <c r="F6165" s="545">
        <v>30.142857142857139</v>
      </c>
      <c r="G6165" s="545">
        <v>43.2</v>
      </c>
      <c r="H6165" s="545">
        <v>25</v>
      </c>
      <c r="I6165" s="545">
        <v>19.666666666666668</v>
      </c>
      <c r="J6165" s="545">
        <v>37.238095238095241</v>
      </c>
    </row>
    <row r="6166" spans="1:10">
      <c r="A6166" s="441">
        <v>9046</v>
      </c>
      <c r="B6166" s="441" t="s">
        <v>5308</v>
      </c>
      <c r="C6166" s="545">
        <v>42.333333333333336</v>
      </c>
      <c r="D6166" s="545">
        <v>22.333333333333332</v>
      </c>
      <c r="E6166" s="545">
        <v>19</v>
      </c>
      <c r="F6166" s="545">
        <v>36.142857142857146</v>
      </c>
      <c r="G6166" s="545">
        <v>39.85</v>
      </c>
      <c r="H6166" s="545">
        <v>26.333333333333332</v>
      </c>
      <c r="I6166" s="545">
        <v>22</v>
      </c>
      <c r="J6166" s="545">
        <v>35.36904761904762</v>
      </c>
    </row>
    <row r="6167" spans="1:10">
      <c r="A6167" s="441">
        <v>539</v>
      </c>
      <c r="B6167" s="441" t="s">
        <v>5309</v>
      </c>
      <c r="C6167" s="545">
        <v>98.5</v>
      </c>
      <c r="D6167" s="545">
        <v>62</v>
      </c>
      <c r="E6167" s="545">
        <v>88.333333333333329</v>
      </c>
      <c r="F6167" s="545">
        <v>91.833333333333343</v>
      </c>
      <c r="G6167" s="545">
        <v>48</v>
      </c>
      <c r="H6167" s="545">
        <v>31.333333333333332</v>
      </c>
      <c r="I6167" s="545">
        <v>61.666666666666664</v>
      </c>
      <c r="J6167" s="545">
        <v>47.571428571428569</v>
      </c>
    </row>
    <row r="6168" spans="1:10">
      <c r="A6168" s="441">
        <v>699</v>
      </c>
      <c r="B6168" s="441" t="s">
        <v>5309</v>
      </c>
      <c r="C6168" s="545">
        <v>145</v>
      </c>
      <c r="D6168" s="545">
        <v>62</v>
      </c>
      <c r="E6168" s="545">
        <v>124</v>
      </c>
      <c r="F6168" s="545">
        <v>130.14285714285714</v>
      </c>
      <c r="G6168" s="545">
        <v>68.05</v>
      </c>
      <c r="H6168" s="545">
        <v>31.666666666666668</v>
      </c>
      <c r="I6168" s="545">
        <v>76</v>
      </c>
      <c r="J6168" s="545">
        <v>63.988095238095241</v>
      </c>
    </row>
    <row r="6169" spans="1:10">
      <c r="A6169" s="441">
        <v>9341</v>
      </c>
      <c r="B6169" s="441" t="s">
        <v>5310</v>
      </c>
      <c r="C6169" s="545">
        <v>42.666666666666671</v>
      </c>
      <c r="D6169" s="545">
        <v>25.666666666666668</v>
      </c>
      <c r="E6169" s="545">
        <v>20.333333333333332</v>
      </c>
      <c r="F6169" s="545">
        <v>37.047619047619051</v>
      </c>
      <c r="G6169" s="545">
        <v>33.299999999999997</v>
      </c>
      <c r="H6169" s="545">
        <v>21</v>
      </c>
      <c r="I6169" s="545">
        <v>26.333333333333332</v>
      </c>
      <c r="J6169" s="545">
        <v>30.547619047619047</v>
      </c>
    </row>
    <row r="6170" spans="1:10">
      <c r="A6170" s="441">
        <v>8247</v>
      </c>
      <c r="B6170" s="441" t="s">
        <v>5311</v>
      </c>
      <c r="C6170" s="545">
        <v>56</v>
      </c>
      <c r="D6170" s="545">
        <v>24</v>
      </c>
      <c r="E6170" s="545">
        <v>18</v>
      </c>
      <c r="F6170" s="545">
        <v>46</v>
      </c>
      <c r="G6170" s="545">
        <v>44.4</v>
      </c>
      <c r="H6170" s="545">
        <v>16</v>
      </c>
      <c r="I6170" s="545">
        <v>13</v>
      </c>
      <c r="J6170" s="545">
        <v>35.857142857142854</v>
      </c>
    </row>
    <row r="6171" spans="1:10">
      <c r="A6171" s="441">
        <v>9016</v>
      </c>
      <c r="B6171" s="441" t="s">
        <v>5311</v>
      </c>
      <c r="C6171" s="545">
        <v>50.5</v>
      </c>
      <c r="D6171" s="545">
        <v>27.333333333333336</v>
      </c>
      <c r="E6171" s="545">
        <v>12.333333333333334</v>
      </c>
      <c r="F6171" s="545">
        <v>41.738095238095234</v>
      </c>
      <c r="G6171" s="545">
        <v>60.75</v>
      </c>
      <c r="H6171" s="545">
        <v>20.666666666666668</v>
      </c>
      <c r="I6171" s="545">
        <v>15.333333333333334</v>
      </c>
      <c r="J6171" s="545">
        <v>48.535714285714285</v>
      </c>
    </row>
    <row r="6172" spans="1:10">
      <c r="A6172" s="441">
        <v>9051</v>
      </c>
      <c r="B6172" s="441" t="s">
        <v>5311</v>
      </c>
      <c r="C6172" s="545">
        <v>99</v>
      </c>
      <c r="D6172" s="545">
        <v>92.333333333333329</v>
      </c>
      <c r="E6172" s="545">
        <v>82.666666666666671</v>
      </c>
      <c r="F6172" s="545">
        <v>95.714285714285708</v>
      </c>
      <c r="G6172" s="545">
        <v>89.2</v>
      </c>
      <c r="H6172" s="545">
        <v>88.666666666666671</v>
      </c>
      <c r="I6172" s="545">
        <v>84.333333333333329</v>
      </c>
      <c r="J6172" s="545">
        <v>88.428571428571431</v>
      </c>
    </row>
    <row r="6173" spans="1:10">
      <c r="A6173" s="441">
        <v>9052</v>
      </c>
      <c r="B6173" s="441" t="s">
        <v>5312</v>
      </c>
      <c r="C6173" s="545">
        <v>41.166666666666664</v>
      </c>
      <c r="D6173" s="545">
        <v>28</v>
      </c>
      <c r="E6173" s="545">
        <v>20.333333333333336</v>
      </c>
      <c r="F6173" s="545">
        <v>36.30952380952381</v>
      </c>
      <c r="G6173" s="545">
        <v>75.400000000000006</v>
      </c>
      <c r="H6173" s="545">
        <v>63</v>
      </c>
      <c r="I6173" s="545">
        <v>53</v>
      </c>
      <c r="J6173" s="545">
        <v>70.428571428571431</v>
      </c>
    </row>
    <row r="6174" spans="1:10">
      <c r="A6174" s="441">
        <v>4135</v>
      </c>
      <c r="B6174" s="441" t="s">
        <v>5313</v>
      </c>
      <c r="C6174" s="545">
        <v>12.5</v>
      </c>
      <c r="D6174" s="545">
        <v>10</v>
      </c>
      <c r="E6174" s="545">
        <v>4.666666666666667</v>
      </c>
      <c r="F6174" s="545">
        <v>11.023809523809524</v>
      </c>
      <c r="G6174" s="545">
        <v>11</v>
      </c>
      <c r="H6174" s="545">
        <v>5.666666666666667</v>
      </c>
      <c r="I6174" s="545">
        <v>5</v>
      </c>
      <c r="J6174" s="545">
        <v>9.3809523809523796</v>
      </c>
    </row>
    <row r="6175" spans="1:10">
      <c r="A6175" s="441">
        <v>7476</v>
      </c>
      <c r="B6175" s="441" t="s">
        <v>5313</v>
      </c>
      <c r="C6175" s="545">
        <v>15.333333333333332</v>
      </c>
      <c r="D6175" s="545">
        <v>3.3333333333333335</v>
      </c>
      <c r="E6175" s="545">
        <v>4.3333333333333339</v>
      </c>
      <c r="F6175" s="545">
        <v>12.047619047619046</v>
      </c>
      <c r="G6175" s="545">
        <v>12.45</v>
      </c>
      <c r="H6175" s="545">
        <v>3</v>
      </c>
      <c r="I6175" s="545">
        <v>1.6666666666666667</v>
      </c>
      <c r="J6175" s="545">
        <v>9.5595238095238102</v>
      </c>
    </row>
    <row r="6176" spans="1:10">
      <c r="A6176" s="441">
        <v>5548</v>
      </c>
      <c r="B6176" s="441" t="s">
        <v>5314</v>
      </c>
      <c r="C6176" s="545">
        <v>27.666666666666664</v>
      </c>
      <c r="D6176" s="545">
        <v>15.333333333333332</v>
      </c>
      <c r="E6176" s="545">
        <v>9.6666666666666679</v>
      </c>
      <c r="F6176" s="545">
        <v>23.333333333333332</v>
      </c>
      <c r="G6176" s="545">
        <v>26.5</v>
      </c>
      <c r="H6176" s="545">
        <v>13.333333333333334</v>
      </c>
      <c r="I6176" s="545">
        <v>10</v>
      </c>
      <c r="J6176" s="545">
        <v>22.261904761904763</v>
      </c>
    </row>
    <row r="6177" spans="1:10">
      <c r="A6177" s="441">
        <v>6600</v>
      </c>
      <c r="B6177" s="441" t="s">
        <v>5314</v>
      </c>
      <c r="C6177" s="545">
        <v>42.166666666666664</v>
      </c>
      <c r="D6177" s="545">
        <v>19.333333333333336</v>
      </c>
      <c r="E6177" s="545">
        <v>14</v>
      </c>
      <c r="F6177" s="545">
        <v>34.88095238095238</v>
      </c>
      <c r="G6177" s="545">
        <v>24.15</v>
      </c>
      <c r="H6177" s="545">
        <v>11.666666666666666</v>
      </c>
      <c r="I6177" s="545">
        <v>7</v>
      </c>
      <c r="J6177" s="545">
        <v>19.916666666666664</v>
      </c>
    </row>
    <row r="6178" spans="1:10">
      <c r="A6178" s="441">
        <v>7963</v>
      </c>
      <c r="B6178" s="441" t="s">
        <v>5315</v>
      </c>
      <c r="C6178" s="545">
        <v>66.833333333333343</v>
      </c>
      <c r="D6178" s="545">
        <v>32</v>
      </c>
      <c r="E6178" s="545">
        <v>33</v>
      </c>
      <c r="F6178" s="545">
        <v>57.023809523809533</v>
      </c>
      <c r="G6178" s="545">
        <v>63.55</v>
      </c>
      <c r="H6178" s="545">
        <v>28.666666666666668</v>
      </c>
      <c r="I6178" s="545">
        <v>25</v>
      </c>
      <c r="J6178" s="545">
        <v>53.05952380952381</v>
      </c>
    </row>
    <row r="6179" spans="1:10">
      <c r="A6179" s="441">
        <v>7965</v>
      </c>
      <c r="B6179" s="441" t="s">
        <v>5315</v>
      </c>
      <c r="C6179" s="545">
        <v>6.666666666666667</v>
      </c>
      <c r="D6179" s="545">
        <v>0</v>
      </c>
      <c r="E6179" s="545">
        <v>1</v>
      </c>
      <c r="F6179" s="545">
        <v>4.9047619047619051</v>
      </c>
      <c r="G6179" s="545">
        <v>3.95</v>
      </c>
      <c r="H6179" s="545">
        <v>1</v>
      </c>
      <c r="I6179" s="545">
        <v>1.3333333333333333</v>
      </c>
      <c r="J6179" s="545">
        <v>3.1547619047619047</v>
      </c>
    </row>
    <row r="6180" spans="1:10">
      <c r="A6180" s="441">
        <v>8987</v>
      </c>
      <c r="B6180" s="441" t="s">
        <v>5315</v>
      </c>
      <c r="C6180" s="545">
        <v>131.66666666666666</v>
      </c>
      <c r="D6180" s="545">
        <v>69.666666666666671</v>
      </c>
      <c r="E6180" s="545">
        <v>58.666666666666671</v>
      </c>
      <c r="F6180" s="545">
        <v>112.38095238095237</v>
      </c>
      <c r="G6180" s="545">
        <v>102.7</v>
      </c>
      <c r="H6180" s="545">
        <v>55.666666666666664</v>
      </c>
      <c r="I6180" s="545">
        <v>56</v>
      </c>
      <c r="J6180" s="545">
        <v>89.30952380952381</v>
      </c>
    </row>
    <row r="6181" spans="1:10">
      <c r="A6181" s="441">
        <v>7964</v>
      </c>
      <c r="B6181" s="441" t="s">
        <v>5316</v>
      </c>
      <c r="C6181" s="545">
        <v>25.666666666666664</v>
      </c>
      <c r="D6181" s="545">
        <v>13.666666666666666</v>
      </c>
      <c r="E6181" s="545">
        <v>16.666666666666664</v>
      </c>
      <c r="F6181" s="545">
        <v>22.666666666666661</v>
      </c>
      <c r="G6181" s="545">
        <v>24.35</v>
      </c>
      <c r="H6181" s="545">
        <v>12.333333333333334</v>
      </c>
      <c r="I6181" s="545">
        <v>9.3333333333333339</v>
      </c>
      <c r="J6181" s="545">
        <v>20.488095238095241</v>
      </c>
    </row>
    <row r="6182" spans="1:10">
      <c r="A6182" s="441">
        <v>5190</v>
      </c>
      <c r="B6182" s="441" t="s">
        <v>5317</v>
      </c>
      <c r="C6182" s="545">
        <v>112.83333333333334</v>
      </c>
      <c r="D6182" s="545">
        <v>98.333333333333343</v>
      </c>
      <c r="E6182" s="545">
        <v>70.333333333333343</v>
      </c>
      <c r="F6182" s="545">
        <v>104.69047619047622</v>
      </c>
      <c r="G6182" s="545">
        <v>75.45</v>
      </c>
      <c r="H6182" s="545">
        <v>56.666666666666664</v>
      </c>
      <c r="I6182" s="545">
        <v>59.333333333333336</v>
      </c>
      <c r="J6182" s="545">
        <v>70.464285714285708</v>
      </c>
    </row>
    <row r="6183" spans="1:10">
      <c r="A6183" s="441">
        <v>5191</v>
      </c>
      <c r="B6183" s="441" t="s">
        <v>5317</v>
      </c>
      <c r="C6183" s="545">
        <v>5</v>
      </c>
      <c r="D6183" s="545">
        <v>5.3333333333333339</v>
      </c>
      <c r="E6183" s="545">
        <v>5.333333333333333</v>
      </c>
      <c r="F6183" s="545">
        <v>5.0952380952380958</v>
      </c>
      <c r="G6183" s="545">
        <v>4.5</v>
      </c>
      <c r="H6183" s="545">
        <v>2</v>
      </c>
      <c r="I6183" s="545">
        <v>2</v>
      </c>
      <c r="J6183" s="545">
        <v>3.7857142857142856</v>
      </c>
    </row>
    <row r="6184" spans="1:10">
      <c r="A6184" s="441">
        <v>5207</v>
      </c>
      <c r="B6184" s="441" t="s">
        <v>5317</v>
      </c>
      <c r="C6184" s="545">
        <v>56</v>
      </c>
      <c r="D6184" s="545">
        <v>29</v>
      </c>
      <c r="E6184" s="545">
        <v>21</v>
      </c>
      <c r="F6184" s="545">
        <v>47.142857142857146</v>
      </c>
      <c r="G6184" s="545">
        <v>29.9</v>
      </c>
      <c r="H6184" s="545">
        <v>22.666666666666668</v>
      </c>
      <c r="I6184" s="545">
        <v>21.666666666666668</v>
      </c>
      <c r="J6184" s="545">
        <v>27.690476190476186</v>
      </c>
    </row>
    <row r="6185" spans="1:10">
      <c r="A6185" s="441">
        <v>5208</v>
      </c>
      <c r="B6185" s="441" t="s">
        <v>5317</v>
      </c>
      <c r="C6185" s="545">
        <v>97.5</v>
      </c>
      <c r="D6185" s="545">
        <v>81</v>
      </c>
      <c r="E6185" s="545">
        <v>58</v>
      </c>
      <c r="F6185" s="545">
        <v>89.5</v>
      </c>
      <c r="G6185" s="545">
        <v>52.65</v>
      </c>
      <c r="H6185" s="545">
        <v>39.333333333333336</v>
      </c>
      <c r="I6185" s="545">
        <v>38.333333333333336</v>
      </c>
      <c r="J6185" s="545">
        <v>48.702380952380949</v>
      </c>
    </row>
    <row r="6186" spans="1:10">
      <c r="A6186" s="441">
        <v>7957</v>
      </c>
      <c r="B6186" s="441" t="s">
        <v>5318</v>
      </c>
      <c r="C6186" s="545">
        <v>29.333333333333336</v>
      </c>
      <c r="D6186" s="545">
        <v>12</v>
      </c>
      <c r="E6186" s="545">
        <v>11.333333333333334</v>
      </c>
      <c r="F6186" s="545">
        <v>24.285714285714288</v>
      </c>
      <c r="G6186" s="545">
        <v>21.7</v>
      </c>
      <c r="H6186" s="545">
        <v>13</v>
      </c>
      <c r="I6186" s="545">
        <v>11</v>
      </c>
      <c r="J6186" s="545">
        <v>18.928571428571427</v>
      </c>
    </row>
    <row r="6187" spans="1:10">
      <c r="A6187" s="441">
        <v>7971</v>
      </c>
      <c r="B6187" s="441" t="s">
        <v>5318</v>
      </c>
      <c r="C6187" s="545">
        <v>33.166666666666671</v>
      </c>
      <c r="D6187" s="545">
        <v>20.666666666666664</v>
      </c>
      <c r="E6187" s="545">
        <v>19</v>
      </c>
      <c r="F6187" s="545">
        <v>29.357142857142861</v>
      </c>
      <c r="G6187" s="545">
        <v>27.25</v>
      </c>
      <c r="H6187" s="545">
        <v>14.666666666666666</v>
      </c>
      <c r="I6187" s="545">
        <v>12</v>
      </c>
      <c r="J6187" s="545">
        <v>23.273809523809522</v>
      </c>
    </row>
    <row r="6188" spans="1:10">
      <c r="A6188" s="441">
        <v>8246</v>
      </c>
      <c r="B6188" s="441" t="s">
        <v>5319</v>
      </c>
      <c r="C6188" s="545">
        <v>13.166666666666666</v>
      </c>
      <c r="D6188" s="545">
        <v>0.66666666666666663</v>
      </c>
      <c r="E6188" s="545">
        <v>2.3333333333333335</v>
      </c>
      <c r="F6188" s="545">
        <v>9.8333333333333321</v>
      </c>
      <c r="G6188" s="545">
        <v>17.3</v>
      </c>
      <c r="H6188" s="545">
        <v>2.6666666666666665</v>
      </c>
      <c r="I6188" s="545">
        <v>3.6666666666666665</v>
      </c>
      <c r="J6188" s="545">
        <v>13.261904761904763</v>
      </c>
    </row>
    <row r="6189" spans="1:10">
      <c r="A6189" s="441">
        <v>9018</v>
      </c>
      <c r="B6189" s="441" t="s">
        <v>5320</v>
      </c>
      <c r="C6189" s="545">
        <v>3.6666666666666665</v>
      </c>
      <c r="D6189" s="545">
        <v>2.3333333333333335</v>
      </c>
      <c r="E6189" s="545">
        <v>0.66666666666666663</v>
      </c>
      <c r="F6189" s="545">
        <v>3.0476190476190474</v>
      </c>
      <c r="G6189" s="545">
        <v>4.2</v>
      </c>
      <c r="H6189" s="545">
        <v>3.3333333333333335</v>
      </c>
      <c r="I6189" s="545">
        <v>2.6666666666666665</v>
      </c>
      <c r="J6189" s="545">
        <v>3.8571428571428572</v>
      </c>
    </row>
    <row r="6190" spans="1:10">
      <c r="A6190" s="441">
        <v>9049</v>
      </c>
      <c r="B6190" s="441" t="s">
        <v>5320</v>
      </c>
      <c r="C6190" s="545">
        <v>6.5</v>
      </c>
      <c r="D6190" s="545">
        <v>3.333333333333333</v>
      </c>
      <c r="E6190" s="545">
        <v>1.6666666666666667</v>
      </c>
      <c r="F6190" s="545">
        <v>5.3571428571428568</v>
      </c>
      <c r="G6190" s="545">
        <v>7.6</v>
      </c>
      <c r="H6190" s="545">
        <v>3.6666666666666665</v>
      </c>
      <c r="I6190" s="545">
        <v>3</v>
      </c>
      <c r="J6190" s="545">
        <v>6.3809523809523805</v>
      </c>
    </row>
    <row r="6191" spans="1:10">
      <c r="A6191" s="441">
        <v>9024</v>
      </c>
      <c r="B6191" s="441" t="s">
        <v>5321</v>
      </c>
      <c r="C6191" s="545">
        <v>16.666666666666668</v>
      </c>
      <c r="D6191" s="545">
        <v>12.333333333333332</v>
      </c>
      <c r="E6191" s="545">
        <v>11</v>
      </c>
      <c r="F6191" s="545">
        <v>15.238095238095239</v>
      </c>
      <c r="G6191" s="545">
        <v>16.55</v>
      </c>
      <c r="H6191" s="545">
        <v>17.333333333333332</v>
      </c>
      <c r="I6191" s="545">
        <v>9.6666666666666661</v>
      </c>
      <c r="J6191" s="545">
        <v>15.678571428571429</v>
      </c>
    </row>
    <row r="6192" spans="1:10">
      <c r="A6192" s="441">
        <v>9045</v>
      </c>
      <c r="B6192" s="441" t="s">
        <v>5321</v>
      </c>
      <c r="C6192" s="545">
        <v>21</v>
      </c>
      <c r="D6192" s="545">
        <v>13.666666666666666</v>
      </c>
      <c r="E6192" s="545">
        <v>11.333333333333334</v>
      </c>
      <c r="F6192" s="545">
        <v>18.571428571428573</v>
      </c>
      <c r="G6192" s="545">
        <v>21</v>
      </c>
      <c r="H6192" s="545">
        <v>21.666666666666668</v>
      </c>
      <c r="I6192" s="545">
        <v>14.333333333333334</v>
      </c>
      <c r="J6192" s="545">
        <v>20.142857142857142</v>
      </c>
    </row>
    <row r="6193" spans="1:10">
      <c r="A6193" s="441">
        <v>7886</v>
      </c>
      <c r="B6193" s="441" t="s">
        <v>5322</v>
      </c>
      <c r="C6193" s="545">
        <v>123.66666666666667</v>
      </c>
      <c r="D6193" s="545">
        <v>143</v>
      </c>
      <c r="E6193" s="545">
        <v>126</v>
      </c>
      <c r="F6193" s="545">
        <v>126.76190476190477</v>
      </c>
      <c r="G6193" s="545">
        <v>171.25</v>
      </c>
      <c r="H6193" s="545">
        <v>217</v>
      </c>
      <c r="I6193" s="545">
        <v>103.33333333333333</v>
      </c>
      <c r="J6193" s="545">
        <v>168.08333333333331</v>
      </c>
    </row>
    <row r="6194" spans="1:10">
      <c r="A6194" s="441">
        <v>7956</v>
      </c>
      <c r="B6194" s="441" t="s">
        <v>5323</v>
      </c>
      <c r="C6194" s="545">
        <v>31.333333333333336</v>
      </c>
      <c r="D6194" s="545">
        <v>10.333333333333334</v>
      </c>
      <c r="E6194" s="545">
        <v>15.333333333333334</v>
      </c>
      <c r="F6194" s="545">
        <v>26.047619047619055</v>
      </c>
      <c r="G6194" s="545">
        <v>20.25</v>
      </c>
      <c r="H6194" s="545">
        <v>8.3333333333333339</v>
      </c>
      <c r="I6194" s="545">
        <v>7.666666666666667</v>
      </c>
      <c r="J6194" s="545">
        <v>16.75</v>
      </c>
    </row>
    <row r="6195" spans="1:10">
      <c r="A6195" s="441">
        <v>7972</v>
      </c>
      <c r="B6195" s="441" t="s">
        <v>5323</v>
      </c>
      <c r="C6195" s="545">
        <v>29.833333333333336</v>
      </c>
      <c r="D6195" s="545">
        <v>10</v>
      </c>
      <c r="E6195" s="545">
        <v>8.6666666666666679</v>
      </c>
      <c r="F6195" s="545">
        <v>23.976190476190478</v>
      </c>
      <c r="G6195" s="545">
        <v>20.149999999999999</v>
      </c>
      <c r="H6195" s="545">
        <v>8.6666666666666661</v>
      </c>
      <c r="I6195" s="545">
        <v>8.3333333333333339</v>
      </c>
      <c r="J6195" s="545">
        <v>16.821428571428573</v>
      </c>
    </row>
    <row r="6196" spans="1:10">
      <c r="A6196" s="441">
        <v>7962</v>
      </c>
      <c r="B6196" s="441" t="s">
        <v>5324</v>
      </c>
      <c r="C6196" s="545">
        <v>23</v>
      </c>
      <c r="D6196" s="545">
        <v>15.666666666666666</v>
      </c>
      <c r="E6196" s="545">
        <v>7.6666666666666661</v>
      </c>
      <c r="F6196" s="545">
        <v>19.761904761904759</v>
      </c>
      <c r="G6196" s="545">
        <v>18.95</v>
      </c>
      <c r="H6196" s="545">
        <v>7.333333333333333</v>
      </c>
      <c r="I6196" s="545">
        <v>10.333333333333334</v>
      </c>
      <c r="J6196" s="545">
        <v>16.059523809523807</v>
      </c>
    </row>
    <row r="6197" spans="1:10">
      <c r="A6197" s="441">
        <v>8988</v>
      </c>
      <c r="B6197" s="441" t="s">
        <v>5324</v>
      </c>
      <c r="C6197" s="545">
        <v>26.166666666666668</v>
      </c>
      <c r="D6197" s="545">
        <v>19</v>
      </c>
      <c r="E6197" s="545">
        <v>6.6666666666666661</v>
      </c>
      <c r="F6197" s="545">
        <v>22.357142857142858</v>
      </c>
      <c r="G6197" s="545">
        <v>24.7</v>
      </c>
      <c r="H6197" s="545">
        <v>10.333333333333334</v>
      </c>
      <c r="I6197" s="545">
        <v>7.666666666666667</v>
      </c>
      <c r="J6197" s="545">
        <v>20.214285714285715</v>
      </c>
    </row>
    <row r="6198" spans="1:10">
      <c r="A6198" s="441">
        <v>8989</v>
      </c>
      <c r="B6198" s="441" t="s">
        <v>5325</v>
      </c>
      <c r="C6198" s="545">
        <v>3.166666666666667</v>
      </c>
      <c r="D6198" s="545">
        <v>2</v>
      </c>
      <c r="E6198" s="545">
        <v>0.66666666666666663</v>
      </c>
      <c r="F6198" s="545">
        <v>2.6428571428571432</v>
      </c>
      <c r="G6198" s="545">
        <v>4</v>
      </c>
      <c r="H6198" s="545">
        <v>3.3333333333333335</v>
      </c>
      <c r="I6198" s="545">
        <v>0</v>
      </c>
      <c r="J6198" s="545">
        <v>3.333333333333333</v>
      </c>
    </row>
    <row r="6199" spans="1:10">
      <c r="A6199" s="441">
        <v>9020</v>
      </c>
      <c r="B6199" s="441" t="s">
        <v>5326</v>
      </c>
      <c r="C6199" s="545">
        <v>129.66666666666666</v>
      </c>
      <c r="D6199" s="545">
        <v>81.333333333333343</v>
      </c>
      <c r="E6199" s="545">
        <v>61</v>
      </c>
      <c r="F6199" s="545">
        <v>112.95238095238095</v>
      </c>
      <c r="G6199" s="545">
        <v>97.7</v>
      </c>
      <c r="H6199" s="545">
        <v>76.333333333333329</v>
      </c>
      <c r="I6199" s="545">
        <v>58.333333333333336</v>
      </c>
      <c r="J6199" s="545">
        <v>89.023809523809533</v>
      </c>
    </row>
    <row r="6200" spans="1:10">
      <c r="A6200" s="441">
        <v>9048</v>
      </c>
      <c r="B6200" s="441" t="s">
        <v>5326</v>
      </c>
      <c r="C6200" s="545">
        <v>99</v>
      </c>
      <c r="D6200" s="545">
        <v>58.333333333333336</v>
      </c>
      <c r="E6200" s="545">
        <v>47.666666666666664</v>
      </c>
      <c r="F6200" s="545">
        <v>85.857142857142861</v>
      </c>
      <c r="G6200" s="545">
        <v>79.3</v>
      </c>
      <c r="H6200" s="545">
        <v>51</v>
      </c>
      <c r="I6200" s="545">
        <v>49.333333333333336</v>
      </c>
      <c r="J6200" s="545">
        <v>70.976190476190467</v>
      </c>
    </row>
    <row r="6201" spans="1:10">
      <c r="A6201" s="441">
        <v>2965</v>
      </c>
      <c r="B6201" s="441" t="s">
        <v>5327</v>
      </c>
      <c r="C6201" s="545">
        <v>43.333333333333329</v>
      </c>
      <c r="D6201" s="545">
        <v>25</v>
      </c>
      <c r="E6201" s="545">
        <v>13.333333333333332</v>
      </c>
      <c r="F6201" s="545">
        <v>36.428571428571423</v>
      </c>
      <c r="G6201" s="545">
        <v>29.05</v>
      </c>
      <c r="H6201" s="545">
        <v>21</v>
      </c>
      <c r="I6201" s="545">
        <v>15</v>
      </c>
      <c r="J6201" s="545">
        <v>25.892857142857142</v>
      </c>
    </row>
    <row r="6202" spans="1:10">
      <c r="A6202" s="441">
        <v>2981</v>
      </c>
      <c r="B6202" s="441" t="s">
        <v>5327</v>
      </c>
      <c r="C6202" s="545">
        <v>29.666666666666668</v>
      </c>
      <c r="D6202" s="545">
        <v>23.666666666666668</v>
      </c>
      <c r="E6202" s="545">
        <v>15</v>
      </c>
      <c r="F6202" s="545">
        <v>26.714285714285715</v>
      </c>
      <c r="G6202" s="545">
        <v>23.2</v>
      </c>
      <c r="H6202" s="545">
        <v>14.333333333333334</v>
      </c>
      <c r="I6202" s="545">
        <v>17.666666666666668</v>
      </c>
      <c r="J6202" s="545">
        <v>21.142857142857142</v>
      </c>
    </row>
    <row r="6203" spans="1:10">
      <c r="A6203" s="441">
        <v>7959</v>
      </c>
      <c r="B6203" s="441" t="s">
        <v>5328</v>
      </c>
      <c r="C6203" s="545">
        <v>37.666666666666664</v>
      </c>
      <c r="D6203" s="545">
        <v>18</v>
      </c>
      <c r="E6203" s="545">
        <v>15.333333333333332</v>
      </c>
      <c r="F6203" s="545">
        <v>31.666666666666664</v>
      </c>
      <c r="G6203" s="545">
        <v>21.75</v>
      </c>
      <c r="H6203" s="545">
        <v>16.333333333333332</v>
      </c>
      <c r="I6203" s="545">
        <v>10</v>
      </c>
      <c r="J6203" s="545">
        <v>19.297619047619044</v>
      </c>
    </row>
    <row r="6204" spans="1:10">
      <c r="A6204" s="441">
        <v>7969</v>
      </c>
      <c r="B6204" s="441" t="s">
        <v>5328</v>
      </c>
      <c r="C6204" s="545">
        <v>35.833333333333329</v>
      </c>
      <c r="D6204" s="545">
        <v>16.666666666666668</v>
      </c>
      <c r="E6204" s="545">
        <v>12</v>
      </c>
      <c r="F6204" s="545">
        <v>29.690476190476183</v>
      </c>
      <c r="G6204" s="545">
        <v>19.8</v>
      </c>
      <c r="H6204" s="545">
        <v>16</v>
      </c>
      <c r="I6204" s="545">
        <v>12.666666666666666</v>
      </c>
      <c r="J6204" s="545">
        <v>18.238095238095237</v>
      </c>
    </row>
    <row r="6205" spans="1:10">
      <c r="A6205" s="441">
        <v>7189</v>
      </c>
      <c r="B6205" s="441" t="s">
        <v>5329</v>
      </c>
      <c r="C6205" s="545">
        <v>12.166666666666668</v>
      </c>
      <c r="D6205" s="545">
        <v>12</v>
      </c>
      <c r="E6205" s="545">
        <v>9</v>
      </c>
      <c r="F6205" s="545">
        <v>11.690476190476192</v>
      </c>
      <c r="G6205" s="545">
        <v>15.9</v>
      </c>
      <c r="H6205" s="545">
        <v>8.3333333333333339</v>
      </c>
      <c r="I6205" s="545">
        <v>5</v>
      </c>
      <c r="J6205" s="545">
        <v>13.261904761904761</v>
      </c>
    </row>
    <row r="6206" spans="1:10">
      <c r="A6206" s="441">
        <v>7191</v>
      </c>
      <c r="B6206" s="441" t="s">
        <v>5329</v>
      </c>
      <c r="C6206" s="545">
        <v>16.333333333333332</v>
      </c>
      <c r="D6206" s="545">
        <v>8</v>
      </c>
      <c r="E6206" s="545">
        <v>11.333333333333334</v>
      </c>
      <c r="F6206" s="545">
        <v>14.428571428571427</v>
      </c>
      <c r="G6206" s="545">
        <v>17.95</v>
      </c>
      <c r="H6206" s="545">
        <v>6</v>
      </c>
      <c r="I6206" s="545">
        <v>10</v>
      </c>
      <c r="J6206" s="545">
        <v>15.107142857142858</v>
      </c>
    </row>
    <row r="6207" spans="1:10">
      <c r="A6207" s="441">
        <v>11407</v>
      </c>
      <c r="B6207" s="441" t="s">
        <v>5330</v>
      </c>
      <c r="C6207" s="545">
        <v>5.833333333333333</v>
      </c>
      <c r="D6207" s="545">
        <v>4</v>
      </c>
      <c r="E6207" s="545">
        <v>4</v>
      </c>
      <c r="F6207" s="545">
        <v>5.3095238095238093</v>
      </c>
      <c r="G6207" s="545">
        <v>4.75</v>
      </c>
      <c r="H6207" s="545">
        <v>4</v>
      </c>
      <c r="I6207" s="545">
        <v>1.6666666666666667</v>
      </c>
      <c r="J6207" s="545">
        <v>4.2023809523809526</v>
      </c>
    </row>
    <row r="6208" spans="1:10">
      <c r="A6208" s="441">
        <v>11408</v>
      </c>
      <c r="B6208" s="441" t="s">
        <v>5330</v>
      </c>
      <c r="C6208" s="545">
        <v>16.833333333333332</v>
      </c>
      <c r="D6208" s="545">
        <v>13</v>
      </c>
      <c r="E6208" s="545">
        <v>7.3333333333333339</v>
      </c>
      <c r="F6208" s="545">
        <v>14.928571428571427</v>
      </c>
      <c r="G6208" s="545">
        <v>16.25</v>
      </c>
      <c r="H6208" s="545">
        <v>13</v>
      </c>
      <c r="I6208" s="545">
        <v>10.666666666666666</v>
      </c>
      <c r="J6208" s="545">
        <v>14.988095238095239</v>
      </c>
    </row>
    <row r="6209" spans="1:10">
      <c r="A6209" s="441">
        <v>19</v>
      </c>
      <c r="B6209" s="441" t="s">
        <v>5331</v>
      </c>
      <c r="C6209" s="545">
        <v>6.5</v>
      </c>
      <c r="D6209" s="545">
        <v>2.666666666666667</v>
      </c>
      <c r="E6209" s="545">
        <v>2</v>
      </c>
      <c r="F6209" s="545">
        <v>5.3095238095238093</v>
      </c>
      <c r="G6209" s="545">
        <v>1.85</v>
      </c>
      <c r="H6209" s="545">
        <v>2.3333333333333335</v>
      </c>
      <c r="I6209" s="545">
        <v>1.6666666666666667</v>
      </c>
      <c r="J6209" s="545">
        <v>1.8928571428571428</v>
      </c>
    </row>
    <row r="6210" spans="1:10">
      <c r="A6210" s="441">
        <v>13165</v>
      </c>
      <c r="B6210" s="441" t="s">
        <v>5332</v>
      </c>
      <c r="C6210" s="545" t="e">
        <v>#N/A</v>
      </c>
      <c r="D6210" s="545" t="e">
        <v>#N/A</v>
      </c>
      <c r="E6210" s="545" t="e">
        <v>#N/A</v>
      </c>
      <c r="F6210" s="545" t="e">
        <v>#N/A</v>
      </c>
      <c r="G6210" s="545">
        <v>7</v>
      </c>
      <c r="H6210" s="545"/>
      <c r="I6210" s="545"/>
      <c r="J6210" s="545">
        <v>5</v>
      </c>
    </row>
    <row r="6211" spans="1:10">
      <c r="A6211" s="441">
        <v>7398</v>
      </c>
      <c r="B6211" s="441" t="s">
        <v>5333</v>
      </c>
      <c r="C6211" s="545">
        <v>11.666666666666668</v>
      </c>
      <c r="D6211" s="545">
        <v>1.3333333333333333</v>
      </c>
      <c r="E6211" s="545">
        <v>0</v>
      </c>
      <c r="F6211" s="545">
        <v>8.5238095238095255</v>
      </c>
      <c r="G6211" s="545">
        <v>7.1</v>
      </c>
      <c r="H6211" s="545">
        <v>1.3333333333333333</v>
      </c>
      <c r="I6211" s="545">
        <v>1</v>
      </c>
      <c r="J6211" s="545">
        <v>5.4047619047619051</v>
      </c>
    </row>
    <row r="6212" spans="1:10">
      <c r="A6212" s="441">
        <v>10356</v>
      </c>
      <c r="B6212" s="441" t="s">
        <v>5333</v>
      </c>
      <c r="C6212" s="545">
        <v>11</v>
      </c>
      <c r="D6212" s="545">
        <v>0.66666666666666663</v>
      </c>
      <c r="E6212" s="545">
        <v>2.3333333333333335</v>
      </c>
      <c r="F6212" s="545">
        <v>8.2857142857142865</v>
      </c>
      <c r="G6212" s="545">
        <v>4.3</v>
      </c>
      <c r="H6212" s="545">
        <v>0.66666666666666663</v>
      </c>
      <c r="I6212" s="545">
        <v>0.66666666666666663</v>
      </c>
      <c r="J6212" s="545">
        <v>3.2619047619047623</v>
      </c>
    </row>
    <row r="6213" spans="1:10">
      <c r="A6213" s="441">
        <v>8013</v>
      </c>
      <c r="B6213" s="441" t="s">
        <v>5334</v>
      </c>
      <c r="C6213" s="545">
        <v>13.833333333333334</v>
      </c>
      <c r="D6213" s="545">
        <v>8.6666666666666661</v>
      </c>
      <c r="E6213" s="545">
        <v>4</v>
      </c>
      <c r="F6213" s="545">
        <v>11.690476190476192</v>
      </c>
      <c r="G6213" s="545">
        <v>4.8499999999999996</v>
      </c>
      <c r="H6213" s="545">
        <v>3.6666666666666665</v>
      </c>
      <c r="I6213" s="545">
        <v>1.3333333333333333</v>
      </c>
      <c r="J6213" s="545">
        <v>4.1785714285714288</v>
      </c>
    </row>
    <row r="6214" spans="1:10">
      <c r="A6214" s="441">
        <v>6848</v>
      </c>
      <c r="B6214" s="441" t="s">
        <v>5335</v>
      </c>
      <c r="C6214" s="545">
        <v>150.5</v>
      </c>
      <c r="D6214" s="545">
        <v>136.66666666666666</v>
      </c>
      <c r="E6214" s="545">
        <v>111.33333333333333</v>
      </c>
      <c r="F6214" s="545">
        <v>142.92857142857142</v>
      </c>
      <c r="G6214" s="545">
        <v>127.25</v>
      </c>
      <c r="H6214" s="545">
        <v>106.33333333333333</v>
      </c>
      <c r="I6214" s="545">
        <v>68</v>
      </c>
      <c r="J6214" s="545">
        <v>115.79761904761905</v>
      </c>
    </row>
    <row r="6215" spans="1:10">
      <c r="A6215" s="441">
        <v>6849</v>
      </c>
      <c r="B6215" s="441" t="s">
        <v>5335</v>
      </c>
      <c r="C6215" s="545">
        <v>147.83333333333331</v>
      </c>
      <c r="D6215" s="545">
        <v>113.33333333333333</v>
      </c>
      <c r="E6215" s="545">
        <v>92</v>
      </c>
      <c r="F6215" s="545">
        <v>134.92857142857142</v>
      </c>
      <c r="G6215" s="545">
        <v>112.05</v>
      </c>
      <c r="H6215" s="545">
        <v>73.666666666666671</v>
      </c>
      <c r="I6215" s="545">
        <v>61.333333333333336</v>
      </c>
      <c r="J6215" s="545">
        <v>99.321428571428569</v>
      </c>
    </row>
    <row r="6216" spans="1:10">
      <c r="A6216" s="441">
        <v>90945</v>
      </c>
      <c r="B6216" s="441" t="s">
        <v>5336</v>
      </c>
      <c r="C6216" s="545">
        <v>3.8333333333333335</v>
      </c>
      <c r="D6216" s="545">
        <v>3.3333333333333335</v>
      </c>
      <c r="E6216" s="545">
        <v>2.333333333333333</v>
      </c>
      <c r="F6216" s="545">
        <v>3.5476190476190474</v>
      </c>
      <c r="G6216" s="545">
        <v>2.2999999999999998</v>
      </c>
      <c r="H6216" s="545">
        <v>1</v>
      </c>
      <c r="I6216" s="545">
        <v>2</v>
      </c>
      <c r="J6216" s="545">
        <v>2.0714285714285716</v>
      </c>
    </row>
    <row r="6217" spans="1:10">
      <c r="A6217" s="441">
        <v>4391</v>
      </c>
      <c r="B6217" s="441" t="s">
        <v>5337</v>
      </c>
      <c r="C6217" s="545">
        <v>13.333333333333332</v>
      </c>
      <c r="D6217" s="545">
        <v>6</v>
      </c>
      <c r="E6217" s="545">
        <v>4.3333333333333339</v>
      </c>
      <c r="F6217" s="545">
        <v>10.999999999999998</v>
      </c>
      <c r="G6217" s="545">
        <v>4.0999999999999996</v>
      </c>
      <c r="H6217" s="545">
        <v>5.333333333333333</v>
      </c>
      <c r="I6217" s="545">
        <v>1</v>
      </c>
      <c r="J6217" s="545">
        <v>3.833333333333333</v>
      </c>
    </row>
    <row r="6218" spans="1:10">
      <c r="A6218" s="441">
        <v>4389</v>
      </c>
      <c r="B6218" s="441" t="s">
        <v>5338</v>
      </c>
      <c r="C6218" s="545">
        <v>21.333333333333332</v>
      </c>
      <c r="D6218" s="545">
        <v>14.666666666666666</v>
      </c>
      <c r="E6218" s="545">
        <v>6.3333333333333339</v>
      </c>
      <c r="F6218" s="545">
        <v>18.238095238095237</v>
      </c>
      <c r="G6218" s="545">
        <v>5.75</v>
      </c>
      <c r="H6218" s="545">
        <v>3</v>
      </c>
      <c r="I6218" s="545">
        <v>6</v>
      </c>
      <c r="J6218" s="545">
        <v>5.3928571428571432</v>
      </c>
    </row>
    <row r="6219" spans="1:10">
      <c r="A6219" s="441">
        <v>4390</v>
      </c>
      <c r="B6219" s="441" t="s">
        <v>5338</v>
      </c>
      <c r="C6219" s="545">
        <v>3.333333333333333</v>
      </c>
      <c r="D6219" s="545">
        <v>3.3333333333333335</v>
      </c>
      <c r="E6219" s="545">
        <v>2.3333333333333335</v>
      </c>
      <c r="F6219" s="545">
        <v>3.1904761904761898</v>
      </c>
      <c r="G6219" s="545">
        <v>2.9</v>
      </c>
      <c r="H6219" s="545">
        <v>2.3333333333333335</v>
      </c>
      <c r="I6219" s="545">
        <v>1</v>
      </c>
      <c r="J6219" s="545">
        <v>2.5476190476190474</v>
      </c>
    </row>
    <row r="6220" spans="1:10">
      <c r="A6220" s="441">
        <v>4397</v>
      </c>
      <c r="B6220" s="441" t="s">
        <v>5339</v>
      </c>
      <c r="C6220" s="545">
        <v>10.833333333333334</v>
      </c>
      <c r="D6220" s="545">
        <v>5.333333333333333</v>
      </c>
      <c r="E6220" s="545">
        <v>4.666666666666667</v>
      </c>
      <c r="F6220" s="545">
        <v>9.1666666666666679</v>
      </c>
      <c r="G6220" s="545">
        <v>5.5</v>
      </c>
      <c r="H6220" s="545">
        <v>4.333333333333333</v>
      </c>
      <c r="I6220" s="545">
        <v>2.6666666666666665</v>
      </c>
      <c r="J6220" s="545">
        <v>4.9285714285714288</v>
      </c>
    </row>
    <row r="6221" spans="1:10">
      <c r="A6221" s="441">
        <v>4393</v>
      </c>
      <c r="B6221" s="441" t="s">
        <v>5340</v>
      </c>
      <c r="C6221" s="545">
        <v>11.166666666666666</v>
      </c>
      <c r="D6221" s="545">
        <v>3.333333333333333</v>
      </c>
      <c r="E6221" s="545">
        <v>2.3333333333333335</v>
      </c>
      <c r="F6221" s="545">
        <v>8.7857142857142865</v>
      </c>
      <c r="G6221" s="545">
        <v>4</v>
      </c>
      <c r="H6221" s="545">
        <v>1.6666666666666667</v>
      </c>
      <c r="I6221" s="545">
        <v>1.3333333333333333</v>
      </c>
      <c r="J6221" s="545">
        <v>3.2857142857142856</v>
      </c>
    </row>
    <row r="6222" spans="1:10">
      <c r="A6222" s="441">
        <v>4394</v>
      </c>
      <c r="B6222" s="441" t="s">
        <v>5341</v>
      </c>
      <c r="C6222" s="545">
        <v>6.1666666666666661</v>
      </c>
      <c r="D6222" s="545">
        <v>3.6666666666666665</v>
      </c>
      <c r="E6222" s="545">
        <v>3</v>
      </c>
      <c r="F6222" s="545">
        <v>5.3571428571428559</v>
      </c>
      <c r="G6222" s="545">
        <v>3.45</v>
      </c>
      <c r="H6222" s="545">
        <v>4</v>
      </c>
      <c r="I6222" s="545">
        <v>6.333333333333333</v>
      </c>
      <c r="J6222" s="545">
        <v>3.9404761904761902</v>
      </c>
    </row>
    <row r="6223" spans="1:10">
      <c r="A6223" s="441">
        <v>4392</v>
      </c>
      <c r="B6223" s="441" t="s">
        <v>5342</v>
      </c>
      <c r="C6223" s="545">
        <v>11.666666666666668</v>
      </c>
      <c r="D6223" s="545">
        <v>2.3333333333333335</v>
      </c>
      <c r="E6223" s="545">
        <v>0.66666666666666663</v>
      </c>
      <c r="F6223" s="545">
        <v>8.7619047619047628</v>
      </c>
      <c r="G6223" s="545">
        <v>3.35</v>
      </c>
      <c r="H6223" s="545">
        <v>3.3333333333333335</v>
      </c>
      <c r="I6223" s="545">
        <v>3.6666666666666665</v>
      </c>
      <c r="J6223" s="545">
        <v>3.3928571428571428</v>
      </c>
    </row>
    <row r="6224" spans="1:10">
      <c r="A6224" s="441">
        <v>4396</v>
      </c>
      <c r="B6224" s="441" t="s">
        <v>5343</v>
      </c>
      <c r="C6224" s="545">
        <v>4.3333333333333339</v>
      </c>
      <c r="D6224" s="545">
        <v>3.333333333333333</v>
      </c>
      <c r="E6224" s="545">
        <v>1</v>
      </c>
      <c r="F6224" s="545">
        <v>3.7142857142857149</v>
      </c>
      <c r="G6224" s="545">
        <v>0.75</v>
      </c>
      <c r="H6224" s="545">
        <v>0.33333333333333331</v>
      </c>
      <c r="I6224" s="545">
        <v>0</v>
      </c>
      <c r="J6224" s="545">
        <v>0.58333333333333326</v>
      </c>
    </row>
    <row r="6225" spans="1:10">
      <c r="A6225" s="441">
        <v>4395</v>
      </c>
      <c r="B6225" s="441" t="s">
        <v>5344</v>
      </c>
      <c r="C6225" s="545">
        <v>6.3333333333333339</v>
      </c>
      <c r="D6225" s="545">
        <v>5.3333333333333339</v>
      </c>
      <c r="E6225" s="545">
        <v>2.666666666666667</v>
      </c>
      <c r="F6225" s="545">
        <v>5.666666666666667</v>
      </c>
      <c r="G6225" s="545">
        <v>0.85</v>
      </c>
      <c r="H6225" s="545">
        <v>0.33333333333333331</v>
      </c>
      <c r="I6225" s="545">
        <v>0.66666666666666663</v>
      </c>
      <c r="J6225" s="545">
        <v>0.75</v>
      </c>
    </row>
    <row r="6226" spans="1:10">
      <c r="A6226" s="441">
        <v>10126</v>
      </c>
      <c r="B6226" s="441" t="s">
        <v>5345</v>
      </c>
      <c r="C6226" s="545">
        <v>4</v>
      </c>
      <c r="D6226" s="545">
        <v>4.333333333333333</v>
      </c>
      <c r="E6226" s="545">
        <v>2</v>
      </c>
      <c r="F6226" s="545">
        <v>3.7619047619047619</v>
      </c>
      <c r="G6226" s="545">
        <v>5.75</v>
      </c>
      <c r="H6226" s="545">
        <v>2</v>
      </c>
      <c r="I6226" s="545">
        <v>0</v>
      </c>
      <c r="J6226" s="545">
        <v>4.3928571428571432</v>
      </c>
    </row>
    <row r="6227" spans="1:10">
      <c r="A6227" s="441">
        <v>10123</v>
      </c>
      <c r="B6227" s="441" t="s">
        <v>5346</v>
      </c>
      <c r="C6227" s="545">
        <v>13.666666666666668</v>
      </c>
      <c r="D6227" s="545">
        <v>13</v>
      </c>
      <c r="E6227" s="545">
        <v>7.666666666666667</v>
      </c>
      <c r="F6227" s="545">
        <v>12.714285714285717</v>
      </c>
      <c r="G6227" s="545">
        <v>7.65</v>
      </c>
      <c r="H6227" s="545">
        <v>5</v>
      </c>
      <c r="I6227" s="545">
        <v>3.3333333333333335</v>
      </c>
      <c r="J6227" s="545">
        <v>6.6547619047619051</v>
      </c>
    </row>
    <row r="6228" spans="1:10">
      <c r="A6228" s="441">
        <v>10125</v>
      </c>
      <c r="B6228" s="441" t="s">
        <v>5346</v>
      </c>
      <c r="C6228" s="545">
        <v>15</v>
      </c>
      <c r="D6228" s="545">
        <v>11</v>
      </c>
      <c r="E6228" s="545">
        <v>8.3333333333333339</v>
      </c>
      <c r="F6228" s="545">
        <v>13.476190476190476</v>
      </c>
      <c r="G6228" s="545">
        <v>23.45</v>
      </c>
      <c r="H6228" s="545">
        <v>2.3333333333333335</v>
      </c>
      <c r="I6228" s="545">
        <v>3</v>
      </c>
      <c r="J6228" s="545">
        <v>17.511904761904763</v>
      </c>
    </row>
    <row r="6229" spans="1:10">
      <c r="A6229" s="441">
        <v>10124</v>
      </c>
      <c r="B6229" s="441" t="s">
        <v>5347</v>
      </c>
      <c r="C6229" s="545">
        <v>5.5</v>
      </c>
      <c r="D6229" s="545">
        <v>12</v>
      </c>
      <c r="E6229" s="545">
        <v>4.3333333333333339</v>
      </c>
      <c r="F6229" s="545">
        <v>6.2619047619047619</v>
      </c>
      <c r="G6229" s="545">
        <v>1.85</v>
      </c>
      <c r="H6229" s="545">
        <v>0.33333333333333331</v>
      </c>
      <c r="I6229" s="545">
        <v>1</v>
      </c>
      <c r="J6229" s="545">
        <v>1.5119047619047621</v>
      </c>
    </row>
    <row r="6230" spans="1:10">
      <c r="A6230" s="441">
        <v>12053</v>
      </c>
      <c r="B6230" s="441" t="s">
        <v>5348</v>
      </c>
      <c r="C6230" s="545">
        <v>10.333333333333334</v>
      </c>
      <c r="D6230" s="545">
        <v>4.666666666666667</v>
      </c>
      <c r="E6230" s="545">
        <v>4.333333333333333</v>
      </c>
      <c r="F6230" s="545">
        <v>8.6666666666666679</v>
      </c>
      <c r="G6230" s="545">
        <v>3.25</v>
      </c>
      <c r="H6230" s="545">
        <v>0.33333333333333331</v>
      </c>
      <c r="I6230" s="545">
        <v>0.66666666666666663</v>
      </c>
      <c r="J6230" s="545">
        <v>2.4642857142857144</v>
      </c>
    </row>
    <row r="6231" spans="1:10">
      <c r="A6231" s="441">
        <v>13013</v>
      </c>
      <c r="B6231" s="441" t="s">
        <v>5349</v>
      </c>
      <c r="C6231" s="545">
        <v>20.333333333333336</v>
      </c>
      <c r="D6231" s="545">
        <v>0</v>
      </c>
      <c r="E6231" s="545">
        <v>0.33333333333333331</v>
      </c>
      <c r="F6231" s="545">
        <v>14.571428571428573</v>
      </c>
      <c r="G6231" s="545">
        <v>5.7</v>
      </c>
      <c r="H6231" s="545">
        <v>0</v>
      </c>
      <c r="I6231" s="545">
        <v>0</v>
      </c>
      <c r="J6231" s="545">
        <v>4.0714285714285712</v>
      </c>
    </row>
    <row r="6232" spans="1:10">
      <c r="A6232" s="441">
        <v>13016</v>
      </c>
      <c r="B6232" s="441" t="s">
        <v>5350</v>
      </c>
      <c r="C6232" s="545">
        <v>0.66666666666666663</v>
      </c>
      <c r="D6232" s="545">
        <v>1.3333333333333333</v>
      </c>
      <c r="E6232" s="545">
        <v>0</v>
      </c>
      <c r="F6232" s="545">
        <v>0.66666666666666663</v>
      </c>
      <c r="G6232" s="545">
        <v>0.9</v>
      </c>
      <c r="H6232" s="545">
        <v>0.66666666666666663</v>
      </c>
      <c r="I6232" s="545">
        <v>0.33333333333333331</v>
      </c>
      <c r="J6232" s="545">
        <v>0.7857142857142857</v>
      </c>
    </row>
    <row r="6233" spans="1:10">
      <c r="A6233" s="441">
        <v>13174</v>
      </c>
      <c r="B6233" s="441" t="s">
        <v>5351</v>
      </c>
      <c r="C6233" s="545" t="e">
        <v>#N/A</v>
      </c>
      <c r="D6233" s="545" t="e">
        <v>#N/A</v>
      </c>
      <c r="E6233" s="545" t="e">
        <v>#N/A</v>
      </c>
      <c r="F6233" s="545" t="e">
        <v>#N/A</v>
      </c>
      <c r="G6233" s="545">
        <v>2.7</v>
      </c>
      <c r="H6233" s="545">
        <v>0</v>
      </c>
      <c r="I6233" s="545">
        <v>3.3333333333333335</v>
      </c>
      <c r="J6233" s="545">
        <v>2.4047619047619047</v>
      </c>
    </row>
    <row r="6234" spans="1:10">
      <c r="A6234" s="441">
        <v>9798</v>
      </c>
      <c r="B6234" s="441" t="s">
        <v>5352</v>
      </c>
      <c r="C6234" s="545">
        <v>34.666666666666671</v>
      </c>
      <c r="D6234" s="545">
        <v>11</v>
      </c>
      <c r="E6234" s="545">
        <v>8.6666666666666661</v>
      </c>
      <c r="F6234" s="545">
        <v>27.571428571428577</v>
      </c>
      <c r="G6234" s="545">
        <v>2.0499999999999998</v>
      </c>
      <c r="H6234" s="545">
        <v>0.33333333333333331</v>
      </c>
      <c r="I6234" s="545">
        <v>4.333333333333333</v>
      </c>
      <c r="J6234" s="545">
        <v>2.1309523809523809</v>
      </c>
    </row>
    <row r="6235" spans="1:10">
      <c r="A6235" s="441">
        <v>9797</v>
      </c>
      <c r="B6235" s="441" t="s">
        <v>5353</v>
      </c>
      <c r="C6235" s="545">
        <v>29</v>
      </c>
      <c r="D6235" s="545">
        <v>12.666666666666666</v>
      </c>
      <c r="E6235" s="545">
        <v>5</v>
      </c>
      <c r="F6235" s="545">
        <v>23.238095238095237</v>
      </c>
      <c r="G6235" s="545">
        <v>1.9</v>
      </c>
      <c r="H6235" s="545">
        <v>0.33333333333333331</v>
      </c>
      <c r="I6235" s="545">
        <v>2.6666666666666665</v>
      </c>
      <c r="J6235" s="545">
        <v>1.7857142857142858</v>
      </c>
    </row>
    <row r="6236" spans="1:10">
      <c r="A6236" s="441">
        <v>9796</v>
      </c>
      <c r="B6236" s="441" t="s">
        <v>5354</v>
      </c>
      <c r="C6236" s="545">
        <v>1.8333333333333333</v>
      </c>
      <c r="D6236" s="545">
        <v>1</v>
      </c>
      <c r="E6236" s="545">
        <v>0.33333333333333331</v>
      </c>
      <c r="F6236" s="545">
        <v>1.5</v>
      </c>
      <c r="G6236" s="545">
        <v>0.65</v>
      </c>
      <c r="H6236" s="545">
        <v>0</v>
      </c>
      <c r="I6236" s="545">
        <v>0.66666666666666663</v>
      </c>
      <c r="J6236" s="545">
        <v>0.55952380952380953</v>
      </c>
    </row>
    <row r="6237" spans="1:10">
      <c r="A6237" s="441">
        <v>9799</v>
      </c>
      <c r="B6237" s="441" t="s">
        <v>5354</v>
      </c>
      <c r="C6237" s="545">
        <v>1</v>
      </c>
      <c r="D6237" s="545">
        <v>1</v>
      </c>
      <c r="E6237" s="545">
        <v>1</v>
      </c>
      <c r="F6237" s="545">
        <v>1</v>
      </c>
      <c r="G6237" s="545">
        <v>0.45</v>
      </c>
      <c r="H6237" s="545">
        <v>0</v>
      </c>
      <c r="I6237" s="545">
        <v>0</v>
      </c>
      <c r="J6237" s="545">
        <v>0.32142857142857145</v>
      </c>
    </row>
    <row r="6238" spans="1:10">
      <c r="A6238" s="441">
        <v>11914</v>
      </c>
      <c r="B6238" s="441" t="s">
        <v>5355</v>
      </c>
      <c r="C6238" s="545">
        <v>20</v>
      </c>
      <c r="D6238" s="545">
        <v>10</v>
      </c>
      <c r="E6238" s="545">
        <v>7</v>
      </c>
      <c r="F6238" s="545">
        <v>16.714285714285715</v>
      </c>
      <c r="G6238" s="545">
        <v>17.100000000000001</v>
      </c>
      <c r="H6238" s="545">
        <v>6.666666666666667</v>
      </c>
      <c r="I6238" s="545">
        <v>7.333333333333333</v>
      </c>
      <c r="J6238" s="545">
        <v>14.214285714285714</v>
      </c>
    </row>
    <row r="6239" spans="1:10">
      <c r="A6239" s="441">
        <v>11915</v>
      </c>
      <c r="B6239" s="441" t="s">
        <v>5355</v>
      </c>
      <c r="C6239" s="545">
        <v>24.666666666666664</v>
      </c>
      <c r="D6239" s="545">
        <v>10.333333333333332</v>
      </c>
      <c r="E6239" s="545">
        <v>7</v>
      </c>
      <c r="F6239" s="545">
        <v>20.095238095238095</v>
      </c>
      <c r="G6239" s="545">
        <v>17.100000000000001</v>
      </c>
      <c r="H6239" s="545">
        <v>9.6666666666666661</v>
      </c>
      <c r="I6239" s="545">
        <v>3</v>
      </c>
      <c r="J6239" s="545">
        <v>14.023809523809524</v>
      </c>
    </row>
    <row r="6240" spans="1:10">
      <c r="A6240" s="441">
        <v>11916</v>
      </c>
      <c r="B6240" s="441" t="s">
        <v>5356</v>
      </c>
      <c r="C6240" s="545">
        <v>92.666666666666657</v>
      </c>
      <c r="D6240" s="545">
        <v>74.333333333333343</v>
      </c>
      <c r="E6240" s="545">
        <v>59.666666666666671</v>
      </c>
      <c r="F6240" s="545">
        <v>85.333333333333329</v>
      </c>
      <c r="G6240" s="545">
        <v>55.75</v>
      </c>
      <c r="H6240" s="545">
        <v>36</v>
      </c>
      <c r="I6240" s="545">
        <v>36</v>
      </c>
      <c r="J6240" s="545">
        <v>50.107142857142854</v>
      </c>
    </row>
    <row r="6241" spans="1:10">
      <c r="A6241" s="441">
        <v>11917</v>
      </c>
      <c r="B6241" s="441" t="s">
        <v>5356</v>
      </c>
      <c r="C6241" s="545">
        <v>97.166666666666657</v>
      </c>
      <c r="D6241" s="545">
        <v>72</v>
      </c>
      <c r="E6241" s="545">
        <v>60.666666666666664</v>
      </c>
      <c r="F6241" s="545">
        <v>88.357142857142847</v>
      </c>
      <c r="G6241" s="545">
        <v>51.05</v>
      </c>
      <c r="H6241" s="545">
        <v>36.333333333333336</v>
      </c>
      <c r="I6241" s="545">
        <v>33.333333333333336</v>
      </c>
      <c r="J6241" s="545">
        <v>46.416666666666664</v>
      </c>
    </row>
    <row r="6242" spans="1:10">
      <c r="A6242" s="441">
        <v>10271</v>
      </c>
      <c r="B6242" s="441" t="s">
        <v>5357</v>
      </c>
      <c r="C6242" s="545">
        <v>17.833333333333332</v>
      </c>
      <c r="D6242" s="545">
        <v>13.666666666666666</v>
      </c>
      <c r="E6242" s="545">
        <v>10</v>
      </c>
      <c r="F6242" s="545">
        <v>16.119047619047617</v>
      </c>
      <c r="G6242" s="545">
        <v>12.85</v>
      </c>
      <c r="H6242" s="545">
        <v>8.3333333333333339</v>
      </c>
      <c r="I6242" s="545">
        <v>8</v>
      </c>
      <c r="J6242" s="545">
        <v>11.511904761904761</v>
      </c>
    </row>
    <row r="6243" spans="1:10">
      <c r="A6243" s="441">
        <v>821</v>
      </c>
      <c r="B6243" s="441" t="s">
        <v>5358</v>
      </c>
      <c r="C6243" s="545">
        <v>29</v>
      </c>
      <c r="D6243" s="545">
        <v>25.666666666666664</v>
      </c>
      <c r="E6243" s="545">
        <v>16.333333333333332</v>
      </c>
      <c r="F6243" s="545">
        <v>26.714285714285715</v>
      </c>
      <c r="G6243" s="545">
        <v>11.3</v>
      </c>
      <c r="H6243" s="545">
        <v>15</v>
      </c>
      <c r="I6243" s="545">
        <v>8</v>
      </c>
      <c r="J6243" s="545">
        <v>11.357142857142858</v>
      </c>
    </row>
    <row r="6244" spans="1:10">
      <c r="A6244" s="441">
        <v>4073</v>
      </c>
      <c r="B6244" s="441" t="s">
        <v>5359</v>
      </c>
      <c r="C6244" s="545">
        <v>25.5</v>
      </c>
      <c r="D6244" s="545">
        <v>10</v>
      </c>
      <c r="E6244" s="545">
        <v>3.333333333333333</v>
      </c>
      <c r="F6244" s="545">
        <v>20.11904761904762</v>
      </c>
      <c r="G6244" s="545">
        <v>4.8499999999999996</v>
      </c>
      <c r="H6244" s="545">
        <v>6</v>
      </c>
      <c r="I6244" s="545">
        <v>1.6666666666666667</v>
      </c>
      <c r="J6244" s="545">
        <v>4.5595238095238093</v>
      </c>
    </row>
    <row r="6245" spans="1:10">
      <c r="A6245" s="441">
        <v>12937</v>
      </c>
      <c r="B6245" s="441" t="s">
        <v>5360</v>
      </c>
      <c r="C6245" s="545">
        <v>36.166666666666664</v>
      </c>
      <c r="D6245" s="545">
        <v>22.333333333333332</v>
      </c>
      <c r="E6245" s="545">
        <v>19.333333333333332</v>
      </c>
      <c r="F6245" s="545">
        <v>31.785714285714285</v>
      </c>
      <c r="G6245" s="545">
        <v>18.45</v>
      </c>
      <c r="H6245" s="545">
        <v>14.666666666666666</v>
      </c>
      <c r="I6245" s="545">
        <v>9.3333333333333339</v>
      </c>
      <c r="J6245" s="545">
        <v>16.607142857142858</v>
      </c>
    </row>
    <row r="6246" spans="1:10">
      <c r="A6246" s="441">
        <v>12938</v>
      </c>
      <c r="B6246" s="441" t="s">
        <v>5360</v>
      </c>
      <c r="C6246" s="545">
        <v>56.833333333333329</v>
      </c>
      <c r="D6246" s="545">
        <v>30</v>
      </c>
      <c r="E6246" s="545">
        <v>25</v>
      </c>
      <c r="F6246" s="545">
        <v>48.452380952380949</v>
      </c>
      <c r="G6246" s="545">
        <v>24.9</v>
      </c>
      <c r="H6246" s="545">
        <v>22</v>
      </c>
      <c r="I6246" s="545">
        <v>16.666666666666668</v>
      </c>
      <c r="J6246" s="545">
        <v>23.309523809523807</v>
      </c>
    </row>
    <row r="6247" spans="1:10">
      <c r="A6247" s="441">
        <v>5100</v>
      </c>
      <c r="B6247" s="441" t="s">
        <v>5361</v>
      </c>
      <c r="C6247" s="545">
        <v>11.833333333333334</v>
      </c>
      <c r="D6247" s="545">
        <v>11.666666666666666</v>
      </c>
      <c r="E6247" s="545">
        <v>9.3333333333333339</v>
      </c>
      <c r="F6247" s="545">
        <v>11.452380952380953</v>
      </c>
      <c r="G6247" s="545">
        <v>11.65</v>
      </c>
      <c r="H6247" s="545">
        <v>7</v>
      </c>
      <c r="I6247" s="545">
        <v>8</v>
      </c>
      <c r="J6247" s="545">
        <v>10.464285714285714</v>
      </c>
    </row>
    <row r="6248" spans="1:10">
      <c r="A6248" s="441">
        <v>5111</v>
      </c>
      <c r="B6248" s="441" t="s">
        <v>5361</v>
      </c>
      <c r="C6248" s="545">
        <v>9.6666666666666679</v>
      </c>
      <c r="D6248" s="545">
        <v>6.3333333333333339</v>
      </c>
      <c r="E6248" s="545">
        <v>5.6666666666666661</v>
      </c>
      <c r="F6248" s="545">
        <v>8.6190476190476204</v>
      </c>
      <c r="G6248" s="545">
        <v>20.95</v>
      </c>
      <c r="H6248" s="545">
        <v>6</v>
      </c>
      <c r="I6248" s="545">
        <v>7</v>
      </c>
      <c r="J6248" s="545">
        <v>16.821428571428573</v>
      </c>
    </row>
    <row r="6249" spans="1:10">
      <c r="A6249" s="441">
        <v>8485</v>
      </c>
      <c r="B6249" s="441" t="s">
        <v>5362</v>
      </c>
      <c r="C6249" s="545">
        <v>300.33333333333331</v>
      </c>
      <c r="D6249" s="545">
        <v>246</v>
      </c>
      <c r="E6249" s="545">
        <v>199</v>
      </c>
      <c r="F6249" s="545">
        <v>278.09523809523807</v>
      </c>
      <c r="G6249" s="545">
        <v>243.85</v>
      </c>
      <c r="H6249" s="545">
        <v>207.33333333333334</v>
      </c>
      <c r="I6249" s="545">
        <v>186</v>
      </c>
      <c r="J6249" s="545">
        <v>230.36904761904762</v>
      </c>
    </row>
    <row r="6250" spans="1:10">
      <c r="A6250" s="441">
        <v>8837</v>
      </c>
      <c r="B6250" s="441" t="s">
        <v>5362</v>
      </c>
      <c r="C6250" s="545">
        <v>344.16666666666669</v>
      </c>
      <c r="D6250" s="545">
        <v>281.33333333333337</v>
      </c>
      <c r="E6250" s="545">
        <v>214.33333333333334</v>
      </c>
      <c r="F6250" s="545">
        <v>316.64285714285722</v>
      </c>
      <c r="G6250" s="545">
        <v>249.2</v>
      </c>
      <c r="H6250" s="545">
        <v>216</v>
      </c>
      <c r="I6250" s="545">
        <v>192.66666666666666</v>
      </c>
      <c r="J6250" s="545">
        <v>236.38095238095238</v>
      </c>
    </row>
    <row r="6251" spans="1:10">
      <c r="A6251" s="441">
        <v>8489</v>
      </c>
      <c r="B6251" s="441" t="s">
        <v>5363</v>
      </c>
      <c r="C6251" s="545">
        <v>379.16666666666663</v>
      </c>
      <c r="D6251" s="545">
        <v>299.33333333333331</v>
      </c>
      <c r="E6251" s="545">
        <v>214</v>
      </c>
      <c r="F6251" s="545">
        <v>344.16666666666663</v>
      </c>
      <c r="G6251" s="545">
        <v>224.55</v>
      </c>
      <c r="H6251" s="545">
        <v>182.33333333333334</v>
      </c>
      <c r="I6251" s="545">
        <v>142.33333333333334</v>
      </c>
      <c r="J6251" s="545">
        <v>206.77380952380949</v>
      </c>
    </row>
    <row r="6252" spans="1:10">
      <c r="A6252" s="441">
        <v>8832</v>
      </c>
      <c r="B6252" s="441" t="s">
        <v>5363</v>
      </c>
      <c r="C6252" s="545">
        <v>418.5</v>
      </c>
      <c r="D6252" s="545">
        <v>360.33333333333337</v>
      </c>
      <c r="E6252" s="545">
        <v>272</v>
      </c>
      <c r="F6252" s="545">
        <v>389.26190476190476</v>
      </c>
      <c r="G6252" s="545">
        <v>270.39999999999998</v>
      </c>
      <c r="H6252" s="545">
        <v>241</v>
      </c>
      <c r="I6252" s="545">
        <v>202</v>
      </c>
      <c r="J6252" s="545">
        <v>256.42857142857144</v>
      </c>
    </row>
    <row r="6253" spans="1:10">
      <c r="A6253" s="441">
        <v>5103</v>
      </c>
      <c r="B6253" s="441" t="s">
        <v>5364</v>
      </c>
      <c r="C6253" s="545">
        <v>291.16666666666669</v>
      </c>
      <c r="D6253" s="545">
        <v>209.66666666666666</v>
      </c>
      <c r="E6253" s="545">
        <v>155.33333333333334</v>
      </c>
      <c r="F6253" s="545">
        <v>260.11904761904765</v>
      </c>
      <c r="G6253" s="545">
        <v>197.15</v>
      </c>
      <c r="H6253" s="545">
        <v>120.33333333333333</v>
      </c>
      <c r="I6253" s="545">
        <v>100.33333333333333</v>
      </c>
      <c r="J6253" s="545">
        <v>172.34523809523807</v>
      </c>
    </row>
    <row r="6254" spans="1:10">
      <c r="A6254" s="441">
        <v>5108</v>
      </c>
      <c r="B6254" s="441" t="s">
        <v>5364</v>
      </c>
      <c r="C6254" s="545">
        <v>273.5</v>
      </c>
      <c r="D6254" s="545">
        <v>204.33333333333331</v>
      </c>
      <c r="E6254" s="545">
        <v>143</v>
      </c>
      <c r="F6254" s="545">
        <v>244.97619047619045</v>
      </c>
      <c r="G6254" s="545">
        <v>203.95</v>
      </c>
      <c r="H6254" s="545">
        <v>140</v>
      </c>
      <c r="I6254" s="545">
        <v>98</v>
      </c>
      <c r="J6254" s="545">
        <v>179.67857142857142</v>
      </c>
    </row>
    <row r="6255" spans="1:10">
      <c r="A6255" s="441">
        <v>5104</v>
      </c>
      <c r="B6255" s="441" t="s">
        <v>5365</v>
      </c>
      <c r="C6255" s="545">
        <v>19.166666666666664</v>
      </c>
      <c r="D6255" s="545">
        <v>14.333333333333332</v>
      </c>
      <c r="E6255" s="545">
        <v>14.666666666666668</v>
      </c>
      <c r="F6255" s="545">
        <v>17.833333333333332</v>
      </c>
      <c r="G6255" s="545">
        <v>23.7</v>
      </c>
      <c r="H6255" s="545">
        <v>14</v>
      </c>
      <c r="I6255" s="545">
        <v>17.666666666666668</v>
      </c>
      <c r="J6255" s="545">
        <v>21.452380952380953</v>
      </c>
    </row>
    <row r="6256" spans="1:10">
      <c r="A6256" s="441">
        <v>5105</v>
      </c>
      <c r="B6256" s="441" t="s">
        <v>5366</v>
      </c>
      <c r="C6256" s="545">
        <v>195.83333333333334</v>
      </c>
      <c r="D6256" s="545">
        <v>130.33333333333334</v>
      </c>
      <c r="E6256" s="545">
        <v>86.333333333333343</v>
      </c>
      <c r="F6256" s="545">
        <v>170.83333333333331</v>
      </c>
      <c r="G6256" s="545">
        <v>133.65</v>
      </c>
      <c r="H6256" s="545">
        <v>105.66666666666667</v>
      </c>
      <c r="I6256" s="545">
        <v>83.666666666666671</v>
      </c>
      <c r="J6256" s="545">
        <v>122.51190476190474</v>
      </c>
    </row>
    <row r="6257" spans="1:10">
      <c r="A6257" s="441">
        <v>5106</v>
      </c>
      <c r="B6257" s="441" t="s">
        <v>5366</v>
      </c>
      <c r="C6257" s="545">
        <v>190</v>
      </c>
      <c r="D6257" s="545">
        <v>131</v>
      </c>
      <c r="E6257" s="545">
        <v>96.333333333333343</v>
      </c>
      <c r="F6257" s="545">
        <v>168.19047619047618</v>
      </c>
      <c r="G6257" s="545">
        <v>135.65</v>
      </c>
      <c r="H6257" s="545">
        <v>94.333333333333329</v>
      </c>
      <c r="I6257" s="545">
        <v>72.333333333333329</v>
      </c>
      <c r="J6257" s="545">
        <v>120.70238095238096</v>
      </c>
    </row>
    <row r="6258" spans="1:10">
      <c r="A6258" s="441">
        <v>8490</v>
      </c>
      <c r="B6258" s="441" t="s">
        <v>5367</v>
      </c>
      <c r="C6258" s="545">
        <v>35.666666666666664</v>
      </c>
      <c r="D6258" s="545">
        <v>25.666666666666664</v>
      </c>
      <c r="E6258" s="545">
        <v>20.666666666666668</v>
      </c>
      <c r="F6258" s="545">
        <v>32.095238095238088</v>
      </c>
      <c r="G6258" s="545">
        <v>45.2</v>
      </c>
      <c r="H6258" s="545">
        <v>27.333333333333332</v>
      </c>
      <c r="I6258" s="545">
        <v>19.666666666666668</v>
      </c>
      <c r="J6258" s="545">
        <v>39</v>
      </c>
    </row>
    <row r="6259" spans="1:10">
      <c r="A6259" s="441">
        <v>8831</v>
      </c>
      <c r="B6259" s="441" t="s">
        <v>5367</v>
      </c>
      <c r="C6259" s="545">
        <v>19.333333333333336</v>
      </c>
      <c r="D6259" s="545">
        <v>12.333333333333334</v>
      </c>
      <c r="E6259" s="545">
        <v>16</v>
      </c>
      <c r="F6259" s="545">
        <v>17.857142857142858</v>
      </c>
      <c r="G6259" s="545">
        <v>29.3</v>
      </c>
      <c r="H6259" s="545">
        <v>16.333333333333332</v>
      </c>
      <c r="I6259" s="545">
        <v>15.666666666666666</v>
      </c>
      <c r="J6259" s="545">
        <v>25.5</v>
      </c>
    </row>
    <row r="6260" spans="1:10">
      <c r="A6260" s="441">
        <v>8491</v>
      </c>
      <c r="B6260" s="441" t="s">
        <v>5368</v>
      </c>
      <c r="C6260" s="545">
        <v>40.333333333333336</v>
      </c>
      <c r="D6260" s="545">
        <v>28.666666666666668</v>
      </c>
      <c r="E6260" s="545">
        <v>34.666666666666664</v>
      </c>
      <c r="F6260" s="545">
        <v>37.857142857142854</v>
      </c>
      <c r="G6260" s="545">
        <v>52.75</v>
      </c>
      <c r="H6260" s="545">
        <v>42</v>
      </c>
      <c r="I6260" s="545">
        <v>36.666666666666664</v>
      </c>
      <c r="J6260" s="545">
        <v>48.916666666666671</v>
      </c>
    </row>
    <row r="6261" spans="1:10">
      <c r="A6261" s="441">
        <v>6921</v>
      </c>
      <c r="B6261" s="441" t="s">
        <v>5369</v>
      </c>
      <c r="C6261" s="545">
        <v>69.666666666666671</v>
      </c>
      <c r="D6261" s="545">
        <v>55.666666666666664</v>
      </c>
      <c r="E6261" s="545">
        <v>39.333333333333336</v>
      </c>
      <c r="F6261" s="545">
        <v>63.333333333333336</v>
      </c>
      <c r="G6261" s="545">
        <v>58.4</v>
      </c>
      <c r="H6261" s="545">
        <v>40</v>
      </c>
      <c r="I6261" s="545">
        <v>31</v>
      </c>
      <c r="J6261" s="545">
        <v>51.857142857142854</v>
      </c>
    </row>
    <row r="6262" spans="1:10">
      <c r="A6262" s="441">
        <v>6938</v>
      </c>
      <c r="B6262" s="441" t="s">
        <v>5370</v>
      </c>
      <c r="C6262" s="545">
        <v>12.666666666666668</v>
      </c>
      <c r="D6262" s="545">
        <v>5</v>
      </c>
      <c r="E6262" s="545">
        <v>4.3333333333333339</v>
      </c>
      <c r="F6262" s="545">
        <v>10.380952380952381</v>
      </c>
      <c r="G6262" s="545">
        <v>11.55</v>
      </c>
      <c r="H6262" s="545">
        <v>16.333333333333332</v>
      </c>
      <c r="I6262" s="545">
        <v>3.6666666666666665</v>
      </c>
      <c r="J6262" s="545">
        <v>11.107142857142858</v>
      </c>
    </row>
    <row r="6263" spans="1:10">
      <c r="A6263" s="441">
        <v>6937</v>
      </c>
      <c r="B6263" s="441" t="s">
        <v>5371</v>
      </c>
      <c r="C6263" s="545">
        <v>20.666666666666668</v>
      </c>
      <c r="D6263" s="545">
        <v>10</v>
      </c>
      <c r="E6263" s="545">
        <v>4.333333333333333</v>
      </c>
      <c r="F6263" s="545">
        <v>16.80952380952381</v>
      </c>
      <c r="G6263" s="545">
        <v>16.100000000000001</v>
      </c>
      <c r="H6263" s="545">
        <v>6.333333333333333</v>
      </c>
      <c r="I6263" s="545">
        <v>3.6666666666666665</v>
      </c>
      <c r="J6263" s="545">
        <v>12.928571428571429</v>
      </c>
    </row>
    <row r="6264" spans="1:10">
      <c r="A6264" s="441">
        <v>12977</v>
      </c>
      <c r="B6264" s="441" t="s">
        <v>5372</v>
      </c>
      <c r="C6264" s="545">
        <v>80.833333333333329</v>
      </c>
      <c r="D6264" s="545">
        <v>50.666666666666671</v>
      </c>
      <c r="E6264" s="545">
        <v>39</v>
      </c>
      <c r="F6264" s="545">
        <v>70.547619047619051</v>
      </c>
      <c r="G6264" s="545">
        <v>55.05</v>
      </c>
      <c r="H6264" s="545">
        <v>38</v>
      </c>
      <c r="I6264" s="545">
        <v>22</v>
      </c>
      <c r="J6264" s="545">
        <v>47.892857142857146</v>
      </c>
    </row>
    <row r="6265" spans="1:10">
      <c r="A6265" s="441">
        <v>12978</v>
      </c>
      <c r="B6265" s="441" t="s">
        <v>5372</v>
      </c>
      <c r="C6265" s="545">
        <v>92</v>
      </c>
      <c r="D6265" s="545">
        <v>46.333333333333329</v>
      </c>
      <c r="E6265" s="545">
        <v>40</v>
      </c>
      <c r="F6265" s="545">
        <v>78.047619047619037</v>
      </c>
      <c r="G6265" s="545">
        <v>66.05</v>
      </c>
      <c r="H6265" s="545">
        <v>46</v>
      </c>
      <c r="I6265" s="545">
        <v>24.666666666666668</v>
      </c>
      <c r="J6265" s="545">
        <v>57.273809523809526</v>
      </c>
    </row>
    <row r="6266" spans="1:10">
      <c r="A6266" s="441">
        <v>8493</v>
      </c>
      <c r="B6266" s="441" t="s">
        <v>5373</v>
      </c>
      <c r="C6266" s="545">
        <v>248</v>
      </c>
      <c r="D6266" s="545">
        <v>198.66666666666669</v>
      </c>
      <c r="E6266" s="545">
        <v>157</v>
      </c>
      <c r="F6266" s="545">
        <v>227.95238095238096</v>
      </c>
      <c r="G6266" s="545">
        <v>164.4</v>
      </c>
      <c r="H6266" s="545">
        <v>129.66666666666666</v>
      </c>
      <c r="I6266" s="545">
        <v>100.33333333333333</v>
      </c>
      <c r="J6266" s="545">
        <v>150.28571428571428</v>
      </c>
    </row>
    <row r="6267" spans="1:10">
      <c r="A6267" s="441">
        <v>8828</v>
      </c>
      <c r="B6267" s="441" t="s">
        <v>5373</v>
      </c>
      <c r="C6267" s="545">
        <v>212</v>
      </c>
      <c r="D6267" s="545">
        <v>136.66666666666666</v>
      </c>
      <c r="E6267" s="545">
        <v>105.66666666666666</v>
      </c>
      <c r="F6267" s="545">
        <v>186.04761904761907</v>
      </c>
      <c r="G6267" s="545">
        <v>120.4</v>
      </c>
      <c r="H6267" s="545">
        <v>109.33333333333333</v>
      </c>
      <c r="I6267" s="545">
        <v>80.666666666666671</v>
      </c>
      <c r="J6267" s="545">
        <v>113.14285714285714</v>
      </c>
    </row>
    <row r="6268" spans="1:10">
      <c r="A6268" s="441">
        <v>104</v>
      </c>
      <c r="B6268" s="441" t="s">
        <v>5374</v>
      </c>
      <c r="C6268" s="545">
        <v>14.666666666666666</v>
      </c>
      <c r="D6268" s="545">
        <v>10</v>
      </c>
      <c r="E6268" s="545">
        <v>6.666666666666667</v>
      </c>
      <c r="F6268" s="545">
        <v>12.857142857142858</v>
      </c>
      <c r="G6268" s="545">
        <v>11.85</v>
      </c>
      <c r="H6268" s="545">
        <v>7</v>
      </c>
      <c r="I6268" s="545">
        <v>7</v>
      </c>
      <c r="J6268" s="545">
        <v>10.464285714285714</v>
      </c>
    </row>
    <row r="6269" spans="1:10">
      <c r="A6269" s="441">
        <v>8836</v>
      </c>
      <c r="B6269" s="441" t="s">
        <v>5374</v>
      </c>
      <c r="C6269" s="545">
        <v>15</v>
      </c>
      <c r="D6269" s="545">
        <v>10</v>
      </c>
      <c r="E6269" s="545">
        <v>7.6666666666666661</v>
      </c>
      <c r="F6269" s="545">
        <v>13.238095238095239</v>
      </c>
      <c r="G6269" s="545">
        <v>7.3</v>
      </c>
      <c r="H6269" s="545">
        <v>7</v>
      </c>
      <c r="I6269" s="545">
        <v>5.333333333333333</v>
      </c>
      <c r="J6269" s="545">
        <v>6.9761904761904763</v>
      </c>
    </row>
    <row r="6270" spans="1:10">
      <c r="A6270" s="441">
        <v>5099</v>
      </c>
      <c r="B6270" s="441" t="s">
        <v>5375</v>
      </c>
      <c r="C6270" s="545">
        <v>60.166666666666664</v>
      </c>
      <c r="D6270" s="545">
        <v>41</v>
      </c>
      <c r="E6270" s="545">
        <v>41.666666666666664</v>
      </c>
      <c r="F6270" s="545">
        <v>54.785714285714285</v>
      </c>
      <c r="G6270" s="545">
        <v>43.55</v>
      </c>
      <c r="H6270" s="545">
        <v>31.666666666666668</v>
      </c>
      <c r="I6270" s="545">
        <v>23.666666666666668</v>
      </c>
      <c r="J6270" s="545">
        <v>39.011904761904759</v>
      </c>
    </row>
    <row r="6271" spans="1:10">
      <c r="A6271" s="441">
        <v>5112</v>
      </c>
      <c r="B6271" s="441" t="s">
        <v>5375</v>
      </c>
      <c r="C6271" s="545">
        <v>53.5</v>
      </c>
      <c r="D6271" s="545">
        <v>51</v>
      </c>
      <c r="E6271" s="545">
        <v>39.333333333333329</v>
      </c>
      <c r="F6271" s="545">
        <v>51.119047619047613</v>
      </c>
      <c r="G6271" s="545">
        <v>50.95</v>
      </c>
      <c r="H6271" s="545">
        <v>40</v>
      </c>
      <c r="I6271" s="545">
        <v>24.666666666666668</v>
      </c>
      <c r="J6271" s="545">
        <v>45.630952380952387</v>
      </c>
    </row>
    <row r="6272" spans="1:10">
      <c r="A6272" s="441">
        <v>12578</v>
      </c>
      <c r="B6272" s="441" t="s">
        <v>5376</v>
      </c>
      <c r="C6272" s="545">
        <v>13</v>
      </c>
      <c r="D6272" s="545">
        <v>6</v>
      </c>
      <c r="E6272" s="545">
        <v>9.6666666666666661</v>
      </c>
      <c r="F6272" s="545">
        <v>11.523809523809524</v>
      </c>
      <c r="G6272" s="545">
        <v>12.15</v>
      </c>
      <c r="H6272" s="545">
        <v>5.333333333333333</v>
      </c>
      <c r="I6272" s="545">
        <v>5.333333333333333</v>
      </c>
      <c r="J6272" s="545">
        <v>10.202380952380951</v>
      </c>
    </row>
    <row r="6273" spans="1:10">
      <c r="A6273" s="441">
        <v>12579</v>
      </c>
      <c r="B6273" s="441" t="s">
        <v>5376</v>
      </c>
      <c r="C6273" s="545">
        <v>5.6666666666666661</v>
      </c>
      <c r="D6273" s="545">
        <v>4</v>
      </c>
      <c r="E6273" s="545">
        <v>3</v>
      </c>
      <c r="F6273" s="545">
        <v>5.0476190476190466</v>
      </c>
      <c r="G6273" s="545">
        <v>16.100000000000001</v>
      </c>
      <c r="H6273" s="545">
        <v>6</v>
      </c>
      <c r="I6273" s="545">
        <v>2.6666666666666665</v>
      </c>
      <c r="J6273" s="545">
        <v>12.738095238095239</v>
      </c>
    </row>
    <row r="6274" spans="1:10">
      <c r="A6274" s="441">
        <v>5102</v>
      </c>
      <c r="B6274" s="441" t="s">
        <v>5377</v>
      </c>
      <c r="C6274" s="545">
        <v>24.833333333333332</v>
      </c>
      <c r="D6274" s="545">
        <v>24</v>
      </c>
      <c r="E6274" s="545">
        <v>12</v>
      </c>
      <c r="F6274" s="545">
        <v>22.88095238095238</v>
      </c>
      <c r="G6274" s="545">
        <v>19.100000000000001</v>
      </c>
      <c r="H6274" s="545">
        <v>24</v>
      </c>
      <c r="I6274" s="545">
        <v>17.333333333333332</v>
      </c>
      <c r="J6274" s="545">
        <v>19.547619047619047</v>
      </c>
    </row>
    <row r="6275" spans="1:10">
      <c r="A6275" s="441">
        <v>5109</v>
      </c>
      <c r="B6275" s="441" t="s">
        <v>5377</v>
      </c>
      <c r="C6275" s="545">
        <v>34.333333333333336</v>
      </c>
      <c r="D6275" s="545">
        <v>25.333333333333336</v>
      </c>
      <c r="E6275" s="545">
        <v>20.333333333333332</v>
      </c>
      <c r="F6275" s="545">
        <v>31.047619047619055</v>
      </c>
      <c r="G6275" s="545">
        <v>35.450000000000003</v>
      </c>
      <c r="H6275" s="545">
        <v>33.666666666666664</v>
      </c>
      <c r="I6275" s="545">
        <v>21</v>
      </c>
      <c r="J6275" s="545">
        <v>33.13095238095238</v>
      </c>
    </row>
    <row r="6276" spans="1:10">
      <c r="A6276" s="441">
        <v>8488</v>
      </c>
      <c r="B6276" s="441" t="s">
        <v>5378</v>
      </c>
      <c r="C6276" s="545">
        <v>19.5</v>
      </c>
      <c r="D6276" s="545">
        <v>14.666666666666668</v>
      </c>
      <c r="E6276" s="545">
        <v>12.333333333333332</v>
      </c>
      <c r="F6276" s="545">
        <v>17.785714285714285</v>
      </c>
      <c r="G6276" s="545">
        <v>25.3</v>
      </c>
      <c r="H6276" s="545">
        <v>21</v>
      </c>
      <c r="I6276" s="545">
        <v>22</v>
      </c>
      <c r="J6276" s="545">
        <v>24.214285714285715</v>
      </c>
    </row>
    <row r="6277" spans="1:10">
      <c r="A6277" s="441">
        <v>8833</v>
      </c>
      <c r="B6277" s="441" t="s">
        <v>5378</v>
      </c>
      <c r="C6277" s="545">
        <v>31.166666666666668</v>
      </c>
      <c r="D6277" s="545">
        <v>21.333333333333332</v>
      </c>
      <c r="E6277" s="545">
        <v>26.666666666666668</v>
      </c>
      <c r="F6277" s="545">
        <v>29.11904761904762</v>
      </c>
      <c r="G6277" s="545">
        <v>27.75</v>
      </c>
      <c r="H6277" s="545">
        <v>22.666666666666668</v>
      </c>
      <c r="I6277" s="545">
        <v>22.333333333333332</v>
      </c>
      <c r="J6277" s="545">
        <v>26.25</v>
      </c>
    </row>
    <row r="6278" spans="1:10">
      <c r="A6278" s="441">
        <v>12576</v>
      </c>
      <c r="B6278" s="441" t="s">
        <v>5379</v>
      </c>
      <c r="C6278" s="545">
        <v>28</v>
      </c>
      <c r="D6278" s="545">
        <v>30.333333333333332</v>
      </c>
      <c r="E6278" s="545">
        <v>20.333333333333336</v>
      </c>
      <c r="F6278" s="545">
        <v>27.238095238095241</v>
      </c>
      <c r="G6278" s="545">
        <v>20</v>
      </c>
      <c r="H6278" s="545">
        <v>17.666666666666668</v>
      </c>
      <c r="I6278" s="545">
        <v>12</v>
      </c>
      <c r="J6278" s="545">
        <v>18.523809523809526</v>
      </c>
    </row>
    <row r="6279" spans="1:10">
      <c r="A6279" s="441">
        <v>8495</v>
      </c>
      <c r="B6279" s="441" t="s">
        <v>5380</v>
      </c>
      <c r="C6279" s="545">
        <v>68.166666666666671</v>
      </c>
      <c r="D6279" s="545">
        <v>49.666666666666664</v>
      </c>
      <c r="E6279" s="545">
        <v>32</v>
      </c>
      <c r="F6279" s="545">
        <v>60.357142857142868</v>
      </c>
      <c r="G6279" s="545">
        <v>42.1</v>
      </c>
      <c r="H6279" s="545">
        <v>28.666666666666668</v>
      </c>
      <c r="I6279" s="545">
        <v>22.333333333333332</v>
      </c>
      <c r="J6279" s="545">
        <v>37.357142857142854</v>
      </c>
    </row>
    <row r="6280" spans="1:10">
      <c r="A6280" s="441">
        <v>8826</v>
      </c>
      <c r="B6280" s="441" t="s">
        <v>5380</v>
      </c>
      <c r="C6280" s="545">
        <v>34.5</v>
      </c>
      <c r="D6280" s="545">
        <v>26.333333333333332</v>
      </c>
      <c r="E6280" s="545">
        <v>18.666666666666664</v>
      </c>
      <c r="F6280" s="545">
        <v>31.071428571428573</v>
      </c>
      <c r="G6280" s="545">
        <v>26.3</v>
      </c>
      <c r="H6280" s="545">
        <v>25</v>
      </c>
      <c r="I6280" s="545">
        <v>18.333333333333332</v>
      </c>
      <c r="J6280" s="545">
        <v>24.976190476190478</v>
      </c>
    </row>
    <row r="6281" spans="1:10">
      <c r="A6281" s="441">
        <v>8496</v>
      </c>
      <c r="B6281" s="441" t="s">
        <v>5381</v>
      </c>
      <c r="C6281" s="545">
        <v>193</v>
      </c>
      <c r="D6281" s="545">
        <v>132.33333333333334</v>
      </c>
      <c r="E6281" s="545">
        <v>100.66666666666667</v>
      </c>
      <c r="F6281" s="545">
        <v>171.14285714285714</v>
      </c>
      <c r="G6281" s="545">
        <v>143.4</v>
      </c>
      <c r="H6281" s="545">
        <v>97.666666666666671</v>
      </c>
      <c r="I6281" s="545">
        <v>81.333333333333329</v>
      </c>
      <c r="J6281" s="545">
        <v>128</v>
      </c>
    </row>
    <row r="6282" spans="1:10">
      <c r="A6282" s="441">
        <v>8825</v>
      </c>
      <c r="B6282" s="441" t="s">
        <v>5381</v>
      </c>
      <c r="C6282" s="545">
        <v>174.66666666666669</v>
      </c>
      <c r="D6282" s="545">
        <v>124.66666666666667</v>
      </c>
      <c r="E6282" s="545">
        <v>81.333333333333329</v>
      </c>
      <c r="F6282" s="545">
        <v>154.1904761904762</v>
      </c>
      <c r="G6282" s="545">
        <v>133.35</v>
      </c>
      <c r="H6282" s="545">
        <v>98.333333333333329</v>
      </c>
      <c r="I6282" s="545">
        <v>82.333333333333329</v>
      </c>
      <c r="J6282" s="545">
        <v>121.05952380952382</v>
      </c>
    </row>
    <row r="6283" spans="1:10">
      <c r="A6283" s="441">
        <v>6918</v>
      </c>
      <c r="B6283" s="441" t="s">
        <v>5382</v>
      </c>
      <c r="C6283" s="545">
        <v>85</v>
      </c>
      <c r="D6283" s="545">
        <v>69.666666666666657</v>
      </c>
      <c r="E6283" s="545">
        <v>52.333333333333336</v>
      </c>
      <c r="F6283" s="545">
        <v>78.142857142857139</v>
      </c>
      <c r="G6283" s="545">
        <v>61.25</v>
      </c>
      <c r="H6283" s="545">
        <v>55</v>
      </c>
      <c r="I6283" s="545">
        <v>41.333333333333336</v>
      </c>
      <c r="J6283" s="545">
        <v>57.511904761904759</v>
      </c>
    </row>
    <row r="6284" spans="1:10">
      <c r="A6284" s="441">
        <v>5101</v>
      </c>
      <c r="B6284" s="441" t="s">
        <v>5383</v>
      </c>
      <c r="C6284" s="545">
        <v>7.166666666666667</v>
      </c>
      <c r="D6284" s="545">
        <v>2</v>
      </c>
      <c r="E6284" s="545">
        <v>4</v>
      </c>
      <c r="F6284" s="545">
        <v>5.9761904761904763</v>
      </c>
      <c r="G6284" s="545">
        <v>7.7</v>
      </c>
      <c r="H6284" s="545">
        <v>7.666666666666667</v>
      </c>
      <c r="I6284" s="545">
        <v>5</v>
      </c>
      <c r="J6284" s="545">
        <v>7.3095238095238093</v>
      </c>
    </row>
    <row r="6285" spans="1:10">
      <c r="A6285" s="441">
        <v>5110</v>
      </c>
      <c r="B6285" s="441" t="s">
        <v>5383</v>
      </c>
      <c r="C6285" s="545">
        <v>6.166666666666667</v>
      </c>
      <c r="D6285" s="545">
        <v>3</v>
      </c>
      <c r="E6285" s="545">
        <v>5.333333333333333</v>
      </c>
      <c r="F6285" s="545">
        <v>5.5952380952380958</v>
      </c>
      <c r="G6285" s="545">
        <v>4.5999999999999996</v>
      </c>
      <c r="H6285" s="545">
        <v>2.6666666666666665</v>
      </c>
      <c r="I6285" s="545">
        <v>5.333333333333333</v>
      </c>
      <c r="J6285" s="545">
        <v>4.4285714285714288</v>
      </c>
    </row>
    <row r="6286" spans="1:10">
      <c r="A6286" s="441">
        <v>5097</v>
      </c>
      <c r="B6286" s="441" t="s">
        <v>5384</v>
      </c>
      <c r="C6286" s="545">
        <v>101.83333333333334</v>
      </c>
      <c r="D6286" s="545">
        <v>91</v>
      </c>
      <c r="E6286" s="545">
        <v>78.333333333333343</v>
      </c>
      <c r="F6286" s="545">
        <v>96.928571428571445</v>
      </c>
      <c r="G6286" s="545">
        <v>97.15</v>
      </c>
      <c r="H6286" s="545">
        <v>95.333333333333329</v>
      </c>
      <c r="I6286" s="545">
        <v>83.333333333333329</v>
      </c>
      <c r="J6286" s="545">
        <v>94.916666666666671</v>
      </c>
    </row>
    <row r="6287" spans="1:10">
      <c r="A6287" s="441">
        <v>8484</v>
      </c>
      <c r="B6287" s="441" t="s">
        <v>5384</v>
      </c>
      <c r="C6287" s="545">
        <v>83.666666666666671</v>
      </c>
      <c r="D6287" s="545">
        <v>90.666666666666657</v>
      </c>
      <c r="E6287" s="545">
        <v>73.333333333333343</v>
      </c>
      <c r="F6287" s="545">
        <v>83.19047619047619</v>
      </c>
      <c r="G6287" s="545">
        <v>65.650000000000006</v>
      </c>
      <c r="H6287" s="545">
        <v>70</v>
      </c>
      <c r="I6287" s="545">
        <v>50.666666666666664</v>
      </c>
      <c r="J6287" s="545">
        <v>64.13095238095238</v>
      </c>
    </row>
    <row r="6288" spans="1:10">
      <c r="A6288" s="441">
        <v>8487</v>
      </c>
      <c r="B6288" s="441" t="s">
        <v>5385</v>
      </c>
      <c r="C6288" s="545">
        <v>12.666666666666668</v>
      </c>
      <c r="D6288" s="545">
        <v>17.666666666666668</v>
      </c>
      <c r="E6288" s="545">
        <v>9</v>
      </c>
      <c r="F6288" s="545">
        <v>12.857142857142859</v>
      </c>
      <c r="G6288" s="545">
        <v>13.1</v>
      </c>
      <c r="H6288" s="545">
        <v>11.666666666666666</v>
      </c>
      <c r="I6288" s="545">
        <v>12</v>
      </c>
      <c r="J6288" s="545">
        <v>12.738095238095239</v>
      </c>
    </row>
    <row r="6289" spans="1:10">
      <c r="A6289" s="441">
        <v>8834</v>
      </c>
      <c r="B6289" s="441" t="s">
        <v>5385</v>
      </c>
      <c r="C6289" s="545">
        <v>14.833333333333334</v>
      </c>
      <c r="D6289" s="545">
        <v>17</v>
      </c>
      <c r="E6289" s="545">
        <v>12</v>
      </c>
      <c r="F6289" s="545">
        <v>14.738095238095239</v>
      </c>
      <c r="G6289" s="545">
        <v>14.6</v>
      </c>
      <c r="H6289" s="545">
        <v>7</v>
      </c>
      <c r="I6289" s="545">
        <v>11</v>
      </c>
      <c r="J6289" s="545">
        <v>13</v>
      </c>
    </row>
    <row r="6290" spans="1:10">
      <c r="A6290" s="441">
        <v>8492</v>
      </c>
      <c r="B6290" s="441" t="s">
        <v>5386</v>
      </c>
      <c r="C6290" s="545">
        <v>209.16666666666666</v>
      </c>
      <c r="D6290" s="545">
        <v>176.33333333333331</v>
      </c>
      <c r="E6290" s="545">
        <v>160.33333333333334</v>
      </c>
      <c r="F6290" s="545">
        <v>197.49999999999997</v>
      </c>
      <c r="G6290" s="545">
        <v>181.75</v>
      </c>
      <c r="H6290" s="545">
        <v>170.66666666666666</v>
      </c>
      <c r="I6290" s="545">
        <v>152.33333333333334</v>
      </c>
      <c r="J6290" s="545">
        <v>175.96428571428572</v>
      </c>
    </row>
    <row r="6291" spans="1:10">
      <c r="A6291" s="441">
        <v>8829</v>
      </c>
      <c r="B6291" s="441" t="s">
        <v>5386</v>
      </c>
      <c r="C6291" s="545">
        <v>263</v>
      </c>
      <c r="D6291" s="545">
        <v>242.66666666666669</v>
      </c>
      <c r="E6291" s="545">
        <v>212.66666666666669</v>
      </c>
      <c r="F6291" s="545">
        <v>252.90476190476193</v>
      </c>
      <c r="G6291" s="545">
        <v>230.65</v>
      </c>
      <c r="H6291" s="545">
        <v>190.66666666666666</v>
      </c>
      <c r="I6291" s="545">
        <v>177.66666666666666</v>
      </c>
      <c r="J6291" s="545">
        <v>217.36904761904765</v>
      </c>
    </row>
    <row r="6292" spans="1:10">
      <c r="A6292" s="441">
        <v>8486</v>
      </c>
      <c r="B6292" s="441" t="s">
        <v>5387</v>
      </c>
      <c r="C6292" s="545">
        <v>58.166666666666671</v>
      </c>
      <c r="D6292" s="545">
        <v>35</v>
      </c>
      <c r="E6292" s="545">
        <v>25</v>
      </c>
      <c r="F6292" s="545">
        <v>50.119047619047628</v>
      </c>
      <c r="G6292" s="545">
        <v>27.95</v>
      </c>
      <c r="H6292" s="545">
        <v>20.333333333333332</v>
      </c>
      <c r="I6292" s="545">
        <v>10</v>
      </c>
      <c r="J6292" s="545">
        <v>24.297619047619047</v>
      </c>
    </row>
    <row r="6293" spans="1:10">
      <c r="A6293" s="441">
        <v>8835</v>
      </c>
      <c r="B6293" s="441" t="s">
        <v>5387</v>
      </c>
      <c r="C6293" s="545">
        <v>47.333333333333336</v>
      </c>
      <c r="D6293" s="545">
        <v>23.333333333333332</v>
      </c>
      <c r="E6293" s="545">
        <v>17.333333333333336</v>
      </c>
      <c r="F6293" s="545">
        <v>39.619047619047613</v>
      </c>
      <c r="G6293" s="545">
        <v>22.65</v>
      </c>
      <c r="H6293" s="545">
        <v>13.333333333333334</v>
      </c>
      <c r="I6293" s="545">
        <v>14.333333333333334</v>
      </c>
      <c r="J6293" s="545">
        <v>20.13095238095238</v>
      </c>
    </row>
    <row r="6294" spans="1:10">
      <c r="A6294" s="441">
        <v>6936</v>
      </c>
      <c r="B6294" s="441" t="s">
        <v>5388</v>
      </c>
      <c r="C6294" s="545">
        <v>62.666666666666671</v>
      </c>
      <c r="D6294" s="545">
        <v>8</v>
      </c>
      <c r="E6294" s="545">
        <v>8</v>
      </c>
      <c r="F6294" s="545">
        <v>47.047619047619051</v>
      </c>
      <c r="G6294" s="545">
        <v>33.700000000000003</v>
      </c>
      <c r="H6294" s="545">
        <v>6.333333333333333</v>
      </c>
      <c r="I6294" s="545">
        <v>5.333333333333333</v>
      </c>
      <c r="J6294" s="545">
        <v>25.738095238095241</v>
      </c>
    </row>
    <row r="6295" spans="1:10">
      <c r="A6295" s="441">
        <v>6922</v>
      </c>
      <c r="B6295" s="441" t="s">
        <v>5389</v>
      </c>
      <c r="C6295" s="545">
        <v>28.333333333333336</v>
      </c>
      <c r="D6295" s="545">
        <v>11.333333333333334</v>
      </c>
      <c r="E6295" s="545">
        <v>11</v>
      </c>
      <c r="F6295" s="545">
        <v>23.428571428571434</v>
      </c>
      <c r="G6295" s="545">
        <v>20.45</v>
      </c>
      <c r="H6295" s="545">
        <v>14</v>
      </c>
      <c r="I6295" s="545">
        <v>9.3333333333333339</v>
      </c>
      <c r="J6295" s="545">
        <v>17.94047619047619</v>
      </c>
    </row>
    <row r="6296" spans="1:10">
      <c r="A6296" s="441">
        <v>6928</v>
      </c>
      <c r="B6296" s="441" t="s">
        <v>5389</v>
      </c>
      <c r="C6296" s="545">
        <v>28</v>
      </c>
      <c r="D6296" s="545">
        <v>16.333333333333336</v>
      </c>
      <c r="E6296" s="545">
        <v>13.666666666666666</v>
      </c>
      <c r="F6296" s="545">
        <v>24.285714285714285</v>
      </c>
      <c r="G6296" s="545">
        <v>15.2</v>
      </c>
      <c r="H6296" s="545">
        <v>14.333333333333334</v>
      </c>
      <c r="I6296" s="545">
        <v>12.333333333333334</v>
      </c>
      <c r="J6296" s="545">
        <v>14.666666666666666</v>
      </c>
    </row>
    <row r="6297" spans="1:10">
      <c r="A6297" s="441">
        <v>5098</v>
      </c>
      <c r="B6297" s="441" t="s">
        <v>5390</v>
      </c>
      <c r="C6297" s="545">
        <v>47.5</v>
      </c>
      <c r="D6297" s="545">
        <v>35.666666666666664</v>
      </c>
      <c r="E6297" s="545">
        <v>26</v>
      </c>
      <c r="F6297" s="545">
        <v>42.738095238095241</v>
      </c>
      <c r="G6297" s="545">
        <v>33.950000000000003</v>
      </c>
      <c r="H6297" s="545">
        <v>24.333333333333332</v>
      </c>
      <c r="I6297" s="545">
        <v>18.333333333333332</v>
      </c>
      <c r="J6297" s="545">
        <v>30.345238095238098</v>
      </c>
    </row>
    <row r="6298" spans="1:10">
      <c r="A6298" s="441">
        <v>5113</v>
      </c>
      <c r="B6298" s="441" t="s">
        <v>5390</v>
      </c>
      <c r="C6298" s="545">
        <v>56.166666666666664</v>
      </c>
      <c r="D6298" s="545">
        <v>23.666666666666664</v>
      </c>
      <c r="E6298" s="545">
        <v>27.333333333333332</v>
      </c>
      <c r="F6298" s="545">
        <v>47.404761904761905</v>
      </c>
      <c r="G6298" s="545">
        <v>38.35</v>
      </c>
      <c r="H6298" s="545">
        <v>30.333333333333332</v>
      </c>
      <c r="I6298" s="545">
        <v>23.666666666666668</v>
      </c>
      <c r="J6298" s="545">
        <v>35.107142857142854</v>
      </c>
    </row>
    <row r="6299" spans="1:10">
      <c r="A6299" s="441">
        <v>12577</v>
      </c>
      <c r="B6299" s="441" t="s">
        <v>5391</v>
      </c>
      <c r="C6299" s="545">
        <v>290.83333333333331</v>
      </c>
      <c r="D6299" s="545">
        <v>205.33333333333334</v>
      </c>
      <c r="E6299" s="545">
        <v>173</v>
      </c>
      <c r="F6299" s="545">
        <v>261.78571428571428</v>
      </c>
      <c r="G6299" s="545">
        <v>190.75</v>
      </c>
      <c r="H6299" s="545">
        <v>123.33333333333333</v>
      </c>
      <c r="I6299" s="545">
        <v>120.66666666666667</v>
      </c>
      <c r="J6299" s="545">
        <v>171.10714285714286</v>
      </c>
    </row>
    <row r="6300" spans="1:10">
      <c r="A6300" s="441">
        <v>6920</v>
      </c>
      <c r="B6300" s="441" t="s">
        <v>5392</v>
      </c>
      <c r="C6300" s="545">
        <v>22.833333333333336</v>
      </c>
      <c r="D6300" s="545">
        <v>19.333333333333332</v>
      </c>
      <c r="E6300" s="545">
        <v>15</v>
      </c>
      <c r="F6300" s="545">
        <v>21.214285714285719</v>
      </c>
      <c r="G6300" s="545">
        <v>43.4</v>
      </c>
      <c r="H6300" s="545">
        <v>8</v>
      </c>
      <c r="I6300" s="545">
        <v>10.333333333333334</v>
      </c>
      <c r="J6300" s="545">
        <v>33.61904761904762</v>
      </c>
    </row>
    <row r="6301" spans="1:10">
      <c r="A6301" s="441">
        <v>12574</v>
      </c>
      <c r="B6301" s="441" t="s">
        <v>5392</v>
      </c>
      <c r="C6301" s="545">
        <v>44.333333333333336</v>
      </c>
      <c r="D6301" s="545">
        <v>27.333333333333336</v>
      </c>
      <c r="E6301" s="545">
        <v>20.666666666666664</v>
      </c>
      <c r="F6301" s="545">
        <v>38.523809523809526</v>
      </c>
      <c r="G6301" s="545">
        <v>27.2</v>
      </c>
      <c r="H6301" s="545">
        <v>56</v>
      </c>
      <c r="I6301" s="545">
        <v>17.333333333333332</v>
      </c>
      <c r="J6301" s="545">
        <v>29.904761904761905</v>
      </c>
    </row>
    <row r="6302" spans="1:10">
      <c r="A6302" s="441">
        <v>8494</v>
      </c>
      <c r="B6302" s="441" t="s">
        <v>5393</v>
      </c>
      <c r="C6302" s="545">
        <v>130</v>
      </c>
      <c r="D6302" s="545">
        <v>83.333333333333343</v>
      </c>
      <c r="E6302" s="545">
        <v>59.333333333333336</v>
      </c>
      <c r="F6302" s="545">
        <v>113.23809523809526</v>
      </c>
      <c r="G6302" s="545">
        <v>69.849999999999994</v>
      </c>
      <c r="H6302" s="545">
        <v>68.666666666666671</v>
      </c>
      <c r="I6302" s="545">
        <v>40.333333333333336</v>
      </c>
      <c r="J6302" s="545">
        <v>65.464285714285708</v>
      </c>
    </row>
    <row r="6303" spans="1:10">
      <c r="A6303" s="441">
        <v>8827</v>
      </c>
      <c r="B6303" s="441" t="s">
        <v>5393</v>
      </c>
      <c r="C6303" s="545">
        <v>154.16666666666669</v>
      </c>
      <c r="D6303" s="545">
        <v>104.66666666666666</v>
      </c>
      <c r="E6303" s="545">
        <v>73.333333333333343</v>
      </c>
      <c r="F6303" s="545">
        <v>135.54761904761907</v>
      </c>
      <c r="G6303" s="545">
        <v>77.8</v>
      </c>
      <c r="H6303" s="545">
        <v>58.666666666666664</v>
      </c>
      <c r="I6303" s="545">
        <v>52.333333333333336</v>
      </c>
      <c r="J6303" s="545">
        <v>71.428571428571431</v>
      </c>
    </row>
    <row r="6304" spans="1:10">
      <c r="A6304" s="441">
        <v>6929</v>
      </c>
      <c r="B6304" s="441" t="s">
        <v>5394</v>
      </c>
      <c r="C6304" s="545">
        <v>61.166666666666671</v>
      </c>
      <c r="D6304" s="545">
        <v>47</v>
      </c>
      <c r="E6304" s="545">
        <v>34.666666666666664</v>
      </c>
      <c r="F6304" s="545">
        <v>55.357142857142868</v>
      </c>
      <c r="G6304" s="545">
        <v>66.900000000000006</v>
      </c>
      <c r="H6304" s="545">
        <v>38</v>
      </c>
      <c r="I6304" s="545">
        <v>27.666666666666668</v>
      </c>
      <c r="J6304" s="545">
        <v>57.166666666666671</v>
      </c>
    </row>
    <row r="6305" spans="1:10">
      <c r="A6305" s="441">
        <v>503</v>
      </c>
      <c r="B6305" s="441" t="s">
        <v>5395</v>
      </c>
      <c r="C6305" s="545">
        <v>16.5</v>
      </c>
      <c r="D6305" s="545">
        <v>13.666666666666668</v>
      </c>
      <c r="E6305" s="545">
        <v>12.666666666666666</v>
      </c>
      <c r="F6305" s="545">
        <v>15.547619047619049</v>
      </c>
      <c r="G6305" s="545">
        <v>24.35</v>
      </c>
      <c r="H6305" s="545">
        <v>33.666666666666664</v>
      </c>
      <c r="I6305" s="545">
        <v>19</v>
      </c>
      <c r="J6305" s="545">
        <v>24.916666666666664</v>
      </c>
    </row>
    <row r="6306" spans="1:10">
      <c r="A6306" s="441">
        <v>504</v>
      </c>
      <c r="B6306" s="441" t="s">
        <v>5396</v>
      </c>
      <c r="C6306" s="545">
        <v>13.833333333333334</v>
      </c>
      <c r="D6306" s="545">
        <v>5.666666666666667</v>
      </c>
      <c r="E6306" s="545">
        <v>3.3333333333333335</v>
      </c>
      <c r="F6306" s="545">
        <v>11.166666666666668</v>
      </c>
      <c r="G6306" s="545">
        <v>7.2</v>
      </c>
      <c r="H6306" s="545">
        <v>4.333333333333333</v>
      </c>
      <c r="I6306" s="545">
        <v>4</v>
      </c>
      <c r="J6306" s="545">
        <v>6.3333333333333339</v>
      </c>
    </row>
    <row r="6307" spans="1:10">
      <c r="A6307" s="441">
        <v>3350</v>
      </c>
      <c r="B6307" s="441" t="s">
        <v>5397</v>
      </c>
      <c r="C6307" s="545">
        <v>18</v>
      </c>
      <c r="D6307" s="545">
        <v>16.333333333333332</v>
      </c>
      <c r="E6307" s="545">
        <v>8</v>
      </c>
      <c r="F6307" s="545">
        <v>16.333333333333332</v>
      </c>
      <c r="G6307" s="545">
        <v>31.15</v>
      </c>
      <c r="H6307" s="545">
        <v>31</v>
      </c>
      <c r="I6307" s="545">
        <v>25.333333333333332</v>
      </c>
      <c r="J6307" s="545">
        <v>30.297619047619047</v>
      </c>
    </row>
    <row r="6308" spans="1:10">
      <c r="A6308" s="441">
        <v>3349</v>
      </c>
      <c r="B6308" s="441" t="s">
        <v>5398</v>
      </c>
      <c r="C6308" s="545">
        <v>8.6666666666666661</v>
      </c>
      <c r="D6308" s="545">
        <v>5.333333333333333</v>
      </c>
      <c r="E6308" s="545">
        <v>4</v>
      </c>
      <c r="F6308" s="545">
        <v>7.5238095238095237</v>
      </c>
      <c r="G6308" s="545">
        <v>11.6</v>
      </c>
      <c r="H6308" s="545">
        <v>2.3333333333333335</v>
      </c>
      <c r="I6308" s="545">
        <v>2.3333333333333335</v>
      </c>
      <c r="J6308" s="545">
        <v>8.9523809523809526</v>
      </c>
    </row>
    <row r="6309" spans="1:10">
      <c r="A6309" s="441">
        <v>1428</v>
      </c>
      <c r="B6309" s="441" t="s">
        <v>5399</v>
      </c>
      <c r="C6309" s="545">
        <v>73.833333333333343</v>
      </c>
      <c r="D6309" s="545">
        <v>26.333333333333336</v>
      </c>
      <c r="E6309" s="545">
        <v>33</v>
      </c>
      <c r="F6309" s="545">
        <v>61.214285714285722</v>
      </c>
      <c r="G6309" s="545">
        <v>43.6</v>
      </c>
      <c r="H6309" s="545">
        <v>12</v>
      </c>
      <c r="I6309" s="545">
        <v>26.666666666666668</v>
      </c>
      <c r="J6309" s="545">
        <v>36.666666666666671</v>
      </c>
    </row>
    <row r="6310" spans="1:10">
      <c r="A6310" s="441">
        <v>9318</v>
      </c>
      <c r="B6310" s="441" t="s">
        <v>5400</v>
      </c>
      <c r="C6310" s="545">
        <v>107.16666666666667</v>
      </c>
      <c r="D6310" s="545">
        <v>69.333333333333343</v>
      </c>
      <c r="E6310" s="545">
        <v>73.666666666666671</v>
      </c>
      <c r="F6310" s="545">
        <v>96.976190476190482</v>
      </c>
      <c r="G6310" s="545">
        <v>53.05</v>
      </c>
      <c r="H6310" s="545">
        <v>34.666666666666664</v>
      </c>
      <c r="I6310" s="545">
        <v>22.333333333333332</v>
      </c>
      <c r="J6310" s="545">
        <v>46.035714285714285</v>
      </c>
    </row>
    <row r="6311" spans="1:10">
      <c r="A6311" s="441">
        <v>1110</v>
      </c>
      <c r="B6311" s="441" t="s">
        <v>5401</v>
      </c>
      <c r="C6311" s="545">
        <v>14</v>
      </c>
      <c r="D6311" s="545">
        <v>1.3333333333333333</v>
      </c>
      <c r="E6311" s="545">
        <v>1.3333333333333333</v>
      </c>
      <c r="F6311" s="545">
        <v>10.38095238095238</v>
      </c>
      <c r="G6311" s="545">
        <v>3.75</v>
      </c>
      <c r="H6311" s="545">
        <v>0.66666666666666663</v>
      </c>
      <c r="I6311" s="545">
        <v>0.33333333333333331</v>
      </c>
      <c r="J6311" s="545">
        <v>2.8214285714285716</v>
      </c>
    </row>
    <row r="6312" spans="1:10">
      <c r="A6312" s="441">
        <v>9316</v>
      </c>
      <c r="B6312" s="441" t="s">
        <v>5401</v>
      </c>
      <c r="C6312" s="545">
        <v>8.5</v>
      </c>
      <c r="D6312" s="545">
        <v>0</v>
      </c>
      <c r="E6312" s="545">
        <v>1</v>
      </c>
      <c r="F6312" s="545">
        <v>6.2142857142857144</v>
      </c>
      <c r="G6312" s="545">
        <v>2.1</v>
      </c>
      <c r="H6312" s="545">
        <v>2.3333333333333335</v>
      </c>
      <c r="I6312" s="545">
        <v>0</v>
      </c>
      <c r="J6312" s="545">
        <v>1.8333333333333335</v>
      </c>
    </row>
    <row r="6313" spans="1:10">
      <c r="A6313" s="441">
        <v>1111</v>
      </c>
      <c r="B6313" s="441" t="s">
        <v>5402</v>
      </c>
      <c r="C6313" s="545">
        <v>28</v>
      </c>
      <c r="D6313" s="545">
        <v>13.666666666666668</v>
      </c>
      <c r="E6313" s="545">
        <v>10</v>
      </c>
      <c r="F6313" s="545">
        <v>23.38095238095238</v>
      </c>
      <c r="G6313" s="545">
        <v>14.9</v>
      </c>
      <c r="H6313" s="545">
        <v>5.666666666666667</v>
      </c>
      <c r="I6313" s="545">
        <v>3.6666666666666665</v>
      </c>
      <c r="J6313" s="545">
        <v>11.976190476190478</v>
      </c>
    </row>
    <row r="6314" spans="1:10">
      <c r="A6314" s="441">
        <v>1109</v>
      </c>
      <c r="B6314" s="441" t="s">
        <v>5403</v>
      </c>
      <c r="C6314" s="545">
        <v>6.666666666666667</v>
      </c>
      <c r="D6314" s="545">
        <v>3.6666666666666665</v>
      </c>
      <c r="E6314" s="545">
        <v>2.6666666666666665</v>
      </c>
      <c r="F6314" s="545">
        <v>5.6666666666666661</v>
      </c>
      <c r="G6314" s="545">
        <v>2.2000000000000002</v>
      </c>
      <c r="H6314" s="545">
        <v>8</v>
      </c>
      <c r="I6314" s="545">
        <v>1</v>
      </c>
      <c r="J6314" s="545">
        <v>2.8571428571428572</v>
      </c>
    </row>
    <row r="6315" spans="1:10">
      <c r="A6315" s="441">
        <v>9317</v>
      </c>
      <c r="B6315" s="441" t="s">
        <v>5403</v>
      </c>
      <c r="C6315" s="545">
        <v>3.5</v>
      </c>
      <c r="D6315" s="545">
        <v>1</v>
      </c>
      <c r="E6315" s="545">
        <v>4.333333333333333</v>
      </c>
      <c r="F6315" s="545">
        <v>3.2619047619047619</v>
      </c>
      <c r="G6315" s="545">
        <v>2.4500000000000002</v>
      </c>
      <c r="H6315" s="545">
        <v>2.3333333333333335</v>
      </c>
      <c r="I6315" s="545">
        <v>0</v>
      </c>
      <c r="J6315" s="545">
        <v>2.0833333333333335</v>
      </c>
    </row>
    <row r="6316" spans="1:10">
      <c r="A6316" s="441">
        <v>9319</v>
      </c>
      <c r="B6316" s="441" t="s">
        <v>5404</v>
      </c>
      <c r="C6316" s="545">
        <v>8</v>
      </c>
      <c r="D6316" s="545">
        <v>3.6666666666666665</v>
      </c>
      <c r="E6316" s="545">
        <v>3.6666666666666665</v>
      </c>
      <c r="F6316" s="545">
        <v>6.761904761904761</v>
      </c>
      <c r="G6316" s="545">
        <v>5.25</v>
      </c>
      <c r="H6316" s="545">
        <v>3.6666666666666665</v>
      </c>
      <c r="I6316" s="545">
        <v>3</v>
      </c>
      <c r="J6316" s="545">
        <v>4.7023809523809534</v>
      </c>
    </row>
    <row r="6317" spans="1:10">
      <c r="A6317" s="441">
        <v>9315</v>
      </c>
      <c r="B6317" s="441" t="s">
        <v>5405</v>
      </c>
      <c r="C6317" s="545">
        <v>2.6666666666666665</v>
      </c>
      <c r="D6317" s="545">
        <v>3.3333333333333335</v>
      </c>
      <c r="E6317" s="545">
        <v>0.33333333333333331</v>
      </c>
      <c r="F6317" s="545">
        <v>2.4285714285714279</v>
      </c>
      <c r="G6317" s="545">
        <v>1.2</v>
      </c>
      <c r="H6317" s="545">
        <v>1</v>
      </c>
      <c r="I6317" s="545">
        <v>1.6666666666666667</v>
      </c>
      <c r="J6317" s="545">
        <v>1.2380952380952379</v>
      </c>
    </row>
    <row r="6318" spans="1:10">
      <c r="A6318" s="441">
        <v>3926</v>
      </c>
      <c r="B6318" s="441" t="s">
        <v>5406</v>
      </c>
      <c r="C6318" s="545">
        <v>0.16666666666666666</v>
      </c>
      <c r="D6318" s="545">
        <v>0</v>
      </c>
      <c r="E6318" s="545">
        <v>0</v>
      </c>
      <c r="F6318" s="545">
        <v>0.11904761904761904</v>
      </c>
      <c r="G6318" s="545">
        <v>1.9</v>
      </c>
      <c r="H6318" s="545">
        <v>0.66666666666666663</v>
      </c>
      <c r="I6318" s="545">
        <v>0</v>
      </c>
      <c r="J6318" s="545">
        <v>1.4523809523809523</v>
      </c>
    </row>
    <row r="6319" spans="1:10">
      <c r="A6319" s="441">
        <v>3577</v>
      </c>
      <c r="B6319" s="441" t="s">
        <v>5407</v>
      </c>
      <c r="C6319" s="545">
        <v>0.16666666666666666</v>
      </c>
      <c r="D6319" s="545">
        <v>0</v>
      </c>
      <c r="E6319" s="545">
        <v>0</v>
      </c>
      <c r="F6319" s="545">
        <v>0.11904761904761904</v>
      </c>
      <c r="G6319" s="545">
        <v>0</v>
      </c>
      <c r="H6319" s="545">
        <v>0</v>
      </c>
      <c r="I6319" s="545">
        <v>0</v>
      </c>
      <c r="J6319" s="545">
        <v>0</v>
      </c>
    </row>
    <row r="6320" spans="1:10">
      <c r="A6320" s="441">
        <v>2518</v>
      </c>
      <c r="B6320" s="441" t="s">
        <v>5408</v>
      </c>
      <c r="C6320" s="545">
        <v>108.33333333333334</v>
      </c>
      <c r="D6320" s="545">
        <v>77.666666666666671</v>
      </c>
      <c r="E6320" s="545">
        <v>48</v>
      </c>
      <c r="F6320" s="545">
        <v>95.333333333333343</v>
      </c>
      <c r="G6320" s="545">
        <v>75.5</v>
      </c>
      <c r="H6320" s="545">
        <v>48</v>
      </c>
      <c r="I6320" s="545">
        <v>46.333333333333336</v>
      </c>
      <c r="J6320" s="545">
        <v>67.404761904761898</v>
      </c>
    </row>
    <row r="6321" spans="1:10">
      <c r="A6321" s="441">
        <v>2536</v>
      </c>
      <c r="B6321" s="441" t="s">
        <v>5409</v>
      </c>
      <c r="C6321" s="545">
        <v>9.1666666666666661</v>
      </c>
      <c r="D6321" s="545">
        <v>6</v>
      </c>
      <c r="E6321" s="545">
        <v>6.666666666666667</v>
      </c>
      <c r="F6321" s="545">
        <v>8.3571428571428559</v>
      </c>
      <c r="G6321" s="545">
        <v>14.1</v>
      </c>
      <c r="H6321" s="545">
        <v>1.3333333333333333</v>
      </c>
      <c r="I6321" s="545">
        <v>0.33333333333333331</v>
      </c>
      <c r="J6321" s="545">
        <v>10.309523809523808</v>
      </c>
    </row>
    <row r="6322" spans="1:10">
      <c r="A6322" s="441">
        <v>11776</v>
      </c>
      <c r="B6322" s="441" t="s">
        <v>5409</v>
      </c>
      <c r="C6322" s="545">
        <v>26.666666666666668</v>
      </c>
      <c r="D6322" s="545">
        <v>11.666666666666668</v>
      </c>
      <c r="E6322" s="545">
        <v>8</v>
      </c>
      <c r="F6322" s="545">
        <v>21.857142857142858</v>
      </c>
      <c r="G6322" s="545">
        <v>8.3000000000000007</v>
      </c>
      <c r="H6322" s="545">
        <v>2</v>
      </c>
      <c r="I6322" s="545">
        <v>0</v>
      </c>
      <c r="J6322" s="545">
        <v>6.2142857142857144</v>
      </c>
    </row>
    <row r="6323" spans="1:10">
      <c r="A6323" s="441">
        <v>2535</v>
      </c>
      <c r="B6323" s="441" t="s">
        <v>5410</v>
      </c>
      <c r="C6323" s="545">
        <v>67.5</v>
      </c>
      <c r="D6323" s="545">
        <v>42</v>
      </c>
      <c r="E6323" s="545">
        <v>33.333333333333336</v>
      </c>
      <c r="F6323" s="545">
        <v>58.976190476190474</v>
      </c>
      <c r="G6323" s="545">
        <v>61.6</v>
      </c>
      <c r="H6323" s="545">
        <v>32.333333333333336</v>
      </c>
      <c r="I6323" s="545">
        <v>25.666666666666668</v>
      </c>
      <c r="J6323" s="545">
        <v>52.285714285714285</v>
      </c>
    </row>
    <row r="6324" spans="1:10">
      <c r="A6324" s="441">
        <v>2521</v>
      </c>
      <c r="B6324" s="441" t="s">
        <v>5411</v>
      </c>
      <c r="C6324" s="545">
        <v>44.833333333333329</v>
      </c>
      <c r="D6324" s="545">
        <v>20</v>
      </c>
      <c r="E6324" s="545">
        <v>12.666666666666666</v>
      </c>
      <c r="F6324" s="545">
        <v>36.69047619047619</v>
      </c>
      <c r="G6324" s="545">
        <v>24.2</v>
      </c>
      <c r="H6324" s="545">
        <v>10.666666666666666</v>
      </c>
      <c r="I6324" s="545">
        <v>13.333333333333334</v>
      </c>
      <c r="J6324" s="545">
        <v>20.714285714285715</v>
      </c>
    </row>
    <row r="6325" spans="1:10">
      <c r="A6325" s="441">
        <v>2530</v>
      </c>
      <c r="B6325" s="441" t="s">
        <v>5411</v>
      </c>
      <c r="C6325" s="545">
        <v>49.833333333333329</v>
      </c>
      <c r="D6325" s="545">
        <v>22</v>
      </c>
      <c r="E6325" s="545">
        <v>14</v>
      </c>
      <c r="F6325" s="545">
        <v>40.738095238095234</v>
      </c>
      <c r="G6325" s="545">
        <v>23.5</v>
      </c>
      <c r="H6325" s="545">
        <v>8</v>
      </c>
      <c r="I6325" s="545">
        <v>9.3333333333333339</v>
      </c>
      <c r="J6325" s="545">
        <v>19.261904761904763</v>
      </c>
    </row>
    <row r="6326" spans="1:10">
      <c r="A6326" s="441">
        <v>2524</v>
      </c>
      <c r="B6326" s="441" t="s">
        <v>5412</v>
      </c>
      <c r="C6326" s="545">
        <v>42</v>
      </c>
      <c r="D6326" s="545">
        <v>20</v>
      </c>
      <c r="E6326" s="545">
        <v>16.666666666666664</v>
      </c>
      <c r="F6326" s="545">
        <v>35.238095238095234</v>
      </c>
      <c r="G6326" s="545">
        <v>35.15</v>
      </c>
      <c r="H6326" s="545">
        <v>16.666666666666668</v>
      </c>
      <c r="I6326" s="545">
        <v>17</v>
      </c>
      <c r="J6326" s="545">
        <v>29.916666666666664</v>
      </c>
    </row>
    <row r="6327" spans="1:10">
      <c r="A6327" s="441">
        <v>2527</v>
      </c>
      <c r="B6327" s="441" t="s">
        <v>5412</v>
      </c>
      <c r="C6327" s="545">
        <v>51.166666666666664</v>
      </c>
      <c r="D6327" s="545">
        <v>27</v>
      </c>
      <c r="E6327" s="545">
        <v>22</v>
      </c>
      <c r="F6327" s="545">
        <v>43.547619047619044</v>
      </c>
      <c r="G6327" s="545">
        <v>28.15</v>
      </c>
      <c r="H6327" s="545">
        <v>13.666666666666666</v>
      </c>
      <c r="I6327" s="545">
        <v>12.333333333333334</v>
      </c>
      <c r="J6327" s="545">
        <v>23.821428571428573</v>
      </c>
    </row>
    <row r="6328" spans="1:10">
      <c r="A6328" s="441">
        <v>5779</v>
      </c>
      <c r="B6328" s="441" t="s">
        <v>5413</v>
      </c>
      <c r="C6328" s="545">
        <v>1.8333333333333335</v>
      </c>
      <c r="D6328" s="545">
        <v>0.66666666666666663</v>
      </c>
      <c r="E6328" s="545">
        <v>0.66666666666666663</v>
      </c>
      <c r="F6328" s="545">
        <v>1.5</v>
      </c>
      <c r="G6328" s="545">
        <v>0.9</v>
      </c>
      <c r="H6328" s="545">
        <v>0.66666666666666663</v>
      </c>
      <c r="I6328" s="545">
        <v>0</v>
      </c>
      <c r="J6328" s="545">
        <v>0.73809523809523814</v>
      </c>
    </row>
    <row r="6329" spans="1:10">
      <c r="A6329" s="441">
        <v>10038</v>
      </c>
      <c r="B6329" s="441" t="s">
        <v>5413</v>
      </c>
      <c r="C6329" s="545">
        <v>50.333333333333329</v>
      </c>
      <c r="D6329" s="545">
        <v>21.666666666666664</v>
      </c>
      <c r="E6329" s="545">
        <v>17</v>
      </c>
      <c r="F6329" s="545">
        <v>41.476190476190474</v>
      </c>
      <c r="G6329" s="545">
        <v>34.200000000000003</v>
      </c>
      <c r="H6329" s="545">
        <v>16</v>
      </c>
      <c r="I6329" s="545">
        <v>20.666666666666668</v>
      </c>
      <c r="J6329" s="545">
        <v>29.666666666666664</v>
      </c>
    </row>
    <row r="6330" spans="1:10">
      <c r="A6330" s="441">
        <v>10931</v>
      </c>
      <c r="B6330" s="441" t="s">
        <v>5414</v>
      </c>
      <c r="C6330" s="545">
        <v>1.1666666666666667</v>
      </c>
      <c r="D6330" s="545">
        <v>1</v>
      </c>
      <c r="E6330" s="545">
        <v>1</v>
      </c>
      <c r="F6330" s="545">
        <v>1.1190476190476191</v>
      </c>
      <c r="G6330" s="545">
        <v>0.4</v>
      </c>
      <c r="H6330" s="545">
        <v>0</v>
      </c>
      <c r="I6330" s="545">
        <v>0.33333333333333331</v>
      </c>
      <c r="J6330" s="545">
        <v>0.33333333333333337</v>
      </c>
    </row>
    <row r="6331" spans="1:10">
      <c r="A6331" s="441">
        <v>2517</v>
      </c>
      <c r="B6331" s="441" t="s">
        <v>5415</v>
      </c>
      <c r="C6331" s="545">
        <v>136</v>
      </c>
      <c r="D6331" s="545">
        <v>93.666666666666657</v>
      </c>
      <c r="E6331" s="545">
        <v>75.666666666666657</v>
      </c>
      <c r="F6331" s="545">
        <v>121.33333333333333</v>
      </c>
      <c r="G6331" s="545">
        <v>106.1</v>
      </c>
      <c r="H6331" s="545">
        <v>56.333333333333336</v>
      </c>
      <c r="I6331" s="545">
        <v>66.666666666666671</v>
      </c>
      <c r="J6331" s="545">
        <v>93.357142857142861</v>
      </c>
    </row>
    <row r="6332" spans="1:10">
      <c r="A6332" s="441">
        <v>11463</v>
      </c>
      <c r="B6332" s="441" t="s">
        <v>5415</v>
      </c>
      <c r="C6332" s="545">
        <v>28.666666666666668</v>
      </c>
      <c r="D6332" s="545">
        <v>16.666666666666668</v>
      </c>
      <c r="E6332" s="545">
        <v>14.666666666666666</v>
      </c>
      <c r="F6332" s="545">
        <v>24.952380952380953</v>
      </c>
      <c r="G6332" s="545">
        <v>29.95</v>
      </c>
      <c r="H6332" s="545">
        <v>14</v>
      </c>
      <c r="I6332" s="545">
        <v>12.333333333333334</v>
      </c>
      <c r="J6332" s="545">
        <v>25.154761904761905</v>
      </c>
    </row>
    <row r="6333" spans="1:10">
      <c r="A6333" s="441">
        <v>2519</v>
      </c>
      <c r="B6333" s="441" t="s">
        <v>5416</v>
      </c>
      <c r="C6333" s="545">
        <v>37.833333333333329</v>
      </c>
      <c r="D6333" s="545">
        <v>21</v>
      </c>
      <c r="E6333" s="545">
        <v>18</v>
      </c>
      <c r="F6333" s="545">
        <v>32.595238095238088</v>
      </c>
      <c r="G6333" s="545">
        <v>32.15</v>
      </c>
      <c r="H6333" s="545">
        <v>13.333333333333334</v>
      </c>
      <c r="I6333" s="545">
        <v>17</v>
      </c>
      <c r="J6333" s="545">
        <v>27.297619047619047</v>
      </c>
    </row>
    <row r="6334" spans="1:10">
      <c r="A6334" s="441">
        <v>2532</v>
      </c>
      <c r="B6334" s="441" t="s">
        <v>5416</v>
      </c>
      <c r="C6334" s="545">
        <v>23.166666666666668</v>
      </c>
      <c r="D6334" s="545">
        <v>16.666666666666668</v>
      </c>
      <c r="E6334" s="545">
        <v>15.333333333333332</v>
      </c>
      <c r="F6334" s="545">
        <v>21.11904761904762</v>
      </c>
      <c r="G6334" s="545">
        <v>21.75</v>
      </c>
      <c r="H6334" s="545">
        <v>12.666666666666666</v>
      </c>
      <c r="I6334" s="545">
        <v>14.333333333333334</v>
      </c>
      <c r="J6334" s="545">
        <v>19.392857142857142</v>
      </c>
    </row>
    <row r="6335" spans="1:10">
      <c r="A6335" s="441">
        <v>2522</v>
      </c>
      <c r="B6335" s="441" t="s">
        <v>5417</v>
      </c>
      <c r="C6335" s="545">
        <v>91.833333333333329</v>
      </c>
      <c r="D6335" s="545">
        <v>39</v>
      </c>
      <c r="E6335" s="545">
        <v>21.666666666666668</v>
      </c>
      <c r="F6335" s="545">
        <v>74.261904761904745</v>
      </c>
      <c r="G6335" s="545">
        <v>56.35</v>
      </c>
      <c r="H6335" s="545">
        <v>27.666666666666668</v>
      </c>
      <c r="I6335" s="545">
        <v>19.666666666666668</v>
      </c>
      <c r="J6335" s="545">
        <v>47.011904761904766</v>
      </c>
    </row>
    <row r="6336" spans="1:10">
      <c r="A6336" s="441">
        <v>2529</v>
      </c>
      <c r="B6336" s="441" t="s">
        <v>5417</v>
      </c>
      <c r="C6336" s="545">
        <v>92.333333333333329</v>
      </c>
      <c r="D6336" s="545">
        <v>39</v>
      </c>
      <c r="E6336" s="545">
        <v>30.666666666666668</v>
      </c>
      <c r="F6336" s="545">
        <v>75.904761904761898</v>
      </c>
      <c r="G6336" s="545">
        <v>67.3</v>
      </c>
      <c r="H6336" s="545">
        <v>25.333333333333332</v>
      </c>
      <c r="I6336" s="545">
        <v>22</v>
      </c>
      <c r="J6336" s="545">
        <v>54.833333333333329</v>
      </c>
    </row>
    <row r="6337" spans="1:10">
      <c r="A6337" s="441">
        <v>2533</v>
      </c>
      <c r="B6337" s="441" t="s">
        <v>5418</v>
      </c>
      <c r="C6337" s="545">
        <v>89.5</v>
      </c>
      <c r="D6337" s="545">
        <v>56</v>
      </c>
      <c r="E6337" s="545">
        <v>37.333333333333336</v>
      </c>
      <c r="F6337" s="545">
        <v>77.261904761904773</v>
      </c>
      <c r="G6337" s="545">
        <v>52.05</v>
      </c>
      <c r="H6337" s="545">
        <v>41</v>
      </c>
      <c r="I6337" s="545">
        <v>30.333333333333332</v>
      </c>
      <c r="J6337" s="545">
        <v>47.369047619047613</v>
      </c>
    </row>
    <row r="6338" spans="1:10">
      <c r="A6338" s="441">
        <v>5786</v>
      </c>
      <c r="B6338" s="441" t="s">
        <v>5419</v>
      </c>
      <c r="C6338" s="545">
        <v>43.833333333333336</v>
      </c>
      <c r="D6338" s="545">
        <v>21</v>
      </c>
      <c r="E6338" s="545">
        <v>12</v>
      </c>
      <c r="F6338" s="545">
        <v>36.023809523809526</v>
      </c>
      <c r="G6338" s="545">
        <v>24.05</v>
      </c>
      <c r="H6338" s="545">
        <v>7</v>
      </c>
      <c r="I6338" s="545">
        <v>10.333333333333334</v>
      </c>
      <c r="J6338" s="545">
        <v>19.654761904761905</v>
      </c>
    </row>
    <row r="6339" spans="1:10">
      <c r="A6339" s="441">
        <v>2525</v>
      </c>
      <c r="B6339" s="441" t="s">
        <v>5420</v>
      </c>
      <c r="C6339" s="545">
        <v>17.166666666666668</v>
      </c>
      <c r="D6339" s="545">
        <v>11.333333333333334</v>
      </c>
      <c r="E6339" s="545">
        <v>11</v>
      </c>
      <c r="F6339" s="545">
        <v>15.452380952380953</v>
      </c>
      <c r="G6339" s="545">
        <v>9.75</v>
      </c>
      <c r="H6339" s="545">
        <v>6.333333333333333</v>
      </c>
      <c r="I6339" s="545">
        <v>2.3333333333333335</v>
      </c>
      <c r="J6339" s="545">
        <v>8.2023809523809526</v>
      </c>
    </row>
    <row r="6340" spans="1:10">
      <c r="A6340" s="441">
        <v>5783</v>
      </c>
      <c r="B6340" s="441" t="s">
        <v>5420</v>
      </c>
      <c r="C6340" s="545">
        <v>57.666666666666664</v>
      </c>
      <c r="D6340" s="545">
        <v>43.333333333333329</v>
      </c>
      <c r="E6340" s="545">
        <v>29</v>
      </c>
      <c r="F6340" s="545">
        <v>51.523809523809518</v>
      </c>
      <c r="G6340" s="545">
        <v>42</v>
      </c>
      <c r="H6340" s="545">
        <v>18.333333333333332</v>
      </c>
      <c r="I6340" s="545">
        <v>23</v>
      </c>
      <c r="J6340" s="545">
        <v>35.904761904761905</v>
      </c>
    </row>
    <row r="6341" spans="1:10">
      <c r="A6341" s="441">
        <v>10173</v>
      </c>
      <c r="B6341" s="441" t="s">
        <v>5420</v>
      </c>
      <c r="C6341" s="545">
        <v>61.666666666666671</v>
      </c>
      <c r="D6341" s="545">
        <v>37</v>
      </c>
      <c r="E6341" s="545">
        <v>31</v>
      </c>
      <c r="F6341" s="545">
        <v>53.761904761904766</v>
      </c>
      <c r="G6341" s="545">
        <v>30.2</v>
      </c>
      <c r="H6341" s="545">
        <v>13.666666666666666</v>
      </c>
      <c r="I6341" s="545">
        <v>15.333333333333334</v>
      </c>
      <c r="J6341" s="545">
        <v>25.714285714285715</v>
      </c>
    </row>
    <row r="6342" spans="1:10">
      <c r="A6342" s="441">
        <v>5776</v>
      </c>
      <c r="B6342" s="441" t="s">
        <v>5421</v>
      </c>
      <c r="C6342" s="545">
        <v>3.5</v>
      </c>
      <c r="D6342" s="545">
        <v>0.33333333333333331</v>
      </c>
      <c r="E6342" s="545">
        <v>4.666666666666667</v>
      </c>
      <c r="F6342" s="545">
        <v>3.2142857142857144</v>
      </c>
      <c r="G6342" s="545">
        <v>1.95</v>
      </c>
      <c r="H6342" s="545">
        <v>0</v>
      </c>
      <c r="I6342" s="545">
        <v>0</v>
      </c>
      <c r="J6342" s="545">
        <v>1.3928571428571428</v>
      </c>
    </row>
    <row r="6343" spans="1:10">
      <c r="A6343" s="441">
        <v>5789</v>
      </c>
      <c r="B6343" s="441" t="s">
        <v>5421</v>
      </c>
      <c r="C6343" s="545">
        <v>12</v>
      </c>
      <c r="D6343" s="545">
        <v>2.3333333333333335</v>
      </c>
      <c r="E6343" s="545">
        <v>0.66666666666666663</v>
      </c>
      <c r="F6343" s="545">
        <v>9</v>
      </c>
      <c r="G6343" s="545">
        <v>4.5</v>
      </c>
      <c r="H6343" s="545">
        <v>1</v>
      </c>
      <c r="I6343" s="545">
        <v>0</v>
      </c>
      <c r="J6343" s="545">
        <v>3.3571428571428572</v>
      </c>
    </row>
    <row r="6344" spans="1:10">
      <c r="A6344" s="441">
        <v>11341</v>
      </c>
      <c r="B6344" s="441" t="s">
        <v>5422</v>
      </c>
      <c r="C6344" s="545">
        <v>24.166666666666668</v>
      </c>
      <c r="D6344" s="545">
        <v>13</v>
      </c>
      <c r="E6344" s="545">
        <v>11.666666666666666</v>
      </c>
      <c r="F6344" s="545">
        <v>20.785714285714285</v>
      </c>
      <c r="G6344" s="545">
        <v>17.75</v>
      </c>
      <c r="H6344" s="545">
        <v>6.666666666666667</v>
      </c>
      <c r="I6344" s="545">
        <v>9.3333333333333339</v>
      </c>
      <c r="J6344" s="545">
        <v>14.964285714285714</v>
      </c>
    </row>
    <row r="6345" spans="1:10">
      <c r="A6345" s="441">
        <v>11342</v>
      </c>
      <c r="B6345" s="441" t="s">
        <v>5422</v>
      </c>
      <c r="C6345" s="545">
        <v>37</v>
      </c>
      <c r="D6345" s="545">
        <v>25.666666666666668</v>
      </c>
      <c r="E6345" s="545">
        <v>15.666666666666668</v>
      </c>
      <c r="F6345" s="545">
        <v>32.333333333333329</v>
      </c>
      <c r="G6345" s="545">
        <v>30.55</v>
      </c>
      <c r="H6345" s="545">
        <v>20</v>
      </c>
      <c r="I6345" s="545">
        <v>14</v>
      </c>
      <c r="J6345" s="545">
        <v>26.678571428571427</v>
      </c>
    </row>
    <row r="6346" spans="1:10">
      <c r="A6346" s="441">
        <v>2528</v>
      </c>
      <c r="B6346" s="441" t="s">
        <v>5423</v>
      </c>
      <c r="C6346" s="545">
        <v>85</v>
      </c>
      <c r="D6346" s="545">
        <v>57.666666666666664</v>
      </c>
      <c r="E6346" s="545">
        <v>30.666666666666668</v>
      </c>
      <c r="F6346" s="545">
        <v>73.333333333333343</v>
      </c>
      <c r="G6346" s="545">
        <v>75.599999999999994</v>
      </c>
      <c r="H6346" s="545">
        <v>51</v>
      </c>
      <c r="I6346" s="545">
        <v>28.333333333333332</v>
      </c>
      <c r="J6346" s="545">
        <v>65.333333333333329</v>
      </c>
    </row>
    <row r="6347" spans="1:10">
      <c r="A6347" s="441">
        <v>11695</v>
      </c>
      <c r="B6347" s="441" t="s">
        <v>5423</v>
      </c>
      <c r="C6347" s="545">
        <v>79.166666666666657</v>
      </c>
      <c r="D6347" s="545">
        <v>52.333333333333329</v>
      </c>
      <c r="E6347" s="545">
        <v>28.333333333333336</v>
      </c>
      <c r="F6347" s="545">
        <v>68.071428571428555</v>
      </c>
      <c r="G6347" s="545">
        <v>82.55</v>
      </c>
      <c r="H6347" s="545">
        <v>36</v>
      </c>
      <c r="I6347" s="545">
        <v>24.666666666666668</v>
      </c>
      <c r="J6347" s="545">
        <v>67.63095238095238</v>
      </c>
    </row>
    <row r="6348" spans="1:10">
      <c r="A6348" s="441">
        <v>5788</v>
      </c>
      <c r="B6348" s="441" t="s">
        <v>5424</v>
      </c>
      <c r="C6348" s="545">
        <v>21.166666666666668</v>
      </c>
      <c r="D6348" s="545">
        <v>6.666666666666667</v>
      </c>
      <c r="E6348" s="545">
        <v>1</v>
      </c>
      <c r="F6348" s="545">
        <v>16.214285714285715</v>
      </c>
      <c r="G6348" s="545">
        <v>16.399999999999999</v>
      </c>
      <c r="H6348" s="545">
        <v>3</v>
      </c>
      <c r="I6348" s="545">
        <v>1.3333333333333333</v>
      </c>
      <c r="J6348" s="545">
        <v>12.333333333333332</v>
      </c>
    </row>
    <row r="6349" spans="1:10">
      <c r="A6349" s="441">
        <v>10930</v>
      </c>
      <c r="B6349" s="441" t="s">
        <v>5424</v>
      </c>
      <c r="C6349" s="545">
        <v>59</v>
      </c>
      <c r="D6349" s="545">
        <v>24.333333333333332</v>
      </c>
      <c r="E6349" s="545">
        <v>9.6666666666666661</v>
      </c>
      <c r="F6349" s="545">
        <v>47</v>
      </c>
      <c r="G6349" s="545">
        <v>40.299999999999997</v>
      </c>
      <c r="H6349" s="545">
        <v>10.333333333333334</v>
      </c>
      <c r="I6349" s="545">
        <v>10</v>
      </c>
      <c r="J6349" s="545">
        <v>31.690476190476193</v>
      </c>
    </row>
    <row r="6350" spans="1:10">
      <c r="A6350" s="441">
        <v>5033</v>
      </c>
      <c r="B6350" s="441" t="s">
        <v>5425</v>
      </c>
      <c r="C6350" s="545">
        <v>6.333333333333333</v>
      </c>
      <c r="D6350" s="545">
        <v>3</v>
      </c>
      <c r="E6350" s="545">
        <v>1</v>
      </c>
      <c r="F6350" s="545">
        <v>5.0952380952380949</v>
      </c>
      <c r="G6350" s="545">
        <v>4.25</v>
      </c>
      <c r="H6350" s="545">
        <v>2.3333333333333335</v>
      </c>
      <c r="I6350" s="545">
        <v>0.33333333333333331</v>
      </c>
      <c r="J6350" s="545">
        <v>3.4166666666666665</v>
      </c>
    </row>
    <row r="6351" spans="1:10">
      <c r="A6351" s="441">
        <v>5039</v>
      </c>
      <c r="B6351" s="441" t="s">
        <v>5425</v>
      </c>
      <c r="C6351" s="545">
        <v>5.166666666666667</v>
      </c>
      <c r="D6351" s="545">
        <v>1.6666666666666665</v>
      </c>
      <c r="E6351" s="545">
        <v>0.66666666666666663</v>
      </c>
      <c r="F6351" s="545">
        <v>4.0238095238095246</v>
      </c>
      <c r="G6351" s="545">
        <v>5.6</v>
      </c>
      <c r="H6351" s="545">
        <v>0</v>
      </c>
      <c r="I6351" s="545">
        <v>0.33333333333333331</v>
      </c>
      <c r="J6351" s="545">
        <v>4.0476190476190474</v>
      </c>
    </row>
    <row r="6352" spans="1:10">
      <c r="A6352" s="441">
        <v>5034</v>
      </c>
      <c r="B6352" s="441" t="s">
        <v>5426</v>
      </c>
      <c r="C6352" s="545">
        <v>3.8333333333333335</v>
      </c>
      <c r="D6352" s="545">
        <v>0</v>
      </c>
      <c r="E6352" s="545">
        <v>1</v>
      </c>
      <c r="F6352" s="545">
        <v>2.8809523809523809</v>
      </c>
      <c r="G6352" s="545">
        <v>2.35</v>
      </c>
      <c r="H6352" s="545">
        <v>0.33333333333333331</v>
      </c>
      <c r="I6352" s="545">
        <v>0</v>
      </c>
      <c r="J6352" s="545">
        <v>1.7261904761904763</v>
      </c>
    </row>
    <row r="6353" spans="1:10">
      <c r="A6353" s="441">
        <v>5035</v>
      </c>
      <c r="B6353" s="441" t="s">
        <v>5427</v>
      </c>
      <c r="C6353" s="545">
        <v>13.166666666666668</v>
      </c>
      <c r="D6353" s="545">
        <v>2</v>
      </c>
      <c r="E6353" s="545">
        <v>1</v>
      </c>
      <c r="F6353" s="545">
        <v>9.8333333333333339</v>
      </c>
      <c r="G6353" s="545">
        <v>4.05</v>
      </c>
      <c r="H6353" s="545">
        <v>1.6666666666666667</v>
      </c>
      <c r="I6353" s="545">
        <v>2</v>
      </c>
      <c r="J6353" s="545">
        <v>3.416666666666667</v>
      </c>
    </row>
    <row r="6354" spans="1:10">
      <c r="A6354" s="441">
        <v>5036</v>
      </c>
      <c r="B6354" s="441" t="s">
        <v>5427</v>
      </c>
      <c r="C6354" s="545">
        <v>26.166666666666664</v>
      </c>
      <c r="D6354" s="545">
        <v>4.6666666666666661</v>
      </c>
      <c r="E6354" s="545">
        <v>5.3333333333333339</v>
      </c>
      <c r="F6354" s="545">
        <v>20.119047619047617</v>
      </c>
      <c r="G6354" s="545">
        <v>13.25</v>
      </c>
      <c r="H6354" s="545">
        <v>3</v>
      </c>
      <c r="I6354" s="545">
        <v>2.3333333333333335</v>
      </c>
      <c r="J6354" s="545">
        <v>10.226190476190476</v>
      </c>
    </row>
    <row r="6355" spans="1:10">
      <c r="A6355" s="441">
        <v>5038</v>
      </c>
      <c r="B6355" s="441" t="s">
        <v>5428</v>
      </c>
      <c r="C6355" s="545">
        <v>5.833333333333333</v>
      </c>
      <c r="D6355" s="545">
        <v>0</v>
      </c>
      <c r="E6355" s="545">
        <v>0</v>
      </c>
      <c r="F6355" s="545">
        <v>4.1666666666666661</v>
      </c>
      <c r="G6355" s="545">
        <v>1.7</v>
      </c>
      <c r="H6355" s="545">
        <v>0.66666666666666663</v>
      </c>
      <c r="I6355" s="545">
        <v>0.33333333333333331</v>
      </c>
      <c r="J6355" s="545">
        <v>1.3571428571428572</v>
      </c>
    </row>
    <row r="6356" spans="1:10">
      <c r="A6356" s="441">
        <v>5037</v>
      </c>
      <c r="B6356" s="441" t="s">
        <v>5429</v>
      </c>
      <c r="C6356" s="545">
        <v>9.3333333333333339</v>
      </c>
      <c r="D6356" s="545">
        <v>2.333333333333333</v>
      </c>
      <c r="E6356" s="545">
        <v>0</v>
      </c>
      <c r="F6356" s="545">
        <v>7.0000000000000009</v>
      </c>
      <c r="G6356" s="545">
        <v>2.95</v>
      </c>
      <c r="H6356" s="545">
        <v>0.33333333333333331</v>
      </c>
      <c r="I6356" s="545">
        <v>1</v>
      </c>
      <c r="J6356" s="545">
        <v>2.2976190476190479</v>
      </c>
    </row>
    <row r="6357" spans="1:10">
      <c r="A6357" s="441">
        <v>133</v>
      </c>
      <c r="B6357" s="441" t="s">
        <v>5430</v>
      </c>
      <c r="C6357" s="545">
        <v>24.166666666666664</v>
      </c>
      <c r="D6357" s="545">
        <v>11.666666666666668</v>
      </c>
      <c r="E6357" s="545">
        <v>7.666666666666667</v>
      </c>
      <c r="F6357" s="545">
        <v>20.023809523809518</v>
      </c>
      <c r="G6357" s="545">
        <v>21.7</v>
      </c>
      <c r="H6357" s="545">
        <v>8.3333333333333339</v>
      </c>
      <c r="I6357" s="545">
        <v>9.6666666666666661</v>
      </c>
      <c r="J6357" s="545">
        <v>18.071428571428573</v>
      </c>
    </row>
    <row r="6358" spans="1:10">
      <c r="A6358" s="441">
        <v>5040</v>
      </c>
      <c r="B6358" s="441" t="s">
        <v>5430</v>
      </c>
      <c r="C6358" s="545">
        <v>26.5</v>
      </c>
      <c r="D6358" s="545">
        <v>16</v>
      </c>
      <c r="E6358" s="545">
        <v>8.3333333333333321</v>
      </c>
      <c r="F6358" s="545">
        <v>22.404761904761905</v>
      </c>
      <c r="G6358" s="545">
        <v>23.45</v>
      </c>
      <c r="H6358" s="545">
        <v>10</v>
      </c>
      <c r="I6358" s="545">
        <v>12.666666666666666</v>
      </c>
      <c r="J6358" s="545">
        <v>19.988095238095237</v>
      </c>
    </row>
    <row r="6359" spans="1:10">
      <c r="A6359" s="441">
        <v>5216</v>
      </c>
      <c r="B6359" s="441" t="s">
        <v>5431</v>
      </c>
      <c r="C6359" s="545">
        <v>31.166666666666668</v>
      </c>
      <c r="D6359" s="545">
        <v>16.333333333333336</v>
      </c>
      <c r="E6359" s="545">
        <v>15.666666666666666</v>
      </c>
      <c r="F6359" s="545">
        <v>26.833333333333336</v>
      </c>
      <c r="G6359" s="545">
        <v>17.600000000000001</v>
      </c>
      <c r="H6359" s="545">
        <v>17</v>
      </c>
      <c r="I6359" s="545">
        <v>9.3333333333333339</v>
      </c>
      <c r="J6359" s="545">
        <v>16.333333333333332</v>
      </c>
    </row>
    <row r="6360" spans="1:10">
      <c r="A6360" s="441">
        <v>5263</v>
      </c>
      <c r="B6360" s="441" t="s">
        <v>5431</v>
      </c>
      <c r="C6360" s="545">
        <v>13.166666666666666</v>
      </c>
      <c r="D6360" s="545">
        <v>6.333333333333333</v>
      </c>
      <c r="E6360" s="545">
        <v>3.3333333333333335</v>
      </c>
      <c r="F6360" s="545">
        <v>10.785714285714283</v>
      </c>
      <c r="G6360" s="545">
        <v>7.45</v>
      </c>
      <c r="H6360" s="545">
        <v>7</v>
      </c>
      <c r="I6360" s="545">
        <v>5.333333333333333</v>
      </c>
      <c r="J6360" s="545">
        <v>7.0833333333333339</v>
      </c>
    </row>
    <row r="6361" spans="1:10">
      <c r="A6361" s="441">
        <v>5217</v>
      </c>
      <c r="B6361" s="441" t="s">
        <v>5432</v>
      </c>
      <c r="C6361" s="545">
        <v>24.5</v>
      </c>
      <c r="D6361" s="545">
        <v>24</v>
      </c>
      <c r="E6361" s="545">
        <v>25.333333333333332</v>
      </c>
      <c r="F6361" s="545">
        <v>24.547619047619047</v>
      </c>
      <c r="G6361" s="545">
        <v>16.25</v>
      </c>
      <c r="H6361" s="545">
        <v>22.666666666666668</v>
      </c>
      <c r="I6361" s="545">
        <v>10</v>
      </c>
      <c r="J6361" s="545">
        <v>16.273809523809526</v>
      </c>
    </row>
    <row r="6362" spans="1:10">
      <c r="A6362" s="441">
        <v>5226</v>
      </c>
      <c r="B6362" s="441" t="s">
        <v>5433</v>
      </c>
      <c r="C6362" s="545">
        <v>4.6666666666666661</v>
      </c>
      <c r="D6362" s="545">
        <v>6</v>
      </c>
      <c r="E6362" s="545">
        <v>1.3333333333333333</v>
      </c>
      <c r="F6362" s="545">
        <v>4.3809523809523805</v>
      </c>
      <c r="G6362" s="545">
        <v>4.7</v>
      </c>
      <c r="H6362" s="545">
        <v>4</v>
      </c>
      <c r="I6362" s="545">
        <v>5</v>
      </c>
      <c r="J6362" s="545">
        <v>4.6428571428571432</v>
      </c>
    </row>
    <row r="6363" spans="1:10">
      <c r="A6363" s="441">
        <v>5252</v>
      </c>
      <c r="B6363" s="441" t="s">
        <v>5433</v>
      </c>
      <c r="C6363" s="545">
        <v>3.166666666666667</v>
      </c>
      <c r="D6363" s="545">
        <v>4.666666666666667</v>
      </c>
      <c r="E6363" s="545">
        <v>1.3333333333333333</v>
      </c>
      <c r="F6363" s="545">
        <v>3.1190476190476195</v>
      </c>
      <c r="G6363" s="545">
        <v>3.9</v>
      </c>
      <c r="H6363" s="545">
        <v>3.3333333333333335</v>
      </c>
      <c r="I6363" s="545">
        <v>3.6666666666666665</v>
      </c>
      <c r="J6363" s="545">
        <v>3.7857142857142856</v>
      </c>
    </row>
    <row r="6364" spans="1:10">
      <c r="A6364" s="441">
        <v>5227</v>
      </c>
      <c r="B6364" s="441" t="s">
        <v>5434</v>
      </c>
      <c r="C6364" s="545">
        <v>57</v>
      </c>
      <c r="D6364" s="545">
        <v>32.666666666666671</v>
      </c>
      <c r="E6364" s="545">
        <v>19.333333333333332</v>
      </c>
      <c r="F6364" s="545">
        <v>48.142857142857146</v>
      </c>
      <c r="G6364" s="545">
        <v>34.75</v>
      </c>
      <c r="H6364" s="545">
        <v>21</v>
      </c>
      <c r="I6364" s="545">
        <v>13</v>
      </c>
      <c r="J6364" s="545">
        <v>29.678571428571427</v>
      </c>
    </row>
    <row r="6365" spans="1:10">
      <c r="A6365" s="441">
        <v>5251</v>
      </c>
      <c r="B6365" s="441" t="s">
        <v>5434</v>
      </c>
      <c r="C6365" s="545">
        <v>87.333333333333329</v>
      </c>
      <c r="D6365" s="545">
        <v>41.666666666666664</v>
      </c>
      <c r="E6365" s="545">
        <v>31.333333333333336</v>
      </c>
      <c r="F6365" s="545">
        <v>72.80952380952381</v>
      </c>
      <c r="G6365" s="545">
        <v>55.7</v>
      </c>
      <c r="H6365" s="545">
        <v>22.666666666666668</v>
      </c>
      <c r="I6365" s="545">
        <v>16</v>
      </c>
      <c r="J6365" s="545">
        <v>45.30952380952381</v>
      </c>
    </row>
    <row r="6366" spans="1:10">
      <c r="A6366" s="441">
        <v>4710</v>
      </c>
      <c r="B6366" s="441" t="s">
        <v>5435</v>
      </c>
      <c r="C6366" s="545">
        <v>16</v>
      </c>
      <c r="D6366" s="545">
        <v>18.333333333333336</v>
      </c>
      <c r="E6366" s="545">
        <v>20.666666666666668</v>
      </c>
      <c r="F6366" s="545">
        <v>17.000000000000004</v>
      </c>
      <c r="G6366" s="545">
        <v>12.25</v>
      </c>
      <c r="H6366" s="545">
        <v>7</v>
      </c>
      <c r="I6366" s="545">
        <v>8.6666666666666661</v>
      </c>
      <c r="J6366" s="545">
        <v>10.988095238095239</v>
      </c>
    </row>
    <row r="6367" spans="1:10">
      <c r="A6367" s="441">
        <v>6277</v>
      </c>
      <c r="B6367" s="441" t="s">
        <v>5435</v>
      </c>
      <c r="C6367" s="545">
        <v>18.166666666666668</v>
      </c>
      <c r="D6367" s="545">
        <v>18</v>
      </c>
      <c r="E6367" s="545">
        <v>15.333333333333332</v>
      </c>
      <c r="F6367" s="545">
        <v>17.738095238095237</v>
      </c>
      <c r="G6367" s="545">
        <v>11.95</v>
      </c>
      <c r="H6367" s="545">
        <v>13.666666666666666</v>
      </c>
      <c r="I6367" s="545">
        <v>8.3333333333333339</v>
      </c>
      <c r="J6367" s="545">
        <v>11.678571428571429</v>
      </c>
    </row>
    <row r="6368" spans="1:10">
      <c r="A6368" s="441">
        <v>6278</v>
      </c>
      <c r="B6368" s="441" t="s">
        <v>5435</v>
      </c>
      <c r="C6368" s="545">
        <v>1</v>
      </c>
      <c r="D6368" s="545">
        <v>1.3333333333333333</v>
      </c>
      <c r="E6368" s="545">
        <v>0.66666666666666663</v>
      </c>
      <c r="F6368" s="545">
        <v>1</v>
      </c>
      <c r="G6368" s="545">
        <v>0.1</v>
      </c>
      <c r="H6368" s="545">
        <v>0</v>
      </c>
      <c r="I6368" s="545">
        <v>0.33333333333333331</v>
      </c>
      <c r="J6368" s="545">
        <v>0.11904761904761904</v>
      </c>
    </row>
    <row r="6369" spans="1:10">
      <c r="A6369" s="441">
        <v>5261</v>
      </c>
      <c r="B6369" s="441" t="s">
        <v>5436</v>
      </c>
      <c r="C6369" s="545">
        <v>21.666666666666668</v>
      </c>
      <c r="D6369" s="545">
        <v>19</v>
      </c>
      <c r="E6369" s="545">
        <v>14.333333333333334</v>
      </c>
      <c r="F6369" s="545">
        <v>20.238095238095241</v>
      </c>
      <c r="G6369" s="545">
        <v>15.15</v>
      </c>
      <c r="H6369" s="545">
        <v>8</v>
      </c>
      <c r="I6369" s="545">
        <v>7</v>
      </c>
      <c r="J6369" s="545">
        <v>12.964285714285714</v>
      </c>
    </row>
    <row r="6370" spans="1:10">
      <c r="A6370" s="441">
        <v>5262</v>
      </c>
      <c r="B6370" s="441" t="s">
        <v>5436</v>
      </c>
      <c r="C6370" s="545">
        <v>36.833333333333336</v>
      </c>
      <c r="D6370" s="545">
        <v>33.666666666666664</v>
      </c>
      <c r="E6370" s="545">
        <v>31.333333333333336</v>
      </c>
      <c r="F6370" s="545">
        <v>35.595238095238095</v>
      </c>
      <c r="G6370" s="545">
        <v>23.3</v>
      </c>
      <c r="H6370" s="545">
        <v>17.333333333333332</v>
      </c>
      <c r="I6370" s="545">
        <v>12.333333333333334</v>
      </c>
      <c r="J6370" s="545">
        <v>20.880952380952383</v>
      </c>
    </row>
    <row r="6371" spans="1:10">
      <c r="A6371" s="441">
        <v>10178</v>
      </c>
      <c r="B6371" s="441" t="s">
        <v>5436</v>
      </c>
      <c r="C6371" s="545">
        <v>20</v>
      </c>
      <c r="D6371" s="545">
        <v>19.333333333333332</v>
      </c>
      <c r="E6371" s="545">
        <v>13.333333333333334</v>
      </c>
      <c r="F6371" s="545">
        <v>18.952380952380953</v>
      </c>
      <c r="G6371" s="545">
        <v>13.55</v>
      </c>
      <c r="H6371" s="545">
        <v>9.3333333333333339</v>
      </c>
      <c r="I6371" s="545">
        <v>6</v>
      </c>
      <c r="J6371" s="545">
        <v>11.869047619047619</v>
      </c>
    </row>
    <row r="6372" spans="1:10">
      <c r="A6372" s="441">
        <v>5244</v>
      </c>
      <c r="B6372" s="441" t="s">
        <v>5437</v>
      </c>
      <c r="C6372" s="545">
        <v>36.666666666666664</v>
      </c>
      <c r="D6372" s="545">
        <v>27.666666666666664</v>
      </c>
      <c r="E6372" s="545">
        <v>29.333333333333336</v>
      </c>
      <c r="F6372" s="545">
        <v>34.333333333333329</v>
      </c>
      <c r="G6372" s="545">
        <v>24.75</v>
      </c>
      <c r="H6372" s="545">
        <v>15</v>
      </c>
      <c r="I6372" s="545">
        <v>41</v>
      </c>
      <c r="J6372" s="545">
        <v>25.678571428571427</v>
      </c>
    </row>
    <row r="6373" spans="1:10">
      <c r="A6373" s="441">
        <v>5228</v>
      </c>
      <c r="B6373" s="441" t="s">
        <v>5438</v>
      </c>
      <c r="C6373" s="545">
        <v>9.5</v>
      </c>
      <c r="D6373" s="545">
        <v>7.6666666666666661</v>
      </c>
      <c r="E6373" s="545">
        <v>2</v>
      </c>
      <c r="F6373" s="545">
        <v>8.1666666666666661</v>
      </c>
      <c r="G6373" s="545">
        <v>22.15</v>
      </c>
      <c r="H6373" s="545">
        <v>4.666666666666667</v>
      </c>
      <c r="I6373" s="545">
        <v>6.666666666666667</v>
      </c>
      <c r="J6373" s="545">
        <v>17.440476190476193</v>
      </c>
    </row>
    <row r="6374" spans="1:10">
      <c r="A6374" s="441">
        <v>5250</v>
      </c>
      <c r="B6374" s="441" t="s">
        <v>5438</v>
      </c>
      <c r="C6374" s="545">
        <v>4.666666666666667</v>
      </c>
      <c r="D6374" s="545">
        <v>3.6666666666666665</v>
      </c>
      <c r="E6374" s="545">
        <v>2.3333333333333335</v>
      </c>
      <c r="F6374" s="545">
        <v>4.1904761904761907</v>
      </c>
      <c r="G6374" s="545">
        <v>3.2</v>
      </c>
      <c r="H6374" s="545">
        <v>1.3333333333333333</v>
      </c>
      <c r="I6374" s="545">
        <v>1.6666666666666667</v>
      </c>
      <c r="J6374" s="545">
        <v>2.7142857142857144</v>
      </c>
    </row>
    <row r="6375" spans="1:10">
      <c r="A6375" s="441">
        <v>4708</v>
      </c>
      <c r="B6375" s="441" t="s">
        <v>5439</v>
      </c>
      <c r="C6375" s="545">
        <v>5.3333333333333339</v>
      </c>
      <c r="D6375" s="545">
        <v>1</v>
      </c>
      <c r="E6375" s="545">
        <v>2.666666666666667</v>
      </c>
      <c r="F6375" s="545">
        <v>4.3333333333333339</v>
      </c>
      <c r="G6375" s="545">
        <v>5.7</v>
      </c>
      <c r="H6375" s="545">
        <v>12.666666666666666</v>
      </c>
      <c r="I6375" s="545">
        <v>1.6666666666666667</v>
      </c>
      <c r="J6375" s="545">
        <v>6.1190476190476186</v>
      </c>
    </row>
    <row r="6376" spans="1:10">
      <c r="A6376" s="441">
        <v>6279</v>
      </c>
      <c r="B6376" s="441" t="s">
        <v>5439</v>
      </c>
      <c r="C6376" s="545">
        <v>7.5</v>
      </c>
      <c r="D6376" s="545">
        <v>0.66666666666666663</v>
      </c>
      <c r="E6376" s="545">
        <v>2.6666666666666665</v>
      </c>
      <c r="F6376" s="545">
        <v>5.833333333333333</v>
      </c>
      <c r="G6376" s="545">
        <v>7.25</v>
      </c>
      <c r="H6376" s="545">
        <v>4</v>
      </c>
      <c r="I6376" s="545">
        <v>3.3333333333333335</v>
      </c>
      <c r="J6376" s="545">
        <v>6.2261904761904763</v>
      </c>
    </row>
    <row r="6377" spans="1:10">
      <c r="A6377" s="441">
        <v>4709</v>
      </c>
      <c r="B6377" s="441" t="s">
        <v>5440</v>
      </c>
      <c r="C6377" s="545">
        <v>0.16666666666666666</v>
      </c>
      <c r="D6377" s="545">
        <v>0</v>
      </c>
      <c r="E6377" s="545">
        <v>0</v>
      </c>
      <c r="F6377" s="545">
        <v>0.11904761904761904</v>
      </c>
      <c r="G6377" s="545">
        <v>0.5</v>
      </c>
      <c r="H6377" s="545">
        <v>0.33333333333333331</v>
      </c>
      <c r="I6377" s="545">
        <v>0</v>
      </c>
      <c r="J6377" s="545">
        <v>0.40476190476190477</v>
      </c>
    </row>
    <row r="6378" spans="1:10">
      <c r="A6378" s="441">
        <v>5233</v>
      </c>
      <c r="B6378" s="441" t="s">
        <v>5441</v>
      </c>
      <c r="C6378" s="545">
        <v>14</v>
      </c>
      <c r="D6378" s="545">
        <v>11</v>
      </c>
      <c r="E6378" s="545">
        <v>8.3333333333333339</v>
      </c>
      <c r="F6378" s="545">
        <v>12.761904761904761</v>
      </c>
      <c r="G6378" s="545">
        <v>20.2</v>
      </c>
      <c r="H6378" s="545">
        <v>15</v>
      </c>
      <c r="I6378" s="545">
        <v>18</v>
      </c>
      <c r="J6378" s="545">
        <v>19.142857142857142</v>
      </c>
    </row>
    <row r="6379" spans="1:10">
      <c r="A6379" s="441">
        <v>5245</v>
      </c>
      <c r="B6379" s="441" t="s">
        <v>5441</v>
      </c>
      <c r="C6379" s="545">
        <v>7.8333333333333339</v>
      </c>
      <c r="D6379" s="545">
        <v>10.333333333333334</v>
      </c>
      <c r="E6379" s="545">
        <v>8</v>
      </c>
      <c r="F6379" s="545">
        <v>8.2142857142857153</v>
      </c>
      <c r="G6379" s="545">
        <v>16.25</v>
      </c>
      <c r="H6379" s="545">
        <v>11</v>
      </c>
      <c r="I6379" s="545">
        <v>7.666666666666667</v>
      </c>
      <c r="J6379" s="545">
        <v>14.273809523809524</v>
      </c>
    </row>
    <row r="6380" spans="1:10">
      <c r="A6380" s="441">
        <v>5224</v>
      </c>
      <c r="B6380" s="441" t="s">
        <v>5442</v>
      </c>
      <c r="C6380" s="545">
        <v>23.166666666666664</v>
      </c>
      <c r="D6380" s="545">
        <v>21.333333333333332</v>
      </c>
      <c r="E6380" s="545">
        <v>10</v>
      </c>
      <c r="F6380" s="545">
        <v>21.023809523809522</v>
      </c>
      <c r="G6380" s="545">
        <v>9.1999999999999993</v>
      </c>
      <c r="H6380" s="545">
        <v>4.666666666666667</v>
      </c>
      <c r="I6380" s="545">
        <v>6.666666666666667</v>
      </c>
      <c r="J6380" s="545">
        <v>8.1904761904761898</v>
      </c>
    </row>
    <row r="6381" spans="1:10">
      <c r="A6381" s="441">
        <v>5254</v>
      </c>
      <c r="B6381" s="441" t="s">
        <v>5442</v>
      </c>
      <c r="C6381" s="545">
        <v>12.833333333333334</v>
      </c>
      <c r="D6381" s="545">
        <v>13.666666666666666</v>
      </c>
      <c r="E6381" s="545">
        <v>9</v>
      </c>
      <c r="F6381" s="545">
        <v>12.404761904761907</v>
      </c>
      <c r="G6381" s="545">
        <v>7.55</v>
      </c>
      <c r="H6381" s="545">
        <v>8</v>
      </c>
      <c r="I6381" s="545">
        <v>5.333333333333333</v>
      </c>
      <c r="J6381" s="545">
        <v>7.2976190476190483</v>
      </c>
    </row>
    <row r="6382" spans="1:10">
      <c r="A6382" s="441">
        <v>5222</v>
      </c>
      <c r="B6382" s="441" t="s">
        <v>5443</v>
      </c>
      <c r="C6382" s="545">
        <v>46.333333333333329</v>
      </c>
      <c r="D6382" s="545">
        <v>24.333333333333332</v>
      </c>
      <c r="E6382" s="545">
        <v>17.333333333333332</v>
      </c>
      <c r="F6382" s="545">
        <v>39.047619047619044</v>
      </c>
      <c r="G6382" s="545">
        <v>31.15</v>
      </c>
      <c r="H6382" s="545">
        <v>20.333333333333332</v>
      </c>
      <c r="I6382" s="545">
        <v>23.666666666666668</v>
      </c>
      <c r="J6382" s="545">
        <v>28.535714285714285</v>
      </c>
    </row>
    <row r="6383" spans="1:10">
      <c r="A6383" s="441">
        <v>5256</v>
      </c>
      <c r="B6383" s="441" t="s">
        <v>5443</v>
      </c>
      <c r="C6383" s="545">
        <v>56.166666666666671</v>
      </c>
      <c r="D6383" s="545">
        <v>34.666666666666664</v>
      </c>
      <c r="E6383" s="545">
        <v>23</v>
      </c>
      <c r="F6383" s="545">
        <v>48.357142857142868</v>
      </c>
      <c r="G6383" s="545">
        <v>27.3</v>
      </c>
      <c r="H6383" s="545">
        <v>17.666666666666668</v>
      </c>
      <c r="I6383" s="545">
        <v>27</v>
      </c>
      <c r="J6383" s="545">
        <v>25.88095238095238</v>
      </c>
    </row>
    <row r="6384" spans="1:10">
      <c r="A6384" s="441">
        <v>5229</v>
      </c>
      <c r="B6384" s="441" t="s">
        <v>5444</v>
      </c>
      <c r="C6384" s="545">
        <v>24.333333333333336</v>
      </c>
      <c r="D6384" s="545">
        <v>16.333333333333332</v>
      </c>
      <c r="E6384" s="545">
        <v>9.3333333333333339</v>
      </c>
      <c r="F6384" s="545">
        <v>21.047619047619055</v>
      </c>
      <c r="G6384" s="545">
        <v>15.95</v>
      </c>
      <c r="H6384" s="545">
        <v>12.666666666666666</v>
      </c>
      <c r="I6384" s="545">
        <v>16.333333333333332</v>
      </c>
      <c r="J6384" s="545">
        <v>15.535714285714286</v>
      </c>
    </row>
    <row r="6385" spans="1:10">
      <c r="A6385" s="441">
        <v>5249</v>
      </c>
      <c r="B6385" s="441" t="s">
        <v>5444</v>
      </c>
      <c r="C6385" s="545">
        <v>26.5</v>
      </c>
      <c r="D6385" s="545">
        <v>21.333333333333332</v>
      </c>
      <c r="E6385" s="545">
        <v>14.666666666666668</v>
      </c>
      <c r="F6385" s="545">
        <v>24.071428571428573</v>
      </c>
      <c r="G6385" s="545">
        <v>16.75</v>
      </c>
      <c r="H6385" s="545">
        <v>16.666666666666668</v>
      </c>
      <c r="I6385" s="545">
        <v>16</v>
      </c>
      <c r="J6385" s="545">
        <v>16.630952380952383</v>
      </c>
    </row>
    <row r="6386" spans="1:10">
      <c r="A6386" s="441">
        <v>5253</v>
      </c>
      <c r="B6386" s="441" t="s">
        <v>5445</v>
      </c>
      <c r="C6386" s="545">
        <v>2.333333333333333</v>
      </c>
      <c r="D6386" s="545">
        <v>2.666666666666667</v>
      </c>
      <c r="E6386" s="545">
        <v>1</v>
      </c>
      <c r="F6386" s="545">
        <v>2.1904761904761902</v>
      </c>
      <c r="G6386" s="545">
        <v>3.65</v>
      </c>
      <c r="H6386" s="545">
        <v>1.6666666666666667</v>
      </c>
      <c r="I6386" s="545">
        <v>3</v>
      </c>
      <c r="J6386" s="545">
        <v>3.2738095238095242</v>
      </c>
    </row>
    <row r="6387" spans="1:10">
      <c r="A6387" s="441">
        <v>5231</v>
      </c>
      <c r="B6387" s="441" t="s">
        <v>5446</v>
      </c>
      <c r="C6387" s="545">
        <v>4.166666666666667</v>
      </c>
      <c r="D6387" s="545">
        <v>4.333333333333333</v>
      </c>
      <c r="E6387" s="545">
        <v>3.666666666666667</v>
      </c>
      <c r="F6387" s="545">
        <v>4.1190476190476195</v>
      </c>
      <c r="G6387" s="545">
        <v>6.45</v>
      </c>
      <c r="H6387" s="545">
        <v>2.3333333333333335</v>
      </c>
      <c r="I6387" s="545">
        <v>2</v>
      </c>
      <c r="J6387" s="545">
        <v>5.2261904761904763</v>
      </c>
    </row>
    <row r="6388" spans="1:10">
      <c r="A6388" s="441">
        <v>5247</v>
      </c>
      <c r="B6388" s="441" t="s">
        <v>5446</v>
      </c>
      <c r="C6388" s="545">
        <v>4.5</v>
      </c>
      <c r="D6388" s="545">
        <v>3.3333333333333335</v>
      </c>
      <c r="E6388" s="545">
        <v>3.666666666666667</v>
      </c>
      <c r="F6388" s="545">
        <v>4.2142857142857144</v>
      </c>
      <c r="G6388" s="545">
        <v>7.25</v>
      </c>
      <c r="H6388" s="545">
        <v>4.333333333333333</v>
      </c>
      <c r="I6388" s="545">
        <v>2.6666666666666665</v>
      </c>
      <c r="J6388" s="545">
        <v>6.1785714285714288</v>
      </c>
    </row>
    <row r="6389" spans="1:10">
      <c r="A6389" s="441">
        <v>5230</v>
      </c>
      <c r="B6389" s="441" t="s">
        <v>5447</v>
      </c>
      <c r="C6389" s="545">
        <v>17.666666666666664</v>
      </c>
      <c r="D6389" s="545">
        <v>18</v>
      </c>
      <c r="E6389" s="545">
        <v>11.333333333333332</v>
      </c>
      <c r="F6389" s="545">
        <v>16.809523809523807</v>
      </c>
      <c r="G6389" s="545">
        <v>14.45</v>
      </c>
      <c r="H6389" s="545">
        <v>14.666666666666666</v>
      </c>
      <c r="I6389" s="545">
        <v>9</v>
      </c>
      <c r="J6389" s="545">
        <v>13.702380952380953</v>
      </c>
    </row>
    <row r="6390" spans="1:10">
      <c r="A6390" s="441">
        <v>5248</v>
      </c>
      <c r="B6390" s="441" t="s">
        <v>5447</v>
      </c>
      <c r="C6390" s="545">
        <v>37.5</v>
      </c>
      <c r="D6390" s="545">
        <v>14.333333333333334</v>
      </c>
      <c r="E6390" s="545">
        <v>16.666666666666668</v>
      </c>
      <c r="F6390" s="545">
        <v>31.214285714285715</v>
      </c>
      <c r="G6390" s="545">
        <v>45.75</v>
      </c>
      <c r="H6390" s="545">
        <v>15</v>
      </c>
      <c r="I6390" s="545">
        <v>10.333333333333334</v>
      </c>
      <c r="J6390" s="545">
        <v>36.297619047619051</v>
      </c>
    </row>
    <row r="6391" spans="1:10">
      <c r="A6391" s="441">
        <v>13103</v>
      </c>
      <c r="B6391" s="441" t="s">
        <v>5448</v>
      </c>
      <c r="C6391" s="545">
        <v>1</v>
      </c>
      <c r="D6391" s="545">
        <v>2</v>
      </c>
      <c r="E6391" s="545">
        <v>0</v>
      </c>
      <c r="F6391" s="545">
        <v>1</v>
      </c>
      <c r="G6391" s="545">
        <v>2.95</v>
      </c>
      <c r="H6391" s="545">
        <v>2.6666666666666665</v>
      </c>
      <c r="I6391" s="545">
        <v>1.3333333333333333</v>
      </c>
      <c r="J6391" s="545">
        <v>2.6785714285714284</v>
      </c>
    </row>
    <row r="6392" spans="1:10">
      <c r="A6392" s="441">
        <v>4716</v>
      </c>
      <c r="B6392" s="441" t="s">
        <v>5449</v>
      </c>
      <c r="C6392" s="545">
        <v>52.666666666666671</v>
      </c>
      <c r="D6392" s="545">
        <v>72.666666666666671</v>
      </c>
      <c r="E6392" s="545">
        <v>54.333333333333329</v>
      </c>
      <c r="F6392" s="545">
        <v>55.761904761904766</v>
      </c>
      <c r="G6392" s="545">
        <v>37.700000000000003</v>
      </c>
      <c r="H6392" s="545">
        <v>44</v>
      </c>
      <c r="I6392" s="545">
        <v>41</v>
      </c>
      <c r="J6392" s="545">
        <v>39.071428571428569</v>
      </c>
    </row>
    <row r="6393" spans="1:10">
      <c r="A6393" s="441">
        <v>5242</v>
      </c>
      <c r="B6393" s="441" t="s">
        <v>5450</v>
      </c>
      <c r="C6393" s="545">
        <v>24.833333333333336</v>
      </c>
      <c r="D6393" s="545">
        <v>13.333333333333334</v>
      </c>
      <c r="E6393" s="545">
        <v>6.3333333333333339</v>
      </c>
      <c r="F6393" s="545">
        <v>20.547619047619055</v>
      </c>
      <c r="G6393" s="545">
        <v>8.9499999999999993</v>
      </c>
      <c r="H6393" s="545">
        <v>11</v>
      </c>
      <c r="I6393" s="545">
        <v>14.666666666666666</v>
      </c>
      <c r="J6393" s="545">
        <v>10.05952380952381</v>
      </c>
    </row>
    <row r="6394" spans="1:10">
      <c r="A6394" s="441">
        <v>5221</v>
      </c>
      <c r="B6394" s="441" t="s">
        <v>5451</v>
      </c>
      <c r="C6394" s="545">
        <v>12.666666666666666</v>
      </c>
      <c r="D6394" s="545">
        <v>7.666666666666667</v>
      </c>
      <c r="E6394" s="545">
        <v>6</v>
      </c>
      <c r="F6394" s="545">
        <v>11</v>
      </c>
      <c r="G6394" s="545">
        <v>14.4</v>
      </c>
      <c r="H6394" s="545">
        <v>10.666666666666666</v>
      </c>
      <c r="I6394" s="545">
        <v>5.666666666666667</v>
      </c>
      <c r="J6394" s="545">
        <v>12.61904761904762</v>
      </c>
    </row>
    <row r="6395" spans="1:10">
      <c r="A6395" s="441">
        <v>5257</v>
      </c>
      <c r="B6395" s="441" t="s">
        <v>5451</v>
      </c>
      <c r="C6395" s="545">
        <v>4.666666666666667</v>
      </c>
      <c r="D6395" s="545">
        <v>1.6666666666666665</v>
      </c>
      <c r="E6395" s="545">
        <v>1.3333333333333333</v>
      </c>
      <c r="F6395" s="545">
        <v>3.7619047619047623</v>
      </c>
      <c r="G6395" s="545">
        <v>7.15</v>
      </c>
      <c r="H6395" s="545">
        <v>4.333333333333333</v>
      </c>
      <c r="I6395" s="545">
        <v>2.3333333333333335</v>
      </c>
      <c r="J6395" s="545">
        <v>6.0595238095238102</v>
      </c>
    </row>
    <row r="6396" spans="1:10">
      <c r="A6396" s="441">
        <v>5241</v>
      </c>
      <c r="B6396" s="441" t="s">
        <v>5452</v>
      </c>
      <c r="C6396" s="545">
        <v>10.333333333333334</v>
      </c>
      <c r="D6396" s="545">
        <v>10.666666666666668</v>
      </c>
      <c r="E6396" s="545">
        <v>6.666666666666667</v>
      </c>
      <c r="F6396" s="545">
        <v>9.8571428571428594</v>
      </c>
      <c r="G6396" s="545">
        <v>8.65</v>
      </c>
      <c r="H6396" s="545">
        <v>3.3333333333333335</v>
      </c>
      <c r="I6396" s="545">
        <v>6</v>
      </c>
      <c r="J6396" s="545">
        <v>7.5119047619047619</v>
      </c>
    </row>
    <row r="6397" spans="1:10">
      <c r="A6397" s="441">
        <v>5232</v>
      </c>
      <c r="B6397" s="441" t="s">
        <v>5453</v>
      </c>
      <c r="C6397" s="545">
        <v>124.83333333333334</v>
      </c>
      <c r="D6397" s="545">
        <v>80.666666666666657</v>
      </c>
      <c r="E6397" s="545">
        <v>67.666666666666671</v>
      </c>
      <c r="F6397" s="545">
        <v>110.35714285714286</v>
      </c>
      <c r="G6397" s="545">
        <v>61</v>
      </c>
      <c r="H6397" s="545">
        <v>42.666666666666664</v>
      </c>
      <c r="I6397" s="545">
        <v>44.666666666666664</v>
      </c>
      <c r="J6397" s="545">
        <v>56.047619047619051</v>
      </c>
    </row>
    <row r="6398" spans="1:10">
      <c r="A6398" s="441">
        <v>5243</v>
      </c>
      <c r="B6398" s="441" t="s">
        <v>5454</v>
      </c>
      <c r="C6398" s="545">
        <v>10.666666666666666</v>
      </c>
      <c r="D6398" s="545">
        <v>2</v>
      </c>
      <c r="E6398" s="545">
        <v>6</v>
      </c>
      <c r="F6398" s="545">
        <v>8.761904761904761</v>
      </c>
      <c r="G6398" s="545">
        <v>7.45</v>
      </c>
      <c r="H6398" s="545">
        <v>3</v>
      </c>
      <c r="I6398" s="545">
        <v>3.6666666666666665</v>
      </c>
      <c r="J6398" s="545">
        <v>6.2738095238095237</v>
      </c>
    </row>
    <row r="6399" spans="1:10">
      <c r="A6399" s="441">
        <v>5215</v>
      </c>
      <c r="B6399" s="441" t="s">
        <v>5455</v>
      </c>
      <c r="C6399" s="545">
        <v>36.833333333333336</v>
      </c>
      <c r="D6399" s="545">
        <v>27.333333333333336</v>
      </c>
      <c r="E6399" s="545">
        <v>14.333333333333334</v>
      </c>
      <c r="F6399" s="545">
        <v>32.261904761904766</v>
      </c>
      <c r="G6399" s="545">
        <v>26.35</v>
      </c>
      <c r="H6399" s="545">
        <v>18</v>
      </c>
      <c r="I6399" s="545">
        <v>16.666666666666668</v>
      </c>
      <c r="J6399" s="545">
        <v>23.773809523809522</v>
      </c>
    </row>
    <row r="6400" spans="1:10">
      <c r="A6400" s="441">
        <v>5264</v>
      </c>
      <c r="B6400" s="441" t="s">
        <v>5455</v>
      </c>
      <c r="C6400" s="545">
        <v>36.166666666666671</v>
      </c>
      <c r="D6400" s="545">
        <v>28.666666666666668</v>
      </c>
      <c r="E6400" s="545">
        <v>26.666666666666664</v>
      </c>
      <c r="F6400" s="545">
        <v>33.738095238095241</v>
      </c>
      <c r="G6400" s="545">
        <v>24.4</v>
      </c>
      <c r="H6400" s="545">
        <v>114.33333333333333</v>
      </c>
      <c r="I6400" s="545">
        <v>19</v>
      </c>
      <c r="J6400" s="545">
        <v>36.476190476190474</v>
      </c>
    </row>
    <row r="6401" spans="1:10">
      <c r="A6401" s="441">
        <v>4711</v>
      </c>
      <c r="B6401" s="441" t="s">
        <v>5456</v>
      </c>
      <c r="C6401" s="545">
        <v>22.666666666666664</v>
      </c>
      <c r="D6401" s="545">
        <v>17.666666666666668</v>
      </c>
      <c r="E6401" s="545">
        <v>10.666666666666668</v>
      </c>
      <c r="F6401" s="545">
        <v>20.238095238095234</v>
      </c>
      <c r="G6401" s="545">
        <v>18.25</v>
      </c>
      <c r="H6401" s="545">
        <v>13</v>
      </c>
      <c r="I6401" s="545">
        <v>11.333333333333334</v>
      </c>
      <c r="J6401" s="545">
        <v>16.511904761904763</v>
      </c>
    </row>
    <row r="6402" spans="1:10">
      <c r="A6402" s="441">
        <v>6276</v>
      </c>
      <c r="B6402" s="441" t="s">
        <v>5456</v>
      </c>
      <c r="C6402" s="545">
        <v>54.833333333333336</v>
      </c>
      <c r="D6402" s="545">
        <v>30</v>
      </c>
      <c r="E6402" s="545">
        <v>24</v>
      </c>
      <c r="F6402" s="545">
        <v>46.880952380952387</v>
      </c>
      <c r="G6402" s="545">
        <v>43.05</v>
      </c>
      <c r="H6402" s="545">
        <v>30.666666666666668</v>
      </c>
      <c r="I6402" s="545">
        <v>23.666666666666668</v>
      </c>
      <c r="J6402" s="545">
        <v>38.511904761904759</v>
      </c>
    </row>
    <row r="6403" spans="1:10">
      <c r="A6403" s="441">
        <v>13050</v>
      </c>
      <c r="B6403" s="441" t="s">
        <v>5457</v>
      </c>
      <c r="C6403" s="545">
        <v>9.6666666666666661</v>
      </c>
      <c r="D6403" s="545">
        <v>4</v>
      </c>
      <c r="E6403" s="545">
        <v>1.6666666666666667</v>
      </c>
      <c r="F6403" s="545">
        <v>7.7142857142857135</v>
      </c>
      <c r="G6403" s="545">
        <v>5.9</v>
      </c>
      <c r="H6403" s="545">
        <v>2.6666666666666665</v>
      </c>
      <c r="I6403" s="545">
        <v>1.6666666666666667</v>
      </c>
      <c r="J6403" s="545">
        <v>4.833333333333333</v>
      </c>
    </row>
    <row r="6404" spans="1:10">
      <c r="A6404" s="441">
        <v>6275</v>
      </c>
      <c r="B6404" s="441" t="s">
        <v>5458</v>
      </c>
      <c r="C6404" s="545">
        <v>79.166666666666671</v>
      </c>
      <c r="D6404" s="545">
        <v>59.666666666666671</v>
      </c>
      <c r="E6404" s="545">
        <v>40.666666666666671</v>
      </c>
      <c r="F6404" s="545">
        <v>70.880952380952394</v>
      </c>
      <c r="G6404" s="545">
        <v>43.55</v>
      </c>
      <c r="H6404" s="545">
        <v>32.333333333333336</v>
      </c>
      <c r="I6404" s="545">
        <v>28</v>
      </c>
      <c r="J6404" s="545">
        <v>39.726190476190482</v>
      </c>
    </row>
    <row r="6405" spans="1:10">
      <c r="A6405" s="441">
        <v>5218</v>
      </c>
      <c r="B6405" s="441" t="s">
        <v>5459</v>
      </c>
      <c r="C6405" s="545">
        <v>21.5</v>
      </c>
      <c r="D6405" s="545">
        <v>18</v>
      </c>
      <c r="E6405" s="545">
        <v>13.666666666666666</v>
      </c>
      <c r="F6405" s="545">
        <v>19.88095238095238</v>
      </c>
      <c r="G6405" s="545">
        <v>13.1</v>
      </c>
      <c r="H6405" s="545">
        <v>5.666666666666667</v>
      </c>
      <c r="I6405" s="545">
        <v>5.333333333333333</v>
      </c>
      <c r="J6405" s="545">
        <v>10.928571428571429</v>
      </c>
    </row>
    <row r="6406" spans="1:10">
      <c r="A6406" s="441">
        <v>5260</v>
      </c>
      <c r="B6406" s="441" t="s">
        <v>5459</v>
      </c>
      <c r="C6406" s="545">
        <v>24.666666666666668</v>
      </c>
      <c r="D6406" s="545">
        <v>21</v>
      </c>
      <c r="E6406" s="545">
        <v>22.666666666666668</v>
      </c>
      <c r="F6406" s="545">
        <v>23.857142857142858</v>
      </c>
      <c r="G6406" s="545">
        <v>11.35</v>
      </c>
      <c r="H6406" s="545">
        <v>8.6666666666666661</v>
      </c>
      <c r="I6406" s="545">
        <v>7</v>
      </c>
      <c r="J6406" s="545">
        <v>10.345238095238097</v>
      </c>
    </row>
    <row r="6407" spans="1:10">
      <c r="A6407" s="441">
        <v>5223</v>
      </c>
      <c r="B6407" s="441" t="s">
        <v>5460</v>
      </c>
      <c r="C6407" s="545">
        <v>8.1666666666666661</v>
      </c>
      <c r="D6407" s="545">
        <v>5.6666666666666661</v>
      </c>
      <c r="E6407" s="545">
        <v>3.6666666666666665</v>
      </c>
      <c r="F6407" s="545">
        <v>7.1666666666666652</v>
      </c>
      <c r="G6407" s="545">
        <v>8.25</v>
      </c>
      <c r="H6407" s="545">
        <v>5</v>
      </c>
      <c r="I6407" s="545">
        <v>6.666666666666667</v>
      </c>
      <c r="J6407" s="545">
        <v>7.5595238095238093</v>
      </c>
    </row>
    <row r="6408" spans="1:10">
      <c r="A6408" s="441">
        <v>5255</v>
      </c>
      <c r="B6408" s="441" t="s">
        <v>5460</v>
      </c>
      <c r="C6408" s="545">
        <v>8.6666666666666679</v>
      </c>
      <c r="D6408" s="545">
        <v>6</v>
      </c>
      <c r="E6408" s="545">
        <v>4.3333333333333339</v>
      </c>
      <c r="F6408" s="545">
        <v>7.6666666666666687</v>
      </c>
      <c r="G6408" s="545">
        <v>9.9</v>
      </c>
      <c r="H6408" s="545">
        <v>5.666666666666667</v>
      </c>
      <c r="I6408" s="545">
        <v>4.333333333333333</v>
      </c>
      <c r="J6408" s="545">
        <v>8.5</v>
      </c>
    </row>
    <row r="6409" spans="1:10">
      <c r="A6409" s="441">
        <v>4715</v>
      </c>
      <c r="B6409" s="441" t="s">
        <v>5461</v>
      </c>
      <c r="C6409" s="545">
        <v>193.16666666666666</v>
      </c>
      <c r="D6409" s="545">
        <v>140.33333333333334</v>
      </c>
      <c r="E6409" s="545">
        <v>111.33333333333333</v>
      </c>
      <c r="F6409" s="545">
        <v>173.92857142857139</v>
      </c>
      <c r="G6409" s="545">
        <v>128</v>
      </c>
      <c r="H6409" s="545">
        <v>104.66666666666667</v>
      </c>
      <c r="I6409" s="545">
        <v>97</v>
      </c>
      <c r="J6409" s="545">
        <v>120.23809523809523</v>
      </c>
    </row>
    <row r="6410" spans="1:10">
      <c r="A6410" s="441">
        <v>6273</v>
      </c>
      <c r="B6410" s="441" t="s">
        <v>5461</v>
      </c>
      <c r="C6410" s="545">
        <v>226</v>
      </c>
      <c r="D6410" s="545">
        <v>164.33333333333334</v>
      </c>
      <c r="E6410" s="545">
        <v>132</v>
      </c>
      <c r="F6410" s="545">
        <v>203.76190476190476</v>
      </c>
      <c r="G6410" s="545">
        <v>143.85</v>
      </c>
      <c r="H6410" s="545">
        <v>105</v>
      </c>
      <c r="I6410" s="545">
        <v>104</v>
      </c>
      <c r="J6410" s="545">
        <v>132.60714285714286</v>
      </c>
    </row>
    <row r="6411" spans="1:10">
      <c r="A6411" s="441">
        <v>6274</v>
      </c>
      <c r="B6411" s="441" t="s">
        <v>5461</v>
      </c>
      <c r="C6411" s="545">
        <v>10</v>
      </c>
      <c r="D6411" s="545">
        <v>3.666666666666667</v>
      </c>
      <c r="E6411" s="545">
        <v>2.6666666666666665</v>
      </c>
      <c r="F6411" s="545">
        <v>8.0476190476190474</v>
      </c>
      <c r="G6411" s="545">
        <v>8.1999999999999993</v>
      </c>
      <c r="H6411" s="545">
        <v>4.333333333333333</v>
      </c>
      <c r="I6411" s="545">
        <v>5.333333333333333</v>
      </c>
      <c r="J6411" s="545">
        <v>7.238095238095239</v>
      </c>
    </row>
    <row r="6412" spans="1:10">
      <c r="A6412" s="441">
        <v>12061</v>
      </c>
      <c r="B6412" s="441" t="s">
        <v>5462</v>
      </c>
      <c r="C6412" s="545">
        <v>5</v>
      </c>
      <c r="D6412" s="545">
        <v>5.3333333333333339</v>
      </c>
      <c r="E6412" s="545">
        <v>2.6666666666666665</v>
      </c>
      <c r="F6412" s="545">
        <v>4.7142857142857144</v>
      </c>
      <c r="G6412" s="545">
        <v>3.9</v>
      </c>
      <c r="H6412" s="545">
        <v>4.666666666666667</v>
      </c>
      <c r="I6412" s="545">
        <v>3.3333333333333335</v>
      </c>
      <c r="J6412" s="545">
        <v>3.9285714285714284</v>
      </c>
    </row>
    <row r="6413" spans="1:10">
      <c r="A6413" s="441">
        <v>5225</v>
      </c>
      <c r="B6413" s="441" t="s">
        <v>5463</v>
      </c>
      <c r="C6413" s="545">
        <v>9.1666666666666679</v>
      </c>
      <c r="D6413" s="545">
        <v>8.3333333333333339</v>
      </c>
      <c r="E6413" s="545">
        <v>10</v>
      </c>
      <c r="F6413" s="545">
        <v>9.1666666666666696</v>
      </c>
      <c r="G6413" s="545">
        <v>8.15</v>
      </c>
      <c r="H6413" s="545">
        <v>3</v>
      </c>
      <c r="I6413" s="545">
        <v>5.333333333333333</v>
      </c>
      <c r="J6413" s="545">
        <v>7.0119047619047619</v>
      </c>
    </row>
    <row r="6414" spans="1:10">
      <c r="A6414" s="441">
        <v>12228</v>
      </c>
      <c r="B6414" s="441" t="s">
        <v>5463</v>
      </c>
      <c r="C6414" s="545">
        <v>7.1666666666666661</v>
      </c>
      <c r="D6414" s="545">
        <v>4.333333333333333</v>
      </c>
      <c r="E6414" s="545">
        <v>5</v>
      </c>
      <c r="F6414" s="545">
        <v>6.4523809523809517</v>
      </c>
      <c r="G6414" s="545">
        <v>5</v>
      </c>
      <c r="H6414" s="545">
        <v>1</v>
      </c>
      <c r="I6414" s="545">
        <v>1.3333333333333333</v>
      </c>
      <c r="J6414" s="545">
        <v>3.9047619047619047</v>
      </c>
    </row>
    <row r="6415" spans="1:10">
      <c r="A6415" s="441">
        <v>5220</v>
      </c>
      <c r="B6415" s="441" t="s">
        <v>5464</v>
      </c>
      <c r="C6415" s="545">
        <v>69.333333333333343</v>
      </c>
      <c r="D6415" s="545">
        <v>36</v>
      </c>
      <c r="E6415" s="545">
        <v>33</v>
      </c>
      <c r="F6415" s="545">
        <v>59.380952380952394</v>
      </c>
      <c r="G6415" s="545">
        <v>38.200000000000003</v>
      </c>
      <c r="H6415" s="545">
        <v>28</v>
      </c>
      <c r="I6415" s="545">
        <v>25</v>
      </c>
      <c r="J6415" s="545">
        <v>34.857142857142854</v>
      </c>
    </row>
    <row r="6416" spans="1:10">
      <c r="A6416" s="441">
        <v>5258</v>
      </c>
      <c r="B6416" s="441" t="s">
        <v>5464</v>
      </c>
      <c r="C6416" s="545">
        <v>68.5</v>
      </c>
      <c r="D6416" s="545">
        <v>44.666666666666671</v>
      </c>
      <c r="E6416" s="545">
        <v>28.333333333333332</v>
      </c>
      <c r="F6416" s="545">
        <v>59.357142857142854</v>
      </c>
      <c r="G6416" s="545">
        <v>40.200000000000003</v>
      </c>
      <c r="H6416" s="545">
        <v>28</v>
      </c>
      <c r="I6416" s="545">
        <v>29.333333333333332</v>
      </c>
      <c r="J6416" s="545">
        <v>36.904761904761905</v>
      </c>
    </row>
    <row r="6417" spans="1:10">
      <c r="A6417" s="441">
        <v>5246</v>
      </c>
      <c r="B6417" s="441" t="s">
        <v>5465</v>
      </c>
      <c r="C6417" s="545">
        <v>74.666666666666657</v>
      </c>
      <c r="D6417" s="545">
        <v>57</v>
      </c>
      <c r="E6417" s="545">
        <v>40</v>
      </c>
      <c r="F6417" s="545">
        <v>67.190476190476176</v>
      </c>
      <c r="G6417" s="545">
        <v>40.950000000000003</v>
      </c>
      <c r="H6417" s="545">
        <v>26.666666666666668</v>
      </c>
      <c r="I6417" s="545">
        <v>32.666666666666664</v>
      </c>
      <c r="J6417" s="545">
        <v>37.726190476190474</v>
      </c>
    </row>
    <row r="6418" spans="1:10">
      <c r="A6418" s="441">
        <v>5219</v>
      </c>
      <c r="B6418" s="441" t="s">
        <v>5466</v>
      </c>
      <c r="C6418" s="545">
        <v>11.333333333333334</v>
      </c>
      <c r="D6418" s="545">
        <v>6</v>
      </c>
      <c r="E6418" s="545">
        <v>2</v>
      </c>
      <c r="F6418" s="545">
        <v>9.238095238095239</v>
      </c>
      <c r="G6418" s="545">
        <v>3.55</v>
      </c>
      <c r="H6418" s="545">
        <v>2</v>
      </c>
      <c r="I6418" s="545">
        <v>2.3333333333333335</v>
      </c>
      <c r="J6418" s="545">
        <v>3.1547619047619047</v>
      </c>
    </row>
    <row r="6419" spans="1:10">
      <c r="A6419" s="441">
        <v>5259</v>
      </c>
      <c r="B6419" s="441" t="s">
        <v>5466</v>
      </c>
      <c r="C6419" s="545">
        <v>6.666666666666667</v>
      </c>
      <c r="D6419" s="545">
        <v>5</v>
      </c>
      <c r="E6419" s="545">
        <v>5.6666666666666661</v>
      </c>
      <c r="F6419" s="545">
        <v>6.2857142857142856</v>
      </c>
      <c r="G6419" s="545">
        <v>5.45</v>
      </c>
      <c r="H6419" s="545">
        <v>5</v>
      </c>
      <c r="I6419" s="545">
        <v>5</v>
      </c>
      <c r="J6419" s="545">
        <v>5.3214285714285712</v>
      </c>
    </row>
    <row r="6420" spans="1:10">
      <c r="A6420" s="441">
        <v>4712</v>
      </c>
      <c r="B6420" s="441" t="s">
        <v>5467</v>
      </c>
      <c r="C6420" s="545">
        <v>70.166666666666671</v>
      </c>
      <c r="D6420" s="545">
        <v>62.666666666666671</v>
      </c>
      <c r="E6420" s="545">
        <v>44</v>
      </c>
      <c r="F6420" s="545">
        <v>65.357142857142861</v>
      </c>
      <c r="G6420" s="545">
        <v>55.65</v>
      </c>
      <c r="H6420" s="545">
        <v>34.666666666666664</v>
      </c>
      <c r="I6420" s="545">
        <v>29.666666666666668</v>
      </c>
      <c r="J6420" s="545">
        <v>48.940476190476197</v>
      </c>
    </row>
    <row r="6421" spans="1:10">
      <c r="A6421" s="441">
        <v>4713</v>
      </c>
      <c r="B6421" s="441" t="s">
        <v>5467</v>
      </c>
      <c r="C6421" s="545">
        <v>13</v>
      </c>
      <c r="D6421" s="545">
        <v>6.6666666666666661</v>
      </c>
      <c r="E6421" s="545">
        <v>4.666666666666667</v>
      </c>
      <c r="F6421" s="545">
        <v>10.904761904761907</v>
      </c>
      <c r="G6421" s="545">
        <v>6.1</v>
      </c>
      <c r="H6421" s="545">
        <v>3.6666666666666665</v>
      </c>
      <c r="I6421" s="545">
        <v>4</v>
      </c>
      <c r="J6421" s="545">
        <v>5.4523809523809517</v>
      </c>
    </row>
    <row r="6422" spans="1:10">
      <c r="A6422" s="441">
        <v>4714</v>
      </c>
      <c r="B6422" s="441" t="s">
        <v>5467</v>
      </c>
      <c r="C6422" s="545">
        <v>7.666666666666667</v>
      </c>
      <c r="D6422" s="545">
        <v>3.6666666666666665</v>
      </c>
      <c r="E6422" s="545">
        <v>5.333333333333333</v>
      </c>
      <c r="F6422" s="545">
        <v>6.7619047619047619</v>
      </c>
      <c r="G6422" s="545">
        <v>2.4500000000000002</v>
      </c>
      <c r="H6422" s="545">
        <v>2</v>
      </c>
      <c r="I6422" s="545">
        <v>2</v>
      </c>
      <c r="J6422" s="545">
        <v>2.3214285714285716</v>
      </c>
    </row>
    <row r="6423" spans="1:10">
      <c r="A6423" s="441">
        <v>11532</v>
      </c>
      <c r="B6423" s="441" t="s">
        <v>5467</v>
      </c>
      <c r="C6423" s="545">
        <v>20.666666666666668</v>
      </c>
      <c r="D6423" s="545">
        <v>10.666666666666666</v>
      </c>
      <c r="E6423" s="545">
        <v>5.6666666666666661</v>
      </c>
      <c r="F6423" s="545">
        <v>17.095238095238098</v>
      </c>
      <c r="G6423" s="545">
        <v>17.8</v>
      </c>
      <c r="H6423" s="545">
        <v>14.666666666666666</v>
      </c>
      <c r="I6423" s="545">
        <v>7.333333333333333</v>
      </c>
      <c r="J6423" s="545">
        <v>15.857142857142858</v>
      </c>
    </row>
    <row r="6424" spans="1:10">
      <c r="A6424" s="441">
        <v>5961</v>
      </c>
      <c r="B6424" s="441" t="s">
        <v>5468</v>
      </c>
      <c r="C6424" s="545">
        <v>1.3333333333333335</v>
      </c>
      <c r="D6424" s="545">
        <v>0.66666666666666663</v>
      </c>
      <c r="E6424" s="545">
        <v>0.33333333333333331</v>
      </c>
      <c r="F6424" s="545">
        <v>1.0952380952380953</v>
      </c>
      <c r="G6424" s="545">
        <v>2.2999999999999998</v>
      </c>
      <c r="H6424" s="545">
        <v>0.33333333333333331</v>
      </c>
      <c r="I6424" s="545">
        <v>0</v>
      </c>
      <c r="J6424" s="545">
        <v>1.6904761904761905</v>
      </c>
    </row>
    <row r="6425" spans="1:10">
      <c r="A6425" s="441">
        <v>5947</v>
      </c>
      <c r="B6425" s="441" t="s">
        <v>5469</v>
      </c>
      <c r="C6425" s="545">
        <v>2.833333333333333</v>
      </c>
      <c r="D6425" s="545">
        <v>1.3333333333333333</v>
      </c>
      <c r="E6425" s="545">
        <v>0.33333333333333331</v>
      </c>
      <c r="F6425" s="545">
        <v>2.2619047619047619</v>
      </c>
      <c r="G6425" s="545">
        <v>1.3</v>
      </c>
      <c r="H6425" s="545">
        <v>1</v>
      </c>
      <c r="I6425" s="545">
        <v>0.33333333333333331</v>
      </c>
      <c r="J6425" s="545">
        <v>1.1190476190476191</v>
      </c>
    </row>
    <row r="6426" spans="1:10">
      <c r="A6426" s="441">
        <v>5964</v>
      </c>
      <c r="B6426" s="441" t="s">
        <v>5469</v>
      </c>
      <c r="C6426" s="545">
        <v>5.166666666666667</v>
      </c>
      <c r="D6426" s="545">
        <v>2</v>
      </c>
      <c r="E6426" s="545">
        <v>1.3333333333333333</v>
      </c>
      <c r="F6426" s="545">
        <v>4.166666666666667</v>
      </c>
      <c r="G6426" s="545">
        <v>1.55</v>
      </c>
      <c r="H6426" s="545">
        <v>1</v>
      </c>
      <c r="I6426" s="545">
        <v>0.66666666666666663</v>
      </c>
      <c r="J6426" s="545">
        <v>1.3452380952380951</v>
      </c>
    </row>
    <row r="6427" spans="1:10">
      <c r="A6427" s="441">
        <v>5948</v>
      </c>
      <c r="B6427" s="441" t="s">
        <v>5470</v>
      </c>
      <c r="C6427" s="545">
        <v>24.833333333333336</v>
      </c>
      <c r="D6427" s="545">
        <v>26.666666666666664</v>
      </c>
      <c r="E6427" s="545">
        <v>20</v>
      </c>
      <c r="F6427" s="545">
        <v>24.404761904761905</v>
      </c>
      <c r="G6427" s="545">
        <v>12.1</v>
      </c>
      <c r="H6427" s="545">
        <v>7</v>
      </c>
      <c r="I6427" s="545">
        <v>8</v>
      </c>
      <c r="J6427" s="545">
        <v>10.785714285714286</v>
      </c>
    </row>
    <row r="6428" spans="1:10">
      <c r="A6428" s="441">
        <v>5963</v>
      </c>
      <c r="B6428" s="441" t="s">
        <v>5470</v>
      </c>
      <c r="C6428" s="545">
        <v>39.666666666666664</v>
      </c>
      <c r="D6428" s="545">
        <v>34.333333333333329</v>
      </c>
      <c r="E6428" s="545">
        <v>20</v>
      </c>
      <c r="F6428" s="545">
        <v>36.095238095238088</v>
      </c>
      <c r="G6428" s="545">
        <v>25.6</v>
      </c>
      <c r="H6428" s="545">
        <v>22</v>
      </c>
      <c r="I6428" s="545">
        <v>18.333333333333332</v>
      </c>
      <c r="J6428" s="545">
        <v>24.047619047619047</v>
      </c>
    </row>
    <row r="6429" spans="1:10">
      <c r="A6429" s="441">
        <v>5953</v>
      </c>
      <c r="B6429" s="441" t="s">
        <v>5471</v>
      </c>
      <c r="C6429" s="545">
        <v>5</v>
      </c>
      <c r="D6429" s="545">
        <v>3.6666666666666665</v>
      </c>
      <c r="E6429" s="545">
        <v>2.3333333333333335</v>
      </c>
      <c r="F6429" s="545">
        <v>4.4285714285714288</v>
      </c>
      <c r="G6429" s="545">
        <v>2.9</v>
      </c>
      <c r="H6429" s="545">
        <v>0</v>
      </c>
      <c r="I6429" s="545">
        <v>0</v>
      </c>
      <c r="J6429" s="545">
        <v>2.0714285714285716</v>
      </c>
    </row>
    <row r="6430" spans="1:10">
      <c r="A6430" s="441">
        <v>5958</v>
      </c>
      <c r="B6430" s="441" t="s">
        <v>5471</v>
      </c>
      <c r="C6430" s="545">
        <v>2.666666666666667</v>
      </c>
      <c r="D6430" s="545">
        <v>2</v>
      </c>
      <c r="E6430" s="545">
        <v>2.666666666666667</v>
      </c>
      <c r="F6430" s="545">
        <v>2.5714285714285721</v>
      </c>
      <c r="G6430" s="545">
        <v>0.45</v>
      </c>
      <c r="H6430" s="545">
        <v>0</v>
      </c>
      <c r="I6430" s="545">
        <v>0</v>
      </c>
      <c r="J6430" s="545">
        <v>0.32142857142857145</v>
      </c>
    </row>
    <row r="6431" spans="1:10">
      <c r="A6431" s="441">
        <v>5946</v>
      </c>
      <c r="B6431" s="441" t="s">
        <v>5472</v>
      </c>
      <c r="C6431" s="545">
        <v>5</v>
      </c>
      <c r="D6431" s="545">
        <v>2</v>
      </c>
      <c r="E6431" s="545">
        <v>2</v>
      </c>
      <c r="F6431" s="545">
        <v>4.1428571428571432</v>
      </c>
      <c r="G6431" s="545">
        <v>2.8</v>
      </c>
      <c r="H6431" s="545">
        <v>1</v>
      </c>
      <c r="I6431" s="545">
        <v>2</v>
      </c>
      <c r="J6431" s="545">
        <v>2.4285714285714284</v>
      </c>
    </row>
    <row r="6432" spans="1:10">
      <c r="A6432" s="441">
        <v>5965</v>
      </c>
      <c r="B6432" s="441" t="s">
        <v>5473</v>
      </c>
      <c r="C6432" s="545">
        <v>8.3333333333333321</v>
      </c>
      <c r="D6432" s="545">
        <v>2.666666666666667</v>
      </c>
      <c r="E6432" s="545">
        <v>1</v>
      </c>
      <c r="F6432" s="545">
        <v>6.4761904761904745</v>
      </c>
      <c r="G6432" s="545">
        <v>3.3</v>
      </c>
      <c r="H6432" s="545">
        <v>1</v>
      </c>
      <c r="I6432" s="545">
        <v>1.3333333333333333</v>
      </c>
      <c r="J6432" s="545">
        <v>2.6904761904761902</v>
      </c>
    </row>
    <row r="6433" spans="1:10">
      <c r="A6433" s="441">
        <v>5945</v>
      </c>
      <c r="B6433" s="441" t="s">
        <v>5474</v>
      </c>
      <c r="C6433" s="545">
        <v>62.5</v>
      </c>
      <c r="D6433" s="545">
        <v>37.666666666666664</v>
      </c>
      <c r="E6433" s="545">
        <v>29</v>
      </c>
      <c r="F6433" s="545">
        <v>54.166666666666671</v>
      </c>
      <c r="G6433" s="545">
        <v>25.5</v>
      </c>
      <c r="H6433" s="545">
        <v>19</v>
      </c>
      <c r="I6433" s="545">
        <v>31</v>
      </c>
      <c r="J6433" s="545">
        <v>25.357142857142858</v>
      </c>
    </row>
    <row r="6434" spans="1:10">
      <c r="A6434" s="441">
        <v>5966</v>
      </c>
      <c r="B6434" s="441" t="s">
        <v>5474</v>
      </c>
      <c r="C6434" s="545">
        <v>69.166666666666671</v>
      </c>
      <c r="D6434" s="545">
        <v>49</v>
      </c>
      <c r="E6434" s="545">
        <v>43.333333333333336</v>
      </c>
      <c r="F6434" s="545">
        <v>62.595238095238095</v>
      </c>
      <c r="G6434" s="545">
        <v>25.2</v>
      </c>
      <c r="H6434" s="545">
        <v>13</v>
      </c>
      <c r="I6434" s="545">
        <v>12.666666666666666</v>
      </c>
      <c r="J6434" s="545">
        <v>21.666666666666664</v>
      </c>
    </row>
    <row r="6435" spans="1:10">
      <c r="A6435" s="441">
        <v>5944</v>
      </c>
      <c r="B6435" s="441" t="s">
        <v>5475</v>
      </c>
      <c r="C6435" s="545">
        <v>10</v>
      </c>
      <c r="D6435" s="545">
        <v>10.666666666666666</v>
      </c>
      <c r="E6435" s="545">
        <v>6</v>
      </c>
      <c r="F6435" s="545">
        <v>9.5238095238095219</v>
      </c>
      <c r="G6435" s="545">
        <v>8.15</v>
      </c>
      <c r="H6435" s="545">
        <v>3.6666666666666665</v>
      </c>
      <c r="I6435" s="545">
        <v>4.333333333333333</v>
      </c>
      <c r="J6435" s="545">
        <v>6.9642857142857144</v>
      </c>
    </row>
    <row r="6436" spans="1:10">
      <c r="A6436" s="441">
        <v>5968</v>
      </c>
      <c r="B6436" s="441" t="s">
        <v>5475</v>
      </c>
      <c r="C6436" s="545">
        <v>10.166666666666668</v>
      </c>
      <c r="D6436" s="545">
        <v>8.6666666666666661</v>
      </c>
      <c r="E6436" s="545">
        <v>4.3333333333333339</v>
      </c>
      <c r="F6436" s="545">
        <v>9.1190476190476204</v>
      </c>
      <c r="G6436" s="545">
        <v>5.0999999999999996</v>
      </c>
      <c r="H6436" s="545">
        <v>2</v>
      </c>
      <c r="I6436" s="545">
        <v>1.6666666666666667</v>
      </c>
      <c r="J6436" s="545">
        <v>4.166666666666667</v>
      </c>
    </row>
    <row r="6437" spans="1:10">
      <c r="A6437" s="441">
        <v>10406</v>
      </c>
      <c r="B6437" s="441" t="s">
        <v>5476</v>
      </c>
      <c r="C6437" s="545">
        <v>125.66666666666666</v>
      </c>
      <c r="D6437" s="545">
        <v>134.33333333333334</v>
      </c>
      <c r="E6437" s="545">
        <v>93</v>
      </c>
      <c r="F6437" s="545">
        <v>122.23809523809523</v>
      </c>
      <c r="G6437" s="545">
        <v>63.75</v>
      </c>
      <c r="H6437" s="545">
        <v>60.333333333333336</v>
      </c>
      <c r="I6437" s="545">
        <v>51</v>
      </c>
      <c r="J6437" s="545">
        <v>61.44047619047619</v>
      </c>
    </row>
    <row r="6438" spans="1:10">
      <c r="A6438" s="441">
        <v>5951</v>
      </c>
      <c r="B6438" s="441" t="s">
        <v>5477</v>
      </c>
      <c r="C6438" s="545">
        <v>2.6666666666666665</v>
      </c>
      <c r="D6438" s="545">
        <v>1.3333333333333333</v>
      </c>
      <c r="E6438" s="545">
        <v>0</v>
      </c>
      <c r="F6438" s="545">
        <v>2.0952380952380953</v>
      </c>
      <c r="G6438" s="545">
        <v>1.45</v>
      </c>
      <c r="H6438" s="545">
        <v>0.66666666666666663</v>
      </c>
      <c r="I6438" s="545">
        <v>1</v>
      </c>
      <c r="J6438" s="545">
        <v>1.2738095238095239</v>
      </c>
    </row>
    <row r="6439" spans="1:10">
      <c r="A6439" s="441">
        <v>5960</v>
      </c>
      <c r="B6439" s="441" t="s">
        <v>5477</v>
      </c>
      <c r="C6439" s="545">
        <v>2.333333333333333</v>
      </c>
      <c r="D6439" s="545">
        <v>1.6666666666666665</v>
      </c>
      <c r="E6439" s="545">
        <v>0.33333333333333331</v>
      </c>
      <c r="F6439" s="545">
        <v>1.9523809523809521</v>
      </c>
      <c r="G6439" s="545">
        <v>0.65</v>
      </c>
      <c r="H6439" s="545">
        <v>0</v>
      </c>
      <c r="I6439" s="545">
        <v>0</v>
      </c>
      <c r="J6439" s="545">
        <v>0.4642857142857143</v>
      </c>
    </row>
    <row r="6440" spans="1:10">
      <c r="A6440" s="441">
        <v>5950</v>
      </c>
      <c r="B6440" s="441" t="s">
        <v>5478</v>
      </c>
      <c r="C6440" s="545">
        <v>5.833333333333333</v>
      </c>
      <c r="D6440" s="545">
        <v>1.6666666666666665</v>
      </c>
      <c r="E6440" s="545">
        <v>0.66666666666666663</v>
      </c>
      <c r="F6440" s="545">
        <v>4.5</v>
      </c>
      <c r="G6440" s="545">
        <v>3.55</v>
      </c>
      <c r="H6440" s="545">
        <v>1.3333333333333333</v>
      </c>
      <c r="I6440" s="545">
        <v>0.33333333333333331</v>
      </c>
      <c r="J6440" s="545">
        <v>2.7738095238095233</v>
      </c>
    </row>
    <row r="6441" spans="1:10">
      <c r="A6441" s="441">
        <v>5962</v>
      </c>
      <c r="B6441" s="441" t="s">
        <v>5479</v>
      </c>
      <c r="C6441" s="545">
        <v>4</v>
      </c>
      <c r="D6441" s="545">
        <v>3.3333333333333335</v>
      </c>
      <c r="E6441" s="545">
        <v>0.66666666666666663</v>
      </c>
      <c r="F6441" s="545">
        <v>3.4285714285714284</v>
      </c>
      <c r="G6441" s="545">
        <v>5.0999999999999996</v>
      </c>
      <c r="H6441" s="545">
        <v>1</v>
      </c>
      <c r="I6441" s="545">
        <v>0.33333333333333331</v>
      </c>
      <c r="J6441" s="545">
        <v>3.833333333333333</v>
      </c>
    </row>
    <row r="6442" spans="1:10">
      <c r="A6442" s="441">
        <v>5949</v>
      </c>
      <c r="B6442" s="441" t="s">
        <v>5480</v>
      </c>
      <c r="C6442" s="545">
        <v>3.5</v>
      </c>
      <c r="D6442" s="545">
        <v>1.6666666666666665</v>
      </c>
      <c r="E6442" s="545">
        <v>1.6666666666666665</v>
      </c>
      <c r="F6442" s="545">
        <v>2.9761904761904767</v>
      </c>
      <c r="G6442" s="545">
        <v>6.75</v>
      </c>
      <c r="H6442" s="545">
        <v>4.333333333333333</v>
      </c>
      <c r="I6442" s="545">
        <v>3.3333333333333335</v>
      </c>
      <c r="J6442" s="545">
        <v>5.916666666666667</v>
      </c>
    </row>
    <row r="6443" spans="1:10">
      <c r="A6443" s="441">
        <v>5955</v>
      </c>
      <c r="B6443" s="441" t="s">
        <v>5481</v>
      </c>
      <c r="C6443" s="545">
        <v>73.5</v>
      </c>
      <c r="D6443" s="545">
        <v>3.6666666666666665</v>
      </c>
      <c r="E6443" s="545">
        <v>0.66666666666666663</v>
      </c>
      <c r="F6443" s="545">
        <v>53.119047619047628</v>
      </c>
      <c r="G6443" s="545">
        <v>9.9499999999999993</v>
      </c>
      <c r="H6443" s="545">
        <v>0.33333333333333331</v>
      </c>
      <c r="I6443" s="545">
        <v>0.33333333333333331</v>
      </c>
      <c r="J6443" s="545">
        <v>7.2023809523809534</v>
      </c>
    </row>
    <row r="6444" spans="1:10">
      <c r="A6444" s="441">
        <v>5956</v>
      </c>
      <c r="B6444" s="441" t="s">
        <v>5481</v>
      </c>
      <c r="C6444" s="545">
        <v>41.666666666666671</v>
      </c>
      <c r="D6444" s="545">
        <v>3</v>
      </c>
      <c r="E6444" s="545">
        <v>1</v>
      </c>
      <c r="F6444" s="545">
        <v>30.333333333333339</v>
      </c>
      <c r="G6444" s="545">
        <v>25.7</v>
      </c>
      <c r="H6444" s="545">
        <v>1</v>
      </c>
      <c r="I6444" s="545">
        <v>0.66666666666666663</v>
      </c>
      <c r="J6444" s="545">
        <v>18.595238095238095</v>
      </c>
    </row>
    <row r="6445" spans="1:10">
      <c r="A6445" s="441">
        <v>6157</v>
      </c>
      <c r="B6445" s="441" t="s">
        <v>5482</v>
      </c>
      <c r="C6445" s="545">
        <v>8.1666666666666661</v>
      </c>
      <c r="D6445" s="545">
        <v>2.3333333333333335</v>
      </c>
      <c r="E6445" s="545">
        <v>1.6666666666666667</v>
      </c>
      <c r="F6445" s="545">
        <v>6.4047619047619042</v>
      </c>
      <c r="G6445" s="545">
        <v>2.15</v>
      </c>
      <c r="H6445" s="545">
        <v>0.33333333333333331</v>
      </c>
      <c r="I6445" s="545">
        <v>0.33333333333333331</v>
      </c>
      <c r="J6445" s="545">
        <v>1.6309523809523812</v>
      </c>
    </row>
    <row r="6446" spans="1:10">
      <c r="A6446" s="441">
        <v>5952</v>
      </c>
      <c r="B6446" s="441" t="s">
        <v>5483</v>
      </c>
      <c r="C6446" s="545">
        <v>2.5</v>
      </c>
      <c r="D6446" s="545">
        <v>0.66666666666666663</v>
      </c>
      <c r="E6446" s="545">
        <v>0</v>
      </c>
      <c r="F6446" s="545">
        <v>1.8809523809523809</v>
      </c>
      <c r="G6446" s="545">
        <v>1.4</v>
      </c>
      <c r="H6446" s="545">
        <v>1</v>
      </c>
      <c r="I6446" s="545">
        <v>0.33333333333333331</v>
      </c>
      <c r="J6446" s="545">
        <v>1.1904761904761905</v>
      </c>
    </row>
    <row r="6447" spans="1:10">
      <c r="A6447" s="441">
        <v>5959</v>
      </c>
      <c r="B6447" s="441" t="s">
        <v>5483</v>
      </c>
      <c r="C6447" s="545">
        <v>2</v>
      </c>
      <c r="D6447" s="545">
        <v>1.3333333333333333</v>
      </c>
      <c r="E6447" s="545">
        <v>0.33333333333333331</v>
      </c>
      <c r="F6447" s="545">
        <v>1.6666666666666667</v>
      </c>
      <c r="G6447" s="545">
        <v>2</v>
      </c>
      <c r="H6447" s="545">
        <v>0</v>
      </c>
      <c r="I6447" s="545">
        <v>0</v>
      </c>
      <c r="J6447" s="545">
        <v>1.4285714285714286</v>
      </c>
    </row>
    <row r="6448" spans="1:10">
      <c r="A6448" s="441">
        <v>5954</v>
      </c>
      <c r="B6448" s="441" t="s">
        <v>5484</v>
      </c>
      <c r="C6448" s="545">
        <v>17.166666666666664</v>
      </c>
      <c r="D6448" s="545">
        <v>1.3333333333333333</v>
      </c>
      <c r="E6448" s="545">
        <v>1</v>
      </c>
      <c r="F6448" s="545">
        <v>12.595238095238091</v>
      </c>
      <c r="G6448" s="545">
        <v>25.75</v>
      </c>
      <c r="H6448" s="545">
        <v>1.6666666666666667</v>
      </c>
      <c r="I6448" s="545">
        <v>0.33333333333333331</v>
      </c>
      <c r="J6448" s="545">
        <v>18.678571428571427</v>
      </c>
    </row>
    <row r="6449" spans="1:10">
      <c r="A6449" s="441">
        <v>5957</v>
      </c>
      <c r="B6449" s="441" t="s">
        <v>5484</v>
      </c>
      <c r="C6449" s="545">
        <v>6.8333333333333339</v>
      </c>
      <c r="D6449" s="545">
        <v>1.3333333333333333</v>
      </c>
      <c r="E6449" s="545">
        <v>1.6666666666666667</v>
      </c>
      <c r="F6449" s="545">
        <v>5.3095238095238102</v>
      </c>
      <c r="G6449" s="545">
        <v>13.8</v>
      </c>
      <c r="H6449" s="545">
        <v>0</v>
      </c>
      <c r="I6449" s="545">
        <v>0.66666666666666663</v>
      </c>
      <c r="J6449" s="545">
        <v>9.9523809523809526</v>
      </c>
    </row>
    <row r="6450" spans="1:10">
      <c r="A6450" s="441">
        <v>107</v>
      </c>
      <c r="B6450" s="441" t="s">
        <v>5485</v>
      </c>
      <c r="C6450" s="545">
        <v>20.666666666666668</v>
      </c>
      <c r="D6450" s="545">
        <v>22</v>
      </c>
      <c r="E6450" s="545">
        <v>19.666666666666668</v>
      </c>
      <c r="F6450" s="545">
        <v>20.714285714285715</v>
      </c>
      <c r="G6450" s="545">
        <v>6.05</v>
      </c>
      <c r="H6450" s="545">
        <v>5.333333333333333</v>
      </c>
      <c r="I6450" s="545">
        <v>6.666666666666667</v>
      </c>
      <c r="J6450" s="545">
        <v>6.0357142857142856</v>
      </c>
    </row>
    <row r="6451" spans="1:10">
      <c r="A6451" s="441">
        <v>5969</v>
      </c>
      <c r="B6451" s="441" t="s">
        <v>5485</v>
      </c>
      <c r="C6451" s="545">
        <v>15.333333333333332</v>
      </c>
      <c r="D6451" s="545">
        <v>17.666666666666668</v>
      </c>
      <c r="E6451" s="545">
        <v>10.333333333333332</v>
      </c>
      <c r="F6451" s="545">
        <v>14.952380952380951</v>
      </c>
      <c r="G6451" s="545">
        <v>6.45</v>
      </c>
      <c r="H6451" s="545">
        <v>6</v>
      </c>
      <c r="I6451" s="545">
        <v>6.666666666666667</v>
      </c>
      <c r="J6451" s="545">
        <v>6.4166666666666661</v>
      </c>
    </row>
    <row r="6452" spans="1:10">
      <c r="A6452" s="441">
        <v>10407</v>
      </c>
      <c r="B6452" s="441" t="s">
        <v>5486</v>
      </c>
      <c r="C6452" s="545">
        <v>108.33333333333334</v>
      </c>
      <c r="D6452" s="545">
        <v>116</v>
      </c>
      <c r="E6452" s="545">
        <v>89.666666666666657</v>
      </c>
      <c r="F6452" s="545">
        <v>106.76190476190477</v>
      </c>
      <c r="G6452" s="545">
        <v>59.95</v>
      </c>
      <c r="H6452" s="545">
        <v>68.666666666666671</v>
      </c>
      <c r="I6452" s="545">
        <v>59</v>
      </c>
      <c r="J6452" s="545">
        <v>61.05952380952381</v>
      </c>
    </row>
    <row r="6453" spans="1:10">
      <c r="A6453" s="441">
        <v>10034</v>
      </c>
      <c r="B6453" s="441" t="s">
        <v>5487</v>
      </c>
      <c r="C6453" s="545">
        <v>51</v>
      </c>
      <c r="D6453" s="545">
        <v>44.333333333333329</v>
      </c>
      <c r="E6453" s="545">
        <v>29.333333333333336</v>
      </c>
      <c r="F6453" s="545">
        <v>46.952380952380949</v>
      </c>
      <c r="G6453" s="545">
        <v>49.9</v>
      </c>
      <c r="H6453" s="545">
        <v>33</v>
      </c>
      <c r="I6453" s="545">
        <v>33</v>
      </c>
      <c r="J6453" s="545">
        <v>45.071428571428569</v>
      </c>
    </row>
    <row r="6454" spans="1:10">
      <c r="A6454" s="441">
        <v>711</v>
      </c>
      <c r="B6454" s="441" t="s">
        <v>5488</v>
      </c>
      <c r="C6454" s="545">
        <v>5</v>
      </c>
      <c r="D6454" s="545">
        <v>3</v>
      </c>
      <c r="E6454" s="545">
        <v>3</v>
      </c>
      <c r="F6454" s="545">
        <v>4.4285714285714288</v>
      </c>
      <c r="G6454" s="545">
        <v>4.0999999999999996</v>
      </c>
      <c r="H6454" s="545">
        <v>4</v>
      </c>
      <c r="I6454" s="545">
        <v>0.33333333333333331</v>
      </c>
      <c r="J6454" s="545">
        <v>3.5476190476190474</v>
      </c>
    </row>
    <row r="6455" spans="1:10">
      <c r="A6455" s="441">
        <v>899</v>
      </c>
      <c r="B6455" s="441" t="s">
        <v>5488</v>
      </c>
      <c r="C6455" s="545">
        <v>3.833333333333333</v>
      </c>
      <c r="D6455" s="545">
        <v>5</v>
      </c>
      <c r="E6455" s="545">
        <v>1.3333333333333333</v>
      </c>
      <c r="F6455" s="545">
        <v>3.6428571428571423</v>
      </c>
      <c r="G6455" s="545">
        <v>5.3</v>
      </c>
      <c r="H6455" s="545">
        <v>3.3333333333333335</v>
      </c>
      <c r="I6455" s="545">
        <v>1.3333333333333333</v>
      </c>
      <c r="J6455" s="545">
        <v>4.4523809523809517</v>
      </c>
    </row>
    <row r="6456" spans="1:10">
      <c r="A6456" s="441">
        <v>709</v>
      </c>
      <c r="B6456" s="441" t="s">
        <v>5489</v>
      </c>
      <c r="C6456" s="545">
        <v>6.666666666666667</v>
      </c>
      <c r="D6456" s="545">
        <v>1.3333333333333333</v>
      </c>
      <c r="E6456" s="545">
        <v>0.66666666666666663</v>
      </c>
      <c r="F6456" s="545">
        <v>5.0476190476190483</v>
      </c>
      <c r="G6456" s="545">
        <v>6</v>
      </c>
      <c r="H6456" s="545">
        <v>7</v>
      </c>
      <c r="I6456" s="545">
        <v>3.3333333333333335</v>
      </c>
      <c r="J6456" s="545">
        <v>5.7619047619047619</v>
      </c>
    </row>
    <row r="6457" spans="1:10">
      <c r="A6457" s="441">
        <v>12512</v>
      </c>
      <c r="B6457" s="441" t="s">
        <v>5490</v>
      </c>
      <c r="C6457" s="545">
        <v>5.6666666666666661</v>
      </c>
      <c r="D6457" s="545">
        <v>3.6666666666666665</v>
      </c>
      <c r="E6457" s="545">
        <v>1</v>
      </c>
      <c r="F6457" s="545">
        <v>4.7142857142857144</v>
      </c>
      <c r="G6457" s="545">
        <v>4.95</v>
      </c>
      <c r="H6457" s="545">
        <v>2.6666666666666665</v>
      </c>
      <c r="I6457" s="545">
        <v>1.3333333333333333</v>
      </c>
      <c r="J6457" s="545">
        <v>4.1071428571428568</v>
      </c>
    </row>
    <row r="6458" spans="1:10">
      <c r="A6458" s="441">
        <v>6587</v>
      </c>
      <c r="B6458" s="441" t="s">
        <v>5491</v>
      </c>
      <c r="C6458" s="545">
        <v>13</v>
      </c>
      <c r="D6458" s="545">
        <v>6.6666666666666661</v>
      </c>
      <c r="E6458" s="545">
        <v>30.333333333333332</v>
      </c>
      <c r="F6458" s="545">
        <v>14.571428571428571</v>
      </c>
      <c r="G6458" s="545">
        <v>7.6</v>
      </c>
      <c r="H6458" s="545">
        <v>8.3333333333333339</v>
      </c>
      <c r="I6458" s="545">
        <v>5.666666666666667</v>
      </c>
      <c r="J6458" s="545">
        <v>7.4285714285714288</v>
      </c>
    </row>
    <row r="6459" spans="1:10">
      <c r="A6459" s="441">
        <v>5487</v>
      </c>
      <c r="B6459" s="441" t="s">
        <v>5492</v>
      </c>
      <c r="C6459" s="545">
        <v>5.8333333333333339</v>
      </c>
      <c r="D6459" s="545">
        <v>1.6666666666666665</v>
      </c>
      <c r="E6459" s="545">
        <v>1.6666666666666665</v>
      </c>
      <c r="F6459" s="545">
        <v>4.6428571428571441</v>
      </c>
      <c r="G6459" s="545">
        <v>3.5</v>
      </c>
      <c r="H6459" s="545">
        <v>0.66666666666666663</v>
      </c>
      <c r="I6459" s="545">
        <v>2</v>
      </c>
      <c r="J6459" s="545">
        <v>2.8809523809523809</v>
      </c>
    </row>
    <row r="6460" spans="1:10">
      <c r="A6460" s="441">
        <v>5486</v>
      </c>
      <c r="B6460" s="441" t="s">
        <v>5493</v>
      </c>
      <c r="C6460" s="545">
        <v>77.666666666666657</v>
      </c>
      <c r="D6460" s="545">
        <v>42.333333333333329</v>
      </c>
      <c r="E6460" s="545">
        <v>35</v>
      </c>
      <c r="F6460" s="545">
        <v>66.523809523809504</v>
      </c>
      <c r="G6460" s="545">
        <v>46.75</v>
      </c>
      <c r="H6460" s="545">
        <v>30.333333333333332</v>
      </c>
      <c r="I6460" s="545">
        <v>14</v>
      </c>
      <c r="J6460" s="545">
        <v>39.726190476190474</v>
      </c>
    </row>
    <row r="6461" spans="1:10">
      <c r="A6461" s="441">
        <v>444</v>
      </c>
      <c r="B6461" s="441" t="s">
        <v>5494</v>
      </c>
      <c r="C6461" s="545">
        <v>23.333333333333336</v>
      </c>
      <c r="D6461" s="545">
        <v>16.666666666666664</v>
      </c>
      <c r="E6461" s="545">
        <v>15.333333333333334</v>
      </c>
      <c r="F6461" s="545">
        <v>21.238095238095241</v>
      </c>
      <c r="G6461" s="545">
        <v>11.65</v>
      </c>
      <c r="H6461" s="545">
        <v>8.6666666666666661</v>
      </c>
      <c r="I6461" s="545">
        <v>19.666666666666668</v>
      </c>
      <c r="J6461" s="545">
        <v>12.36904761904762</v>
      </c>
    </row>
    <row r="6462" spans="1:10">
      <c r="A6462" s="441">
        <v>6592</v>
      </c>
      <c r="B6462" s="441" t="s">
        <v>5494</v>
      </c>
      <c r="C6462" s="545">
        <v>9.8333333333333321</v>
      </c>
      <c r="D6462" s="545">
        <v>5.333333333333333</v>
      </c>
      <c r="E6462" s="545">
        <v>5.6666666666666661</v>
      </c>
      <c r="F6462" s="545">
        <v>8.5952380952380931</v>
      </c>
      <c r="G6462" s="545">
        <v>5.0999999999999996</v>
      </c>
      <c r="H6462" s="545">
        <v>2.6666666666666665</v>
      </c>
      <c r="I6462" s="545">
        <v>1.6666666666666667</v>
      </c>
      <c r="J6462" s="545">
        <v>4.2619047619047619</v>
      </c>
    </row>
    <row r="6463" spans="1:10">
      <c r="A6463" s="441">
        <v>453</v>
      </c>
      <c r="B6463" s="441" t="s">
        <v>5495</v>
      </c>
      <c r="C6463" s="545">
        <v>6.5</v>
      </c>
      <c r="D6463" s="545">
        <v>12.333333333333332</v>
      </c>
      <c r="E6463" s="545">
        <v>5.666666666666667</v>
      </c>
      <c r="F6463" s="545">
        <v>7.2142857142857135</v>
      </c>
      <c r="G6463" s="545">
        <v>5.95</v>
      </c>
      <c r="H6463" s="545">
        <v>3.6666666666666665</v>
      </c>
      <c r="I6463" s="545">
        <v>2.6666666666666665</v>
      </c>
      <c r="J6463" s="545">
        <v>5.1547619047619042</v>
      </c>
    </row>
    <row r="6464" spans="1:10">
      <c r="A6464" s="441">
        <v>6583</v>
      </c>
      <c r="B6464" s="441" t="s">
        <v>5495</v>
      </c>
      <c r="C6464" s="545">
        <v>8</v>
      </c>
      <c r="D6464" s="545">
        <v>5.6666666666666661</v>
      </c>
      <c r="E6464" s="545">
        <v>6.6666666666666661</v>
      </c>
      <c r="F6464" s="545">
        <v>7.4761904761904754</v>
      </c>
      <c r="G6464" s="545">
        <v>2.85</v>
      </c>
      <c r="H6464" s="545">
        <v>2.3333333333333335</v>
      </c>
      <c r="I6464" s="545">
        <v>0</v>
      </c>
      <c r="J6464" s="545">
        <v>2.3690476190476191</v>
      </c>
    </row>
    <row r="6465" spans="1:10">
      <c r="A6465" s="441">
        <v>6582</v>
      </c>
      <c r="B6465" s="441" t="s">
        <v>5496</v>
      </c>
      <c r="C6465" s="545">
        <v>16.833333333333336</v>
      </c>
      <c r="D6465" s="545">
        <v>17</v>
      </c>
      <c r="E6465" s="545">
        <v>7.3333333333333339</v>
      </c>
      <c r="F6465" s="545">
        <v>15.500000000000002</v>
      </c>
      <c r="G6465" s="545">
        <v>21.65</v>
      </c>
      <c r="H6465" s="545">
        <v>16.666666666666668</v>
      </c>
      <c r="I6465" s="545">
        <v>12</v>
      </c>
      <c r="J6465" s="545">
        <v>19.559523809523814</v>
      </c>
    </row>
    <row r="6466" spans="1:10">
      <c r="A6466" s="441">
        <v>5483</v>
      </c>
      <c r="B6466" s="441" t="s">
        <v>5497</v>
      </c>
      <c r="C6466" s="545">
        <v>2.166666666666667</v>
      </c>
      <c r="D6466" s="545">
        <v>1.3333333333333333</v>
      </c>
      <c r="E6466" s="545">
        <v>0.33333333333333331</v>
      </c>
      <c r="F6466" s="545">
        <v>1.7857142857142863</v>
      </c>
      <c r="G6466" s="545">
        <v>1.2</v>
      </c>
      <c r="H6466" s="545">
        <v>1.3333333333333333</v>
      </c>
      <c r="I6466" s="545">
        <v>0</v>
      </c>
      <c r="J6466" s="545">
        <v>1.0476190476190477</v>
      </c>
    </row>
    <row r="6467" spans="1:10">
      <c r="A6467" s="441">
        <v>448</v>
      </c>
      <c r="B6467" s="441" t="s">
        <v>5498</v>
      </c>
      <c r="C6467" s="545">
        <v>14.833333333333332</v>
      </c>
      <c r="D6467" s="545">
        <v>7</v>
      </c>
      <c r="E6467" s="545">
        <v>11.666666666666668</v>
      </c>
      <c r="F6467" s="545">
        <v>13.261904761904761</v>
      </c>
      <c r="G6467" s="545">
        <v>20.8</v>
      </c>
      <c r="H6467" s="545">
        <v>17</v>
      </c>
      <c r="I6467" s="545">
        <v>7</v>
      </c>
      <c r="J6467" s="545">
        <v>18.285714285714285</v>
      </c>
    </row>
    <row r="6468" spans="1:10">
      <c r="A6468" s="441">
        <v>6588</v>
      </c>
      <c r="B6468" s="441" t="s">
        <v>5498</v>
      </c>
      <c r="C6468" s="545">
        <v>14.5</v>
      </c>
      <c r="D6468" s="545">
        <v>7</v>
      </c>
      <c r="E6468" s="545">
        <v>7.666666666666667</v>
      </c>
      <c r="F6468" s="545">
        <v>12.452380952380953</v>
      </c>
      <c r="G6468" s="545">
        <v>7.35</v>
      </c>
      <c r="H6468" s="545">
        <v>4.333333333333333</v>
      </c>
      <c r="I6468" s="545">
        <v>2.6666666666666665</v>
      </c>
      <c r="J6468" s="545">
        <v>6.25</v>
      </c>
    </row>
    <row r="6469" spans="1:10">
      <c r="A6469" s="441">
        <v>446</v>
      </c>
      <c r="B6469" s="441" t="s">
        <v>5499</v>
      </c>
      <c r="C6469" s="545">
        <v>26.5</v>
      </c>
      <c r="D6469" s="545">
        <v>16</v>
      </c>
      <c r="E6469" s="545">
        <v>9</v>
      </c>
      <c r="F6469" s="545">
        <v>22.5</v>
      </c>
      <c r="G6469" s="545">
        <v>6.85</v>
      </c>
      <c r="H6469" s="545">
        <v>7</v>
      </c>
      <c r="I6469" s="545">
        <v>3.3333333333333335</v>
      </c>
      <c r="J6469" s="545">
        <v>6.3690476190476195</v>
      </c>
    </row>
    <row r="6470" spans="1:10">
      <c r="A6470" s="441">
        <v>6590</v>
      </c>
      <c r="B6470" s="441" t="s">
        <v>5499</v>
      </c>
      <c r="C6470" s="545">
        <v>19</v>
      </c>
      <c r="D6470" s="545">
        <v>9</v>
      </c>
      <c r="E6470" s="545">
        <v>5.666666666666667</v>
      </c>
      <c r="F6470" s="545">
        <v>15.666666666666668</v>
      </c>
      <c r="G6470" s="545">
        <v>8.9499999999999993</v>
      </c>
      <c r="H6470" s="545">
        <v>6.666666666666667</v>
      </c>
      <c r="I6470" s="545">
        <v>4</v>
      </c>
      <c r="J6470" s="545">
        <v>7.9166666666666661</v>
      </c>
    </row>
    <row r="6471" spans="1:10">
      <c r="A6471" s="441">
        <v>449</v>
      </c>
      <c r="B6471" s="441" t="s">
        <v>5500</v>
      </c>
      <c r="C6471" s="545">
        <v>18</v>
      </c>
      <c r="D6471" s="545">
        <v>10</v>
      </c>
      <c r="E6471" s="545">
        <v>27</v>
      </c>
      <c r="F6471" s="545">
        <v>18.142857142857142</v>
      </c>
      <c r="G6471" s="545">
        <v>8.4499999999999993</v>
      </c>
      <c r="H6471" s="545">
        <v>6</v>
      </c>
      <c r="I6471" s="545">
        <v>4.666666666666667</v>
      </c>
      <c r="J6471" s="545">
        <v>7.5595238095238093</v>
      </c>
    </row>
    <row r="6472" spans="1:10">
      <c r="A6472" s="441">
        <v>6584</v>
      </c>
      <c r="B6472" s="441" t="s">
        <v>5501</v>
      </c>
      <c r="C6472" s="545">
        <v>43.333333333333329</v>
      </c>
      <c r="D6472" s="545">
        <v>31.333333333333336</v>
      </c>
      <c r="E6472" s="545">
        <v>30</v>
      </c>
      <c r="F6472" s="545">
        <v>39.714285714285715</v>
      </c>
      <c r="G6472" s="545">
        <v>19.149999999999999</v>
      </c>
      <c r="H6472" s="545">
        <v>16.666666666666668</v>
      </c>
      <c r="I6472" s="545">
        <v>17</v>
      </c>
      <c r="J6472" s="545">
        <v>18.488095238095241</v>
      </c>
    </row>
    <row r="6473" spans="1:10">
      <c r="A6473" s="441">
        <v>6581</v>
      </c>
      <c r="B6473" s="441" t="s">
        <v>5502</v>
      </c>
      <c r="C6473" s="545">
        <v>5.3333333333333339</v>
      </c>
      <c r="D6473" s="545">
        <v>1.6666666666666665</v>
      </c>
      <c r="E6473" s="545">
        <v>3.3333333333333335</v>
      </c>
      <c r="F6473" s="545">
        <v>4.5238095238095246</v>
      </c>
      <c r="G6473" s="545">
        <v>2.8</v>
      </c>
      <c r="H6473" s="545">
        <v>2.6666666666666665</v>
      </c>
      <c r="I6473" s="545">
        <v>1.3333333333333333</v>
      </c>
      <c r="J6473" s="545">
        <v>2.5714285714285716</v>
      </c>
    </row>
    <row r="6474" spans="1:10">
      <c r="A6474" s="441">
        <v>6595</v>
      </c>
      <c r="B6474" s="441" t="s">
        <v>5503</v>
      </c>
      <c r="C6474" s="545">
        <v>13.166666666666666</v>
      </c>
      <c r="D6474" s="545">
        <v>6.6666666666666661</v>
      </c>
      <c r="E6474" s="545">
        <v>5.333333333333333</v>
      </c>
      <c r="F6474" s="545">
        <v>11.119047619047619</v>
      </c>
      <c r="G6474" s="545">
        <v>13.95</v>
      </c>
      <c r="H6474" s="545">
        <v>9.3333333333333339</v>
      </c>
      <c r="I6474" s="545">
        <v>20.333333333333332</v>
      </c>
      <c r="J6474" s="545">
        <v>14.202380952380951</v>
      </c>
    </row>
    <row r="6475" spans="1:10">
      <c r="A6475" s="441">
        <v>454</v>
      </c>
      <c r="B6475" s="441" t="s">
        <v>5504</v>
      </c>
      <c r="C6475" s="545">
        <v>3.666666666666667</v>
      </c>
      <c r="D6475" s="545">
        <v>2</v>
      </c>
      <c r="E6475" s="545">
        <v>5</v>
      </c>
      <c r="F6475" s="545">
        <v>3.6190476190476195</v>
      </c>
      <c r="G6475" s="545">
        <v>7.2</v>
      </c>
      <c r="H6475" s="545">
        <v>8.6666666666666661</v>
      </c>
      <c r="I6475" s="545">
        <v>4.666666666666667</v>
      </c>
      <c r="J6475" s="545">
        <v>7.0476190476190466</v>
      </c>
    </row>
    <row r="6476" spans="1:10">
      <c r="A6476" s="441">
        <v>5488</v>
      </c>
      <c r="B6476" s="441" t="s">
        <v>5505</v>
      </c>
      <c r="C6476" s="545">
        <v>17.5</v>
      </c>
      <c r="D6476" s="545">
        <v>3.666666666666667</v>
      </c>
      <c r="E6476" s="545">
        <v>4.666666666666667</v>
      </c>
      <c r="F6476" s="545">
        <v>13.690476190476192</v>
      </c>
      <c r="G6476" s="545">
        <v>4.25</v>
      </c>
      <c r="H6476" s="545">
        <v>1.6666666666666667</v>
      </c>
      <c r="I6476" s="545">
        <v>1.6666666666666667</v>
      </c>
      <c r="J6476" s="545">
        <v>3.5119047619047623</v>
      </c>
    </row>
    <row r="6477" spans="1:10">
      <c r="A6477" s="441">
        <v>451</v>
      </c>
      <c r="B6477" s="441" t="s">
        <v>5506</v>
      </c>
      <c r="C6477" s="545">
        <v>15.833333333333332</v>
      </c>
      <c r="D6477" s="545">
        <v>8.6666666666666661</v>
      </c>
      <c r="E6477" s="545">
        <v>8</v>
      </c>
      <c r="F6477" s="545">
        <v>13.69047619047619</v>
      </c>
      <c r="G6477" s="545">
        <v>29</v>
      </c>
      <c r="H6477" s="545">
        <v>24.333333333333332</v>
      </c>
      <c r="I6477" s="545">
        <v>7.666666666666667</v>
      </c>
      <c r="J6477" s="545">
        <v>25.285714285714285</v>
      </c>
    </row>
    <row r="6478" spans="1:10">
      <c r="A6478" s="441">
        <v>6585</v>
      </c>
      <c r="B6478" s="441" t="s">
        <v>5506</v>
      </c>
      <c r="C6478" s="545">
        <v>12.333333333333332</v>
      </c>
      <c r="D6478" s="545">
        <v>9</v>
      </c>
      <c r="E6478" s="545">
        <v>7</v>
      </c>
      <c r="F6478" s="545">
        <v>11.095238095238093</v>
      </c>
      <c r="G6478" s="545">
        <v>17.45</v>
      </c>
      <c r="H6478" s="545">
        <v>13.333333333333334</v>
      </c>
      <c r="I6478" s="545">
        <v>14.333333333333334</v>
      </c>
      <c r="J6478" s="545">
        <v>16.416666666666664</v>
      </c>
    </row>
    <row r="6479" spans="1:10">
      <c r="A6479" s="441">
        <v>5482</v>
      </c>
      <c r="B6479" s="441" t="s">
        <v>5507</v>
      </c>
      <c r="C6479" s="545">
        <v>10.833333333333334</v>
      </c>
      <c r="D6479" s="545">
        <v>4.333333333333333</v>
      </c>
      <c r="E6479" s="545">
        <v>2.3333333333333335</v>
      </c>
      <c r="F6479" s="545">
        <v>8.6904761904761916</v>
      </c>
      <c r="G6479" s="545">
        <v>11.25</v>
      </c>
      <c r="H6479" s="545">
        <v>7.333333333333333</v>
      </c>
      <c r="I6479" s="545">
        <v>5.333333333333333</v>
      </c>
      <c r="J6479" s="545">
        <v>9.8452380952380967</v>
      </c>
    </row>
    <row r="6480" spans="1:10">
      <c r="A6480" s="441">
        <v>6593</v>
      </c>
      <c r="B6480" s="441" t="s">
        <v>5508</v>
      </c>
      <c r="C6480" s="545">
        <v>114.83333333333334</v>
      </c>
      <c r="D6480" s="545">
        <v>75</v>
      </c>
      <c r="E6480" s="545">
        <v>72.666666666666671</v>
      </c>
      <c r="F6480" s="545">
        <v>103.11904761904762</v>
      </c>
      <c r="G6480" s="545">
        <v>79.900000000000006</v>
      </c>
      <c r="H6480" s="545">
        <v>60.333333333333336</v>
      </c>
      <c r="I6480" s="545">
        <v>37.666666666666664</v>
      </c>
      <c r="J6480" s="545">
        <v>71.071428571428569</v>
      </c>
    </row>
    <row r="6481" spans="1:10">
      <c r="A6481" s="441">
        <v>6596</v>
      </c>
      <c r="B6481" s="441" t="s">
        <v>5508</v>
      </c>
      <c r="C6481" s="545">
        <v>118.83333333333333</v>
      </c>
      <c r="D6481" s="545">
        <v>87</v>
      </c>
      <c r="E6481" s="545">
        <v>82</v>
      </c>
      <c r="F6481" s="545">
        <v>109.02380952380952</v>
      </c>
      <c r="G6481" s="545">
        <v>85.3</v>
      </c>
      <c r="H6481" s="545">
        <v>69</v>
      </c>
      <c r="I6481" s="545">
        <v>46</v>
      </c>
      <c r="J6481" s="545">
        <v>77.357142857142861</v>
      </c>
    </row>
    <row r="6482" spans="1:10">
      <c r="A6482" s="441">
        <v>5484</v>
      </c>
      <c r="B6482" s="441" t="s">
        <v>5509</v>
      </c>
      <c r="C6482" s="545">
        <v>2.1666666666666665</v>
      </c>
      <c r="D6482" s="545">
        <v>0.33333333333333331</v>
      </c>
      <c r="E6482" s="545">
        <v>1.3333333333333333</v>
      </c>
      <c r="F6482" s="545">
        <v>1.7857142857142858</v>
      </c>
      <c r="G6482" s="545">
        <v>2.4500000000000002</v>
      </c>
      <c r="H6482" s="545">
        <v>0.66666666666666663</v>
      </c>
      <c r="I6482" s="545">
        <v>0.33333333333333331</v>
      </c>
      <c r="J6482" s="545">
        <v>1.8928571428571428</v>
      </c>
    </row>
    <row r="6483" spans="1:10">
      <c r="A6483" s="441">
        <v>6586</v>
      </c>
      <c r="B6483" s="441" t="s">
        <v>5510</v>
      </c>
      <c r="C6483" s="545">
        <v>71.666666666666657</v>
      </c>
      <c r="D6483" s="545">
        <v>43</v>
      </c>
      <c r="E6483" s="545">
        <v>45.666666666666664</v>
      </c>
      <c r="F6483" s="545">
        <v>63.857142857142847</v>
      </c>
      <c r="G6483" s="545">
        <v>47.95</v>
      </c>
      <c r="H6483" s="545">
        <v>33.666666666666664</v>
      </c>
      <c r="I6483" s="545">
        <v>7.333333333333333</v>
      </c>
      <c r="J6483" s="545">
        <v>40.107142857142854</v>
      </c>
    </row>
    <row r="6484" spans="1:10">
      <c r="A6484" s="441">
        <v>5489</v>
      </c>
      <c r="B6484" s="441" t="s">
        <v>5511</v>
      </c>
      <c r="C6484" s="545">
        <v>10</v>
      </c>
      <c r="D6484" s="545">
        <v>3.666666666666667</v>
      </c>
      <c r="E6484" s="545">
        <v>1</v>
      </c>
      <c r="F6484" s="545">
        <v>7.8095238095238093</v>
      </c>
      <c r="G6484" s="545">
        <v>5.05</v>
      </c>
      <c r="H6484" s="545">
        <v>3.6666666666666665</v>
      </c>
      <c r="I6484" s="545">
        <v>0.33333333333333331</v>
      </c>
      <c r="J6484" s="545">
        <v>4.1785714285714288</v>
      </c>
    </row>
    <row r="6485" spans="1:10">
      <c r="A6485" s="441">
        <v>5485</v>
      </c>
      <c r="B6485" s="441" t="s">
        <v>5512</v>
      </c>
      <c r="C6485" s="545">
        <v>4.8333333333333339</v>
      </c>
      <c r="D6485" s="545">
        <v>3</v>
      </c>
      <c r="E6485" s="545">
        <v>0.66666666666666663</v>
      </c>
      <c r="F6485" s="545">
        <v>3.9761904761904772</v>
      </c>
      <c r="G6485" s="545">
        <v>1.2</v>
      </c>
      <c r="H6485" s="545">
        <v>0.66666666666666663</v>
      </c>
      <c r="I6485" s="545">
        <v>0</v>
      </c>
      <c r="J6485" s="545">
        <v>0.95238095238095244</v>
      </c>
    </row>
    <row r="6486" spans="1:10">
      <c r="A6486" s="441">
        <v>450</v>
      </c>
      <c r="B6486" s="441" t="s">
        <v>5513</v>
      </c>
      <c r="C6486" s="545">
        <v>26.5</v>
      </c>
      <c r="D6486" s="545">
        <v>19</v>
      </c>
      <c r="E6486" s="545">
        <v>17</v>
      </c>
      <c r="F6486" s="545">
        <v>24.071428571428573</v>
      </c>
      <c r="G6486" s="545">
        <v>14.8</v>
      </c>
      <c r="H6486" s="545">
        <v>7</v>
      </c>
      <c r="I6486" s="545">
        <v>4.666666666666667</v>
      </c>
      <c r="J6486" s="545">
        <v>12.238095238095239</v>
      </c>
    </row>
    <row r="6487" spans="1:10">
      <c r="A6487" s="441">
        <v>445</v>
      </c>
      <c r="B6487" s="441" t="s">
        <v>5514</v>
      </c>
      <c r="C6487" s="545">
        <v>40</v>
      </c>
      <c r="D6487" s="545">
        <v>26</v>
      </c>
      <c r="E6487" s="545">
        <v>24.333333333333332</v>
      </c>
      <c r="F6487" s="545">
        <v>35.761904761904766</v>
      </c>
      <c r="G6487" s="545">
        <v>22.35</v>
      </c>
      <c r="H6487" s="545">
        <v>16</v>
      </c>
      <c r="I6487" s="545">
        <v>7.333333333333333</v>
      </c>
      <c r="J6487" s="545">
        <v>19.297619047619047</v>
      </c>
    </row>
    <row r="6488" spans="1:10">
      <c r="A6488" s="441">
        <v>6591</v>
      </c>
      <c r="B6488" s="441" t="s">
        <v>5514</v>
      </c>
      <c r="C6488" s="545">
        <v>46.166666666666671</v>
      </c>
      <c r="D6488" s="545">
        <v>35</v>
      </c>
      <c r="E6488" s="545">
        <v>23.333333333333336</v>
      </c>
      <c r="F6488" s="545">
        <v>41.30952380952381</v>
      </c>
      <c r="G6488" s="545">
        <v>23.15</v>
      </c>
      <c r="H6488" s="545">
        <v>16.333333333333332</v>
      </c>
      <c r="I6488" s="545">
        <v>21</v>
      </c>
      <c r="J6488" s="545">
        <v>21.86904761904762</v>
      </c>
    </row>
    <row r="6489" spans="1:10">
      <c r="A6489" s="441">
        <v>455</v>
      </c>
      <c r="B6489" s="441" t="s">
        <v>5515</v>
      </c>
      <c r="C6489" s="545">
        <v>26.166666666666664</v>
      </c>
      <c r="D6489" s="545">
        <v>22.333333333333336</v>
      </c>
      <c r="E6489" s="545">
        <v>14.666666666666668</v>
      </c>
      <c r="F6489" s="545">
        <v>23.976190476190474</v>
      </c>
      <c r="G6489" s="545">
        <v>19.100000000000001</v>
      </c>
      <c r="H6489" s="545">
        <v>14</v>
      </c>
      <c r="I6489" s="545">
        <v>8</v>
      </c>
      <c r="J6489" s="545">
        <v>16.785714285714285</v>
      </c>
    </row>
    <row r="6490" spans="1:10">
      <c r="A6490" s="441">
        <v>452</v>
      </c>
      <c r="B6490" s="441" t="s">
        <v>5516</v>
      </c>
      <c r="C6490" s="545">
        <v>101.33333333333334</v>
      </c>
      <c r="D6490" s="545">
        <v>64.333333333333329</v>
      </c>
      <c r="E6490" s="545">
        <v>62</v>
      </c>
      <c r="F6490" s="545">
        <v>90.428571428571445</v>
      </c>
      <c r="G6490" s="545">
        <v>77.849999999999994</v>
      </c>
      <c r="H6490" s="545">
        <v>52</v>
      </c>
      <c r="I6490" s="545">
        <v>31.333333333333332</v>
      </c>
      <c r="J6490" s="545">
        <v>67.511904761904759</v>
      </c>
    </row>
    <row r="6491" spans="1:10">
      <c r="A6491" s="441">
        <v>447</v>
      </c>
      <c r="B6491" s="441" t="s">
        <v>5517</v>
      </c>
      <c r="C6491" s="545">
        <v>181.83333333333331</v>
      </c>
      <c r="D6491" s="545">
        <v>128.33333333333334</v>
      </c>
      <c r="E6491" s="545">
        <v>103.33333333333333</v>
      </c>
      <c r="F6491" s="545">
        <v>162.97619047619042</v>
      </c>
      <c r="G6491" s="545">
        <v>130.55000000000001</v>
      </c>
      <c r="H6491" s="545">
        <v>100.33333333333333</v>
      </c>
      <c r="I6491" s="545">
        <v>67.666666666666671</v>
      </c>
      <c r="J6491" s="545">
        <v>117.25</v>
      </c>
    </row>
    <row r="6492" spans="1:10">
      <c r="A6492" s="441">
        <v>6589</v>
      </c>
      <c r="B6492" s="441" t="s">
        <v>5517</v>
      </c>
      <c r="C6492" s="545">
        <v>179.16666666666669</v>
      </c>
      <c r="D6492" s="545">
        <v>113.33333333333334</v>
      </c>
      <c r="E6492" s="545">
        <v>107.66666666666667</v>
      </c>
      <c r="F6492" s="545">
        <v>159.54761904761907</v>
      </c>
      <c r="G6492" s="545">
        <v>132.05000000000001</v>
      </c>
      <c r="H6492" s="545">
        <v>102</v>
      </c>
      <c r="I6492" s="545">
        <v>69</v>
      </c>
      <c r="J6492" s="545">
        <v>118.75</v>
      </c>
    </row>
    <row r="6493" spans="1:10">
      <c r="A6493" s="441">
        <v>7405</v>
      </c>
      <c r="B6493" s="441" t="s">
        <v>5518</v>
      </c>
      <c r="C6493" s="545">
        <v>2.8333333333333335</v>
      </c>
      <c r="D6493" s="545">
        <v>1</v>
      </c>
      <c r="E6493" s="545">
        <v>0.33333333333333331</v>
      </c>
      <c r="F6493" s="545">
        <v>2.2142857142857144</v>
      </c>
      <c r="G6493" s="545">
        <v>0.35</v>
      </c>
      <c r="H6493" s="545">
        <v>0.33333333333333331</v>
      </c>
      <c r="I6493" s="545">
        <v>0</v>
      </c>
      <c r="J6493" s="545">
        <v>0.29761904761904762</v>
      </c>
    </row>
    <row r="6494" spans="1:10">
      <c r="A6494" s="441">
        <v>12590</v>
      </c>
      <c r="B6494" s="441" t="s">
        <v>5519</v>
      </c>
      <c r="C6494" s="545">
        <v>24.666666666666668</v>
      </c>
      <c r="D6494" s="545">
        <v>12.666666666666666</v>
      </c>
      <c r="E6494" s="545">
        <v>10</v>
      </c>
      <c r="F6494" s="545">
        <v>20.857142857142858</v>
      </c>
      <c r="G6494" s="545">
        <v>25.25</v>
      </c>
      <c r="H6494" s="545">
        <v>14.333333333333334</v>
      </c>
      <c r="I6494" s="545">
        <v>12.333333333333334</v>
      </c>
      <c r="J6494" s="545">
        <v>21.845238095238098</v>
      </c>
    </row>
    <row r="6495" spans="1:10">
      <c r="A6495" s="441">
        <v>12591</v>
      </c>
      <c r="B6495" s="441" t="s">
        <v>5519</v>
      </c>
      <c r="C6495" s="545">
        <v>20.333333333333332</v>
      </c>
      <c r="D6495" s="545">
        <v>9.3333333333333339</v>
      </c>
      <c r="E6495" s="545">
        <v>10.333333333333332</v>
      </c>
      <c r="F6495" s="545">
        <v>17.333333333333332</v>
      </c>
      <c r="G6495" s="545">
        <v>22.6</v>
      </c>
      <c r="H6495" s="545">
        <v>13.333333333333334</v>
      </c>
      <c r="I6495" s="545">
        <v>15</v>
      </c>
      <c r="J6495" s="545">
        <v>20.190476190476186</v>
      </c>
    </row>
    <row r="6496" spans="1:10">
      <c r="A6496" s="441">
        <v>12592</v>
      </c>
      <c r="B6496" s="441" t="s">
        <v>5520</v>
      </c>
      <c r="C6496" s="545">
        <v>48</v>
      </c>
      <c r="D6496" s="545">
        <v>33</v>
      </c>
      <c r="E6496" s="545">
        <v>34.333333333333336</v>
      </c>
      <c r="F6496" s="545">
        <v>43.904761904761905</v>
      </c>
      <c r="G6496" s="545">
        <v>45.5</v>
      </c>
      <c r="H6496" s="545">
        <v>30.333333333333332</v>
      </c>
      <c r="I6496" s="545">
        <v>29.333333333333332</v>
      </c>
      <c r="J6496" s="545">
        <v>41.023809523809518</v>
      </c>
    </row>
    <row r="6497" spans="1:10">
      <c r="A6497" s="441">
        <v>12593</v>
      </c>
      <c r="B6497" s="441" t="s">
        <v>5520</v>
      </c>
      <c r="C6497" s="545">
        <v>61</v>
      </c>
      <c r="D6497" s="545">
        <v>39</v>
      </c>
      <c r="E6497" s="545">
        <v>31.333333333333332</v>
      </c>
      <c r="F6497" s="545">
        <v>53.619047619047613</v>
      </c>
      <c r="G6497" s="545">
        <v>44.45</v>
      </c>
      <c r="H6497" s="545">
        <v>35.333333333333336</v>
      </c>
      <c r="I6497" s="545">
        <v>35.333333333333336</v>
      </c>
      <c r="J6497" s="545">
        <v>41.845238095238088</v>
      </c>
    </row>
    <row r="6498" spans="1:10">
      <c r="A6498" s="441">
        <v>12589</v>
      </c>
      <c r="B6498" s="441" t="s">
        <v>5521</v>
      </c>
      <c r="C6498" s="545">
        <v>99.666666666666671</v>
      </c>
      <c r="D6498" s="545">
        <v>66.333333333333343</v>
      </c>
      <c r="E6498" s="545">
        <v>66.666666666666671</v>
      </c>
      <c r="F6498" s="545">
        <v>90.19047619047619</v>
      </c>
      <c r="G6498" s="545">
        <v>106.6</v>
      </c>
      <c r="H6498" s="545">
        <v>74.666666666666671</v>
      </c>
      <c r="I6498" s="545">
        <v>89</v>
      </c>
      <c r="J6498" s="545">
        <v>99.523809523809518</v>
      </c>
    </row>
    <row r="6499" spans="1:10">
      <c r="A6499" s="441">
        <v>13003</v>
      </c>
      <c r="B6499" s="441" t="s">
        <v>5521</v>
      </c>
      <c r="C6499" s="545">
        <v>250.83333333333334</v>
      </c>
      <c r="D6499" s="545">
        <v>198.33333333333331</v>
      </c>
      <c r="E6499" s="545">
        <v>185.66666666666669</v>
      </c>
      <c r="F6499" s="545">
        <v>234.02380952380955</v>
      </c>
      <c r="G6499" s="545">
        <v>237.45</v>
      </c>
      <c r="H6499" s="545">
        <v>173.33333333333334</v>
      </c>
      <c r="I6499" s="545">
        <v>165</v>
      </c>
      <c r="J6499" s="545">
        <v>217.94047619047618</v>
      </c>
    </row>
    <row r="6500" spans="1:10">
      <c r="A6500" s="441">
        <v>9822</v>
      </c>
      <c r="B6500" s="441" t="s">
        <v>5522</v>
      </c>
      <c r="C6500" s="545">
        <v>22.166666666666664</v>
      </c>
      <c r="D6500" s="545">
        <v>17.333333333333336</v>
      </c>
      <c r="E6500" s="545">
        <v>10</v>
      </c>
      <c r="F6500" s="545">
        <v>19.738095238095237</v>
      </c>
      <c r="G6500" s="545">
        <v>14.8</v>
      </c>
      <c r="H6500" s="545">
        <v>7</v>
      </c>
      <c r="I6500" s="545">
        <v>4.666666666666667</v>
      </c>
      <c r="J6500" s="545">
        <v>12.238095238095239</v>
      </c>
    </row>
    <row r="6501" spans="1:10">
      <c r="A6501" s="441">
        <v>9820</v>
      </c>
      <c r="B6501" s="441" t="s">
        <v>5523</v>
      </c>
      <c r="C6501" s="545">
        <v>0.5</v>
      </c>
      <c r="D6501" s="545">
        <v>0</v>
      </c>
      <c r="E6501" s="545">
        <v>0</v>
      </c>
      <c r="F6501" s="545">
        <v>0.35714285714285715</v>
      </c>
      <c r="G6501" s="545">
        <v>0.45</v>
      </c>
      <c r="H6501" s="545">
        <v>0.33333333333333331</v>
      </c>
      <c r="I6501" s="545">
        <v>0</v>
      </c>
      <c r="J6501" s="545">
        <v>0.36904761904761907</v>
      </c>
    </row>
    <row r="6502" spans="1:10">
      <c r="A6502" s="441">
        <v>813</v>
      </c>
      <c r="B6502" s="441" t="s">
        <v>5524</v>
      </c>
      <c r="C6502" s="545">
        <v>190.83333333333334</v>
      </c>
      <c r="D6502" s="545">
        <v>214.33333333333331</v>
      </c>
      <c r="E6502" s="545">
        <v>125.33333333333334</v>
      </c>
      <c r="F6502" s="545">
        <v>184.83333333333331</v>
      </c>
      <c r="G6502" s="545">
        <v>166.3</v>
      </c>
      <c r="H6502" s="545">
        <v>156</v>
      </c>
      <c r="I6502" s="545">
        <v>115.66666666666667</v>
      </c>
      <c r="J6502" s="545">
        <v>157.5952380952381</v>
      </c>
    </row>
    <row r="6503" spans="1:10">
      <c r="A6503" s="441">
        <v>1650</v>
      </c>
      <c r="B6503" s="441" t="s">
        <v>5524</v>
      </c>
      <c r="C6503" s="545">
        <v>32.833333333333329</v>
      </c>
      <c r="D6503" s="545">
        <v>34.666666666666664</v>
      </c>
      <c r="E6503" s="545">
        <v>21.333333333333336</v>
      </c>
      <c r="F6503" s="545">
        <v>31.452380952380945</v>
      </c>
      <c r="G6503" s="545">
        <v>27.15</v>
      </c>
      <c r="H6503" s="545">
        <v>28.666666666666668</v>
      </c>
      <c r="I6503" s="545">
        <v>17</v>
      </c>
      <c r="J6503" s="545">
        <v>25.916666666666664</v>
      </c>
    </row>
    <row r="6504" spans="1:10">
      <c r="A6504" s="441">
        <v>9823</v>
      </c>
      <c r="B6504" s="441" t="s">
        <v>5524</v>
      </c>
      <c r="C6504" s="545">
        <v>149</v>
      </c>
      <c r="D6504" s="545">
        <v>179.33333333333331</v>
      </c>
      <c r="E6504" s="545">
        <v>97.333333333333343</v>
      </c>
      <c r="F6504" s="545">
        <v>145.95238095238093</v>
      </c>
      <c r="G6504" s="545">
        <v>136.35</v>
      </c>
      <c r="H6504" s="545">
        <v>145.66666666666666</v>
      </c>
      <c r="I6504" s="545">
        <v>88.666666666666671</v>
      </c>
      <c r="J6504" s="545">
        <v>130.86904761904762</v>
      </c>
    </row>
    <row r="6505" spans="1:10">
      <c r="A6505" s="441">
        <v>9818</v>
      </c>
      <c r="B6505" s="441" t="s">
        <v>5525</v>
      </c>
      <c r="C6505" s="545">
        <v>88.166666666666657</v>
      </c>
      <c r="D6505" s="545">
        <v>80.333333333333343</v>
      </c>
      <c r="E6505" s="545">
        <v>58</v>
      </c>
      <c r="F6505" s="545">
        <v>82.738095238095227</v>
      </c>
      <c r="G6505" s="545">
        <v>58.1</v>
      </c>
      <c r="H6505" s="545">
        <v>62</v>
      </c>
      <c r="I6505" s="545">
        <v>37.333333333333336</v>
      </c>
      <c r="J6505" s="545">
        <v>55.69047619047619</v>
      </c>
    </row>
    <row r="6506" spans="1:10">
      <c r="A6506" s="441">
        <v>817</v>
      </c>
      <c r="B6506" s="441" t="s">
        <v>5526</v>
      </c>
      <c r="C6506" s="545">
        <v>11.333333333333334</v>
      </c>
      <c r="D6506" s="545">
        <v>8.3333333333333321</v>
      </c>
      <c r="E6506" s="545">
        <v>2.6666666666666665</v>
      </c>
      <c r="F6506" s="545">
        <v>9.6666666666666679</v>
      </c>
      <c r="G6506" s="545">
        <v>8.9</v>
      </c>
      <c r="H6506" s="545">
        <v>3.3333333333333335</v>
      </c>
      <c r="I6506" s="545">
        <v>3.3333333333333335</v>
      </c>
      <c r="J6506" s="545">
        <v>7.3095238095238102</v>
      </c>
    </row>
    <row r="6507" spans="1:10">
      <c r="A6507" s="441">
        <v>9980</v>
      </c>
      <c r="B6507" s="441" t="s">
        <v>5526</v>
      </c>
      <c r="C6507" s="545">
        <v>12.5</v>
      </c>
      <c r="D6507" s="545">
        <v>7</v>
      </c>
      <c r="E6507" s="545">
        <v>2.6666666666666665</v>
      </c>
      <c r="F6507" s="545">
        <v>10.30952380952381</v>
      </c>
      <c r="G6507" s="545">
        <v>15.65</v>
      </c>
      <c r="H6507" s="545">
        <v>5.333333333333333</v>
      </c>
      <c r="I6507" s="545">
        <v>2.6666666666666665</v>
      </c>
      <c r="J6507" s="545">
        <v>12.321428571428571</v>
      </c>
    </row>
    <row r="6508" spans="1:10">
      <c r="A6508" s="441">
        <v>815</v>
      </c>
      <c r="B6508" s="441" t="s">
        <v>5527</v>
      </c>
      <c r="C6508" s="545">
        <v>0.5</v>
      </c>
      <c r="D6508" s="545">
        <v>1</v>
      </c>
      <c r="E6508" s="545">
        <v>0.33333333333333331</v>
      </c>
      <c r="F6508" s="545">
        <v>0.54761904761904767</v>
      </c>
      <c r="G6508" s="545">
        <v>0.7</v>
      </c>
      <c r="H6508" s="545">
        <v>0.33333333333333331</v>
      </c>
      <c r="I6508" s="545">
        <v>0</v>
      </c>
      <c r="J6508" s="545">
        <v>0.54761904761904767</v>
      </c>
    </row>
    <row r="6509" spans="1:10">
      <c r="A6509" s="441">
        <v>9821</v>
      </c>
      <c r="B6509" s="441" t="s">
        <v>5527</v>
      </c>
      <c r="C6509" s="545">
        <v>4.833333333333333</v>
      </c>
      <c r="D6509" s="545">
        <v>2</v>
      </c>
      <c r="E6509" s="545">
        <v>0.66666666666666663</v>
      </c>
      <c r="F6509" s="545">
        <v>3.833333333333333</v>
      </c>
      <c r="G6509" s="545">
        <v>1.75</v>
      </c>
      <c r="H6509" s="545">
        <v>0.66666666666666663</v>
      </c>
      <c r="I6509" s="545">
        <v>1</v>
      </c>
      <c r="J6509" s="545">
        <v>1.4880952380952379</v>
      </c>
    </row>
    <row r="6510" spans="1:10">
      <c r="A6510" s="441">
        <v>814</v>
      </c>
      <c r="B6510" s="441" t="s">
        <v>5528</v>
      </c>
      <c r="C6510" s="545">
        <v>13.166666666666666</v>
      </c>
      <c r="D6510" s="545">
        <v>13.333333333333334</v>
      </c>
      <c r="E6510" s="545">
        <v>11</v>
      </c>
      <c r="F6510" s="545">
        <v>12.88095238095238</v>
      </c>
      <c r="G6510" s="545">
        <v>9.1</v>
      </c>
      <c r="H6510" s="545">
        <v>6.333333333333333</v>
      </c>
      <c r="I6510" s="545">
        <v>3.3333333333333335</v>
      </c>
      <c r="J6510" s="545">
        <v>7.8809523809523814</v>
      </c>
    </row>
    <row r="6511" spans="1:10">
      <c r="A6511" s="441">
        <v>1651</v>
      </c>
      <c r="B6511" s="441" t="s">
        <v>5529</v>
      </c>
      <c r="C6511" s="545">
        <v>68.5</v>
      </c>
      <c r="D6511" s="545">
        <v>69.333333333333343</v>
      </c>
      <c r="E6511" s="545">
        <v>39.333333333333329</v>
      </c>
      <c r="F6511" s="545">
        <v>64.452380952380949</v>
      </c>
      <c r="G6511" s="545">
        <v>55.7</v>
      </c>
      <c r="H6511" s="545">
        <v>56.666666666666664</v>
      </c>
      <c r="I6511" s="545">
        <v>40</v>
      </c>
      <c r="J6511" s="545">
        <v>53.595238095238095</v>
      </c>
    </row>
    <row r="6512" spans="1:10">
      <c r="A6512" s="441">
        <v>3541</v>
      </c>
      <c r="B6512" s="441" t="s">
        <v>5529</v>
      </c>
      <c r="C6512" s="545">
        <v>67.833333333333329</v>
      </c>
      <c r="D6512" s="545">
        <v>43</v>
      </c>
      <c r="E6512" s="545">
        <v>23</v>
      </c>
      <c r="F6512" s="545">
        <v>57.880952380952372</v>
      </c>
      <c r="G6512" s="545">
        <v>49.1</v>
      </c>
      <c r="H6512" s="545">
        <v>39</v>
      </c>
      <c r="I6512" s="545">
        <v>39</v>
      </c>
      <c r="J6512" s="545">
        <v>46.214285714285715</v>
      </c>
    </row>
    <row r="6513" spans="1:10">
      <c r="A6513" s="441">
        <v>12148</v>
      </c>
      <c r="B6513" s="441" t="s">
        <v>5530</v>
      </c>
      <c r="C6513" s="545">
        <v>43</v>
      </c>
      <c r="D6513" s="545">
        <v>39.666666666666664</v>
      </c>
      <c r="E6513" s="545">
        <v>36</v>
      </c>
      <c r="F6513" s="545">
        <v>41.523809523809518</v>
      </c>
      <c r="G6513" s="545">
        <v>31</v>
      </c>
      <c r="H6513" s="545">
        <v>27.666666666666668</v>
      </c>
      <c r="I6513" s="545">
        <v>21</v>
      </c>
      <c r="J6513" s="545">
        <v>29.095238095238095</v>
      </c>
    </row>
    <row r="6514" spans="1:10">
      <c r="A6514" s="441">
        <v>816</v>
      </c>
      <c r="B6514" s="441" t="s">
        <v>5531</v>
      </c>
      <c r="C6514" s="545">
        <v>36.5</v>
      </c>
      <c r="D6514" s="545">
        <v>0</v>
      </c>
      <c r="E6514" s="545">
        <v>0.33333333333333331</v>
      </c>
      <c r="F6514" s="545">
        <v>26.11904761904762</v>
      </c>
      <c r="G6514" s="545">
        <v>1.3</v>
      </c>
      <c r="H6514" s="545">
        <v>0</v>
      </c>
      <c r="I6514" s="545">
        <v>0</v>
      </c>
      <c r="J6514" s="545">
        <v>0.9285714285714286</v>
      </c>
    </row>
    <row r="6515" spans="1:10">
      <c r="A6515" s="441">
        <v>6296</v>
      </c>
      <c r="B6515" s="441" t="s">
        <v>5532</v>
      </c>
      <c r="C6515" s="545">
        <v>4.666666666666667</v>
      </c>
      <c r="D6515" s="545">
        <v>4.666666666666667</v>
      </c>
      <c r="E6515" s="545">
        <v>1</v>
      </c>
      <c r="F6515" s="545">
        <v>4.1428571428571432</v>
      </c>
      <c r="G6515" s="545">
        <v>2.5</v>
      </c>
      <c r="H6515" s="545">
        <v>1.3333333333333333</v>
      </c>
      <c r="I6515" s="545">
        <v>3.3333333333333335</v>
      </c>
      <c r="J6515" s="545">
        <v>2.4523809523809526</v>
      </c>
    </row>
    <row r="6516" spans="1:10">
      <c r="A6516" s="441">
        <v>12780</v>
      </c>
      <c r="B6516" s="441" t="s">
        <v>5532</v>
      </c>
      <c r="C6516" s="545">
        <v>16.5</v>
      </c>
      <c r="D6516" s="545">
        <v>11</v>
      </c>
      <c r="E6516" s="545">
        <v>9</v>
      </c>
      <c r="F6516" s="545">
        <v>14.642857142857142</v>
      </c>
      <c r="G6516" s="545">
        <v>14.45</v>
      </c>
      <c r="H6516" s="545">
        <v>7.333333333333333</v>
      </c>
      <c r="I6516" s="545">
        <v>5.666666666666667</v>
      </c>
      <c r="J6516" s="545">
        <v>12.178571428571429</v>
      </c>
    </row>
    <row r="6517" spans="1:10">
      <c r="A6517" s="441">
        <v>6298</v>
      </c>
      <c r="B6517" s="441" t="s">
        <v>5533</v>
      </c>
      <c r="C6517" s="545">
        <v>22.5</v>
      </c>
      <c r="D6517" s="545">
        <v>9</v>
      </c>
      <c r="E6517" s="545">
        <v>4.666666666666667</v>
      </c>
      <c r="F6517" s="545">
        <v>18.023809523809526</v>
      </c>
      <c r="G6517" s="545">
        <v>11.15</v>
      </c>
      <c r="H6517" s="545">
        <v>8</v>
      </c>
      <c r="I6517" s="545">
        <v>6</v>
      </c>
      <c r="J6517" s="545">
        <v>9.9642857142857135</v>
      </c>
    </row>
    <row r="6518" spans="1:10">
      <c r="A6518" s="441">
        <v>12779</v>
      </c>
      <c r="B6518" s="441" t="s">
        <v>5533</v>
      </c>
      <c r="C6518" s="545">
        <v>23.833333333333336</v>
      </c>
      <c r="D6518" s="545">
        <v>10.333333333333334</v>
      </c>
      <c r="E6518" s="545">
        <v>6.666666666666667</v>
      </c>
      <c r="F6518" s="545">
        <v>19.452380952380956</v>
      </c>
      <c r="G6518" s="545">
        <v>12.45</v>
      </c>
      <c r="H6518" s="545">
        <v>7</v>
      </c>
      <c r="I6518" s="545">
        <v>7.666666666666667</v>
      </c>
      <c r="J6518" s="545">
        <v>10.988095238095239</v>
      </c>
    </row>
    <row r="6519" spans="1:10">
      <c r="A6519" s="441">
        <v>12778</v>
      </c>
      <c r="B6519" s="441" t="s">
        <v>5534</v>
      </c>
      <c r="C6519" s="545">
        <v>23.5</v>
      </c>
      <c r="D6519" s="545">
        <v>15</v>
      </c>
      <c r="E6519" s="545">
        <v>8.6666666666666679</v>
      </c>
      <c r="F6519" s="545">
        <v>20.166666666666664</v>
      </c>
      <c r="G6519" s="545">
        <v>22.5</v>
      </c>
      <c r="H6519" s="545">
        <v>18</v>
      </c>
      <c r="I6519" s="545">
        <v>13.333333333333334</v>
      </c>
      <c r="J6519" s="545">
        <v>20.547619047619047</v>
      </c>
    </row>
    <row r="6520" spans="1:10">
      <c r="A6520" s="441">
        <v>786</v>
      </c>
      <c r="B6520" s="441" t="s">
        <v>5535</v>
      </c>
      <c r="C6520" s="545">
        <v>46.333333333333336</v>
      </c>
      <c r="D6520" s="545">
        <v>34.666666666666671</v>
      </c>
      <c r="E6520" s="545">
        <v>28.666666666666664</v>
      </c>
      <c r="F6520" s="545">
        <v>42.142857142857153</v>
      </c>
      <c r="G6520" s="545">
        <v>39.133333333333333</v>
      </c>
      <c r="H6520" s="545">
        <v>33</v>
      </c>
      <c r="I6520" s="545">
        <v>30.666666666666668</v>
      </c>
      <c r="J6520" s="545">
        <v>37.047619047619044</v>
      </c>
    </row>
    <row r="6521" spans="1:10">
      <c r="A6521" s="441">
        <v>972</v>
      </c>
      <c r="B6521" s="441" t="s">
        <v>5535</v>
      </c>
      <c r="C6521" s="545">
        <v>37.166666666666671</v>
      </c>
      <c r="D6521" s="545">
        <v>36.666666666666664</v>
      </c>
      <c r="E6521" s="545">
        <v>24</v>
      </c>
      <c r="F6521" s="545">
        <v>35.214285714285715</v>
      </c>
      <c r="G6521" s="545">
        <v>43.4</v>
      </c>
      <c r="H6521" s="545">
        <v>35</v>
      </c>
      <c r="I6521" s="545">
        <v>32</v>
      </c>
      <c r="J6521" s="545">
        <v>40.571428571428569</v>
      </c>
    </row>
    <row r="6522" spans="1:10">
      <c r="A6522" s="441">
        <v>788</v>
      </c>
      <c r="B6522" s="441" t="s">
        <v>5536</v>
      </c>
      <c r="C6522" s="545">
        <v>7.3333333333333339</v>
      </c>
      <c r="D6522" s="545">
        <v>2.3333333333333335</v>
      </c>
      <c r="E6522" s="545">
        <v>2.6666666666666665</v>
      </c>
      <c r="F6522" s="545">
        <v>5.9523809523809534</v>
      </c>
      <c r="G6522" s="545">
        <v>4.3</v>
      </c>
      <c r="H6522" s="545">
        <v>2.6666666666666665</v>
      </c>
      <c r="I6522" s="545">
        <v>3.6666666666666665</v>
      </c>
      <c r="J6522" s="545">
        <v>3.9761904761904767</v>
      </c>
    </row>
    <row r="6523" spans="1:10">
      <c r="A6523" s="441">
        <v>970</v>
      </c>
      <c r="B6523" s="441" t="s">
        <v>5536</v>
      </c>
      <c r="C6523" s="545">
        <v>4.666666666666667</v>
      </c>
      <c r="D6523" s="545">
        <v>2</v>
      </c>
      <c r="E6523" s="545">
        <v>2.3333333333333335</v>
      </c>
      <c r="F6523" s="545">
        <v>3.9523809523809526</v>
      </c>
      <c r="G6523" s="545">
        <v>3.5</v>
      </c>
      <c r="H6523" s="545">
        <v>2.3333333333333335</v>
      </c>
      <c r="I6523" s="545">
        <v>3</v>
      </c>
      <c r="J6523" s="545">
        <v>3.2619047619047619</v>
      </c>
    </row>
    <row r="6524" spans="1:10">
      <c r="A6524" s="441">
        <v>787</v>
      </c>
      <c r="B6524" s="441" t="s">
        <v>5537</v>
      </c>
      <c r="C6524" s="545">
        <v>16.666666666666664</v>
      </c>
      <c r="D6524" s="545">
        <v>8.3333333333333339</v>
      </c>
      <c r="E6524" s="545">
        <v>4.3333333333333339</v>
      </c>
      <c r="F6524" s="545">
        <v>13.71428571428571</v>
      </c>
      <c r="G6524" s="545">
        <v>17</v>
      </c>
      <c r="H6524" s="545">
        <v>3.6666666666666665</v>
      </c>
      <c r="I6524" s="545">
        <v>5</v>
      </c>
      <c r="J6524" s="545">
        <v>13.380952380952381</v>
      </c>
    </row>
    <row r="6525" spans="1:10">
      <c r="A6525" s="441">
        <v>971</v>
      </c>
      <c r="B6525" s="441" t="s">
        <v>5537</v>
      </c>
      <c r="C6525" s="545">
        <v>15.666666666666666</v>
      </c>
      <c r="D6525" s="545">
        <v>11</v>
      </c>
      <c r="E6525" s="545">
        <v>6.6666666666666661</v>
      </c>
      <c r="F6525" s="545">
        <v>13.714285714285714</v>
      </c>
      <c r="G6525" s="545">
        <v>18.350000000000001</v>
      </c>
      <c r="H6525" s="545">
        <v>6</v>
      </c>
      <c r="I6525" s="545">
        <v>3</v>
      </c>
      <c r="J6525" s="545">
        <v>14.392857142857142</v>
      </c>
    </row>
    <row r="6526" spans="1:10">
      <c r="A6526" s="441">
        <v>12361</v>
      </c>
      <c r="B6526" s="441" t="s">
        <v>5538</v>
      </c>
      <c r="C6526" s="545">
        <v>13.166666666666666</v>
      </c>
      <c r="D6526" s="545">
        <v>17.333333333333332</v>
      </c>
      <c r="E6526" s="545">
        <v>12.333333333333332</v>
      </c>
      <c r="F6526" s="545">
        <v>13.642857142857141</v>
      </c>
      <c r="G6526" s="545">
        <v>28.8</v>
      </c>
      <c r="H6526" s="545">
        <v>19.333333333333332</v>
      </c>
      <c r="I6526" s="545">
        <v>26</v>
      </c>
      <c r="J6526" s="545">
        <v>27.047619047619047</v>
      </c>
    </row>
    <row r="6527" spans="1:10">
      <c r="A6527" s="441">
        <v>12641</v>
      </c>
      <c r="B6527" s="441" t="s">
        <v>5538</v>
      </c>
      <c r="C6527" s="545">
        <v>66.833333333333343</v>
      </c>
      <c r="D6527" s="545">
        <v>65</v>
      </c>
      <c r="E6527" s="545">
        <v>52.666666666666664</v>
      </c>
      <c r="F6527" s="545">
        <v>64.547619047619065</v>
      </c>
      <c r="G6527" s="545">
        <v>22.9</v>
      </c>
      <c r="H6527" s="545">
        <v>23.333333333333332</v>
      </c>
      <c r="I6527" s="545">
        <v>26.666666666666668</v>
      </c>
      <c r="J6527" s="545">
        <v>23.5</v>
      </c>
    </row>
    <row r="6528" spans="1:10">
      <c r="A6528" s="441">
        <v>12356</v>
      </c>
      <c r="B6528" s="441" t="s">
        <v>5539</v>
      </c>
      <c r="C6528" s="545">
        <v>11.333333333333334</v>
      </c>
      <c r="D6528" s="545">
        <v>0.66666666666666663</v>
      </c>
      <c r="E6528" s="545">
        <v>2</v>
      </c>
      <c r="F6528" s="545">
        <v>8.4761904761904763</v>
      </c>
      <c r="G6528" s="545">
        <v>4.5</v>
      </c>
      <c r="H6528" s="545">
        <v>0.33333333333333331</v>
      </c>
      <c r="I6528" s="545">
        <v>2</v>
      </c>
      <c r="J6528" s="545">
        <v>3.5476190476190474</v>
      </c>
    </row>
    <row r="6529" spans="1:10">
      <c r="A6529" s="441">
        <v>12357</v>
      </c>
      <c r="B6529" s="441" t="s">
        <v>5539</v>
      </c>
      <c r="C6529" s="545">
        <v>9.6666666666666661</v>
      </c>
      <c r="D6529" s="545">
        <v>2.3333333333333335</v>
      </c>
      <c r="E6529" s="545">
        <v>2.3333333333333335</v>
      </c>
      <c r="F6529" s="545">
        <v>7.5714285714285712</v>
      </c>
      <c r="G6529" s="545">
        <v>2.6</v>
      </c>
      <c r="H6529" s="545">
        <v>2.3333333333333335</v>
      </c>
      <c r="I6529" s="545">
        <v>2</v>
      </c>
      <c r="J6529" s="545">
        <v>2.4761904761904767</v>
      </c>
    </row>
    <row r="6530" spans="1:10">
      <c r="A6530" s="441">
        <v>12362</v>
      </c>
      <c r="B6530" s="441" t="s">
        <v>5540</v>
      </c>
      <c r="C6530" s="545">
        <v>72.333333333333329</v>
      </c>
      <c r="D6530" s="545">
        <v>52.333333333333329</v>
      </c>
      <c r="E6530" s="545">
        <v>70.333333333333329</v>
      </c>
      <c r="F6530" s="545">
        <v>69.190476190476176</v>
      </c>
      <c r="G6530" s="545">
        <v>21.4</v>
      </c>
      <c r="H6530" s="545">
        <v>15</v>
      </c>
      <c r="I6530" s="545">
        <v>14.666666666666666</v>
      </c>
      <c r="J6530" s="545">
        <v>19.523809523809522</v>
      </c>
    </row>
    <row r="6531" spans="1:10">
      <c r="A6531" s="441">
        <v>12640</v>
      </c>
      <c r="B6531" s="441" t="s">
        <v>5540</v>
      </c>
      <c r="C6531" s="545">
        <v>32.833333333333336</v>
      </c>
      <c r="D6531" s="545">
        <v>33.333333333333336</v>
      </c>
      <c r="E6531" s="545">
        <v>15.333333333333334</v>
      </c>
      <c r="F6531" s="545">
        <v>30.404761904761909</v>
      </c>
      <c r="G6531" s="545">
        <v>17.149999999999999</v>
      </c>
      <c r="H6531" s="545">
        <v>14.333333333333334</v>
      </c>
      <c r="I6531" s="545">
        <v>11.333333333333334</v>
      </c>
      <c r="J6531" s="545">
        <v>15.916666666666666</v>
      </c>
    </row>
    <row r="6532" spans="1:10">
      <c r="A6532" s="441">
        <v>12358</v>
      </c>
      <c r="B6532" s="441" t="s">
        <v>5541</v>
      </c>
      <c r="C6532" s="545">
        <v>6.166666666666667</v>
      </c>
      <c r="D6532" s="545">
        <v>2.6666666666666665</v>
      </c>
      <c r="E6532" s="545">
        <v>1.6666666666666667</v>
      </c>
      <c r="F6532" s="545">
        <v>5.0238095238095237</v>
      </c>
      <c r="G6532" s="545">
        <v>3.3</v>
      </c>
      <c r="H6532" s="545">
        <v>2.6666666666666665</v>
      </c>
      <c r="I6532" s="545">
        <v>3</v>
      </c>
      <c r="J6532" s="545">
        <v>3.166666666666667</v>
      </c>
    </row>
    <row r="6533" spans="1:10">
      <c r="A6533" s="441">
        <v>12359</v>
      </c>
      <c r="B6533" s="441" t="s">
        <v>5541</v>
      </c>
      <c r="C6533" s="545">
        <v>11.5</v>
      </c>
      <c r="D6533" s="545">
        <v>2</v>
      </c>
      <c r="E6533" s="545">
        <v>1</v>
      </c>
      <c r="F6533" s="545">
        <v>8.6428571428571423</v>
      </c>
      <c r="G6533" s="545">
        <v>5</v>
      </c>
      <c r="H6533" s="545">
        <v>4.333333333333333</v>
      </c>
      <c r="I6533" s="545">
        <v>4.666666666666667</v>
      </c>
      <c r="J6533" s="545">
        <v>4.8571428571428568</v>
      </c>
    </row>
    <row r="6534" spans="1:10">
      <c r="A6534" s="441">
        <v>7197</v>
      </c>
      <c r="B6534" s="441" t="s">
        <v>5542</v>
      </c>
      <c r="C6534" s="545">
        <v>128.83333333333331</v>
      </c>
      <c r="D6534" s="545">
        <v>85.666666666666671</v>
      </c>
      <c r="E6534" s="545">
        <v>66</v>
      </c>
      <c r="F6534" s="545">
        <v>113.69047619047616</v>
      </c>
      <c r="G6534" s="545">
        <v>40.799999999999997</v>
      </c>
      <c r="H6534" s="545">
        <v>36</v>
      </c>
      <c r="I6534" s="545">
        <v>32.333333333333336</v>
      </c>
      <c r="J6534" s="545">
        <v>38.904761904761905</v>
      </c>
    </row>
    <row r="6535" spans="1:10">
      <c r="A6535" s="441">
        <v>7212</v>
      </c>
      <c r="B6535" s="441" t="s">
        <v>5542</v>
      </c>
      <c r="C6535" s="545">
        <v>111.16666666666666</v>
      </c>
      <c r="D6535" s="545">
        <v>92.333333333333329</v>
      </c>
      <c r="E6535" s="545">
        <v>70.333333333333343</v>
      </c>
      <c r="F6535" s="545">
        <v>102.64285714285714</v>
      </c>
      <c r="G6535" s="545">
        <v>42.7</v>
      </c>
      <c r="H6535" s="545">
        <v>20.333333333333332</v>
      </c>
      <c r="I6535" s="545">
        <v>40</v>
      </c>
      <c r="J6535" s="545">
        <v>39.119047619047628</v>
      </c>
    </row>
    <row r="6536" spans="1:10">
      <c r="A6536" s="441">
        <v>7196</v>
      </c>
      <c r="B6536" s="441" t="s">
        <v>5543</v>
      </c>
      <c r="C6536" s="545">
        <v>3.3333333333333335</v>
      </c>
      <c r="D6536" s="545">
        <v>6</v>
      </c>
      <c r="E6536" s="545">
        <v>2</v>
      </c>
      <c r="F6536" s="545">
        <v>3.5238095238095242</v>
      </c>
      <c r="G6536" s="545">
        <v>4.25</v>
      </c>
      <c r="H6536" s="545">
        <v>2</v>
      </c>
      <c r="I6536" s="545">
        <v>4.666666666666667</v>
      </c>
      <c r="J6536" s="545">
        <v>3.9880952380952381</v>
      </c>
    </row>
    <row r="6537" spans="1:10">
      <c r="A6537" s="441">
        <v>7213</v>
      </c>
      <c r="B6537" s="441" t="s">
        <v>5543</v>
      </c>
      <c r="C6537" s="545">
        <v>3.166666666666667</v>
      </c>
      <c r="D6537" s="545">
        <v>3.3333333333333335</v>
      </c>
      <c r="E6537" s="545">
        <v>1.3333333333333333</v>
      </c>
      <c r="F6537" s="545">
        <v>2.9285714285714284</v>
      </c>
      <c r="G6537" s="545">
        <v>1.5</v>
      </c>
      <c r="H6537" s="545">
        <v>0</v>
      </c>
      <c r="I6537" s="545">
        <v>0.66666666666666663</v>
      </c>
      <c r="J6537" s="545">
        <v>1.1666666666666665</v>
      </c>
    </row>
    <row r="6538" spans="1:10">
      <c r="A6538" s="441">
        <v>12354</v>
      </c>
      <c r="B6538" s="441" t="s">
        <v>5544</v>
      </c>
      <c r="C6538" s="545">
        <v>27.666666666666668</v>
      </c>
      <c r="D6538" s="545">
        <v>9.3333333333333339</v>
      </c>
      <c r="E6538" s="545">
        <v>7.666666666666667</v>
      </c>
      <c r="F6538" s="545">
        <v>22.190476190476193</v>
      </c>
      <c r="G6538" s="545">
        <v>18.3</v>
      </c>
      <c r="H6538" s="545">
        <v>12.666666666666666</v>
      </c>
      <c r="I6538" s="545">
        <v>16.666666666666668</v>
      </c>
      <c r="J6538" s="545">
        <v>17.261904761904763</v>
      </c>
    </row>
    <row r="6539" spans="1:10">
      <c r="A6539" s="441">
        <v>12355</v>
      </c>
      <c r="B6539" s="441" t="s">
        <v>5544</v>
      </c>
      <c r="C6539" s="545">
        <v>17.666666666666664</v>
      </c>
      <c r="D6539" s="545">
        <v>9.6666666666666679</v>
      </c>
      <c r="E6539" s="545">
        <v>3</v>
      </c>
      <c r="F6539" s="545">
        <v>14.428571428571427</v>
      </c>
      <c r="G6539" s="545">
        <v>23.1</v>
      </c>
      <c r="H6539" s="545">
        <v>8</v>
      </c>
      <c r="I6539" s="545">
        <v>13.333333333333334</v>
      </c>
      <c r="J6539" s="545">
        <v>19.547619047619047</v>
      </c>
    </row>
    <row r="6540" spans="1:10">
      <c r="A6540" s="441">
        <v>5139</v>
      </c>
      <c r="B6540" s="441" t="s">
        <v>5545</v>
      </c>
      <c r="C6540" s="545">
        <v>60.333333333333336</v>
      </c>
      <c r="D6540" s="545">
        <v>27.333333333333336</v>
      </c>
      <c r="E6540" s="545">
        <v>29</v>
      </c>
      <c r="F6540" s="545">
        <v>51.142857142857146</v>
      </c>
      <c r="G6540" s="545">
        <v>50.8</v>
      </c>
      <c r="H6540" s="545">
        <v>39</v>
      </c>
      <c r="I6540" s="545">
        <v>39.666666666666664</v>
      </c>
      <c r="J6540" s="545">
        <v>47.523809523809526</v>
      </c>
    </row>
    <row r="6541" spans="1:10">
      <c r="A6541" s="441">
        <v>12360</v>
      </c>
      <c r="B6541" s="441" t="s">
        <v>5545</v>
      </c>
      <c r="C6541" s="545">
        <v>66.166666666666657</v>
      </c>
      <c r="D6541" s="545">
        <v>46.666666666666664</v>
      </c>
      <c r="E6541" s="545">
        <v>32.666666666666671</v>
      </c>
      <c r="F6541" s="545">
        <v>58.595238095238088</v>
      </c>
      <c r="G6541" s="545">
        <v>60.15</v>
      </c>
      <c r="H6541" s="545">
        <v>37.666666666666664</v>
      </c>
      <c r="I6541" s="545">
        <v>39.666666666666664</v>
      </c>
      <c r="J6541" s="545">
        <v>54.011904761904766</v>
      </c>
    </row>
    <row r="6542" spans="1:10">
      <c r="A6542" s="441">
        <v>2382</v>
      </c>
      <c r="B6542" s="441" t="s">
        <v>5546</v>
      </c>
      <c r="C6542" s="545">
        <v>13.166666666666666</v>
      </c>
      <c r="D6542" s="545">
        <v>4.666666666666667</v>
      </c>
      <c r="E6542" s="545">
        <v>5</v>
      </c>
      <c r="F6542" s="545">
        <v>10.785714285714286</v>
      </c>
      <c r="G6542" s="545">
        <v>13.8</v>
      </c>
      <c r="H6542" s="545">
        <v>11</v>
      </c>
      <c r="I6542" s="545">
        <v>12</v>
      </c>
      <c r="J6542" s="545">
        <v>13.142857142857142</v>
      </c>
    </row>
    <row r="6543" spans="1:10">
      <c r="A6543" s="441">
        <v>10240</v>
      </c>
      <c r="B6543" s="441" t="s">
        <v>5547</v>
      </c>
      <c r="C6543" s="545">
        <v>13.666666666666668</v>
      </c>
      <c r="D6543" s="545">
        <v>8.3333333333333321</v>
      </c>
      <c r="E6543" s="545">
        <v>8</v>
      </c>
      <c r="F6543" s="545">
        <v>12.095238095238097</v>
      </c>
      <c r="G6543" s="545">
        <v>16.149999999999999</v>
      </c>
      <c r="H6543" s="545">
        <v>14</v>
      </c>
      <c r="I6543" s="545">
        <v>8.3333333333333339</v>
      </c>
      <c r="J6543" s="545">
        <v>14.726190476190476</v>
      </c>
    </row>
    <row r="6544" spans="1:10">
      <c r="A6544" s="441">
        <v>12426</v>
      </c>
      <c r="B6544" s="441" t="s">
        <v>5548</v>
      </c>
      <c r="C6544" s="545">
        <v>3.5</v>
      </c>
      <c r="D6544" s="545">
        <v>0.33333333333333331</v>
      </c>
      <c r="E6544" s="545">
        <v>2.333333333333333</v>
      </c>
      <c r="F6544" s="545">
        <v>2.8809523809523805</v>
      </c>
      <c r="G6544" s="545">
        <v>5.2</v>
      </c>
      <c r="H6544" s="545">
        <v>2.3333333333333335</v>
      </c>
      <c r="I6544" s="545">
        <v>2.6666666666666665</v>
      </c>
      <c r="J6544" s="545">
        <v>4.4285714285714288</v>
      </c>
    </row>
    <row r="6545" spans="1:10">
      <c r="A6545" s="441">
        <v>12430</v>
      </c>
      <c r="B6545" s="441" t="s">
        <v>5549</v>
      </c>
      <c r="C6545" s="545">
        <v>32.166666666666664</v>
      </c>
      <c r="D6545" s="545">
        <v>29.333333333333336</v>
      </c>
      <c r="E6545" s="545">
        <v>16</v>
      </c>
      <c r="F6545" s="545">
        <v>29.452380952380953</v>
      </c>
      <c r="G6545" s="545">
        <v>22.45</v>
      </c>
      <c r="H6545" s="545">
        <v>15.333333333333334</v>
      </c>
      <c r="I6545" s="545">
        <v>13.333333333333334</v>
      </c>
      <c r="J6545" s="545">
        <v>20.13095238095238</v>
      </c>
    </row>
    <row r="6546" spans="1:10">
      <c r="A6546" s="441">
        <v>3163</v>
      </c>
      <c r="B6546" s="441" t="s">
        <v>5550</v>
      </c>
      <c r="C6546" s="545">
        <v>5.333333333333333</v>
      </c>
      <c r="D6546" s="545">
        <v>1.6666666666666665</v>
      </c>
      <c r="E6546" s="545">
        <v>2</v>
      </c>
      <c r="F6546" s="545">
        <v>4.333333333333333</v>
      </c>
      <c r="G6546" s="545">
        <v>1</v>
      </c>
      <c r="H6546" s="545">
        <v>0</v>
      </c>
      <c r="I6546" s="545">
        <v>1.6666666666666667</v>
      </c>
      <c r="J6546" s="545">
        <v>0.95238095238095244</v>
      </c>
    </row>
    <row r="6547" spans="1:10">
      <c r="A6547" s="441">
        <v>11687</v>
      </c>
      <c r="B6547" s="441" t="s">
        <v>5550</v>
      </c>
      <c r="C6547" s="545">
        <v>12.5</v>
      </c>
      <c r="D6547" s="545">
        <v>0</v>
      </c>
      <c r="E6547" s="545">
        <v>0.66666666666666663</v>
      </c>
      <c r="F6547" s="545">
        <v>9.0238095238095237</v>
      </c>
      <c r="G6547" s="545">
        <v>3.6</v>
      </c>
      <c r="H6547" s="545">
        <v>1.3333333333333333</v>
      </c>
      <c r="I6547" s="545">
        <v>1.3333333333333333</v>
      </c>
      <c r="J6547" s="545">
        <v>2.9523809523809521</v>
      </c>
    </row>
    <row r="6548" spans="1:10">
      <c r="A6548" s="441">
        <v>4537</v>
      </c>
      <c r="B6548" s="441" t="s">
        <v>5551</v>
      </c>
      <c r="C6548" s="545">
        <v>2</v>
      </c>
      <c r="D6548" s="545">
        <v>1</v>
      </c>
      <c r="E6548" s="545">
        <v>0.33333333333333331</v>
      </c>
      <c r="F6548" s="545">
        <v>1.6190476190476191</v>
      </c>
      <c r="G6548" s="545">
        <v>2.0499999999999998</v>
      </c>
      <c r="H6548" s="545">
        <v>1.3333333333333333</v>
      </c>
      <c r="I6548" s="545">
        <v>1</v>
      </c>
      <c r="J6548" s="545">
        <v>1.7976190476190477</v>
      </c>
    </row>
    <row r="6549" spans="1:10">
      <c r="A6549" s="441">
        <v>2376</v>
      </c>
      <c r="B6549" s="441" t="s">
        <v>5552</v>
      </c>
      <c r="C6549" s="545">
        <v>2.166666666666667</v>
      </c>
      <c r="D6549" s="545">
        <v>1.3333333333333333</v>
      </c>
      <c r="E6549" s="545">
        <v>1</v>
      </c>
      <c r="F6549" s="545">
        <v>1.8809523809523814</v>
      </c>
      <c r="G6549" s="545">
        <v>6.25</v>
      </c>
      <c r="H6549" s="545">
        <v>2.6666666666666665</v>
      </c>
      <c r="I6549" s="545">
        <v>4</v>
      </c>
      <c r="J6549" s="545">
        <v>5.4166666666666661</v>
      </c>
    </row>
    <row r="6550" spans="1:10">
      <c r="A6550" s="441">
        <v>3164</v>
      </c>
      <c r="B6550" s="441" t="s">
        <v>5553</v>
      </c>
      <c r="C6550" s="545">
        <v>3.666666666666667</v>
      </c>
      <c r="D6550" s="545">
        <v>7.6666666666666661</v>
      </c>
      <c r="E6550" s="545">
        <v>2.6666666666666665</v>
      </c>
      <c r="F6550" s="545">
        <v>4.0952380952380958</v>
      </c>
      <c r="G6550" s="545">
        <v>4.3</v>
      </c>
      <c r="H6550" s="545">
        <v>1.6666666666666667</v>
      </c>
      <c r="I6550" s="545">
        <v>3.3333333333333335</v>
      </c>
      <c r="J6550" s="545">
        <v>3.7857142857142856</v>
      </c>
    </row>
    <row r="6551" spans="1:10">
      <c r="A6551" s="441">
        <v>2379</v>
      </c>
      <c r="B6551" s="441" t="s">
        <v>5554</v>
      </c>
      <c r="C6551" s="545">
        <v>0.5</v>
      </c>
      <c r="D6551" s="545">
        <v>0</v>
      </c>
      <c r="E6551" s="545">
        <v>0</v>
      </c>
      <c r="F6551" s="545">
        <v>0.35714285714285715</v>
      </c>
      <c r="G6551" s="545">
        <v>0.75</v>
      </c>
      <c r="H6551" s="545">
        <v>0</v>
      </c>
      <c r="I6551" s="545">
        <v>0</v>
      </c>
      <c r="J6551" s="545">
        <v>0.5357142857142857</v>
      </c>
    </row>
    <row r="6552" spans="1:10">
      <c r="A6552" s="441">
        <v>2380</v>
      </c>
      <c r="B6552" s="441" t="s">
        <v>5554</v>
      </c>
      <c r="C6552" s="545">
        <v>0</v>
      </c>
      <c r="D6552" s="545">
        <v>0</v>
      </c>
      <c r="E6552" s="545">
        <v>0</v>
      </c>
      <c r="F6552" s="545">
        <v>0</v>
      </c>
      <c r="G6552" s="545">
        <v>0.7</v>
      </c>
      <c r="H6552" s="545">
        <v>0.33333333333333331</v>
      </c>
      <c r="I6552" s="545">
        <v>0.33333333333333331</v>
      </c>
      <c r="J6552" s="545">
        <v>0.59523809523809523</v>
      </c>
    </row>
    <row r="6553" spans="1:10">
      <c r="A6553" s="441">
        <v>2377</v>
      </c>
      <c r="B6553" s="441" t="s">
        <v>5555</v>
      </c>
      <c r="C6553" s="545">
        <v>0</v>
      </c>
      <c r="D6553" s="545">
        <v>0</v>
      </c>
      <c r="E6553" s="545">
        <v>0</v>
      </c>
      <c r="F6553" s="545">
        <v>0</v>
      </c>
      <c r="G6553" s="545">
        <v>0.4</v>
      </c>
      <c r="H6553" s="545">
        <v>0</v>
      </c>
      <c r="I6553" s="545">
        <v>0</v>
      </c>
      <c r="J6553" s="545">
        <v>0.2857142857142857</v>
      </c>
    </row>
    <row r="6554" spans="1:10">
      <c r="A6554" s="441">
        <v>2378</v>
      </c>
      <c r="B6554" s="441" t="s">
        <v>5555</v>
      </c>
      <c r="C6554" s="545">
        <v>5</v>
      </c>
      <c r="D6554" s="545">
        <v>2.333333333333333</v>
      </c>
      <c r="E6554" s="545">
        <v>1.3333333333333333</v>
      </c>
      <c r="F6554" s="545">
        <v>4.0952380952380949</v>
      </c>
      <c r="G6554" s="545">
        <v>1.6</v>
      </c>
      <c r="H6554" s="545">
        <v>1.6666666666666667</v>
      </c>
      <c r="I6554" s="545">
        <v>1</v>
      </c>
      <c r="J6554" s="545">
        <v>1.5238095238095237</v>
      </c>
    </row>
    <row r="6555" spans="1:10">
      <c r="A6555" s="441">
        <v>2381</v>
      </c>
      <c r="B6555" s="441" t="s">
        <v>5555</v>
      </c>
      <c r="C6555" s="545">
        <v>0</v>
      </c>
      <c r="D6555" s="545">
        <v>0</v>
      </c>
      <c r="E6555" s="545">
        <v>0</v>
      </c>
      <c r="F6555" s="545">
        <v>0</v>
      </c>
      <c r="G6555" s="545">
        <v>0.25</v>
      </c>
      <c r="H6555" s="545">
        <v>0</v>
      </c>
      <c r="I6555" s="545">
        <v>0</v>
      </c>
      <c r="J6555" s="545">
        <v>0.17857142857142858</v>
      </c>
    </row>
    <row r="6556" spans="1:10">
      <c r="A6556" s="441">
        <v>11923</v>
      </c>
      <c r="B6556" s="441" t="s">
        <v>5556</v>
      </c>
      <c r="C6556" s="545">
        <v>8.6666666666666661</v>
      </c>
      <c r="D6556" s="545">
        <v>2.3333333333333335</v>
      </c>
      <c r="E6556" s="545">
        <v>2.3333333333333335</v>
      </c>
      <c r="F6556" s="545">
        <v>6.8571428571428568</v>
      </c>
      <c r="G6556" s="545">
        <v>3.5</v>
      </c>
      <c r="H6556" s="545">
        <v>1.6666666666666667</v>
      </c>
      <c r="I6556" s="545">
        <v>1</v>
      </c>
      <c r="J6556" s="545">
        <v>2.8809523809523809</v>
      </c>
    </row>
    <row r="6557" spans="1:10">
      <c r="A6557" s="441">
        <v>4016</v>
      </c>
      <c r="B6557" s="441" t="s">
        <v>5557</v>
      </c>
      <c r="C6557" s="545">
        <v>48</v>
      </c>
      <c r="D6557" s="545">
        <v>27.333333333333336</v>
      </c>
      <c r="E6557" s="545">
        <v>34</v>
      </c>
      <c r="F6557" s="545">
        <v>43.047619047619044</v>
      </c>
      <c r="G6557" s="545">
        <v>31.2</v>
      </c>
      <c r="H6557" s="545">
        <v>20.333333333333332</v>
      </c>
      <c r="I6557" s="545">
        <v>21</v>
      </c>
      <c r="J6557" s="545">
        <v>28.190476190476193</v>
      </c>
    </row>
    <row r="6558" spans="1:10">
      <c r="A6558" s="441">
        <v>3162</v>
      </c>
      <c r="B6558" s="441" t="s">
        <v>5558</v>
      </c>
      <c r="C6558" s="545">
        <v>11.333333333333332</v>
      </c>
      <c r="D6558" s="545">
        <v>6.6666666666666661</v>
      </c>
      <c r="E6558" s="545">
        <v>2.6666666666666665</v>
      </c>
      <c r="F6558" s="545">
        <v>9.428571428571427</v>
      </c>
      <c r="G6558" s="545">
        <v>2.2000000000000002</v>
      </c>
      <c r="H6558" s="545">
        <v>4</v>
      </c>
      <c r="I6558" s="545">
        <v>0.66666666666666663</v>
      </c>
      <c r="J6558" s="545">
        <v>2.2380952380952381</v>
      </c>
    </row>
    <row r="6559" spans="1:10">
      <c r="A6559" s="441">
        <v>9740</v>
      </c>
      <c r="B6559" s="441" t="s">
        <v>5559</v>
      </c>
      <c r="C6559" s="545">
        <v>23.833333333333332</v>
      </c>
      <c r="D6559" s="545">
        <v>14.666666666666668</v>
      </c>
      <c r="E6559" s="545">
        <v>12</v>
      </c>
      <c r="F6559" s="545">
        <v>20.833333333333332</v>
      </c>
      <c r="G6559" s="545">
        <v>16.75</v>
      </c>
      <c r="H6559" s="545">
        <v>14</v>
      </c>
      <c r="I6559" s="545">
        <v>7.666666666666667</v>
      </c>
      <c r="J6559" s="545">
        <v>15.05952380952381</v>
      </c>
    </row>
    <row r="6560" spans="1:10">
      <c r="A6560" s="441">
        <v>9739</v>
      </c>
      <c r="B6560" s="441" t="s">
        <v>5560</v>
      </c>
      <c r="C6560" s="545">
        <v>26</v>
      </c>
      <c r="D6560" s="545">
        <v>11</v>
      </c>
      <c r="E6560" s="545">
        <v>8</v>
      </c>
      <c r="F6560" s="545">
        <v>21.285714285714285</v>
      </c>
      <c r="G6560" s="545">
        <v>26.75</v>
      </c>
      <c r="H6560" s="545">
        <v>20</v>
      </c>
      <c r="I6560" s="545">
        <v>9.6666666666666661</v>
      </c>
      <c r="J6560" s="545">
        <v>23.345238095238095</v>
      </c>
    </row>
    <row r="6561" spans="1:10">
      <c r="A6561" s="441">
        <v>13036</v>
      </c>
      <c r="B6561" s="441" t="s">
        <v>5561</v>
      </c>
      <c r="C6561" s="545">
        <v>46.333333333333329</v>
      </c>
      <c r="D6561" s="545">
        <v>32</v>
      </c>
      <c r="E6561" s="545">
        <v>23.333333333333336</v>
      </c>
      <c r="F6561" s="545">
        <v>40.999999999999993</v>
      </c>
      <c r="G6561" s="545">
        <v>45.6</v>
      </c>
      <c r="H6561" s="545">
        <v>39</v>
      </c>
      <c r="I6561" s="545">
        <v>46.666666666666664</v>
      </c>
      <c r="J6561" s="545">
        <v>44.80952380952381</v>
      </c>
    </row>
    <row r="6562" spans="1:10">
      <c r="A6562" s="441">
        <v>9744</v>
      </c>
      <c r="B6562" s="441" t="s">
        <v>5562</v>
      </c>
      <c r="C6562" s="545">
        <v>2.666666666666667</v>
      </c>
      <c r="D6562" s="545">
        <v>0.33333333333333331</v>
      </c>
      <c r="E6562" s="545">
        <v>1</v>
      </c>
      <c r="F6562" s="545">
        <v>2.0952380952380958</v>
      </c>
      <c r="G6562" s="545">
        <v>4</v>
      </c>
      <c r="H6562" s="545">
        <v>2.3333333333333335</v>
      </c>
      <c r="I6562" s="545">
        <v>0.33333333333333331</v>
      </c>
      <c r="J6562" s="545">
        <v>3.2380952380952377</v>
      </c>
    </row>
    <row r="6563" spans="1:10">
      <c r="A6563" s="441">
        <v>9742</v>
      </c>
      <c r="B6563" s="441" t="s">
        <v>5563</v>
      </c>
      <c r="C6563" s="545">
        <v>3.166666666666667</v>
      </c>
      <c r="D6563" s="545">
        <v>0.66666666666666663</v>
      </c>
      <c r="E6563" s="545">
        <v>3.333333333333333</v>
      </c>
      <c r="F6563" s="545">
        <v>2.8333333333333335</v>
      </c>
      <c r="G6563" s="545">
        <v>3.2</v>
      </c>
      <c r="H6563" s="545">
        <v>3</v>
      </c>
      <c r="I6563" s="545">
        <v>1</v>
      </c>
      <c r="J6563" s="545">
        <v>2.8571428571428572</v>
      </c>
    </row>
    <row r="6564" spans="1:10">
      <c r="A6564" s="441">
        <v>9741</v>
      </c>
      <c r="B6564" s="441" t="s">
        <v>5564</v>
      </c>
      <c r="C6564" s="545">
        <v>2</v>
      </c>
      <c r="D6564" s="545">
        <v>2</v>
      </c>
      <c r="E6564" s="545">
        <v>1.6666666666666665</v>
      </c>
      <c r="F6564" s="545">
        <v>1.9523809523809523</v>
      </c>
      <c r="G6564" s="545">
        <v>5.35</v>
      </c>
      <c r="H6564" s="545">
        <v>1.6666666666666667</v>
      </c>
      <c r="I6564" s="545">
        <v>4.333333333333333</v>
      </c>
      <c r="J6564" s="545">
        <v>4.6785714285714288</v>
      </c>
    </row>
    <row r="6565" spans="1:10">
      <c r="A6565" s="441">
        <v>9743</v>
      </c>
      <c r="B6565" s="441" t="s">
        <v>5565</v>
      </c>
      <c r="C6565" s="545">
        <v>2.5</v>
      </c>
      <c r="D6565" s="545">
        <v>1.6666666666666665</v>
      </c>
      <c r="E6565" s="545">
        <v>0.66666666666666663</v>
      </c>
      <c r="F6565" s="545">
        <v>2.1190476190476191</v>
      </c>
      <c r="G6565" s="545">
        <v>5.9</v>
      </c>
      <c r="H6565" s="545">
        <v>6.666666666666667</v>
      </c>
      <c r="I6565" s="545">
        <v>0.33333333333333331</v>
      </c>
      <c r="J6565" s="545">
        <v>5.2142857142857144</v>
      </c>
    </row>
    <row r="6566" spans="1:10">
      <c r="A6566" s="441">
        <v>5047</v>
      </c>
      <c r="B6566" s="441" t="s">
        <v>5566</v>
      </c>
      <c r="C6566" s="545">
        <v>18.333333333333336</v>
      </c>
      <c r="D6566" s="545">
        <v>8.3333333333333321</v>
      </c>
      <c r="E6566" s="545">
        <v>7</v>
      </c>
      <c r="F6566" s="545">
        <v>15.285714285714288</v>
      </c>
      <c r="G6566" s="545">
        <v>20.100000000000001</v>
      </c>
      <c r="H6566" s="545">
        <v>10.333333333333334</v>
      </c>
      <c r="I6566" s="545">
        <v>4.333333333333333</v>
      </c>
      <c r="J6566" s="545">
        <v>16.452380952380953</v>
      </c>
    </row>
    <row r="6567" spans="1:10">
      <c r="A6567" s="441">
        <v>12340</v>
      </c>
      <c r="B6567" s="441" t="s">
        <v>5566</v>
      </c>
      <c r="C6567" s="545">
        <v>26.166666666666664</v>
      </c>
      <c r="D6567" s="545">
        <v>10.333333333333334</v>
      </c>
      <c r="E6567" s="545">
        <v>12</v>
      </c>
      <c r="F6567" s="545">
        <v>21.88095238095238</v>
      </c>
      <c r="G6567" s="545">
        <v>15.2</v>
      </c>
      <c r="H6567" s="545">
        <v>6.333333333333333</v>
      </c>
      <c r="I6567" s="545">
        <v>4.666666666666667</v>
      </c>
      <c r="J6567" s="545">
        <v>12.428571428571429</v>
      </c>
    </row>
    <row r="6568" spans="1:10">
      <c r="A6568" s="441">
        <v>5046</v>
      </c>
      <c r="B6568" s="441" t="s">
        <v>5567</v>
      </c>
      <c r="C6568" s="545">
        <v>18.833333333333336</v>
      </c>
      <c r="D6568" s="545">
        <v>10.333333333333332</v>
      </c>
      <c r="E6568" s="545">
        <v>9.3333333333333321</v>
      </c>
      <c r="F6568" s="545">
        <v>16.261904761904763</v>
      </c>
      <c r="G6568" s="545">
        <v>17</v>
      </c>
      <c r="H6568" s="545">
        <v>6</v>
      </c>
      <c r="I6568" s="545">
        <v>4.666666666666667</v>
      </c>
      <c r="J6568" s="545">
        <v>13.666666666666668</v>
      </c>
    </row>
    <row r="6569" spans="1:10">
      <c r="A6569" s="441">
        <v>12341</v>
      </c>
      <c r="B6569" s="441" t="s">
        <v>5567</v>
      </c>
      <c r="C6569" s="545">
        <v>19.333333333333332</v>
      </c>
      <c r="D6569" s="545">
        <v>8</v>
      </c>
      <c r="E6569" s="545">
        <v>11.333333333333334</v>
      </c>
      <c r="F6569" s="545">
        <v>16.571428571428569</v>
      </c>
      <c r="G6569" s="545">
        <v>10.199999999999999</v>
      </c>
      <c r="H6569" s="545">
        <v>7.333333333333333</v>
      </c>
      <c r="I6569" s="545">
        <v>4</v>
      </c>
      <c r="J6569" s="545">
        <v>8.9047619047619051</v>
      </c>
    </row>
    <row r="6570" spans="1:10">
      <c r="A6570" s="441">
        <v>5587</v>
      </c>
      <c r="B6570" s="441" t="s">
        <v>5568</v>
      </c>
      <c r="C6570" s="545">
        <v>48.166666666666664</v>
      </c>
      <c r="D6570" s="545">
        <v>19.333333333333332</v>
      </c>
      <c r="E6570" s="545">
        <v>22.333333333333336</v>
      </c>
      <c r="F6570" s="545">
        <v>40.357142857142847</v>
      </c>
      <c r="G6570" s="545">
        <v>25.55</v>
      </c>
      <c r="H6570" s="545">
        <v>13.666666666666666</v>
      </c>
      <c r="I6570" s="545">
        <v>6</v>
      </c>
      <c r="J6570" s="545">
        <v>21.059523809523807</v>
      </c>
    </row>
    <row r="6571" spans="1:10">
      <c r="A6571" s="441">
        <v>12344</v>
      </c>
      <c r="B6571" s="441" t="s">
        <v>5569</v>
      </c>
      <c r="C6571" s="545">
        <v>51.166666666666671</v>
      </c>
      <c r="D6571" s="545">
        <v>32.333333333333329</v>
      </c>
      <c r="E6571" s="545">
        <v>24</v>
      </c>
      <c r="F6571" s="545">
        <v>44.595238095238095</v>
      </c>
      <c r="G6571" s="545">
        <v>23.45</v>
      </c>
      <c r="H6571" s="545">
        <v>12.666666666666666</v>
      </c>
      <c r="I6571" s="545">
        <v>9.3333333333333339</v>
      </c>
      <c r="J6571" s="545">
        <v>19.892857142857142</v>
      </c>
    </row>
    <row r="6572" spans="1:10">
      <c r="A6572" s="441">
        <v>5045</v>
      </c>
      <c r="B6572" s="441" t="s">
        <v>5570</v>
      </c>
      <c r="C6572" s="545">
        <v>2.6666666666666665</v>
      </c>
      <c r="D6572" s="545">
        <v>0.66666666666666663</v>
      </c>
      <c r="E6572" s="545">
        <v>1</v>
      </c>
      <c r="F6572" s="545">
        <v>2.1428571428571428</v>
      </c>
      <c r="G6572" s="545">
        <v>5.9</v>
      </c>
      <c r="H6572" s="545">
        <v>0.33333333333333331</v>
      </c>
      <c r="I6572" s="545">
        <v>1.3333333333333333</v>
      </c>
      <c r="J6572" s="545">
        <v>4.4523809523809517</v>
      </c>
    </row>
    <row r="6573" spans="1:10">
      <c r="A6573" s="441">
        <v>12342</v>
      </c>
      <c r="B6573" s="441" t="s">
        <v>5570</v>
      </c>
      <c r="C6573" s="545">
        <v>4.666666666666667</v>
      </c>
      <c r="D6573" s="545">
        <v>2</v>
      </c>
      <c r="E6573" s="545">
        <v>1.6666666666666665</v>
      </c>
      <c r="F6573" s="545">
        <v>3.8571428571428577</v>
      </c>
      <c r="G6573" s="545">
        <v>13.7</v>
      </c>
      <c r="H6573" s="545">
        <v>6</v>
      </c>
      <c r="I6573" s="545">
        <v>4.666666666666667</v>
      </c>
      <c r="J6573" s="545">
        <v>11.30952380952381</v>
      </c>
    </row>
    <row r="6574" spans="1:10">
      <c r="A6574" s="441">
        <v>5579</v>
      </c>
      <c r="B6574" s="441" t="s">
        <v>5571</v>
      </c>
      <c r="C6574" s="545">
        <v>13</v>
      </c>
      <c r="D6574" s="545">
        <v>8</v>
      </c>
      <c r="E6574" s="545">
        <v>3.666666666666667</v>
      </c>
      <c r="F6574" s="545">
        <v>10.952380952380953</v>
      </c>
      <c r="G6574" s="545">
        <v>6.45</v>
      </c>
      <c r="H6574" s="545">
        <v>1.3333333333333333</v>
      </c>
      <c r="I6574" s="545">
        <v>0.33333333333333331</v>
      </c>
      <c r="J6574" s="545">
        <v>4.8452380952380958</v>
      </c>
    </row>
    <row r="6575" spans="1:10">
      <c r="A6575" s="441">
        <v>5597</v>
      </c>
      <c r="B6575" s="441" t="s">
        <v>5571</v>
      </c>
      <c r="C6575" s="545">
        <v>9.1666666666666679</v>
      </c>
      <c r="D6575" s="545">
        <v>9</v>
      </c>
      <c r="E6575" s="545">
        <v>2.666666666666667</v>
      </c>
      <c r="F6575" s="545">
        <v>8.2142857142857153</v>
      </c>
      <c r="G6575" s="545">
        <v>6</v>
      </c>
      <c r="H6575" s="545">
        <v>5.333333333333333</v>
      </c>
      <c r="I6575" s="545">
        <v>2.3333333333333335</v>
      </c>
      <c r="J6575" s="545">
        <v>5.3809523809523814</v>
      </c>
    </row>
    <row r="6576" spans="1:10">
      <c r="A6576" s="441">
        <v>5583</v>
      </c>
      <c r="B6576" s="441" t="s">
        <v>5572</v>
      </c>
      <c r="C6576" s="545">
        <v>4.3333333333333339</v>
      </c>
      <c r="D6576" s="545">
        <v>1.3333333333333333</v>
      </c>
      <c r="E6576" s="545">
        <v>0</v>
      </c>
      <c r="F6576" s="545">
        <v>3.285714285714286</v>
      </c>
      <c r="G6576" s="545">
        <v>2.95</v>
      </c>
      <c r="H6576" s="545">
        <v>1.6666666666666667</v>
      </c>
      <c r="I6576" s="545">
        <v>0</v>
      </c>
      <c r="J6576" s="545">
        <v>2.3452380952380953</v>
      </c>
    </row>
    <row r="6577" spans="1:10">
      <c r="A6577" s="441">
        <v>5593</v>
      </c>
      <c r="B6577" s="441" t="s">
        <v>5572</v>
      </c>
      <c r="C6577" s="545">
        <v>4.8333333333333339</v>
      </c>
      <c r="D6577" s="545">
        <v>0.33333333333333331</v>
      </c>
      <c r="E6577" s="545">
        <v>1</v>
      </c>
      <c r="F6577" s="545">
        <v>3.6428571428571432</v>
      </c>
      <c r="G6577" s="545">
        <v>3.05</v>
      </c>
      <c r="H6577" s="545">
        <v>0.33333333333333331</v>
      </c>
      <c r="I6577" s="545">
        <v>1.6666666666666667</v>
      </c>
      <c r="J6577" s="545">
        <v>2.4642857142857144</v>
      </c>
    </row>
    <row r="6578" spans="1:10">
      <c r="A6578" s="441">
        <v>420</v>
      </c>
      <c r="B6578" s="441" t="s">
        <v>5573</v>
      </c>
      <c r="C6578" s="545">
        <v>1.5</v>
      </c>
      <c r="D6578" s="545">
        <v>0.66666666666666663</v>
      </c>
      <c r="E6578" s="545">
        <v>0.66666666666666663</v>
      </c>
      <c r="F6578" s="545">
        <v>1.2619047619047616</v>
      </c>
      <c r="G6578" s="545">
        <v>1.8</v>
      </c>
      <c r="H6578" s="545">
        <v>1.3333333333333333</v>
      </c>
      <c r="I6578" s="545">
        <v>1.3333333333333333</v>
      </c>
      <c r="J6578" s="545">
        <v>1.6666666666666667</v>
      </c>
    </row>
    <row r="6579" spans="1:10">
      <c r="A6579" s="441">
        <v>5591</v>
      </c>
      <c r="B6579" s="441" t="s">
        <v>5573</v>
      </c>
      <c r="C6579" s="545">
        <v>2.6666666666666665</v>
      </c>
      <c r="D6579" s="545">
        <v>0.66666666666666663</v>
      </c>
      <c r="E6579" s="545">
        <v>0.66666666666666663</v>
      </c>
      <c r="F6579" s="545">
        <v>2.0952380952380949</v>
      </c>
      <c r="G6579" s="545">
        <v>1.3</v>
      </c>
      <c r="H6579" s="545">
        <v>0.33333333333333331</v>
      </c>
      <c r="I6579" s="545">
        <v>0</v>
      </c>
      <c r="J6579" s="545">
        <v>0.97619047619047616</v>
      </c>
    </row>
    <row r="6580" spans="1:10">
      <c r="A6580" s="441">
        <v>5032</v>
      </c>
      <c r="B6580" s="441" t="s">
        <v>5574</v>
      </c>
      <c r="C6580" s="545">
        <v>38.833333333333329</v>
      </c>
      <c r="D6580" s="545">
        <v>30.333333333333336</v>
      </c>
      <c r="E6580" s="545">
        <v>21.666666666666668</v>
      </c>
      <c r="F6580" s="545">
        <v>35.166666666666664</v>
      </c>
      <c r="G6580" s="545">
        <v>41.55</v>
      </c>
      <c r="H6580" s="545">
        <v>36</v>
      </c>
      <c r="I6580" s="545">
        <v>14</v>
      </c>
      <c r="J6580" s="545">
        <v>36.821428571428569</v>
      </c>
    </row>
    <row r="6581" spans="1:10">
      <c r="A6581" s="441">
        <v>5095</v>
      </c>
      <c r="B6581" s="441" t="s">
        <v>5574</v>
      </c>
      <c r="C6581" s="545">
        <v>48.5</v>
      </c>
      <c r="D6581" s="545">
        <v>28.333333333333332</v>
      </c>
      <c r="E6581" s="545">
        <v>23.666666666666668</v>
      </c>
      <c r="F6581" s="545">
        <v>42.071428571428569</v>
      </c>
      <c r="G6581" s="545">
        <v>49.95</v>
      </c>
      <c r="H6581" s="545">
        <v>29.333333333333332</v>
      </c>
      <c r="I6581" s="545">
        <v>12</v>
      </c>
      <c r="J6581" s="545">
        <v>41.583333333333329</v>
      </c>
    </row>
    <row r="6582" spans="1:10">
      <c r="A6582" s="441">
        <v>5581</v>
      </c>
      <c r="B6582" s="441" t="s">
        <v>5575</v>
      </c>
      <c r="C6582" s="545">
        <v>6</v>
      </c>
      <c r="D6582" s="545">
        <v>1.3333333333333333</v>
      </c>
      <c r="E6582" s="545">
        <v>1.3333333333333333</v>
      </c>
      <c r="F6582" s="545">
        <v>4.6666666666666661</v>
      </c>
      <c r="G6582" s="545">
        <v>8</v>
      </c>
      <c r="H6582" s="545">
        <v>1</v>
      </c>
      <c r="I6582" s="545">
        <v>1.6666666666666667</v>
      </c>
      <c r="J6582" s="545">
        <v>6.0952380952380949</v>
      </c>
    </row>
    <row r="6583" spans="1:10">
      <c r="A6583" s="441">
        <v>5595</v>
      </c>
      <c r="B6583" s="441" t="s">
        <v>5575</v>
      </c>
      <c r="C6583" s="545">
        <v>5.3333333333333339</v>
      </c>
      <c r="D6583" s="545">
        <v>2.666666666666667</v>
      </c>
      <c r="E6583" s="545">
        <v>1.6666666666666665</v>
      </c>
      <c r="F6583" s="545">
        <v>4.4285714285714297</v>
      </c>
      <c r="G6583" s="545">
        <v>8</v>
      </c>
      <c r="H6583" s="545">
        <v>1.3333333333333333</v>
      </c>
      <c r="I6583" s="545">
        <v>1.6666666666666667</v>
      </c>
      <c r="J6583" s="545">
        <v>6.1428571428571432</v>
      </c>
    </row>
    <row r="6584" spans="1:10">
      <c r="A6584" s="441">
        <v>5041</v>
      </c>
      <c r="B6584" s="441" t="s">
        <v>5576</v>
      </c>
      <c r="C6584" s="545">
        <v>11.833333333333332</v>
      </c>
      <c r="D6584" s="545">
        <v>9.6666666666666679</v>
      </c>
      <c r="E6584" s="545">
        <v>7.333333333333333</v>
      </c>
      <c r="F6584" s="545">
        <v>10.88095238095238</v>
      </c>
      <c r="G6584" s="545">
        <v>10.65</v>
      </c>
      <c r="H6584" s="545">
        <v>4.333333333333333</v>
      </c>
      <c r="I6584" s="545">
        <v>3.6666666666666665</v>
      </c>
      <c r="J6584" s="545">
        <v>8.75</v>
      </c>
    </row>
    <row r="6585" spans="1:10">
      <c r="A6585" s="441">
        <v>5600</v>
      </c>
      <c r="B6585" s="441" t="s">
        <v>5577</v>
      </c>
      <c r="C6585" s="545">
        <v>8.8333333333333339</v>
      </c>
      <c r="D6585" s="545">
        <v>7</v>
      </c>
      <c r="E6585" s="545">
        <v>6.666666666666667</v>
      </c>
      <c r="F6585" s="545">
        <v>8.2619047619047628</v>
      </c>
      <c r="G6585" s="545">
        <v>5.5</v>
      </c>
      <c r="H6585" s="545">
        <v>1</v>
      </c>
      <c r="I6585" s="545">
        <v>0.33333333333333331</v>
      </c>
      <c r="J6585" s="545">
        <v>4.1190476190476186</v>
      </c>
    </row>
    <row r="6586" spans="1:10">
      <c r="A6586" s="441">
        <v>5094</v>
      </c>
      <c r="B6586" s="441" t="s">
        <v>5578</v>
      </c>
      <c r="C6586" s="545">
        <v>13.666666666666668</v>
      </c>
      <c r="D6586" s="545">
        <v>7</v>
      </c>
      <c r="E6586" s="545">
        <v>3.6666666666666665</v>
      </c>
      <c r="F6586" s="545">
        <v>11.285714285714288</v>
      </c>
      <c r="G6586" s="545">
        <v>14.7</v>
      </c>
      <c r="H6586" s="545">
        <v>5</v>
      </c>
      <c r="I6586" s="545">
        <v>6.333333333333333</v>
      </c>
      <c r="J6586" s="545">
        <v>12.119047619047619</v>
      </c>
    </row>
    <row r="6587" spans="1:10">
      <c r="A6587" s="441">
        <v>5042</v>
      </c>
      <c r="B6587" s="441" t="s">
        <v>5579</v>
      </c>
      <c r="C6587" s="545">
        <v>17.166666666666668</v>
      </c>
      <c r="D6587" s="545">
        <v>4.6666666666666661</v>
      </c>
      <c r="E6587" s="545">
        <v>2.3333333333333335</v>
      </c>
      <c r="F6587" s="545">
        <v>13.261904761904763</v>
      </c>
      <c r="G6587" s="545">
        <v>11.55</v>
      </c>
      <c r="H6587" s="545">
        <v>3.3333333333333335</v>
      </c>
      <c r="I6587" s="545">
        <v>0.66666666666666663</v>
      </c>
      <c r="J6587" s="545">
        <v>8.8214285714285712</v>
      </c>
    </row>
    <row r="6588" spans="1:10">
      <c r="A6588" s="441">
        <v>5093</v>
      </c>
      <c r="B6588" s="441" t="s">
        <v>5579</v>
      </c>
      <c r="C6588" s="545">
        <v>12.833333333333332</v>
      </c>
      <c r="D6588" s="545">
        <v>3</v>
      </c>
      <c r="E6588" s="545">
        <v>5</v>
      </c>
      <c r="F6588" s="545">
        <v>10.309523809523808</v>
      </c>
      <c r="G6588" s="545">
        <v>11.5</v>
      </c>
      <c r="H6588" s="545">
        <v>4</v>
      </c>
      <c r="I6588" s="545">
        <v>0.33333333333333331</v>
      </c>
      <c r="J6588" s="545">
        <v>8.8333333333333339</v>
      </c>
    </row>
    <row r="6589" spans="1:10">
      <c r="A6589" s="441">
        <v>12339</v>
      </c>
      <c r="B6589" s="441" t="s">
        <v>5580</v>
      </c>
      <c r="C6589" s="545">
        <v>25.166666666666664</v>
      </c>
      <c r="D6589" s="545">
        <v>19</v>
      </c>
      <c r="E6589" s="545">
        <v>16.333333333333332</v>
      </c>
      <c r="F6589" s="545">
        <v>23.023809523809522</v>
      </c>
      <c r="G6589" s="545">
        <v>21</v>
      </c>
      <c r="H6589" s="545">
        <v>12.333333333333334</v>
      </c>
      <c r="I6589" s="545">
        <v>4</v>
      </c>
      <c r="J6589" s="545">
        <v>17.333333333333332</v>
      </c>
    </row>
    <row r="6590" spans="1:10">
      <c r="A6590" s="441">
        <v>12343</v>
      </c>
      <c r="B6590" s="441" t="s">
        <v>5580</v>
      </c>
      <c r="C6590" s="545">
        <v>29.166666666666668</v>
      </c>
      <c r="D6590" s="545">
        <v>15</v>
      </c>
      <c r="E6590" s="545">
        <v>16.666666666666668</v>
      </c>
      <c r="F6590" s="545">
        <v>25.357142857142858</v>
      </c>
      <c r="G6590" s="545">
        <v>31.05</v>
      </c>
      <c r="H6590" s="545">
        <v>12.666666666666666</v>
      </c>
      <c r="I6590" s="545">
        <v>7.666666666666667</v>
      </c>
      <c r="J6590" s="545">
        <v>25.083333333333332</v>
      </c>
    </row>
    <row r="6591" spans="1:10">
      <c r="A6591" s="441">
        <v>5584</v>
      </c>
      <c r="B6591" s="441" t="s">
        <v>5581</v>
      </c>
      <c r="C6591" s="545">
        <v>18.333333333333336</v>
      </c>
      <c r="D6591" s="545">
        <v>3</v>
      </c>
      <c r="E6591" s="545">
        <v>1.3333333333333333</v>
      </c>
      <c r="F6591" s="545">
        <v>13.714285714285717</v>
      </c>
      <c r="G6591" s="545">
        <v>7.7</v>
      </c>
      <c r="H6591" s="545">
        <v>3.6666666666666665</v>
      </c>
      <c r="I6591" s="545">
        <v>1</v>
      </c>
      <c r="J6591" s="545">
        <v>6.1666666666666661</v>
      </c>
    </row>
    <row r="6592" spans="1:10">
      <c r="A6592" s="441">
        <v>5590</v>
      </c>
      <c r="B6592" s="441" t="s">
        <v>5581</v>
      </c>
      <c r="C6592" s="545">
        <v>33.666666666666664</v>
      </c>
      <c r="D6592" s="545">
        <v>10.333333333333332</v>
      </c>
      <c r="E6592" s="545">
        <v>3.333333333333333</v>
      </c>
      <c r="F6592" s="545">
        <v>26</v>
      </c>
      <c r="G6592" s="545">
        <v>17.75</v>
      </c>
      <c r="H6592" s="545">
        <v>8.3333333333333339</v>
      </c>
      <c r="I6592" s="545">
        <v>3.6666666666666665</v>
      </c>
      <c r="J6592" s="545">
        <v>14.392857142857142</v>
      </c>
    </row>
    <row r="6593" spans="1:10">
      <c r="A6593" s="441">
        <v>5043</v>
      </c>
      <c r="B6593" s="441" t="s">
        <v>5582</v>
      </c>
      <c r="C6593" s="545">
        <v>14.666666666666668</v>
      </c>
      <c r="D6593" s="545">
        <v>2.333333333333333</v>
      </c>
      <c r="E6593" s="545">
        <v>1.6666666666666665</v>
      </c>
      <c r="F6593" s="545">
        <v>11.047619047619049</v>
      </c>
      <c r="G6593" s="545">
        <v>7.3</v>
      </c>
      <c r="H6593" s="545">
        <v>1.6666666666666667</v>
      </c>
      <c r="I6593" s="545">
        <v>2</v>
      </c>
      <c r="J6593" s="545">
        <v>5.7380952380952381</v>
      </c>
    </row>
    <row r="6594" spans="1:10">
      <c r="A6594" s="441">
        <v>10921</v>
      </c>
      <c r="B6594" s="441" t="s">
        <v>5582</v>
      </c>
      <c r="C6594" s="545">
        <v>21</v>
      </c>
      <c r="D6594" s="545">
        <v>1.6666666666666665</v>
      </c>
      <c r="E6594" s="545">
        <v>1.6666666666666667</v>
      </c>
      <c r="F6594" s="545">
        <v>15.476190476190478</v>
      </c>
      <c r="G6594" s="545">
        <v>14.9</v>
      </c>
      <c r="H6594" s="545">
        <v>3.6666666666666665</v>
      </c>
      <c r="I6594" s="545">
        <v>0.66666666666666663</v>
      </c>
      <c r="J6594" s="545">
        <v>11.261904761904763</v>
      </c>
    </row>
    <row r="6595" spans="1:10">
      <c r="A6595" s="441">
        <v>988</v>
      </c>
      <c r="B6595" s="441" t="s">
        <v>5583</v>
      </c>
      <c r="C6595" s="545">
        <v>118</v>
      </c>
      <c r="D6595" s="545">
        <v>52.333333333333329</v>
      </c>
      <c r="E6595" s="545">
        <v>41</v>
      </c>
      <c r="F6595" s="545">
        <v>97.61904761904762</v>
      </c>
      <c r="G6595" s="545">
        <v>123.5</v>
      </c>
      <c r="H6595" s="545">
        <v>36.333333333333336</v>
      </c>
      <c r="I6595" s="545">
        <v>46</v>
      </c>
      <c r="J6595" s="545">
        <v>99.976190476190482</v>
      </c>
    </row>
    <row r="6596" spans="1:10">
      <c r="A6596" s="441">
        <v>11226</v>
      </c>
      <c r="B6596" s="441" t="s">
        <v>5584</v>
      </c>
      <c r="C6596" s="545">
        <v>71</v>
      </c>
      <c r="D6596" s="545">
        <v>64.666666666666671</v>
      </c>
      <c r="E6596" s="545">
        <v>51.333333333333329</v>
      </c>
      <c r="F6596" s="545">
        <v>67.285714285714292</v>
      </c>
      <c r="G6596" s="545">
        <v>24.2</v>
      </c>
      <c r="H6596" s="545">
        <v>21.666666666666668</v>
      </c>
      <c r="I6596" s="545">
        <v>17</v>
      </c>
      <c r="J6596" s="545">
        <v>22.809523809523807</v>
      </c>
    </row>
    <row r="6597" spans="1:10">
      <c r="A6597" s="441">
        <v>11574</v>
      </c>
      <c r="B6597" s="441" t="s">
        <v>5584</v>
      </c>
      <c r="C6597" s="545">
        <v>77</v>
      </c>
      <c r="D6597" s="545">
        <v>62</v>
      </c>
      <c r="E6597" s="545">
        <v>47.666666666666671</v>
      </c>
      <c r="F6597" s="545">
        <v>70.666666666666671</v>
      </c>
      <c r="G6597" s="545">
        <v>23.35</v>
      </c>
      <c r="H6597" s="545">
        <v>25</v>
      </c>
      <c r="I6597" s="545">
        <v>17.666666666666668</v>
      </c>
      <c r="J6597" s="545">
        <v>22.773809523809522</v>
      </c>
    </row>
    <row r="6598" spans="1:10">
      <c r="A6598" s="441">
        <v>254</v>
      </c>
      <c r="B6598" s="441" t="s">
        <v>5585</v>
      </c>
      <c r="C6598" s="545">
        <v>5.333333333333333</v>
      </c>
      <c r="D6598" s="545">
        <v>1</v>
      </c>
      <c r="E6598" s="545">
        <v>3.6666666666666665</v>
      </c>
      <c r="F6598" s="545">
        <v>4.4761904761904763</v>
      </c>
      <c r="G6598" s="545">
        <v>3.1</v>
      </c>
      <c r="H6598" s="545">
        <v>1</v>
      </c>
      <c r="I6598" s="545">
        <v>2.3333333333333335</v>
      </c>
      <c r="J6598" s="545">
        <v>2.6904761904761902</v>
      </c>
    </row>
    <row r="6599" spans="1:10">
      <c r="A6599" s="441">
        <v>263</v>
      </c>
      <c r="B6599" s="441" t="s">
        <v>5586</v>
      </c>
      <c r="C6599" s="545">
        <v>49</v>
      </c>
      <c r="D6599" s="545">
        <v>35.333333333333336</v>
      </c>
      <c r="E6599" s="545">
        <v>22.333333333333336</v>
      </c>
      <c r="F6599" s="545">
        <v>43.238095238095234</v>
      </c>
      <c r="G6599" s="545">
        <v>44.95</v>
      </c>
      <c r="H6599" s="545">
        <v>29.333333333333332</v>
      </c>
      <c r="I6599" s="545">
        <v>23.666666666666668</v>
      </c>
      <c r="J6599" s="545">
        <v>39.678571428571431</v>
      </c>
    </row>
    <row r="6600" spans="1:10">
      <c r="A6600" s="441">
        <v>255</v>
      </c>
      <c r="B6600" s="441" t="s">
        <v>5587</v>
      </c>
      <c r="C6600" s="545">
        <v>22</v>
      </c>
      <c r="D6600" s="545">
        <v>17</v>
      </c>
      <c r="E6600" s="545">
        <v>10</v>
      </c>
      <c r="F6600" s="545">
        <v>19.571428571428573</v>
      </c>
      <c r="G6600" s="545">
        <v>17.25</v>
      </c>
      <c r="H6600" s="545">
        <v>12.666666666666666</v>
      </c>
      <c r="I6600" s="545">
        <v>13.333333333333334</v>
      </c>
      <c r="J6600" s="545">
        <v>16.035714285714285</v>
      </c>
    </row>
    <row r="6601" spans="1:10">
      <c r="A6601" s="441">
        <v>265</v>
      </c>
      <c r="B6601" s="441" t="s">
        <v>5588</v>
      </c>
      <c r="C6601" s="545">
        <v>12.166666666666668</v>
      </c>
      <c r="D6601" s="545">
        <v>5.6666666666666661</v>
      </c>
      <c r="E6601" s="545">
        <v>3.3333333333333335</v>
      </c>
      <c r="F6601" s="545">
        <v>9.9761904761904781</v>
      </c>
      <c r="G6601" s="545">
        <v>4.45</v>
      </c>
      <c r="H6601" s="545">
        <v>3.6666666666666665</v>
      </c>
      <c r="I6601" s="545">
        <v>2.3333333333333335</v>
      </c>
      <c r="J6601" s="545">
        <v>4.0357142857142856</v>
      </c>
    </row>
    <row r="6602" spans="1:10">
      <c r="A6602" s="441">
        <v>264</v>
      </c>
      <c r="B6602" s="441" t="s">
        <v>5589</v>
      </c>
      <c r="C6602" s="545">
        <v>38.833333333333336</v>
      </c>
      <c r="D6602" s="545">
        <v>25.333333333333332</v>
      </c>
      <c r="E6602" s="545">
        <v>16.666666666666664</v>
      </c>
      <c r="F6602" s="545">
        <v>33.738095238095241</v>
      </c>
      <c r="G6602" s="545">
        <v>26.85</v>
      </c>
      <c r="H6602" s="545">
        <v>14.666666666666666</v>
      </c>
      <c r="I6602" s="545">
        <v>14</v>
      </c>
      <c r="J6602" s="545">
        <v>23.273809523809522</v>
      </c>
    </row>
    <row r="6603" spans="1:10">
      <c r="A6603" s="441">
        <v>257</v>
      </c>
      <c r="B6603" s="441" t="s">
        <v>5590</v>
      </c>
      <c r="C6603" s="545">
        <v>80.833333333333329</v>
      </c>
      <c r="D6603" s="545">
        <v>42.666666666666671</v>
      </c>
      <c r="E6603" s="545">
        <v>35.666666666666664</v>
      </c>
      <c r="F6603" s="545">
        <v>68.928571428571431</v>
      </c>
      <c r="G6603" s="545">
        <v>68.099999999999994</v>
      </c>
      <c r="H6603" s="545">
        <v>38</v>
      </c>
      <c r="I6603" s="545">
        <v>47</v>
      </c>
      <c r="J6603" s="545">
        <v>60.785714285714285</v>
      </c>
    </row>
    <row r="6604" spans="1:10">
      <c r="A6604" s="441">
        <v>224</v>
      </c>
      <c r="B6604" s="441" t="s">
        <v>5591</v>
      </c>
      <c r="C6604" s="545">
        <v>248.5</v>
      </c>
      <c r="D6604" s="545">
        <v>133</v>
      </c>
      <c r="E6604" s="545">
        <v>78</v>
      </c>
      <c r="F6604" s="545">
        <v>207.64285714285714</v>
      </c>
      <c r="G6604" s="545">
        <v>132.75</v>
      </c>
      <c r="H6604" s="545">
        <v>63.666666666666664</v>
      </c>
      <c r="I6604" s="545">
        <v>55.333333333333336</v>
      </c>
      <c r="J6604" s="545">
        <v>111.82142857142857</v>
      </c>
    </row>
    <row r="6605" spans="1:10">
      <c r="A6605" s="441">
        <v>9526</v>
      </c>
      <c r="B6605" s="441" t="s">
        <v>5592</v>
      </c>
      <c r="C6605" s="545" t="e">
        <v>#N/A</v>
      </c>
      <c r="D6605" s="545" t="e">
        <v>#N/A</v>
      </c>
      <c r="E6605" s="545" t="e">
        <v>#N/A</v>
      </c>
      <c r="F6605" s="545" t="e">
        <v>#N/A</v>
      </c>
      <c r="G6605" s="545">
        <v>1.5</v>
      </c>
      <c r="H6605" s="545"/>
      <c r="I6605" s="545"/>
      <c r="J6605" s="545">
        <v>1.0714285714285714</v>
      </c>
    </row>
    <row r="6606" spans="1:10">
      <c r="A6606" s="441">
        <v>221</v>
      </c>
      <c r="B6606" s="441" t="s">
        <v>5593</v>
      </c>
      <c r="C6606" s="545">
        <v>98.833333333333343</v>
      </c>
      <c r="D6606" s="545">
        <v>68</v>
      </c>
      <c r="E6606" s="545">
        <v>62.333333333333329</v>
      </c>
      <c r="F6606" s="545">
        <v>89.214285714285737</v>
      </c>
      <c r="G6606" s="545">
        <v>56.3</v>
      </c>
      <c r="H6606" s="545">
        <v>40.333333333333336</v>
      </c>
      <c r="I6606" s="545">
        <v>36.333333333333336</v>
      </c>
      <c r="J6606" s="545">
        <v>51.166666666666664</v>
      </c>
    </row>
    <row r="6607" spans="1:10">
      <c r="A6607" s="441">
        <v>258</v>
      </c>
      <c r="B6607" s="441" t="s">
        <v>5594</v>
      </c>
      <c r="C6607" s="545">
        <v>32.833333333333336</v>
      </c>
      <c r="D6607" s="545">
        <v>18.333333333333332</v>
      </c>
      <c r="E6607" s="545">
        <v>16</v>
      </c>
      <c r="F6607" s="545">
        <v>28.357142857142861</v>
      </c>
      <c r="G6607" s="545">
        <v>20.350000000000001</v>
      </c>
      <c r="H6607" s="545">
        <v>9</v>
      </c>
      <c r="I6607" s="545">
        <v>9.3333333333333339</v>
      </c>
      <c r="J6607" s="545">
        <v>17.154761904761905</v>
      </c>
    </row>
    <row r="6608" spans="1:10">
      <c r="A6608" s="441">
        <v>300</v>
      </c>
      <c r="B6608" s="441" t="s">
        <v>5595</v>
      </c>
      <c r="C6608" s="545">
        <v>11.333333333333332</v>
      </c>
      <c r="D6608" s="545">
        <v>10</v>
      </c>
      <c r="E6608" s="545">
        <v>7</v>
      </c>
      <c r="F6608" s="545">
        <v>10.523809523809522</v>
      </c>
      <c r="G6608" s="545">
        <v>14.8</v>
      </c>
      <c r="H6608" s="545">
        <v>13.333333333333334</v>
      </c>
      <c r="I6608" s="545">
        <v>9.6666666666666661</v>
      </c>
      <c r="J6608" s="545">
        <v>13.857142857142858</v>
      </c>
    </row>
    <row r="6609" spans="1:10">
      <c r="A6609" s="441">
        <v>10923</v>
      </c>
      <c r="B6609" s="441" t="s">
        <v>5596</v>
      </c>
      <c r="C6609" s="545">
        <v>16.833333333333332</v>
      </c>
      <c r="D6609" s="545">
        <v>27.666666666666668</v>
      </c>
      <c r="E6609" s="545">
        <v>12.333333333333334</v>
      </c>
      <c r="F6609" s="545">
        <v>17.738095238095237</v>
      </c>
      <c r="G6609" s="545">
        <v>9.5500000000000007</v>
      </c>
      <c r="H6609" s="545">
        <v>8</v>
      </c>
      <c r="I6609" s="545">
        <v>6.666666666666667</v>
      </c>
      <c r="J6609" s="545">
        <v>8.9166666666666661</v>
      </c>
    </row>
    <row r="6610" spans="1:10">
      <c r="A6610" s="441">
        <v>259</v>
      </c>
      <c r="B6610" s="441" t="s">
        <v>5597</v>
      </c>
      <c r="C6610" s="545">
        <v>268.66666666666669</v>
      </c>
      <c r="D6610" s="545">
        <v>136</v>
      </c>
      <c r="E6610" s="545">
        <v>99</v>
      </c>
      <c r="F6610" s="545">
        <v>225.47619047619051</v>
      </c>
      <c r="G6610" s="545">
        <v>16.95</v>
      </c>
      <c r="H6610" s="545">
        <v>10.333333333333334</v>
      </c>
      <c r="I6610" s="545">
        <v>7</v>
      </c>
      <c r="J6610" s="545">
        <v>14.583333333333332</v>
      </c>
    </row>
    <row r="6611" spans="1:10">
      <c r="A6611" s="441">
        <v>10510</v>
      </c>
      <c r="B6611" s="441" t="s">
        <v>5598</v>
      </c>
      <c r="C6611" s="545">
        <v>2.333333333333333</v>
      </c>
      <c r="D6611" s="545">
        <v>2.3333333333333335</v>
      </c>
      <c r="E6611" s="545">
        <v>4.6666666666666661</v>
      </c>
      <c r="F6611" s="545">
        <v>2.6666666666666665</v>
      </c>
      <c r="G6611" s="545">
        <v>6.6</v>
      </c>
      <c r="H6611" s="545">
        <v>5.666666666666667</v>
      </c>
      <c r="I6611" s="545">
        <v>3.3333333333333335</v>
      </c>
      <c r="J6611" s="545">
        <v>6</v>
      </c>
    </row>
    <row r="6612" spans="1:10">
      <c r="A6612" s="441">
        <v>256</v>
      </c>
      <c r="B6612" s="441" t="s">
        <v>5599</v>
      </c>
      <c r="C6612" s="545">
        <v>6.166666666666667</v>
      </c>
      <c r="D6612" s="545">
        <v>2.3333333333333335</v>
      </c>
      <c r="E6612" s="545">
        <v>3.666666666666667</v>
      </c>
      <c r="F6612" s="545">
        <v>5.2619047619047619</v>
      </c>
      <c r="G6612" s="545">
        <v>5.15</v>
      </c>
      <c r="H6612" s="545">
        <v>6</v>
      </c>
      <c r="I6612" s="545">
        <v>5.666666666666667</v>
      </c>
      <c r="J6612" s="545">
        <v>5.3452380952380949</v>
      </c>
    </row>
    <row r="6613" spans="1:10">
      <c r="A6613" s="441">
        <v>222</v>
      </c>
      <c r="B6613" s="441" t="s">
        <v>5600</v>
      </c>
      <c r="C6613" s="545">
        <v>18.666666666666668</v>
      </c>
      <c r="D6613" s="545">
        <v>15.333333333333334</v>
      </c>
      <c r="E6613" s="545">
        <v>8.6666666666666679</v>
      </c>
      <c r="F6613" s="545">
        <v>16.761904761904763</v>
      </c>
      <c r="G6613" s="545">
        <v>15.45</v>
      </c>
      <c r="H6613" s="545">
        <v>16.666666666666668</v>
      </c>
      <c r="I6613" s="545">
        <v>8.3333333333333339</v>
      </c>
      <c r="J6613" s="545">
        <v>14.607142857142858</v>
      </c>
    </row>
    <row r="6614" spans="1:10">
      <c r="A6614" s="441">
        <v>223</v>
      </c>
      <c r="B6614" s="441" t="s">
        <v>5601</v>
      </c>
      <c r="C6614" s="545">
        <v>166.16666666666669</v>
      </c>
      <c r="D6614" s="545">
        <v>102</v>
      </c>
      <c r="E6614" s="545">
        <v>82.333333333333329</v>
      </c>
      <c r="F6614" s="545">
        <v>145.02380952380955</v>
      </c>
      <c r="G6614" s="545">
        <v>106.35</v>
      </c>
      <c r="H6614" s="545">
        <v>55.333333333333336</v>
      </c>
      <c r="I6614" s="545">
        <v>55.666666666666664</v>
      </c>
      <c r="J6614" s="545">
        <v>91.821428571428569</v>
      </c>
    </row>
    <row r="6615" spans="1:10">
      <c r="A6615" s="441">
        <v>262</v>
      </c>
      <c r="B6615" s="441" t="s">
        <v>5602</v>
      </c>
      <c r="C6615" s="545">
        <v>136.66666666666666</v>
      </c>
      <c r="D6615" s="545">
        <v>69.333333333333329</v>
      </c>
      <c r="E6615" s="545">
        <v>56.666666666666664</v>
      </c>
      <c r="F6615" s="545">
        <v>115.61904761904761</v>
      </c>
      <c r="G6615" s="545">
        <v>122.3</v>
      </c>
      <c r="H6615" s="545">
        <v>79</v>
      </c>
      <c r="I6615" s="545">
        <v>54.333333333333336</v>
      </c>
      <c r="J6615" s="545">
        <v>106.40476190476191</v>
      </c>
    </row>
    <row r="6616" spans="1:10">
      <c r="A6616" s="441">
        <v>253</v>
      </c>
      <c r="B6616" s="441" t="s">
        <v>5603</v>
      </c>
      <c r="C6616" s="545">
        <v>19.833333333333332</v>
      </c>
      <c r="D6616" s="545">
        <v>14.666666666666666</v>
      </c>
      <c r="E6616" s="545">
        <v>9.3333333333333321</v>
      </c>
      <c r="F6616" s="545">
        <v>17.595238095238095</v>
      </c>
      <c r="G6616" s="545">
        <v>13.5</v>
      </c>
      <c r="H6616" s="545">
        <v>10</v>
      </c>
      <c r="I6616" s="545">
        <v>8.3333333333333339</v>
      </c>
      <c r="J6616" s="545">
        <v>12.261904761904761</v>
      </c>
    </row>
    <row r="6617" spans="1:10">
      <c r="A6617" s="441">
        <v>10039</v>
      </c>
      <c r="B6617" s="441" t="s">
        <v>5604</v>
      </c>
      <c r="C6617" s="545">
        <v>127.66666666666666</v>
      </c>
      <c r="D6617" s="545">
        <v>84.666666666666657</v>
      </c>
      <c r="E6617" s="545">
        <v>64</v>
      </c>
      <c r="F6617" s="545">
        <v>112.42857142857142</v>
      </c>
      <c r="G6617" s="545">
        <v>79.05</v>
      </c>
      <c r="H6617" s="545">
        <v>49</v>
      </c>
      <c r="I6617" s="545">
        <v>46.333333333333336</v>
      </c>
      <c r="J6617" s="545">
        <v>70.083333333333329</v>
      </c>
    </row>
    <row r="6618" spans="1:10">
      <c r="A6618" s="441">
        <v>260</v>
      </c>
      <c r="B6618" s="441" t="s">
        <v>5605</v>
      </c>
      <c r="C6618" s="545">
        <v>29.5</v>
      </c>
      <c r="D6618" s="545">
        <v>11.333333333333332</v>
      </c>
      <c r="E6618" s="545">
        <v>9.6666666666666661</v>
      </c>
      <c r="F6618" s="545">
        <v>24.071428571428573</v>
      </c>
      <c r="G6618" s="545">
        <v>3.45</v>
      </c>
      <c r="H6618" s="545">
        <v>1.3333333333333333</v>
      </c>
      <c r="I6618" s="545">
        <v>3</v>
      </c>
      <c r="J6618" s="545">
        <v>3.083333333333333</v>
      </c>
    </row>
    <row r="6619" spans="1:10">
      <c r="A6619" s="441">
        <v>10668</v>
      </c>
      <c r="B6619" s="441" t="s">
        <v>5606</v>
      </c>
      <c r="C6619" s="545">
        <v>61.333333333333329</v>
      </c>
      <c r="D6619" s="545">
        <v>48.333333333333336</v>
      </c>
      <c r="E6619" s="545">
        <v>43.333333333333336</v>
      </c>
      <c r="F6619" s="545">
        <v>56.904761904761891</v>
      </c>
      <c r="G6619" s="545">
        <v>25.8</v>
      </c>
      <c r="H6619" s="545">
        <v>24.666666666666668</v>
      </c>
      <c r="I6619" s="545">
        <v>29.666666666666668</v>
      </c>
      <c r="J6619" s="545">
        <v>26.190476190476186</v>
      </c>
    </row>
    <row r="6620" spans="1:10">
      <c r="A6620" s="441">
        <v>226</v>
      </c>
      <c r="B6620" s="441" t="s">
        <v>5607</v>
      </c>
      <c r="C6620" s="545">
        <v>13.166666666666668</v>
      </c>
      <c r="D6620" s="545">
        <v>1.6666666666666665</v>
      </c>
      <c r="E6620" s="545">
        <v>4</v>
      </c>
      <c r="F6620" s="545">
        <v>10.214285714285717</v>
      </c>
      <c r="G6620" s="545">
        <v>3.75</v>
      </c>
      <c r="H6620" s="545">
        <v>2</v>
      </c>
      <c r="I6620" s="545">
        <v>1</v>
      </c>
      <c r="J6620" s="545">
        <v>3.1071428571428572</v>
      </c>
    </row>
    <row r="6621" spans="1:10">
      <c r="A6621" s="441">
        <v>10972</v>
      </c>
      <c r="B6621" s="441" t="s">
        <v>5607</v>
      </c>
      <c r="C6621" s="545">
        <v>12</v>
      </c>
      <c r="D6621" s="545">
        <v>3.666666666666667</v>
      </c>
      <c r="E6621" s="545">
        <v>2.666666666666667</v>
      </c>
      <c r="F6621" s="545">
        <v>9.4761904761904763</v>
      </c>
      <c r="G6621" s="545">
        <v>4.5999999999999996</v>
      </c>
      <c r="H6621" s="545">
        <v>2.3333333333333335</v>
      </c>
      <c r="I6621" s="545">
        <v>3.6666666666666665</v>
      </c>
      <c r="J6621" s="545">
        <v>4.1428571428571432</v>
      </c>
    </row>
    <row r="6622" spans="1:10">
      <c r="A6622" s="441">
        <v>8735</v>
      </c>
      <c r="B6622" s="441" t="s">
        <v>5608</v>
      </c>
      <c r="C6622" s="545">
        <v>4.666666666666667</v>
      </c>
      <c r="D6622" s="545">
        <v>1.3333333333333333</v>
      </c>
      <c r="E6622" s="545">
        <v>1.6666666666666667</v>
      </c>
      <c r="F6622" s="545">
        <v>3.7619047619047623</v>
      </c>
      <c r="G6622" s="545">
        <v>1.5</v>
      </c>
      <c r="H6622" s="545">
        <v>1.6666666666666667</v>
      </c>
      <c r="I6622" s="545">
        <v>3.6666666666666665</v>
      </c>
      <c r="J6622" s="545">
        <v>1.8333333333333333</v>
      </c>
    </row>
    <row r="6623" spans="1:10">
      <c r="A6623" s="441">
        <v>8971</v>
      </c>
      <c r="B6623" s="441" t="s">
        <v>5608</v>
      </c>
      <c r="C6623" s="545">
        <v>5</v>
      </c>
      <c r="D6623" s="545">
        <v>7</v>
      </c>
      <c r="E6623" s="545">
        <v>4</v>
      </c>
      <c r="F6623" s="545">
        <v>5.1428571428571432</v>
      </c>
      <c r="G6623" s="545">
        <v>4.55</v>
      </c>
      <c r="H6623" s="545">
        <v>5</v>
      </c>
      <c r="I6623" s="545">
        <v>2.6666666666666665</v>
      </c>
      <c r="J6623" s="545">
        <v>4.3452380952380958</v>
      </c>
    </row>
    <row r="6624" spans="1:10">
      <c r="A6624" s="441">
        <v>6388</v>
      </c>
      <c r="B6624" s="441" t="s">
        <v>5609</v>
      </c>
      <c r="C6624" s="545">
        <v>4.833333333333333</v>
      </c>
      <c r="D6624" s="545">
        <v>3.3333333333333335</v>
      </c>
      <c r="E6624" s="545">
        <v>2.3333333333333335</v>
      </c>
      <c r="F6624" s="545">
        <v>4.261904761904761</v>
      </c>
      <c r="G6624" s="545">
        <v>1.75</v>
      </c>
      <c r="H6624" s="545">
        <v>1</v>
      </c>
      <c r="I6624" s="545">
        <v>1</v>
      </c>
      <c r="J6624" s="545">
        <v>1.5357142857142858</v>
      </c>
    </row>
    <row r="6625" spans="1:10">
      <c r="A6625" s="441">
        <v>6389</v>
      </c>
      <c r="B6625" s="441" t="s">
        <v>5610</v>
      </c>
      <c r="C6625" s="545">
        <v>93.666666666666671</v>
      </c>
      <c r="D6625" s="545">
        <v>55.666666666666671</v>
      </c>
      <c r="E6625" s="545">
        <v>72.666666666666657</v>
      </c>
      <c r="F6625" s="545">
        <v>85.238095238095227</v>
      </c>
      <c r="G6625" s="545">
        <v>54.95</v>
      </c>
      <c r="H6625" s="545">
        <v>42.666666666666664</v>
      </c>
      <c r="I6625" s="545">
        <v>58.666666666666664</v>
      </c>
      <c r="J6625" s="545">
        <v>53.726190476190482</v>
      </c>
    </row>
    <row r="6626" spans="1:10">
      <c r="A6626" s="441">
        <v>2086</v>
      </c>
      <c r="B6626" s="441" t="s">
        <v>5611</v>
      </c>
      <c r="C6626" s="545">
        <v>0.5</v>
      </c>
      <c r="D6626" s="545">
        <v>0</v>
      </c>
      <c r="E6626" s="545">
        <v>0</v>
      </c>
      <c r="F6626" s="545">
        <v>0.35714285714285715</v>
      </c>
      <c r="G6626" s="545">
        <v>1.2</v>
      </c>
      <c r="H6626" s="545">
        <v>0.66666666666666663</v>
      </c>
      <c r="I6626" s="545">
        <v>0</v>
      </c>
      <c r="J6626" s="545">
        <v>0.95238095238095244</v>
      </c>
    </row>
    <row r="6627" spans="1:10">
      <c r="A6627" s="441">
        <v>2087</v>
      </c>
      <c r="B6627" s="441" t="s">
        <v>5612</v>
      </c>
      <c r="C6627" s="545">
        <v>3</v>
      </c>
      <c r="D6627" s="545">
        <v>1.3333333333333333</v>
      </c>
      <c r="E6627" s="545">
        <v>0</v>
      </c>
      <c r="F6627" s="545">
        <v>2.333333333333333</v>
      </c>
      <c r="G6627" s="545">
        <v>0.65</v>
      </c>
      <c r="H6627" s="545">
        <v>0.66666666666666663</v>
      </c>
      <c r="I6627" s="545">
        <v>0</v>
      </c>
      <c r="J6627" s="545">
        <v>0.55952380952380953</v>
      </c>
    </row>
    <row r="6628" spans="1:10">
      <c r="A6628" s="441">
        <v>11327</v>
      </c>
      <c r="B6628" s="441" t="s">
        <v>5612</v>
      </c>
      <c r="C6628" s="545">
        <v>1.5</v>
      </c>
      <c r="D6628" s="545">
        <v>1</v>
      </c>
      <c r="E6628" s="545">
        <v>0</v>
      </c>
      <c r="F6628" s="545">
        <v>1.2142857142857142</v>
      </c>
      <c r="G6628" s="545">
        <v>1.1000000000000001</v>
      </c>
      <c r="H6628" s="545">
        <v>0.66666666666666663</v>
      </c>
      <c r="I6628" s="545">
        <v>0</v>
      </c>
      <c r="J6628" s="545">
        <v>0.88095238095238104</v>
      </c>
    </row>
    <row r="6629" spans="1:10">
      <c r="A6629" s="441">
        <v>3023</v>
      </c>
      <c r="B6629" s="441" t="s">
        <v>5613</v>
      </c>
      <c r="C6629" s="545">
        <v>37.833333333333329</v>
      </c>
      <c r="D6629" s="545">
        <v>12.666666666666666</v>
      </c>
      <c r="E6629" s="545">
        <v>12.333333333333332</v>
      </c>
      <c r="F6629" s="545">
        <v>30.595238095238091</v>
      </c>
      <c r="G6629" s="545">
        <v>11.75</v>
      </c>
      <c r="H6629" s="545">
        <v>12.666666666666666</v>
      </c>
      <c r="I6629" s="545">
        <v>5.333333333333333</v>
      </c>
      <c r="J6629" s="545">
        <v>10.964285714285714</v>
      </c>
    </row>
    <row r="6630" spans="1:10">
      <c r="A6630" s="441">
        <v>3038</v>
      </c>
      <c r="B6630" s="441" t="s">
        <v>5613</v>
      </c>
      <c r="C6630" s="545">
        <v>28.666666666666664</v>
      </c>
      <c r="D6630" s="545">
        <v>10.333333333333332</v>
      </c>
      <c r="E6630" s="545">
        <v>10</v>
      </c>
      <c r="F6630" s="545">
        <v>23.38095238095238</v>
      </c>
      <c r="G6630" s="545">
        <v>12.75</v>
      </c>
      <c r="H6630" s="545">
        <v>12.666666666666666</v>
      </c>
      <c r="I6630" s="545">
        <v>5</v>
      </c>
      <c r="J6630" s="545">
        <v>11.630952380952381</v>
      </c>
    </row>
    <row r="6631" spans="1:10">
      <c r="A6631" s="441">
        <v>2085</v>
      </c>
      <c r="B6631" s="441" t="s">
        <v>5614</v>
      </c>
      <c r="C6631" s="545">
        <v>4.3333333333333339</v>
      </c>
      <c r="D6631" s="545">
        <v>2.3333333333333335</v>
      </c>
      <c r="E6631" s="545">
        <v>7</v>
      </c>
      <c r="F6631" s="545">
        <v>4.4285714285714288</v>
      </c>
      <c r="G6631" s="545">
        <v>3.65</v>
      </c>
      <c r="H6631" s="545">
        <v>1.3333333333333333</v>
      </c>
      <c r="I6631" s="545">
        <v>0</v>
      </c>
      <c r="J6631" s="545">
        <v>2.7976190476190474</v>
      </c>
    </row>
    <row r="6632" spans="1:10">
      <c r="A6632" s="441">
        <v>12399</v>
      </c>
      <c r="B6632" s="441" t="s">
        <v>5615</v>
      </c>
      <c r="C6632" s="545">
        <v>7.3333333333333339</v>
      </c>
      <c r="D6632" s="545">
        <v>3.666666666666667</v>
      </c>
      <c r="E6632" s="545">
        <v>9.3333333333333321</v>
      </c>
      <c r="F6632" s="545">
        <v>7.0952380952380958</v>
      </c>
      <c r="G6632" s="545">
        <v>7.6</v>
      </c>
      <c r="H6632" s="545">
        <v>4.666666666666667</v>
      </c>
      <c r="I6632" s="545">
        <v>5</v>
      </c>
      <c r="J6632" s="545">
        <v>6.8095238095238093</v>
      </c>
    </row>
    <row r="6633" spans="1:10">
      <c r="A6633" s="441">
        <v>12899</v>
      </c>
      <c r="B6633" s="441" t="s">
        <v>5615</v>
      </c>
      <c r="C6633" s="545">
        <v>8.5</v>
      </c>
      <c r="D6633" s="545">
        <v>5</v>
      </c>
      <c r="E6633" s="545">
        <v>5.6666666666666661</v>
      </c>
      <c r="F6633" s="545">
        <v>7.5952380952380949</v>
      </c>
      <c r="G6633" s="545">
        <v>4.6500000000000004</v>
      </c>
      <c r="H6633" s="545">
        <v>3.3333333333333335</v>
      </c>
      <c r="I6633" s="545">
        <v>5.666666666666667</v>
      </c>
      <c r="J6633" s="545">
        <v>4.6071428571428568</v>
      </c>
    </row>
    <row r="6634" spans="1:10">
      <c r="A6634" s="441">
        <v>11535</v>
      </c>
      <c r="B6634" s="441" t="s">
        <v>5616</v>
      </c>
      <c r="C6634" s="545">
        <v>22.666666666666664</v>
      </c>
      <c r="D6634" s="545">
        <v>5.666666666666667</v>
      </c>
      <c r="E6634" s="545">
        <v>13.333333333333332</v>
      </c>
      <c r="F6634" s="545">
        <v>18.904761904761902</v>
      </c>
      <c r="G6634" s="545">
        <v>34.950000000000003</v>
      </c>
      <c r="H6634" s="545">
        <v>5.666666666666667</v>
      </c>
      <c r="I6634" s="545">
        <v>9.3333333333333339</v>
      </c>
      <c r="J6634" s="545">
        <v>27.107142857142858</v>
      </c>
    </row>
    <row r="6635" spans="1:10">
      <c r="A6635" s="441">
        <v>1518</v>
      </c>
      <c r="B6635" s="441" t="s">
        <v>5617</v>
      </c>
      <c r="C6635" s="545">
        <v>9.6666666666666679</v>
      </c>
      <c r="D6635" s="545">
        <v>8</v>
      </c>
      <c r="E6635" s="545">
        <v>4</v>
      </c>
      <c r="F6635" s="545">
        <v>8.6190476190476204</v>
      </c>
      <c r="G6635" s="545">
        <v>1</v>
      </c>
      <c r="H6635" s="545">
        <v>0</v>
      </c>
      <c r="I6635" s="545">
        <v>0</v>
      </c>
      <c r="J6635" s="545">
        <v>0.7142857142857143</v>
      </c>
    </row>
    <row r="6636" spans="1:10">
      <c r="A6636" s="441">
        <v>1510</v>
      </c>
      <c r="B6636" s="441" t="s">
        <v>5618</v>
      </c>
      <c r="C6636" s="545">
        <v>1.3333333333333335</v>
      </c>
      <c r="D6636" s="545">
        <v>1.3333333333333333</v>
      </c>
      <c r="E6636" s="545">
        <v>0.33333333333333331</v>
      </c>
      <c r="F6636" s="545">
        <v>1.1904761904761909</v>
      </c>
      <c r="G6636" s="545">
        <v>1.1000000000000001</v>
      </c>
      <c r="H6636" s="545">
        <v>1</v>
      </c>
      <c r="I6636" s="545">
        <v>0</v>
      </c>
      <c r="J6636" s="545">
        <v>0.9285714285714286</v>
      </c>
    </row>
    <row r="6637" spans="1:10">
      <c r="A6637" s="441">
        <v>1517</v>
      </c>
      <c r="B6637" s="441" t="s">
        <v>5618</v>
      </c>
      <c r="C6637" s="545">
        <v>1</v>
      </c>
      <c r="D6637" s="545">
        <v>0.33333333333333331</v>
      </c>
      <c r="E6637" s="545">
        <v>0.33333333333333331</v>
      </c>
      <c r="F6637" s="545">
        <v>0.80952380952380942</v>
      </c>
      <c r="G6637" s="545">
        <v>1.2</v>
      </c>
      <c r="H6637" s="545">
        <v>0.66666666666666663</v>
      </c>
      <c r="I6637" s="545">
        <v>0</v>
      </c>
      <c r="J6637" s="545">
        <v>0.95238095238095244</v>
      </c>
    </row>
    <row r="6638" spans="1:10">
      <c r="A6638" s="441">
        <v>1511</v>
      </c>
      <c r="B6638" s="441" t="s">
        <v>5619</v>
      </c>
      <c r="C6638" s="545">
        <v>15.666666666666668</v>
      </c>
      <c r="D6638" s="545">
        <v>3.333333333333333</v>
      </c>
      <c r="E6638" s="545">
        <v>3</v>
      </c>
      <c r="F6638" s="545">
        <v>12.095238095238097</v>
      </c>
      <c r="G6638" s="545">
        <v>14.15</v>
      </c>
      <c r="H6638" s="545">
        <v>0.33333333333333331</v>
      </c>
      <c r="I6638" s="545">
        <v>1</v>
      </c>
      <c r="J6638" s="545">
        <v>10.297619047619047</v>
      </c>
    </row>
    <row r="6639" spans="1:10">
      <c r="A6639" s="441">
        <v>4329</v>
      </c>
      <c r="B6639" s="441" t="s">
        <v>5620</v>
      </c>
      <c r="C6639" s="545">
        <v>10.166666666666666</v>
      </c>
      <c r="D6639" s="545">
        <v>6.333333333333333</v>
      </c>
      <c r="E6639" s="545">
        <v>5.666666666666667</v>
      </c>
      <c r="F6639" s="545">
        <v>8.9761904761904763</v>
      </c>
      <c r="G6639" s="545">
        <v>6.95</v>
      </c>
      <c r="H6639" s="545">
        <v>4.333333333333333</v>
      </c>
      <c r="I6639" s="545">
        <v>2</v>
      </c>
      <c r="J6639" s="545">
        <v>5.8690476190476195</v>
      </c>
    </row>
    <row r="6640" spans="1:10">
      <c r="A6640" s="441">
        <v>4386</v>
      </c>
      <c r="B6640" s="441" t="s">
        <v>5620</v>
      </c>
      <c r="C6640" s="545">
        <v>104.5</v>
      </c>
      <c r="D6640" s="545">
        <v>49.666666666666664</v>
      </c>
      <c r="E6640" s="545">
        <v>36</v>
      </c>
      <c r="F6640" s="545">
        <v>86.88095238095238</v>
      </c>
      <c r="G6640" s="545">
        <v>22.75</v>
      </c>
      <c r="H6640" s="545">
        <v>15</v>
      </c>
      <c r="I6640" s="545">
        <v>13.333333333333334</v>
      </c>
      <c r="J6640" s="545">
        <v>20.297619047619047</v>
      </c>
    </row>
    <row r="6641" spans="1:10">
      <c r="A6641" s="441">
        <v>2189</v>
      </c>
      <c r="B6641" s="441" t="s">
        <v>5621</v>
      </c>
      <c r="C6641" s="545">
        <v>192.5</v>
      </c>
      <c r="D6641" s="545">
        <v>131.66666666666669</v>
      </c>
      <c r="E6641" s="545">
        <v>109</v>
      </c>
      <c r="F6641" s="545">
        <v>171.88095238095238</v>
      </c>
      <c r="G6641" s="545">
        <v>103.4</v>
      </c>
      <c r="H6641" s="545">
        <v>84.333333333333329</v>
      </c>
      <c r="I6641" s="545">
        <v>57.333333333333336</v>
      </c>
      <c r="J6641" s="545">
        <v>94.095238095238102</v>
      </c>
    </row>
    <row r="6642" spans="1:10">
      <c r="A6642" s="441">
        <v>11503</v>
      </c>
      <c r="B6642" s="441" t="s">
        <v>5621</v>
      </c>
      <c r="C6642" s="545">
        <v>264.83333333333331</v>
      </c>
      <c r="D6642" s="545">
        <v>173</v>
      </c>
      <c r="E6642" s="545">
        <v>111.33333333333333</v>
      </c>
      <c r="F6642" s="545">
        <v>229.78571428571425</v>
      </c>
      <c r="G6642" s="545">
        <v>143.55000000000001</v>
      </c>
      <c r="H6642" s="545">
        <v>91.666666666666671</v>
      </c>
      <c r="I6642" s="545">
        <v>68</v>
      </c>
      <c r="J6642" s="545">
        <v>125.34523809523809</v>
      </c>
    </row>
    <row r="6643" spans="1:10">
      <c r="A6643" s="441">
        <v>13129</v>
      </c>
      <c r="B6643" s="441" t="s">
        <v>5622</v>
      </c>
      <c r="C6643" s="545">
        <v>5.5</v>
      </c>
      <c r="D6643" s="545">
        <v>10</v>
      </c>
      <c r="E6643" s="545">
        <v>5.666666666666667</v>
      </c>
      <c r="F6643" s="545">
        <v>6.1666666666666661</v>
      </c>
      <c r="G6643" s="545">
        <v>12.75</v>
      </c>
      <c r="H6643" s="545">
        <v>12.666666666666666</v>
      </c>
      <c r="I6643" s="545">
        <v>6.666666666666667</v>
      </c>
      <c r="J6643" s="545">
        <v>11.86904761904762</v>
      </c>
    </row>
    <row r="6644" spans="1:10">
      <c r="A6644" s="441">
        <v>13130</v>
      </c>
      <c r="B6644" s="441" t="s">
        <v>5622</v>
      </c>
      <c r="C6644" s="545">
        <v>0.83333333333333326</v>
      </c>
      <c r="D6644" s="545">
        <v>2.666666666666667</v>
      </c>
      <c r="E6644" s="545">
        <v>1.3333333333333333</v>
      </c>
      <c r="F6644" s="545">
        <v>1.1666666666666665</v>
      </c>
      <c r="G6644" s="545">
        <v>7</v>
      </c>
      <c r="H6644" s="545">
        <v>6.666666666666667</v>
      </c>
      <c r="I6644" s="545">
        <v>3.6666666666666665</v>
      </c>
      <c r="J6644" s="545">
        <v>6.4761904761904754</v>
      </c>
    </row>
    <row r="6645" spans="1:10">
      <c r="A6645" s="441">
        <v>3071</v>
      </c>
      <c r="B6645" s="441" t="s">
        <v>5623</v>
      </c>
      <c r="C6645" s="545">
        <v>24.166666666666668</v>
      </c>
      <c r="D6645" s="545">
        <v>15.666666666666668</v>
      </c>
      <c r="E6645" s="545">
        <v>10.333333333333332</v>
      </c>
      <c r="F6645" s="545">
        <v>20.976190476190478</v>
      </c>
      <c r="G6645" s="545">
        <v>6.75</v>
      </c>
      <c r="H6645" s="545">
        <v>4</v>
      </c>
      <c r="I6645" s="545">
        <v>2.3333333333333335</v>
      </c>
      <c r="J6645" s="545">
        <v>5.7261904761904763</v>
      </c>
    </row>
    <row r="6646" spans="1:10">
      <c r="A6646" s="441">
        <v>3074</v>
      </c>
      <c r="B6646" s="441" t="s">
        <v>5623</v>
      </c>
      <c r="C6646" s="545">
        <v>17</v>
      </c>
      <c r="D6646" s="545">
        <v>15</v>
      </c>
      <c r="E6646" s="545">
        <v>11</v>
      </c>
      <c r="F6646" s="545">
        <v>15.857142857142858</v>
      </c>
      <c r="G6646" s="545">
        <v>8.8000000000000007</v>
      </c>
      <c r="H6646" s="545">
        <v>9.6666666666666661</v>
      </c>
      <c r="I6646" s="545">
        <v>3.6666666666666665</v>
      </c>
      <c r="J6646" s="545">
        <v>8.1904761904761898</v>
      </c>
    </row>
    <row r="6647" spans="1:10">
      <c r="A6647" s="441">
        <v>2180</v>
      </c>
      <c r="B6647" s="441" t="s">
        <v>5624</v>
      </c>
      <c r="C6647" s="545">
        <v>87.5</v>
      </c>
      <c r="D6647" s="545">
        <v>66.666666666666671</v>
      </c>
      <c r="E6647" s="545">
        <v>50</v>
      </c>
      <c r="F6647" s="545">
        <v>79.166666666666671</v>
      </c>
      <c r="G6647" s="545">
        <v>64.8</v>
      </c>
      <c r="H6647" s="545">
        <v>59.333333333333336</v>
      </c>
      <c r="I6647" s="545">
        <v>31</v>
      </c>
      <c r="J6647" s="545">
        <v>59.19047619047619</v>
      </c>
    </row>
    <row r="6648" spans="1:10">
      <c r="A6648" s="441">
        <v>2185</v>
      </c>
      <c r="B6648" s="441" t="s">
        <v>5624</v>
      </c>
      <c r="C6648" s="545">
        <v>74.166666666666671</v>
      </c>
      <c r="D6648" s="545">
        <v>52.333333333333336</v>
      </c>
      <c r="E6648" s="545">
        <v>56.666666666666671</v>
      </c>
      <c r="F6648" s="545">
        <v>68.547619047619051</v>
      </c>
      <c r="G6648" s="545">
        <v>49.35</v>
      </c>
      <c r="H6648" s="545">
        <v>45</v>
      </c>
      <c r="I6648" s="545">
        <v>27</v>
      </c>
      <c r="J6648" s="545">
        <v>45.535714285714285</v>
      </c>
    </row>
    <row r="6649" spans="1:10">
      <c r="A6649" s="441">
        <v>4336</v>
      </c>
      <c r="B6649" s="441" t="s">
        <v>5625</v>
      </c>
      <c r="C6649" s="545">
        <v>415</v>
      </c>
      <c r="D6649" s="545">
        <v>271.33333333333331</v>
      </c>
      <c r="E6649" s="545">
        <v>219.66666666666666</v>
      </c>
      <c r="F6649" s="545">
        <v>366.57142857142856</v>
      </c>
      <c r="G6649" s="545">
        <v>265</v>
      </c>
      <c r="H6649" s="545">
        <v>205</v>
      </c>
      <c r="I6649" s="545">
        <v>140.33333333333334</v>
      </c>
      <c r="J6649" s="545">
        <v>238.61904761904762</v>
      </c>
    </row>
    <row r="6650" spans="1:10">
      <c r="A6650" s="441">
        <v>4351</v>
      </c>
      <c r="B6650" s="441" t="s">
        <v>5625</v>
      </c>
      <c r="C6650" s="545">
        <v>404.33333333333337</v>
      </c>
      <c r="D6650" s="545">
        <v>264.66666666666663</v>
      </c>
      <c r="E6650" s="545">
        <v>220</v>
      </c>
      <c r="F6650" s="545">
        <v>358.04761904761909</v>
      </c>
      <c r="G6650" s="545">
        <v>282.25</v>
      </c>
      <c r="H6650" s="545">
        <v>215</v>
      </c>
      <c r="I6650" s="545">
        <v>153.66666666666666</v>
      </c>
      <c r="J6650" s="545">
        <v>254.27380952380955</v>
      </c>
    </row>
    <row r="6651" spans="1:10">
      <c r="A6651" s="441">
        <v>12156</v>
      </c>
      <c r="B6651" s="441" t="s">
        <v>5626</v>
      </c>
      <c r="C6651" s="545">
        <v>21</v>
      </c>
      <c r="D6651" s="545">
        <v>5</v>
      </c>
      <c r="E6651" s="545">
        <v>4.333333333333333</v>
      </c>
      <c r="F6651" s="545">
        <v>16.333333333333332</v>
      </c>
      <c r="G6651" s="545">
        <v>10.35</v>
      </c>
      <c r="H6651" s="545">
        <v>5.333333333333333</v>
      </c>
      <c r="I6651" s="545">
        <v>1.3333333333333333</v>
      </c>
      <c r="J6651" s="545">
        <v>8.3452380952380967</v>
      </c>
    </row>
    <row r="6652" spans="1:10">
      <c r="A6652" s="441">
        <v>2173</v>
      </c>
      <c r="B6652" s="441" t="s">
        <v>5627</v>
      </c>
      <c r="C6652" s="545">
        <v>137</v>
      </c>
      <c r="D6652" s="545">
        <v>98.666666666666671</v>
      </c>
      <c r="E6652" s="545">
        <v>83.333333333333329</v>
      </c>
      <c r="F6652" s="545">
        <v>123.85714285714286</v>
      </c>
      <c r="G6652" s="545">
        <v>71.8</v>
      </c>
      <c r="H6652" s="545">
        <v>66.333333333333329</v>
      </c>
      <c r="I6652" s="545">
        <v>43.333333333333336</v>
      </c>
      <c r="J6652" s="545">
        <v>66.952380952380949</v>
      </c>
    </row>
    <row r="6653" spans="1:10">
      <c r="A6653" s="441">
        <v>2192</v>
      </c>
      <c r="B6653" s="441" t="s">
        <v>5627</v>
      </c>
      <c r="C6653" s="545">
        <v>281</v>
      </c>
      <c r="D6653" s="545">
        <v>179.33333333333334</v>
      </c>
      <c r="E6653" s="545">
        <v>178.33333333333331</v>
      </c>
      <c r="F6653" s="545">
        <v>251.8095238095238</v>
      </c>
      <c r="G6653" s="545">
        <v>132.44999999999999</v>
      </c>
      <c r="H6653" s="545">
        <v>100.66666666666667</v>
      </c>
      <c r="I6653" s="545">
        <v>81</v>
      </c>
      <c r="J6653" s="545">
        <v>120.55952380952381</v>
      </c>
    </row>
    <row r="6654" spans="1:10">
      <c r="A6654" s="441">
        <v>12139</v>
      </c>
      <c r="B6654" s="441" t="s">
        <v>5628</v>
      </c>
      <c r="C6654" s="545">
        <v>10.166666666666666</v>
      </c>
      <c r="D6654" s="545">
        <v>9</v>
      </c>
      <c r="E6654" s="545">
        <v>8.6666666666666661</v>
      </c>
      <c r="F6654" s="545">
        <v>9.7857142857142865</v>
      </c>
      <c r="G6654" s="545">
        <v>7.45</v>
      </c>
      <c r="H6654" s="545">
        <v>9.3333333333333339</v>
      </c>
      <c r="I6654" s="545">
        <v>4.333333333333333</v>
      </c>
      <c r="J6654" s="545">
        <v>7.2738095238095246</v>
      </c>
    </row>
    <row r="6655" spans="1:10">
      <c r="A6655" s="441">
        <v>12140</v>
      </c>
      <c r="B6655" s="441" t="s">
        <v>5628</v>
      </c>
      <c r="C6655" s="545">
        <v>8.8333333333333339</v>
      </c>
      <c r="D6655" s="545">
        <v>5</v>
      </c>
      <c r="E6655" s="545">
        <v>6.333333333333333</v>
      </c>
      <c r="F6655" s="545">
        <v>7.9285714285714297</v>
      </c>
      <c r="G6655" s="545">
        <v>6.85</v>
      </c>
      <c r="H6655" s="545">
        <v>7.666666666666667</v>
      </c>
      <c r="I6655" s="545">
        <v>3.6666666666666665</v>
      </c>
      <c r="J6655" s="545">
        <v>6.511904761904761</v>
      </c>
    </row>
    <row r="6656" spans="1:10">
      <c r="A6656" s="441">
        <v>2175</v>
      </c>
      <c r="B6656" s="441" t="s">
        <v>5629</v>
      </c>
      <c r="C6656" s="545">
        <v>174</v>
      </c>
      <c r="D6656" s="545">
        <v>128.66666666666666</v>
      </c>
      <c r="E6656" s="545">
        <v>98.666666666666657</v>
      </c>
      <c r="F6656" s="545">
        <v>156.76190476190476</v>
      </c>
      <c r="G6656" s="545">
        <v>128.85</v>
      </c>
      <c r="H6656" s="545">
        <v>75.666666666666671</v>
      </c>
      <c r="I6656" s="545">
        <v>63.666666666666664</v>
      </c>
      <c r="J6656" s="545">
        <v>111.94047619047618</v>
      </c>
    </row>
    <row r="6657" spans="1:10">
      <c r="A6657" s="441">
        <v>2176</v>
      </c>
      <c r="B6657" s="441" t="s">
        <v>5629</v>
      </c>
      <c r="C6657" s="545">
        <v>191.83333333333334</v>
      </c>
      <c r="D6657" s="545">
        <v>129.66666666666669</v>
      </c>
      <c r="E6657" s="545">
        <v>79.666666666666671</v>
      </c>
      <c r="F6657" s="545">
        <v>166.92857142857147</v>
      </c>
      <c r="G6657" s="545">
        <v>151.15</v>
      </c>
      <c r="H6657" s="545">
        <v>87.666666666666671</v>
      </c>
      <c r="I6657" s="545">
        <v>66</v>
      </c>
      <c r="J6657" s="545">
        <v>129.91666666666666</v>
      </c>
    </row>
    <row r="6658" spans="1:10">
      <c r="A6658" s="441">
        <v>2190</v>
      </c>
      <c r="B6658" s="441" t="s">
        <v>5629</v>
      </c>
      <c r="C6658" s="545">
        <v>123.33333333333334</v>
      </c>
      <c r="D6658" s="545">
        <v>99.333333333333343</v>
      </c>
      <c r="E6658" s="545">
        <v>55</v>
      </c>
      <c r="F6658" s="545">
        <v>110.14285714285715</v>
      </c>
      <c r="G6658" s="545">
        <v>65.349999999999994</v>
      </c>
      <c r="H6658" s="545">
        <v>50.333333333333336</v>
      </c>
      <c r="I6658" s="545">
        <v>27</v>
      </c>
      <c r="J6658" s="545">
        <v>57.726190476190474</v>
      </c>
    </row>
    <row r="6659" spans="1:10">
      <c r="A6659" s="441">
        <v>3064</v>
      </c>
      <c r="B6659" s="441" t="s">
        <v>5630</v>
      </c>
      <c r="C6659" s="545">
        <v>156.16666666666669</v>
      </c>
      <c r="D6659" s="545">
        <v>134</v>
      </c>
      <c r="E6659" s="545">
        <v>91.666666666666671</v>
      </c>
      <c r="F6659" s="545">
        <v>143.78571428571431</v>
      </c>
      <c r="G6659" s="545">
        <v>145.6</v>
      </c>
      <c r="H6659" s="545">
        <v>123</v>
      </c>
      <c r="I6659" s="545">
        <v>97.333333333333329</v>
      </c>
      <c r="J6659" s="545">
        <v>135.47619047619048</v>
      </c>
    </row>
    <row r="6660" spans="1:10">
      <c r="A6660" s="441">
        <v>3081</v>
      </c>
      <c r="B6660" s="441" t="s">
        <v>5630</v>
      </c>
      <c r="C6660" s="545">
        <v>164.5</v>
      </c>
      <c r="D6660" s="545">
        <v>117</v>
      </c>
      <c r="E6660" s="545">
        <v>100.66666666666666</v>
      </c>
      <c r="F6660" s="545">
        <v>148.5952380952381</v>
      </c>
      <c r="G6660" s="545">
        <v>93.25</v>
      </c>
      <c r="H6660" s="545">
        <v>90.666666666666671</v>
      </c>
      <c r="I6660" s="545">
        <v>67</v>
      </c>
      <c r="J6660" s="545">
        <v>89.13095238095238</v>
      </c>
    </row>
    <row r="6661" spans="1:10">
      <c r="A6661" s="441">
        <v>12143</v>
      </c>
      <c r="B6661" s="441" t="s">
        <v>5631</v>
      </c>
      <c r="C6661" s="545">
        <v>39.666666666666671</v>
      </c>
      <c r="D6661" s="545">
        <v>21.333333333333332</v>
      </c>
      <c r="E6661" s="545">
        <v>16.333333333333332</v>
      </c>
      <c r="F6661" s="545">
        <v>33.714285714285722</v>
      </c>
      <c r="G6661" s="545">
        <v>16.7</v>
      </c>
      <c r="H6661" s="545">
        <v>11.666666666666666</v>
      </c>
      <c r="I6661" s="545">
        <v>6.666666666666667</v>
      </c>
      <c r="J6661" s="545">
        <v>14.547619047619049</v>
      </c>
    </row>
    <row r="6662" spans="1:10">
      <c r="A6662" s="441">
        <v>12144</v>
      </c>
      <c r="B6662" s="441" t="s">
        <v>5631</v>
      </c>
      <c r="C6662" s="545">
        <v>41.833333333333329</v>
      </c>
      <c r="D6662" s="545">
        <v>16.666666666666668</v>
      </c>
      <c r="E6662" s="545">
        <v>20.666666666666668</v>
      </c>
      <c r="F6662" s="545">
        <v>35.214285714285708</v>
      </c>
      <c r="G6662" s="545">
        <v>16.3</v>
      </c>
      <c r="H6662" s="545">
        <v>15</v>
      </c>
      <c r="I6662" s="545">
        <v>10</v>
      </c>
      <c r="J6662" s="545">
        <v>15.214285714285714</v>
      </c>
    </row>
    <row r="6663" spans="1:10">
      <c r="A6663" s="441">
        <v>4384</v>
      </c>
      <c r="B6663" s="441" t="s">
        <v>5632</v>
      </c>
      <c r="C6663" s="545">
        <v>11.666666666666666</v>
      </c>
      <c r="D6663" s="545">
        <v>10</v>
      </c>
      <c r="E6663" s="545">
        <v>9.3333333333333321</v>
      </c>
      <c r="F6663" s="545">
        <v>11.095238095238093</v>
      </c>
      <c r="G6663" s="545">
        <v>9.5500000000000007</v>
      </c>
      <c r="H6663" s="545">
        <v>3</v>
      </c>
      <c r="I6663" s="545">
        <v>5</v>
      </c>
      <c r="J6663" s="545">
        <v>7.9642857142857144</v>
      </c>
    </row>
    <row r="6664" spans="1:10">
      <c r="A6664" s="441">
        <v>11947</v>
      </c>
      <c r="B6664" s="441" t="s">
        <v>5632</v>
      </c>
      <c r="C6664" s="545">
        <v>6.5</v>
      </c>
      <c r="D6664" s="545">
        <v>2.6666666666666665</v>
      </c>
      <c r="E6664" s="545">
        <v>4.333333333333333</v>
      </c>
      <c r="F6664" s="545">
        <v>5.6428571428571432</v>
      </c>
      <c r="G6664" s="545">
        <v>12.25</v>
      </c>
      <c r="H6664" s="545">
        <v>2.3333333333333335</v>
      </c>
      <c r="I6664" s="545">
        <v>1</v>
      </c>
      <c r="J6664" s="545">
        <v>9.2261904761904781</v>
      </c>
    </row>
    <row r="6665" spans="1:10">
      <c r="A6665" s="441">
        <v>9745</v>
      </c>
      <c r="B6665" s="441" t="s">
        <v>5633</v>
      </c>
      <c r="C6665" s="545">
        <v>5.3333333333333339</v>
      </c>
      <c r="D6665" s="545">
        <v>2</v>
      </c>
      <c r="E6665" s="545">
        <v>1.6666666666666665</v>
      </c>
      <c r="F6665" s="545">
        <v>4.3333333333333339</v>
      </c>
      <c r="G6665" s="545">
        <v>4</v>
      </c>
      <c r="H6665" s="545">
        <v>5</v>
      </c>
      <c r="I6665" s="545">
        <v>2.6666666666666665</v>
      </c>
      <c r="J6665" s="545">
        <v>3.9523809523809526</v>
      </c>
    </row>
    <row r="6666" spans="1:10">
      <c r="A6666" s="441">
        <v>3069</v>
      </c>
      <c r="B6666" s="441" t="s">
        <v>5634</v>
      </c>
      <c r="C6666" s="545">
        <v>18.833333333333332</v>
      </c>
      <c r="D6666" s="545">
        <v>8.6666666666666661</v>
      </c>
      <c r="E6666" s="545">
        <v>9.6666666666666679</v>
      </c>
      <c r="F6666" s="545">
        <v>16.071428571428573</v>
      </c>
      <c r="G6666" s="545">
        <v>8.4499999999999993</v>
      </c>
      <c r="H6666" s="545">
        <v>11.666666666666666</v>
      </c>
      <c r="I6666" s="545">
        <v>5.666666666666667</v>
      </c>
      <c r="J6666" s="545">
        <v>8.511904761904761</v>
      </c>
    </row>
    <row r="6667" spans="1:10">
      <c r="A6667" s="441">
        <v>3076</v>
      </c>
      <c r="B6667" s="441" t="s">
        <v>5634</v>
      </c>
      <c r="C6667" s="545">
        <v>18.333333333333336</v>
      </c>
      <c r="D6667" s="545">
        <v>13.666666666666668</v>
      </c>
      <c r="E6667" s="545">
        <v>8.6666666666666661</v>
      </c>
      <c r="F6667" s="545">
        <v>16.285714285714288</v>
      </c>
      <c r="G6667" s="545">
        <v>10.75</v>
      </c>
      <c r="H6667" s="545">
        <v>5.333333333333333</v>
      </c>
      <c r="I6667" s="545">
        <v>7.333333333333333</v>
      </c>
      <c r="J6667" s="545">
        <v>9.488095238095239</v>
      </c>
    </row>
    <row r="6668" spans="1:10">
      <c r="A6668" s="441">
        <v>4334</v>
      </c>
      <c r="B6668" s="441" t="s">
        <v>5635</v>
      </c>
      <c r="C6668" s="545">
        <v>9.6666666666666661</v>
      </c>
      <c r="D6668" s="545">
        <v>3.3333333333333335</v>
      </c>
      <c r="E6668" s="545">
        <v>17.333333333333332</v>
      </c>
      <c r="F6668" s="545">
        <v>9.8571428571428577</v>
      </c>
      <c r="G6668" s="545">
        <v>9.1</v>
      </c>
      <c r="H6668" s="545">
        <v>15.666666666666666</v>
      </c>
      <c r="I6668" s="545">
        <v>9</v>
      </c>
      <c r="J6668" s="545">
        <v>10.023809523809522</v>
      </c>
    </row>
    <row r="6669" spans="1:10">
      <c r="A6669" s="441">
        <v>4374</v>
      </c>
      <c r="B6669" s="441" t="s">
        <v>5635</v>
      </c>
      <c r="C6669" s="545">
        <v>7.5</v>
      </c>
      <c r="D6669" s="545">
        <v>7.6666666666666661</v>
      </c>
      <c r="E6669" s="545">
        <v>6</v>
      </c>
      <c r="F6669" s="545">
        <v>7.3095238095238093</v>
      </c>
      <c r="G6669" s="545">
        <v>5.85</v>
      </c>
      <c r="H6669" s="545">
        <v>9.3333333333333339</v>
      </c>
      <c r="I6669" s="545">
        <v>4</v>
      </c>
      <c r="J6669" s="545">
        <v>6.0833333333333339</v>
      </c>
    </row>
    <row r="6670" spans="1:10">
      <c r="A6670" s="441">
        <v>4381</v>
      </c>
      <c r="B6670" s="441" t="s">
        <v>5636</v>
      </c>
      <c r="C6670" s="545">
        <v>57.833333333333336</v>
      </c>
      <c r="D6670" s="545">
        <v>38.333333333333336</v>
      </c>
      <c r="E6670" s="545">
        <v>40</v>
      </c>
      <c r="F6670" s="545">
        <v>52.5</v>
      </c>
      <c r="G6670" s="545">
        <v>53.05</v>
      </c>
      <c r="H6670" s="545">
        <v>45.666666666666664</v>
      </c>
      <c r="I6670" s="545">
        <v>35</v>
      </c>
      <c r="J6670" s="545">
        <v>49.416666666666671</v>
      </c>
    </row>
    <row r="6671" spans="1:10">
      <c r="A6671" s="441">
        <v>11950</v>
      </c>
      <c r="B6671" s="441" t="s">
        <v>5636</v>
      </c>
      <c r="C6671" s="545">
        <v>58.666666666666664</v>
      </c>
      <c r="D6671" s="545">
        <v>40.666666666666664</v>
      </c>
      <c r="E6671" s="545">
        <v>28.333333333333332</v>
      </c>
      <c r="F6671" s="545">
        <v>51.761904761904759</v>
      </c>
      <c r="G6671" s="545">
        <v>49.05</v>
      </c>
      <c r="H6671" s="545">
        <v>34.333333333333336</v>
      </c>
      <c r="I6671" s="545">
        <v>29.666666666666668</v>
      </c>
      <c r="J6671" s="545">
        <v>44.178571428571431</v>
      </c>
    </row>
    <row r="6672" spans="1:10">
      <c r="A6672" s="441">
        <v>9746</v>
      </c>
      <c r="B6672" s="441" t="s">
        <v>5637</v>
      </c>
      <c r="C6672" s="545">
        <v>14</v>
      </c>
      <c r="D6672" s="545">
        <v>4.333333333333333</v>
      </c>
      <c r="E6672" s="545">
        <v>7.6666666666666661</v>
      </c>
      <c r="F6672" s="545">
        <v>11.714285714285714</v>
      </c>
      <c r="G6672" s="545">
        <v>11.55</v>
      </c>
      <c r="H6672" s="545">
        <v>4.333333333333333</v>
      </c>
      <c r="I6672" s="545">
        <v>5.333333333333333</v>
      </c>
      <c r="J6672" s="545">
        <v>9.6309523809523814</v>
      </c>
    </row>
    <row r="6673" spans="1:10">
      <c r="A6673" s="441">
        <v>9750</v>
      </c>
      <c r="B6673" s="441" t="s">
        <v>5637</v>
      </c>
      <c r="C6673" s="545">
        <v>7.3333333333333339</v>
      </c>
      <c r="D6673" s="545">
        <v>6.333333333333333</v>
      </c>
      <c r="E6673" s="545">
        <v>6.333333333333333</v>
      </c>
      <c r="F6673" s="545">
        <v>7.0476190476190492</v>
      </c>
      <c r="G6673" s="545">
        <v>6.25</v>
      </c>
      <c r="H6673" s="545">
        <v>2.6666666666666665</v>
      </c>
      <c r="I6673" s="545">
        <v>7.333333333333333</v>
      </c>
      <c r="J6673" s="545">
        <v>5.8928571428571432</v>
      </c>
    </row>
    <row r="6674" spans="1:10">
      <c r="A6674" s="441">
        <v>2181</v>
      </c>
      <c r="B6674" s="441" t="s">
        <v>5638</v>
      </c>
      <c r="C6674" s="545">
        <v>58.333333333333329</v>
      </c>
      <c r="D6674" s="545">
        <v>65.666666666666671</v>
      </c>
      <c r="E6674" s="545">
        <v>37.666666666666664</v>
      </c>
      <c r="F6674" s="545">
        <v>56.428571428571431</v>
      </c>
      <c r="G6674" s="545">
        <v>43.25</v>
      </c>
      <c r="H6674" s="545">
        <v>31.333333333333332</v>
      </c>
      <c r="I6674" s="545">
        <v>31</v>
      </c>
      <c r="J6674" s="545">
        <v>39.797619047619051</v>
      </c>
    </row>
    <row r="6675" spans="1:10">
      <c r="A6675" s="441">
        <v>2184</v>
      </c>
      <c r="B6675" s="441" t="s">
        <v>5638</v>
      </c>
      <c r="C6675" s="545">
        <v>90.333333333333329</v>
      </c>
      <c r="D6675" s="545">
        <v>68.333333333333329</v>
      </c>
      <c r="E6675" s="545">
        <v>50.666666666666671</v>
      </c>
      <c r="F6675" s="545">
        <v>81.523809523809518</v>
      </c>
      <c r="G6675" s="545">
        <v>48.3</v>
      </c>
      <c r="H6675" s="545">
        <v>41.666666666666664</v>
      </c>
      <c r="I6675" s="545">
        <v>31.333333333333332</v>
      </c>
      <c r="J6675" s="545">
        <v>44.928571428571431</v>
      </c>
    </row>
    <row r="6676" spans="1:10">
      <c r="A6676" s="441">
        <v>2179</v>
      </c>
      <c r="B6676" s="441" t="s">
        <v>5639</v>
      </c>
      <c r="C6676" s="545">
        <v>42.5</v>
      </c>
      <c r="D6676" s="545">
        <v>40.333333333333336</v>
      </c>
      <c r="E6676" s="545">
        <v>29.333333333333332</v>
      </c>
      <c r="F6676" s="545">
        <v>40.30952380952381</v>
      </c>
      <c r="G6676" s="545">
        <v>27.2</v>
      </c>
      <c r="H6676" s="545">
        <v>28.666666666666668</v>
      </c>
      <c r="I6676" s="545">
        <v>21.333333333333332</v>
      </c>
      <c r="J6676" s="545">
        <v>26.571428571428573</v>
      </c>
    </row>
    <row r="6677" spans="1:10">
      <c r="A6677" s="441">
        <v>2186</v>
      </c>
      <c r="B6677" s="441" t="s">
        <v>5639</v>
      </c>
      <c r="C6677" s="545">
        <v>87.333333333333329</v>
      </c>
      <c r="D6677" s="545">
        <v>83.666666666666657</v>
      </c>
      <c r="E6677" s="545">
        <v>57</v>
      </c>
      <c r="F6677" s="545">
        <v>82.476190476190467</v>
      </c>
      <c r="G6677" s="545">
        <v>66.849999999999994</v>
      </c>
      <c r="H6677" s="545">
        <v>58.666666666666664</v>
      </c>
      <c r="I6677" s="545">
        <v>38.333333333333336</v>
      </c>
      <c r="J6677" s="545">
        <v>61.607142857142854</v>
      </c>
    </row>
    <row r="6678" spans="1:10">
      <c r="A6678" s="441">
        <v>4335</v>
      </c>
      <c r="B6678" s="441" t="s">
        <v>5640</v>
      </c>
      <c r="C6678" s="545">
        <v>12</v>
      </c>
      <c r="D6678" s="545">
        <v>3</v>
      </c>
      <c r="E6678" s="545">
        <v>3</v>
      </c>
      <c r="F6678" s="545">
        <v>9.4285714285714288</v>
      </c>
      <c r="G6678" s="545">
        <v>3.6</v>
      </c>
      <c r="H6678" s="545">
        <v>3</v>
      </c>
      <c r="I6678" s="545">
        <v>2</v>
      </c>
      <c r="J6678" s="545">
        <v>3.2857142857142856</v>
      </c>
    </row>
    <row r="6679" spans="1:10">
      <c r="A6679" s="441">
        <v>4373</v>
      </c>
      <c r="B6679" s="441" t="s">
        <v>5640</v>
      </c>
      <c r="C6679" s="545">
        <v>15.833333333333334</v>
      </c>
      <c r="D6679" s="545">
        <v>12</v>
      </c>
      <c r="E6679" s="545">
        <v>9</v>
      </c>
      <c r="F6679" s="545">
        <v>14.30952380952381</v>
      </c>
      <c r="G6679" s="545">
        <v>7.5</v>
      </c>
      <c r="H6679" s="545">
        <v>5</v>
      </c>
      <c r="I6679" s="545">
        <v>4.333333333333333</v>
      </c>
      <c r="J6679" s="545">
        <v>6.6904761904761907</v>
      </c>
    </row>
    <row r="6680" spans="1:10">
      <c r="A6680" s="441">
        <v>3084</v>
      </c>
      <c r="B6680" s="441" t="s">
        <v>5641</v>
      </c>
      <c r="C6680" s="545">
        <v>35</v>
      </c>
      <c r="D6680" s="545">
        <v>35</v>
      </c>
      <c r="E6680" s="545">
        <v>25.666666666666668</v>
      </c>
      <c r="F6680" s="545">
        <v>33.666666666666664</v>
      </c>
      <c r="G6680" s="545">
        <v>23.45</v>
      </c>
      <c r="H6680" s="545">
        <v>30.666666666666668</v>
      </c>
      <c r="I6680" s="545">
        <v>26.666666666666668</v>
      </c>
      <c r="J6680" s="545">
        <v>24.940476190476186</v>
      </c>
    </row>
    <row r="6681" spans="1:10">
      <c r="A6681" s="441">
        <v>9976</v>
      </c>
      <c r="B6681" s="441" t="s">
        <v>5642</v>
      </c>
      <c r="C6681" s="545">
        <v>221.66666666666666</v>
      </c>
      <c r="D6681" s="545">
        <v>167.33333333333334</v>
      </c>
      <c r="E6681" s="545">
        <v>121</v>
      </c>
      <c r="F6681" s="545">
        <v>199.52380952380949</v>
      </c>
      <c r="G6681" s="545">
        <v>150.69999999999999</v>
      </c>
      <c r="H6681" s="545">
        <v>132</v>
      </c>
      <c r="I6681" s="545">
        <v>83</v>
      </c>
      <c r="J6681" s="545">
        <v>138.35714285714286</v>
      </c>
    </row>
    <row r="6682" spans="1:10">
      <c r="A6682" s="441">
        <v>9977</v>
      </c>
      <c r="B6682" s="441" t="s">
        <v>5642</v>
      </c>
      <c r="C6682" s="545">
        <v>184.66666666666666</v>
      </c>
      <c r="D6682" s="545">
        <v>154</v>
      </c>
      <c r="E6682" s="545">
        <v>88</v>
      </c>
      <c r="F6682" s="545">
        <v>166.47619047619045</v>
      </c>
      <c r="G6682" s="545">
        <v>127.45</v>
      </c>
      <c r="H6682" s="545">
        <v>109.66666666666667</v>
      </c>
      <c r="I6682" s="545">
        <v>62</v>
      </c>
      <c r="J6682" s="545">
        <v>115.55952380952381</v>
      </c>
    </row>
    <row r="6683" spans="1:10">
      <c r="A6683" s="441">
        <v>10282</v>
      </c>
      <c r="B6683" s="441" t="s">
        <v>5643</v>
      </c>
      <c r="C6683" s="545">
        <v>14.666666666666666</v>
      </c>
      <c r="D6683" s="545">
        <v>9</v>
      </c>
      <c r="E6683" s="545">
        <v>7</v>
      </c>
      <c r="F6683" s="545">
        <v>12.761904761904761</v>
      </c>
      <c r="G6683" s="545">
        <v>14.8</v>
      </c>
      <c r="H6683" s="545">
        <v>15.666666666666666</v>
      </c>
      <c r="I6683" s="545">
        <v>10</v>
      </c>
      <c r="J6683" s="545">
        <v>14.238095238095239</v>
      </c>
    </row>
    <row r="6684" spans="1:10">
      <c r="A6684" s="441">
        <v>11481</v>
      </c>
      <c r="B6684" s="441" t="s">
        <v>5643</v>
      </c>
      <c r="C6684" s="545">
        <v>7</v>
      </c>
      <c r="D6684" s="545">
        <v>5</v>
      </c>
      <c r="E6684" s="545">
        <v>5</v>
      </c>
      <c r="F6684" s="545">
        <v>6.4285714285714288</v>
      </c>
      <c r="G6684" s="545">
        <v>13.25</v>
      </c>
      <c r="H6684" s="545">
        <v>10.333333333333334</v>
      </c>
      <c r="I6684" s="545">
        <v>11.333333333333334</v>
      </c>
      <c r="J6684" s="545">
        <v>12.559523809523808</v>
      </c>
    </row>
    <row r="6685" spans="1:10">
      <c r="A6685" s="441">
        <v>12141</v>
      </c>
      <c r="B6685" s="441" t="s">
        <v>5644</v>
      </c>
      <c r="C6685" s="545">
        <v>7.5</v>
      </c>
      <c r="D6685" s="545">
        <v>4.333333333333333</v>
      </c>
      <c r="E6685" s="545">
        <v>5.333333333333333</v>
      </c>
      <c r="F6685" s="545">
        <v>6.738095238095239</v>
      </c>
      <c r="G6685" s="545">
        <v>4.95</v>
      </c>
      <c r="H6685" s="545">
        <v>5</v>
      </c>
      <c r="I6685" s="545">
        <v>2</v>
      </c>
      <c r="J6685" s="545">
        <v>4.5357142857142856</v>
      </c>
    </row>
    <row r="6686" spans="1:10">
      <c r="A6686" s="441">
        <v>12142</v>
      </c>
      <c r="B6686" s="441" t="s">
        <v>5644</v>
      </c>
      <c r="C6686" s="545">
        <v>4.833333333333333</v>
      </c>
      <c r="D6686" s="545">
        <v>3.3333333333333335</v>
      </c>
      <c r="E6686" s="545">
        <v>2.3333333333333335</v>
      </c>
      <c r="F6686" s="545">
        <v>4.261904761904761</v>
      </c>
      <c r="G6686" s="545">
        <v>5.65</v>
      </c>
      <c r="H6686" s="545">
        <v>3.6666666666666665</v>
      </c>
      <c r="I6686" s="545">
        <v>3.6666666666666665</v>
      </c>
      <c r="J6686" s="545">
        <v>5.0833333333333339</v>
      </c>
    </row>
    <row r="6687" spans="1:10">
      <c r="A6687" s="441">
        <v>2177</v>
      </c>
      <c r="B6687" s="441" t="s">
        <v>5645</v>
      </c>
      <c r="C6687" s="545">
        <v>180.5</v>
      </c>
      <c r="D6687" s="545">
        <v>114</v>
      </c>
      <c r="E6687" s="545">
        <v>80.333333333333343</v>
      </c>
      <c r="F6687" s="545">
        <v>156.69047619047618</v>
      </c>
      <c r="G6687" s="545">
        <v>112.5</v>
      </c>
      <c r="H6687" s="545">
        <v>76</v>
      </c>
      <c r="I6687" s="545">
        <v>49.666666666666664</v>
      </c>
      <c r="J6687" s="545">
        <v>98.30952380952381</v>
      </c>
    </row>
    <row r="6688" spans="1:10">
      <c r="A6688" s="441">
        <v>2188</v>
      </c>
      <c r="B6688" s="441" t="s">
        <v>5645</v>
      </c>
      <c r="C6688" s="545">
        <v>55.5</v>
      </c>
      <c r="D6688" s="545">
        <v>27.666666666666668</v>
      </c>
      <c r="E6688" s="545">
        <v>19.666666666666668</v>
      </c>
      <c r="F6688" s="545">
        <v>46.404761904761912</v>
      </c>
      <c r="G6688" s="545">
        <v>57.65</v>
      </c>
      <c r="H6688" s="545">
        <v>27</v>
      </c>
      <c r="I6688" s="545">
        <v>13.333333333333334</v>
      </c>
      <c r="J6688" s="545">
        <v>46.94047619047619</v>
      </c>
    </row>
    <row r="6689" spans="1:10">
      <c r="A6689" s="441">
        <v>3067</v>
      </c>
      <c r="B6689" s="441" t="s">
        <v>5646</v>
      </c>
      <c r="C6689" s="545">
        <v>46.5</v>
      </c>
      <c r="D6689" s="545">
        <v>23</v>
      </c>
      <c r="E6689" s="545">
        <v>17.666666666666668</v>
      </c>
      <c r="F6689" s="545">
        <v>39.023809523809526</v>
      </c>
      <c r="G6689" s="545">
        <v>34.200000000000003</v>
      </c>
      <c r="H6689" s="545">
        <v>15.666666666666666</v>
      </c>
      <c r="I6689" s="545">
        <v>7.333333333333333</v>
      </c>
      <c r="J6689" s="545">
        <v>27.714285714285715</v>
      </c>
    </row>
    <row r="6690" spans="1:10">
      <c r="A6690" s="441">
        <v>3078</v>
      </c>
      <c r="B6690" s="441" t="s">
        <v>5646</v>
      </c>
      <c r="C6690" s="545">
        <v>26.333333333333336</v>
      </c>
      <c r="D6690" s="545">
        <v>19.666666666666668</v>
      </c>
      <c r="E6690" s="545">
        <v>17.666666666666664</v>
      </c>
      <c r="F6690" s="545">
        <v>24.142857142857142</v>
      </c>
      <c r="G6690" s="545">
        <v>36.549999999999997</v>
      </c>
      <c r="H6690" s="545">
        <v>10.333333333333334</v>
      </c>
      <c r="I6690" s="545">
        <v>5.333333333333333</v>
      </c>
      <c r="J6690" s="545">
        <v>28.345238095238098</v>
      </c>
    </row>
    <row r="6691" spans="1:10">
      <c r="A6691" s="441">
        <v>4385</v>
      </c>
      <c r="B6691" s="441" t="s">
        <v>5647</v>
      </c>
      <c r="C6691" s="545">
        <v>12.833333333333334</v>
      </c>
      <c r="D6691" s="545">
        <v>10</v>
      </c>
      <c r="E6691" s="545">
        <v>5</v>
      </c>
      <c r="F6691" s="545">
        <v>11.30952380952381</v>
      </c>
      <c r="G6691" s="545">
        <v>6.35</v>
      </c>
      <c r="H6691" s="545">
        <v>3.6666666666666665</v>
      </c>
      <c r="I6691" s="545">
        <v>2.3333333333333335</v>
      </c>
      <c r="J6691" s="545">
        <v>5.3928571428571432</v>
      </c>
    </row>
    <row r="6692" spans="1:10">
      <c r="A6692" s="441">
        <v>11946</v>
      </c>
      <c r="B6692" s="441" t="s">
        <v>5647</v>
      </c>
      <c r="C6692" s="545">
        <v>25.333333333333336</v>
      </c>
      <c r="D6692" s="545">
        <v>26.333333333333332</v>
      </c>
      <c r="E6692" s="545">
        <v>16.666666666666664</v>
      </c>
      <c r="F6692" s="545">
        <v>24.238095238095241</v>
      </c>
      <c r="G6692" s="545">
        <v>24.05</v>
      </c>
      <c r="H6692" s="545">
        <v>16.333333333333332</v>
      </c>
      <c r="I6692" s="545">
        <v>10.666666666666666</v>
      </c>
      <c r="J6692" s="545">
        <v>21.035714285714285</v>
      </c>
    </row>
    <row r="6693" spans="1:10">
      <c r="A6693" s="441">
        <v>4332</v>
      </c>
      <c r="B6693" s="441" t="s">
        <v>5648</v>
      </c>
      <c r="C6693" s="545">
        <v>14.333333333333334</v>
      </c>
      <c r="D6693" s="545">
        <v>16.333333333333332</v>
      </c>
      <c r="E6693" s="545">
        <v>13.333333333333332</v>
      </c>
      <c r="F6693" s="545">
        <v>14.476190476190476</v>
      </c>
      <c r="G6693" s="545">
        <v>7.55</v>
      </c>
      <c r="H6693" s="545">
        <v>6.666666666666667</v>
      </c>
      <c r="I6693" s="545">
        <v>3.6666666666666665</v>
      </c>
      <c r="J6693" s="545">
        <v>6.8690476190476186</v>
      </c>
    </row>
    <row r="6694" spans="1:10">
      <c r="A6694" s="441">
        <v>4376</v>
      </c>
      <c r="B6694" s="441" t="s">
        <v>5648</v>
      </c>
      <c r="C6694" s="545">
        <v>12</v>
      </c>
      <c r="D6694" s="545">
        <v>12.333333333333334</v>
      </c>
      <c r="E6694" s="545">
        <v>12</v>
      </c>
      <c r="F6694" s="545">
        <v>12.047619047619047</v>
      </c>
      <c r="G6694" s="545">
        <v>7.15</v>
      </c>
      <c r="H6694" s="545">
        <v>8.6666666666666661</v>
      </c>
      <c r="I6694" s="545">
        <v>7.666666666666667</v>
      </c>
      <c r="J6694" s="545">
        <v>7.4404761904761898</v>
      </c>
    </row>
    <row r="6695" spans="1:10">
      <c r="A6695" s="441">
        <v>12135</v>
      </c>
      <c r="B6695" s="441" t="s">
        <v>5649</v>
      </c>
      <c r="C6695" s="545">
        <v>42.333333333333336</v>
      </c>
      <c r="D6695" s="545">
        <v>9</v>
      </c>
      <c r="E6695" s="545">
        <v>8</v>
      </c>
      <c r="F6695" s="545">
        <v>32.666666666666671</v>
      </c>
      <c r="G6695" s="545">
        <v>26.55</v>
      </c>
      <c r="H6695" s="545">
        <v>3.3333333333333335</v>
      </c>
      <c r="I6695" s="545">
        <v>4.333333333333333</v>
      </c>
      <c r="J6695" s="545">
        <v>20.059523809523814</v>
      </c>
    </row>
    <row r="6696" spans="1:10">
      <c r="A6696" s="441">
        <v>12138</v>
      </c>
      <c r="B6696" s="441" t="s">
        <v>5649</v>
      </c>
      <c r="C6696" s="545">
        <v>35.666666666666664</v>
      </c>
      <c r="D6696" s="545">
        <v>8</v>
      </c>
      <c r="E6696" s="545">
        <v>5.333333333333333</v>
      </c>
      <c r="F6696" s="545">
        <v>27.38095238095238</v>
      </c>
      <c r="G6696" s="545">
        <v>21.4</v>
      </c>
      <c r="H6696" s="545">
        <v>3</v>
      </c>
      <c r="I6696" s="545">
        <v>4.333333333333333</v>
      </c>
      <c r="J6696" s="545">
        <v>16.333333333333332</v>
      </c>
    </row>
    <row r="6697" spans="1:10">
      <c r="A6697" s="441">
        <v>12136</v>
      </c>
      <c r="B6697" s="441" t="s">
        <v>5650</v>
      </c>
      <c r="C6697" s="545">
        <v>20.833333333333332</v>
      </c>
      <c r="D6697" s="545">
        <v>7.6666666666666661</v>
      </c>
      <c r="E6697" s="545">
        <v>4.666666666666667</v>
      </c>
      <c r="F6697" s="545">
        <v>16.642857142857142</v>
      </c>
      <c r="G6697" s="545">
        <v>7.65</v>
      </c>
      <c r="H6697" s="545">
        <v>3</v>
      </c>
      <c r="I6697" s="545">
        <v>1.6666666666666667</v>
      </c>
      <c r="J6697" s="545">
        <v>6.1309523809523805</v>
      </c>
    </row>
    <row r="6698" spans="1:10">
      <c r="A6698" s="441">
        <v>4333</v>
      </c>
      <c r="B6698" s="441" t="s">
        <v>5651</v>
      </c>
      <c r="C6698" s="545">
        <v>10.333333333333332</v>
      </c>
      <c r="D6698" s="545">
        <v>3</v>
      </c>
      <c r="E6698" s="545">
        <v>4</v>
      </c>
      <c r="F6698" s="545">
        <v>8.3809523809523796</v>
      </c>
      <c r="G6698" s="545">
        <v>6.95</v>
      </c>
      <c r="H6698" s="545">
        <v>4.333333333333333</v>
      </c>
      <c r="I6698" s="545">
        <v>3.6666666666666665</v>
      </c>
      <c r="J6698" s="545">
        <v>6.1071428571428568</v>
      </c>
    </row>
    <row r="6699" spans="1:10">
      <c r="A6699" s="441">
        <v>4375</v>
      </c>
      <c r="B6699" s="441" t="s">
        <v>5651</v>
      </c>
      <c r="C6699" s="545">
        <v>7.833333333333333</v>
      </c>
      <c r="D6699" s="545">
        <v>4</v>
      </c>
      <c r="E6699" s="545">
        <v>6.6666666666666661</v>
      </c>
      <c r="F6699" s="545">
        <v>7.1190476190476186</v>
      </c>
      <c r="G6699" s="545">
        <v>6.85</v>
      </c>
      <c r="H6699" s="545">
        <v>3.3333333333333335</v>
      </c>
      <c r="I6699" s="545">
        <v>2.6666666666666665</v>
      </c>
      <c r="J6699" s="545">
        <v>5.75</v>
      </c>
    </row>
    <row r="6700" spans="1:10">
      <c r="A6700" s="441">
        <v>4331</v>
      </c>
      <c r="B6700" s="441" t="s">
        <v>5652</v>
      </c>
      <c r="C6700" s="545">
        <v>18.166666666666668</v>
      </c>
      <c r="D6700" s="545">
        <v>19</v>
      </c>
      <c r="E6700" s="545">
        <v>11.333333333333334</v>
      </c>
      <c r="F6700" s="545">
        <v>17.30952380952381</v>
      </c>
      <c r="G6700" s="545">
        <v>8.65</v>
      </c>
      <c r="H6700" s="545">
        <v>5.333333333333333</v>
      </c>
      <c r="I6700" s="545">
        <v>5.333333333333333</v>
      </c>
      <c r="J6700" s="545">
        <v>7.7023809523809534</v>
      </c>
    </row>
    <row r="6701" spans="1:10">
      <c r="A6701" s="441">
        <v>4377</v>
      </c>
      <c r="B6701" s="441" t="s">
        <v>5652</v>
      </c>
      <c r="C6701" s="545">
        <v>27.5</v>
      </c>
      <c r="D6701" s="545">
        <v>23.333333333333336</v>
      </c>
      <c r="E6701" s="545">
        <v>14.666666666666666</v>
      </c>
      <c r="F6701" s="545">
        <v>25.071428571428573</v>
      </c>
      <c r="G6701" s="545">
        <v>14.7</v>
      </c>
      <c r="H6701" s="545">
        <v>12.333333333333334</v>
      </c>
      <c r="I6701" s="545">
        <v>8.6666666666666661</v>
      </c>
      <c r="J6701" s="545">
        <v>13.5</v>
      </c>
    </row>
    <row r="6702" spans="1:10">
      <c r="A6702" s="441">
        <v>9747</v>
      </c>
      <c r="B6702" s="441" t="s">
        <v>5653</v>
      </c>
      <c r="C6702" s="545">
        <v>14.833333333333332</v>
      </c>
      <c r="D6702" s="545">
        <v>8.6666666666666661</v>
      </c>
      <c r="E6702" s="545">
        <v>6.6666666666666661</v>
      </c>
      <c r="F6702" s="545">
        <v>12.785714285714286</v>
      </c>
      <c r="G6702" s="545">
        <v>16.05</v>
      </c>
      <c r="H6702" s="545">
        <v>11</v>
      </c>
      <c r="I6702" s="545">
        <v>8</v>
      </c>
      <c r="J6702" s="545">
        <v>14.178571428571429</v>
      </c>
    </row>
    <row r="6703" spans="1:10">
      <c r="A6703" s="441">
        <v>10035</v>
      </c>
      <c r="B6703" s="441" t="s">
        <v>5653</v>
      </c>
      <c r="C6703" s="545">
        <v>19</v>
      </c>
      <c r="D6703" s="545">
        <v>10.666666666666668</v>
      </c>
      <c r="E6703" s="545">
        <v>7.3333333333333339</v>
      </c>
      <c r="F6703" s="545">
        <v>16.142857142857142</v>
      </c>
      <c r="G6703" s="545">
        <v>21.95</v>
      </c>
      <c r="H6703" s="545">
        <v>15.333333333333334</v>
      </c>
      <c r="I6703" s="545">
        <v>5</v>
      </c>
      <c r="J6703" s="545">
        <v>18.583333333333332</v>
      </c>
    </row>
    <row r="6704" spans="1:10">
      <c r="A6704" s="441">
        <v>3065</v>
      </c>
      <c r="B6704" s="441" t="s">
        <v>5654</v>
      </c>
      <c r="C6704" s="545">
        <v>58</v>
      </c>
      <c r="D6704" s="545">
        <v>35.666666666666664</v>
      </c>
      <c r="E6704" s="545">
        <v>40.666666666666671</v>
      </c>
      <c r="F6704" s="545">
        <v>52.333333333333336</v>
      </c>
      <c r="G6704" s="545">
        <v>20.25</v>
      </c>
      <c r="H6704" s="545">
        <v>19</v>
      </c>
      <c r="I6704" s="545">
        <v>16.333333333333332</v>
      </c>
      <c r="J6704" s="545">
        <v>19.511904761904763</v>
      </c>
    </row>
    <row r="6705" spans="1:10">
      <c r="A6705" s="441">
        <v>3080</v>
      </c>
      <c r="B6705" s="441" t="s">
        <v>5654</v>
      </c>
      <c r="C6705" s="545">
        <v>42.333333333333336</v>
      </c>
      <c r="D6705" s="545">
        <v>45</v>
      </c>
      <c r="E6705" s="545">
        <v>31</v>
      </c>
      <c r="F6705" s="545">
        <v>41.095238095238095</v>
      </c>
      <c r="G6705" s="545">
        <v>51.5</v>
      </c>
      <c r="H6705" s="545">
        <v>31.666666666666668</v>
      </c>
      <c r="I6705" s="545">
        <v>28.666666666666668</v>
      </c>
      <c r="J6705" s="545">
        <v>45.404761904761912</v>
      </c>
    </row>
    <row r="6706" spans="1:10">
      <c r="A6706" s="441">
        <v>4347</v>
      </c>
      <c r="B6706" s="441" t="s">
        <v>5655</v>
      </c>
      <c r="C6706" s="545">
        <v>19.333333333333332</v>
      </c>
      <c r="D6706" s="545">
        <v>16.333333333333336</v>
      </c>
      <c r="E6706" s="545">
        <v>14</v>
      </c>
      <c r="F6706" s="545">
        <v>18.142857142857142</v>
      </c>
      <c r="G6706" s="545">
        <v>8.3000000000000007</v>
      </c>
      <c r="H6706" s="545">
        <v>8.6666666666666661</v>
      </c>
      <c r="I6706" s="545">
        <v>5.666666666666667</v>
      </c>
      <c r="J6706" s="545">
        <v>7.9761904761904754</v>
      </c>
    </row>
    <row r="6707" spans="1:10">
      <c r="A6707" s="441">
        <v>4355</v>
      </c>
      <c r="B6707" s="441" t="s">
        <v>5655</v>
      </c>
      <c r="C6707" s="545">
        <v>22.166666666666668</v>
      </c>
      <c r="D6707" s="545">
        <v>12.333333333333332</v>
      </c>
      <c r="E6707" s="545">
        <v>10.333333333333332</v>
      </c>
      <c r="F6707" s="545">
        <v>19.071428571428573</v>
      </c>
      <c r="G6707" s="545">
        <v>13.45</v>
      </c>
      <c r="H6707" s="545">
        <v>10</v>
      </c>
      <c r="I6707" s="545">
        <v>8.6666666666666661</v>
      </c>
      <c r="J6707" s="545">
        <v>12.273809523809524</v>
      </c>
    </row>
    <row r="6708" spans="1:10">
      <c r="A6708" s="441">
        <v>3070</v>
      </c>
      <c r="B6708" s="441" t="s">
        <v>5656</v>
      </c>
      <c r="C6708" s="545">
        <v>12</v>
      </c>
      <c r="D6708" s="545">
        <v>7.6666666666666661</v>
      </c>
      <c r="E6708" s="545">
        <v>6.3333333333333339</v>
      </c>
      <c r="F6708" s="545">
        <v>10.571428571428571</v>
      </c>
      <c r="G6708" s="545">
        <v>4.1500000000000004</v>
      </c>
      <c r="H6708" s="545">
        <v>7.333333333333333</v>
      </c>
      <c r="I6708" s="545">
        <v>3</v>
      </c>
      <c r="J6708" s="545">
        <v>4.4404761904761907</v>
      </c>
    </row>
    <row r="6709" spans="1:10">
      <c r="A6709" s="441">
        <v>3075</v>
      </c>
      <c r="B6709" s="441" t="s">
        <v>5656</v>
      </c>
      <c r="C6709" s="545">
        <v>11.833333333333332</v>
      </c>
      <c r="D6709" s="545">
        <v>10.666666666666666</v>
      </c>
      <c r="E6709" s="545">
        <v>7.666666666666667</v>
      </c>
      <c r="F6709" s="545">
        <v>11.071428571428571</v>
      </c>
      <c r="G6709" s="545">
        <v>6.65</v>
      </c>
      <c r="H6709" s="545">
        <v>7</v>
      </c>
      <c r="I6709" s="545">
        <v>4</v>
      </c>
      <c r="J6709" s="545">
        <v>6.3214285714285712</v>
      </c>
    </row>
    <row r="6710" spans="1:10">
      <c r="A6710" s="441">
        <v>2211</v>
      </c>
      <c r="B6710" s="441" t="s">
        <v>5657</v>
      </c>
      <c r="C6710" s="545">
        <v>80</v>
      </c>
      <c r="D6710" s="545">
        <v>68.666666666666657</v>
      </c>
      <c r="E6710" s="545">
        <v>53</v>
      </c>
      <c r="F6710" s="545">
        <v>74.523809523809518</v>
      </c>
      <c r="G6710" s="545">
        <v>62.2</v>
      </c>
      <c r="H6710" s="545">
        <v>65</v>
      </c>
      <c r="I6710" s="545">
        <v>39</v>
      </c>
      <c r="J6710" s="545">
        <v>59.285714285714285</v>
      </c>
    </row>
    <row r="6711" spans="1:10">
      <c r="A6711" s="441">
        <v>2231</v>
      </c>
      <c r="B6711" s="441" t="s">
        <v>5657</v>
      </c>
      <c r="C6711" s="545">
        <v>20.666666666666668</v>
      </c>
      <c r="D6711" s="545">
        <v>9.6666666666666661</v>
      </c>
      <c r="E6711" s="545">
        <v>11.666666666666668</v>
      </c>
      <c r="F6711" s="545">
        <v>17.809523809523814</v>
      </c>
      <c r="G6711" s="545">
        <v>17.350000000000001</v>
      </c>
      <c r="H6711" s="545">
        <v>25.333333333333332</v>
      </c>
      <c r="I6711" s="545">
        <v>15.333333333333334</v>
      </c>
      <c r="J6711" s="545">
        <v>18.202380952380953</v>
      </c>
    </row>
    <row r="6712" spans="1:10">
      <c r="A6712" s="441">
        <v>3062</v>
      </c>
      <c r="B6712" s="441" t="s">
        <v>5658</v>
      </c>
      <c r="C6712" s="545">
        <v>52</v>
      </c>
      <c r="D6712" s="545">
        <v>37.666666666666671</v>
      </c>
      <c r="E6712" s="545">
        <v>38.666666666666671</v>
      </c>
      <c r="F6712" s="545">
        <v>48.047619047619051</v>
      </c>
      <c r="G6712" s="545">
        <v>42.7</v>
      </c>
      <c r="H6712" s="545">
        <v>42.666666666666664</v>
      </c>
      <c r="I6712" s="545">
        <v>30.666666666666668</v>
      </c>
      <c r="J6712" s="545">
        <v>40.976190476190482</v>
      </c>
    </row>
    <row r="6713" spans="1:10">
      <c r="A6713" s="441">
        <v>3083</v>
      </c>
      <c r="B6713" s="441" t="s">
        <v>5658</v>
      </c>
      <c r="C6713" s="545">
        <v>50</v>
      </c>
      <c r="D6713" s="545">
        <v>34.666666666666664</v>
      </c>
      <c r="E6713" s="545">
        <v>32.333333333333329</v>
      </c>
      <c r="F6713" s="545">
        <v>45.285714285714285</v>
      </c>
      <c r="G6713" s="545">
        <v>35.200000000000003</v>
      </c>
      <c r="H6713" s="545">
        <v>35.333333333333336</v>
      </c>
      <c r="I6713" s="545">
        <v>27.333333333333332</v>
      </c>
      <c r="J6713" s="545">
        <v>34.095238095238095</v>
      </c>
    </row>
    <row r="6714" spans="1:10">
      <c r="A6714" s="441">
        <v>4378</v>
      </c>
      <c r="B6714" s="441" t="s">
        <v>5659</v>
      </c>
      <c r="C6714" s="545">
        <v>32.833333333333336</v>
      </c>
      <c r="D6714" s="545">
        <v>26.666666666666668</v>
      </c>
      <c r="E6714" s="545">
        <v>21</v>
      </c>
      <c r="F6714" s="545">
        <v>30.261904761904763</v>
      </c>
      <c r="G6714" s="545">
        <v>21.3</v>
      </c>
      <c r="H6714" s="545">
        <v>12.333333333333334</v>
      </c>
      <c r="I6714" s="545">
        <v>5.666666666666667</v>
      </c>
      <c r="J6714" s="545">
        <v>17.785714285714285</v>
      </c>
    </row>
    <row r="6715" spans="1:10">
      <c r="A6715" s="441">
        <v>2182</v>
      </c>
      <c r="B6715" s="441" t="s">
        <v>5660</v>
      </c>
      <c r="C6715" s="545">
        <v>8.5</v>
      </c>
      <c r="D6715" s="545">
        <v>6</v>
      </c>
      <c r="E6715" s="545">
        <v>5.6666666666666661</v>
      </c>
      <c r="F6715" s="545">
        <v>7.7380952380952381</v>
      </c>
      <c r="G6715" s="545">
        <v>6.55</v>
      </c>
      <c r="H6715" s="545">
        <v>5</v>
      </c>
      <c r="I6715" s="545">
        <v>2.3333333333333335</v>
      </c>
      <c r="J6715" s="545">
        <v>5.7261904761904763</v>
      </c>
    </row>
    <row r="6716" spans="1:10">
      <c r="A6716" s="441">
        <v>2183</v>
      </c>
      <c r="B6716" s="441" t="s">
        <v>5660</v>
      </c>
      <c r="C6716" s="545">
        <v>8</v>
      </c>
      <c r="D6716" s="545">
        <v>7</v>
      </c>
      <c r="E6716" s="545">
        <v>8.3333333333333339</v>
      </c>
      <c r="F6716" s="545">
        <v>7.9047619047619051</v>
      </c>
      <c r="G6716" s="545">
        <v>14.35</v>
      </c>
      <c r="H6716" s="545">
        <v>9.3333333333333339</v>
      </c>
      <c r="I6716" s="545">
        <v>5.333333333333333</v>
      </c>
      <c r="J6716" s="545">
        <v>12.345238095238093</v>
      </c>
    </row>
    <row r="6717" spans="1:10">
      <c r="A6717" s="441">
        <v>3063</v>
      </c>
      <c r="B6717" s="441" t="s">
        <v>5661</v>
      </c>
      <c r="C6717" s="545">
        <v>60.666666666666671</v>
      </c>
      <c r="D6717" s="545">
        <v>43.333333333333336</v>
      </c>
      <c r="E6717" s="545">
        <v>27.333333333333336</v>
      </c>
      <c r="F6717" s="545">
        <v>53.428571428571431</v>
      </c>
      <c r="G6717" s="545">
        <v>30.8</v>
      </c>
      <c r="H6717" s="545">
        <v>23.333333333333332</v>
      </c>
      <c r="I6717" s="545">
        <v>17.333333333333332</v>
      </c>
      <c r="J6717" s="545">
        <v>27.809523809523814</v>
      </c>
    </row>
    <row r="6718" spans="1:10">
      <c r="A6718" s="441">
        <v>3082</v>
      </c>
      <c r="B6718" s="441" t="s">
        <v>5661</v>
      </c>
      <c r="C6718" s="545">
        <v>45.166666666666664</v>
      </c>
      <c r="D6718" s="545">
        <v>34.666666666666664</v>
      </c>
      <c r="E6718" s="545">
        <v>22.333333333333332</v>
      </c>
      <c r="F6718" s="545">
        <v>40.404761904761905</v>
      </c>
      <c r="G6718" s="545">
        <v>45.25</v>
      </c>
      <c r="H6718" s="545">
        <v>30</v>
      </c>
      <c r="I6718" s="545">
        <v>24.333333333333332</v>
      </c>
      <c r="J6718" s="545">
        <v>40.083333333333329</v>
      </c>
    </row>
    <row r="6719" spans="1:10">
      <c r="A6719" s="441">
        <v>2171</v>
      </c>
      <c r="B6719" s="441" t="s">
        <v>5662</v>
      </c>
      <c r="C6719" s="545">
        <v>20.833333333333332</v>
      </c>
      <c r="D6719" s="545">
        <v>10</v>
      </c>
      <c r="E6719" s="545">
        <v>6</v>
      </c>
      <c r="F6719" s="545">
        <v>17.166666666666664</v>
      </c>
      <c r="G6719" s="545">
        <v>8.75</v>
      </c>
      <c r="H6719" s="545">
        <v>5.666666666666667</v>
      </c>
      <c r="I6719" s="545">
        <v>1.3333333333333333</v>
      </c>
      <c r="J6719" s="545">
        <v>7.25</v>
      </c>
    </row>
    <row r="6720" spans="1:10">
      <c r="A6720" s="441">
        <v>2194</v>
      </c>
      <c r="B6720" s="441" t="s">
        <v>5662</v>
      </c>
      <c r="C6720" s="545">
        <v>20.666666666666664</v>
      </c>
      <c r="D6720" s="545">
        <v>9.6666666666666661</v>
      </c>
      <c r="E6720" s="545">
        <v>3.333333333333333</v>
      </c>
      <c r="F6720" s="545">
        <v>16.619047619047617</v>
      </c>
      <c r="G6720" s="545">
        <v>9.6</v>
      </c>
      <c r="H6720" s="545">
        <v>4</v>
      </c>
      <c r="I6720" s="545">
        <v>1.6666666666666667</v>
      </c>
      <c r="J6720" s="545">
        <v>7.6666666666666661</v>
      </c>
    </row>
    <row r="6721" spans="1:10">
      <c r="A6721" s="441">
        <v>2168</v>
      </c>
      <c r="B6721" s="441" t="s">
        <v>5663</v>
      </c>
      <c r="C6721" s="545">
        <v>8.1666666666666679</v>
      </c>
      <c r="D6721" s="545">
        <v>8.6666666666666679</v>
      </c>
      <c r="E6721" s="545">
        <v>4</v>
      </c>
      <c r="F6721" s="545">
        <v>7.642857142857145</v>
      </c>
      <c r="G6721" s="545">
        <v>10.050000000000001</v>
      </c>
      <c r="H6721" s="545">
        <v>3.6666666666666665</v>
      </c>
      <c r="I6721" s="545">
        <v>0.66666666666666663</v>
      </c>
      <c r="J6721" s="545">
        <v>7.7976190476190466</v>
      </c>
    </row>
    <row r="6722" spans="1:10">
      <c r="A6722" s="441">
        <v>2232</v>
      </c>
      <c r="B6722" s="441" t="s">
        <v>5663</v>
      </c>
      <c r="C6722" s="545">
        <v>25.833333333333332</v>
      </c>
      <c r="D6722" s="545">
        <v>13.666666666666666</v>
      </c>
      <c r="E6722" s="545">
        <v>6.3333333333333339</v>
      </c>
      <c r="F6722" s="545">
        <v>21.309523809523807</v>
      </c>
      <c r="G6722" s="545">
        <v>6.7</v>
      </c>
      <c r="H6722" s="545">
        <v>2</v>
      </c>
      <c r="I6722" s="545">
        <v>2</v>
      </c>
      <c r="J6722" s="545">
        <v>5.3571428571428568</v>
      </c>
    </row>
    <row r="6723" spans="1:10">
      <c r="A6723" s="441">
        <v>4330</v>
      </c>
      <c r="B6723" s="441" t="s">
        <v>5664</v>
      </c>
      <c r="C6723" s="545">
        <v>81</v>
      </c>
      <c r="D6723" s="545">
        <v>42.333333333333336</v>
      </c>
      <c r="E6723" s="545">
        <v>39.333333333333336</v>
      </c>
      <c r="F6723" s="545">
        <v>69.523809523809518</v>
      </c>
      <c r="G6723" s="545">
        <v>46.5</v>
      </c>
      <c r="H6723" s="545">
        <v>32</v>
      </c>
      <c r="I6723" s="545">
        <v>15.333333333333334</v>
      </c>
      <c r="J6723" s="545">
        <v>39.976190476190474</v>
      </c>
    </row>
    <row r="6724" spans="1:10">
      <c r="A6724" s="441">
        <v>4348</v>
      </c>
      <c r="B6724" s="441" t="s">
        <v>5665</v>
      </c>
      <c r="C6724" s="545">
        <v>13.166666666666666</v>
      </c>
      <c r="D6724" s="545">
        <v>14</v>
      </c>
      <c r="E6724" s="545">
        <v>13.666666666666668</v>
      </c>
      <c r="F6724" s="545">
        <v>13.357142857142858</v>
      </c>
      <c r="G6724" s="545">
        <v>12.45</v>
      </c>
      <c r="H6724" s="545">
        <v>11.666666666666666</v>
      </c>
      <c r="I6724" s="545">
        <v>7.333333333333333</v>
      </c>
      <c r="J6724" s="545">
        <v>11.607142857142858</v>
      </c>
    </row>
    <row r="6725" spans="1:10">
      <c r="A6725" s="441">
        <v>4354</v>
      </c>
      <c r="B6725" s="441" t="s">
        <v>5665</v>
      </c>
      <c r="C6725" s="545">
        <v>13</v>
      </c>
      <c r="D6725" s="545">
        <v>15.333333333333334</v>
      </c>
      <c r="E6725" s="545">
        <v>8.3333333333333339</v>
      </c>
      <c r="F6725" s="545">
        <v>12.666666666666666</v>
      </c>
      <c r="G6725" s="545">
        <v>9.6999999999999993</v>
      </c>
      <c r="H6725" s="545">
        <v>9.3333333333333339</v>
      </c>
      <c r="I6725" s="545">
        <v>5.666666666666667</v>
      </c>
      <c r="J6725" s="545">
        <v>9.0714285714285712</v>
      </c>
    </row>
    <row r="6726" spans="1:10">
      <c r="A6726" s="441">
        <v>4379</v>
      </c>
      <c r="B6726" s="441" t="s">
        <v>5666</v>
      </c>
      <c r="C6726" s="545">
        <v>170.16666666666666</v>
      </c>
      <c r="D6726" s="545">
        <v>76.666666666666671</v>
      </c>
      <c r="E6726" s="545">
        <v>57.666666666666664</v>
      </c>
      <c r="F6726" s="545">
        <v>140.73809523809521</v>
      </c>
      <c r="G6726" s="545">
        <v>90.05</v>
      </c>
      <c r="H6726" s="545">
        <v>55.666666666666664</v>
      </c>
      <c r="I6726" s="545">
        <v>25.666666666666668</v>
      </c>
      <c r="J6726" s="545">
        <v>75.94047619047619</v>
      </c>
    </row>
    <row r="6727" spans="1:10">
      <c r="A6727" s="441">
        <v>11952</v>
      </c>
      <c r="B6727" s="441" t="s">
        <v>5666</v>
      </c>
      <c r="C6727" s="545">
        <v>155.33333333333331</v>
      </c>
      <c r="D6727" s="545">
        <v>56.666666666666671</v>
      </c>
      <c r="E6727" s="545">
        <v>42.333333333333336</v>
      </c>
      <c r="F6727" s="545">
        <v>125.09523809523807</v>
      </c>
      <c r="G6727" s="545">
        <v>66.650000000000006</v>
      </c>
      <c r="H6727" s="545">
        <v>30</v>
      </c>
      <c r="I6727" s="545">
        <v>18.666666666666668</v>
      </c>
      <c r="J6727" s="545">
        <v>54.55952380952381</v>
      </c>
    </row>
    <row r="6728" spans="1:10">
      <c r="A6728" s="441">
        <v>2187</v>
      </c>
      <c r="B6728" s="441" t="s">
        <v>5667</v>
      </c>
      <c r="C6728" s="545">
        <v>22</v>
      </c>
      <c r="D6728" s="545">
        <v>14.333333333333332</v>
      </c>
      <c r="E6728" s="545">
        <v>4</v>
      </c>
      <c r="F6728" s="545">
        <v>18.333333333333332</v>
      </c>
      <c r="G6728" s="545">
        <v>15.75</v>
      </c>
      <c r="H6728" s="545">
        <v>5</v>
      </c>
      <c r="I6728" s="545">
        <v>3</v>
      </c>
      <c r="J6728" s="545">
        <v>12.392857142857142</v>
      </c>
    </row>
    <row r="6729" spans="1:10">
      <c r="A6729" s="441">
        <v>2172</v>
      </c>
      <c r="B6729" s="441" t="s">
        <v>5668</v>
      </c>
      <c r="C6729" s="545">
        <v>13.833333333333332</v>
      </c>
      <c r="D6729" s="545">
        <v>14.333333333333332</v>
      </c>
      <c r="E6729" s="545">
        <v>7.6666666666666661</v>
      </c>
      <c r="F6729" s="545">
        <v>13.023809523809522</v>
      </c>
      <c r="G6729" s="545">
        <v>8.8000000000000007</v>
      </c>
      <c r="H6729" s="545">
        <v>7</v>
      </c>
      <c r="I6729" s="545">
        <v>4.666666666666667</v>
      </c>
      <c r="J6729" s="545">
        <v>7.9523809523809517</v>
      </c>
    </row>
    <row r="6730" spans="1:10">
      <c r="A6730" s="441">
        <v>2193</v>
      </c>
      <c r="B6730" s="441" t="s">
        <v>5668</v>
      </c>
      <c r="C6730" s="545">
        <v>12.166666666666668</v>
      </c>
      <c r="D6730" s="545">
        <v>9.3333333333333339</v>
      </c>
      <c r="E6730" s="545">
        <v>8.6666666666666679</v>
      </c>
      <c r="F6730" s="545">
        <v>11.261904761904763</v>
      </c>
      <c r="G6730" s="545">
        <v>11.15</v>
      </c>
      <c r="H6730" s="545">
        <v>8</v>
      </c>
      <c r="I6730" s="545">
        <v>4</v>
      </c>
      <c r="J6730" s="545">
        <v>9.6785714285714288</v>
      </c>
    </row>
    <row r="6731" spans="1:10">
      <c r="A6731" s="441">
        <v>3061</v>
      </c>
      <c r="B6731" s="441" t="s">
        <v>5669</v>
      </c>
      <c r="C6731" s="545">
        <v>48</v>
      </c>
      <c r="D6731" s="545">
        <v>33.333333333333329</v>
      </c>
      <c r="E6731" s="545">
        <v>31</v>
      </c>
      <c r="F6731" s="545">
        <v>43.476190476190474</v>
      </c>
      <c r="G6731" s="545">
        <v>15.25</v>
      </c>
      <c r="H6731" s="545">
        <v>16</v>
      </c>
      <c r="I6731" s="545">
        <v>12.666666666666666</v>
      </c>
      <c r="J6731" s="545">
        <v>14.988095238095239</v>
      </c>
    </row>
    <row r="6732" spans="1:10">
      <c r="A6732" s="441">
        <v>10186</v>
      </c>
      <c r="B6732" s="441" t="s">
        <v>5669</v>
      </c>
      <c r="C6732" s="545">
        <v>24</v>
      </c>
      <c r="D6732" s="545">
        <v>19</v>
      </c>
      <c r="E6732" s="545">
        <v>5</v>
      </c>
      <c r="F6732" s="545">
        <v>20.571428571428573</v>
      </c>
      <c r="G6732" s="545">
        <v>13.85</v>
      </c>
      <c r="H6732" s="545">
        <v>22.666666666666668</v>
      </c>
      <c r="I6732" s="545">
        <v>1.6666666666666667</v>
      </c>
      <c r="J6732" s="545">
        <v>13.36904761904762</v>
      </c>
    </row>
    <row r="6733" spans="1:10">
      <c r="A6733" s="441">
        <v>10187</v>
      </c>
      <c r="B6733" s="441" t="s">
        <v>5669</v>
      </c>
      <c r="C6733" s="545">
        <v>32.833333333333336</v>
      </c>
      <c r="D6733" s="545">
        <v>25.333333333333336</v>
      </c>
      <c r="E6733" s="545">
        <v>7.3333333333333339</v>
      </c>
      <c r="F6733" s="545">
        <v>28.119047619047624</v>
      </c>
      <c r="G6733" s="545">
        <v>15.45</v>
      </c>
      <c r="H6733" s="545">
        <v>14.333333333333334</v>
      </c>
      <c r="I6733" s="545">
        <v>5.333333333333333</v>
      </c>
      <c r="J6733" s="545">
        <v>13.845238095238093</v>
      </c>
    </row>
    <row r="6734" spans="1:10">
      <c r="A6734" s="441">
        <v>2169</v>
      </c>
      <c r="B6734" s="441" t="s">
        <v>5670</v>
      </c>
      <c r="C6734" s="545">
        <v>29.666666666666668</v>
      </c>
      <c r="D6734" s="545">
        <v>18.666666666666664</v>
      </c>
      <c r="E6734" s="545">
        <v>15</v>
      </c>
      <c r="F6734" s="545">
        <v>26</v>
      </c>
      <c r="G6734" s="545">
        <v>24.6</v>
      </c>
      <c r="H6734" s="545">
        <v>18.666666666666668</v>
      </c>
      <c r="I6734" s="545">
        <v>16.333333333333332</v>
      </c>
      <c r="J6734" s="545">
        <v>22.571428571428573</v>
      </c>
    </row>
    <row r="6735" spans="1:10">
      <c r="A6735" s="441">
        <v>3072</v>
      </c>
      <c r="B6735" s="441" t="s">
        <v>5671</v>
      </c>
      <c r="C6735" s="545">
        <v>237.66666666666669</v>
      </c>
      <c r="D6735" s="545">
        <v>186.66666666666669</v>
      </c>
      <c r="E6735" s="545">
        <v>97.666666666666671</v>
      </c>
      <c r="F6735" s="545">
        <v>210.38095238095244</v>
      </c>
      <c r="G6735" s="545">
        <v>94.85</v>
      </c>
      <c r="H6735" s="545">
        <v>71.666666666666671</v>
      </c>
      <c r="I6735" s="545">
        <v>43</v>
      </c>
      <c r="J6735" s="545">
        <v>84.13095238095238</v>
      </c>
    </row>
    <row r="6736" spans="1:10">
      <c r="A6736" s="441">
        <v>4350</v>
      </c>
      <c r="B6736" s="441" t="s">
        <v>5672</v>
      </c>
      <c r="C6736" s="545">
        <v>14.5</v>
      </c>
      <c r="D6736" s="545">
        <v>18.666666666666664</v>
      </c>
      <c r="E6736" s="545">
        <v>13</v>
      </c>
      <c r="F6736" s="545">
        <v>14.88095238095238</v>
      </c>
      <c r="G6736" s="545">
        <v>6.85</v>
      </c>
      <c r="H6736" s="545">
        <v>7.666666666666667</v>
      </c>
      <c r="I6736" s="545">
        <v>5.666666666666667</v>
      </c>
      <c r="J6736" s="545">
        <v>6.7976190476190466</v>
      </c>
    </row>
    <row r="6737" spans="1:10">
      <c r="A6737" s="441">
        <v>4352</v>
      </c>
      <c r="B6737" s="441" t="s">
        <v>5672</v>
      </c>
      <c r="C6737" s="545">
        <v>26</v>
      </c>
      <c r="D6737" s="545">
        <v>23</v>
      </c>
      <c r="E6737" s="545">
        <v>12</v>
      </c>
      <c r="F6737" s="545">
        <v>23.571428571428573</v>
      </c>
      <c r="G6737" s="545">
        <v>11.95</v>
      </c>
      <c r="H6737" s="545">
        <v>12.666666666666666</v>
      </c>
      <c r="I6737" s="545">
        <v>10.333333333333334</v>
      </c>
      <c r="J6737" s="545">
        <v>11.821428571428571</v>
      </c>
    </row>
    <row r="6738" spans="1:10">
      <c r="A6738" s="441">
        <v>10709</v>
      </c>
      <c r="B6738" s="441" t="s">
        <v>5673</v>
      </c>
      <c r="C6738" s="545" t="e">
        <v>#N/A</v>
      </c>
      <c r="D6738" s="545" t="e">
        <v>#N/A</v>
      </c>
      <c r="E6738" s="545" t="e">
        <v>#N/A</v>
      </c>
      <c r="F6738" s="545" t="e">
        <v>#N/A</v>
      </c>
      <c r="G6738" s="545">
        <v>40.9</v>
      </c>
      <c r="H6738" s="545">
        <v>13.666666666666666</v>
      </c>
      <c r="I6738" s="545">
        <v>6.333333333333333</v>
      </c>
      <c r="J6738" s="545">
        <v>32.071428571428569</v>
      </c>
    </row>
    <row r="6739" spans="1:10">
      <c r="A6739" s="441">
        <v>12137</v>
      </c>
      <c r="B6739" s="441" t="s">
        <v>5673</v>
      </c>
      <c r="C6739" s="545">
        <v>94.166666666666671</v>
      </c>
      <c r="D6739" s="545">
        <v>18.333333333333336</v>
      </c>
      <c r="E6739" s="545">
        <v>14</v>
      </c>
      <c r="F6739" s="545">
        <v>71.88095238095238</v>
      </c>
      <c r="G6739" s="545">
        <v>33.049999999999997</v>
      </c>
      <c r="H6739" s="545">
        <v>10.333333333333334</v>
      </c>
      <c r="I6739" s="545">
        <v>4.666666666666667</v>
      </c>
      <c r="J6739" s="545">
        <v>25.75</v>
      </c>
    </row>
    <row r="6740" spans="1:10">
      <c r="A6740" s="441">
        <v>3066</v>
      </c>
      <c r="B6740" s="441" t="s">
        <v>5674</v>
      </c>
      <c r="C6740" s="545">
        <v>107.66666666666667</v>
      </c>
      <c r="D6740" s="545">
        <v>87.333333333333329</v>
      </c>
      <c r="E6740" s="545">
        <v>71</v>
      </c>
      <c r="F6740" s="545">
        <v>99.523809523809533</v>
      </c>
      <c r="G6740" s="545">
        <v>80.45</v>
      </c>
      <c r="H6740" s="545">
        <v>53.666666666666664</v>
      </c>
      <c r="I6740" s="545">
        <v>48</v>
      </c>
      <c r="J6740" s="545">
        <v>71.988095238095241</v>
      </c>
    </row>
    <row r="6741" spans="1:10">
      <c r="A6741" s="441">
        <v>3079</v>
      </c>
      <c r="B6741" s="441" t="s">
        <v>5674</v>
      </c>
      <c r="C6741" s="545">
        <v>148.33333333333331</v>
      </c>
      <c r="D6741" s="545">
        <v>102.33333333333334</v>
      </c>
      <c r="E6741" s="545">
        <v>83</v>
      </c>
      <c r="F6741" s="545">
        <v>132.42857142857142</v>
      </c>
      <c r="G6741" s="545">
        <v>84.8</v>
      </c>
      <c r="H6741" s="545">
        <v>71</v>
      </c>
      <c r="I6741" s="545">
        <v>57.333333333333336</v>
      </c>
      <c r="J6741" s="545">
        <v>78.904761904761912</v>
      </c>
    </row>
    <row r="6742" spans="1:10">
      <c r="A6742" s="441">
        <v>2170</v>
      </c>
      <c r="B6742" s="441" t="s">
        <v>5675</v>
      </c>
      <c r="C6742" s="545">
        <v>130</v>
      </c>
      <c r="D6742" s="545">
        <v>95.666666666666657</v>
      </c>
      <c r="E6742" s="545">
        <v>77.333333333333343</v>
      </c>
      <c r="F6742" s="545">
        <v>117.57142857142857</v>
      </c>
      <c r="G6742" s="545">
        <v>91.15</v>
      </c>
      <c r="H6742" s="545">
        <v>80.666666666666671</v>
      </c>
      <c r="I6742" s="545">
        <v>66</v>
      </c>
      <c r="J6742" s="545">
        <v>86.05952380952381</v>
      </c>
    </row>
    <row r="6743" spans="1:10">
      <c r="A6743" s="441">
        <v>2195</v>
      </c>
      <c r="B6743" s="441" t="s">
        <v>5675</v>
      </c>
      <c r="C6743" s="545">
        <v>58.666666666666664</v>
      </c>
      <c r="D6743" s="545">
        <v>39</v>
      </c>
      <c r="E6743" s="545">
        <v>28.666666666666668</v>
      </c>
      <c r="F6743" s="545">
        <v>51.571428571428569</v>
      </c>
      <c r="G6743" s="545">
        <v>32</v>
      </c>
      <c r="H6743" s="545">
        <v>26.666666666666668</v>
      </c>
      <c r="I6743" s="545">
        <v>18</v>
      </c>
      <c r="J6743" s="545">
        <v>29.238095238095237</v>
      </c>
    </row>
    <row r="6744" spans="1:10">
      <c r="A6744" s="441">
        <v>4382</v>
      </c>
      <c r="B6744" s="441" t="s">
        <v>5676</v>
      </c>
      <c r="C6744" s="545">
        <v>139.66666666666666</v>
      </c>
      <c r="D6744" s="545">
        <v>69.666666666666671</v>
      </c>
      <c r="E6744" s="545">
        <v>70.333333333333329</v>
      </c>
      <c r="F6744" s="545">
        <v>119.76190476190474</v>
      </c>
      <c r="G6744" s="545">
        <v>80.05</v>
      </c>
      <c r="H6744" s="545">
        <v>48.666666666666664</v>
      </c>
      <c r="I6744" s="545">
        <v>39.666666666666664</v>
      </c>
      <c r="J6744" s="545">
        <v>69.797619047619051</v>
      </c>
    </row>
    <row r="6745" spans="1:10">
      <c r="A6745" s="441">
        <v>11949</v>
      </c>
      <c r="B6745" s="441" t="s">
        <v>5676</v>
      </c>
      <c r="C6745" s="545">
        <v>134.5</v>
      </c>
      <c r="D6745" s="545">
        <v>88.333333333333343</v>
      </c>
      <c r="E6745" s="545">
        <v>75</v>
      </c>
      <c r="F6745" s="545">
        <v>119.40476190476191</v>
      </c>
      <c r="G6745" s="545">
        <v>81.3</v>
      </c>
      <c r="H6745" s="545">
        <v>66</v>
      </c>
      <c r="I6745" s="545">
        <v>46.333333333333336</v>
      </c>
      <c r="J6745" s="545">
        <v>74.11904761904762</v>
      </c>
    </row>
    <row r="6746" spans="1:10">
      <c r="A6746" s="441">
        <v>4349</v>
      </c>
      <c r="B6746" s="441" t="s">
        <v>5677</v>
      </c>
      <c r="C6746" s="545">
        <v>42.166666666666664</v>
      </c>
      <c r="D6746" s="545">
        <v>32</v>
      </c>
      <c r="E6746" s="545">
        <v>27</v>
      </c>
      <c r="F6746" s="545">
        <v>38.547619047619044</v>
      </c>
      <c r="G6746" s="545">
        <v>19.95</v>
      </c>
      <c r="H6746" s="545">
        <v>16.333333333333332</v>
      </c>
      <c r="I6746" s="545">
        <v>11.666666666666666</v>
      </c>
      <c r="J6746" s="545">
        <v>18.25</v>
      </c>
    </row>
    <row r="6747" spans="1:10">
      <c r="A6747" s="441">
        <v>4353</v>
      </c>
      <c r="B6747" s="441" t="s">
        <v>5677</v>
      </c>
      <c r="C6747" s="545">
        <v>27.166666666666664</v>
      </c>
      <c r="D6747" s="545">
        <v>28.333333333333336</v>
      </c>
      <c r="E6747" s="545">
        <v>19.333333333333332</v>
      </c>
      <c r="F6747" s="545">
        <v>26.214285714285715</v>
      </c>
      <c r="G6747" s="545">
        <v>17.850000000000001</v>
      </c>
      <c r="H6747" s="545">
        <v>20</v>
      </c>
      <c r="I6747" s="545">
        <v>12</v>
      </c>
      <c r="J6747" s="545">
        <v>17.321428571428573</v>
      </c>
    </row>
    <row r="6748" spans="1:10">
      <c r="A6748" s="441">
        <v>4383</v>
      </c>
      <c r="B6748" s="441" t="s">
        <v>5678</v>
      </c>
      <c r="C6748" s="545">
        <v>45.333333333333336</v>
      </c>
      <c r="D6748" s="545">
        <v>31</v>
      </c>
      <c r="E6748" s="545">
        <v>34</v>
      </c>
      <c r="F6748" s="545">
        <v>41.666666666666671</v>
      </c>
      <c r="G6748" s="545">
        <v>32.799999999999997</v>
      </c>
      <c r="H6748" s="545">
        <v>25</v>
      </c>
      <c r="I6748" s="545">
        <v>20</v>
      </c>
      <c r="J6748" s="545">
        <v>29.857142857142858</v>
      </c>
    </row>
    <row r="6749" spans="1:10">
      <c r="A6749" s="441">
        <v>11948</v>
      </c>
      <c r="B6749" s="441" t="s">
        <v>5678</v>
      </c>
      <c r="C6749" s="545">
        <v>52.166666666666671</v>
      </c>
      <c r="D6749" s="545">
        <v>38</v>
      </c>
      <c r="E6749" s="545">
        <v>32.333333333333336</v>
      </c>
      <c r="F6749" s="545">
        <v>47.30952380952381</v>
      </c>
      <c r="G6749" s="545">
        <v>33.700000000000003</v>
      </c>
      <c r="H6749" s="545">
        <v>23.333333333333332</v>
      </c>
      <c r="I6749" s="545">
        <v>21.333333333333332</v>
      </c>
      <c r="J6749" s="545">
        <v>30.452380952380956</v>
      </c>
    </row>
    <row r="6750" spans="1:10">
      <c r="A6750" s="441">
        <v>12145</v>
      </c>
      <c r="B6750" s="441" t="s">
        <v>5679</v>
      </c>
      <c r="C6750" s="545">
        <v>31</v>
      </c>
      <c r="D6750" s="545">
        <v>7.6666666666666661</v>
      </c>
      <c r="E6750" s="545">
        <v>7.3333333333333339</v>
      </c>
      <c r="F6750" s="545">
        <v>24.285714285714285</v>
      </c>
      <c r="G6750" s="545">
        <v>6.6</v>
      </c>
      <c r="H6750" s="545">
        <v>7.333333333333333</v>
      </c>
      <c r="I6750" s="545">
        <v>6.333333333333333</v>
      </c>
      <c r="J6750" s="545">
        <v>6.666666666666667</v>
      </c>
    </row>
    <row r="6751" spans="1:10">
      <c r="A6751" s="441">
        <v>3073</v>
      </c>
      <c r="B6751" s="441" t="s">
        <v>5680</v>
      </c>
      <c r="C6751" s="545">
        <v>290.66666666666669</v>
      </c>
      <c r="D6751" s="545">
        <v>213</v>
      </c>
      <c r="E6751" s="545">
        <v>128.33333333333331</v>
      </c>
      <c r="F6751" s="545">
        <v>256.38095238095241</v>
      </c>
      <c r="G6751" s="545">
        <v>114.65</v>
      </c>
      <c r="H6751" s="545">
        <v>80</v>
      </c>
      <c r="I6751" s="545">
        <v>42.333333333333336</v>
      </c>
      <c r="J6751" s="545">
        <v>99.36904761904762</v>
      </c>
    </row>
    <row r="6752" spans="1:10">
      <c r="A6752" s="441">
        <v>2191</v>
      </c>
      <c r="B6752" s="441" t="s">
        <v>5681</v>
      </c>
      <c r="C6752" s="545">
        <v>44.833333333333329</v>
      </c>
      <c r="D6752" s="545">
        <v>23.666666666666664</v>
      </c>
      <c r="E6752" s="545">
        <v>30.666666666666668</v>
      </c>
      <c r="F6752" s="545">
        <v>39.785714285714278</v>
      </c>
      <c r="G6752" s="545">
        <v>20.65</v>
      </c>
      <c r="H6752" s="545">
        <v>10</v>
      </c>
      <c r="I6752" s="545">
        <v>17</v>
      </c>
      <c r="J6752" s="545">
        <v>18.607142857142858</v>
      </c>
    </row>
    <row r="6753" spans="1:10">
      <c r="A6753" s="441">
        <v>4380</v>
      </c>
      <c r="B6753" s="441" t="s">
        <v>5682</v>
      </c>
      <c r="C6753" s="545">
        <v>34.5</v>
      </c>
      <c r="D6753" s="545">
        <v>28</v>
      </c>
      <c r="E6753" s="545">
        <v>18.666666666666664</v>
      </c>
      <c r="F6753" s="545">
        <v>31.309523809523807</v>
      </c>
      <c r="G6753" s="545">
        <v>31.95</v>
      </c>
      <c r="H6753" s="545">
        <v>23.666666666666668</v>
      </c>
      <c r="I6753" s="545">
        <v>18</v>
      </c>
      <c r="J6753" s="545">
        <v>28.773809523809522</v>
      </c>
    </row>
    <row r="6754" spans="1:10">
      <c r="A6754" s="441">
        <v>11951</v>
      </c>
      <c r="B6754" s="441" t="s">
        <v>5682</v>
      </c>
      <c r="C6754" s="545">
        <v>45.833333333333336</v>
      </c>
      <c r="D6754" s="545">
        <v>30</v>
      </c>
      <c r="E6754" s="545">
        <v>26.666666666666668</v>
      </c>
      <c r="F6754" s="545">
        <v>40.833333333333336</v>
      </c>
      <c r="G6754" s="545">
        <v>39.85</v>
      </c>
      <c r="H6754" s="545">
        <v>36.333333333333336</v>
      </c>
      <c r="I6754" s="545">
        <v>25.333333333333332</v>
      </c>
      <c r="J6754" s="545">
        <v>37.273809523809526</v>
      </c>
    </row>
    <row r="6755" spans="1:10">
      <c r="A6755" s="441">
        <v>3068</v>
      </c>
      <c r="B6755" s="441" t="s">
        <v>5683</v>
      </c>
      <c r="C6755" s="545">
        <v>77.333333333333343</v>
      </c>
      <c r="D6755" s="545">
        <v>50</v>
      </c>
      <c r="E6755" s="545">
        <v>33</v>
      </c>
      <c r="F6755" s="545">
        <v>67.095238095238102</v>
      </c>
      <c r="G6755" s="545">
        <v>42</v>
      </c>
      <c r="H6755" s="545">
        <v>30.666666666666668</v>
      </c>
      <c r="I6755" s="545">
        <v>22.333333333333332</v>
      </c>
      <c r="J6755" s="545">
        <v>37.571428571428569</v>
      </c>
    </row>
    <row r="6756" spans="1:10">
      <c r="A6756" s="441">
        <v>3077</v>
      </c>
      <c r="B6756" s="441" t="s">
        <v>5683</v>
      </c>
      <c r="C6756" s="545">
        <v>79.833333333333343</v>
      </c>
      <c r="D6756" s="545">
        <v>45</v>
      </c>
      <c r="E6756" s="545">
        <v>38.333333333333336</v>
      </c>
      <c r="F6756" s="545">
        <v>68.928571428571431</v>
      </c>
      <c r="G6756" s="545">
        <v>45.55</v>
      </c>
      <c r="H6756" s="545">
        <v>33</v>
      </c>
      <c r="I6756" s="545">
        <v>18</v>
      </c>
      <c r="J6756" s="545">
        <v>39.821428571428569</v>
      </c>
    </row>
    <row r="6757" spans="1:10">
      <c r="A6757" s="441">
        <v>9102</v>
      </c>
      <c r="B6757" s="441" t="s">
        <v>5684</v>
      </c>
      <c r="C6757" s="545">
        <v>2</v>
      </c>
      <c r="D6757" s="545">
        <v>2.333333333333333</v>
      </c>
      <c r="E6757" s="545">
        <v>1.3333333333333333</v>
      </c>
      <c r="F6757" s="545">
        <v>1.9523809523809523</v>
      </c>
      <c r="G6757" s="545">
        <v>5.85</v>
      </c>
      <c r="H6757" s="545">
        <v>2.6666666666666665</v>
      </c>
      <c r="I6757" s="545">
        <v>3</v>
      </c>
      <c r="J6757" s="545">
        <v>4.988095238095239</v>
      </c>
    </row>
    <row r="6758" spans="1:10">
      <c r="A6758" s="441">
        <v>9120</v>
      </c>
      <c r="B6758" s="441" t="s">
        <v>5685</v>
      </c>
      <c r="C6758" s="545">
        <v>1.3333333333333333</v>
      </c>
      <c r="D6758" s="545">
        <v>0.33333333333333331</v>
      </c>
      <c r="E6758" s="545">
        <v>0</v>
      </c>
      <c r="F6758" s="545">
        <v>0.99999999999999989</v>
      </c>
      <c r="G6758" s="545">
        <v>0.3</v>
      </c>
      <c r="H6758" s="545">
        <v>0</v>
      </c>
      <c r="I6758" s="545">
        <v>0.33333333333333331</v>
      </c>
      <c r="J6758" s="545">
        <v>0.26190476190476192</v>
      </c>
    </row>
    <row r="6759" spans="1:10">
      <c r="A6759" s="441">
        <v>9101</v>
      </c>
      <c r="B6759" s="441" t="s">
        <v>5686</v>
      </c>
      <c r="C6759" s="545">
        <v>5.1666666666666661</v>
      </c>
      <c r="D6759" s="545">
        <v>1</v>
      </c>
      <c r="E6759" s="545">
        <v>0</v>
      </c>
      <c r="F6759" s="545">
        <v>3.8333333333333326</v>
      </c>
      <c r="G6759" s="545">
        <v>3</v>
      </c>
      <c r="H6759" s="545">
        <v>1</v>
      </c>
      <c r="I6759" s="545">
        <v>0.66666666666666663</v>
      </c>
      <c r="J6759" s="545">
        <v>2.3809523809523809</v>
      </c>
    </row>
    <row r="6760" spans="1:10">
      <c r="A6760" s="441">
        <v>9118</v>
      </c>
      <c r="B6760" s="441" t="s">
        <v>5686</v>
      </c>
      <c r="C6760" s="545">
        <v>5.166666666666667</v>
      </c>
      <c r="D6760" s="545">
        <v>3</v>
      </c>
      <c r="E6760" s="545">
        <v>0.66666666666666663</v>
      </c>
      <c r="F6760" s="545">
        <v>4.2142857142857144</v>
      </c>
      <c r="G6760" s="545">
        <v>4.45</v>
      </c>
      <c r="H6760" s="545">
        <v>2.3333333333333335</v>
      </c>
      <c r="I6760" s="545">
        <v>2.6666666666666665</v>
      </c>
      <c r="J6760" s="545">
        <v>3.8928571428571428</v>
      </c>
    </row>
    <row r="6761" spans="1:10">
      <c r="A6761" s="441">
        <v>9100</v>
      </c>
      <c r="B6761" s="441" t="s">
        <v>5687</v>
      </c>
      <c r="C6761" s="545">
        <v>4.666666666666667</v>
      </c>
      <c r="D6761" s="545">
        <v>1.3333333333333333</v>
      </c>
      <c r="E6761" s="545">
        <v>1</v>
      </c>
      <c r="F6761" s="545">
        <v>3.666666666666667</v>
      </c>
      <c r="G6761" s="545">
        <v>1.35</v>
      </c>
      <c r="H6761" s="545">
        <v>1</v>
      </c>
      <c r="I6761" s="545">
        <v>0</v>
      </c>
      <c r="J6761" s="545">
        <v>1.1071428571428572</v>
      </c>
    </row>
    <row r="6762" spans="1:10">
      <c r="A6762" s="441">
        <v>9119</v>
      </c>
      <c r="B6762" s="441" t="s">
        <v>5687</v>
      </c>
      <c r="C6762" s="545">
        <v>1.6666666666666665</v>
      </c>
      <c r="D6762" s="545">
        <v>1</v>
      </c>
      <c r="E6762" s="545">
        <v>1</v>
      </c>
      <c r="F6762" s="545">
        <v>1.4761904761904761</v>
      </c>
      <c r="G6762" s="545">
        <v>1.9</v>
      </c>
      <c r="H6762" s="545">
        <v>1</v>
      </c>
      <c r="I6762" s="545">
        <v>0.33333333333333331</v>
      </c>
      <c r="J6762" s="545">
        <v>1.5476190476190477</v>
      </c>
    </row>
    <row r="6763" spans="1:10">
      <c r="A6763" s="441">
        <v>3820</v>
      </c>
      <c r="B6763" s="441" t="s">
        <v>5688</v>
      </c>
      <c r="C6763" s="545">
        <v>31.833333333333332</v>
      </c>
      <c r="D6763" s="545">
        <v>6.333333333333333</v>
      </c>
      <c r="E6763" s="545">
        <v>5.6666666666666661</v>
      </c>
      <c r="F6763" s="545">
        <v>24.452380952380953</v>
      </c>
      <c r="G6763" s="545">
        <v>13.85</v>
      </c>
      <c r="H6763" s="545">
        <v>3.3333333333333335</v>
      </c>
      <c r="I6763" s="545">
        <v>1.6666666666666667</v>
      </c>
      <c r="J6763" s="545">
        <v>10.607142857142858</v>
      </c>
    </row>
    <row r="6764" spans="1:10">
      <c r="A6764" s="441">
        <v>3850</v>
      </c>
      <c r="B6764" s="441" t="s">
        <v>5688</v>
      </c>
      <c r="C6764" s="545">
        <v>25.666666666666664</v>
      </c>
      <c r="D6764" s="545">
        <v>4.6666666666666661</v>
      </c>
      <c r="E6764" s="545">
        <v>0.33333333333333331</v>
      </c>
      <c r="F6764" s="545">
        <v>19.047619047619044</v>
      </c>
      <c r="G6764" s="545">
        <v>16.350000000000001</v>
      </c>
      <c r="H6764" s="545">
        <v>4</v>
      </c>
      <c r="I6764" s="545">
        <v>0.66666666666666663</v>
      </c>
      <c r="J6764" s="545">
        <v>12.345238095238097</v>
      </c>
    </row>
    <row r="6765" spans="1:10">
      <c r="A6765" s="441">
        <v>3819</v>
      </c>
      <c r="B6765" s="441" t="s">
        <v>5689</v>
      </c>
      <c r="C6765" s="545">
        <v>8.8333333333333339</v>
      </c>
      <c r="D6765" s="545">
        <v>0.66666666666666663</v>
      </c>
      <c r="E6765" s="545">
        <v>0</v>
      </c>
      <c r="F6765" s="545">
        <v>6.4047619047619051</v>
      </c>
      <c r="G6765" s="545">
        <v>8.9499999999999993</v>
      </c>
      <c r="H6765" s="545">
        <v>0</v>
      </c>
      <c r="I6765" s="545">
        <v>0.33333333333333331</v>
      </c>
      <c r="J6765" s="545">
        <v>6.4404761904761907</v>
      </c>
    </row>
    <row r="6766" spans="1:10">
      <c r="A6766" s="441">
        <v>3818</v>
      </c>
      <c r="B6766" s="441" t="s">
        <v>5690</v>
      </c>
      <c r="C6766" s="545">
        <v>29.333333333333336</v>
      </c>
      <c r="D6766" s="545">
        <v>13.333333333333334</v>
      </c>
      <c r="E6766" s="545">
        <v>12.666666666666666</v>
      </c>
      <c r="F6766" s="545">
        <v>24.666666666666668</v>
      </c>
      <c r="G6766" s="545">
        <v>13.35</v>
      </c>
      <c r="H6766" s="545">
        <v>9.6666666666666661</v>
      </c>
      <c r="I6766" s="545">
        <v>5</v>
      </c>
      <c r="J6766" s="545">
        <v>11.630952380952381</v>
      </c>
    </row>
    <row r="6767" spans="1:10">
      <c r="A6767" s="441">
        <v>3851</v>
      </c>
      <c r="B6767" s="441" t="s">
        <v>5690</v>
      </c>
      <c r="C6767" s="545">
        <v>23.5</v>
      </c>
      <c r="D6767" s="545">
        <v>11.333333333333334</v>
      </c>
      <c r="E6767" s="545">
        <v>11</v>
      </c>
      <c r="F6767" s="545">
        <v>19.976190476190478</v>
      </c>
      <c r="G6767" s="545">
        <v>9.1</v>
      </c>
      <c r="H6767" s="545">
        <v>6.666666666666667</v>
      </c>
      <c r="I6767" s="545">
        <v>6.333333333333333</v>
      </c>
      <c r="J6767" s="545">
        <v>8.3571428571428577</v>
      </c>
    </row>
    <row r="6768" spans="1:10">
      <c r="A6768" s="441">
        <v>3817</v>
      </c>
      <c r="B6768" s="441" t="s">
        <v>5691</v>
      </c>
      <c r="C6768" s="545">
        <v>4</v>
      </c>
      <c r="D6768" s="545">
        <v>1</v>
      </c>
      <c r="E6768" s="545">
        <v>0</v>
      </c>
      <c r="F6768" s="545">
        <v>3</v>
      </c>
      <c r="G6768" s="545">
        <v>3.75</v>
      </c>
      <c r="H6768" s="545">
        <v>0.66666666666666663</v>
      </c>
      <c r="I6768" s="545">
        <v>1.6666666666666667</v>
      </c>
      <c r="J6768" s="545">
        <v>3.0119047619047623</v>
      </c>
    </row>
    <row r="6769" spans="1:10">
      <c r="A6769" s="441">
        <v>3852</v>
      </c>
      <c r="B6769" s="441" t="s">
        <v>5691</v>
      </c>
      <c r="C6769" s="545">
        <v>4.666666666666667</v>
      </c>
      <c r="D6769" s="545">
        <v>1</v>
      </c>
      <c r="E6769" s="545">
        <v>0.66666666666666663</v>
      </c>
      <c r="F6769" s="545">
        <v>3.5714285714285721</v>
      </c>
      <c r="G6769" s="545">
        <v>2.0499999999999998</v>
      </c>
      <c r="H6769" s="545">
        <v>2.3333333333333335</v>
      </c>
      <c r="I6769" s="545">
        <v>0.33333333333333331</v>
      </c>
      <c r="J6769" s="545">
        <v>1.8452380952380953</v>
      </c>
    </row>
    <row r="6770" spans="1:10">
      <c r="A6770" s="441">
        <v>3853</v>
      </c>
      <c r="B6770" s="441" t="s">
        <v>5692</v>
      </c>
      <c r="C6770" s="545">
        <v>48.5</v>
      </c>
      <c r="D6770" s="545">
        <v>31.666666666666668</v>
      </c>
      <c r="E6770" s="545">
        <v>31</v>
      </c>
      <c r="F6770" s="545">
        <v>43.595238095238095</v>
      </c>
      <c r="G6770" s="545">
        <v>26.65</v>
      </c>
      <c r="H6770" s="545">
        <v>20.666666666666668</v>
      </c>
      <c r="I6770" s="545">
        <v>12.333333333333334</v>
      </c>
      <c r="J6770" s="545">
        <v>23.75</v>
      </c>
    </row>
    <row r="6771" spans="1:10">
      <c r="A6771" s="441">
        <v>3822</v>
      </c>
      <c r="B6771" s="441" t="s">
        <v>5693</v>
      </c>
      <c r="C6771" s="545">
        <v>99.333333333333329</v>
      </c>
      <c r="D6771" s="545">
        <v>9.6666666666666679</v>
      </c>
      <c r="E6771" s="545">
        <v>2.666666666666667</v>
      </c>
      <c r="F6771" s="545">
        <v>72.714285714285708</v>
      </c>
      <c r="G6771" s="545">
        <v>66.150000000000006</v>
      </c>
      <c r="H6771" s="545">
        <v>15.333333333333334</v>
      </c>
      <c r="I6771" s="545">
        <v>5</v>
      </c>
      <c r="J6771" s="545">
        <v>50.154761904761905</v>
      </c>
    </row>
    <row r="6772" spans="1:10">
      <c r="A6772" s="441">
        <v>3821</v>
      </c>
      <c r="B6772" s="441" t="s">
        <v>5694</v>
      </c>
      <c r="C6772" s="545">
        <v>65.333333333333329</v>
      </c>
      <c r="D6772" s="545">
        <v>44.666666666666671</v>
      </c>
      <c r="E6772" s="545">
        <v>35</v>
      </c>
      <c r="F6772" s="545">
        <v>58.047619047619044</v>
      </c>
      <c r="G6772" s="545">
        <v>54.15</v>
      </c>
      <c r="H6772" s="545">
        <v>39</v>
      </c>
      <c r="I6772" s="545">
        <v>25</v>
      </c>
      <c r="J6772" s="545">
        <v>47.821428571428569</v>
      </c>
    </row>
    <row r="6773" spans="1:10">
      <c r="A6773" s="441">
        <v>3849</v>
      </c>
      <c r="B6773" s="441" t="s">
        <v>5694</v>
      </c>
      <c r="C6773" s="545">
        <v>52.166666666666671</v>
      </c>
      <c r="D6773" s="545">
        <v>44.666666666666664</v>
      </c>
      <c r="E6773" s="545">
        <v>44</v>
      </c>
      <c r="F6773" s="545">
        <v>49.928571428571438</v>
      </c>
      <c r="G6773" s="545">
        <v>45.5</v>
      </c>
      <c r="H6773" s="545">
        <v>36.333333333333336</v>
      </c>
      <c r="I6773" s="545">
        <v>24</v>
      </c>
      <c r="J6773" s="545">
        <v>41.119047619047613</v>
      </c>
    </row>
    <row r="6774" spans="1:10">
      <c r="A6774" s="441">
        <v>10456</v>
      </c>
      <c r="B6774" s="441" t="s">
        <v>5695</v>
      </c>
      <c r="C6774" s="545">
        <v>13.666666666666668</v>
      </c>
      <c r="D6774" s="545">
        <v>11</v>
      </c>
      <c r="E6774" s="545">
        <v>6.6666666666666661</v>
      </c>
      <c r="F6774" s="545">
        <v>12.285714285714288</v>
      </c>
      <c r="G6774" s="545">
        <v>8.1999999999999993</v>
      </c>
      <c r="H6774" s="545">
        <v>4.666666666666667</v>
      </c>
      <c r="I6774" s="545">
        <v>5.333333333333333</v>
      </c>
      <c r="J6774" s="545">
        <v>7.2857142857142856</v>
      </c>
    </row>
    <row r="6775" spans="1:10">
      <c r="A6775" s="441">
        <v>11871</v>
      </c>
      <c r="B6775" s="441" t="s">
        <v>5695</v>
      </c>
      <c r="C6775" s="545">
        <v>17.166666666666664</v>
      </c>
      <c r="D6775" s="545">
        <v>9.6666666666666661</v>
      </c>
      <c r="E6775" s="545">
        <v>6</v>
      </c>
      <c r="F6775" s="545">
        <v>14.499999999999998</v>
      </c>
      <c r="G6775" s="545">
        <v>9.75</v>
      </c>
      <c r="H6775" s="545">
        <v>5.666666666666667</v>
      </c>
      <c r="I6775" s="545">
        <v>4.333333333333333</v>
      </c>
      <c r="J6775" s="545">
        <v>8.3928571428571423</v>
      </c>
    </row>
    <row r="6776" spans="1:10">
      <c r="A6776" s="441">
        <v>98</v>
      </c>
      <c r="B6776" s="441" t="s">
        <v>5696</v>
      </c>
      <c r="C6776" s="545">
        <v>1067.8333333333333</v>
      </c>
      <c r="D6776" s="545">
        <v>87.666666666666657</v>
      </c>
      <c r="E6776" s="545">
        <v>81.333333333333329</v>
      </c>
      <c r="F6776" s="545">
        <v>786.88095238095229</v>
      </c>
      <c r="G6776" s="545">
        <v>89.1</v>
      </c>
      <c r="H6776" s="545">
        <v>62.333333333333336</v>
      </c>
      <c r="I6776" s="545">
        <v>35</v>
      </c>
      <c r="J6776" s="545">
        <v>77.547619047619037</v>
      </c>
    </row>
    <row r="6777" spans="1:10">
      <c r="A6777" s="441">
        <v>6798</v>
      </c>
      <c r="B6777" s="441" t="s">
        <v>5697</v>
      </c>
      <c r="C6777" s="545">
        <v>256.33333333333331</v>
      </c>
      <c r="D6777" s="545">
        <v>162.66666666666669</v>
      </c>
      <c r="E6777" s="545">
        <v>160</v>
      </c>
      <c r="F6777" s="545">
        <v>229.19047619047618</v>
      </c>
      <c r="G6777" s="545">
        <v>158.1</v>
      </c>
      <c r="H6777" s="545">
        <v>135</v>
      </c>
      <c r="I6777" s="545">
        <v>77.666666666666671</v>
      </c>
      <c r="J6777" s="545">
        <v>143.3095238095238</v>
      </c>
    </row>
    <row r="6778" spans="1:10">
      <c r="A6778" s="441">
        <v>11571</v>
      </c>
      <c r="B6778" s="441" t="s">
        <v>5697</v>
      </c>
      <c r="C6778" s="545">
        <v>157.83333333333334</v>
      </c>
      <c r="D6778" s="545">
        <v>99.333333333333329</v>
      </c>
      <c r="E6778" s="545">
        <v>82.666666666666657</v>
      </c>
      <c r="F6778" s="545">
        <v>138.73809523809524</v>
      </c>
      <c r="G6778" s="545">
        <v>80.599999999999994</v>
      </c>
      <c r="H6778" s="545">
        <v>70.333333333333329</v>
      </c>
      <c r="I6778" s="545">
        <v>38</v>
      </c>
      <c r="J6778" s="545">
        <v>73.047619047619051</v>
      </c>
    </row>
    <row r="6779" spans="1:10">
      <c r="A6779" s="441">
        <v>11431</v>
      </c>
      <c r="B6779" s="441" t="s">
        <v>5698</v>
      </c>
      <c r="C6779" s="545">
        <v>9</v>
      </c>
      <c r="D6779" s="545">
        <v>5.333333333333333</v>
      </c>
      <c r="E6779" s="545">
        <v>6</v>
      </c>
      <c r="F6779" s="545">
        <v>8.0476190476190474</v>
      </c>
      <c r="G6779" s="545">
        <v>5.8</v>
      </c>
      <c r="H6779" s="545">
        <v>3.6666666666666665</v>
      </c>
      <c r="I6779" s="545">
        <v>82.666666666666671</v>
      </c>
      <c r="J6779" s="545">
        <v>16.476190476190478</v>
      </c>
    </row>
    <row r="6780" spans="1:10">
      <c r="A6780" s="441">
        <v>11432</v>
      </c>
      <c r="B6780" s="441" t="s">
        <v>5698</v>
      </c>
      <c r="C6780" s="545">
        <v>12</v>
      </c>
      <c r="D6780" s="545">
        <v>5.3333333333333339</v>
      </c>
      <c r="E6780" s="545">
        <v>3.666666666666667</v>
      </c>
      <c r="F6780" s="545">
        <v>9.8571428571428577</v>
      </c>
      <c r="G6780" s="545">
        <v>10.65</v>
      </c>
      <c r="H6780" s="545">
        <v>4.666666666666667</v>
      </c>
      <c r="I6780" s="545">
        <v>3.6666666666666665</v>
      </c>
      <c r="J6780" s="545">
        <v>8.7976190476190474</v>
      </c>
    </row>
    <row r="6781" spans="1:10">
      <c r="A6781" s="441">
        <v>8327</v>
      </c>
      <c r="B6781" s="441" t="s">
        <v>5699</v>
      </c>
      <c r="C6781" s="545">
        <v>56.5</v>
      </c>
      <c r="D6781" s="545">
        <v>55.333333333333329</v>
      </c>
      <c r="E6781" s="545">
        <v>39.333333333333336</v>
      </c>
      <c r="F6781" s="545">
        <v>53.880952380952372</v>
      </c>
      <c r="G6781" s="545">
        <v>34.950000000000003</v>
      </c>
      <c r="H6781" s="545">
        <v>23.666666666666668</v>
      </c>
      <c r="I6781" s="545">
        <v>19.333333333333332</v>
      </c>
      <c r="J6781" s="545">
        <v>31.107142857142858</v>
      </c>
    </row>
    <row r="6782" spans="1:10">
      <c r="A6782" s="441">
        <v>6796</v>
      </c>
      <c r="B6782" s="441" t="s">
        <v>5700</v>
      </c>
      <c r="C6782" s="545">
        <v>0.83333333333333326</v>
      </c>
      <c r="D6782" s="545">
        <v>1.3333333333333333</v>
      </c>
      <c r="E6782" s="545">
        <v>1</v>
      </c>
      <c r="F6782" s="545">
        <v>0.92857142857142849</v>
      </c>
      <c r="G6782" s="545">
        <v>1.25</v>
      </c>
      <c r="H6782" s="545">
        <v>1</v>
      </c>
      <c r="I6782" s="545">
        <v>0</v>
      </c>
      <c r="J6782" s="545">
        <v>1.0357142857142858</v>
      </c>
    </row>
    <row r="6783" spans="1:10">
      <c r="A6783" s="441">
        <v>8331</v>
      </c>
      <c r="B6783" s="441" t="s">
        <v>5700</v>
      </c>
      <c r="C6783" s="545">
        <v>1</v>
      </c>
      <c r="D6783" s="545">
        <v>1</v>
      </c>
      <c r="E6783" s="545">
        <v>0.66666666666666663</v>
      </c>
      <c r="F6783" s="545">
        <v>0.95238095238095244</v>
      </c>
      <c r="G6783" s="545">
        <v>0.65</v>
      </c>
      <c r="H6783" s="545">
        <v>1</v>
      </c>
      <c r="I6783" s="545">
        <v>0</v>
      </c>
      <c r="J6783" s="545">
        <v>0.6071428571428571</v>
      </c>
    </row>
    <row r="6784" spans="1:10">
      <c r="A6784" s="441">
        <v>8324</v>
      </c>
      <c r="B6784" s="441" t="s">
        <v>5701</v>
      </c>
      <c r="C6784" s="545">
        <v>20.333333333333336</v>
      </c>
      <c r="D6784" s="545">
        <v>10.666666666666668</v>
      </c>
      <c r="E6784" s="545">
        <v>12</v>
      </c>
      <c r="F6784" s="545">
        <v>17.761904761904766</v>
      </c>
      <c r="G6784" s="545">
        <v>12.25</v>
      </c>
      <c r="H6784" s="545">
        <v>11</v>
      </c>
      <c r="I6784" s="545">
        <v>4</v>
      </c>
      <c r="J6784" s="545">
        <v>10.892857142857142</v>
      </c>
    </row>
    <row r="6785" spans="1:10">
      <c r="A6785" s="441">
        <v>6797</v>
      </c>
      <c r="B6785" s="441" t="s">
        <v>5702</v>
      </c>
      <c r="C6785" s="545">
        <v>4</v>
      </c>
      <c r="D6785" s="545">
        <v>2.3333333333333335</v>
      </c>
      <c r="E6785" s="545">
        <v>2</v>
      </c>
      <c r="F6785" s="545">
        <v>3.4761904761904758</v>
      </c>
      <c r="G6785" s="545">
        <v>2.5</v>
      </c>
      <c r="H6785" s="545">
        <v>0.33333333333333331</v>
      </c>
      <c r="I6785" s="545">
        <v>3</v>
      </c>
      <c r="J6785" s="545">
        <v>2.2619047619047619</v>
      </c>
    </row>
    <row r="6786" spans="1:10">
      <c r="A6786" s="441">
        <v>8330</v>
      </c>
      <c r="B6786" s="441" t="s">
        <v>5702</v>
      </c>
      <c r="C6786" s="545">
        <v>2</v>
      </c>
      <c r="D6786" s="545">
        <v>0</v>
      </c>
      <c r="E6786" s="545">
        <v>1.6666666666666665</v>
      </c>
      <c r="F6786" s="545">
        <v>1.6666666666666665</v>
      </c>
      <c r="G6786" s="545">
        <v>1.4</v>
      </c>
      <c r="H6786" s="545">
        <v>0.66666666666666663</v>
      </c>
      <c r="I6786" s="545">
        <v>0.66666666666666663</v>
      </c>
      <c r="J6786" s="545">
        <v>1.1904761904761905</v>
      </c>
    </row>
    <row r="6787" spans="1:10">
      <c r="A6787" s="441">
        <v>8323</v>
      </c>
      <c r="B6787" s="441" t="s">
        <v>5703</v>
      </c>
      <c r="C6787" s="545">
        <v>57.5</v>
      </c>
      <c r="D6787" s="545">
        <v>47.666666666666664</v>
      </c>
      <c r="E6787" s="545">
        <v>39.333333333333336</v>
      </c>
      <c r="F6787" s="545">
        <v>53.5</v>
      </c>
      <c r="G6787" s="545">
        <v>33.200000000000003</v>
      </c>
      <c r="H6787" s="545">
        <v>23.666666666666668</v>
      </c>
      <c r="I6787" s="545">
        <v>15.333333333333334</v>
      </c>
      <c r="J6787" s="545">
        <v>29.285714285714285</v>
      </c>
    </row>
    <row r="6788" spans="1:10">
      <c r="A6788" s="441">
        <v>8322</v>
      </c>
      <c r="B6788" s="441" t="s">
        <v>5704</v>
      </c>
      <c r="C6788" s="545">
        <v>41.666666666666664</v>
      </c>
      <c r="D6788" s="545">
        <v>43</v>
      </c>
      <c r="E6788" s="545">
        <v>37.666666666666671</v>
      </c>
      <c r="F6788" s="545">
        <v>41.285714285714285</v>
      </c>
      <c r="G6788" s="545">
        <v>23.25</v>
      </c>
      <c r="H6788" s="545">
        <v>25.333333333333332</v>
      </c>
      <c r="I6788" s="545">
        <v>13.666666666666666</v>
      </c>
      <c r="J6788" s="545">
        <v>22.178571428571427</v>
      </c>
    </row>
    <row r="6789" spans="1:10">
      <c r="A6789" s="441">
        <v>8328</v>
      </c>
      <c r="B6789" s="441" t="s">
        <v>5704</v>
      </c>
      <c r="C6789" s="545">
        <v>55.333333333333336</v>
      </c>
      <c r="D6789" s="545">
        <v>41.666666666666671</v>
      </c>
      <c r="E6789" s="545">
        <v>39</v>
      </c>
      <c r="F6789" s="545">
        <v>51.047619047619051</v>
      </c>
      <c r="G6789" s="545">
        <v>26.8</v>
      </c>
      <c r="H6789" s="545">
        <v>21.333333333333332</v>
      </c>
      <c r="I6789" s="545">
        <v>16.333333333333332</v>
      </c>
      <c r="J6789" s="545">
        <v>24.523809523809526</v>
      </c>
    </row>
    <row r="6790" spans="1:10">
      <c r="A6790" s="441">
        <v>13111</v>
      </c>
      <c r="B6790" s="441" t="s">
        <v>5705</v>
      </c>
      <c r="C6790" s="545" t="e">
        <v>#N/A</v>
      </c>
      <c r="D6790" s="545" t="e">
        <v>#N/A</v>
      </c>
      <c r="E6790" s="545" t="e">
        <v>#N/A</v>
      </c>
      <c r="F6790" s="545" t="e">
        <v>#N/A</v>
      </c>
      <c r="G6790" s="545">
        <v>24.2</v>
      </c>
      <c r="H6790" s="545">
        <v>15.666666666666666</v>
      </c>
      <c r="I6790" s="545">
        <v>32.666666666666664</v>
      </c>
      <c r="J6790" s="545">
        <v>24.190476190476186</v>
      </c>
    </row>
    <row r="6791" spans="1:10">
      <c r="A6791" s="441">
        <v>8993</v>
      </c>
      <c r="B6791" s="441" t="s">
        <v>5706</v>
      </c>
      <c r="C6791" s="545">
        <v>9.1666666666666679</v>
      </c>
      <c r="D6791" s="545">
        <v>9.3333333333333339</v>
      </c>
      <c r="E6791" s="545">
        <v>6</v>
      </c>
      <c r="F6791" s="545">
        <v>8.738095238095239</v>
      </c>
      <c r="G6791" s="545">
        <v>8.35</v>
      </c>
      <c r="H6791" s="545">
        <v>9.6666666666666661</v>
      </c>
      <c r="I6791" s="545">
        <v>3.6666666666666665</v>
      </c>
      <c r="J6791" s="545">
        <v>7.8690476190476186</v>
      </c>
    </row>
    <row r="6792" spans="1:10">
      <c r="A6792" s="441">
        <v>13035</v>
      </c>
      <c r="B6792" s="441" t="s">
        <v>5706</v>
      </c>
      <c r="C6792" s="545">
        <v>7.833333333333333</v>
      </c>
      <c r="D6792" s="545">
        <v>8.3333333333333339</v>
      </c>
      <c r="E6792" s="545">
        <v>7.666666666666667</v>
      </c>
      <c r="F6792" s="545">
        <v>7.8809523809523805</v>
      </c>
      <c r="G6792" s="545">
        <v>11.05</v>
      </c>
      <c r="H6792" s="545">
        <v>5</v>
      </c>
      <c r="I6792" s="545">
        <v>4.666666666666667</v>
      </c>
      <c r="J6792" s="545">
        <v>9.2738095238095237</v>
      </c>
    </row>
    <row r="6793" spans="1:10">
      <c r="A6793" s="441">
        <v>7889</v>
      </c>
      <c r="B6793" s="441" t="s">
        <v>5707</v>
      </c>
      <c r="C6793" s="545">
        <v>29.333333333333332</v>
      </c>
      <c r="D6793" s="545">
        <v>34</v>
      </c>
      <c r="E6793" s="545">
        <v>19</v>
      </c>
      <c r="F6793" s="545">
        <v>28.523809523809522</v>
      </c>
      <c r="G6793" s="545">
        <v>19.7</v>
      </c>
      <c r="H6793" s="545">
        <v>10.666666666666666</v>
      </c>
      <c r="I6793" s="545">
        <v>12.333333333333334</v>
      </c>
      <c r="J6793" s="545">
        <v>17.357142857142858</v>
      </c>
    </row>
    <row r="6794" spans="1:10">
      <c r="A6794" s="441">
        <v>7890</v>
      </c>
      <c r="B6794" s="441" t="s">
        <v>5708</v>
      </c>
      <c r="C6794" s="545">
        <v>74</v>
      </c>
      <c r="D6794" s="545">
        <v>65.333333333333329</v>
      </c>
      <c r="E6794" s="545">
        <v>51</v>
      </c>
      <c r="F6794" s="545">
        <v>69.476190476190467</v>
      </c>
      <c r="G6794" s="545">
        <v>46.45</v>
      </c>
      <c r="H6794" s="545">
        <v>70.666666666666671</v>
      </c>
      <c r="I6794" s="545">
        <v>38.666666666666664</v>
      </c>
      <c r="J6794" s="545">
        <v>48.797619047619051</v>
      </c>
    </row>
    <row r="6795" spans="1:10">
      <c r="A6795" s="441">
        <v>12033</v>
      </c>
      <c r="B6795" s="441" t="s">
        <v>5709</v>
      </c>
      <c r="C6795" s="545">
        <v>438.66666666666669</v>
      </c>
      <c r="D6795" s="545">
        <v>0</v>
      </c>
      <c r="E6795" s="545">
        <v>0</v>
      </c>
      <c r="F6795" s="545">
        <v>313.33333333333337</v>
      </c>
      <c r="G6795" s="545">
        <v>349.8</v>
      </c>
      <c r="H6795" s="545"/>
      <c r="I6795" s="545"/>
      <c r="J6795" s="545">
        <v>249.85714285714286</v>
      </c>
    </row>
    <row r="6796" spans="1:10">
      <c r="A6796" s="441">
        <v>11628</v>
      </c>
      <c r="B6796" s="441" t="s">
        <v>5710</v>
      </c>
      <c r="C6796" s="545">
        <v>5.166666666666667</v>
      </c>
      <c r="D6796" s="545">
        <v>2</v>
      </c>
      <c r="E6796" s="545">
        <v>2.6666666666666665</v>
      </c>
      <c r="F6796" s="545">
        <v>4.3571428571428577</v>
      </c>
      <c r="G6796" s="545">
        <v>2.4</v>
      </c>
      <c r="H6796" s="545">
        <v>1.6666666666666667</v>
      </c>
      <c r="I6796" s="545">
        <v>3</v>
      </c>
      <c r="J6796" s="545">
        <v>2.3809523809523805</v>
      </c>
    </row>
    <row r="6797" spans="1:10">
      <c r="A6797" s="441">
        <v>11627</v>
      </c>
      <c r="B6797" s="441" t="s">
        <v>5711</v>
      </c>
      <c r="C6797" s="545">
        <v>3.166666666666667</v>
      </c>
      <c r="D6797" s="545">
        <v>4.666666666666667</v>
      </c>
      <c r="E6797" s="545">
        <v>1.3333333333333333</v>
      </c>
      <c r="F6797" s="545">
        <v>3.1190476190476195</v>
      </c>
      <c r="G6797" s="545">
        <v>3.15</v>
      </c>
      <c r="H6797" s="545">
        <v>2.6666666666666665</v>
      </c>
      <c r="I6797" s="545">
        <v>2.6666666666666665</v>
      </c>
      <c r="J6797" s="545">
        <v>3.0119047619047623</v>
      </c>
    </row>
    <row r="6798" spans="1:10">
      <c r="A6798" s="441">
        <v>7278</v>
      </c>
      <c r="B6798" s="441" t="s">
        <v>5712</v>
      </c>
      <c r="C6798" s="545">
        <v>134.83333333333331</v>
      </c>
      <c r="D6798" s="545">
        <v>101.33333333333333</v>
      </c>
      <c r="E6798" s="545">
        <v>77</v>
      </c>
      <c r="F6798" s="545">
        <v>121.78571428571426</v>
      </c>
      <c r="G6798" s="545">
        <v>94.3</v>
      </c>
      <c r="H6798" s="545">
        <v>75</v>
      </c>
      <c r="I6798" s="545">
        <v>60.666666666666664</v>
      </c>
      <c r="J6798" s="545">
        <v>86.738095238095227</v>
      </c>
    </row>
    <row r="6799" spans="1:10">
      <c r="A6799" s="441">
        <v>7279</v>
      </c>
      <c r="B6799" s="441" t="s">
        <v>5713</v>
      </c>
      <c r="C6799" s="545">
        <v>20</v>
      </c>
      <c r="D6799" s="545">
        <v>8.3333333333333339</v>
      </c>
      <c r="E6799" s="545">
        <v>10</v>
      </c>
      <c r="F6799" s="545">
        <v>16.904761904761905</v>
      </c>
      <c r="G6799" s="545">
        <v>14.05</v>
      </c>
      <c r="H6799" s="545">
        <v>5.333333333333333</v>
      </c>
      <c r="I6799" s="545">
        <v>7.333333333333333</v>
      </c>
      <c r="J6799" s="545">
        <v>11.845238095238093</v>
      </c>
    </row>
    <row r="6800" spans="1:10">
      <c r="A6800" s="441">
        <v>459</v>
      </c>
      <c r="B6800" s="441" t="s">
        <v>5714</v>
      </c>
      <c r="C6800" s="545">
        <v>8.5</v>
      </c>
      <c r="D6800" s="545">
        <v>2.333333333333333</v>
      </c>
      <c r="E6800" s="545">
        <v>0.33333333333333331</v>
      </c>
      <c r="F6800" s="545">
        <v>6.4523809523809534</v>
      </c>
      <c r="G6800" s="545">
        <v>5.05</v>
      </c>
      <c r="H6800" s="545">
        <v>4</v>
      </c>
      <c r="I6800" s="545">
        <v>3.3333333333333335</v>
      </c>
      <c r="J6800" s="545">
        <v>4.6547619047619051</v>
      </c>
    </row>
    <row r="6801" spans="1:10">
      <c r="A6801" s="441">
        <v>462</v>
      </c>
      <c r="B6801" s="441" t="s">
        <v>5715</v>
      </c>
      <c r="C6801" s="545">
        <v>17.833333333333336</v>
      </c>
      <c r="D6801" s="545">
        <v>11</v>
      </c>
      <c r="E6801" s="545">
        <v>11.333333333333332</v>
      </c>
      <c r="F6801" s="545">
        <v>15.928571428571431</v>
      </c>
      <c r="G6801" s="545">
        <v>21.8</v>
      </c>
      <c r="H6801" s="545">
        <v>10.666666666666666</v>
      </c>
      <c r="I6801" s="545">
        <v>12</v>
      </c>
      <c r="J6801" s="545">
        <v>18.809523809523814</v>
      </c>
    </row>
    <row r="6802" spans="1:10">
      <c r="A6802" s="441">
        <v>7287</v>
      </c>
      <c r="B6802" s="441" t="s">
        <v>5716</v>
      </c>
      <c r="C6802" s="545">
        <v>15.333333333333332</v>
      </c>
      <c r="D6802" s="545">
        <v>8.3333333333333339</v>
      </c>
      <c r="E6802" s="545">
        <v>11.333333333333334</v>
      </c>
      <c r="F6802" s="545">
        <v>13.761904761904759</v>
      </c>
      <c r="G6802" s="545">
        <v>13.35</v>
      </c>
      <c r="H6802" s="545">
        <v>11.333333333333334</v>
      </c>
      <c r="I6802" s="545">
        <v>6.666666666666667</v>
      </c>
      <c r="J6802" s="545">
        <v>12.107142857142858</v>
      </c>
    </row>
    <row r="6803" spans="1:10">
      <c r="A6803" s="441">
        <v>457</v>
      </c>
      <c r="B6803" s="441" t="s">
        <v>5717</v>
      </c>
      <c r="C6803" s="545">
        <v>3.666666666666667</v>
      </c>
      <c r="D6803" s="545">
        <v>2.333333333333333</v>
      </c>
      <c r="E6803" s="545">
        <v>3</v>
      </c>
      <c r="F6803" s="545">
        <v>3.3809523809523809</v>
      </c>
      <c r="G6803" s="545">
        <v>5.05</v>
      </c>
      <c r="H6803" s="545">
        <v>2</v>
      </c>
      <c r="I6803" s="545">
        <v>3.6666666666666665</v>
      </c>
      <c r="J6803" s="545">
        <v>4.416666666666667</v>
      </c>
    </row>
    <row r="6804" spans="1:10">
      <c r="A6804" s="441">
        <v>6566</v>
      </c>
      <c r="B6804" s="441" t="s">
        <v>5717</v>
      </c>
      <c r="C6804" s="545">
        <v>7.6666666666666661</v>
      </c>
      <c r="D6804" s="545">
        <v>4</v>
      </c>
      <c r="E6804" s="545">
        <v>4.666666666666667</v>
      </c>
      <c r="F6804" s="545">
        <v>6.7142857142857135</v>
      </c>
      <c r="G6804" s="545">
        <v>29.2</v>
      </c>
      <c r="H6804" s="545">
        <v>29</v>
      </c>
      <c r="I6804" s="545">
        <v>11.666666666666666</v>
      </c>
      <c r="J6804" s="545">
        <v>26.666666666666664</v>
      </c>
    </row>
    <row r="6805" spans="1:10">
      <c r="A6805" s="441">
        <v>7289</v>
      </c>
      <c r="B6805" s="441" t="s">
        <v>5718</v>
      </c>
      <c r="C6805" s="545">
        <v>75.166666666666657</v>
      </c>
      <c r="D6805" s="545">
        <v>44.666666666666671</v>
      </c>
      <c r="E6805" s="545">
        <v>32.666666666666664</v>
      </c>
      <c r="F6805" s="545">
        <v>64.738095238095227</v>
      </c>
      <c r="G6805" s="545">
        <v>36.15</v>
      </c>
      <c r="H6805" s="545">
        <v>28.333333333333332</v>
      </c>
      <c r="I6805" s="545">
        <v>26</v>
      </c>
      <c r="J6805" s="545">
        <v>33.583333333333336</v>
      </c>
    </row>
    <row r="6806" spans="1:10">
      <c r="A6806" s="441">
        <v>7300</v>
      </c>
      <c r="B6806" s="441" t="s">
        <v>5718</v>
      </c>
      <c r="C6806" s="545">
        <v>47.166666666666664</v>
      </c>
      <c r="D6806" s="545">
        <v>32.333333333333336</v>
      </c>
      <c r="E6806" s="545">
        <v>18.333333333333336</v>
      </c>
      <c r="F6806" s="545">
        <v>40.928571428571423</v>
      </c>
      <c r="G6806" s="545">
        <v>17.850000000000001</v>
      </c>
      <c r="H6806" s="545">
        <v>14.666666666666666</v>
      </c>
      <c r="I6806" s="545">
        <v>12.333333333333334</v>
      </c>
      <c r="J6806" s="545">
        <v>16.607142857142858</v>
      </c>
    </row>
    <row r="6807" spans="1:10">
      <c r="A6807" s="441">
        <v>464</v>
      </c>
      <c r="B6807" s="441" t="s">
        <v>5719</v>
      </c>
      <c r="C6807" s="545">
        <v>18.666666666666664</v>
      </c>
      <c r="D6807" s="545">
        <v>16</v>
      </c>
      <c r="E6807" s="545">
        <v>17.333333333333336</v>
      </c>
      <c r="F6807" s="545">
        <v>18.095238095238095</v>
      </c>
      <c r="G6807" s="545">
        <v>18.2</v>
      </c>
      <c r="H6807" s="545">
        <v>16</v>
      </c>
      <c r="I6807" s="545">
        <v>21</v>
      </c>
      <c r="J6807" s="545">
        <v>18.285714285714285</v>
      </c>
    </row>
    <row r="6808" spans="1:10">
      <c r="A6808" s="441">
        <v>463</v>
      </c>
      <c r="B6808" s="441" t="s">
        <v>5720</v>
      </c>
      <c r="C6808" s="545">
        <v>18.833333333333336</v>
      </c>
      <c r="D6808" s="545">
        <v>6.6666666666666661</v>
      </c>
      <c r="E6808" s="545">
        <v>13.666666666666668</v>
      </c>
      <c r="F6808" s="545">
        <v>16.357142857142861</v>
      </c>
      <c r="G6808" s="545">
        <v>8.4</v>
      </c>
      <c r="H6808" s="545">
        <v>7.333333333333333</v>
      </c>
      <c r="I6808" s="545">
        <v>6.666666666666667</v>
      </c>
      <c r="J6808" s="545">
        <v>8</v>
      </c>
    </row>
    <row r="6809" spans="1:10">
      <c r="A6809" s="441">
        <v>458</v>
      </c>
      <c r="B6809" s="441" t="s">
        <v>5721</v>
      </c>
      <c r="C6809" s="545">
        <v>17.166666666666668</v>
      </c>
      <c r="D6809" s="545">
        <v>7</v>
      </c>
      <c r="E6809" s="545">
        <v>4.333333333333333</v>
      </c>
      <c r="F6809" s="545">
        <v>13.880952380952381</v>
      </c>
      <c r="G6809" s="545">
        <v>7.3</v>
      </c>
      <c r="H6809" s="545">
        <v>4.333333333333333</v>
      </c>
      <c r="I6809" s="545">
        <v>1</v>
      </c>
      <c r="J6809" s="545">
        <v>5.9761904761904763</v>
      </c>
    </row>
    <row r="6810" spans="1:10">
      <c r="A6810" s="441">
        <v>7280</v>
      </c>
      <c r="B6810" s="441" t="s">
        <v>5722</v>
      </c>
      <c r="C6810" s="545">
        <v>49.666666666666671</v>
      </c>
      <c r="D6810" s="545">
        <v>29.333333333333336</v>
      </c>
      <c r="E6810" s="545">
        <v>26.333333333333336</v>
      </c>
      <c r="F6810" s="545">
        <v>43.428571428571431</v>
      </c>
      <c r="G6810" s="545">
        <v>52.65</v>
      </c>
      <c r="H6810" s="545">
        <v>28.333333333333332</v>
      </c>
      <c r="I6810" s="545">
        <v>19</v>
      </c>
      <c r="J6810" s="545">
        <v>44.369047619047613</v>
      </c>
    </row>
    <row r="6811" spans="1:10">
      <c r="A6811" s="441">
        <v>7308</v>
      </c>
      <c r="B6811" s="441" t="s">
        <v>5722</v>
      </c>
      <c r="C6811" s="545">
        <v>46.333333333333329</v>
      </c>
      <c r="D6811" s="545">
        <v>23.666666666666668</v>
      </c>
      <c r="E6811" s="545">
        <v>24.666666666666668</v>
      </c>
      <c r="F6811" s="545">
        <v>39.999999999999993</v>
      </c>
      <c r="G6811" s="545">
        <v>55.8</v>
      </c>
      <c r="H6811" s="545">
        <v>29.333333333333332</v>
      </c>
      <c r="I6811" s="545">
        <v>26.666666666666668</v>
      </c>
      <c r="J6811" s="545">
        <v>47.857142857142854</v>
      </c>
    </row>
    <row r="6812" spans="1:10">
      <c r="A6812" s="441">
        <v>7295</v>
      </c>
      <c r="B6812" s="441" t="s">
        <v>5723</v>
      </c>
      <c r="C6812" s="545">
        <v>41.166666666666671</v>
      </c>
      <c r="D6812" s="545">
        <v>31</v>
      </c>
      <c r="E6812" s="545">
        <v>24.333333333333336</v>
      </c>
      <c r="F6812" s="545">
        <v>37.30952380952381</v>
      </c>
      <c r="G6812" s="545">
        <v>44.6</v>
      </c>
      <c r="H6812" s="545">
        <v>18.333333333333332</v>
      </c>
      <c r="I6812" s="545">
        <v>16</v>
      </c>
      <c r="J6812" s="545">
        <v>36.761904761904766</v>
      </c>
    </row>
    <row r="6813" spans="1:10">
      <c r="A6813" s="441">
        <v>10103</v>
      </c>
      <c r="B6813" s="441" t="s">
        <v>5723</v>
      </c>
      <c r="C6813" s="545">
        <v>1.6666666666666667</v>
      </c>
      <c r="D6813" s="545">
        <v>3</v>
      </c>
      <c r="E6813" s="545">
        <v>2.3333333333333335</v>
      </c>
      <c r="F6813" s="545">
        <v>1.9523809523809526</v>
      </c>
      <c r="G6813" s="545">
        <v>2.35</v>
      </c>
      <c r="H6813" s="545">
        <v>0.33333333333333331</v>
      </c>
      <c r="I6813" s="545">
        <v>1</v>
      </c>
      <c r="J6813" s="545">
        <v>1.8690476190476191</v>
      </c>
    </row>
    <row r="6814" spans="1:10">
      <c r="A6814" s="441">
        <v>13164</v>
      </c>
      <c r="B6814" s="441" t="s">
        <v>5724</v>
      </c>
      <c r="C6814" s="545" t="e">
        <v>#N/A</v>
      </c>
      <c r="D6814" s="545" t="e">
        <v>#N/A</v>
      </c>
      <c r="E6814" s="545" t="e">
        <v>#N/A</v>
      </c>
      <c r="F6814" s="545" t="e">
        <v>#N/A</v>
      </c>
      <c r="G6814" s="545">
        <v>24.777777777777779</v>
      </c>
      <c r="H6814" s="545"/>
      <c r="I6814" s="545"/>
      <c r="J6814" s="545">
        <v>17.698412698412699</v>
      </c>
    </row>
    <row r="6815" spans="1:10">
      <c r="A6815" s="441">
        <v>456</v>
      </c>
      <c r="B6815" s="441" t="s">
        <v>5725</v>
      </c>
      <c r="C6815" s="545">
        <v>41</v>
      </c>
      <c r="D6815" s="545">
        <v>24.333333333333332</v>
      </c>
      <c r="E6815" s="545">
        <v>21.333333333333336</v>
      </c>
      <c r="F6815" s="545">
        <v>35.80952380952381</v>
      </c>
      <c r="G6815" s="545">
        <v>29.25</v>
      </c>
      <c r="H6815" s="545">
        <v>14</v>
      </c>
      <c r="I6815" s="545">
        <v>8.6666666666666661</v>
      </c>
      <c r="J6815" s="545">
        <v>24.13095238095238</v>
      </c>
    </row>
    <row r="6816" spans="1:10">
      <c r="A6816" s="441">
        <v>6567</v>
      </c>
      <c r="B6816" s="441" t="s">
        <v>5725</v>
      </c>
      <c r="C6816" s="545">
        <v>36.333333333333336</v>
      </c>
      <c r="D6816" s="545">
        <v>22.333333333333336</v>
      </c>
      <c r="E6816" s="545">
        <v>24.666666666666664</v>
      </c>
      <c r="F6816" s="545">
        <v>32.666666666666671</v>
      </c>
      <c r="G6816" s="545">
        <v>19.3</v>
      </c>
      <c r="H6816" s="545">
        <v>12</v>
      </c>
      <c r="I6816" s="545">
        <v>7.333333333333333</v>
      </c>
      <c r="J6816" s="545">
        <v>16.547619047619047</v>
      </c>
    </row>
    <row r="6817" spans="1:10">
      <c r="A6817" s="441">
        <v>7294</v>
      </c>
      <c r="B6817" s="441" t="s">
        <v>5726</v>
      </c>
      <c r="C6817" s="545">
        <v>28.5</v>
      </c>
      <c r="D6817" s="545">
        <v>19.333333333333332</v>
      </c>
      <c r="E6817" s="545">
        <v>19.333333333333332</v>
      </c>
      <c r="F6817" s="545">
        <v>25.880952380952383</v>
      </c>
      <c r="G6817" s="545">
        <v>19.2</v>
      </c>
      <c r="H6817" s="545">
        <v>11.666666666666666</v>
      </c>
      <c r="I6817" s="545">
        <v>8.3333333333333339</v>
      </c>
      <c r="J6817" s="545">
        <v>16.571428571428573</v>
      </c>
    </row>
    <row r="6818" spans="1:10">
      <c r="A6818" s="441">
        <v>12649</v>
      </c>
      <c r="B6818" s="441" t="s">
        <v>5727</v>
      </c>
      <c r="C6818" s="545">
        <v>13.833333333333334</v>
      </c>
      <c r="D6818" s="545">
        <v>5.3333333333333339</v>
      </c>
      <c r="E6818" s="545">
        <v>5.333333333333333</v>
      </c>
      <c r="F6818" s="545">
        <v>11.404761904761903</v>
      </c>
      <c r="G6818" s="545">
        <v>14.8</v>
      </c>
      <c r="H6818" s="545">
        <v>9.6666666666666661</v>
      </c>
      <c r="I6818" s="545">
        <v>4.333333333333333</v>
      </c>
      <c r="J6818" s="545">
        <v>12.571428571428571</v>
      </c>
    </row>
    <row r="6819" spans="1:10">
      <c r="A6819" s="441">
        <v>13037</v>
      </c>
      <c r="B6819" s="441" t="s">
        <v>5727</v>
      </c>
      <c r="C6819" s="545">
        <v>35.5</v>
      </c>
      <c r="D6819" s="545">
        <v>26.666666666666664</v>
      </c>
      <c r="E6819" s="545">
        <v>12.666666666666668</v>
      </c>
      <c r="F6819" s="545">
        <v>30.976190476190474</v>
      </c>
      <c r="G6819" s="545">
        <v>23.95</v>
      </c>
      <c r="H6819" s="545">
        <v>19</v>
      </c>
      <c r="I6819" s="545">
        <v>11.666666666666666</v>
      </c>
      <c r="J6819" s="545">
        <v>21.488095238095237</v>
      </c>
    </row>
    <row r="6820" spans="1:10">
      <c r="A6820" s="441">
        <v>465</v>
      </c>
      <c r="B6820" s="441" t="s">
        <v>5728</v>
      </c>
      <c r="C6820" s="545">
        <v>24.666666666666664</v>
      </c>
      <c r="D6820" s="545">
        <v>22</v>
      </c>
      <c r="E6820" s="545">
        <v>22</v>
      </c>
      <c r="F6820" s="545">
        <v>23.904761904761902</v>
      </c>
      <c r="G6820" s="545">
        <v>25.6</v>
      </c>
      <c r="H6820" s="545">
        <v>11</v>
      </c>
      <c r="I6820" s="545">
        <v>14.333333333333334</v>
      </c>
      <c r="J6820" s="545">
        <v>21.904761904761905</v>
      </c>
    </row>
    <row r="6821" spans="1:10">
      <c r="A6821" s="441">
        <v>7301</v>
      </c>
      <c r="B6821" s="441" t="s">
        <v>5729</v>
      </c>
      <c r="C6821" s="545">
        <v>183.5</v>
      </c>
      <c r="D6821" s="545">
        <v>115.66666666666666</v>
      </c>
      <c r="E6821" s="545">
        <v>96.666666666666671</v>
      </c>
      <c r="F6821" s="545">
        <v>161.40476190476193</v>
      </c>
      <c r="G6821" s="545">
        <v>119.1</v>
      </c>
      <c r="H6821" s="545">
        <v>86</v>
      </c>
      <c r="I6821" s="545">
        <v>53</v>
      </c>
      <c r="J6821" s="545">
        <v>104.92857142857143</v>
      </c>
    </row>
    <row r="6822" spans="1:10">
      <c r="A6822" s="441">
        <v>7288</v>
      </c>
      <c r="B6822" s="441" t="s">
        <v>5730</v>
      </c>
      <c r="C6822" s="545">
        <v>86.166666666666671</v>
      </c>
      <c r="D6822" s="545">
        <v>46.333333333333329</v>
      </c>
      <c r="E6822" s="545">
        <v>27.333333333333336</v>
      </c>
      <c r="F6822" s="545">
        <v>72.071428571428569</v>
      </c>
      <c r="G6822" s="545">
        <v>58.25</v>
      </c>
      <c r="H6822" s="545">
        <v>48.333333333333336</v>
      </c>
      <c r="I6822" s="545">
        <v>27.333333333333332</v>
      </c>
      <c r="J6822" s="545">
        <v>52.416666666666664</v>
      </c>
    </row>
    <row r="6823" spans="1:10">
      <c r="A6823" s="441">
        <v>13109</v>
      </c>
      <c r="B6823" s="441" t="s">
        <v>5730</v>
      </c>
      <c r="C6823" s="545">
        <v>54.5</v>
      </c>
      <c r="D6823" s="545">
        <v>40.666666666666671</v>
      </c>
      <c r="E6823" s="545">
        <v>39</v>
      </c>
      <c r="F6823" s="545">
        <v>50.30952380952381</v>
      </c>
      <c r="G6823" s="545">
        <v>41.5</v>
      </c>
      <c r="H6823" s="545">
        <v>22.333333333333332</v>
      </c>
      <c r="I6823" s="545">
        <v>18.333333333333332</v>
      </c>
      <c r="J6823" s="545">
        <v>35.452380952380956</v>
      </c>
    </row>
    <row r="6824" spans="1:10">
      <c r="A6824" s="441">
        <v>460</v>
      </c>
      <c r="B6824" s="441" t="s">
        <v>5731</v>
      </c>
      <c r="C6824" s="545">
        <v>17.833333333333332</v>
      </c>
      <c r="D6824" s="545">
        <v>9.6666666666666661</v>
      </c>
      <c r="E6824" s="545">
        <v>4</v>
      </c>
      <c r="F6824" s="545">
        <v>14.69047619047619</v>
      </c>
      <c r="G6824" s="545">
        <v>5.95</v>
      </c>
      <c r="H6824" s="545">
        <v>8.6666666666666661</v>
      </c>
      <c r="I6824" s="545">
        <v>3.3333333333333335</v>
      </c>
      <c r="J6824" s="545">
        <v>5.9642857142857144</v>
      </c>
    </row>
    <row r="6825" spans="1:10">
      <c r="A6825" s="441">
        <v>7284</v>
      </c>
      <c r="B6825" s="441" t="s">
        <v>5732</v>
      </c>
      <c r="C6825" s="545">
        <v>47.5</v>
      </c>
      <c r="D6825" s="545">
        <v>37.666666666666664</v>
      </c>
      <c r="E6825" s="545">
        <v>27</v>
      </c>
      <c r="F6825" s="545">
        <v>43.166666666666671</v>
      </c>
      <c r="G6825" s="545">
        <v>36.9</v>
      </c>
      <c r="H6825" s="545">
        <v>31.333333333333332</v>
      </c>
      <c r="I6825" s="545">
        <v>25</v>
      </c>
      <c r="J6825" s="545">
        <v>34.404761904761905</v>
      </c>
    </row>
    <row r="6826" spans="1:10">
      <c r="A6826" s="441">
        <v>10101</v>
      </c>
      <c r="B6826" s="441" t="s">
        <v>5733</v>
      </c>
      <c r="C6826" s="545">
        <v>24.166666666666668</v>
      </c>
      <c r="D6826" s="545">
        <v>26.333333333333336</v>
      </c>
      <c r="E6826" s="545">
        <v>17.333333333333336</v>
      </c>
      <c r="F6826" s="545">
        <v>23.500000000000004</v>
      </c>
      <c r="G6826" s="545">
        <v>24.1</v>
      </c>
      <c r="H6826" s="545">
        <v>14</v>
      </c>
      <c r="I6826" s="545">
        <v>14</v>
      </c>
      <c r="J6826" s="545">
        <v>21.214285714285715</v>
      </c>
    </row>
    <row r="6827" spans="1:10">
      <c r="A6827" s="441">
        <v>10102</v>
      </c>
      <c r="B6827" s="441" t="s">
        <v>5734</v>
      </c>
      <c r="C6827" s="545">
        <v>119.83333333333333</v>
      </c>
      <c r="D6827" s="545">
        <v>77.666666666666671</v>
      </c>
      <c r="E6827" s="545">
        <v>80</v>
      </c>
      <c r="F6827" s="545">
        <v>108.11904761904761</v>
      </c>
      <c r="G6827" s="545">
        <v>85.25</v>
      </c>
      <c r="H6827" s="545">
        <v>58.333333333333336</v>
      </c>
      <c r="I6827" s="545">
        <v>29.333333333333332</v>
      </c>
      <c r="J6827" s="545">
        <v>73.416666666666657</v>
      </c>
    </row>
    <row r="6828" spans="1:10">
      <c r="A6828" s="441">
        <v>10104</v>
      </c>
      <c r="B6828" s="441" t="s">
        <v>5734</v>
      </c>
      <c r="C6828" s="545">
        <v>69.166666666666671</v>
      </c>
      <c r="D6828" s="545">
        <v>47.666666666666671</v>
      </c>
      <c r="E6828" s="545">
        <v>48</v>
      </c>
      <c r="F6828" s="545">
        <v>63.071428571428577</v>
      </c>
      <c r="G6828" s="545">
        <v>38.200000000000003</v>
      </c>
      <c r="H6828" s="545">
        <v>29.333333333333332</v>
      </c>
      <c r="I6828" s="545">
        <v>26.666666666666668</v>
      </c>
      <c r="J6828" s="545">
        <v>35.285714285714285</v>
      </c>
    </row>
    <row r="6829" spans="1:10">
      <c r="A6829" s="441">
        <v>10105</v>
      </c>
      <c r="B6829" s="441" t="s">
        <v>5734</v>
      </c>
      <c r="C6829" s="545">
        <v>6.5</v>
      </c>
      <c r="D6829" s="545">
        <v>14</v>
      </c>
      <c r="E6829" s="545">
        <v>3</v>
      </c>
      <c r="F6829" s="545">
        <v>7.0714285714285712</v>
      </c>
      <c r="G6829" s="545">
        <v>11.9</v>
      </c>
      <c r="H6829" s="545">
        <v>5.666666666666667</v>
      </c>
      <c r="I6829" s="545">
        <v>6.666666666666667</v>
      </c>
      <c r="J6829" s="545">
        <v>10.261904761904763</v>
      </c>
    </row>
    <row r="6830" spans="1:10">
      <c r="A6830" s="441">
        <v>461</v>
      </c>
      <c r="B6830" s="441" t="s">
        <v>5735</v>
      </c>
      <c r="C6830" s="545">
        <v>108.5</v>
      </c>
      <c r="D6830" s="545">
        <v>112</v>
      </c>
      <c r="E6830" s="545">
        <v>83.333333333333343</v>
      </c>
      <c r="F6830" s="545">
        <v>105.40476190476191</v>
      </c>
      <c r="G6830" s="545">
        <v>82.45</v>
      </c>
      <c r="H6830" s="545">
        <v>59.666666666666664</v>
      </c>
      <c r="I6830" s="545">
        <v>48</v>
      </c>
      <c r="J6830" s="545">
        <v>74.273809523809533</v>
      </c>
    </row>
    <row r="6831" spans="1:10">
      <c r="A6831" s="441">
        <v>7282</v>
      </c>
      <c r="B6831" s="441" t="s">
        <v>5736</v>
      </c>
      <c r="C6831" s="545">
        <v>29</v>
      </c>
      <c r="D6831" s="545">
        <v>25.333333333333336</v>
      </c>
      <c r="E6831" s="545">
        <v>21</v>
      </c>
      <c r="F6831" s="545">
        <v>27.333333333333336</v>
      </c>
      <c r="G6831" s="545">
        <v>38.950000000000003</v>
      </c>
      <c r="H6831" s="545">
        <v>32.666666666666664</v>
      </c>
      <c r="I6831" s="545">
        <v>21</v>
      </c>
      <c r="J6831" s="545">
        <v>35.488095238095234</v>
      </c>
    </row>
    <row r="6832" spans="1:10">
      <c r="A6832" s="441">
        <v>8926</v>
      </c>
      <c r="B6832" s="441" t="s">
        <v>5737</v>
      </c>
      <c r="C6832" s="545">
        <v>43.666666666666671</v>
      </c>
      <c r="D6832" s="545">
        <v>31.666666666666668</v>
      </c>
      <c r="E6832" s="545">
        <v>20</v>
      </c>
      <c r="F6832" s="545">
        <v>38.571428571428569</v>
      </c>
      <c r="G6832" s="545">
        <v>13</v>
      </c>
      <c r="H6832" s="545">
        <v>6.333333333333333</v>
      </c>
      <c r="I6832" s="545">
        <v>5</v>
      </c>
      <c r="J6832" s="545">
        <v>10.904761904761903</v>
      </c>
    </row>
    <row r="6833" spans="1:10">
      <c r="A6833" s="441">
        <v>11970</v>
      </c>
      <c r="B6833" s="441" t="s">
        <v>5737</v>
      </c>
      <c r="C6833" s="545">
        <v>0.83333333333333326</v>
      </c>
      <c r="D6833" s="545">
        <v>1.3333333333333333</v>
      </c>
      <c r="E6833" s="545">
        <v>0</v>
      </c>
      <c r="F6833" s="545">
        <v>0.78571428571428559</v>
      </c>
      <c r="G6833" s="545">
        <v>0.55000000000000004</v>
      </c>
      <c r="H6833" s="545">
        <v>0</v>
      </c>
      <c r="I6833" s="545">
        <v>0</v>
      </c>
      <c r="J6833" s="545">
        <v>0.39285714285714285</v>
      </c>
    </row>
    <row r="6834" spans="1:10">
      <c r="A6834" s="441">
        <v>8929</v>
      </c>
      <c r="B6834" s="441" t="s">
        <v>5738</v>
      </c>
      <c r="C6834" s="545">
        <v>0.16666666666666666</v>
      </c>
      <c r="D6834" s="545">
        <v>0.66666666666666663</v>
      </c>
      <c r="E6834" s="545">
        <v>0</v>
      </c>
      <c r="F6834" s="545">
        <v>0.21428571428571427</v>
      </c>
      <c r="G6834" s="545">
        <v>1.05</v>
      </c>
      <c r="H6834" s="545">
        <v>0</v>
      </c>
      <c r="I6834" s="545">
        <v>0</v>
      </c>
      <c r="J6834" s="545">
        <v>0.75</v>
      </c>
    </row>
    <row r="6835" spans="1:10">
      <c r="A6835" s="441">
        <v>12789</v>
      </c>
      <c r="B6835" s="441" t="s">
        <v>5739</v>
      </c>
      <c r="C6835" s="545">
        <v>1</v>
      </c>
      <c r="D6835" s="545">
        <v>0.66666666666666663</v>
      </c>
      <c r="E6835" s="545">
        <v>0</v>
      </c>
      <c r="F6835" s="545">
        <v>0.80952380952380953</v>
      </c>
      <c r="G6835" s="545">
        <v>0.6</v>
      </c>
      <c r="H6835" s="545">
        <v>0</v>
      </c>
      <c r="I6835" s="545">
        <v>0</v>
      </c>
      <c r="J6835" s="545">
        <v>0.42857142857142855</v>
      </c>
    </row>
    <row r="6836" spans="1:10">
      <c r="A6836" s="441">
        <v>8927</v>
      </c>
      <c r="B6836" s="441" t="s">
        <v>5740</v>
      </c>
      <c r="C6836" s="545">
        <v>6.166666666666667</v>
      </c>
      <c r="D6836" s="545">
        <v>8.6666666666666661</v>
      </c>
      <c r="E6836" s="545">
        <v>2.333333333333333</v>
      </c>
      <c r="F6836" s="545">
        <v>5.9761904761904763</v>
      </c>
      <c r="G6836" s="545">
        <v>3.45</v>
      </c>
      <c r="H6836" s="545">
        <v>0.66666666666666663</v>
      </c>
      <c r="I6836" s="545">
        <v>1.3333333333333333</v>
      </c>
      <c r="J6836" s="545">
        <v>2.75</v>
      </c>
    </row>
    <row r="6837" spans="1:10">
      <c r="A6837" s="441">
        <v>8928</v>
      </c>
      <c r="B6837" s="441" t="s">
        <v>5740</v>
      </c>
      <c r="C6837" s="545">
        <v>0.16666666666666666</v>
      </c>
      <c r="D6837" s="545">
        <v>0</v>
      </c>
      <c r="E6837" s="545">
        <v>0</v>
      </c>
      <c r="F6837" s="545">
        <v>0.11904761904761904</v>
      </c>
      <c r="G6837" s="545">
        <v>0.1</v>
      </c>
      <c r="H6837" s="545">
        <v>0</v>
      </c>
      <c r="I6837" s="545">
        <v>0</v>
      </c>
      <c r="J6837" s="545">
        <v>7.1428571428571425E-2</v>
      </c>
    </row>
    <row r="6838" spans="1:10">
      <c r="A6838" s="441">
        <v>2422</v>
      </c>
      <c r="B6838" s="441" t="s">
        <v>5741</v>
      </c>
      <c r="C6838" s="545">
        <v>2.1666666666666665</v>
      </c>
      <c r="D6838" s="545">
        <v>4.3333333333333339</v>
      </c>
      <c r="E6838" s="545">
        <v>0.66666666666666663</v>
      </c>
      <c r="F6838" s="545">
        <v>2.2619047619047619</v>
      </c>
      <c r="G6838" s="545">
        <v>3.9333333333333331</v>
      </c>
      <c r="H6838" s="545">
        <v>0.66666666666666663</v>
      </c>
      <c r="I6838" s="545">
        <v>1.6666666666666667</v>
      </c>
      <c r="J6838" s="545">
        <v>3.1428571428571428</v>
      </c>
    </row>
    <row r="6839" spans="1:10">
      <c r="A6839" s="441">
        <v>2423</v>
      </c>
      <c r="B6839" s="441" t="s">
        <v>5742</v>
      </c>
      <c r="C6839" s="545">
        <v>5.3333333333333339</v>
      </c>
      <c r="D6839" s="545">
        <v>5.333333333333333</v>
      </c>
      <c r="E6839" s="545">
        <v>1.6666666666666667</v>
      </c>
      <c r="F6839" s="545">
        <v>4.8095238095238102</v>
      </c>
      <c r="G6839" s="545">
        <v>7.8666666666666663</v>
      </c>
      <c r="H6839" s="545">
        <v>5.333333333333333</v>
      </c>
      <c r="I6839" s="545">
        <v>3</v>
      </c>
      <c r="J6839" s="545">
        <v>6.8095238095238093</v>
      </c>
    </row>
    <row r="6840" spans="1:10">
      <c r="A6840" s="441">
        <v>2424</v>
      </c>
      <c r="B6840" s="441" t="s">
        <v>5743</v>
      </c>
      <c r="C6840" s="545">
        <v>16.833333333333332</v>
      </c>
      <c r="D6840" s="545">
        <v>14.333333333333334</v>
      </c>
      <c r="E6840" s="545">
        <v>12</v>
      </c>
      <c r="F6840" s="545">
        <v>15.785714285714283</v>
      </c>
      <c r="G6840" s="545">
        <v>11.8</v>
      </c>
      <c r="H6840" s="545">
        <v>8</v>
      </c>
      <c r="I6840" s="545">
        <v>7</v>
      </c>
      <c r="J6840" s="545">
        <v>10.571428571428571</v>
      </c>
    </row>
    <row r="6841" spans="1:10">
      <c r="A6841" s="441">
        <v>12944</v>
      </c>
      <c r="B6841" s="441" t="s">
        <v>5744</v>
      </c>
      <c r="C6841" s="545">
        <v>15.333333333333332</v>
      </c>
      <c r="D6841" s="545">
        <v>5.6666666666666661</v>
      </c>
      <c r="E6841" s="545">
        <v>5.6666666666666661</v>
      </c>
      <c r="F6841" s="545">
        <v>12.571428571428571</v>
      </c>
      <c r="G6841" s="545">
        <v>7.2666666666666666</v>
      </c>
      <c r="H6841" s="545">
        <v>2.3333333333333335</v>
      </c>
      <c r="I6841" s="545">
        <v>5.666666666666667</v>
      </c>
      <c r="J6841" s="545">
        <v>6.3333333333333339</v>
      </c>
    </row>
    <row r="6842" spans="1:10">
      <c r="A6842" s="441">
        <v>2419</v>
      </c>
      <c r="B6842" s="441" t="s">
        <v>5745</v>
      </c>
      <c r="C6842" s="545">
        <v>18.666666666666668</v>
      </c>
      <c r="D6842" s="545">
        <v>15</v>
      </c>
      <c r="E6842" s="545">
        <v>13</v>
      </c>
      <c r="F6842" s="545">
        <v>17.333333333333336</v>
      </c>
      <c r="G6842" s="545">
        <v>15.2</v>
      </c>
      <c r="H6842" s="545">
        <v>10</v>
      </c>
      <c r="I6842" s="545">
        <v>10.666666666666666</v>
      </c>
      <c r="J6842" s="545">
        <v>13.80952380952381</v>
      </c>
    </row>
    <row r="6843" spans="1:10">
      <c r="A6843" s="441">
        <v>2420</v>
      </c>
      <c r="B6843" s="441" t="s">
        <v>5746</v>
      </c>
      <c r="C6843" s="545">
        <v>9.1666666666666661</v>
      </c>
      <c r="D6843" s="545">
        <v>3.3333333333333335</v>
      </c>
      <c r="E6843" s="545">
        <v>3.666666666666667</v>
      </c>
      <c r="F6843" s="545">
        <v>7.5476190476190466</v>
      </c>
      <c r="G6843" s="545">
        <v>15.266666666666667</v>
      </c>
      <c r="H6843" s="545">
        <v>7.333333333333333</v>
      </c>
      <c r="I6843" s="545">
        <v>4.333333333333333</v>
      </c>
      <c r="J6843" s="545">
        <v>12.571428571428571</v>
      </c>
    </row>
    <row r="6844" spans="1:10">
      <c r="A6844" s="441">
        <v>2421</v>
      </c>
      <c r="B6844" s="441" t="s">
        <v>5746</v>
      </c>
      <c r="C6844" s="545">
        <v>3.666666666666667</v>
      </c>
      <c r="D6844" s="545">
        <v>0</v>
      </c>
      <c r="E6844" s="545">
        <v>0.66666666666666663</v>
      </c>
      <c r="F6844" s="545">
        <v>2.7142857142857149</v>
      </c>
      <c r="G6844" s="545">
        <v>5.9333333333333336</v>
      </c>
      <c r="H6844" s="545">
        <v>2.6666666666666665</v>
      </c>
      <c r="I6844" s="545">
        <v>0.66666666666666663</v>
      </c>
      <c r="J6844" s="545">
        <v>4.7142857142857144</v>
      </c>
    </row>
    <row r="6845" spans="1:10">
      <c r="A6845" s="441">
        <v>8012</v>
      </c>
      <c r="B6845" s="441" t="s">
        <v>5747</v>
      </c>
      <c r="C6845" s="545">
        <v>8.1666666666666679</v>
      </c>
      <c r="D6845" s="545">
        <v>3.3333333333333335</v>
      </c>
      <c r="E6845" s="545">
        <v>2.666666666666667</v>
      </c>
      <c r="F6845" s="545">
        <v>6.6904761904761916</v>
      </c>
      <c r="G6845" s="545">
        <v>5.3</v>
      </c>
      <c r="H6845" s="545">
        <v>9</v>
      </c>
      <c r="I6845" s="545">
        <v>3.6666666666666665</v>
      </c>
      <c r="J6845" s="545">
        <v>5.5952380952380949</v>
      </c>
    </row>
    <row r="6846" spans="1:10">
      <c r="A6846" s="441">
        <v>12492</v>
      </c>
      <c r="B6846" s="441" t="s">
        <v>5748</v>
      </c>
      <c r="C6846" s="545">
        <v>7</v>
      </c>
      <c r="D6846" s="545">
        <v>4</v>
      </c>
      <c r="E6846" s="545">
        <v>3</v>
      </c>
      <c r="F6846" s="545">
        <v>6</v>
      </c>
      <c r="G6846" s="545">
        <v>7.25</v>
      </c>
      <c r="H6846" s="545">
        <v>6</v>
      </c>
      <c r="I6846" s="545">
        <v>2</v>
      </c>
      <c r="J6846" s="545">
        <v>6.3214285714285712</v>
      </c>
    </row>
    <row r="6847" spans="1:10">
      <c r="A6847" s="441">
        <v>109</v>
      </c>
      <c r="B6847" s="441" t="s">
        <v>5749</v>
      </c>
      <c r="C6847" s="545">
        <v>13.833333333333332</v>
      </c>
      <c r="D6847" s="545">
        <v>14.666666666666668</v>
      </c>
      <c r="E6847" s="545">
        <v>15</v>
      </c>
      <c r="F6847" s="545">
        <v>14.119047619047619</v>
      </c>
      <c r="G6847" s="545">
        <v>8.65</v>
      </c>
      <c r="H6847" s="545">
        <v>9.6666666666666661</v>
      </c>
      <c r="I6847" s="545">
        <v>4.333333333333333</v>
      </c>
      <c r="J6847" s="545">
        <v>8.1785714285714288</v>
      </c>
    </row>
    <row r="6848" spans="1:10">
      <c r="A6848" s="441">
        <v>110</v>
      </c>
      <c r="B6848" s="441" t="s">
        <v>5749</v>
      </c>
      <c r="C6848" s="545">
        <v>1.5</v>
      </c>
      <c r="D6848" s="545">
        <v>0</v>
      </c>
      <c r="E6848" s="545">
        <v>1.3333333333333333</v>
      </c>
      <c r="F6848" s="545">
        <v>1.2619047619047621</v>
      </c>
      <c r="G6848" s="545">
        <v>0.35</v>
      </c>
      <c r="H6848" s="545">
        <v>0.33333333333333331</v>
      </c>
      <c r="I6848" s="545">
        <v>0</v>
      </c>
      <c r="J6848" s="545">
        <v>0.29761904761904762</v>
      </c>
    </row>
    <row r="6849" spans="1:10">
      <c r="A6849" s="441">
        <v>114</v>
      </c>
      <c r="B6849" s="441" t="s">
        <v>5749</v>
      </c>
      <c r="C6849" s="545">
        <v>18.5</v>
      </c>
      <c r="D6849" s="545">
        <v>16</v>
      </c>
      <c r="E6849" s="545">
        <v>11.666666666666668</v>
      </c>
      <c r="F6849" s="545">
        <v>17.166666666666668</v>
      </c>
      <c r="G6849" s="545">
        <v>8.3000000000000007</v>
      </c>
      <c r="H6849" s="545">
        <v>11.333333333333334</v>
      </c>
      <c r="I6849" s="545">
        <v>6.666666666666667</v>
      </c>
      <c r="J6849" s="545">
        <v>8.5</v>
      </c>
    </row>
    <row r="6850" spans="1:10">
      <c r="A6850" s="441">
        <v>111</v>
      </c>
      <c r="B6850" s="441" t="s">
        <v>5750</v>
      </c>
      <c r="C6850" s="545">
        <v>0.33333333333333331</v>
      </c>
      <c r="D6850" s="545">
        <v>0.66666666666666663</v>
      </c>
      <c r="E6850" s="545">
        <v>0</v>
      </c>
      <c r="F6850" s="545">
        <v>0.33333333333333331</v>
      </c>
      <c r="G6850" s="545">
        <v>0.05</v>
      </c>
      <c r="H6850" s="545">
        <v>0</v>
      </c>
      <c r="I6850" s="545">
        <v>0</v>
      </c>
      <c r="J6850" s="545">
        <v>3.5714285714285712E-2</v>
      </c>
    </row>
    <row r="6851" spans="1:10">
      <c r="A6851" s="441">
        <v>112</v>
      </c>
      <c r="B6851" s="441" t="s">
        <v>5750</v>
      </c>
      <c r="C6851" s="545">
        <v>1.1666666666666667</v>
      </c>
      <c r="D6851" s="545">
        <v>0</v>
      </c>
      <c r="E6851" s="545">
        <v>0</v>
      </c>
      <c r="F6851" s="545">
        <v>0.83333333333333337</v>
      </c>
      <c r="G6851" s="545">
        <v>0.3</v>
      </c>
      <c r="H6851" s="545">
        <v>0</v>
      </c>
      <c r="I6851" s="545">
        <v>0</v>
      </c>
      <c r="J6851" s="545">
        <v>0.21428571428571427</v>
      </c>
    </row>
    <row r="6852" spans="1:10">
      <c r="A6852" s="441">
        <v>113</v>
      </c>
      <c r="B6852" s="441" t="s">
        <v>5751</v>
      </c>
      <c r="C6852" s="545">
        <v>2.166666666666667</v>
      </c>
      <c r="D6852" s="545">
        <v>0.33333333333333331</v>
      </c>
      <c r="E6852" s="545">
        <v>1.3333333333333333</v>
      </c>
      <c r="F6852" s="545">
        <v>1.7857142857142863</v>
      </c>
      <c r="G6852" s="545">
        <v>1.2</v>
      </c>
      <c r="H6852" s="545">
        <v>2.3333333333333335</v>
      </c>
      <c r="I6852" s="545">
        <v>0</v>
      </c>
      <c r="J6852" s="545">
        <v>1.1904761904761905</v>
      </c>
    </row>
    <row r="6853" spans="1:10">
      <c r="A6853" s="441">
        <v>108</v>
      </c>
      <c r="B6853" s="441" t="s">
        <v>5752</v>
      </c>
      <c r="C6853" s="545">
        <v>5.3333333333333339</v>
      </c>
      <c r="D6853" s="545">
        <v>5.6666666666666661</v>
      </c>
      <c r="E6853" s="545">
        <v>1.3333333333333333</v>
      </c>
      <c r="F6853" s="545">
        <v>4.8095238095238102</v>
      </c>
      <c r="G6853" s="545">
        <v>4</v>
      </c>
      <c r="H6853" s="545">
        <v>11</v>
      </c>
      <c r="I6853" s="545">
        <v>1.6666666666666667</v>
      </c>
      <c r="J6853" s="545">
        <v>4.6666666666666661</v>
      </c>
    </row>
    <row r="6854" spans="1:10">
      <c r="A6854" s="441">
        <v>115</v>
      </c>
      <c r="B6854" s="441" t="s">
        <v>5752</v>
      </c>
      <c r="C6854" s="545">
        <v>6.333333333333333</v>
      </c>
      <c r="D6854" s="545">
        <v>6.3333333333333339</v>
      </c>
      <c r="E6854" s="545">
        <v>4.666666666666667</v>
      </c>
      <c r="F6854" s="545">
        <v>6.0952380952380949</v>
      </c>
      <c r="G6854" s="545">
        <v>2.2000000000000002</v>
      </c>
      <c r="H6854" s="545">
        <v>4</v>
      </c>
      <c r="I6854" s="545">
        <v>1.3333333333333333</v>
      </c>
      <c r="J6854" s="545">
        <v>2.333333333333333</v>
      </c>
    </row>
    <row r="6855" spans="1:10">
      <c r="A6855" s="441">
        <v>5820</v>
      </c>
      <c r="B6855" s="441" t="s">
        <v>5753</v>
      </c>
      <c r="C6855" s="545">
        <v>9</v>
      </c>
      <c r="D6855" s="545">
        <v>3.666666666666667</v>
      </c>
      <c r="E6855" s="545">
        <v>2</v>
      </c>
      <c r="F6855" s="545">
        <v>7.2380952380952381</v>
      </c>
      <c r="G6855" s="545">
        <v>1.3</v>
      </c>
      <c r="H6855" s="545">
        <v>0.33333333333333331</v>
      </c>
      <c r="I6855" s="545">
        <v>0.66666666666666663</v>
      </c>
      <c r="J6855" s="545">
        <v>1.0714285714285714</v>
      </c>
    </row>
    <row r="6856" spans="1:10">
      <c r="A6856" s="441">
        <v>5841</v>
      </c>
      <c r="B6856" s="441" t="s">
        <v>5753</v>
      </c>
      <c r="C6856" s="545">
        <v>9.5</v>
      </c>
      <c r="D6856" s="545">
        <v>2.6666666666666665</v>
      </c>
      <c r="E6856" s="545">
        <v>1.3333333333333333</v>
      </c>
      <c r="F6856" s="545">
        <v>7.3571428571428568</v>
      </c>
      <c r="G6856" s="545">
        <v>1.85</v>
      </c>
      <c r="H6856" s="545">
        <v>0</v>
      </c>
      <c r="I6856" s="545">
        <v>1</v>
      </c>
      <c r="J6856" s="545">
        <v>1.4642857142857142</v>
      </c>
    </row>
    <row r="6857" spans="1:10">
      <c r="A6857" s="441">
        <v>5821</v>
      </c>
      <c r="B6857" s="441" t="s">
        <v>5754</v>
      </c>
      <c r="C6857" s="545">
        <v>7.8333333333333339</v>
      </c>
      <c r="D6857" s="545">
        <v>3</v>
      </c>
      <c r="E6857" s="545">
        <v>2</v>
      </c>
      <c r="F6857" s="545">
        <v>6.3095238095238102</v>
      </c>
      <c r="G6857" s="545">
        <v>7.1</v>
      </c>
      <c r="H6857" s="545">
        <v>3.6666666666666665</v>
      </c>
      <c r="I6857" s="545">
        <v>1</v>
      </c>
      <c r="J6857" s="545">
        <v>5.7380952380952381</v>
      </c>
    </row>
    <row r="6858" spans="1:10">
      <c r="A6858" s="441">
        <v>5840</v>
      </c>
      <c r="B6858" s="441" t="s">
        <v>5754</v>
      </c>
      <c r="C6858" s="545">
        <v>9.8333333333333321</v>
      </c>
      <c r="D6858" s="545">
        <v>3.333333333333333</v>
      </c>
      <c r="E6858" s="545">
        <v>2</v>
      </c>
      <c r="F6858" s="545">
        <v>7.7857142857142847</v>
      </c>
      <c r="G6858" s="545">
        <v>7.2</v>
      </c>
      <c r="H6858" s="545">
        <v>1.6666666666666667</v>
      </c>
      <c r="I6858" s="545">
        <v>2.3333333333333335</v>
      </c>
      <c r="J6858" s="545">
        <v>5.7142857142857144</v>
      </c>
    </row>
    <row r="6859" spans="1:10">
      <c r="A6859" s="441">
        <v>637</v>
      </c>
      <c r="B6859" s="441" t="s">
        <v>5755</v>
      </c>
      <c r="C6859" s="545">
        <v>656.16666666666674</v>
      </c>
      <c r="D6859" s="545">
        <v>1</v>
      </c>
      <c r="E6859" s="545">
        <v>1.6666666666666665</v>
      </c>
      <c r="F6859" s="545">
        <v>469.07142857142861</v>
      </c>
      <c r="G6859" s="545">
        <v>232.1</v>
      </c>
      <c r="H6859" s="545">
        <v>2</v>
      </c>
      <c r="I6859" s="545">
        <v>0.33333333333333331</v>
      </c>
      <c r="J6859" s="545">
        <v>166.11904761904762</v>
      </c>
    </row>
    <row r="6860" spans="1:10">
      <c r="A6860" s="441">
        <v>670</v>
      </c>
      <c r="B6860" s="441" t="s">
        <v>5756</v>
      </c>
      <c r="C6860" s="545">
        <v>565.83333333333337</v>
      </c>
      <c r="D6860" s="545">
        <v>10.666666666666668</v>
      </c>
      <c r="E6860" s="545">
        <v>12.333333333333334</v>
      </c>
      <c r="F6860" s="545">
        <v>407.45238095238102</v>
      </c>
      <c r="G6860" s="545">
        <v>142.19999999999999</v>
      </c>
      <c r="H6860" s="545">
        <v>7.666666666666667</v>
      </c>
      <c r="I6860" s="545">
        <v>4.666666666666667</v>
      </c>
      <c r="J6860" s="545">
        <v>103.33333333333333</v>
      </c>
    </row>
    <row r="6861" spans="1:10">
      <c r="A6861" s="441">
        <v>636</v>
      </c>
      <c r="B6861" s="441" t="s">
        <v>5757</v>
      </c>
      <c r="C6861" s="545">
        <v>461.66666666666663</v>
      </c>
      <c r="D6861" s="545">
        <v>8.6666666666666679</v>
      </c>
      <c r="E6861" s="545">
        <v>6.333333333333333</v>
      </c>
      <c r="F6861" s="545">
        <v>331.90476190476187</v>
      </c>
      <c r="G6861" s="545">
        <v>128.25</v>
      </c>
      <c r="H6861" s="545">
        <v>8.3333333333333339</v>
      </c>
      <c r="I6861" s="545">
        <v>7.666666666666667</v>
      </c>
      <c r="J6861" s="545">
        <v>93.892857142857139</v>
      </c>
    </row>
    <row r="6862" spans="1:10">
      <c r="A6862" s="441">
        <v>675</v>
      </c>
      <c r="B6862" s="441" t="s">
        <v>5758</v>
      </c>
      <c r="C6862" s="545">
        <v>1360.6666666666665</v>
      </c>
      <c r="D6862" s="545">
        <v>31.666666666666664</v>
      </c>
      <c r="E6862" s="545">
        <v>31.666666666666664</v>
      </c>
      <c r="F6862" s="545">
        <v>980.95238095238085</v>
      </c>
      <c r="G6862" s="545">
        <v>380.55</v>
      </c>
      <c r="H6862" s="545">
        <v>28.333333333333332</v>
      </c>
      <c r="I6862" s="545">
        <v>20</v>
      </c>
      <c r="J6862" s="545">
        <v>278.72619047619048</v>
      </c>
    </row>
    <row r="6863" spans="1:10">
      <c r="A6863" s="441">
        <v>9586</v>
      </c>
      <c r="B6863" s="441" t="s">
        <v>5759</v>
      </c>
      <c r="C6863" s="545">
        <v>70.666666666666657</v>
      </c>
      <c r="D6863" s="545">
        <v>0</v>
      </c>
      <c r="E6863" s="545">
        <v>0</v>
      </c>
      <c r="F6863" s="545">
        <v>50.476190476190467</v>
      </c>
      <c r="G6863" s="545">
        <v>10.55</v>
      </c>
      <c r="H6863" s="545"/>
      <c r="I6863" s="545"/>
      <c r="J6863" s="545">
        <v>7.5357142857142856</v>
      </c>
    </row>
    <row r="6864" spans="1:10">
      <c r="A6864" s="441">
        <v>679</v>
      </c>
      <c r="B6864" s="441" t="s">
        <v>5760</v>
      </c>
      <c r="C6864" s="545">
        <v>397.5</v>
      </c>
      <c r="D6864" s="545">
        <v>4.333333333333333</v>
      </c>
      <c r="E6864" s="545">
        <v>6.333333333333333</v>
      </c>
      <c r="F6864" s="545">
        <v>285.45238095238091</v>
      </c>
      <c r="G6864" s="545">
        <v>115.6</v>
      </c>
      <c r="H6864" s="545">
        <v>2.6666666666666665</v>
      </c>
      <c r="I6864" s="545">
        <v>3.6666666666666665</v>
      </c>
      <c r="J6864" s="545">
        <v>83.476190476190467</v>
      </c>
    </row>
    <row r="6865" spans="1:10">
      <c r="A6865" s="441">
        <v>674</v>
      </c>
      <c r="B6865" s="441" t="s">
        <v>5761</v>
      </c>
      <c r="C6865" s="545">
        <v>1163.6666666666665</v>
      </c>
      <c r="D6865" s="545">
        <v>10.666666666666668</v>
      </c>
      <c r="E6865" s="545">
        <v>14.666666666666666</v>
      </c>
      <c r="F6865" s="545">
        <v>834.80952380952374</v>
      </c>
      <c r="G6865" s="545">
        <v>363.1</v>
      </c>
      <c r="H6865" s="545">
        <v>12</v>
      </c>
      <c r="I6865" s="545">
        <v>10</v>
      </c>
      <c r="J6865" s="545">
        <v>262.5</v>
      </c>
    </row>
    <row r="6866" spans="1:10">
      <c r="A6866" s="441">
        <v>9584</v>
      </c>
      <c r="B6866" s="441" t="s">
        <v>5762</v>
      </c>
      <c r="C6866" s="545">
        <v>27.666666666666668</v>
      </c>
      <c r="D6866" s="545">
        <v>0</v>
      </c>
      <c r="E6866" s="545">
        <v>0</v>
      </c>
      <c r="F6866" s="545">
        <v>19.761904761904763</v>
      </c>
      <c r="G6866" s="545">
        <v>4.05</v>
      </c>
      <c r="H6866" s="545"/>
      <c r="I6866" s="545"/>
      <c r="J6866" s="545">
        <v>2.8928571428571428</v>
      </c>
    </row>
    <row r="6867" spans="1:10">
      <c r="A6867" s="441">
        <v>673</v>
      </c>
      <c r="B6867" s="441" t="s">
        <v>5763</v>
      </c>
      <c r="C6867" s="545">
        <v>1351.5</v>
      </c>
      <c r="D6867" s="545">
        <v>81</v>
      </c>
      <c r="E6867" s="545">
        <v>57</v>
      </c>
      <c r="F6867" s="545">
        <v>985.07142857142856</v>
      </c>
      <c r="G6867" s="545">
        <v>312.2</v>
      </c>
      <c r="H6867" s="545">
        <v>45.666666666666664</v>
      </c>
      <c r="I6867" s="545">
        <v>27</v>
      </c>
      <c r="J6867" s="545">
        <v>233.38095238095238</v>
      </c>
    </row>
    <row r="6868" spans="1:10">
      <c r="A6868" s="441">
        <v>677</v>
      </c>
      <c r="B6868" s="441" t="s">
        <v>5764</v>
      </c>
      <c r="C6868" s="545">
        <v>243.5</v>
      </c>
      <c r="D6868" s="545">
        <v>0.33333333333333331</v>
      </c>
      <c r="E6868" s="545">
        <v>1</v>
      </c>
      <c r="F6868" s="545">
        <v>174.11904761904762</v>
      </c>
      <c r="G6868" s="545">
        <v>41</v>
      </c>
      <c r="H6868" s="545">
        <v>3.6666666666666665</v>
      </c>
      <c r="I6868" s="545">
        <v>0</v>
      </c>
      <c r="J6868" s="545">
        <v>29.809523809523807</v>
      </c>
    </row>
    <row r="6869" spans="1:10">
      <c r="A6869" s="441">
        <v>682</v>
      </c>
      <c r="B6869" s="441" t="s">
        <v>5765</v>
      </c>
      <c r="C6869" s="545">
        <v>116</v>
      </c>
      <c r="D6869" s="545">
        <v>0</v>
      </c>
      <c r="E6869" s="545">
        <v>0</v>
      </c>
      <c r="F6869" s="545">
        <v>82.857142857142861</v>
      </c>
      <c r="G6869" s="545">
        <v>27.25</v>
      </c>
      <c r="H6869" s="545"/>
      <c r="I6869" s="545"/>
      <c r="J6869" s="545">
        <v>19.464285714285715</v>
      </c>
    </row>
    <row r="6870" spans="1:10">
      <c r="A6870" s="441">
        <v>676</v>
      </c>
      <c r="B6870" s="441" t="s">
        <v>5766</v>
      </c>
      <c r="C6870" s="545">
        <v>189.33333333333331</v>
      </c>
      <c r="D6870" s="545">
        <v>7.333333333333333</v>
      </c>
      <c r="E6870" s="545">
        <v>10</v>
      </c>
      <c r="F6870" s="545">
        <v>137.71428571428569</v>
      </c>
      <c r="G6870" s="545">
        <v>50.65</v>
      </c>
      <c r="H6870" s="545">
        <v>3</v>
      </c>
      <c r="I6870" s="545">
        <v>3</v>
      </c>
      <c r="J6870" s="545">
        <v>37.035714285714285</v>
      </c>
    </row>
    <row r="6871" spans="1:10">
      <c r="A6871" s="441">
        <v>669</v>
      </c>
      <c r="B6871" s="441" t="s">
        <v>5767</v>
      </c>
      <c r="C6871" s="545">
        <v>468.5</v>
      </c>
      <c r="D6871" s="545">
        <v>24.333333333333336</v>
      </c>
      <c r="E6871" s="545">
        <v>22.666666666666664</v>
      </c>
      <c r="F6871" s="545">
        <v>341.35714285714283</v>
      </c>
      <c r="G6871" s="545">
        <v>238.4</v>
      </c>
      <c r="H6871" s="545">
        <v>34</v>
      </c>
      <c r="I6871" s="545">
        <v>33.333333333333336</v>
      </c>
      <c r="J6871" s="545">
        <v>179.9047619047619</v>
      </c>
    </row>
    <row r="6872" spans="1:10">
      <c r="A6872" s="441">
        <v>634</v>
      </c>
      <c r="B6872" s="441" t="s">
        <v>5768</v>
      </c>
      <c r="C6872" s="545">
        <v>459.66666666666669</v>
      </c>
      <c r="D6872" s="545">
        <v>111.33333333333333</v>
      </c>
      <c r="E6872" s="545">
        <v>100.33333333333333</v>
      </c>
      <c r="F6872" s="545">
        <v>358.57142857142861</v>
      </c>
      <c r="G6872" s="545">
        <v>239.1</v>
      </c>
      <c r="H6872" s="545">
        <v>78</v>
      </c>
      <c r="I6872" s="545">
        <v>57.333333333333336</v>
      </c>
      <c r="J6872" s="545">
        <v>190.11904761904762</v>
      </c>
    </row>
    <row r="6873" spans="1:10">
      <c r="A6873" s="441">
        <v>671</v>
      </c>
      <c r="B6873" s="441" t="s">
        <v>5769</v>
      </c>
      <c r="C6873" s="545">
        <v>1527.6666666666665</v>
      </c>
      <c r="D6873" s="545">
        <v>172.33333333333334</v>
      </c>
      <c r="E6873" s="545">
        <v>130</v>
      </c>
      <c r="F6873" s="545">
        <v>1134.3809523809521</v>
      </c>
      <c r="G6873" s="545">
        <v>573.29999999999995</v>
      </c>
      <c r="H6873" s="545">
        <v>105</v>
      </c>
      <c r="I6873" s="545">
        <v>96</v>
      </c>
      <c r="J6873" s="545">
        <v>438.21428571428572</v>
      </c>
    </row>
    <row r="6874" spans="1:10">
      <c r="A6874" s="441">
        <v>638</v>
      </c>
      <c r="B6874" s="441" t="s">
        <v>5770</v>
      </c>
      <c r="C6874" s="545">
        <v>427.5</v>
      </c>
      <c r="D6874" s="545">
        <v>5.3333333333333339</v>
      </c>
      <c r="E6874" s="545">
        <v>2.3333333333333335</v>
      </c>
      <c r="F6874" s="545">
        <v>306.45238095238102</v>
      </c>
      <c r="G6874" s="545">
        <v>55.7</v>
      </c>
      <c r="H6874" s="545">
        <v>11</v>
      </c>
      <c r="I6874" s="545">
        <v>5</v>
      </c>
      <c r="J6874" s="545">
        <v>42.071428571428569</v>
      </c>
    </row>
    <row r="6875" spans="1:10">
      <c r="A6875" s="441">
        <v>681</v>
      </c>
      <c r="B6875" s="441" t="s">
        <v>5771</v>
      </c>
      <c r="C6875" s="545">
        <v>223.83333333333334</v>
      </c>
      <c r="D6875" s="545">
        <v>0</v>
      </c>
      <c r="E6875" s="545">
        <v>0</v>
      </c>
      <c r="F6875" s="545">
        <v>159.88095238095238</v>
      </c>
      <c r="G6875" s="545">
        <v>48.8</v>
      </c>
      <c r="H6875" s="545"/>
      <c r="I6875" s="545"/>
      <c r="J6875" s="545">
        <v>34.857142857142854</v>
      </c>
    </row>
    <row r="6876" spans="1:10">
      <c r="A6876" s="441">
        <v>635</v>
      </c>
      <c r="B6876" s="441" t="s">
        <v>5772</v>
      </c>
      <c r="C6876" s="545">
        <v>267.66666666666669</v>
      </c>
      <c r="D6876" s="545">
        <v>38.333333333333336</v>
      </c>
      <c r="E6876" s="545">
        <v>33.333333333333336</v>
      </c>
      <c r="F6876" s="545">
        <v>201.42857142857142</v>
      </c>
      <c r="G6876" s="545">
        <v>114.1</v>
      </c>
      <c r="H6876" s="545">
        <v>25.333333333333332</v>
      </c>
      <c r="I6876" s="545">
        <v>18</v>
      </c>
      <c r="J6876" s="545">
        <v>87.69047619047619</v>
      </c>
    </row>
    <row r="6877" spans="1:10">
      <c r="A6877" s="441">
        <v>672</v>
      </c>
      <c r="B6877" s="441" t="s">
        <v>5773</v>
      </c>
      <c r="C6877" s="545">
        <v>1125.3333333333333</v>
      </c>
      <c r="D6877" s="545">
        <v>55.666666666666671</v>
      </c>
      <c r="E6877" s="545">
        <v>45.333333333333329</v>
      </c>
      <c r="F6877" s="545">
        <v>818.23809523809518</v>
      </c>
      <c r="G6877" s="545">
        <v>456.2</v>
      </c>
      <c r="H6877" s="545">
        <v>39</v>
      </c>
      <c r="I6877" s="545">
        <v>18.333333333333332</v>
      </c>
      <c r="J6877" s="545">
        <v>334.04761904761909</v>
      </c>
    </row>
    <row r="6878" spans="1:10">
      <c r="A6878" s="441">
        <v>3838</v>
      </c>
      <c r="B6878" s="441" t="s">
        <v>5774</v>
      </c>
      <c r="C6878" s="545">
        <v>3</v>
      </c>
      <c r="D6878" s="545">
        <v>0</v>
      </c>
      <c r="E6878" s="545">
        <v>0.33333333333333331</v>
      </c>
      <c r="F6878" s="545">
        <v>2.1904761904761907</v>
      </c>
      <c r="G6878" s="545">
        <v>0.65</v>
      </c>
      <c r="H6878" s="545">
        <v>0</v>
      </c>
      <c r="I6878" s="545">
        <v>0.66666666666666663</v>
      </c>
      <c r="J6878" s="545">
        <v>0.55952380952380953</v>
      </c>
    </row>
    <row r="6879" spans="1:10">
      <c r="A6879" s="441">
        <v>3842</v>
      </c>
      <c r="B6879" s="441" t="s">
        <v>5774</v>
      </c>
      <c r="C6879" s="545">
        <v>1.3333333333333333</v>
      </c>
      <c r="D6879" s="545">
        <v>0.33333333333333331</v>
      </c>
      <c r="E6879" s="545">
        <v>0</v>
      </c>
      <c r="F6879" s="545">
        <v>0.99999999999999989</v>
      </c>
      <c r="G6879" s="545">
        <v>1.9</v>
      </c>
      <c r="H6879" s="545">
        <v>0.33333333333333331</v>
      </c>
      <c r="I6879" s="545">
        <v>0</v>
      </c>
      <c r="J6879" s="545">
        <v>1.4047619047619049</v>
      </c>
    </row>
    <row r="6880" spans="1:10">
      <c r="A6880" s="441">
        <v>3839</v>
      </c>
      <c r="B6880" s="441" t="s">
        <v>5775</v>
      </c>
      <c r="C6880" s="545">
        <v>0.5</v>
      </c>
      <c r="D6880" s="545">
        <v>0</v>
      </c>
      <c r="E6880" s="545">
        <v>0</v>
      </c>
      <c r="F6880" s="545">
        <v>0.35714285714285715</v>
      </c>
      <c r="G6880" s="545">
        <v>1.75</v>
      </c>
      <c r="H6880" s="545">
        <v>2</v>
      </c>
      <c r="I6880" s="545">
        <v>0.33333333333333331</v>
      </c>
      <c r="J6880" s="545">
        <v>1.5833333333333335</v>
      </c>
    </row>
    <row r="6881" spans="1:10">
      <c r="A6881" s="441">
        <v>3841</v>
      </c>
      <c r="B6881" s="441" t="s">
        <v>5775</v>
      </c>
      <c r="C6881" s="545">
        <v>7</v>
      </c>
      <c r="D6881" s="545">
        <v>5.3333333333333339</v>
      </c>
      <c r="E6881" s="545">
        <v>6</v>
      </c>
      <c r="F6881" s="545">
        <v>6.6190476190476195</v>
      </c>
      <c r="G6881" s="545">
        <v>7.8</v>
      </c>
      <c r="H6881" s="545">
        <v>7.333333333333333</v>
      </c>
      <c r="I6881" s="545">
        <v>4</v>
      </c>
      <c r="J6881" s="545">
        <v>7.1904761904761907</v>
      </c>
    </row>
    <row r="6882" spans="1:10">
      <c r="A6882" s="441">
        <v>3840</v>
      </c>
      <c r="B6882" s="441" t="s">
        <v>5776</v>
      </c>
      <c r="C6882" s="545">
        <v>21.333333333333332</v>
      </c>
      <c r="D6882" s="545">
        <v>11.333333333333334</v>
      </c>
      <c r="E6882" s="545">
        <v>11</v>
      </c>
      <c r="F6882" s="545">
        <v>18.428571428571427</v>
      </c>
      <c r="G6882" s="545">
        <v>17.399999999999999</v>
      </c>
      <c r="H6882" s="545">
        <v>15</v>
      </c>
      <c r="I6882" s="545">
        <v>10</v>
      </c>
      <c r="J6882" s="545">
        <v>16</v>
      </c>
    </row>
    <row r="6883" spans="1:10">
      <c r="A6883" s="441">
        <v>3847</v>
      </c>
      <c r="B6883" s="441" t="s">
        <v>5777</v>
      </c>
      <c r="C6883" s="545">
        <v>16.666666666666664</v>
      </c>
      <c r="D6883" s="545">
        <v>2.3333333333333335</v>
      </c>
      <c r="E6883" s="545">
        <v>0</v>
      </c>
      <c r="F6883" s="545">
        <v>12.238095238095235</v>
      </c>
      <c r="G6883" s="545">
        <v>3.65</v>
      </c>
      <c r="H6883" s="545">
        <v>3.6666666666666665</v>
      </c>
      <c r="I6883" s="545">
        <v>0</v>
      </c>
      <c r="J6883" s="545">
        <v>3.1309523809523809</v>
      </c>
    </row>
    <row r="6884" spans="1:10">
      <c r="A6884" s="441">
        <v>3837</v>
      </c>
      <c r="B6884" s="441" t="s">
        <v>5778</v>
      </c>
      <c r="C6884" s="545">
        <v>27.833333333333332</v>
      </c>
      <c r="D6884" s="545">
        <v>22.666666666666668</v>
      </c>
      <c r="E6884" s="545">
        <v>23.666666666666668</v>
      </c>
      <c r="F6884" s="545">
        <v>26.499999999999996</v>
      </c>
      <c r="G6884" s="545">
        <v>23.2</v>
      </c>
      <c r="H6884" s="545">
        <v>23</v>
      </c>
      <c r="I6884" s="545">
        <v>9</v>
      </c>
      <c r="J6884" s="545">
        <v>21.142857142857142</v>
      </c>
    </row>
    <row r="6885" spans="1:10">
      <c r="A6885" s="441">
        <v>3846</v>
      </c>
      <c r="B6885" s="441" t="s">
        <v>5778</v>
      </c>
      <c r="C6885" s="545">
        <v>33.833333333333336</v>
      </c>
      <c r="D6885" s="545">
        <v>20</v>
      </c>
      <c r="E6885" s="545">
        <v>14.666666666666666</v>
      </c>
      <c r="F6885" s="545">
        <v>29.11904761904762</v>
      </c>
      <c r="G6885" s="545">
        <v>23.5</v>
      </c>
      <c r="H6885" s="545">
        <v>26.333333333333332</v>
      </c>
      <c r="I6885" s="545">
        <v>7.333333333333333</v>
      </c>
      <c r="J6885" s="545">
        <v>21.595238095238098</v>
      </c>
    </row>
    <row r="6886" spans="1:10">
      <c r="A6886" s="441">
        <v>7818</v>
      </c>
      <c r="B6886" s="441" t="s">
        <v>5779</v>
      </c>
      <c r="C6886" s="545">
        <v>20.333333333333332</v>
      </c>
      <c r="D6886" s="545">
        <v>0</v>
      </c>
      <c r="E6886" s="545">
        <v>0</v>
      </c>
      <c r="F6886" s="545">
        <v>14.523809523809522</v>
      </c>
      <c r="G6886" s="545">
        <v>16.649999999999999</v>
      </c>
      <c r="H6886" s="545"/>
      <c r="I6886" s="545"/>
      <c r="J6886" s="545">
        <v>11.892857142857142</v>
      </c>
    </row>
    <row r="6887" spans="1:10">
      <c r="A6887" s="441">
        <v>12109</v>
      </c>
      <c r="B6887" s="441" t="s">
        <v>5780</v>
      </c>
      <c r="C6887" s="545">
        <v>23.166666666666668</v>
      </c>
      <c r="D6887" s="545">
        <v>14.333333333333332</v>
      </c>
      <c r="E6887" s="545">
        <v>8.3333333333333339</v>
      </c>
      <c r="F6887" s="545">
        <v>19.785714285714288</v>
      </c>
      <c r="G6887" s="545">
        <v>16.45</v>
      </c>
      <c r="H6887" s="545">
        <v>16.333333333333332</v>
      </c>
      <c r="I6887" s="545">
        <v>9.3333333333333339</v>
      </c>
      <c r="J6887" s="545">
        <v>15.416666666666666</v>
      </c>
    </row>
    <row r="6888" spans="1:10">
      <c r="A6888" s="441">
        <v>7816</v>
      </c>
      <c r="B6888" s="441" t="s">
        <v>5781</v>
      </c>
      <c r="C6888" s="545">
        <v>11.166666666666668</v>
      </c>
      <c r="D6888" s="545">
        <v>0</v>
      </c>
      <c r="E6888" s="545">
        <v>0</v>
      </c>
      <c r="F6888" s="545">
        <v>7.9761904761904772</v>
      </c>
      <c r="G6888" s="545">
        <v>9.35</v>
      </c>
      <c r="H6888" s="545"/>
      <c r="I6888" s="545"/>
      <c r="J6888" s="545">
        <v>6.6785714285714288</v>
      </c>
    </row>
    <row r="6889" spans="1:10">
      <c r="A6889" s="441">
        <v>12107</v>
      </c>
      <c r="B6889" s="441" t="s">
        <v>5781</v>
      </c>
      <c r="C6889" s="545">
        <v>19.333333333333336</v>
      </c>
      <c r="D6889" s="545">
        <v>0</v>
      </c>
      <c r="E6889" s="545">
        <v>0</v>
      </c>
      <c r="F6889" s="545">
        <v>13.809523809523812</v>
      </c>
      <c r="G6889" s="545">
        <v>14.05</v>
      </c>
      <c r="H6889" s="545"/>
      <c r="I6889" s="545"/>
      <c r="J6889" s="545">
        <v>10.035714285714286</v>
      </c>
    </row>
    <row r="6890" spans="1:10">
      <c r="A6890" s="441">
        <v>12108</v>
      </c>
      <c r="B6890" s="441" t="s">
        <v>5782</v>
      </c>
      <c r="C6890" s="545">
        <v>105</v>
      </c>
      <c r="D6890" s="545">
        <v>123.66666666666667</v>
      </c>
      <c r="E6890" s="545">
        <v>90.333333333333343</v>
      </c>
      <c r="F6890" s="545">
        <v>105.57142857142857</v>
      </c>
      <c r="G6890" s="545">
        <v>72.849999999999994</v>
      </c>
      <c r="H6890" s="545">
        <v>96.666666666666671</v>
      </c>
      <c r="I6890" s="545">
        <v>95.666666666666671</v>
      </c>
      <c r="J6890" s="545">
        <v>79.511904761904773</v>
      </c>
    </row>
    <row r="6891" spans="1:10">
      <c r="A6891" s="441">
        <v>7817</v>
      </c>
      <c r="B6891" s="441" t="s">
        <v>5783</v>
      </c>
      <c r="C6891" s="545">
        <v>25.666666666666668</v>
      </c>
      <c r="D6891" s="545">
        <v>0</v>
      </c>
      <c r="E6891" s="545">
        <v>0</v>
      </c>
      <c r="F6891" s="545">
        <v>18.333333333333336</v>
      </c>
      <c r="G6891" s="545">
        <v>6.4</v>
      </c>
      <c r="H6891" s="545"/>
      <c r="I6891" s="545"/>
      <c r="J6891" s="545">
        <v>4.5714285714285712</v>
      </c>
    </row>
    <row r="6892" spans="1:10">
      <c r="A6892" s="441">
        <v>12890</v>
      </c>
      <c r="B6892" s="441" t="s">
        <v>5783</v>
      </c>
      <c r="C6892" s="545">
        <v>40.333333333333329</v>
      </c>
      <c r="D6892" s="545">
        <v>52.333333333333329</v>
      </c>
      <c r="E6892" s="545">
        <v>18.666666666666668</v>
      </c>
      <c r="F6892" s="545">
        <v>38.952380952380949</v>
      </c>
      <c r="G6892" s="545">
        <v>13.55</v>
      </c>
      <c r="H6892" s="545">
        <v>23.666666666666668</v>
      </c>
      <c r="I6892" s="545">
        <v>15.333333333333334</v>
      </c>
      <c r="J6892" s="545">
        <v>15.25</v>
      </c>
    </row>
    <row r="6893" spans="1:10">
      <c r="A6893" s="441">
        <v>13168</v>
      </c>
      <c r="B6893" s="441" t="s">
        <v>5783</v>
      </c>
      <c r="C6893" s="545" t="e">
        <v>#N/A</v>
      </c>
      <c r="D6893" s="545" t="e">
        <v>#N/A</v>
      </c>
      <c r="E6893" s="545" t="e">
        <v>#N/A</v>
      </c>
      <c r="F6893" s="545" t="e">
        <v>#N/A</v>
      </c>
      <c r="G6893" s="545">
        <v>7.9</v>
      </c>
      <c r="H6893" s="545"/>
      <c r="I6893" s="545"/>
      <c r="J6893" s="545">
        <v>5.6428571428571432</v>
      </c>
    </row>
    <row r="6894" spans="1:10">
      <c r="A6894" s="441">
        <v>13166</v>
      </c>
      <c r="B6894" s="441" t="s">
        <v>5784</v>
      </c>
      <c r="C6894" s="545" t="e">
        <v>#N/A</v>
      </c>
      <c r="D6894" s="545" t="e">
        <v>#N/A</v>
      </c>
      <c r="E6894" s="545" t="e">
        <v>#N/A</v>
      </c>
      <c r="F6894" s="545" t="e">
        <v>#N/A</v>
      </c>
      <c r="G6894" s="545">
        <v>67.05</v>
      </c>
      <c r="H6894" s="545">
        <v>79</v>
      </c>
      <c r="I6894" s="545">
        <v>53</v>
      </c>
      <c r="J6894" s="545">
        <v>66.75</v>
      </c>
    </row>
    <row r="6895" spans="1:10">
      <c r="A6895" s="441">
        <v>13094</v>
      </c>
      <c r="B6895" s="441" t="s">
        <v>5785</v>
      </c>
      <c r="C6895" s="545">
        <v>2.8333333333333335</v>
      </c>
      <c r="D6895" s="545">
        <v>2.666666666666667</v>
      </c>
      <c r="E6895" s="545">
        <v>2.3333333333333335</v>
      </c>
      <c r="F6895" s="545">
        <v>2.7380952380952381</v>
      </c>
      <c r="G6895" s="545">
        <v>4.1500000000000004</v>
      </c>
      <c r="H6895" s="545">
        <v>1.3333333333333333</v>
      </c>
      <c r="I6895" s="545">
        <v>3.6666666666666665</v>
      </c>
      <c r="J6895" s="545">
        <v>3.6785714285714284</v>
      </c>
    </row>
    <row r="6896" spans="1:10">
      <c r="A6896" s="441">
        <v>13095</v>
      </c>
      <c r="B6896" s="441" t="s">
        <v>5785</v>
      </c>
      <c r="C6896" s="545">
        <v>0.83333333333333337</v>
      </c>
      <c r="D6896" s="545">
        <v>0</v>
      </c>
      <c r="E6896" s="545">
        <v>0.33333333333333331</v>
      </c>
      <c r="F6896" s="545">
        <v>0.6428571428571429</v>
      </c>
      <c r="G6896" s="545">
        <v>4.6500000000000004</v>
      </c>
      <c r="H6896" s="545">
        <v>3</v>
      </c>
      <c r="I6896" s="545">
        <v>3.6666666666666665</v>
      </c>
      <c r="J6896" s="545">
        <v>4.2738095238095237</v>
      </c>
    </row>
    <row r="6897" spans="1:10">
      <c r="A6897" s="441">
        <v>10280</v>
      </c>
      <c r="B6897" s="441" t="s">
        <v>5786</v>
      </c>
      <c r="C6897" s="545">
        <v>879.5</v>
      </c>
      <c r="D6897" s="545">
        <v>0</v>
      </c>
      <c r="E6897" s="545">
        <v>0</v>
      </c>
      <c r="F6897" s="545">
        <v>628.21428571428567</v>
      </c>
      <c r="G6897" s="545">
        <v>471.15</v>
      </c>
      <c r="H6897" s="545"/>
      <c r="I6897" s="545"/>
      <c r="J6897" s="545">
        <v>336.53571428571428</v>
      </c>
    </row>
    <row r="6898" spans="1:10">
      <c r="A6898" s="441">
        <v>72</v>
      </c>
      <c r="B6898" s="441" t="s">
        <v>5787</v>
      </c>
      <c r="C6898" s="545">
        <v>3343</v>
      </c>
      <c r="D6898" s="545">
        <v>2280</v>
      </c>
      <c r="E6898" s="545">
        <v>1692.6666666666667</v>
      </c>
      <c r="F6898" s="545">
        <v>2955.3809523809527</v>
      </c>
      <c r="G6898" s="545">
        <v>2585.4</v>
      </c>
      <c r="H6898" s="545">
        <v>1841</v>
      </c>
      <c r="I6898" s="545">
        <v>1379</v>
      </c>
      <c r="J6898" s="545">
        <v>2306.7142857142858</v>
      </c>
    </row>
    <row r="6899" spans="1:10">
      <c r="A6899" s="441">
        <v>2199</v>
      </c>
      <c r="B6899" s="441" t="s">
        <v>5788</v>
      </c>
      <c r="C6899" s="545">
        <v>5.333333333333333</v>
      </c>
      <c r="D6899" s="545">
        <v>3.333333333333333</v>
      </c>
      <c r="E6899" s="545">
        <v>1</v>
      </c>
      <c r="F6899" s="545">
        <v>4.4285714285714279</v>
      </c>
      <c r="G6899" s="545">
        <v>1.3</v>
      </c>
      <c r="H6899" s="545">
        <v>1</v>
      </c>
      <c r="I6899" s="545">
        <v>0</v>
      </c>
      <c r="J6899" s="545">
        <v>1.0714285714285714</v>
      </c>
    </row>
    <row r="6900" spans="1:10">
      <c r="A6900" s="441">
        <v>2207</v>
      </c>
      <c r="B6900" s="441" t="s">
        <v>5788</v>
      </c>
      <c r="C6900" s="545">
        <v>2.8333333333333335</v>
      </c>
      <c r="D6900" s="545">
        <v>2</v>
      </c>
      <c r="E6900" s="545">
        <v>3</v>
      </c>
      <c r="F6900" s="545">
        <v>2.7380952380952381</v>
      </c>
      <c r="G6900" s="545">
        <v>2.2000000000000002</v>
      </c>
      <c r="H6900" s="545">
        <v>1.3333333333333333</v>
      </c>
      <c r="I6900" s="545">
        <v>0.33333333333333331</v>
      </c>
      <c r="J6900" s="545">
        <v>1.8095238095238098</v>
      </c>
    </row>
    <row r="6901" spans="1:10">
      <c r="A6901" s="441">
        <v>2122</v>
      </c>
      <c r="B6901" s="441" t="s">
        <v>5789</v>
      </c>
      <c r="C6901" s="545">
        <v>3.5</v>
      </c>
      <c r="D6901" s="545">
        <v>12</v>
      </c>
      <c r="E6901" s="545">
        <v>2.3333333333333335</v>
      </c>
      <c r="F6901" s="545">
        <v>4.5476190476190474</v>
      </c>
      <c r="G6901" s="545">
        <v>3.6</v>
      </c>
      <c r="H6901" s="545">
        <v>2.6666666666666665</v>
      </c>
      <c r="I6901" s="545">
        <v>1.6666666666666667</v>
      </c>
      <c r="J6901" s="545">
        <v>3.1904761904761907</v>
      </c>
    </row>
    <row r="6902" spans="1:10">
      <c r="A6902" s="441">
        <v>2202</v>
      </c>
      <c r="B6902" s="441" t="s">
        <v>5790</v>
      </c>
      <c r="C6902" s="545">
        <v>9.5</v>
      </c>
      <c r="D6902" s="545">
        <v>6</v>
      </c>
      <c r="E6902" s="545">
        <v>4.3333333333333339</v>
      </c>
      <c r="F6902" s="545">
        <v>8.2619047619047628</v>
      </c>
      <c r="G6902" s="545">
        <v>8.8000000000000007</v>
      </c>
      <c r="H6902" s="545">
        <v>6</v>
      </c>
      <c r="I6902" s="545">
        <v>5</v>
      </c>
      <c r="J6902" s="545">
        <v>7.8571428571428568</v>
      </c>
    </row>
    <row r="6903" spans="1:10">
      <c r="A6903" s="441">
        <v>2203</v>
      </c>
      <c r="B6903" s="441" t="s">
        <v>5790</v>
      </c>
      <c r="C6903" s="545">
        <v>10.166666666666666</v>
      </c>
      <c r="D6903" s="545">
        <v>5.333333333333333</v>
      </c>
      <c r="E6903" s="545">
        <v>5</v>
      </c>
      <c r="F6903" s="545">
        <v>8.7380952380952372</v>
      </c>
      <c r="G6903" s="545">
        <v>12.7</v>
      </c>
      <c r="H6903" s="545">
        <v>5</v>
      </c>
      <c r="I6903" s="545">
        <v>5.333333333333333</v>
      </c>
      <c r="J6903" s="545">
        <v>10.547619047619047</v>
      </c>
    </row>
    <row r="6904" spans="1:10">
      <c r="A6904" s="441">
        <v>2120</v>
      </c>
      <c r="B6904" s="441" t="s">
        <v>5791</v>
      </c>
      <c r="C6904" s="545">
        <v>21.333333333333332</v>
      </c>
      <c r="D6904" s="545">
        <v>17.666666666666664</v>
      </c>
      <c r="E6904" s="545">
        <v>17</v>
      </c>
      <c r="F6904" s="545">
        <v>20.190476190476186</v>
      </c>
      <c r="G6904" s="545">
        <v>10.35</v>
      </c>
      <c r="H6904" s="545">
        <v>10</v>
      </c>
      <c r="I6904" s="545">
        <v>5.666666666666667</v>
      </c>
      <c r="J6904" s="545">
        <v>9.6309523809523814</v>
      </c>
    </row>
    <row r="6905" spans="1:10">
      <c r="A6905" s="441">
        <v>2123</v>
      </c>
      <c r="B6905" s="441" t="s">
        <v>5791</v>
      </c>
      <c r="C6905" s="545">
        <v>16.666666666666668</v>
      </c>
      <c r="D6905" s="545">
        <v>14.666666666666668</v>
      </c>
      <c r="E6905" s="545">
        <v>9</v>
      </c>
      <c r="F6905" s="545">
        <v>15.285714285714288</v>
      </c>
      <c r="G6905" s="545">
        <v>11.85</v>
      </c>
      <c r="H6905" s="545">
        <v>12.333333333333334</v>
      </c>
      <c r="I6905" s="545">
        <v>7</v>
      </c>
      <c r="J6905" s="545">
        <v>11.226190476190476</v>
      </c>
    </row>
    <row r="6906" spans="1:10">
      <c r="A6906" s="441">
        <v>2201</v>
      </c>
      <c r="B6906" s="441" t="s">
        <v>5792</v>
      </c>
      <c r="C6906" s="545">
        <v>3</v>
      </c>
      <c r="D6906" s="545">
        <v>1</v>
      </c>
      <c r="E6906" s="545">
        <v>0</v>
      </c>
      <c r="F6906" s="545">
        <v>2.2857142857142856</v>
      </c>
      <c r="G6906" s="545">
        <v>3.2</v>
      </c>
      <c r="H6906" s="545">
        <v>3.6666666666666665</v>
      </c>
      <c r="I6906" s="545">
        <v>2.6666666666666665</v>
      </c>
      <c r="J6906" s="545">
        <v>3.1904761904761907</v>
      </c>
    </row>
    <row r="6907" spans="1:10">
      <c r="A6907" s="441">
        <v>2204</v>
      </c>
      <c r="B6907" s="441" t="s">
        <v>5792</v>
      </c>
      <c r="C6907" s="545">
        <v>0.66666666666666663</v>
      </c>
      <c r="D6907" s="545">
        <v>2</v>
      </c>
      <c r="E6907" s="545">
        <v>1.6666666666666667</v>
      </c>
      <c r="F6907" s="545">
        <v>1</v>
      </c>
      <c r="G6907" s="545">
        <v>3</v>
      </c>
      <c r="H6907" s="545">
        <v>3</v>
      </c>
      <c r="I6907" s="545">
        <v>2.3333333333333335</v>
      </c>
      <c r="J6907" s="545">
        <v>2.9047619047619047</v>
      </c>
    </row>
    <row r="6908" spans="1:10">
      <c r="A6908" s="441">
        <v>2205</v>
      </c>
      <c r="B6908" s="441" t="s">
        <v>5793</v>
      </c>
      <c r="C6908" s="545">
        <v>5.666666666666667</v>
      </c>
      <c r="D6908" s="545">
        <v>2.333333333333333</v>
      </c>
      <c r="E6908" s="545">
        <v>1.6666666666666665</v>
      </c>
      <c r="F6908" s="545">
        <v>4.6190476190476195</v>
      </c>
      <c r="G6908" s="545">
        <v>2</v>
      </c>
      <c r="H6908" s="545">
        <v>1.3333333333333333</v>
      </c>
      <c r="I6908" s="545">
        <v>0.33333333333333331</v>
      </c>
      <c r="J6908" s="545">
        <v>1.6666666666666667</v>
      </c>
    </row>
    <row r="6909" spans="1:10">
      <c r="A6909" s="441">
        <v>10185</v>
      </c>
      <c r="B6909" s="441" t="s">
        <v>5793</v>
      </c>
      <c r="C6909" s="545">
        <v>4.666666666666667</v>
      </c>
      <c r="D6909" s="545">
        <v>3</v>
      </c>
      <c r="E6909" s="545">
        <v>3.6666666666666665</v>
      </c>
      <c r="F6909" s="545">
        <v>4.2857142857142865</v>
      </c>
      <c r="G6909" s="545">
        <v>3.05</v>
      </c>
      <c r="H6909" s="545">
        <v>3.3333333333333335</v>
      </c>
      <c r="I6909" s="545">
        <v>2.6666666666666665</v>
      </c>
      <c r="J6909" s="545">
        <v>3.0357142857142856</v>
      </c>
    </row>
    <row r="6910" spans="1:10">
      <c r="A6910" s="441">
        <v>2200</v>
      </c>
      <c r="B6910" s="441" t="s">
        <v>5794</v>
      </c>
      <c r="C6910" s="545">
        <v>5.6666666666666661</v>
      </c>
      <c r="D6910" s="545">
        <v>2.333333333333333</v>
      </c>
      <c r="E6910" s="545">
        <v>2</v>
      </c>
      <c r="F6910" s="545">
        <v>4.6666666666666652</v>
      </c>
      <c r="G6910" s="545">
        <v>3.65</v>
      </c>
      <c r="H6910" s="545">
        <v>0</v>
      </c>
      <c r="I6910" s="545">
        <v>0.33333333333333331</v>
      </c>
      <c r="J6910" s="545">
        <v>2.6547619047619047</v>
      </c>
    </row>
    <row r="6911" spans="1:10">
      <c r="A6911" s="441">
        <v>2206</v>
      </c>
      <c r="B6911" s="441" t="s">
        <v>5794</v>
      </c>
      <c r="C6911" s="545">
        <v>5.8333333333333339</v>
      </c>
      <c r="D6911" s="545">
        <v>1.3333333333333333</v>
      </c>
      <c r="E6911" s="545">
        <v>1</v>
      </c>
      <c r="F6911" s="545">
        <v>4.5000000000000009</v>
      </c>
      <c r="G6911" s="545">
        <v>4.3</v>
      </c>
      <c r="H6911" s="545">
        <v>1.3333333333333333</v>
      </c>
      <c r="I6911" s="545">
        <v>0.66666666666666663</v>
      </c>
      <c r="J6911" s="545">
        <v>3.3571428571428572</v>
      </c>
    </row>
    <row r="6912" spans="1:10">
      <c r="A6912" s="441">
        <v>2121</v>
      </c>
      <c r="B6912" s="441" t="s">
        <v>5795</v>
      </c>
      <c r="C6912" s="545">
        <v>5.166666666666667</v>
      </c>
      <c r="D6912" s="545">
        <v>5</v>
      </c>
      <c r="E6912" s="545">
        <v>7.333333333333333</v>
      </c>
      <c r="F6912" s="545">
        <v>5.4523809523809534</v>
      </c>
      <c r="G6912" s="545">
        <v>9.6</v>
      </c>
      <c r="H6912" s="545">
        <v>6</v>
      </c>
      <c r="I6912" s="545">
        <v>8.6666666666666661</v>
      </c>
      <c r="J6912" s="545">
        <v>8.9523809523809526</v>
      </c>
    </row>
    <row r="6913" spans="1:10">
      <c r="A6913" s="441">
        <v>2208</v>
      </c>
      <c r="B6913" s="441" t="s">
        <v>5796</v>
      </c>
      <c r="C6913" s="545">
        <v>5.5</v>
      </c>
      <c r="D6913" s="545">
        <v>2</v>
      </c>
      <c r="E6913" s="545">
        <v>2.3333333333333335</v>
      </c>
      <c r="F6913" s="545">
        <v>4.5476190476190474</v>
      </c>
      <c r="G6913" s="545">
        <v>6.85</v>
      </c>
      <c r="H6913" s="545">
        <v>4.666666666666667</v>
      </c>
      <c r="I6913" s="545">
        <v>1.3333333333333333</v>
      </c>
      <c r="J6913" s="545">
        <v>5.75</v>
      </c>
    </row>
    <row r="6914" spans="1:10">
      <c r="A6914" s="441">
        <v>84</v>
      </c>
      <c r="B6914" s="441" t="s">
        <v>5797</v>
      </c>
      <c r="C6914" s="545">
        <v>2189</v>
      </c>
      <c r="D6914" s="545">
        <v>211.66666666666669</v>
      </c>
      <c r="E6914" s="545">
        <v>186</v>
      </c>
      <c r="F6914" s="545">
        <v>1620.3809523809523</v>
      </c>
      <c r="G6914" s="545">
        <v>918.45</v>
      </c>
      <c r="H6914" s="545">
        <v>142.66666666666666</v>
      </c>
      <c r="I6914" s="545">
        <v>145</v>
      </c>
      <c r="J6914" s="545">
        <v>697.13095238095241</v>
      </c>
    </row>
    <row r="6915" spans="1:10">
      <c r="A6915" s="441">
        <v>10442</v>
      </c>
      <c r="B6915" s="441" t="s">
        <v>5798</v>
      </c>
      <c r="C6915" s="545">
        <v>4</v>
      </c>
      <c r="D6915" s="545">
        <v>2.3333333333333335</v>
      </c>
      <c r="E6915" s="545">
        <v>2.3333333333333335</v>
      </c>
      <c r="F6915" s="545">
        <v>3.5238095238095233</v>
      </c>
      <c r="G6915" s="545">
        <v>3.75</v>
      </c>
      <c r="H6915" s="545">
        <v>1.6666666666666667</v>
      </c>
      <c r="I6915" s="545">
        <v>1.3333333333333333</v>
      </c>
      <c r="J6915" s="545">
        <v>3.1071428571428572</v>
      </c>
    </row>
    <row r="6916" spans="1:10">
      <c r="A6916" s="441">
        <v>3092</v>
      </c>
      <c r="B6916" s="441" t="s">
        <v>5799</v>
      </c>
      <c r="C6916" s="545">
        <v>4.6666666666666661</v>
      </c>
      <c r="D6916" s="545">
        <v>1</v>
      </c>
      <c r="E6916" s="545">
        <v>1</v>
      </c>
      <c r="F6916" s="545">
        <v>3.6190476190476182</v>
      </c>
      <c r="G6916" s="545">
        <v>8.8000000000000007</v>
      </c>
      <c r="H6916" s="545">
        <v>5.333333333333333</v>
      </c>
      <c r="I6916" s="545">
        <v>5.333333333333333</v>
      </c>
      <c r="J6916" s="545">
        <v>7.8095238095238102</v>
      </c>
    </row>
    <row r="6917" spans="1:10">
      <c r="A6917" s="441">
        <v>10439</v>
      </c>
      <c r="B6917" s="441" t="s">
        <v>5799</v>
      </c>
      <c r="C6917" s="545">
        <v>1</v>
      </c>
      <c r="D6917" s="545">
        <v>0.33333333333333331</v>
      </c>
      <c r="E6917" s="545">
        <v>0.33333333333333331</v>
      </c>
      <c r="F6917" s="545">
        <v>0.80952380952380942</v>
      </c>
      <c r="G6917" s="545">
        <v>4.25</v>
      </c>
      <c r="H6917" s="545">
        <v>3.3333333333333335</v>
      </c>
      <c r="I6917" s="545">
        <v>3</v>
      </c>
      <c r="J6917" s="545">
        <v>3.9404761904761902</v>
      </c>
    </row>
    <row r="6918" spans="1:10">
      <c r="A6918" s="441">
        <v>3091</v>
      </c>
      <c r="B6918" s="441" t="s">
        <v>5800</v>
      </c>
      <c r="C6918" s="545">
        <v>4.5</v>
      </c>
      <c r="D6918" s="545">
        <v>6.666666666666667</v>
      </c>
      <c r="E6918" s="545">
        <v>2.3333333333333335</v>
      </c>
      <c r="F6918" s="545">
        <v>4.5</v>
      </c>
      <c r="G6918" s="545">
        <v>4.3499999999999996</v>
      </c>
      <c r="H6918" s="545">
        <v>3</v>
      </c>
      <c r="I6918" s="545">
        <v>2</v>
      </c>
      <c r="J6918" s="545">
        <v>3.8214285714285716</v>
      </c>
    </row>
    <row r="6919" spans="1:10">
      <c r="A6919" s="441">
        <v>10440</v>
      </c>
      <c r="B6919" s="441" t="s">
        <v>5800</v>
      </c>
      <c r="C6919" s="545">
        <v>4</v>
      </c>
      <c r="D6919" s="545">
        <v>1</v>
      </c>
      <c r="E6919" s="545">
        <v>0</v>
      </c>
      <c r="F6919" s="545">
        <v>3</v>
      </c>
      <c r="G6919" s="545">
        <v>4.6500000000000004</v>
      </c>
      <c r="H6919" s="545">
        <v>2</v>
      </c>
      <c r="I6919" s="545">
        <v>1</v>
      </c>
      <c r="J6919" s="545">
        <v>3.75</v>
      </c>
    </row>
    <row r="6920" spans="1:10">
      <c r="A6920" s="441">
        <v>3090</v>
      </c>
      <c r="B6920" s="441" t="s">
        <v>5801</v>
      </c>
      <c r="C6920" s="545">
        <v>2.6666666666666665</v>
      </c>
      <c r="D6920" s="545">
        <v>0.66666666666666663</v>
      </c>
      <c r="E6920" s="545">
        <v>1</v>
      </c>
      <c r="F6920" s="545">
        <v>2.1428571428571428</v>
      </c>
      <c r="G6920" s="545">
        <v>3</v>
      </c>
      <c r="H6920" s="545">
        <v>0.33333333333333331</v>
      </c>
      <c r="I6920" s="545">
        <v>0.33333333333333331</v>
      </c>
      <c r="J6920" s="545">
        <v>2.2380952380952381</v>
      </c>
    </row>
    <row r="6921" spans="1:10">
      <c r="A6921" s="441">
        <v>10441</v>
      </c>
      <c r="B6921" s="441" t="s">
        <v>5801</v>
      </c>
      <c r="C6921" s="545">
        <v>0.16666666666666666</v>
      </c>
      <c r="D6921" s="545">
        <v>0.66666666666666663</v>
      </c>
      <c r="E6921" s="545">
        <v>0.66666666666666663</v>
      </c>
      <c r="F6921" s="545">
        <v>0.30952380952380948</v>
      </c>
      <c r="G6921" s="545">
        <v>1.95</v>
      </c>
      <c r="H6921" s="545">
        <v>0.66666666666666663</v>
      </c>
      <c r="I6921" s="545">
        <v>0</v>
      </c>
      <c r="J6921" s="545">
        <v>1.4880952380952379</v>
      </c>
    </row>
    <row r="6922" spans="1:10">
      <c r="A6922" s="441">
        <v>822</v>
      </c>
      <c r="B6922" s="441" t="s">
        <v>5802</v>
      </c>
      <c r="C6922" s="545">
        <v>0.83333333333333326</v>
      </c>
      <c r="D6922" s="545">
        <v>0</v>
      </c>
      <c r="E6922" s="545">
        <v>0</v>
      </c>
      <c r="F6922" s="545">
        <v>0.59523809523809512</v>
      </c>
      <c r="G6922" s="545">
        <v>2.4</v>
      </c>
      <c r="H6922" s="545">
        <v>1</v>
      </c>
      <c r="I6922" s="545">
        <v>7.333333333333333</v>
      </c>
      <c r="J6922" s="545">
        <v>2.9047619047619047</v>
      </c>
    </row>
    <row r="6923" spans="1:10">
      <c r="A6923" s="441">
        <v>823</v>
      </c>
      <c r="B6923" s="441" t="s">
        <v>5803</v>
      </c>
      <c r="C6923" s="545">
        <v>8.6666666666666679</v>
      </c>
      <c r="D6923" s="545">
        <v>3.333333333333333</v>
      </c>
      <c r="E6923" s="545">
        <v>3</v>
      </c>
      <c r="F6923" s="545">
        <v>7.0952380952380967</v>
      </c>
      <c r="G6923" s="545">
        <v>3.35</v>
      </c>
      <c r="H6923" s="545">
        <v>2.3333333333333335</v>
      </c>
      <c r="I6923" s="545">
        <v>0</v>
      </c>
      <c r="J6923" s="545">
        <v>2.7261904761904758</v>
      </c>
    </row>
    <row r="6924" spans="1:10">
      <c r="A6924" s="441">
        <v>825</v>
      </c>
      <c r="B6924" s="441" t="s">
        <v>5804</v>
      </c>
      <c r="C6924" s="545">
        <v>4.833333333333333</v>
      </c>
      <c r="D6924" s="545">
        <v>3</v>
      </c>
      <c r="E6924" s="545">
        <v>2.666666666666667</v>
      </c>
      <c r="F6924" s="545">
        <v>4.2619047619047619</v>
      </c>
      <c r="G6924" s="545">
        <v>6.05</v>
      </c>
      <c r="H6924" s="545">
        <v>2</v>
      </c>
      <c r="I6924" s="545">
        <v>3.6666666666666665</v>
      </c>
      <c r="J6924" s="545">
        <v>5.1309523809523805</v>
      </c>
    </row>
    <row r="6925" spans="1:10">
      <c r="A6925" s="441">
        <v>826</v>
      </c>
      <c r="B6925" s="441" t="s">
        <v>5805</v>
      </c>
      <c r="C6925" s="545">
        <v>5.333333333333333</v>
      </c>
      <c r="D6925" s="545">
        <v>3</v>
      </c>
      <c r="E6925" s="545">
        <v>3.333333333333333</v>
      </c>
      <c r="F6925" s="545">
        <v>4.7142857142857144</v>
      </c>
      <c r="G6925" s="545">
        <v>6.6</v>
      </c>
      <c r="H6925" s="545">
        <v>4.333333333333333</v>
      </c>
      <c r="I6925" s="545">
        <v>6.333333333333333</v>
      </c>
      <c r="J6925" s="545">
        <v>6.238095238095239</v>
      </c>
    </row>
    <row r="6926" spans="1:10">
      <c r="A6926" s="441">
        <v>1558</v>
      </c>
      <c r="B6926" s="441" t="s">
        <v>5806</v>
      </c>
      <c r="C6926" s="545">
        <v>23.333333333333332</v>
      </c>
      <c r="D6926" s="545">
        <v>13.333333333333334</v>
      </c>
      <c r="E6926" s="545">
        <v>5.333333333333333</v>
      </c>
      <c r="F6926" s="545">
        <v>19.333333333333336</v>
      </c>
      <c r="G6926" s="545">
        <v>16.350000000000001</v>
      </c>
      <c r="H6926" s="545">
        <v>5.666666666666667</v>
      </c>
      <c r="I6926" s="545">
        <v>10</v>
      </c>
      <c r="J6926" s="545">
        <v>13.916666666666668</v>
      </c>
    </row>
    <row r="6927" spans="1:10">
      <c r="A6927" s="441">
        <v>1559</v>
      </c>
      <c r="B6927" s="441" t="s">
        <v>5807</v>
      </c>
      <c r="C6927" s="545">
        <v>8</v>
      </c>
      <c r="D6927" s="545">
        <v>5.666666666666667</v>
      </c>
      <c r="E6927" s="545">
        <v>4.6666666666666661</v>
      </c>
      <c r="F6927" s="545">
        <v>7.1904761904761898</v>
      </c>
      <c r="G6927" s="545">
        <v>3.6</v>
      </c>
      <c r="H6927" s="545">
        <v>3</v>
      </c>
      <c r="I6927" s="545">
        <v>2.3333333333333335</v>
      </c>
      <c r="J6927" s="545">
        <v>3.333333333333333</v>
      </c>
    </row>
    <row r="6928" spans="1:10">
      <c r="A6928" s="441">
        <v>1560</v>
      </c>
      <c r="B6928" s="441" t="s">
        <v>5808</v>
      </c>
      <c r="C6928" s="545">
        <v>3.8333333333333335</v>
      </c>
      <c r="D6928" s="545">
        <v>7.333333333333333</v>
      </c>
      <c r="E6928" s="545">
        <v>2.6666666666666665</v>
      </c>
      <c r="F6928" s="545">
        <v>4.166666666666667</v>
      </c>
      <c r="G6928" s="545">
        <v>3.3</v>
      </c>
      <c r="H6928" s="545">
        <v>2.3333333333333335</v>
      </c>
      <c r="I6928" s="545">
        <v>0</v>
      </c>
      <c r="J6928" s="545">
        <v>2.6904761904761902</v>
      </c>
    </row>
    <row r="6929" spans="1:10">
      <c r="A6929" s="441">
        <v>1561</v>
      </c>
      <c r="B6929" s="441" t="s">
        <v>5809</v>
      </c>
      <c r="C6929" s="545">
        <v>11.166666666666666</v>
      </c>
      <c r="D6929" s="545">
        <v>3</v>
      </c>
      <c r="E6929" s="545">
        <v>1.3333333333333333</v>
      </c>
      <c r="F6929" s="545">
        <v>8.5952380952380949</v>
      </c>
      <c r="G6929" s="545">
        <v>6</v>
      </c>
      <c r="H6929" s="545">
        <v>6</v>
      </c>
      <c r="I6929" s="545">
        <v>2.6666666666666665</v>
      </c>
      <c r="J6929" s="545">
        <v>5.5238095238095237</v>
      </c>
    </row>
    <row r="6930" spans="1:10">
      <c r="A6930" s="441">
        <v>824</v>
      </c>
      <c r="B6930" s="441" t="s">
        <v>5810</v>
      </c>
      <c r="C6930" s="545">
        <v>17.166666666666668</v>
      </c>
      <c r="D6930" s="545">
        <v>17.333333333333336</v>
      </c>
      <c r="E6930" s="545">
        <v>8.3333333333333321</v>
      </c>
      <c r="F6930" s="545">
        <v>15.928571428571431</v>
      </c>
      <c r="G6930" s="545">
        <v>9.5</v>
      </c>
      <c r="H6930" s="545">
        <v>8.6666666666666661</v>
      </c>
      <c r="I6930" s="545">
        <v>2.3333333333333335</v>
      </c>
      <c r="J6930" s="545">
        <v>8.3571428571428577</v>
      </c>
    </row>
    <row r="6931" spans="1:10">
      <c r="A6931" s="441">
        <v>827</v>
      </c>
      <c r="B6931" s="441" t="s">
        <v>5811</v>
      </c>
      <c r="C6931" s="545">
        <v>11.333333333333334</v>
      </c>
      <c r="D6931" s="545">
        <v>10.333333333333334</v>
      </c>
      <c r="E6931" s="545">
        <v>7.3333333333333339</v>
      </c>
      <c r="F6931" s="545">
        <v>10.619047619047619</v>
      </c>
      <c r="G6931" s="545">
        <v>7.6</v>
      </c>
      <c r="H6931" s="545">
        <v>7.666666666666667</v>
      </c>
      <c r="I6931" s="545">
        <v>3.3333333333333335</v>
      </c>
      <c r="J6931" s="545">
        <v>7</v>
      </c>
    </row>
    <row r="6932" spans="1:10">
      <c r="A6932" s="441">
        <v>327</v>
      </c>
      <c r="B6932" s="441" t="s">
        <v>5812</v>
      </c>
      <c r="C6932" s="545">
        <v>34.166666666666664</v>
      </c>
      <c r="D6932" s="545">
        <v>6.333333333333333</v>
      </c>
      <c r="E6932" s="545">
        <v>9</v>
      </c>
      <c r="F6932" s="545">
        <v>26.595238095238095</v>
      </c>
      <c r="G6932" s="545">
        <v>24.2</v>
      </c>
      <c r="H6932" s="545">
        <v>16</v>
      </c>
      <c r="I6932" s="545">
        <v>16.333333333333332</v>
      </c>
      <c r="J6932" s="545">
        <v>21.904761904761905</v>
      </c>
    </row>
    <row r="6933" spans="1:10">
      <c r="A6933" s="441">
        <v>306</v>
      </c>
      <c r="B6933" s="441" t="s">
        <v>5813</v>
      </c>
      <c r="C6933" s="545">
        <v>55</v>
      </c>
      <c r="D6933" s="545">
        <v>24.666666666666664</v>
      </c>
      <c r="E6933" s="545">
        <v>21.666666666666668</v>
      </c>
      <c r="F6933" s="545">
        <v>45.904761904761912</v>
      </c>
      <c r="G6933" s="545">
        <v>23.15</v>
      </c>
      <c r="H6933" s="545">
        <v>13</v>
      </c>
      <c r="I6933" s="545">
        <v>28.666666666666668</v>
      </c>
      <c r="J6933" s="545">
        <v>22.488095238095237</v>
      </c>
    </row>
    <row r="6934" spans="1:10">
      <c r="A6934" s="441">
        <v>308</v>
      </c>
      <c r="B6934" s="441" t="s">
        <v>5814</v>
      </c>
      <c r="C6934" s="545">
        <v>110.16666666666667</v>
      </c>
      <c r="D6934" s="545">
        <v>7</v>
      </c>
      <c r="E6934" s="545">
        <v>3.666666666666667</v>
      </c>
      <c r="F6934" s="545">
        <v>80.214285714285708</v>
      </c>
      <c r="G6934" s="545">
        <v>21.95</v>
      </c>
      <c r="H6934" s="545">
        <v>11.333333333333334</v>
      </c>
      <c r="I6934" s="545">
        <v>7.666666666666667</v>
      </c>
      <c r="J6934" s="545">
        <v>18.392857142857142</v>
      </c>
    </row>
    <row r="6935" spans="1:10">
      <c r="A6935" s="441">
        <v>328</v>
      </c>
      <c r="B6935" s="441" t="s">
        <v>5815</v>
      </c>
      <c r="C6935" s="545">
        <v>251</v>
      </c>
      <c r="D6935" s="545">
        <v>39</v>
      </c>
      <c r="E6935" s="545">
        <v>38.666666666666664</v>
      </c>
      <c r="F6935" s="545">
        <v>190.38095238095238</v>
      </c>
      <c r="G6935" s="545">
        <v>120.85</v>
      </c>
      <c r="H6935" s="545">
        <v>34</v>
      </c>
      <c r="I6935" s="545">
        <v>27.666666666666668</v>
      </c>
      <c r="J6935" s="545">
        <v>95.13095238095238</v>
      </c>
    </row>
    <row r="6936" spans="1:10">
      <c r="A6936" s="441">
        <v>309</v>
      </c>
      <c r="B6936" s="441" t="s">
        <v>5816</v>
      </c>
      <c r="C6936" s="545">
        <v>924.5</v>
      </c>
      <c r="D6936" s="545">
        <v>661</v>
      </c>
      <c r="E6936" s="545">
        <v>577.66666666666674</v>
      </c>
      <c r="F6936" s="545">
        <v>837.30952380952385</v>
      </c>
      <c r="G6936" s="545">
        <v>637.1</v>
      </c>
      <c r="H6936" s="545">
        <v>445.66666666666669</v>
      </c>
      <c r="I6936" s="545">
        <v>414</v>
      </c>
      <c r="J6936" s="545">
        <v>577.88095238095241</v>
      </c>
    </row>
    <row r="6937" spans="1:10">
      <c r="A6937" s="441">
        <v>10601</v>
      </c>
      <c r="B6937" s="441" t="s">
        <v>5817</v>
      </c>
      <c r="C6937" s="545">
        <v>39.333333333333336</v>
      </c>
      <c r="D6937" s="545">
        <v>36.666666666666671</v>
      </c>
      <c r="E6937" s="545">
        <v>36</v>
      </c>
      <c r="F6937" s="545">
        <v>38.476190476190482</v>
      </c>
      <c r="G6937" s="545">
        <v>74.849999999999994</v>
      </c>
      <c r="H6937" s="545">
        <v>73</v>
      </c>
      <c r="I6937" s="545">
        <v>56</v>
      </c>
      <c r="J6937" s="545">
        <v>71.892857142857139</v>
      </c>
    </row>
    <row r="6938" spans="1:10">
      <c r="A6938" s="441">
        <v>307</v>
      </c>
      <c r="B6938" s="441" t="s">
        <v>5818</v>
      </c>
      <c r="C6938" s="545">
        <v>40.666666666666664</v>
      </c>
      <c r="D6938" s="545">
        <v>35.666666666666664</v>
      </c>
      <c r="E6938" s="545">
        <v>18.333333333333332</v>
      </c>
      <c r="F6938" s="545">
        <v>36.761904761904759</v>
      </c>
      <c r="G6938" s="545">
        <v>41.5</v>
      </c>
      <c r="H6938" s="545">
        <v>27.333333333333332</v>
      </c>
      <c r="I6938" s="545">
        <v>26.666666666666668</v>
      </c>
      <c r="J6938" s="545">
        <v>37.357142857142854</v>
      </c>
    </row>
    <row r="6939" spans="1:10">
      <c r="A6939" s="441">
        <v>310</v>
      </c>
      <c r="B6939" s="441" t="s">
        <v>5819</v>
      </c>
      <c r="C6939" s="545">
        <v>502.33333333333331</v>
      </c>
      <c r="D6939" s="545">
        <v>152.66666666666669</v>
      </c>
      <c r="E6939" s="545">
        <v>161.33333333333334</v>
      </c>
      <c r="F6939" s="545">
        <v>403.66666666666663</v>
      </c>
      <c r="G6939" s="545">
        <v>146.30000000000001</v>
      </c>
      <c r="H6939" s="545">
        <v>83</v>
      </c>
      <c r="I6939" s="545">
        <v>47.666666666666664</v>
      </c>
      <c r="J6939" s="545">
        <v>123.16666666666666</v>
      </c>
    </row>
    <row r="6940" spans="1:10">
      <c r="A6940" s="441">
        <v>11495</v>
      </c>
      <c r="B6940" s="441" t="s">
        <v>5820</v>
      </c>
      <c r="C6940" s="545">
        <v>72</v>
      </c>
      <c r="D6940" s="545">
        <v>33</v>
      </c>
      <c r="E6940" s="545">
        <v>38.333333333333336</v>
      </c>
      <c r="F6940" s="545">
        <v>61.619047619047613</v>
      </c>
      <c r="G6940" s="545">
        <v>67.650000000000006</v>
      </c>
      <c r="H6940" s="545">
        <v>26</v>
      </c>
      <c r="I6940" s="545">
        <v>20.666666666666668</v>
      </c>
      <c r="J6940" s="545">
        <v>54.988095238095241</v>
      </c>
    </row>
    <row r="6941" spans="1:10">
      <c r="A6941" s="441">
        <v>7381</v>
      </c>
      <c r="B6941" s="441" t="s">
        <v>5821</v>
      </c>
      <c r="C6941" s="545">
        <v>0.66666666666666663</v>
      </c>
      <c r="D6941" s="545">
        <v>0</v>
      </c>
      <c r="E6941" s="545">
        <v>0</v>
      </c>
      <c r="F6941" s="545">
        <v>0.47619047619047616</v>
      </c>
      <c r="G6941" s="545">
        <v>0.25</v>
      </c>
      <c r="H6941" s="545">
        <v>0</v>
      </c>
      <c r="I6941" s="545">
        <v>0</v>
      </c>
      <c r="J6941" s="545">
        <v>0.17857142857142858</v>
      </c>
    </row>
    <row r="6942" spans="1:10">
      <c r="A6942" s="441">
        <v>7382</v>
      </c>
      <c r="B6942" s="441" t="s">
        <v>5822</v>
      </c>
      <c r="C6942" s="545">
        <v>0.66666666666666663</v>
      </c>
      <c r="D6942" s="545">
        <v>0.33333333333333331</v>
      </c>
      <c r="E6942" s="545">
        <v>0</v>
      </c>
      <c r="F6942" s="545">
        <v>0.52380952380952384</v>
      </c>
      <c r="G6942" s="545">
        <v>0.15</v>
      </c>
      <c r="H6942" s="545">
        <v>0</v>
      </c>
      <c r="I6942" s="545">
        <v>0</v>
      </c>
      <c r="J6942" s="545">
        <v>0.10714285714285714</v>
      </c>
    </row>
    <row r="6943" spans="1:10">
      <c r="A6943" s="441">
        <v>7383</v>
      </c>
      <c r="B6943" s="441" t="s">
        <v>5823</v>
      </c>
      <c r="C6943" s="545">
        <v>0.66666666666666663</v>
      </c>
      <c r="D6943" s="545">
        <v>1.3333333333333333</v>
      </c>
      <c r="E6943" s="545">
        <v>0.33333333333333331</v>
      </c>
      <c r="F6943" s="545">
        <v>0.71428571428571419</v>
      </c>
      <c r="G6943" s="545">
        <v>0.1</v>
      </c>
      <c r="H6943" s="545">
        <v>0</v>
      </c>
      <c r="I6943" s="545">
        <v>0</v>
      </c>
      <c r="J6943" s="545">
        <v>7.1428571428571425E-2</v>
      </c>
    </row>
    <row r="6944" spans="1:10">
      <c r="A6944" s="441">
        <v>7384</v>
      </c>
      <c r="B6944" s="441" t="s">
        <v>5824</v>
      </c>
      <c r="C6944" s="545">
        <v>2.6666666666666665</v>
      </c>
      <c r="D6944" s="545">
        <v>3.3333333333333335</v>
      </c>
      <c r="E6944" s="545">
        <v>0.33333333333333331</v>
      </c>
      <c r="F6944" s="545">
        <v>2.4285714285714279</v>
      </c>
      <c r="G6944" s="545">
        <v>0.5</v>
      </c>
      <c r="H6944" s="545">
        <v>2</v>
      </c>
      <c r="I6944" s="545">
        <v>1.3333333333333333</v>
      </c>
      <c r="J6944" s="545">
        <v>0.83333333333333326</v>
      </c>
    </row>
    <row r="6945" spans="1:10">
      <c r="A6945" s="441">
        <v>13086</v>
      </c>
      <c r="B6945" s="441" t="s">
        <v>5825</v>
      </c>
      <c r="C6945" s="545">
        <v>359.16666666666663</v>
      </c>
      <c r="D6945" s="545">
        <v>196.33333333333334</v>
      </c>
      <c r="E6945" s="545">
        <v>156.66666666666666</v>
      </c>
      <c r="F6945" s="545">
        <v>306.97619047619042</v>
      </c>
      <c r="G6945" s="545">
        <v>172.75</v>
      </c>
      <c r="H6945" s="545">
        <v>154.33333333333334</v>
      </c>
      <c r="I6945" s="545">
        <v>150</v>
      </c>
      <c r="J6945" s="545">
        <v>166.86904761904765</v>
      </c>
    </row>
    <row r="6946" spans="1:10">
      <c r="A6946" s="441">
        <v>5737</v>
      </c>
      <c r="B6946" s="441" t="s">
        <v>5826</v>
      </c>
      <c r="C6946" s="545">
        <v>39.333333333333336</v>
      </c>
      <c r="D6946" s="545">
        <v>16</v>
      </c>
      <c r="E6946" s="545">
        <v>11</v>
      </c>
      <c r="F6946" s="545">
        <v>31.952380952380956</v>
      </c>
      <c r="G6946" s="545">
        <v>11.7</v>
      </c>
      <c r="H6946" s="545">
        <v>5.666666666666667</v>
      </c>
      <c r="I6946" s="545">
        <v>6.666666666666667</v>
      </c>
      <c r="J6946" s="545">
        <v>10.11904761904762</v>
      </c>
    </row>
    <row r="6947" spans="1:10">
      <c r="A6947" s="441">
        <v>4045</v>
      </c>
      <c r="B6947" s="441" t="s">
        <v>5827</v>
      </c>
      <c r="C6947" s="545">
        <v>28.5</v>
      </c>
      <c r="D6947" s="545">
        <v>24.333333333333336</v>
      </c>
      <c r="E6947" s="545">
        <v>17.333333333333332</v>
      </c>
      <c r="F6947" s="545">
        <v>26.309523809523814</v>
      </c>
      <c r="G6947" s="545">
        <v>12</v>
      </c>
      <c r="H6947" s="545">
        <v>9</v>
      </c>
      <c r="I6947" s="545">
        <v>8.3333333333333339</v>
      </c>
      <c r="J6947" s="545">
        <v>11.047619047619047</v>
      </c>
    </row>
    <row r="6948" spans="1:10">
      <c r="A6948" s="441">
        <v>4055</v>
      </c>
      <c r="B6948" s="441" t="s">
        <v>5827</v>
      </c>
      <c r="C6948" s="545">
        <v>36.333333333333336</v>
      </c>
      <c r="D6948" s="545">
        <v>14.666666666666668</v>
      </c>
      <c r="E6948" s="545">
        <v>8</v>
      </c>
      <c r="F6948" s="545">
        <v>29.190476190476193</v>
      </c>
      <c r="G6948" s="545">
        <v>12.6</v>
      </c>
      <c r="H6948" s="545">
        <v>7.333333333333333</v>
      </c>
      <c r="I6948" s="545">
        <v>7</v>
      </c>
      <c r="J6948" s="545">
        <v>11.047619047619047</v>
      </c>
    </row>
    <row r="6949" spans="1:10">
      <c r="A6949" s="441">
        <v>4044</v>
      </c>
      <c r="B6949" s="441" t="s">
        <v>5828</v>
      </c>
      <c r="C6949" s="545">
        <v>1.5</v>
      </c>
      <c r="D6949" s="545">
        <v>1.6666666666666665</v>
      </c>
      <c r="E6949" s="545">
        <v>0.33333333333333331</v>
      </c>
      <c r="F6949" s="545">
        <v>1.3571428571428572</v>
      </c>
      <c r="G6949" s="545">
        <v>0.7</v>
      </c>
      <c r="H6949" s="545">
        <v>0.33333333333333331</v>
      </c>
      <c r="I6949" s="545">
        <v>0.33333333333333331</v>
      </c>
      <c r="J6949" s="545">
        <v>0.59523809523809523</v>
      </c>
    </row>
    <row r="6950" spans="1:10">
      <c r="A6950" s="441">
        <v>4056</v>
      </c>
      <c r="B6950" s="441" t="s">
        <v>5828</v>
      </c>
      <c r="C6950" s="545">
        <v>3.1666666666666665</v>
      </c>
      <c r="D6950" s="545">
        <v>1</v>
      </c>
      <c r="E6950" s="545">
        <v>0</v>
      </c>
      <c r="F6950" s="545">
        <v>2.4047619047619047</v>
      </c>
      <c r="G6950" s="545">
        <v>0.85</v>
      </c>
      <c r="H6950" s="545">
        <v>0.33333333333333331</v>
      </c>
      <c r="I6950" s="545">
        <v>1</v>
      </c>
      <c r="J6950" s="545">
        <v>0.79761904761904756</v>
      </c>
    </row>
    <row r="6951" spans="1:10">
      <c r="A6951" s="441">
        <v>4037</v>
      </c>
      <c r="B6951" s="441" t="s">
        <v>5829</v>
      </c>
      <c r="C6951" s="545">
        <v>20.5</v>
      </c>
      <c r="D6951" s="545">
        <v>14.333333333333334</v>
      </c>
      <c r="E6951" s="545">
        <v>6.6666666666666661</v>
      </c>
      <c r="F6951" s="545">
        <v>17.642857142857142</v>
      </c>
      <c r="G6951" s="545">
        <v>6.9</v>
      </c>
      <c r="H6951" s="545">
        <v>6</v>
      </c>
      <c r="I6951" s="545">
        <v>3</v>
      </c>
      <c r="J6951" s="545">
        <v>6.2142857142857144</v>
      </c>
    </row>
    <row r="6952" spans="1:10">
      <c r="A6952" s="441">
        <v>4063</v>
      </c>
      <c r="B6952" s="441" t="s">
        <v>5829</v>
      </c>
      <c r="C6952" s="545">
        <v>0.66666666666666663</v>
      </c>
      <c r="D6952" s="545">
        <v>0.66666666666666663</v>
      </c>
      <c r="E6952" s="545">
        <v>0.33333333333333331</v>
      </c>
      <c r="F6952" s="545">
        <v>0.61904761904761896</v>
      </c>
      <c r="G6952" s="545">
        <v>5.6</v>
      </c>
      <c r="H6952" s="545">
        <v>3.3333333333333335</v>
      </c>
      <c r="I6952" s="545">
        <v>2</v>
      </c>
      <c r="J6952" s="545">
        <v>4.761904761904761</v>
      </c>
    </row>
    <row r="6953" spans="1:10">
      <c r="A6953" s="441">
        <v>4065</v>
      </c>
      <c r="B6953" s="441" t="s">
        <v>5829</v>
      </c>
      <c r="C6953" s="545">
        <v>7.833333333333333</v>
      </c>
      <c r="D6953" s="545">
        <v>6.3333333333333339</v>
      </c>
      <c r="E6953" s="545">
        <v>3.666666666666667</v>
      </c>
      <c r="F6953" s="545">
        <v>7.0238095238095237</v>
      </c>
      <c r="G6953" s="545">
        <v>1.25</v>
      </c>
      <c r="H6953" s="545">
        <v>0.33333333333333331</v>
      </c>
      <c r="I6953" s="545">
        <v>0.33333333333333331</v>
      </c>
      <c r="J6953" s="545">
        <v>0.98809523809523803</v>
      </c>
    </row>
    <row r="6954" spans="1:10">
      <c r="A6954" s="441">
        <v>5735</v>
      </c>
      <c r="B6954" s="441" t="s">
        <v>5830</v>
      </c>
      <c r="C6954" s="545">
        <v>2.3333333333333335</v>
      </c>
      <c r="D6954" s="545">
        <v>2.6666666666666665</v>
      </c>
      <c r="E6954" s="545">
        <v>2.3333333333333335</v>
      </c>
      <c r="F6954" s="545">
        <v>2.3809523809523809</v>
      </c>
      <c r="G6954" s="545">
        <v>4.3</v>
      </c>
      <c r="H6954" s="545">
        <v>2.6666666666666665</v>
      </c>
      <c r="I6954" s="545">
        <v>6.333333333333333</v>
      </c>
      <c r="J6954" s="545">
        <v>4.3571428571428568</v>
      </c>
    </row>
    <row r="6955" spans="1:10">
      <c r="A6955" s="441">
        <v>5740</v>
      </c>
      <c r="B6955" s="441" t="s">
        <v>5830</v>
      </c>
      <c r="C6955" s="545">
        <v>5.6666666666666661</v>
      </c>
      <c r="D6955" s="545">
        <v>2.333333333333333</v>
      </c>
      <c r="E6955" s="545">
        <v>2</v>
      </c>
      <c r="F6955" s="545">
        <v>4.6666666666666652</v>
      </c>
      <c r="G6955" s="545">
        <v>12.35</v>
      </c>
      <c r="H6955" s="545">
        <v>4.333333333333333</v>
      </c>
      <c r="I6955" s="545">
        <v>5.666666666666667</v>
      </c>
      <c r="J6955" s="545">
        <v>10.25</v>
      </c>
    </row>
    <row r="6956" spans="1:10">
      <c r="A6956" s="441">
        <v>4041</v>
      </c>
      <c r="B6956" s="441" t="s">
        <v>5831</v>
      </c>
      <c r="C6956" s="545">
        <v>10.166666666666668</v>
      </c>
      <c r="D6956" s="545">
        <v>5.3333333333333339</v>
      </c>
      <c r="E6956" s="545">
        <v>0.66666666666666663</v>
      </c>
      <c r="F6956" s="545">
        <v>8.1190476190476204</v>
      </c>
      <c r="G6956" s="545">
        <v>2.65</v>
      </c>
      <c r="H6956" s="545">
        <v>4</v>
      </c>
      <c r="I6956" s="545">
        <v>0.33333333333333331</v>
      </c>
      <c r="J6956" s="545">
        <v>2.5119047619047619</v>
      </c>
    </row>
    <row r="6957" spans="1:10">
      <c r="A6957" s="441">
        <v>4059</v>
      </c>
      <c r="B6957" s="441" t="s">
        <v>5831</v>
      </c>
      <c r="C6957" s="545">
        <v>12.333333333333334</v>
      </c>
      <c r="D6957" s="545">
        <v>4</v>
      </c>
      <c r="E6957" s="545">
        <v>0</v>
      </c>
      <c r="F6957" s="545">
        <v>9.3809523809523814</v>
      </c>
      <c r="G6957" s="545">
        <v>2.15</v>
      </c>
      <c r="H6957" s="545">
        <v>2</v>
      </c>
      <c r="I6957" s="545">
        <v>0.33333333333333331</v>
      </c>
      <c r="J6957" s="545">
        <v>1.8690476190476191</v>
      </c>
    </row>
    <row r="6958" spans="1:10">
      <c r="A6958" s="441">
        <v>4039</v>
      </c>
      <c r="B6958" s="441" t="s">
        <v>5832</v>
      </c>
      <c r="C6958" s="545">
        <v>0.83333333333333337</v>
      </c>
      <c r="D6958" s="545">
        <v>0</v>
      </c>
      <c r="E6958" s="545">
        <v>0</v>
      </c>
      <c r="F6958" s="545">
        <v>0.59523809523809523</v>
      </c>
      <c r="G6958" s="545">
        <v>0.9</v>
      </c>
      <c r="H6958" s="545">
        <v>0.33333333333333331</v>
      </c>
      <c r="I6958" s="545">
        <v>0.66666666666666663</v>
      </c>
      <c r="J6958" s="545">
        <v>0.7857142857142857</v>
      </c>
    </row>
    <row r="6959" spans="1:10">
      <c r="A6959" s="441">
        <v>4061</v>
      </c>
      <c r="B6959" s="441" t="s">
        <v>5832</v>
      </c>
      <c r="C6959" s="545">
        <v>1</v>
      </c>
      <c r="D6959" s="545">
        <v>0.33333333333333331</v>
      </c>
      <c r="E6959" s="545">
        <v>0</v>
      </c>
      <c r="F6959" s="545">
        <v>0.76190476190476186</v>
      </c>
      <c r="G6959" s="545">
        <v>0.4</v>
      </c>
      <c r="H6959" s="545">
        <v>0</v>
      </c>
      <c r="I6959" s="545">
        <v>0.33333333333333331</v>
      </c>
      <c r="J6959" s="545">
        <v>0.33333333333333337</v>
      </c>
    </row>
    <row r="6960" spans="1:10">
      <c r="A6960" s="441">
        <v>4043</v>
      </c>
      <c r="B6960" s="441" t="s">
        <v>5833</v>
      </c>
      <c r="C6960" s="545">
        <v>8.3333333333333339</v>
      </c>
      <c r="D6960" s="545">
        <v>0</v>
      </c>
      <c r="E6960" s="545">
        <v>0.33333333333333331</v>
      </c>
      <c r="F6960" s="545">
        <v>6.0000000000000009</v>
      </c>
      <c r="G6960" s="545">
        <v>5.55</v>
      </c>
      <c r="H6960" s="545">
        <v>0.33333333333333331</v>
      </c>
      <c r="I6960" s="545">
        <v>0</v>
      </c>
      <c r="J6960" s="545">
        <v>4.0119047619047619</v>
      </c>
    </row>
    <row r="6961" spans="1:10">
      <c r="A6961" s="441">
        <v>4057</v>
      </c>
      <c r="B6961" s="441" t="s">
        <v>5833</v>
      </c>
      <c r="C6961" s="545">
        <v>6.3333333333333339</v>
      </c>
      <c r="D6961" s="545">
        <v>0.33333333333333331</v>
      </c>
      <c r="E6961" s="545">
        <v>0</v>
      </c>
      <c r="F6961" s="545">
        <v>4.5714285714285721</v>
      </c>
      <c r="G6961" s="545">
        <v>2.95</v>
      </c>
      <c r="H6961" s="545">
        <v>0.33333333333333331</v>
      </c>
      <c r="I6961" s="545">
        <v>0.33333333333333331</v>
      </c>
      <c r="J6961" s="545">
        <v>2.2023809523809526</v>
      </c>
    </row>
    <row r="6962" spans="1:10">
      <c r="A6962" s="441">
        <v>4034</v>
      </c>
      <c r="B6962" s="441" t="s">
        <v>5834</v>
      </c>
      <c r="C6962" s="545">
        <v>3.5</v>
      </c>
      <c r="D6962" s="545">
        <v>1.3333333333333333</v>
      </c>
      <c r="E6962" s="545">
        <v>0.66666666666666663</v>
      </c>
      <c r="F6962" s="545">
        <v>2.7857142857142856</v>
      </c>
      <c r="G6962" s="545">
        <v>2</v>
      </c>
      <c r="H6962" s="545">
        <v>1.3333333333333333</v>
      </c>
      <c r="I6962" s="545">
        <v>1</v>
      </c>
      <c r="J6962" s="545">
        <v>1.7619047619047621</v>
      </c>
    </row>
    <row r="6963" spans="1:10">
      <c r="A6963" s="441">
        <v>4067</v>
      </c>
      <c r="B6963" s="441" t="s">
        <v>5834</v>
      </c>
      <c r="C6963" s="545">
        <v>1.1666666666666667</v>
      </c>
      <c r="D6963" s="545">
        <v>1</v>
      </c>
      <c r="E6963" s="545">
        <v>1</v>
      </c>
      <c r="F6963" s="545">
        <v>1.1190476190476191</v>
      </c>
      <c r="G6963" s="545">
        <v>1.35</v>
      </c>
      <c r="H6963" s="545">
        <v>0.33333333333333331</v>
      </c>
      <c r="I6963" s="545">
        <v>1.6666666666666667</v>
      </c>
      <c r="J6963" s="545">
        <v>1.25</v>
      </c>
    </row>
    <row r="6964" spans="1:10">
      <c r="A6964" s="441">
        <v>4033</v>
      </c>
      <c r="B6964" s="441" t="s">
        <v>5835</v>
      </c>
      <c r="C6964" s="545">
        <v>106.16666666666667</v>
      </c>
      <c r="D6964" s="545">
        <v>74.666666666666671</v>
      </c>
      <c r="E6964" s="545">
        <v>61.333333333333329</v>
      </c>
      <c r="F6964" s="545">
        <v>95.261904761904773</v>
      </c>
      <c r="G6964" s="545">
        <v>40.6</v>
      </c>
      <c r="H6964" s="545">
        <v>35.666666666666664</v>
      </c>
      <c r="I6964" s="545">
        <v>39.333333333333336</v>
      </c>
      <c r="J6964" s="545">
        <v>39.714285714285715</v>
      </c>
    </row>
    <row r="6965" spans="1:10">
      <c r="A6965" s="441">
        <v>4068</v>
      </c>
      <c r="B6965" s="441" t="s">
        <v>5835</v>
      </c>
      <c r="C6965" s="545">
        <v>93.333333333333343</v>
      </c>
      <c r="D6965" s="545">
        <v>56.333333333333329</v>
      </c>
      <c r="E6965" s="545">
        <v>50.333333333333336</v>
      </c>
      <c r="F6965" s="545">
        <v>81.904761904761926</v>
      </c>
      <c r="G6965" s="545">
        <v>36.950000000000003</v>
      </c>
      <c r="H6965" s="545">
        <v>40.333333333333336</v>
      </c>
      <c r="I6965" s="545">
        <v>44.666666666666664</v>
      </c>
      <c r="J6965" s="545">
        <v>38.535714285714285</v>
      </c>
    </row>
    <row r="6966" spans="1:10">
      <c r="A6966" s="441">
        <v>5738</v>
      </c>
      <c r="B6966" s="441" t="s">
        <v>5836</v>
      </c>
      <c r="C6966" s="545">
        <v>21</v>
      </c>
      <c r="D6966" s="545">
        <v>8.6666666666666679</v>
      </c>
      <c r="E6966" s="545">
        <v>6</v>
      </c>
      <c r="F6966" s="545">
        <v>17.095238095238095</v>
      </c>
      <c r="G6966" s="545">
        <v>11.45</v>
      </c>
      <c r="H6966" s="545">
        <v>3.3333333333333335</v>
      </c>
      <c r="I6966" s="545">
        <v>4</v>
      </c>
      <c r="J6966" s="545">
        <v>9.2261904761904781</v>
      </c>
    </row>
    <row r="6967" spans="1:10">
      <c r="A6967" s="441">
        <v>5736</v>
      </c>
      <c r="B6967" s="441" t="s">
        <v>5837</v>
      </c>
      <c r="C6967" s="545">
        <v>21.5</v>
      </c>
      <c r="D6967" s="545">
        <v>15.666666666666666</v>
      </c>
      <c r="E6967" s="545">
        <v>9.3333333333333339</v>
      </c>
      <c r="F6967" s="545">
        <v>18.928571428571427</v>
      </c>
      <c r="G6967" s="545">
        <v>5.35</v>
      </c>
      <c r="H6967" s="545">
        <v>2.6666666666666665</v>
      </c>
      <c r="I6967" s="545">
        <v>8.6666666666666661</v>
      </c>
      <c r="J6967" s="545">
        <v>5.4404761904761907</v>
      </c>
    </row>
    <row r="6968" spans="1:10">
      <c r="A6968" s="441">
        <v>5739</v>
      </c>
      <c r="B6968" s="441" t="s">
        <v>5837</v>
      </c>
      <c r="C6968" s="545">
        <v>29</v>
      </c>
      <c r="D6968" s="545">
        <v>8</v>
      </c>
      <c r="E6968" s="545">
        <v>6.6666666666666661</v>
      </c>
      <c r="F6968" s="545">
        <v>22.809523809523807</v>
      </c>
      <c r="G6968" s="545">
        <v>8.1999999999999993</v>
      </c>
      <c r="H6968" s="545">
        <v>1.6666666666666667</v>
      </c>
      <c r="I6968" s="545">
        <v>3.6666666666666665</v>
      </c>
      <c r="J6968" s="545">
        <v>6.6190476190476186</v>
      </c>
    </row>
    <row r="6969" spans="1:10">
      <c r="A6969" s="441">
        <v>4035</v>
      </c>
      <c r="B6969" s="441" t="s">
        <v>5838</v>
      </c>
      <c r="C6969" s="545">
        <v>6.6666666666666661</v>
      </c>
      <c r="D6969" s="545">
        <v>3</v>
      </c>
      <c r="E6969" s="545">
        <v>2.6666666666666665</v>
      </c>
      <c r="F6969" s="545">
        <v>5.5714285714285703</v>
      </c>
      <c r="G6969" s="545">
        <v>6.45</v>
      </c>
      <c r="H6969" s="545">
        <v>3</v>
      </c>
      <c r="I6969" s="545">
        <v>4.333333333333333</v>
      </c>
      <c r="J6969" s="545">
        <v>5.6547619047619051</v>
      </c>
    </row>
    <row r="6970" spans="1:10">
      <c r="A6970" s="441">
        <v>4066</v>
      </c>
      <c r="B6970" s="441" t="s">
        <v>5838</v>
      </c>
      <c r="C6970" s="545">
        <v>8.1666666666666679</v>
      </c>
      <c r="D6970" s="545">
        <v>5.333333333333333</v>
      </c>
      <c r="E6970" s="545">
        <v>3</v>
      </c>
      <c r="F6970" s="545">
        <v>7.0238095238095255</v>
      </c>
      <c r="G6970" s="545">
        <v>6.75</v>
      </c>
      <c r="H6970" s="545">
        <v>2</v>
      </c>
      <c r="I6970" s="545">
        <v>3.3333333333333335</v>
      </c>
      <c r="J6970" s="545">
        <v>5.5833333333333339</v>
      </c>
    </row>
    <row r="6971" spans="1:10">
      <c r="A6971" s="441">
        <v>5743</v>
      </c>
      <c r="B6971" s="441" t="s">
        <v>5839</v>
      </c>
      <c r="C6971" s="545">
        <v>4</v>
      </c>
      <c r="D6971" s="545">
        <v>2.666666666666667</v>
      </c>
      <c r="E6971" s="545">
        <v>2</v>
      </c>
      <c r="F6971" s="545">
        <v>3.5238095238095242</v>
      </c>
      <c r="G6971" s="545">
        <v>0.45</v>
      </c>
      <c r="H6971" s="545">
        <v>0</v>
      </c>
      <c r="I6971" s="545">
        <v>1</v>
      </c>
      <c r="J6971" s="545">
        <v>0.4642857142857143</v>
      </c>
    </row>
    <row r="6972" spans="1:10">
      <c r="A6972" s="441">
        <v>5749</v>
      </c>
      <c r="B6972" s="441" t="s">
        <v>5839</v>
      </c>
      <c r="C6972" s="545">
        <v>5.666666666666667</v>
      </c>
      <c r="D6972" s="545">
        <v>2</v>
      </c>
      <c r="E6972" s="545">
        <v>1</v>
      </c>
      <c r="F6972" s="545">
        <v>4.4761904761904763</v>
      </c>
      <c r="G6972" s="545">
        <v>1.6</v>
      </c>
      <c r="H6972" s="545">
        <v>0.33333333333333331</v>
      </c>
      <c r="I6972" s="545">
        <v>0.33333333333333331</v>
      </c>
      <c r="J6972" s="545">
        <v>1.2380952380952384</v>
      </c>
    </row>
    <row r="6973" spans="1:10">
      <c r="A6973" s="441">
        <v>4040</v>
      </c>
      <c r="B6973" s="441" t="s">
        <v>5840</v>
      </c>
      <c r="C6973" s="545">
        <v>3</v>
      </c>
      <c r="D6973" s="545">
        <v>0</v>
      </c>
      <c r="E6973" s="545">
        <v>0</v>
      </c>
      <c r="F6973" s="545">
        <v>2.1428571428571428</v>
      </c>
      <c r="G6973" s="545">
        <v>0.85</v>
      </c>
      <c r="H6973" s="545">
        <v>0.66666666666666663</v>
      </c>
      <c r="I6973" s="545">
        <v>0</v>
      </c>
      <c r="J6973" s="545">
        <v>0.70238095238095244</v>
      </c>
    </row>
    <row r="6974" spans="1:10">
      <c r="A6974" s="441">
        <v>4060</v>
      </c>
      <c r="B6974" s="441" t="s">
        <v>5840</v>
      </c>
      <c r="C6974" s="545">
        <v>2</v>
      </c>
      <c r="D6974" s="545">
        <v>0</v>
      </c>
      <c r="E6974" s="545">
        <v>0</v>
      </c>
      <c r="F6974" s="545">
        <v>1.4285714285714286</v>
      </c>
      <c r="G6974" s="545">
        <v>1.1499999999999999</v>
      </c>
      <c r="H6974" s="545">
        <v>1.6666666666666667</v>
      </c>
      <c r="I6974" s="545">
        <v>0</v>
      </c>
      <c r="J6974" s="545">
        <v>1.0595238095238095</v>
      </c>
    </row>
    <row r="6975" spans="1:10">
      <c r="A6975" s="441">
        <v>4036</v>
      </c>
      <c r="B6975" s="441" t="s">
        <v>5841</v>
      </c>
      <c r="C6975" s="545">
        <v>4.6666666666666661</v>
      </c>
      <c r="D6975" s="545">
        <v>1.6666666666666665</v>
      </c>
      <c r="E6975" s="545">
        <v>2.6666666666666665</v>
      </c>
      <c r="F6975" s="545">
        <v>3.9523809523809521</v>
      </c>
      <c r="G6975" s="545">
        <v>2.9</v>
      </c>
      <c r="H6975" s="545">
        <v>3.6666666666666665</v>
      </c>
      <c r="I6975" s="545">
        <v>3.3333333333333335</v>
      </c>
      <c r="J6975" s="545">
        <v>3.0714285714285716</v>
      </c>
    </row>
    <row r="6976" spans="1:10">
      <c r="A6976" s="441">
        <v>4064</v>
      </c>
      <c r="B6976" s="441" t="s">
        <v>5841</v>
      </c>
      <c r="C6976" s="545">
        <v>0.16666666666666666</v>
      </c>
      <c r="D6976" s="545">
        <v>0</v>
      </c>
      <c r="E6976" s="545">
        <v>0</v>
      </c>
      <c r="F6976" s="545">
        <v>0.11904761904761904</v>
      </c>
      <c r="G6976" s="545">
        <v>4.8499999999999996</v>
      </c>
      <c r="H6976" s="545">
        <v>3</v>
      </c>
      <c r="I6976" s="545">
        <v>1.6666666666666667</v>
      </c>
      <c r="J6976" s="545">
        <v>4.1309523809523814</v>
      </c>
    </row>
    <row r="6977" spans="1:10">
      <c r="A6977" s="441">
        <v>11244</v>
      </c>
      <c r="B6977" s="441" t="s">
        <v>5842</v>
      </c>
      <c r="C6977" s="545">
        <v>12.666666666666668</v>
      </c>
      <c r="D6977" s="545">
        <v>2</v>
      </c>
      <c r="E6977" s="545">
        <v>2.6666666666666665</v>
      </c>
      <c r="F6977" s="545">
        <v>9.7142857142857171</v>
      </c>
      <c r="G6977" s="545">
        <v>2.0499999999999998</v>
      </c>
      <c r="H6977" s="545">
        <v>2</v>
      </c>
      <c r="I6977" s="545">
        <v>2.3333333333333335</v>
      </c>
      <c r="J6977" s="545">
        <v>2.0833333333333335</v>
      </c>
    </row>
    <row r="6978" spans="1:10">
      <c r="A6978" s="441">
        <v>5742</v>
      </c>
      <c r="B6978" s="441" t="s">
        <v>5843</v>
      </c>
      <c r="C6978" s="545">
        <v>9.5</v>
      </c>
      <c r="D6978" s="545">
        <v>5</v>
      </c>
      <c r="E6978" s="545">
        <v>3.666666666666667</v>
      </c>
      <c r="F6978" s="545">
        <v>8.0238095238095237</v>
      </c>
      <c r="G6978" s="545">
        <v>2.6</v>
      </c>
      <c r="H6978" s="545">
        <v>0.66666666666666663</v>
      </c>
      <c r="I6978" s="545">
        <v>0.33333333333333331</v>
      </c>
      <c r="J6978" s="545">
        <v>2</v>
      </c>
    </row>
    <row r="6979" spans="1:10">
      <c r="A6979" s="441">
        <v>5750</v>
      </c>
      <c r="B6979" s="441" t="s">
        <v>5843</v>
      </c>
      <c r="C6979" s="545">
        <v>10.5</v>
      </c>
      <c r="D6979" s="545">
        <v>3.6666666666666665</v>
      </c>
      <c r="E6979" s="545">
        <v>6.666666666666667</v>
      </c>
      <c r="F6979" s="545">
        <v>8.9761904761904763</v>
      </c>
      <c r="G6979" s="545">
        <v>4.6500000000000004</v>
      </c>
      <c r="H6979" s="545">
        <v>2.3333333333333335</v>
      </c>
      <c r="I6979" s="545">
        <v>4</v>
      </c>
      <c r="J6979" s="545">
        <v>4.2261904761904763</v>
      </c>
    </row>
    <row r="6980" spans="1:10">
      <c r="A6980" s="441">
        <v>4038</v>
      </c>
      <c r="B6980" s="441" t="s">
        <v>5844</v>
      </c>
      <c r="C6980" s="545">
        <v>2.6666666666666665</v>
      </c>
      <c r="D6980" s="545">
        <v>1</v>
      </c>
      <c r="E6980" s="545">
        <v>1.3333333333333333</v>
      </c>
      <c r="F6980" s="545">
        <v>2.2380952380952381</v>
      </c>
      <c r="G6980" s="545">
        <v>1.75</v>
      </c>
      <c r="H6980" s="545">
        <v>0.33333333333333331</v>
      </c>
      <c r="I6980" s="545">
        <v>0.33333333333333331</v>
      </c>
      <c r="J6980" s="545">
        <v>1.3452380952380953</v>
      </c>
    </row>
    <row r="6981" spans="1:10">
      <c r="A6981" s="441">
        <v>4062</v>
      </c>
      <c r="B6981" s="441" t="s">
        <v>5844</v>
      </c>
      <c r="C6981" s="545">
        <v>5</v>
      </c>
      <c r="D6981" s="545">
        <v>2.6666666666666665</v>
      </c>
      <c r="E6981" s="545">
        <v>0.66666666666666663</v>
      </c>
      <c r="F6981" s="545">
        <v>4.0476190476190483</v>
      </c>
      <c r="G6981" s="545">
        <v>0.8</v>
      </c>
      <c r="H6981" s="545">
        <v>0</v>
      </c>
      <c r="I6981" s="545">
        <v>0</v>
      </c>
      <c r="J6981" s="545">
        <v>0.5714285714285714</v>
      </c>
    </row>
    <row r="6982" spans="1:10">
      <c r="A6982" s="441">
        <v>4042</v>
      </c>
      <c r="B6982" s="441" t="s">
        <v>5845</v>
      </c>
      <c r="C6982" s="545">
        <v>17</v>
      </c>
      <c r="D6982" s="545">
        <v>1.3333333333333333</v>
      </c>
      <c r="E6982" s="545">
        <v>0</v>
      </c>
      <c r="F6982" s="545">
        <v>12.333333333333332</v>
      </c>
      <c r="G6982" s="545">
        <v>7.85</v>
      </c>
      <c r="H6982" s="545">
        <v>1.3333333333333333</v>
      </c>
      <c r="I6982" s="545">
        <v>4.333333333333333</v>
      </c>
      <c r="J6982" s="545">
        <v>6.416666666666667</v>
      </c>
    </row>
    <row r="6983" spans="1:10">
      <c r="A6983" s="441">
        <v>4058</v>
      </c>
      <c r="B6983" s="441" t="s">
        <v>5845</v>
      </c>
      <c r="C6983" s="545">
        <v>8.6666666666666679</v>
      </c>
      <c r="D6983" s="545">
        <v>1.3333333333333333</v>
      </c>
      <c r="E6983" s="545">
        <v>0.66666666666666663</v>
      </c>
      <c r="F6983" s="545">
        <v>6.4761904761904772</v>
      </c>
      <c r="G6983" s="545">
        <v>15.05</v>
      </c>
      <c r="H6983" s="545">
        <v>0.33333333333333331</v>
      </c>
      <c r="I6983" s="545">
        <v>4</v>
      </c>
      <c r="J6983" s="545">
        <v>11.369047619047619</v>
      </c>
    </row>
    <row r="6984" spans="1:10">
      <c r="A6984" s="441">
        <v>5734</v>
      </c>
      <c r="B6984" s="441" t="s">
        <v>5846</v>
      </c>
      <c r="C6984" s="545">
        <v>41</v>
      </c>
      <c r="D6984" s="545">
        <v>18.333333333333336</v>
      </c>
      <c r="E6984" s="545">
        <v>12.666666666666666</v>
      </c>
      <c r="F6984" s="545">
        <v>33.714285714285715</v>
      </c>
      <c r="G6984" s="545">
        <v>20.45</v>
      </c>
      <c r="H6984" s="545">
        <v>11.666666666666666</v>
      </c>
      <c r="I6984" s="545">
        <v>11</v>
      </c>
      <c r="J6984" s="545">
        <v>17.845238095238095</v>
      </c>
    </row>
    <row r="6985" spans="1:10">
      <c r="A6985" s="441">
        <v>5741</v>
      </c>
      <c r="B6985" s="441" t="s">
        <v>5846</v>
      </c>
      <c r="C6985" s="545">
        <v>31.666666666666668</v>
      </c>
      <c r="D6985" s="545">
        <v>14</v>
      </c>
      <c r="E6985" s="545">
        <v>13</v>
      </c>
      <c r="F6985" s="545">
        <v>26.476190476190478</v>
      </c>
      <c r="G6985" s="545">
        <v>11.95</v>
      </c>
      <c r="H6985" s="545">
        <v>6</v>
      </c>
      <c r="I6985" s="545">
        <v>8.6666666666666661</v>
      </c>
      <c r="J6985" s="545">
        <v>10.630952380952381</v>
      </c>
    </row>
    <row r="6986" spans="1:10">
      <c r="A6986" s="441">
        <v>5746</v>
      </c>
      <c r="B6986" s="441" t="s">
        <v>5847</v>
      </c>
      <c r="C6986" s="545">
        <v>6.833333333333333</v>
      </c>
      <c r="D6986" s="545">
        <v>2</v>
      </c>
      <c r="E6986" s="545">
        <v>0.66666666666666663</v>
      </c>
      <c r="F6986" s="545">
        <v>5.261904761904761</v>
      </c>
      <c r="G6986" s="545">
        <v>4.8</v>
      </c>
      <c r="H6986" s="545">
        <v>3.6666666666666665</v>
      </c>
      <c r="I6986" s="545">
        <v>2.3333333333333335</v>
      </c>
      <c r="J6986" s="545">
        <v>4.2857142857142856</v>
      </c>
    </row>
    <row r="6987" spans="1:10">
      <c r="A6987" s="441">
        <v>5745</v>
      </c>
      <c r="B6987" s="441" t="s">
        <v>5848</v>
      </c>
      <c r="C6987" s="545">
        <v>3.166666666666667</v>
      </c>
      <c r="D6987" s="545">
        <v>0.66666666666666663</v>
      </c>
      <c r="E6987" s="545">
        <v>0</v>
      </c>
      <c r="F6987" s="545">
        <v>2.3571428571428577</v>
      </c>
      <c r="G6987" s="545">
        <v>0.95</v>
      </c>
      <c r="H6987" s="545">
        <v>0</v>
      </c>
      <c r="I6987" s="545">
        <v>0</v>
      </c>
      <c r="J6987" s="545">
        <v>0.6785714285714286</v>
      </c>
    </row>
    <row r="6988" spans="1:10">
      <c r="A6988" s="441">
        <v>5747</v>
      </c>
      <c r="B6988" s="441" t="s">
        <v>5848</v>
      </c>
      <c r="C6988" s="545">
        <v>9.5</v>
      </c>
      <c r="D6988" s="545">
        <v>3</v>
      </c>
      <c r="E6988" s="545">
        <v>2.333333333333333</v>
      </c>
      <c r="F6988" s="545">
        <v>7.5476190476190483</v>
      </c>
      <c r="G6988" s="545">
        <v>3.95</v>
      </c>
      <c r="H6988" s="545">
        <v>2</v>
      </c>
      <c r="I6988" s="545">
        <v>1.3333333333333333</v>
      </c>
      <c r="J6988" s="545">
        <v>3.2976190476190474</v>
      </c>
    </row>
    <row r="6989" spans="1:10">
      <c r="A6989" s="441">
        <v>5744</v>
      </c>
      <c r="B6989" s="441" t="s">
        <v>5849</v>
      </c>
      <c r="C6989" s="545">
        <v>9.5</v>
      </c>
      <c r="D6989" s="545">
        <v>0.66666666666666663</v>
      </c>
      <c r="E6989" s="545">
        <v>2</v>
      </c>
      <c r="F6989" s="545">
        <v>7.1666666666666661</v>
      </c>
      <c r="G6989" s="545">
        <v>4.5999999999999996</v>
      </c>
      <c r="H6989" s="545">
        <v>0</v>
      </c>
      <c r="I6989" s="545">
        <v>0.33333333333333331</v>
      </c>
      <c r="J6989" s="545">
        <v>3.333333333333333</v>
      </c>
    </row>
    <row r="6990" spans="1:10">
      <c r="A6990" s="441">
        <v>5748</v>
      </c>
      <c r="B6990" s="441" t="s">
        <v>5849</v>
      </c>
      <c r="C6990" s="545">
        <v>5</v>
      </c>
      <c r="D6990" s="545">
        <v>1.3333333333333333</v>
      </c>
      <c r="E6990" s="545">
        <v>1</v>
      </c>
      <c r="F6990" s="545">
        <v>3.9047619047619047</v>
      </c>
      <c r="G6990" s="545">
        <v>3.8</v>
      </c>
      <c r="H6990" s="545">
        <v>0</v>
      </c>
      <c r="I6990" s="545">
        <v>0</v>
      </c>
      <c r="J6990" s="545">
        <v>2.7142857142857144</v>
      </c>
    </row>
    <row r="6991" spans="1:10">
      <c r="A6991" s="441">
        <v>12655</v>
      </c>
      <c r="B6991" s="441" t="s">
        <v>5850</v>
      </c>
      <c r="C6991" s="545">
        <v>61.833333333333336</v>
      </c>
      <c r="D6991" s="545">
        <v>49.333333333333329</v>
      </c>
      <c r="E6991" s="545">
        <v>49.666666666666664</v>
      </c>
      <c r="F6991" s="545">
        <v>58.30952380952381</v>
      </c>
      <c r="G6991" s="545">
        <v>52.05</v>
      </c>
      <c r="H6991" s="545">
        <v>40.666666666666664</v>
      </c>
      <c r="I6991" s="545">
        <v>34.333333333333336</v>
      </c>
      <c r="J6991" s="545">
        <v>47.892857142857146</v>
      </c>
    </row>
    <row r="6992" spans="1:10">
      <c r="A6992" s="441">
        <v>13126</v>
      </c>
      <c r="B6992" s="441" t="s">
        <v>5851</v>
      </c>
      <c r="C6992" s="545" t="e">
        <v>#N/A</v>
      </c>
      <c r="D6992" s="545" t="e">
        <v>#N/A</v>
      </c>
      <c r="E6992" s="545" t="e">
        <v>#N/A</v>
      </c>
      <c r="F6992" s="545" t="e">
        <v>#N/A</v>
      </c>
      <c r="G6992" s="545">
        <v>5.25</v>
      </c>
      <c r="H6992" s="545">
        <v>1</v>
      </c>
      <c r="I6992" s="545">
        <v>1.3333333333333333</v>
      </c>
      <c r="J6992" s="545">
        <v>4.083333333333333</v>
      </c>
    </row>
    <row r="6993" spans="1:10">
      <c r="A6993" s="441">
        <v>13127</v>
      </c>
      <c r="B6993" s="441" t="s">
        <v>5852</v>
      </c>
      <c r="C6993" s="545" t="e">
        <v>#N/A</v>
      </c>
      <c r="D6993" s="545" t="e">
        <v>#N/A</v>
      </c>
      <c r="E6993" s="545" t="e">
        <v>#N/A</v>
      </c>
      <c r="F6993" s="545" t="e">
        <v>#N/A</v>
      </c>
      <c r="G6993" s="545">
        <v>12.25</v>
      </c>
      <c r="H6993" s="545">
        <v>3.3333333333333335</v>
      </c>
      <c r="I6993" s="545">
        <v>2.3333333333333335</v>
      </c>
      <c r="J6993" s="545">
        <v>9.5595238095238084</v>
      </c>
    </row>
    <row r="6994" spans="1:10">
      <c r="A6994" s="441">
        <v>12654</v>
      </c>
      <c r="B6994" s="441" t="s">
        <v>5853</v>
      </c>
      <c r="C6994" s="545">
        <v>73.666666666666657</v>
      </c>
      <c r="D6994" s="545">
        <v>55.333333333333329</v>
      </c>
      <c r="E6994" s="545">
        <v>48</v>
      </c>
      <c r="F6994" s="545">
        <v>67.380952380952365</v>
      </c>
      <c r="G6994" s="545">
        <v>70.349999999999994</v>
      </c>
      <c r="H6994" s="545">
        <v>50.333333333333336</v>
      </c>
      <c r="I6994" s="545">
        <v>40</v>
      </c>
      <c r="J6994" s="545">
        <v>63.154761904761905</v>
      </c>
    </row>
    <row r="6995" spans="1:10">
      <c r="A6995" s="441">
        <v>12656</v>
      </c>
      <c r="B6995" s="441" t="s">
        <v>5854</v>
      </c>
      <c r="C6995" s="545">
        <v>141.33333333333331</v>
      </c>
      <c r="D6995" s="545">
        <v>82.333333333333343</v>
      </c>
      <c r="E6995" s="545">
        <v>76.333333333333329</v>
      </c>
      <c r="F6995" s="545">
        <v>123.61904761904761</v>
      </c>
      <c r="G6995" s="545">
        <v>74</v>
      </c>
      <c r="H6995" s="545">
        <v>48.666666666666664</v>
      </c>
      <c r="I6995" s="545">
        <v>43.333333333333336</v>
      </c>
      <c r="J6995" s="545">
        <v>66</v>
      </c>
    </row>
    <row r="6996" spans="1:10">
      <c r="A6996" s="441">
        <v>12657</v>
      </c>
      <c r="B6996" s="441" t="s">
        <v>5854</v>
      </c>
      <c r="C6996" s="545">
        <v>145</v>
      </c>
      <c r="D6996" s="545">
        <v>85.666666666666657</v>
      </c>
      <c r="E6996" s="545">
        <v>86</v>
      </c>
      <c r="F6996" s="545">
        <v>128.0952380952381</v>
      </c>
      <c r="G6996" s="545">
        <v>77.55</v>
      </c>
      <c r="H6996" s="545">
        <v>48</v>
      </c>
      <c r="I6996" s="545">
        <v>42.666666666666664</v>
      </c>
      <c r="J6996" s="545">
        <v>68.345238095238102</v>
      </c>
    </row>
    <row r="6997" spans="1:10">
      <c r="A6997" s="441">
        <v>6184</v>
      </c>
      <c r="B6997" s="441" t="s">
        <v>5855</v>
      </c>
      <c r="C6997" s="545">
        <v>2.3333333333333335</v>
      </c>
      <c r="D6997" s="545">
        <v>0.66666666666666663</v>
      </c>
      <c r="E6997" s="545">
        <v>2</v>
      </c>
      <c r="F6997" s="545">
        <v>2.0476190476190479</v>
      </c>
      <c r="G6997" s="545">
        <v>2.2999999999999998</v>
      </c>
      <c r="H6997" s="545">
        <v>0.33333333333333331</v>
      </c>
      <c r="I6997" s="545">
        <v>1.3333333333333333</v>
      </c>
      <c r="J6997" s="545">
        <v>1.8809523809523812</v>
      </c>
    </row>
    <row r="6998" spans="1:10">
      <c r="A6998" s="441">
        <v>6189</v>
      </c>
      <c r="B6998" s="441" t="s">
        <v>5855</v>
      </c>
      <c r="C6998" s="545">
        <v>8.1666666666666679</v>
      </c>
      <c r="D6998" s="545">
        <v>1.6666666666666667</v>
      </c>
      <c r="E6998" s="545">
        <v>0.33333333333333331</v>
      </c>
      <c r="F6998" s="545">
        <v>6.1190476190476204</v>
      </c>
      <c r="G6998" s="545">
        <v>2.5499999999999998</v>
      </c>
      <c r="H6998" s="545">
        <v>0.33333333333333331</v>
      </c>
      <c r="I6998" s="545">
        <v>1.6666666666666667</v>
      </c>
      <c r="J6998" s="545">
        <v>2.1071428571428572</v>
      </c>
    </row>
    <row r="6999" spans="1:10">
      <c r="A6999" s="441">
        <v>6182</v>
      </c>
      <c r="B6999" s="441" t="s">
        <v>5856</v>
      </c>
      <c r="C6999" s="545">
        <v>18.166666666666664</v>
      </c>
      <c r="D6999" s="545">
        <v>10.333333333333332</v>
      </c>
      <c r="E6999" s="545">
        <v>7.6666666666666661</v>
      </c>
      <c r="F6999" s="545">
        <v>15.547619047619046</v>
      </c>
      <c r="G6999" s="545">
        <v>14.65</v>
      </c>
      <c r="H6999" s="545">
        <v>9.6666666666666661</v>
      </c>
      <c r="I6999" s="545">
        <v>7.333333333333333</v>
      </c>
      <c r="J6999" s="545">
        <v>12.892857142857142</v>
      </c>
    </row>
    <row r="7000" spans="1:10">
      <c r="A7000" s="441">
        <v>6194</v>
      </c>
      <c r="B7000" s="441" t="s">
        <v>5857</v>
      </c>
      <c r="C7000" s="545">
        <v>42.5</v>
      </c>
      <c r="D7000" s="545">
        <v>24</v>
      </c>
      <c r="E7000" s="545">
        <v>21</v>
      </c>
      <c r="F7000" s="545">
        <v>36.785714285714285</v>
      </c>
      <c r="G7000" s="545">
        <v>20.6</v>
      </c>
      <c r="H7000" s="545">
        <v>13</v>
      </c>
      <c r="I7000" s="545">
        <v>13</v>
      </c>
      <c r="J7000" s="545">
        <v>18.428571428571427</v>
      </c>
    </row>
    <row r="7001" spans="1:10">
      <c r="A7001" s="441">
        <v>6195</v>
      </c>
      <c r="B7001" s="441" t="s">
        <v>5858</v>
      </c>
      <c r="C7001" s="545">
        <v>16.666666666666668</v>
      </c>
      <c r="D7001" s="545">
        <v>3.666666666666667</v>
      </c>
      <c r="E7001" s="545">
        <v>2.666666666666667</v>
      </c>
      <c r="F7001" s="545">
        <v>12.809523809523812</v>
      </c>
      <c r="G7001" s="545">
        <v>7</v>
      </c>
      <c r="H7001" s="545">
        <v>3</v>
      </c>
      <c r="I7001" s="545">
        <v>3.3333333333333335</v>
      </c>
      <c r="J7001" s="545">
        <v>5.9047619047619051</v>
      </c>
    </row>
    <row r="7002" spans="1:10">
      <c r="A7002" s="441">
        <v>6179</v>
      </c>
      <c r="B7002" s="441" t="s">
        <v>5859</v>
      </c>
      <c r="C7002" s="545">
        <v>32.333333333333336</v>
      </c>
      <c r="D7002" s="545">
        <v>24.666666666666668</v>
      </c>
      <c r="E7002" s="545">
        <v>26.666666666666668</v>
      </c>
      <c r="F7002" s="545">
        <v>30.428571428571427</v>
      </c>
      <c r="G7002" s="545">
        <v>17.2</v>
      </c>
      <c r="H7002" s="545">
        <v>14.666666666666666</v>
      </c>
      <c r="I7002" s="545">
        <v>10.333333333333334</v>
      </c>
      <c r="J7002" s="545">
        <v>15.857142857142858</v>
      </c>
    </row>
    <row r="7003" spans="1:10">
      <c r="A7003" s="441">
        <v>6193</v>
      </c>
      <c r="B7003" s="441" t="s">
        <v>5860</v>
      </c>
      <c r="C7003" s="545">
        <v>6.333333333333333</v>
      </c>
      <c r="D7003" s="545">
        <v>4</v>
      </c>
      <c r="E7003" s="545">
        <v>2</v>
      </c>
      <c r="F7003" s="545">
        <v>5.3809523809523805</v>
      </c>
      <c r="G7003" s="545">
        <v>3.95</v>
      </c>
      <c r="H7003" s="545">
        <v>2</v>
      </c>
      <c r="I7003" s="545">
        <v>1.6666666666666667</v>
      </c>
      <c r="J7003" s="545">
        <v>3.3452380952380953</v>
      </c>
    </row>
    <row r="7004" spans="1:10">
      <c r="A7004" s="441">
        <v>6191</v>
      </c>
      <c r="B7004" s="441" t="s">
        <v>5861</v>
      </c>
      <c r="C7004" s="545">
        <v>34.833333333333336</v>
      </c>
      <c r="D7004" s="545">
        <v>12.666666666666666</v>
      </c>
      <c r="E7004" s="545">
        <v>7</v>
      </c>
      <c r="F7004" s="545">
        <v>27.690476190476193</v>
      </c>
      <c r="G7004" s="545">
        <v>14.3</v>
      </c>
      <c r="H7004" s="545">
        <v>8.3333333333333339</v>
      </c>
      <c r="I7004" s="545">
        <v>4.666666666666667</v>
      </c>
      <c r="J7004" s="545">
        <v>12.071428571428571</v>
      </c>
    </row>
    <row r="7005" spans="1:10">
      <c r="A7005" s="441">
        <v>6192</v>
      </c>
      <c r="B7005" s="441" t="s">
        <v>5862</v>
      </c>
      <c r="C7005" s="545">
        <v>17.666666666666664</v>
      </c>
      <c r="D7005" s="545">
        <v>3.6666666666666665</v>
      </c>
      <c r="E7005" s="545">
        <v>2.3333333333333335</v>
      </c>
      <c r="F7005" s="545">
        <v>13.476190476190473</v>
      </c>
      <c r="G7005" s="545">
        <v>12.5</v>
      </c>
      <c r="H7005" s="545">
        <v>3.3333333333333335</v>
      </c>
      <c r="I7005" s="545">
        <v>1.6666666666666667</v>
      </c>
      <c r="J7005" s="545">
        <v>9.6428571428571423</v>
      </c>
    </row>
    <row r="7006" spans="1:10">
      <c r="A7006" s="441">
        <v>6186</v>
      </c>
      <c r="B7006" s="441" t="s">
        <v>5863</v>
      </c>
      <c r="C7006" s="545">
        <v>25.833333333333332</v>
      </c>
      <c r="D7006" s="545">
        <v>12.333333333333332</v>
      </c>
      <c r="E7006" s="545">
        <v>10.333333333333332</v>
      </c>
      <c r="F7006" s="545">
        <v>21.690476190476193</v>
      </c>
      <c r="G7006" s="545">
        <v>10.9</v>
      </c>
      <c r="H7006" s="545">
        <v>5.333333333333333</v>
      </c>
      <c r="I7006" s="545">
        <v>5.333333333333333</v>
      </c>
      <c r="J7006" s="545">
        <v>9.3095238095238102</v>
      </c>
    </row>
    <row r="7007" spans="1:10">
      <c r="A7007" s="441">
        <v>6187</v>
      </c>
      <c r="B7007" s="441" t="s">
        <v>5863</v>
      </c>
      <c r="C7007" s="545">
        <v>78.666666666666671</v>
      </c>
      <c r="D7007" s="545">
        <v>43.333333333333336</v>
      </c>
      <c r="E7007" s="545">
        <v>44</v>
      </c>
      <c r="F7007" s="545">
        <v>68.666666666666671</v>
      </c>
      <c r="G7007" s="545">
        <v>41.7</v>
      </c>
      <c r="H7007" s="545">
        <v>23.333333333333332</v>
      </c>
      <c r="I7007" s="545">
        <v>20</v>
      </c>
      <c r="J7007" s="545">
        <v>35.976190476190474</v>
      </c>
    </row>
    <row r="7008" spans="1:10">
      <c r="A7008" s="441">
        <v>6176</v>
      </c>
      <c r="B7008" s="441" t="s">
        <v>5864</v>
      </c>
      <c r="C7008" s="545">
        <v>3.3333333333333335</v>
      </c>
      <c r="D7008" s="545">
        <v>1.6666666666666665</v>
      </c>
      <c r="E7008" s="545">
        <v>1.3333333333333333</v>
      </c>
      <c r="F7008" s="545">
        <v>2.8095238095238098</v>
      </c>
      <c r="G7008" s="545">
        <v>3</v>
      </c>
      <c r="H7008" s="545">
        <v>0.66666666666666663</v>
      </c>
      <c r="I7008" s="545">
        <v>1.3333333333333333</v>
      </c>
      <c r="J7008" s="545">
        <v>2.4285714285714284</v>
      </c>
    </row>
    <row r="7009" spans="1:10">
      <c r="A7009" s="441">
        <v>6198</v>
      </c>
      <c r="B7009" s="441" t="s">
        <v>5864</v>
      </c>
      <c r="C7009" s="545">
        <v>4.833333333333333</v>
      </c>
      <c r="D7009" s="545">
        <v>1.6666666666666667</v>
      </c>
      <c r="E7009" s="545">
        <v>2</v>
      </c>
      <c r="F7009" s="545">
        <v>3.9761904761904758</v>
      </c>
      <c r="G7009" s="545">
        <v>4.1500000000000004</v>
      </c>
      <c r="H7009" s="545">
        <v>1.3333333333333333</v>
      </c>
      <c r="I7009" s="545">
        <v>1.3333333333333333</v>
      </c>
      <c r="J7009" s="545">
        <v>3.3452380952380949</v>
      </c>
    </row>
    <row r="7010" spans="1:10">
      <c r="A7010" s="441">
        <v>6197</v>
      </c>
      <c r="B7010" s="441" t="s">
        <v>5865</v>
      </c>
      <c r="C7010" s="545">
        <v>7.8333333333333339</v>
      </c>
      <c r="D7010" s="545">
        <v>1.6666666666666665</v>
      </c>
      <c r="E7010" s="545">
        <v>2.3333333333333335</v>
      </c>
      <c r="F7010" s="545">
        <v>6.166666666666667</v>
      </c>
      <c r="G7010" s="545">
        <v>6.95</v>
      </c>
      <c r="H7010" s="545">
        <v>4.666666666666667</v>
      </c>
      <c r="I7010" s="545">
        <v>1</v>
      </c>
      <c r="J7010" s="545">
        <v>5.7738095238095237</v>
      </c>
    </row>
    <row r="7011" spans="1:10">
      <c r="A7011" s="441">
        <v>6196</v>
      </c>
      <c r="B7011" s="441" t="s">
        <v>5866</v>
      </c>
      <c r="C7011" s="545">
        <v>20.333333333333332</v>
      </c>
      <c r="D7011" s="545">
        <v>15.333333333333332</v>
      </c>
      <c r="E7011" s="545">
        <v>11.666666666666666</v>
      </c>
      <c r="F7011" s="545">
        <v>18.38095238095238</v>
      </c>
      <c r="G7011" s="545">
        <v>13.85</v>
      </c>
      <c r="H7011" s="545">
        <v>8</v>
      </c>
      <c r="I7011" s="545">
        <v>2.6666666666666665</v>
      </c>
      <c r="J7011" s="545">
        <v>11.416666666666668</v>
      </c>
    </row>
    <row r="7012" spans="1:10">
      <c r="A7012" s="441">
        <v>6177</v>
      </c>
      <c r="B7012" s="441" t="s">
        <v>5867</v>
      </c>
      <c r="C7012" s="545">
        <v>9.1666666666666661</v>
      </c>
      <c r="D7012" s="545">
        <v>3.6666666666666665</v>
      </c>
      <c r="E7012" s="545">
        <v>1.3333333333333333</v>
      </c>
      <c r="F7012" s="545">
        <v>7.261904761904761</v>
      </c>
      <c r="G7012" s="545">
        <v>8.5</v>
      </c>
      <c r="H7012" s="545">
        <v>2.6666666666666665</v>
      </c>
      <c r="I7012" s="545">
        <v>3.3333333333333335</v>
      </c>
      <c r="J7012" s="545">
        <v>6.9285714285714288</v>
      </c>
    </row>
    <row r="7013" spans="1:10">
      <c r="A7013" s="441">
        <v>6181</v>
      </c>
      <c r="B7013" s="441" t="s">
        <v>5868</v>
      </c>
      <c r="C7013" s="545">
        <v>19.166666666666668</v>
      </c>
      <c r="D7013" s="545">
        <v>5</v>
      </c>
      <c r="E7013" s="545">
        <v>2</v>
      </c>
      <c r="F7013" s="545">
        <v>14.690476190476192</v>
      </c>
      <c r="G7013" s="545">
        <v>17.45</v>
      </c>
      <c r="H7013" s="545">
        <v>3.3333333333333335</v>
      </c>
      <c r="I7013" s="545">
        <v>0.66666666666666663</v>
      </c>
      <c r="J7013" s="545">
        <v>13.035714285714286</v>
      </c>
    </row>
    <row r="7014" spans="1:10">
      <c r="A7014" s="441">
        <v>6178</v>
      </c>
      <c r="B7014" s="441" t="s">
        <v>5869</v>
      </c>
      <c r="C7014" s="545">
        <v>15.5</v>
      </c>
      <c r="D7014" s="545">
        <v>9.3333333333333339</v>
      </c>
      <c r="E7014" s="545">
        <v>3.3333333333333335</v>
      </c>
      <c r="F7014" s="545">
        <v>12.88095238095238</v>
      </c>
      <c r="G7014" s="545">
        <v>10.95</v>
      </c>
      <c r="H7014" s="545">
        <v>4</v>
      </c>
      <c r="I7014" s="545">
        <v>3.3333333333333335</v>
      </c>
      <c r="J7014" s="545">
        <v>8.8690476190476186</v>
      </c>
    </row>
    <row r="7015" spans="1:10">
      <c r="A7015" s="441">
        <v>6183</v>
      </c>
      <c r="B7015" s="441" t="s">
        <v>1409</v>
      </c>
      <c r="C7015" s="545">
        <v>4.833333333333333</v>
      </c>
      <c r="D7015" s="545">
        <v>2.333333333333333</v>
      </c>
      <c r="E7015" s="545">
        <v>5</v>
      </c>
      <c r="F7015" s="545">
        <v>4.4999999999999991</v>
      </c>
      <c r="G7015" s="545">
        <v>2.2999999999999998</v>
      </c>
      <c r="H7015" s="545">
        <v>1.3333333333333333</v>
      </c>
      <c r="I7015" s="545">
        <v>0.33333333333333331</v>
      </c>
      <c r="J7015" s="545">
        <v>1.8809523809523812</v>
      </c>
    </row>
    <row r="7016" spans="1:10">
      <c r="A7016" s="441">
        <v>6190</v>
      </c>
      <c r="B7016" s="441" t="s">
        <v>1409</v>
      </c>
      <c r="C7016" s="545">
        <v>5</v>
      </c>
      <c r="D7016" s="545">
        <v>0.33333333333333331</v>
      </c>
      <c r="E7016" s="545">
        <v>4</v>
      </c>
      <c r="F7016" s="545">
        <v>4.1904761904761907</v>
      </c>
      <c r="G7016" s="545">
        <v>2.75</v>
      </c>
      <c r="H7016" s="545">
        <v>2</v>
      </c>
      <c r="I7016" s="545">
        <v>1</v>
      </c>
      <c r="J7016" s="545">
        <v>2.3928571428571428</v>
      </c>
    </row>
    <row r="7017" spans="1:10">
      <c r="A7017" s="441">
        <v>9986</v>
      </c>
      <c r="B7017" s="441" t="s">
        <v>1419</v>
      </c>
      <c r="C7017" s="545">
        <v>11.666666666666668</v>
      </c>
      <c r="D7017" s="545">
        <v>7.3333333333333339</v>
      </c>
      <c r="E7017" s="545">
        <v>4</v>
      </c>
      <c r="F7017" s="545">
        <v>9.9523809523809526</v>
      </c>
      <c r="G7017" s="545">
        <v>15.1</v>
      </c>
      <c r="H7017" s="545">
        <v>11</v>
      </c>
      <c r="I7017" s="545">
        <v>9</v>
      </c>
      <c r="J7017" s="545">
        <v>13.642857142857142</v>
      </c>
    </row>
    <row r="7018" spans="1:10">
      <c r="A7018" s="441">
        <v>6180</v>
      </c>
      <c r="B7018" s="441" t="s">
        <v>1415</v>
      </c>
      <c r="C7018" s="545">
        <v>8.8333333333333339</v>
      </c>
      <c r="D7018" s="545">
        <v>6</v>
      </c>
      <c r="E7018" s="545">
        <v>2.333333333333333</v>
      </c>
      <c r="F7018" s="545">
        <v>7.5000000000000009</v>
      </c>
      <c r="G7018" s="545">
        <v>3.25</v>
      </c>
      <c r="H7018" s="545">
        <v>1.3333333333333333</v>
      </c>
      <c r="I7018" s="545">
        <v>1</v>
      </c>
      <c r="J7018" s="545">
        <v>2.6547619047619047</v>
      </c>
    </row>
    <row r="7019" spans="1:10">
      <c r="A7019" s="441">
        <v>6175</v>
      </c>
      <c r="B7019" s="441" t="s">
        <v>1425</v>
      </c>
      <c r="C7019" s="545">
        <v>49.166666666666664</v>
      </c>
      <c r="D7019" s="545">
        <v>27.333333333333332</v>
      </c>
      <c r="E7019" s="545">
        <v>23.666666666666668</v>
      </c>
      <c r="F7019" s="545">
        <v>42.404761904761905</v>
      </c>
      <c r="G7019" s="545">
        <v>20.350000000000001</v>
      </c>
      <c r="H7019" s="545">
        <v>14.333333333333334</v>
      </c>
      <c r="I7019" s="545">
        <v>16.333333333333332</v>
      </c>
      <c r="J7019" s="545">
        <v>18.916666666666664</v>
      </c>
    </row>
    <row r="7020" spans="1:10">
      <c r="A7020" s="441">
        <v>6199</v>
      </c>
      <c r="B7020" s="441" t="s">
        <v>1425</v>
      </c>
      <c r="C7020" s="545">
        <v>42.5</v>
      </c>
      <c r="D7020" s="545">
        <v>20</v>
      </c>
      <c r="E7020" s="545">
        <v>16.333333333333332</v>
      </c>
      <c r="F7020" s="545">
        <v>35.547619047619051</v>
      </c>
      <c r="G7020" s="545">
        <v>21.75</v>
      </c>
      <c r="H7020" s="545">
        <v>8</v>
      </c>
      <c r="I7020" s="545">
        <v>16.666666666666668</v>
      </c>
      <c r="J7020" s="545">
        <v>19.059523809523807</v>
      </c>
    </row>
    <row r="7021" spans="1:10">
      <c r="A7021" s="441">
        <v>6185</v>
      </c>
      <c r="B7021" s="441" t="s">
        <v>1406</v>
      </c>
      <c r="C7021" s="545">
        <v>8.8333333333333339</v>
      </c>
      <c r="D7021" s="545">
        <v>1</v>
      </c>
      <c r="E7021" s="545">
        <v>3.333333333333333</v>
      </c>
      <c r="F7021" s="545">
        <v>6.9285714285714297</v>
      </c>
      <c r="G7021" s="545">
        <v>3.95</v>
      </c>
      <c r="H7021" s="545">
        <v>3.3333333333333335</v>
      </c>
      <c r="I7021" s="545">
        <v>1.3333333333333333</v>
      </c>
      <c r="J7021" s="545">
        <v>3.4880952380952377</v>
      </c>
    </row>
    <row r="7022" spans="1:10">
      <c r="A7022" s="441">
        <v>6188</v>
      </c>
      <c r="B7022" s="441" t="s">
        <v>1406</v>
      </c>
      <c r="C7022" s="545">
        <v>11.333333333333334</v>
      </c>
      <c r="D7022" s="545">
        <v>2.666666666666667</v>
      </c>
      <c r="E7022" s="545">
        <v>5</v>
      </c>
      <c r="F7022" s="545">
        <v>9.1904761904761916</v>
      </c>
      <c r="G7022" s="545">
        <v>8.3000000000000007</v>
      </c>
      <c r="H7022" s="545">
        <v>2.6666666666666665</v>
      </c>
      <c r="I7022" s="545">
        <v>1.6666666666666667</v>
      </c>
      <c r="J7022" s="545">
        <v>6.5476190476190466</v>
      </c>
    </row>
    <row r="7023" spans="1:10">
      <c r="A7023" s="441">
        <v>1746</v>
      </c>
      <c r="B7023" s="441" t="s">
        <v>5870</v>
      </c>
      <c r="C7023" s="545">
        <v>4.3333333333333339</v>
      </c>
      <c r="D7023" s="545">
        <v>1.6666666666666665</v>
      </c>
      <c r="E7023" s="545">
        <v>1.6666666666666667</v>
      </c>
      <c r="F7023" s="545">
        <v>3.5714285714285725</v>
      </c>
      <c r="G7023" s="545">
        <v>2.35</v>
      </c>
      <c r="H7023" s="545">
        <v>0.33333333333333331</v>
      </c>
      <c r="I7023" s="545">
        <v>4</v>
      </c>
      <c r="J7023" s="545">
        <v>2.2976190476190479</v>
      </c>
    </row>
    <row r="7024" spans="1:10">
      <c r="A7024" s="441">
        <v>1276</v>
      </c>
      <c r="B7024" s="441" t="s">
        <v>5871</v>
      </c>
      <c r="C7024" s="545">
        <v>7.833333333333333</v>
      </c>
      <c r="D7024" s="545">
        <v>6</v>
      </c>
      <c r="E7024" s="545">
        <v>3</v>
      </c>
      <c r="F7024" s="545">
        <v>6.8809523809523805</v>
      </c>
      <c r="G7024" s="545">
        <v>2.2999999999999998</v>
      </c>
      <c r="H7024" s="545">
        <v>1.6666666666666667</v>
      </c>
      <c r="I7024" s="545">
        <v>1</v>
      </c>
      <c r="J7024" s="545">
        <v>2.0238095238095237</v>
      </c>
    </row>
    <row r="7025" spans="1:10">
      <c r="A7025" s="441">
        <v>1281</v>
      </c>
      <c r="B7025" s="441" t="s">
        <v>5871</v>
      </c>
      <c r="C7025" s="545">
        <v>3.3333333333333335</v>
      </c>
      <c r="D7025" s="545">
        <v>3.6666666666666665</v>
      </c>
      <c r="E7025" s="545">
        <v>3</v>
      </c>
      <c r="F7025" s="545">
        <v>3.3333333333333335</v>
      </c>
      <c r="G7025" s="545">
        <v>0.95</v>
      </c>
      <c r="H7025" s="545">
        <v>1.6666666666666667</v>
      </c>
      <c r="I7025" s="545">
        <v>0.66666666666666663</v>
      </c>
      <c r="J7025" s="545">
        <v>1.0119047619047621</v>
      </c>
    </row>
    <row r="7026" spans="1:10">
      <c r="A7026" s="441">
        <v>1280</v>
      </c>
      <c r="B7026" s="441" t="s">
        <v>5872</v>
      </c>
      <c r="C7026" s="545">
        <v>0.66666666666666663</v>
      </c>
      <c r="D7026" s="545">
        <v>1</v>
      </c>
      <c r="E7026" s="545">
        <v>0</v>
      </c>
      <c r="F7026" s="545">
        <v>0.61904761904761896</v>
      </c>
      <c r="G7026" s="545">
        <v>0</v>
      </c>
      <c r="H7026" s="545">
        <v>0</v>
      </c>
      <c r="I7026" s="545">
        <v>0</v>
      </c>
      <c r="J7026" s="545">
        <v>0</v>
      </c>
    </row>
    <row r="7027" spans="1:10">
      <c r="A7027" s="441">
        <v>1277</v>
      </c>
      <c r="B7027" s="441" t="s">
        <v>5873</v>
      </c>
      <c r="C7027" s="545">
        <v>0.66666666666666663</v>
      </c>
      <c r="D7027" s="545">
        <v>0</v>
      </c>
      <c r="E7027" s="545">
        <v>0</v>
      </c>
      <c r="F7027" s="545">
        <v>0.47619047619047616</v>
      </c>
      <c r="G7027" s="545">
        <v>0.25</v>
      </c>
      <c r="H7027" s="545">
        <v>0</v>
      </c>
      <c r="I7027" s="545">
        <v>0</v>
      </c>
      <c r="J7027" s="545">
        <v>0.17857142857142858</v>
      </c>
    </row>
    <row r="7028" spans="1:10">
      <c r="A7028" s="441">
        <v>1278</v>
      </c>
      <c r="B7028" s="441" t="s">
        <v>5874</v>
      </c>
      <c r="C7028" s="545">
        <v>4.166666666666667</v>
      </c>
      <c r="D7028" s="545">
        <v>0.33333333333333331</v>
      </c>
      <c r="E7028" s="545">
        <v>0</v>
      </c>
      <c r="F7028" s="545">
        <v>3.0238095238095242</v>
      </c>
      <c r="G7028" s="545">
        <v>1.6</v>
      </c>
      <c r="H7028" s="545">
        <v>2.3333333333333335</v>
      </c>
      <c r="I7028" s="545">
        <v>0</v>
      </c>
      <c r="J7028" s="545">
        <v>1.4761904761904763</v>
      </c>
    </row>
    <row r="7029" spans="1:10">
      <c r="A7029" s="441">
        <v>1279</v>
      </c>
      <c r="B7029" s="441" t="s">
        <v>5874</v>
      </c>
      <c r="C7029" s="545">
        <v>1</v>
      </c>
      <c r="D7029" s="545">
        <v>0.33333333333333331</v>
      </c>
      <c r="E7029" s="545">
        <v>0</v>
      </c>
      <c r="F7029" s="545">
        <v>0.76190476190476186</v>
      </c>
      <c r="G7029" s="545">
        <v>1.7</v>
      </c>
      <c r="H7029" s="545">
        <v>2</v>
      </c>
      <c r="I7029" s="545">
        <v>0</v>
      </c>
      <c r="J7029" s="545">
        <v>1.5</v>
      </c>
    </row>
    <row r="7030" spans="1:10">
      <c r="A7030" s="441">
        <v>4812</v>
      </c>
      <c r="B7030" s="441" t="s">
        <v>5875</v>
      </c>
      <c r="C7030" s="545">
        <v>11.5</v>
      </c>
      <c r="D7030" s="545">
        <v>5.6666666666666661</v>
      </c>
      <c r="E7030" s="545">
        <v>9</v>
      </c>
      <c r="F7030" s="545">
        <v>10.309523809523808</v>
      </c>
      <c r="G7030" s="545">
        <v>18.25</v>
      </c>
      <c r="H7030" s="545">
        <v>4.333333333333333</v>
      </c>
      <c r="I7030" s="545">
        <v>5.666666666666667</v>
      </c>
      <c r="J7030" s="545">
        <v>14.464285714285714</v>
      </c>
    </row>
    <row r="7031" spans="1:10">
      <c r="A7031" s="441">
        <v>11330</v>
      </c>
      <c r="B7031" s="441" t="s">
        <v>5876</v>
      </c>
      <c r="C7031" s="545">
        <v>0.5</v>
      </c>
      <c r="D7031" s="545">
        <v>0.33333333333333331</v>
      </c>
      <c r="E7031" s="545">
        <v>0</v>
      </c>
      <c r="F7031" s="545">
        <v>0.40476190476190477</v>
      </c>
      <c r="G7031" s="545">
        <v>0</v>
      </c>
      <c r="H7031" s="545">
        <v>0</v>
      </c>
      <c r="I7031" s="545">
        <v>0</v>
      </c>
      <c r="J7031" s="545">
        <v>0</v>
      </c>
    </row>
    <row r="7032" spans="1:10">
      <c r="A7032" s="441">
        <v>5827</v>
      </c>
      <c r="B7032" s="441" t="s">
        <v>5877</v>
      </c>
      <c r="C7032" s="545">
        <v>3.5</v>
      </c>
      <c r="D7032" s="545">
        <v>2.6666666666666665</v>
      </c>
      <c r="E7032" s="545">
        <v>3</v>
      </c>
      <c r="F7032" s="545">
        <v>3.3095238095238098</v>
      </c>
      <c r="G7032" s="545">
        <v>4.05</v>
      </c>
      <c r="H7032" s="545">
        <v>3</v>
      </c>
      <c r="I7032" s="545">
        <v>3</v>
      </c>
      <c r="J7032" s="545">
        <v>3.75</v>
      </c>
    </row>
    <row r="7033" spans="1:10">
      <c r="A7033" s="441">
        <v>5834</v>
      </c>
      <c r="B7033" s="441" t="s">
        <v>5877</v>
      </c>
      <c r="C7033" s="545">
        <v>2.5</v>
      </c>
      <c r="D7033" s="545">
        <v>4</v>
      </c>
      <c r="E7033" s="545">
        <v>0.66666666666666663</v>
      </c>
      <c r="F7033" s="545">
        <v>2.4523809523809526</v>
      </c>
      <c r="G7033" s="545">
        <v>4.0999999999999996</v>
      </c>
      <c r="H7033" s="545">
        <v>2.3333333333333335</v>
      </c>
      <c r="I7033" s="545">
        <v>2.3333333333333335</v>
      </c>
      <c r="J7033" s="545">
        <v>3.5952380952380949</v>
      </c>
    </row>
    <row r="7034" spans="1:10">
      <c r="A7034" s="441">
        <v>5822</v>
      </c>
      <c r="B7034" s="441" t="s">
        <v>5878</v>
      </c>
      <c r="C7034" s="545">
        <v>0.66666666666666663</v>
      </c>
      <c r="D7034" s="545">
        <v>0.66666666666666663</v>
      </c>
      <c r="E7034" s="545">
        <v>0.66666666666666663</v>
      </c>
      <c r="F7034" s="545">
        <v>0.66666666666666663</v>
      </c>
      <c r="G7034" s="545">
        <v>0.6</v>
      </c>
      <c r="H7034" s="545">
        <v>0.33333333333333331</v>
      </c>
      <c r="I7034" s="545">
        <v>0</v>
      </c>
      <c r="J7034" s="545">
        <v>0.47619047619047622</v>
      </c>
    </row>
    <row r="7035" spans="1:10">
      <c r="A7035" s="441">
        <v>5839</v>
      </c>
      <c r="B7035" s="441" t="s">
        <v>5878</v>
      </c>
      <c r="C7035" s="545">
        <v>0.16666666666666666</v>
      </c>
      <c r="D7035" s="545">
        <v>0</v>
      </c>
      <c r="E7035" s="545">
        <v>0</v>
      </c>
      <c r="F7035" s="545">
        <v>0.11904761904761904</v>
      </c>
      <c r="G7035" s="545">
        <v>0.15</v>
      </c>
      <c r="H7035" s="545">
        <v>0.33333333333333331</v>
      </c>
      <c r="I7035" s="545">
        <v>0</v>
      </c>
      <c r="J7035" s="545">
        <v>0.15476190476190474</v>
      </c>
    </row>
    <row r="7036" spans="1:10">
      <c r="A7036" s="441">
        <v>5826</v>
      </c>
      <c r="B7036" s="441" t="s">
        <v>5879</v>
      </c>
      <c r="C7036" s="545">
        <v>3.1666666666666665</v>
      </c>
      <c r="D7036" s="545">
        <v>5.6666666666666661</v>
      </c>
      <c r="E7036" s="545">
        <v>0</v>
      </c>
      <c r="F7036" s="545">
        <v>3.0714285714285716</v>
      </c>
      <c r="G7036" s="545">
        <v>1.4</v>
      </c>
      <c r="H7036" s="545">
        <v>0.33333333333333331</v>
      </c>
      <c r="I7036" s="545">
        <v>1</v>
      </c>
      <c r="J7036" s="545">
        <v>1.1904761904761902</v>
      </c>
    </row>
    <row r="7037" spans="1:10">
      <c r="A7037" s="441">
        <v>5835</v>
      </c>
      <c r="B7037" s="441" t="s">
        <v>5879</v>
      </c>
      <c r="C7037" s="545">
        <v>1.3333333333333333</v>
      </c>
      <c r="D7037" s="545">
        <v>1</v>
      </c>
      <c r="E7037" s="545">
        <v>0</v>
      </c>
      <c r="F7037" s="545">
        <v>1.0952380952380951</v>
      </c>
      <c r="G7037" s="545">
        <v>1.45</v>
      </c>
      <c r="H7037" s="545">
        <v>0.66666666666666663</v>
      </c>
      <c r="I7037" s="545">
        <v>0.33333333333333331</v>
      </c>
      <c r="J7037" s="545">
        <v>1.1785714285714286</v>
      </c>
    </row>
    <row r="7038" spans="1:10">
      <c r="A7038" s="441">
        <v>5823</v>
      </c>
      <c r="B7038" s="441" t="s">
        <v>5880</v>
      </c>
      <c r="C7038" s="545">
        <v>6.3333333333333339</v>
      </c>
      <c r="D7038" s="545">
        <v>3.3333333333333335</v>
      </c>
      <c r="E7038" s="545">
        <v>4.333333333333333</v>
      </c>
      <c r="F7038" s="545">
        <v>5.6190476190476204</v>
      </c>
      <c r="G7038" s="545">
        <v>5.35</v>
      </c>
      <c r="H7038" s="545">
        <v>5</v>
      </c>
      <c r="I7038" s="545">
        <v>1.6666666666666667</v>
      </c>
      <c r="J7038" s="545">
        <v>4.7738095238095237</v>
      </c>
    </row>
    <row r="7039" spans="1:10">
      <c r="A7039" s="441">
        <v>5838</v>
      </c>
      <c r="B7039" s="441" t="s">
        <v>5880</v>
      </c>
      <c r="C7039" s="545">
        <v>5.166666666666667</v>
      </c>
      <c r="D7039" s="545">
        <v>1.3333333333333333</v>
      </c>
      <c r="E7039" s="545">
        <v>1.3333333333333333</v>
      </c>
      <c r="F7039" s="545">
        <v>4.0714285714285712</v>
      </c>
      <c r="G7039" s="545">
        <v>5.65</v>
      </c>
      <c r="H7039" s="545">
        <v>4</v>
      </c>
      <c r="I7039" s="545">
        <v>5</v>
      </c>
      <c r="J7039" s="545">
        <v>5.3214285714285712</v>
      </c>
    </row>
    <row r="7040" spans="1:10">
      <c r="A7040" s="441">
        <v>5824</v>
      </c>
      <c r="B7040" s="441" t="s">
        <v>5881</v>
      </c>
      <c r="C7040" s="545">
        <v>6.6666666666666661</v>
      </c>
      <c r="D7040" s="545">
        <v>5.666666666666667</v>
      </c>
      <c r="E7040" s="545">
        <v>4</v>
      </c>
      <c r="F7040" s="545">
        <v>6.1428571428571415</v>
      </c>
      <c r="G7040" s="545">
        <v>3.85</v>
      </c>
      <c r="H7040" s="545">
        <v>1.3333333333333333</v>
      </c>
      <c r="I7040" s="545">
        <v>2.3333333333333335</v>
      </c>
      <c r="J7040" s="545">
        <v>3.2738095238095233</v>
      </c>
    </row>
    <row r="7041" spans="1:10">
      <c r="A7041" s="441">
        <v>5837</v>
      </c>
      <c r="B7041" s="441" t="s">
        <v>5881</v>
      </c>
      <c r="C7041" s="545">
        <v>6.666666666666667</v>
      </c>
      <c r="D7041" s="545">
        <v>5.3333333333333339</v>
      </c>
      <c r="E7041" s="545">
        <v>4.333333333333333</v>
      </c>
      <c r="F7041" s="545">
        <v>6.1428571428571441</v>
      </c>
      <c r="G7041" s="545">
        <v>3.25</v>
      </c>
      <c r="H7041" s="545">
        <v>2</v>
      </c>
      <c r="I7041" s="545">
        <v>3</v>
      </c>
      <c r="J7041" s="545">
        <v>3.0357142857142856</v>
      </c>
    </row>
    <row r="7042" spans="1:10">
      <c r="A7042" s="441">
        <v>5825</v>
      </c>
      <c r="B7042" s="441" t="s">
        <v>5882</v>
      </c>
      <c r="C7042" s="545">
        <v>4.3333333333333339</v>
      </c>
      <c r="D7042" s="545">
        <v>1</v>
      </c>
      <c r="E7042" s="545">
        <v>0.66666666666666663</v>
      </c>
      <c r="F7042" s="545">
        <v>3.3333333333333344</v>
      </c>
      <c r="G7042" s="545">
        <v>1.75</v>
      </c>
      <c r="H7042" s="545">
        <v>2.6666666666666665</v>
      </c>
      <c r="I7042" s="545">
        <v>1.6666666666666667</v>
      </c>
      <c r="J7042" s="545">
        <v>1.8690476190476188</v>
      </c>
    </row>
    <row r="7043" spans="1:10">
      <c r="A7043" s="441">
        <v>5836</v>
      </c>
      <c r="B7043" s="441" t="s">
        <v>5882</v>
      </c>
      <c r="C7043" s="545">
        <v>4.166666666666667</v>
      </c>
      <c r="D7043" s="545">
        <v>3</v>
      </c>
      <c r="E7043" s="545">
        <v>0.33333333333333331</v>
      </c>
      <c r="F7043" s="545">
        <v>3.4523809523809526</v>
      </c>
      <c r="G7043" s="545">
        <v>2.5499999999999998</v>
      </c>
      <c r="H7043" s="545">
        <v>2.6666666666666665</v>
      </c>
      <c r="I7043" s="545">
        <v>1</v>
      </c>
      <c r="J7043" s="545">
        <v>2.3452380952380949</v>
      </c>
    </row>
    <row r="7044" spans="1:10">
      <c r="A7044" s="441">
        <v>10964</v>
      </c>
      <c r="B7044" s="441" t="s">
        <v>5883</v>
      </c>
      <c r="C7044" s="545">
        <v>9.6666666666666661</v>
      </c>
      <c r="D7044" s="545">
        <v>3.6666666666666665</v>
      </c>
      <c r="E7044" s="545">
        <v>3.3333333333333335</v>
      </c>
      <c r="F7044" s="545">
        <v>7.9047619047619042</v>
      </c>
      <c r="G7044" s="545">
        <v>2.2999999999999998</v>
      </c>
      <c r="H7044" s="545">
        <v>2</v>
      </c>
      <c r="I7044" s="545">
        <v>4.333333333333333</v>
      </c>
      <c r="J7044" s="545">
        <v>2.5476190476190474</v>
      </c>
    </row>
    <row r="7045" spans="1:10">
      <c r="A7045" s="441">
        <v>8015</v>
      </c>
      <c r="B7045" s="441" t="s">
        <v>5884</v>
      </c>
      <c r="C7045" s="545">
        <v>37.5</v>
      </c>
      <c r="D7045" s="545">
        <v>23.666666666666664</v>
      </c>
      <c r="E7045" s="545">
        <v>14.666666666666668</v>
      </c>
      <c r="F7045" s="545">
        <v>32.261904761904759</v>
      </c>
      <c r="G7045" s="545">
        <v>20.6</v>
      </c>
      <c r="H7045" s="545">
        <v>15.666666666666666</v>
      </c>
      <c r="I7045" s="545">
        <v>7.333333333333333</v>
      </c>
      <c r="J7045" s="545">
        <v>18</v>
      </c>
    </row>
    <row r="7046" spans="1:10">
      <c r="A7046" s="441">
        <v>10400</v>
      </c>
      <c r="B7046" s="441" t="s">
        <v>5884</v>
      </c>
      <c r="C7046" s="545">
        <v>36.166666666666664</v>
      </c>
      <c r="D7046" s="545">
        <v>21.666666666666668</v>
      </c>
      <c r="E7046" s="545">
        <v>17.333333333333336</v>
      </c>
      <c r="F7046" s="545">
        <v>31.404761904761902</v>
      </c>
      <c r="G7046" s="545">
        <v>22.35</v>
      </c>
      <c r="H7046" s="545">
        <v>17</v>
      </c>
      <c r="I7046" s="545">
        <v>14.666666666666666</v>
      </c>
      <c r="J7046" s="545">
        <v>20.488095238095237</v>
      </c>
    </row>
    <row r="7047" spans="1:10">
      <c r="A7047" s="441">
        <v>8016</v>
      </c>
      <c r="B7047" s="441" t="s">
        <v>5885</v>
      </c>
      <c r="C7047" s="545">
        <v>36.833333333333329</v>
      </c>
      <c r="D7047" s="545">
        <v>25.666666666666664</v>
      </c>
      <c r="E7047" s="545">
        <v>25.333333333333332</v>
      </c>
      <c r="F7047" s="545">
        <v>33.595238095238088</v>
      </c>
      <c r="G7047" s="545">
        <v>20.399999999999999</v>
      </c>
      <c r="H7047" s="545">
        <v>15</v>
      </c>
      <c r="I7047" s="545">
        <v>14.666666666666666</v>
      </c>
      <c r="J7047" s="545">
        <v>18.809523809523807</v>
      </c>
    </row>
    <row r="7048" spans="1:10">
      <c r="A7048" s="441">
        <v>12314</v>
      </c>
      <c r="B7048" s="441" t="s">
        <v>5886</v>
      </c>
      <c r="C7048" s="545">
        <v>76.666666666666671</v>
      </c>
      <c r="D7048" s="545">
        <v>39</v>
      </c>
      <c r="E7048" s="545">
        <v>41.666666666666664</v>
      </c>
      <c r="F7048" s="545">
        <v>66.285714285714292</v>
      </c>
      <c r="G7048" s="545">
        <v>61.7</v>
      </c>
      <c r="H7048" s="545">
        <v>26.666666666666668</v>
      </c>
      <c r="I7048" s="545">
        <v>23.666666666666668</v>
      </c>
      <c r="J7048" s="545">
        <v>51.261904761904766</v>
      </c>
    </row>
    <row r="7049" spans="1:10">
      <c r="A7049" s="441">
        <v>12313</v>
      </c>
      <c r="B7049" s="441" t="s">
        <v>5887</v>
      </c>
      <c r="C7049" s="545">
        <v>5.833333333333333</v>
      </c>
      <c r="D7049" s="545">
        <v>6</v>
      </c>
      <c r="E7049" s="545">
        <v>4.3333333333333339</v>
      </c>
      <c r="F7049" s="545">
        <v>5.6428571428571432</v>
      </c>
      <c r="G7049" s="545">
        <v>5.15</v>
      </c>
      <c r="H7049" s="545">
        <v>3</v>
      </c>
      <c r="I7049" s="545">
        <v>3.6666666666666665</v>
      </c>
      <c r="J7049" s="545">
        <v>4.6309523809523805</v>
      </c>
    </row>
    <row r="7050" spans="1:10">
      <c r="A7050" s="441">
        <v>4765</v>
      </c>
      <c r="B7050" s="441" t="s">
        <v>5888</v>
      </c>
      <c r="C7050" s="545">
        <v>33.833333333333336</v>
      </c>
      <c r="D7050" s="545">
        <v>16</v>
      </c>
      <c r="E7050" s="545">
        <v>10.666666666666666</v>
      </c>
      <c r="F7050" s="545">
        <v>27.976190476190478</v>
      </c>
      <c r="G7050" s="545">
        <v>22.8</v>
      </c>
      <c r="H7050" s="545">
        <v>11.666666666666666</v>
      </c>
      <c r="I7050" s="545">
        <v>6</v>
      </c>
      <c r="J7050" s="545">
        <v>18.809523809523814</v>
      </c>
    </row>
    <row r="7051" spans="1:10">
      <c r="A7051" s="441">
        <v>4766</v>
      </c>
      <c r="B7051" s="441" t="s">
        <v>5889</v>
      </c>
      <c r="C7051" s="545">
        <v>26.666666666666668</v>
      </c>
      <c r="D7051" s="545">
        <v>2</v>
      </c>
      <c r="E7051" s="545">
        <v>2</v>
      </c>
      <c r="F7051" s="545">
        <v>19.61904761904762</v>
      </c>
      <c r="G7051" s="545">
        <v>12.35</v>
      </c>
      <c r="H7051" s="545">
        <v>11.666666666666666</v>
      </c>
      <c r="I7051" s="545">
        <v>11.666666666666666</v>
      </c>
      <c r="J7051" s="545">
        <v>12.154761904761907</v>
      </c>
    </row>
    <row r="7052" spans="1:10">
      <c r="A7052" s="441">
        <v>4771</v>
      </c>
      <c r="B7052" s="441" t="s">
        <v>5889</v>
      </c>
      <c r="C7052" s="545">
        <v>33.666666666666664</v>
      </c>
      <c r="D7052" s="545">
        <v>17.666666666666664</v>
      </c>
      <c r="E7052" s="545">
        <v>10.666666666666668</v>
      </c>
      <c r="F7052" s="545">
        <v>28.095238095238091</v>
      </c>
      <c r="G7052" s="545">
        <v>23.15</v>
      </c>
      <c r="H7052" s="545">
        <v>8.3333333333333339</v>
      </c>
      <c r="I7052" s="545">
        <v>5</v>
      </c>
      <c r="J7052" s="545">
        <v>18.440476190476186</v>
      </c>
    </row>
    <row r="7053" spans="1:10">
      <c r="A7053" s="441">
        <v>11329</v>
      </c>
      <c r="B7053" s="441" t="s">
        <v>5890</v>
      </c>
      <c r="C7053" s="545">
        <v>3.8333333333333335</v>
      </c>
      <c r="D7053" s="545">
        <v>0.33333333333333331</v>
      </c>
      <c r="E7053" s="545">
        <v>0.33333333333333331</v>
      </c>
      <c r="F7053" s="545">
        <v>2.833333333333333</v>
      </c>
      <c r="G7053" s="545">
        <v>1.05</v>
      </c>
      <c r="H7053" s="545">
        <v>0.66666666666666663</v>
      </c>
      <c r="I7053" s="545">
        <v>0</v>
      </c>
      <c r="J7053" s="545">
        <v>0.84523809523809523</v>
      </c>
    </row>
    <row r="7054" spans="1:10">
      <c r="A7054" s="441">
        <v>3022</v>
      </c>
      <c r="B7054" s="441" t="s">
        <v>5891</v>
      </c>
      <c r="C7054" s="545">
        <v>7.5</v>
      </c>
      <c r="D7054" s="545">
        <v>2.333333333333333</v>
      </c>
      <c r="E7054" s="545">
        <v>3.333333333333333</v>
      </c>
      <c r="F7054" s="545">
        <v>6.166666666666667</v>
      </c>
      <c r="G7054" s="545">
        <v>3.65</v>
      </c>
      <c r="H7054" s="545">
        <v>3.6666666666666665</v>
      </c>
      <c r="I7054" s="545">
        <v>3.3333333333333335</v>
      </c>
      <c r="J7054" s="545">
        <v>3.6071428571428572</v>
      </c>
    </row>
    <row r="7055" spans="1:10">
      <c r="A7055" s="441">
        <v>3039</v>
      </c>
      <c r="B7055" s="441" t="s">
        <v>5891</v>
      </c>
      <c r="C7055" s="545">
        <v>2.1666666666666665</v>
      </c>
      <c r="D7055" s="545">
        <v>2.666666666666667</v>
      </c>
      <c r="E7055" s="545">
        <v>2</v>
      </c>
      <c r="F7055" s="545">
        <v>2.2142857142857144</v>
      </c>
      <c r="G7055" s="545">
        <v>2.9</v>
      </c>
      <c r="H7055" s="545">
        <v>0.66666666666666663</v>
      </c>
      <c r="I7055" s="545">
        <v>3</v>
      </c>
      <c r="J7055" s="545">
        <v>2.5952380952380949</v>
      </c>
    </row>
    <row r="7056" spans="1:10">
      <c r="A7056" s="441">
        <v>12395</v>
      </c>
      <c r="B7056" s="441" t="s">
        <v>5892</v>
      </c>
      <c r="C7056" s="545">
        <v>2.8333333333333335</v>
      </c>
      <c r="D7056" s="545">
        <v>0.33333333333333331</v>
      </c>
      <c r="E7056" s="545">
        <v>0.33333333333333331</v>
      </c>
      <c r="F7056" s="545">
        <v>2.1190476190476195</v>
      </c>
      <c r="G7056" s="545">
        <v>0.15</v>
      </c>
      <c r="H7056" s="545">
        <v>0.33333333333333331</v>
      </c>
      <c r="I7056" s="545">
        <v>0</v>
      </c>
      <c r="J7056" s="545">
        <v>0.15476190476190474</v>
      </c>
    </row>
    <row r="7057" spans="1:10">
      <c r="A7057" s="441">
        <v>8295</v>
      </c>
      <c r="B7057" s="441" t="s">
        <v>5893</v>
      </c>
      <c r="C7057" s="545">
        <v>3.166666666666667</v>
      </c>
      <c r="D7057" s="545">
        <v>1</v>
      </c>
      <c r="E7057" s="545">
        <v>0.33333333333333331</v>
      </c>
      <c r="F7057" s="545">
        <v>2.4523809523809526</v>
      </c>
      <c r="G7057" s="545">
        <v>4.5</v>
      </c>
      <c r="H7057" s="545">
        <v>1.6666666666666667</v>
      </c>
      <c r="I7057" s="545">
        <v>6.333333333333333</v>
      </c>
      <c r="J7057" s="545">
        <v>4.3571428571428568</v>
      </c>
    </row>
    <row r="7058" spans="1:10">
      <c r="A7058" s="441">
        <v>10857</v>
      </c>
      <c r="B7058" s="441" t="s">
        <v>5893</v>
      </c>
      <c r="C7058" s="545">
        <v>2.166666666666667</v>
      </c>
      <c r="D7058" s="545">
        <v>1.3333333333333333</v>
      </c>
      <c r="E7058" s="545">
        <v>1</v>
      </c>
      <c r="F7058" s="545">
        <v>1.8809523809523814</v>
      </c>
      <c r="G7058" s="545">
        <v>1.65</v>
      </c>
      <c r="H7058" s="545">
        <v>0.33333333333333331</v>
      </c>
      <c r="I7058" s="545">
        <v>1.3333333333333333</v>
      </c>
      <c r="J7058" s="545">
        <v>1.4166666666666667</v>
      </c>
    </row>
    <row r="7059" spans="1:10">
      <c r="A7059" s="441">
        <v>10818</v>
      </c>
      <c r="B7059" s="441" t="s">
        <v>5894</v>
      </c>
      <c r="C7059" s="545">
        <v>0.16666666666666666</v>
      </c>
      <c r="D7059" s="545">
        <v>0</v>
      </c>
      <c r="E7059" s="545">
        <v>0</v>
      </c>
      <c r="F7059" s="545">
        <v>0.11904761904761904</v>
      </c>
      <c r="G7059" s="545">
        <v>0.85</v>
      </c>
      <c r="H7059" s="545">
        <v>0</v>
      </c>
      <c r="I7059" s="545">
        <v>0</v>
      </c>
      <c r="J7059" s="545">
        <v>0.6071428571428571</v>
      </c>
    </row>
    <row r="7060" spans="1:10">
      <c r="A7060" s="441">
        <v>10822</v>
      </c>
      <c r="B7060" s="441" t="s">
        <v>5894</v>
      </c>
      <c r="C7060" s="545">
        <v>0</v>
      </c>
      <c r="D7060" s="545">
        <v>0</v>
      </c>
      <c r="E7060" s="545">
        <v>0</v>
      </c>
      <c r="F7060" s="545">
        <v>0</v>
      </c>
      <c r="G7060" s="545">
        <v>0.1</v>
      </c>
      <c r="H7060" s="545">
        <v>0</v>
      </c>
      <c r="I7060" s="545">
        <v>0</v>
      </c>
      <c r="J7060" s="545">
        <v>7.1428571428571425E-2</v>
      </c>
    </row>
    <row r="7061" spans="1:10">
      <c r="A7061" s="441">
        <v>8296</v>
      </c>
      <c r="B7061" s="441" t="s">
        <v>5895</v>
      </c>
      <c r="C7061" s="545">
        <v>2</v>
      </c>
      <c r="D7061" s="545">
        <v>0.66666666666666663</v>
      </c>
      <c r="E7061" s="545">
        <v>0.33333333333333331</v>
      </c>
      <c r="F7061" s="545">
        <v>1.5714285714285714</v>
      </c>
      <c r="G7061" s="545">
        <v>0.5</v>
      </c>
      <c r="H7061" s="545">
        <v>0</v>
      </c>
      <c r="I7061" s="545">
        <v>1.6666666666666667</v>
      </c>
      <c r="J7061" s="545">
        <v>0.59523809523809523</v>
      </c>
    </row>
    <row r="7062" spans="1:10">
      <c r="A7062" s="441">
        <v>8297</v>
      </c>
      <c r="B7062" s="441" t="s">
        <v>5895</v>
      </c>
      <c r="C7062" s="545">
        <v>13.166666666666668</v>
      </c>
      <c r="D7062" s="545">
        <v>5.3333333333333339</v>
      </c>
      <c r="E7062" s="545">
        <v>3.333333333333333</v>
      </c>
      <c r="F7062" s="545">
        <v>10.642857142857142</v>
      </c>
      <c r="G7062" s="545">
        <v>6.05</v>
      </c>
      <c r="H7062" s="545">
        <v>4.333333333333333</v>
      </c>
      <c r="I7062" s="545">
        <v>4</v>
      </c>
      <c r="J7062" s="545">
        <v>5.5119047619047619</v>
      </c>
    </row>
    <row r="7063" spans="1:10">
      <c r="A7063" s="441">
        <v>10856</v>
      </c>
      <c r="B7063" s="441" t="s">
        <v>5895</v>
      </c>
      <c r="C7063" s="545">
        <v>0.83333333333333337</v>
      </c>
      <c r="D7063" s="545">
        <v>0.33333333333333331</v>
      </c>
      <c r="E7063" s="545">
        <v>1.6666666666666667</v>
      </c>
      <c r="F7063" s="545">
        <v>0.88095238095238104</v>
      </c>
      <c r="G7063" s="545">
        <v>0.9</v>
      </c>
      <c r="H7063" s="545">
        <v>0.33333333333333331</v>
      </c>
      <c r="I7063" s="545">
        <v>1</v>
      </c>
      <c r="J7063" s="545">
        <v>0.83333333333333326</v>
      </c>
    </row>
    <row r="7064" spans="1:10">
      <c r="A7064" s="441">
        <v>10819</v>
      </c>
      <c r="B7064" s="441" t="s">
        <v>5896</v>
      </c>
      <c r="C7064" s="545">
        <v>5.333333333333333</v>
      </c>
      <c r="D7064" s="545">
        <v>0.33333333333333331</v>
      </c>
      <c r="E7064" s="545">
        <v>1</v>
      </c>
      <c r="F7064" s="545">
        <v>3.9999999999999996</v>
      </c>
      <c r="G7064" s="545">
        <v>1.9</v>
      </c>
      <c r="H7064" s="545">
        <v>2</v>
      </c>
      <c r="I7064" s="545">
        <v>1</v>
      </c>
      <c r="J7064" s="545">
        <v>1.7857142857142858</v>
      </c>
    </row>
    <row r="7065" spans="1:10">
      <c r="A7065" s="441">
        <v>10821</v>
      </c>
      <c r="B7065" s="441" t="s">
        <v>5896</v>
      </c>
      <c r="C7065" s="545">
        <v>4.3333333333333339</v>
      </c>
      <c r="D7065" s="545">
        <v>0.33333333333333331</v>
      </c>
      <c r="E7065" s="545">
        <v>1.6666666666666667</v>
      </c>
      <c r="F7065" s="545">
        <v>3.3809523809523818</v>
      </c>
      <c r="G7065" s="545">
        <v>1.1000000000000001</v>
      </c>
      <c r="H7065" s="545">
        <v>0</v>
      </c>
      <c r="I7065" s="545">
        <v>0.33333333333333331</v>
      </c>
      <c r="J7065" s="545">
        <v>0.83333333333333326</v>
      </c>
    </row>
    <row r="7066" spans="1:10">
      <c r="A7066" s="441">
        <v>8298</v>
      </c>
      <c r="B7066" s="441" t="s">
        <v>5897</v>
      </c>
      <c r="C7066" s="545">
        <v>18.166666666666668</v>
      </c>
      <c r="D7066" s="545">
        <v>25</v>
      </c>
      <c r="E7066" s="545">
        <v>13</v>
      </c>
      <c r="F7066" s="545">
        <v>18.404761904761905</v>
      </c>
      <c r="G7066" s="545">
        <v>17.350000000000001</v>
      </c>
      <c r="H7066" s="545">
        <v>13.666666666666666</v>
      </c>
      <c r="I7066" s="545">
        <v>10.333333333333334</v>
      </c>
      <c r="J7066" s="545">
        <v>15.821428571428571</v>
      </c>
    </row>
    <row r="7067" spans="1:10">
      <c r="A7067" s="441">
        <v>11555</v>
      </c>
      <c r="B7067" s="441" t="s">
        <v>5897</v>
      </c>
      <c r="C7067" s="545">
        <v>11.666666666666666</v>
      </c>
      <c r="D7067" s="545">
        <v>8</v>
      </c>
      <c r="E7067" s="545">
        <v>6.666666666666667</v>
      </c>
      <c r="F7067" s="545">
        <v>10.428571428571429</v>
      </c>
      <c r="G7067" s="545">
        <v>10.199999999999999</v>
      </c>
      <c r="H7067" s="545">
        <v>6.666666666666667</v>
      </c>
      <c r="I7067" s="545">
        <v>4.666666666666667</v>
      </c>
      <c r="J7067" s="545">
        <v>8.9047619047619033</v>
      </c>
    </row>
    <row r="7068" spans="1:10">
      <c r="A7068" s="441">
        <v>3516</v>
      </c>
      <c r="B7068" s="441" t="s">
        <v>5898</v>
      </c>
      <c r="C7068" s="545">
        <v>37.666666666666671</v>
      </c>
      <c r="D7068" s="545">
        <v>17.333333333333332</v>
      </c>
      <c r="E7068" s="545">
        <v>16</v>
      </c>
      <c r="F7068" s="545">
        <v>31.666666666666675</v>
      </c>
      <c r="G7068" s="545">
        <v>19.100000000000001</v>
      </c>
      <c r="H7068" s="545">
        <v>11</v>
      </c>
      <c r="I7068" s="545">
        <v>10.333333333333334</v>
      </c>
      <c r="J7068" s="545">
        <v>16.69047619047619</v>
      </c>
    </row>
    <row r="7069" spans="1:10">
      <c r="A7069" s="441">
        <v>10653</v>
      </c>
      <c r="B7069" s="441" t="s">
        <v>5899</v>
      </c>
      <c r="C7069" s="545">
        <v>112</v>
      </c>
      <c r="D7069" s="545">
        <v>92.666666666666671</v>
      </c>
      <c r="E7069" s="545">
        <v>81.666666666666657</v>
      </c>
      <c r="F7069" s="545">
        <v>104.9047619047619</v>
      </c>
      <c r="G7069" s="545">
        <v>83.5</v>
      </c>
      <c r="H7069" s="545">
        <v>73</v>
      </c>
      <c r="I7069" s="545">
        <v>62</v>
      </c>
      <c r="J7069" s="545">
        <v>78.928571428571431</v>
      </c>
    </row>
    <row r="7070" spans="1:10">
      <c r="A7070" s="441">
        <v>10658</v>
      </c>
      <c r="B7070" s="441" t="s">
        <v>5899</v>
      </c>
      <c r="C7070" s="545">
        <v>64</v>
      </c>
      <c r="D7070" s="545">
        <v>50</v>
      </c>
      <c r="E7070" s="545">
        <v>51.666666666666664</v>
      </c>
      <c r="F7070" s="545">
        <v>60.238095238095241</v>
      </c>
      <c r="G7070" s="545">
        <v>52.15</v>
      </c>
      <c r="H7070" s="545">
        <v>51.333333333333336</v>
      </c>
      <c r="I7070" s="545">
        <v>36</v>
      </c>
      <c r="J7070" s="545">
        <v>49.726190476190474</v>
      </c>
    </row>
    <row r="7071" spans="1:10">
      <c r="A7071" s="441">
        <v>10660</v>
      </c>
      <c r="B7071" s="441" t="s">
        <v>5900</v>
      </c>
      <c r="C7071" s="545">
        <v>24.166666666666668</v>
      </c>
      <c r="D7071" s="545">
        <v>13.333333333333332</v>
      </c>
      <c r="E7071" s="545">
        <v>10.333333333333334</v>
      </c>
      <c r="F7071" s="545">
        <v>20.642857142857146</v>
      </c>
      <c r="G7071" s="545">
        <v>26.4</v>
      </c>
      <c r="H7071" s="545">
        <v>23</v>
      </c>
      <c r="I7071" s="545">
        <v>18.666666666666668</v>
      </c>
      <c r="J7071" s="545">
        <v>24.809523809523807</v>
      </c>
    </row>
    <row r="7072" spans="1:10">
      <c r="A7072" s="441">
        <v>9679</v>
      </c>
      <c r="B7072" s="441" t="s">
        <v>5901</v>
      </c>
      <c r="C7072" s="545">
        <v>4.333333333333333</v>
      </c>
      <c r="D7072" s="545">
        <v>4.3333333333333339</v>
      </c>
      <c r="E7072" s="545">
        <v>7.333333333333333</v>
      </c>
      <c r="F7072" s="545">
        <v>4.7619047619047619</v>
      </c>
      <c r="G7072" s="545">
        <v>3.1</v>
      </c>
      <c r="H7072" s="545">
        <v>1.3333333333333333</v>
      </c>
      <c r="I7072" s="545">
        <v>2.3333333333333335</v>
      </c>
      <c r="J7072" s="545">
        <v>2.7380952380952377</v>
      </c>
    </row>
    <row r="7073" spans="1:10">
      <c r="A7073" s="441">
        <v>9680</v>
      </c>
      <c r="B7073" s="441" t="s">
        <v>5901</v>
      </c>
      <c r="C7073" s="545">
        <v>12.666666666666666</v>
      </c>
      <c r="D7073" s="545">
        <v>10.333333333333334</v>
      </c>
      <c r="E7073" s="545">
        <v>10.666666666666666</v>
      </c>
      <c r="F7073" s="545">
        <v>12.047619047619047</v>
      </c>
      <c r="G7073" s="545">
        <v>10.25</v>
      </c>
      <c r="H7073" s="545">
        <v>8</v>
      </c>
      <c r="I7073" s="545">
        <v>6.333333333333333</v>
      </c>
      <c r="J7073" s="545">
        <v>9.3690476190476186</v>
      </c>
    </row>
    <row r="7074" spans="1:10">
      <c r="A7074" s="441">
        <v>3513</v>
      </c>
      <c r="B7074" s="441" t="s">
        <v>5902</v>
      </c>
      <c r="C7074" s="545">
        <v>13.666666666666668</v>
      </c>
      <c r="D7074" s="545">
        <v>11.666666666666666</v>
      </c>
      <c r="E7074" s="545">
        <v>4.6666666666666661</v>
      </c>
      <c r="F7074" s="545">
        <v>12.095238095238098</v>
      </c>
      <c r="G7074" s="545">
        <v>11.3</v>
      </c>
      <c r="H7074" s="545">
        <v>7</v>
      </c>
      <c r="I7074" s="545">
        <v>6.333333333333333</v>
      </c>
      <c r="J7074" s="545">
        <v>9.9761904761904763</v>
      </c>
    </row>
    <row r="7075" spans="1:10">
      <c r="A7075" s="441">
        <v>3524</v>
      </c>
      <c r="B7075" s="441" t="s">
        <v>5902</v>
      </c>
      <c r="C7075" s="545">
        <v>19.5</v>
      </c>
      <c r="D7075" s="545">
        <v>17.666666666666668</v>
      </c>
      <c r="E7075" s="545">
        <v>10.333333333333334</v>
      </c>
      <c r="F7075" s="545">
        <v>17.928571428571427</v>
      </c>
      <c r="G7075" s="545">
        <v>16.5</v>
      </c>
      <c r="H7075" s="545">
        <v>13.666666666666666</v>
      </c>
      <c r="I7075" s="545">
        <v>9.3333333333333339</v>
      </c>
      <c r="J7075" s="545">
        <v>15.071428571428571</v>
      </c>
    </row>
    <row r="7076" spans="1:10">
      <c r="A7076" s="441">
        <v>3525</v>
      </c>
      <c r="B7076" s="441" t="s">
        <v>5902</v>
      </c>
      <c r="C7076" s="545">
        <v>7</v>
      </c>
      <c r="D7076" s="545">
        <v>10</v>
      </c>
      <c r="E7076" s="545">
        <v>5.666666666666667</v>
      </c>
      <c r="F7076" s="545">
        <v>7.2380952380952381</v>
      </c>
      <c r="G7076" s="545">
        <v>5.45</v>
      </c>
      <c r="H7076" s="545">
        <v>1.6666666666666667</v>
      </c>
      <c r="I7076" s="545">
        <v>5.333333333333333</v>
      </c>
      <c r="J7076" s="545">
        <v>4.8928571428571432</v>
      </c>
    </row>
    <row r="7077" spans="1:10">
      <c r="A7077" s="441">
        <v>9270</v>
      </c>
      <c r="B7077" s="441" t="s">
        <v>5903</v>
      </c>
      <c r="C7077" s="545">
        <v>20.666666666666668</v>
      </c>
      <c r="D7077" s="545">
        <v>15.666666666666668</v>
      </c>
      <c r="E7077" s="545">
        <v>13.666666666666668</v>
      </c>
      <c r="F7077" s="545">
        <v>18.952380952380956</v>
      </c>
      <c r="G7077" s="545">
        <v>14.2</v>
      </c>
      <c r="H7077" s="545">
        <v>6.333333333333333</v>
      </c>
      <c r="I7077" s="545">
        <v>5</v>
      </c>
      <c r="J7077" s="545">
        <v>11.761904761904761</v>
      </c>
    </row>
    <row r="7078" spans="1:10">
      <c r="A7078" s="441">
        <v>9263</v>
      </c>
      <c r="B7078" s="441" t="s">
        <v>5904</v>
      </c>
      <c r="C7078" s="545">
        <v>14.166666666666666</v>
      </c>
      <c r="D7078" s="545">
        <v>12</v>
      </c>
      <c r="E7078" s="545">
        <v>10.333333333333334</v>
      </c>
      <c r="F7078" s="545">
        <v>13.309523809523808</v>
      </c>
      <c r="G7078" s="545">
        <v>8</v>
      </c>
      <c r="H7078" s="545">
        <v>9.6666666666666661</v>
      </c>
      <c r="I7078" s="545">
        <v>4.666666666666667</v>
      </c>
      <c r="J7078" s="545">
        <v>7.761904761904761</v>
      </c>
    </row>
    <row r="7079" spans="1:10">
      <c r="A7079" s="441">
        <v>1654</v>
      </c>
      <c r="B7079" s="441" t="s">
        <v>5905</v>
      </c>
      <c r="C7079" s="545">
        <v>23.333333333333332</v>
      </c>
      <c r="D7079" s="545">
        <v>15.333333333333334</v>
      </c>
      <c r="E7079" s="545">
        <v>9</v>
      </c>
      <c r="F7079" s="545">
        <v>20.142857142857142</v>
      </c>
      <c r="G7079" s="545">
        <v>15.85</v>
      </c>
      <c r="H7079" s="545">
        <v>10.666666666666666</v>
      </c>
      <c r="I7079" s="545">
        <v>7.333333333333333</v>
      </c>
      <c r="J7079" s="545">
        <v>13.892857142857142</v>
      </c>
    </row>
    <row r="7080" spans="1:10">
      <c r="A7080" s="441">
        <v>12346</v>
      </c>
      <c r="B7080" s="441" t="s">
        <v>5906</v>
      </c>
      <c r="C7080" s="545">
        <v>9.8333333333333339</v>
      </c>
      <c r="D7080" s="545">
        <v>7</v>
      </c>
      <c r="E7080" s="545">
        <v>9</v>
      </c>
      <c r="F7080" s="545">
        <v>9.3095238095238102</v>
      </c>
      <c r="G7080" s="545">
        <v>9.75</v>
      </c>
      <c r="H7080" s="545">
        <v>7.666666666666667</v>
      </c>
      <c r="I7080" s="545">
        <v>2.6666666666666665</v>
      </c>
      <c r="J7080" s="545">
        <v>8.4404761904761898</v>
      </c>
    </row>
    <row r="7081" spans="1:10">
      <c r="A7081" s="441">
        <v>9673</v>
      </c>
      <c r="B7081" s="441" t="s">
        <v>5907</v>
      </c>
      <c r="C7081" s="545">
        <v>21.666666666666664</v>
      </c>
      <c r="D7081" s="545">
        <v>9.6666666666666661</v>
      </c>
      <c r="E7081" s="545">
        <v>14</v>
      </c>
      <c r="F7081" s="545">
        <v>18.857142857142858</v>
      </c>
      <c r="G7081" s="545">
        <v>14.2</v>
      </c>
      <c r="H7081" s="545">
        <v>9.6666666666666661</v>
      </c>
      <c r="I7081" s="545">
        <v>13</v>
      </c>
      <c r="J7081" s="545">
        <v>13.380952380952381</v>
      </c>
    </row>
    <row r="7082" spans="1:10">
      <c r="A7082" s="441">
        <v>9686</v>
      </c>
      <c r="B7082" s="441" t="s">
        <v>5907</v>
      </c>
      <c r="C7082" s="545">
        <v>23.666666666666668</v>
      </c>
      <c r="D7082" s="545">
        <v>11.333333333333334</v>
      </c>
      <c r="E7082" s="545">
        <v>11</v>
      </c>
      <c r="F7082" s="545">
        <v>20.095238095238098</v>
      </c>
      <c r="G7082" s="545">
        <v>12</v>
      </c>
      <c r="H7082" s="545">
        <v>6.333333333333333</v>
      </c>
      <c r="I7082" s="545">
        <v>6.666666666666667</v>
      </c>
      <c r="J7082" s="545">
        <v>10.428571428571429</v>
      </c>
    </row>
    <row r="7083" spans="1:10">
      <c r="A7083" s="441">
        <v>9296</v>
      </c>
      <c r="B7083" s="441" t="s">
        <v>5908</v>
      </c>
      <c r="C7083" s="545">
        <v>14.333333333333332</v>
      </c>
      <c r="D7083" s="545">
        <v>14</v>
      </c>
      <c r="E7083" s="545">
        <v>7.6666666666666661</v>
      </c>
      <c r="F7083" s="545">
        <v>13.333333333333332</v>
      </c>
      <c r="G7083" s="545">
        <v>17.55</v>
      </c>
      <c r="H7083" s="545">
        <v>6</v>
      </c>
      <c r="I7083" s="545">
        <v>6.666666666666667</v>
      </c>
      <c r="J7083" s="545">
        <v>14.345238095238097</v>
      </c>
    </row>
    <row r="7084" spans="1:10">
      <c r="A7084" s="441">
        <v>10651</v>
      </c>
      <c r="B7084" s="441" t="s">
        <v>5909</v>
      </c>
      <c r="C7084" s="545">
        <v>26</v>
      </c>
      <c r="D7084" s="545">
        <v>30.333333333333332</v>
      </c>
      <c r="E7084" s="545">
        <v>19</v>
      </c>
      <c r="F7084" s="545">
        <v>25.61904761904762</v>
      </c>
      <c r="G7084" s="545">
        <v>36.1</v>
      </c>
      <c r="H7084" s="545">
        <v>29.333333333333332</v>
      </c>
      <c r="I7084" s="545">
        <v>16</v>
      </c>
      <c r="J7084" s="545">
        <v>32.261904761904766</v>
      </c>
    </row>
    <row r="7085" spans="1:10">
      <c r="A7085" s="441">
        <v>9265</v>
      </c>
      <c r="B7085" s="441" t="s">
        <v>5910</v>
      </c>
      <c r="C7085" s="545">
        <v>35.666666666666664</v>
      </c>
      <c r="D7085" s="545">
        <v>25.333333333333336</v>
      </c>
      <c r="E7085" s="545">
        <v>17.666666666666664</v>
      </c>
      <c r="F7085" s="545">
        <v>31.619047619047617</v>
      </c>
      <c r="G7085" s="545">
        <v>28.85</v>
      </c>
      <c r="H7085" s="545">
        <v>13</v>
      </c>
      <c r="I7085" s="545">
        <v>5.666666666666667</v>
      </c>
      <c r="J7085" s="545">
        <v>23.273809523809522</v>
      </c>
    </row>
    <row r="7086" spans="1:10">
      <c r="A7086" s="441">
        <v>9267</v>
      </c>
      <c r="B7086" s="441" t="s">
        <v>5910</v>
      </c>
      <c r="C7086" s="545">
        <v>47</v>
      </c>
      <c r="D7086" s="545">
        <v>26.333333333333336</v>
      </c>
      <c r="E7086" s="545">
        <v>23</v>
      </c>
      <c r="F7086" s="545">
        <v>40.619047619047613</v>
      </c>
      <c r="G7086" s="545">
        <v>36.799999999999997</v>
      </c>
      <c r="H7086" s="545">
        <v>15.666666666666666</v>
      </c>
      <c r="I7086" s="545">
        <v>16</v>
      </c>
      <c r="J7086" s="545">
        <v>30.809523809523807</v>
      </c>
    </row>
    <row r="7087" spans="1:10">
      <c r="A7087" s="441">
        <v>9266</v>
      </c>
      <c r="B7087" s="441" t="s">
        <v>5911</v>
      </c>
      <c r="C7087" s="545">
        <v>9.5</v>
      </c>
      <c r="D7087" s="545">
        <v>8</v>
      </c>
      <c r="E7087" s="545">
        <v>4</v>
      </c>
      <c r="F7087" s="545">
        <v>8.5</v>
      </c>
      <c r="G7087" s="545">
        <v>7.85</v>
      </c>
      <c r="H7087" s="545">
        <v>5.333333333333333</v>
      </c>
      <c r="I7087" s="545">
        <v>0.66666666666666663</v>
      </c>
      <c r="J7087" s="545">
        <v>6.4642857142857144</v>
      </c>
    </row>
    <row r="7088" spans="1:10">
      <c r="A7088" s="441">
        <v>9678</v>
      </c>
      <c r="B7088" s="441" t="s">
        <v>5912</v>
      </c>
      <c r="C7088" s="545">
        <v>50.333333333333336</v>
      </c>
      <c r="D7088" s="545">
        <v>45.666666666666671</v>
      </c>
      <c r="E7088" s="545">
        <v>45.666666666666671</v>
      </c>
      <c r="F7088" s="545">
        <v>49.000000000000007</v>
      </c>
      <c r="G7088" s="545">
        <v>34.950000000000003</v>
      </c>
      <c r="H7088" s="545">
        <v>29.666666666666668</v>
      </c>
      <c r="I7088" s="545">
        <v>24.666666666666668</v>
      </c>
      <c r="J7088" s="545">
        <v>32.726190476190474</v>
      </c>
    </row>
    <row r="7089" spans="1:10">
      <c r="A7089" s="441">
        <v>9681</v>
      </c>
      <c r="B7089" s="441" t="s">
        <v>5912</v>
      </c>
      <c r="C7089" s="545">
        <v>37.833333333333336</v>
      </c>
      <c r="D7089" s="545">
        <v>34.333333333333329</v>
      </c>
      <c r="E7089" s="545">
        <v>32.666666666666671</v>
      </c>
      <c r="F7089" s="545">
        <v>36.595238095238095</v>
      </c>
      <c r="G7089" s="545">
        <v>20.65</v>
      </c>
      <c r="H7089" s="545">
        <v>17.333333333333332</v>
      </c>
      <c r="I7089" s="545">
        <v>17.666666666666668</v>
      </c>
      <c r="J7089" s="545">
        <v>19.75</v>
      </c>
    </row>
    <row r="7090" spans="1:10">
      <c r="A7090" s="441">
        <v>12348</v>
      </c>
      <c r="B7090" s="441" t="s">
        <v>5913</v>
      </c>
      <c r="C7090" s="545">
        <v>49.166666666666671</v>
      </c>
      <c r="D7090" s="545">
        <v>17.666666666666668</v>
      </c>
      <c r="E7090" s="545">
        <v>20</v>
      </c>
      <c r="F7090" s="545">
        <v>40.500000000000007</v>
      </c>
      <c r="G7090" s="545">
        <v>33.75</v>
      </c>
      <c r="H7090" s="545">
        <v>10.666666666666666</v>
      </c>
      <c r="I7090" s="545">
        <v>11.333333333333334</v>
      </c>
      <c r="J7090" s="545">
        <v>27.25</v>
      </c>
    </row>
    <row r="7091" spans="1:10">
      <c r="A7091" s="441">
        <v>12349</v>
      </c>
      <c r="B7091" s="441" t="s">
        <v>5913</v>
      </c>
      <c r="C7091" s="545">
        <v>54.833333333333336</v>
      </c>
      <c r="D7091" s="545">
        <v>23.666666666666668</v>
      </c>
      <c r="E7091" s="545">
        <v>14.666666666666666</v>
      </c>
      <c r="F7091" s="545">
        <v>44.642857142857153</v>
      </c>
      <c r="G7091" s="545">
        <v>34.65</v>
      </c>
      <c r="H7091" s="545">
        <v>21</v>
      </c>
      <c r="I7091" s="545">
        <v>13</v>
      </c>
      <c r="J7091" s="545">
        <v>29.607142857142858</v>
      </c>
    </row>
    <row r="7092" spans="1:10">
      <c r="A7092" s="441">
        <v>9269</v>
      </c>
      <c r="B7092" s="441" t="s">
        <v>5914</v>
      </c>
      <c r="C7092" s="545">
        <v>30.333333333333336</v>
      </c>
      <c r="D7092" s="545">
        <v>7.333333333333333</v>
      </c>
      <c r="E7092" s="545">
        <v>5.333333333333333</v>
      </c>
      <c r="F7092" s="545">
        <v>23.476190476190482</v>
      </c>
      <c r="G7092" s="545">
        <v>8.85</v>
      </c>
      <c r="H7092" s="545">
        <v>5.666666666666667</v>
      </c>
      <c r="I7092" s="545">
        <v>5.666666666666667</v>
      </c>
      <c r="J7092" s="545">
        <v>7.9404761904761898</v>
      </c>
    </row>
    <row r="7093" spans="1:10">
      <c r="A7093" s="441">
        <v>3515</v>
      </c>
      <c r="B7093" s="441" t="s">
        <v>5915</v>
      </c>
      <c r="C7093" s="545">
        <v>23.333333333333332</v>
      </c>
      <c r="D7093" s="545">
        <v>20.666666666666668</v>
      </c>
      <c r="E7093" s="545">
        <v>10</v>
      </c>
      <c r="F7093" s="545">
        <v>21.047619047619044</v>
      </c>
      <c r="G7093" s="545">
        <v>13.1</v>
      </c>
      <c r="H7093" s="545">
        <v>11.666666666666666</v>
      </c>
      <c r="I7093" s="545">
        <v>7.333333333333333</v>
      </c>
      <c r="J7093" s="545">
        <v>12.071428571428571</v>
      </c>
    </row>
    <row r="7094" spans="1:10">
      <c r="A7094" s="441">
        <v>3522</v>
      </c>
      <c r="B7094" s="441" t="s">
        <v>5915</v>
      </c>
      <c r="C7094" s="545">
        <v>11.5</v>
      </c>
      <c r="D7094" s="545">
        <v>10</v>
      </c>
      <c r="E7094" s="545">
        <v>9.3333333333333321</v>
      </c>
      <c r="F7094" s="545">
        <v>10.976190476190476</v>
      </c>
      <c r="G7094" s="545">
        <v>20.75</v>
      </c>
      <c r="H7094" s="545">
        <v>21</v>
      </c>
      <c r="I7094" s="545">
        <v>13.333333333333334</v>
      </c>
      <c r="J7094" s="545">
        <v>19.726190476190478</v>
      </c>
    </row>
    <row r="7095" spans="1:10">
      <c r="A7095" s="441">
        <v>10652</v>
      </c>
      <c r="B7095" s="441" t="s">
        <v>5916</v>
      </c>
      <c r="C7095" s="545">
        <v>11.833333333333332</v>
      </c>
      <c r="D7095" s="545">
        <v>5.6666666666666661</v>
      </c>
      <c r="E7095" s="545">
        <v>4.3333333333333339</v>
      </c>
      <c r="F7095" s="545">
        <v>9.8809523809523796</v>
      </c>
      <c r="G7095" s="545">
        <v>3.35</v>
      </c>
      <c r="H7095" s="545">
        <v>2.3333333333333335</v>
      </c>
      <c r="I7095" s="545">
        <v>2.3333333333333335</v>
      </c>
      <c r="J7095" s="545">
        <v>3.0595238095238093</v>
      </c>
    </row>
    <row r="7096" spans="1:10">
      <c r="A7096" s="441">
        <v>10659</v>
      </c>
      <c r="B7096" s="441" t="s">
        <v>5916</v>
      </c>
      <c r="C7096" s="545">
        <v>15.666666666666666</v>
      </c>
      <c r="D7096" s="545">
        <v>10.666666666666666</v>
      </c>
      <c r="E7096" s="545">
        <v>9.6666666666666661</v>
      </c>
      <c r="F7096" s="545">
        <v>14.095238095238097</v>
      </c>
      <c r="G7096" s="545">
        <v>6.95</v>
      </c>
      <c r="H7096" s="545">
        <v>6.333333333333333</v>
      </c>
      <c r="I7096" s="545">
        <v>6</v>
      </c>
      <c r="J7096" s="545">
        <v>6.7261904761904763</v>
      </c>
    </row>
    <row r="7097" spans="1:10">
      <c r="A7097" s="441">
        <v>3514</v>
      </c>
      <c r="B7097" s="441" t="s">
        <v>5917</v>
      </c>
      <c r="C7097" s="545">
        <v>34.5</v>
      </c>
      <c r="D7097" s="545">
        <v>29</v>
      </c>
      <c r="E7097" s="545">
        <v>19.333333333333332</v>
      </c>
      <c r="F7097" s="545">
        <v>31.547619047619047</v>
      </c>
      <c r="G7097" s="545">
        <v>22.7</v>
      </c>
      <c r="H7097" s="545">
        <v>19.333333333333332</v>
      </c>
      <c r="I7097" s="545">
        <v>12</v>
      </c>
      <c r="J7097" s="545">
        <v>20.690476190476193</v>
      </c>
    </row>
    <row r="7098" spans="1:10">
      <c r="A7098" s="441">
        <v>3523</v>
      </c>
      <c r="B7098" s="441" t="s">
        <v>5917</v>
      </c>
      <c r="C7098" s="545">
        <v>27.833333333333336</v>
      </c>
      <c r="D7098" s="545">
        <v>22.666666666666668</v>
      </c>
      <c r="E7098" s="545">
        <v>22.666666666666668</v>
      </c>
      <c r="F7098" s="545">
        <v>26.357142857142858</v>
      </c>
      <c r="G7098" s="545">
        <v>12.35</v>
      </c>
      <c r="H7098" s="545">
        <v>7</v>
      </c>
      <c r="I7098" s="545">
        <v>5</v>
      </c>
      <c r="J7098" s="545">
        <v>10.535714285714286</v>
      </c>
    </row>
    <row r="7099" spans="1:10">
      <c r="A7099" s="441">
        <v>9306</v>
      </c>
      <c r="B7099" s="441" t="s">
        <v>5918</v>
      </c>
      <c r="C7099" s="545">
        <v>14</v>
      </c>
      <c r="D7099" s="545">
        <v>8.6666666666666661</v>
      </c>
      <c r="E7099" s="545">
        <v>4.333333333333333</v>
      </c>
      <c r="F7099" s="545">
        <v>11.857142857142858</v>
      </c>
      <c r="G7099" s="545">
        <v>2.7</v>
      </c>
      <c r="H7099" s="545">
        <v>1.6666666666666667</v>
      </c>
      <c r="I7099" s="545">
        <v>0.66666666666666663</v>
      </c>
      <c r="J7099" s="545">
        <v>2.2619047619047619</v>
      </c>
    </row>
    <row r="7100" spans="1:10">
      <c r="A7100" s="441">
        <v>10111</v>
      </c>
      <c r="B7100" s="441" t="s">
        <v>5918</v>
      </c>
      <c r="C7100" s="545">
        <v>24.5</v>
      </c>
      <c r="D7100" s="545">
        <v>13.333333333333332</v>
      </c>
      <c r="E7100" s="545">
        <v>9.6666666666666661</v>
      </c>
      <c r="F7100" s="545">
        <v>20.785714285714285</v>
      </c>
      <c r="G7100" s="545">
        <v>15.05</v>
      </c>
      <c r="H7100" s="545">
        <v>10</v>
      </c>
      <c r="I7100" s="545">
        <v>9</v>
      </c>
      <c r="J7100" s="545">
        <v>13.464285714285714</v>
      </c>
    </row>
    <row r="7101" spans="1:10">
      <c r="A7101" s="441">
        <v>9297</v>
      </c>
      <c r="B7101" s="441" t="s">
        <v>5919</v>
      </c>
      <c r="C7101" s="545">
        <v>4.666666666666667</v>
      </c>
      <c r="D7101" s="545">
        <v>1</v>
      </c>
      <c r="E7101" s="545">
        <v>3</v>
      </c>
      <c r="F7101" s="545">
        <v>3.9047619047619051</v>
      </c>
      <c r="G7101" s="545">
        <v>3.85</v>
      </c>
      <c r="H7101" s="545">
        <v>1.3333333333333333</v>
      </c>
      <c r="I7101" s="545">
        <v>3</v>
      </c>
      <c r="J7101" s="545">
        <v>3.3690476190476191</v>
      </c>
    </row>
    <row r="7102" spans="1:10">
      <c r="A7102" s="441">
        <v>9305</v>
      </c>
      <c r="B7102" s="441" t="s">
        <v>5919</v>
      </c>
      <c r="C7102" s="545">
        <v>8.3333333333333339</v>
      </c>
      <c r="D7102" s="545">
        <v>3.6666666666666665</v>
      </c>
      <c r="E7102" s="545">
        <v>4</v>
      </c>
      <c r="F7102" s="545">
        <v>7.0476190476190483</v>
      </c>
      <c r="G7102" s="545">
        <v>12.65</v>
      </c>
      <c r="H7102" s="545">
        <v>4.666666666666667</v>
      </c>
      <c r="I7102" s="545">
        <v>7.666666666666667</v>
      </c>
      <c r="J7102" s="545">
        <v>10.797619047619049</v>
      </c>
    </row>
    <row r="7103" spans="1:10">
      <c r="A7103" s="441">
        <v>9298</v>
      </c>
      <c r="B7103" s="441" t="s">
        <v>5920</v>
      </c>
      <c r="C7103" s="545">
        <v>26.666666666666664</v>
      </c>
      <c r="D7103" s="545">
        <v>7</v>
      </c>
      <c r="E7103" s="545">
        <v>3.333333333333333</v>
      </c>
      <c r="F7103" s="545">
        <v>20.523809523809522</v>
      </c>
      <c r="G7103" s="545">
        <v>8.6</v>
      </c>
      <c r="H7103" s="545">
        <v>4.333333333333333</v>
      </c>
      <c r="I7103" s="545">
        <v>0.66666666666666663</v>
      </c>
      <c r="J7103" s="545">
        <v>6.8571428571428568</v>
      </c>
    </row>
    <row r="7104" spans="1:10">
      <c r="A7104" s="441">
        <v>9304</v>
      </c>
      <c r="B7104" s="441" t="s">
        <v>5920</v>
      </c>
      <c r="C7104" s="545">
        <v>21.5</v>
      </c>
      <c r="D7104" s="545">
        <v>4</v>
      </c>
      <c r="E7104" s="545">
        <v>2.333333333333333</v>
      </c>
      <c r="F7104" s="545">
        <v>16.261904761904763</v>
      </c>
      <c r="G7104" s="545">
        <v>10.35</v>
      </c>
      <c r="H7104" s="545">
        <v>4</v>
      </c>
      <c r="I7104" s="545">
        <v>1</v>
      </c>
      <c r="J7104" s="545">
        <v>8.1071428571428577</v>
      </c>
    </row>
    <row r="7105" spans="1:10">
      <c r="A7105" s="441">
        <v>9264</v>
      </c>
      <c r="B7105" s="441" t="s">
        <v>5921</v>
      </c>
      <c r="C7105" s="545">
        <v>20.333333333333336</v>
      </c>
      <c r="D7105" s="545">
        <v>12.333333333333332</v>
      </c>
      <c r="E7105" s="545">
        <v>14.333333333333332</v>
      </c>
      <c r="F7105" s="545">
        <v>18.333333333333336</v>
      </c>
      <c r="G7105" s="545">
        <v>12.1</v>
      </c>
      <c r="H7105" s="545">
        <v>10.333333333333334</v>
      </c>
      <c r="I7105" s="545">
        <v>12.333333333333334</v>
      </c>
      <c r="J7105" s="545">
        <v>11.88095238095238</v>
      </c>
    </row>
    <row r="7106" spans="1:10">
      <c r="A7106" s="441">
        <v>9683</v>
      </c>
      <c r="B7106" s="441" t="s">
        <v>5922</v>
      </c>
      <c r="C7106" s="545">
        <v>12.333333333333332</v>
      </c>
      <c r="D7106" s="545">
        <v>6.666666666666667</v>
      </c>
      <c r="E7106" s="545">
        <v>11.333333333333334</v>
      </c>
      <c r="F7106" s="545">
        <v>11.38095238095238</v>
      </c>
      <c r="G7106" s="545">
        <v>12.55</v>
      </c>
      <c r="H7106" s="545">
        <v>12.666666666666666</v>
      </c>
      <c r="I7106" s="545">
        <v>10</v>
      </c>
      <c r="J7106" s="545">
        <v>12.202380952380953</v>
      </c>
    </row>
    <row r="7107" spans="1:10">
      <c r="A7107" s="441">
        <v>9301</v>
      </c>
      <c r="B7107" s="441" t="s">
        <v>5923</v>
      </c>
      <c r="C7107" s="545">
        <v>13.666666666666666</v>
      </c>
      <c r="D7107" s="545">
        <v>9.6666666666666679</v>
      </c>
      <c r="E7107" s="545">
        <v>10.333333333333332</v>
      </c>
      <c r="F7107" s="545">
        <v>12.619047619047619</v>
      </c>
      <c r="G7107" s="545">
        <v>12.5</v>
      </c>
      <c r="H7107" s="545">
        <v>7.666666666666667</v>
      </c>
      <c r="I7107" s="545">
        <v>3.3333333333333335</v>
      </c>
      <c r="J7107" s="545">
        <v>10.5</v>
      </c>
    </row>
    <row r="7108" spans="1:10">
      <c r="A7108" s="441">
        <v>9300</v>
      </c>
      <c r="B7108" s="441" t="s">
        <v>5924</v>
      </c>
      <c r="C7108" s="545">
        <v>6.1666666666666661</v>
      </c>
      <c r="D7108" s="545">
        <v>6</v>
      </c>
      <c r="E7108" s="545">
        <v>4.6666666666666661</v>
      </c>
      <c r="F7108" s="545">
        <v>5.9285714285714279</v>
      </c>
      <c r="G7108" s="545">
        <v>4.7</v>
      </c>
      <c r="H7108" s="545">
        <v>2.3333333333333335</v>
      </c>
      <c r="I7108" s="545">
        <v>3</v>
      </c>
      <c r="J7108" s="545">
        <v>4.1190476190476186</v>
      </c>
    </row>
    <row r="7109" spans="1:10">
      <c r="A7109" s="441">
        <v>9302</v>
      </c>
      <c r="B7109" s="441" t="s">
        <v>5924</v>
      </c>
      <c r="C7109" s="545">
        <v>8.1666666666666661</v>
      </c>
      <c r="D7109" s="545">
        <v>3.666666666666667</v>
      </c>
      <c r="E7109" s="545">
        <v>3.666666666666667</v>
      </c>
      <c r="F7109" s="545">
        <v>6.8809523809523796</v>
      </c>
      <c r="G7109" s="545">
        <v>5.45</v>
      </c>
      <c r="H7109" s="545">
        <v>2</v>
      </c>
      <c r="I7109" s="545">
        <v>2.6666666666666665</v>
      </c>
      <c r="J7109" s="545">
        <v>4.5595238095238093</v>
      </c>
    </row>
    <row r="7110" spans="1:10">
      <c r="A7110" s="441">
        <v>3517</v>
      </c>
      <c r="B7110" s="441" t="s">
        <v>5925</v>
      </c>
      <c r="C7110" s="545">
        <v>51.166666666666671</v>
      </c>
      <c r="D7110" s="545">
        <v>56</v>
      </c>
      <c r="E7110" s="545">
        <v>48.666666666666664</v>
      </c>
      <c r="F7110" s="545">
        <v>51.500000000000007</v>
      </c>
      <c r="G7110" s="545">
        <v>102</v>
      </c>
      <c r="H7110" s="545">
        <v>94</v>
      </c>
      <c r="I7110" s="545">
        <v>83</v>
      </c>
      <c r="J7110" s="545">
        <v>98.142857142857139</v>
      </c>
    </row>
    <row r="7111" spans="1:10">
      <c r="A7111" s="441">
        <v>3519</v>
      </c>
      <c r="B7111" s="441" t="s">
        <v>5925</v>
      </c>
      <c r="C7111" s="545">
        <v>93.833333333333329</v>
      </c>
      <c r="D7111" s="545">
        <v>74.666666666666657</v>
      </c>
      <c r="E7111" s="545">
        <v>68</v>
      </c>
      <c r="F7111" s="545">
        <v>87.404761904761898</v>
      </c>
      <c r="G7111" s="545">
        <v>52.85</v>
      </c>
      <c r="H7111" s="545">
        <v>47.333333333333336</v>
      </c>
      <c r="I7111" s="545">
        <v>48.666666666666664</v>
      </c>
      <c r="J7111" s="545">
        <v>51.464285714285715</v>
      </c>
    </row>
    <row r="7112" spans="1:10">
      <c r="A7112" s="441">
        <v>9676</v>
      </c>
      <c r="B7112" s="441" t="s">
        <v>5926</v>
      </c>
      <c r="C7112" s="545">
        <v>13.166666666666666</v>
      </c>
      <c r="D7112" s="545">
        <v>6</v>
      </c>
      <c r="E7112" s="545">
        <v>5.6666666666666661</v>
      </c>
      <c r="F7112" s="545">
        <v>11.071428571428571</v>
      </c>
      <c r="G7112" s="545">
        <v>7.4</v>
      </c>
      <c r="H7112" s="545">
        <v>6.333333333333333</v>
      </c>
      <c r="I7112" s="545">
        <v>4.333333333333333</v>
      </c>
      <c r="J7112" s="545">
        <v>6.8095238095238102</v>
      </c>
    </row>
    <row r="7113" spans="1:10">
      <c r="A7113" s="441">
        <v>9674</v>
      </c>
      <c r="B7113" s="441" t="s">
        <v>5927</v>
      </c>
      <c r="C7113" s="545">
        <v>11.166666666666668</v>
      </c>
      <c r="D7113" s="545">
        <v>9.3333333333333321</v>
      </c>
      <c r="E7113" s="545">
        <v>10</v>
      </c>
      <c r="F7113" s="545">
        <v>10.738095238095239</v>
      </c>
      <c r="G7113" s="545">
        <v>7.2</v>
      </c>
      <c r="H7113" s="545">
        <v>3.6666666666666665</v>
      </c>
      <c r="I7113" s="545">
        <v>3</v>
      </c>
      <c r="J7113" s="545">
        <v>6.0952380952380949</v>
      </c>
    </row>
    <row r="7114" spans="1:10">
      <c r="A7114" s="441">
        <v>9685</v>
      </c>
      <c r="B7114" s="441" t="s">
        <v>5927</v>
      </c>
      <c r="C7114" s="545">
        <v>11.5</v>
      </c>
      <c r="D7114" s="545">
        <v>10.666666666666668</v>
      </c>
      <c r="E7114" s="545">
        <v>6</v>
      </c>
      <c r="F7114" s="545">
        <v>10.595238095238097</v>
      </c>
      <c r="G7114" s="545">
        <v>7.4</v>
      </c>
      <c r="H7114" s="545">
        <v>4.333333333333333</v>
      </c>
      <c r="I7114" s="545">
        <v>5.333333333333333</v>
      </c>
      <c r="J7114" s="545">
        <v>6.666666666666667</v>
      </c>
    </row>
    <row r="7115" spans="1:10">
      <c r="A7115" s="441">
        <v>12347</v>
      </c>
      <c r="B7115" s="441" t="s">
        <v>5928</v>
      </c>
      <c r="C7115" s="545">
        <v>15.333333333333332</v>
      </c>
      <c r="D7115" s="545">
        <v>13</v>
      </c>
      <c r="E7115" s="545">
        <v>8.3333333333333339</v>
      </c>
      <c r="F7115" s="545">
        <v>13.999999999999998</v>
      </c>
      <c r="G7115" s="545">
        <v>10.65</v>
      </c>
      <c r="H7115" s="545">
        <v>7</v>
      </c>
      <c r="I7115" s="545">
        <v>6</v>
      </c>
      <c r="J7115" s="545">
        <v>9.4642857142857135</v>
      </c>
    </row>
    <row r="7116" spans="1:10">
      <c r="A7116" s="441">
        <v>9672</v>
      </c>
      <c r="B7116" s="441" t="s">
        <v>5929</v>
      </c>
      <c r="C7116" s="545">
        <v>14.333333333333332</v>
      </c>
      <c r="D7116" s="545">
        <v>14.666666666666668</v>
      </c>
      <c r="E7116" s="545">
        <v>14.666666666666666</v>
      </c>
      <c r="F7116" s="545">
        <v>14.428571428571429</v>
      </c>
      <c r="G7116" s="545">
        <v>1.6</v>
      </c>
      <c r="H7116" s="545">
        <v>2.3333333333333335</v>
      </c>
      <c r="I7116" s="545">
        <v>0.66666666666666663</v>
      </c>
      <c r="J7116" s="545">
        <v>1.5714285714285714</v>
      </c>
    </row>
    <row r="7117" spans="1:10">
      <c r="A7117" s="441">
        <v>9687</v>
      </c>
      <c r="B7117" s="441" t="s">
        <v>5929</v>
      </c>
      <c r="C7117" s="545">
        <v>34.666666666666664</v>
      </c>
      <c r="D7117" s="545">
        <v>27</v>
      </c>
      <c r="E7117" s="545">
        <v>27</v>
      </c>
      <c r="F7117" s="545">
        <v>32.476190476190474</v>
      </c>
      <c r="G7117" s="545">
        <v>4.6500000000000004</v>
      </c>
      <c r="H7117" s="545">
        <v>5</v>
      </c>
      <c r="I7117" s="545">
        <v>3</v>
      </c>
      <c r="J7117" s="545">
        <v>4.4642857142857144</v>
      </c>
    </row>
    <row r="7118" spans="1:10">
      <c r="A7118" s="441">
        <v>1652</v>
      </c>
      <c r="B7118" s="441" t="s">
        <v>5930</v>
      </c>
      <c r="C7118" s="545">
        <v>16</v>
      </c>
      <c r="D7118" s="545">
        <v>8.6666666666666661</v>
      </c>
      <c r="E7118" s="545">
        <v>26</v>
      </c>
      <c r="F7118" s="545">
        <v>16.380952380952383</v>
      </c>
      <c r="G7118" s="545">
        <v>28.2</v>
      </c>
      <c r="H7118" s="545">
        <v>23.333333333333332</v>
      </c>
      <c r="I7118" s="545">
        <v>17</v>
      </c>
      <c r="J7118" s="545">
        <v>25.904761904761905</v>
      </c>
    </row>
    <row r="7119" spans="1:10">
      <c r="A7119" s="441">
        <v>1656</v>
      </c>
      <c r="B7119" s="441" t="s">
        <v>5930</v>
      </c>
      <c r="C7119" s="545">
        <v>9.5</v>
      </c>
      <c r="D7119" s="545">
        <v>3</v>
      </c>
      <c r="E7119" s="545">
        <v>23.666666666666664</v>
      </c>
      <c r="F7119" s="545">
        <v>10.595238095238093</v>
      </c>
      <c r="G7119" s="545">
        <v>7.95</v>
      </c>
      <c r="H7119" s="545">
        <v>7</v>
      </c>
      <c r="I7119" s="545">
        <v>15.666666666666666</v>
      </c>
      <c r="J7119" s="545">
        <v>8.9166666666666661</v>
      </c>
    </row>
    <row r="7120" spans="1:10">
      <c r="A7120" s="441">
        <v>9675</v>
      </c>
      <c r="B7120" s="441" t="s">
        <v>5931</v>
      </c>
      <c r="C7120" s="545">
        <v>67.166666666666657</v>
      </c>
      <c r="D7120" s="545">
        <v>40.666666666666664</v>
      </c>
      <c r="E7120" s="545">
        <v>27</v>
      </c>
      <c r="F7120" s="545">
        <v>57.642857142857132</v>
      </c>
      <c r="G7120" s="545">
        <v>41.75</v>
      </c>
      <c r="H7120" s="545">
        <v>32.666666666666664</v>
      </c>
      <c r="I7120" s="545">
        <v>27</v>
      </c>
      <c r="J7120" s="545">
        <v>38.345238095238088</v>
      </c>
    </row>
    <row r="7121" spans="1:10">
      <c r="A7121" s="441">
        <v>9684</v>
      </c>
      <c r="B7121" s="441" t="s">
        <v>5931</v>
      </c>
      <c r="C7121" s="545">
        <v>54.833333333333329</v>
      </c>
      <c r="D7121" s="545">
        <v>30.333333333333336</v>
      </c>
      <c r="E7121" s="545">
        <v>26</v>
      </c>
      <c r="F7121" s="545">
        <v>47.214285714285708</v>
      </c>
      <c r="G7121" s="545">
        <v>36.85</v>
      </c>
      <c r="H7121" s="545">
        <v>27.333333333333332</v>
      </c>
      <c r="I7121" s="545">
        <v>19.333333333333332</v>
      </c>
      <c r="J7121" s="545">
        <v>32.988095238095241</v>
      </c>
    </row>
    <row r="7122" spans="1:10">
      <c r="A7122" s="441">
        <v>3512</v>
      </c>
      <c r="B7122" s="441" t="s">
        <v>5932</v>
      </c>
      <c r="C7122" s="545">
        <v>4</v>
      </c>
      <c r="D7122" s="545">
        <v>6.3333333333333339</v>
      </c>
      <c r="E7122" s="545">
        <v>5</v>
      </c>
      <c r="F7122" s="545">
        <v>4.4761904761904763</v>
      </c>
      <c r="G7122" s="545">
        <v>2.7</v>
      </c>
      <c r="H7122" s="545">
        <v>4.666666666666667</v>
      </c>
      <c r="I7122" s="545">
        <v>3.3333333333333335</v>
      </c>
      <c r="J7122" s="545">
        <v>3.0714285714285716</v>
      </c>
    </row>
    <row r="7123" spans="1:10">
      <c r="A7123" s="441">
        <v>9689</v>
      </c>
      <c r="B7123" s="441" t="s">
        <v>5933</v>
      </c>
      <c r="C7123" s="545">
        <v>46.5</v>
      </c>
      <c r="D7123" s="545">
        <v>32.333333333333329</v>
      </c>
      <c r="E7123" s="545">
        <v>32.666666666666664</v>
      </c>
      <c r="F7123" s="545">
        <v>42.5</v>
      </c>
      <c r="G7123" s="545">
        <v>33.299999999999997</v>
      </c>
      <c r="H7123" s="545">
        <v>28.333333333333332</v>
      </c>
      <c r="I7123" s="545">
        <v>21</v>
      </c>
      <c r="J7123" s="545">
        <v>30.833333333333336</v>
      </c>
    </row>
    <row r="7124" spans="1:10">
      <c r="A7124" s="441">
        <v>1657</v>
      </c>
      <c r="B7124" s="441" t="s">
        <v>5934</v>
      </c>
      <c r="C7124" s="545">
        <v>84.166666666666657</v>
      </c>
      <c r="D7124" s="545">
        <v>87</v>
      </c>
      <c r="E7124" s="545">
        <v>63.666666666666671</v>
      </c>
      <c r="F7124" s="545">
        <v>81.642857142857125</v>
      </c>
      <c r="G7124" s="545">
        <v>68.55</v>
      </c>
      <c r="H7124" s="545">
        <v>62.333333333333336</v>
      </c>
      <c r="I7124" s="545">
        <v>48</v>
      </c>
      <c r="J7124" s="545">
        <v>64.726190476190467</v>
      </c>
    </row>
    <row r="7125" spans="1:10">
      <c r="A7125" s="441">
        <v>9299</v>
      </c>
      <c r="B7125" s="441" t="s">
        <v>5935</v>
      </c>
      <c r="C7125" s="545">
        <v>7.8333333333333339</v>
      </c>
      <c r="D7125" s="545">
        <v>1</v>
      </c>
      <c r="E7125" s="545">
        <v>0</v>
      </c>
      <c r="F7125" s="545">
        <v>5.738095238095239</v>
      </c>
      <c r="G7125" s="545">
        <v>7.45</v>
      </c>
      <c r="H7125" s="545">
        <v>1.6666666666666667</v>
      </c>
      <c r="I7125" s="545">
        <v>1.3333333333333333</v>
      </c>
      <c r="J7125" s="545">
        <v>5.75</v>
      </c>
    </row>
    <row r="7126" spans="1:10">
      <c r="A7126" s="441">
        <v>9303</v>
      </c>
      <c r="B7126" s="441" t="s">
        <v>5935</v>
      </c>
      <c r="C7126" s="545">
        <v>9.3333333333333339</v>
      </c>
      <c r="D7126" s="545">
        <v>0</v>
      </c>
      <c r="E7126" s="545">
        <v>0</v>
      </c>
      <c r="F7126" s="545">
        <v>6.666666666666667</v>
      </c>
      <c r="G7126" s="545">
        <v>9.35</v>
      </c>
      <c r="H7126" s="545">
        <v>0.33333333333333331</v>
      </c>
      <c r="I7126" s="545">
        <v>1.3333333333333333</v>
      </c>
      <c r="J7126" s="545">
        <v>6.916666666666667</v>
      </c>
    </row>
    <row r="7127" spans="1:10">
      <c r="A7127" s="441">
        <v>9268</v>
      </c>
      <c r="B7127" s="441" t="s">
        <v>5936</v>
      </c>
      <c r="C7127" s="545">
        <v>22.166666666666668</v>
      </c>
      <c r="D7127" s="545">
        <v>15.666666666666668</v>
      </c>
      <c r="E7127" s="545">
        <v>15</v>
      </c>
      <c r="F7127" s="545">
        <v>20.214285714285715</v>
      </c>
      <c r="G7127" s="545">
        <v>15.9</v>
      </c>
      <c r="H7127" s="545">
        <v>12.333333333333334</v>
      </c>
      <c r="I7127" s="545">
        <v>15.333333333333334</v>
      </c>
      <c r="J7127" s="545">
        <v>15.309523809523808</v>
      </c>
    </row>
    <row r="7128" spans="1:10">
      <c r="A7128" s="441">
        <v>9671</v>
      </c>
      <c r="B7128" s="441" t="s">
        <v>5937</v>
      </c>
      <c r="C7128" s="545">
        <v>26.333333333333332</v>
      </c>
      <c r="D7128" s="545">
        <v>20.666666666666668</v>
      </c>
      <c r="E7128" s="545">
        <v>13</v>
      </c>
      <c r="F7128" s="545">
        <v>23.619047619047617</v>
      </c>
      <c r="G7128" s="545">
        <v>22.85</v>
      </c>
      <c r="H7128" s="545">
        <v>16</v>
      </c>
      <c r="I7128" s="545">
        <v>13.666666666666666</v>
      </c>
      <c r="J7128" s="545">
        <v>20.559523809523807</v>
      </c>
    </row>
    <row r="7129" spans="1:10">
      <c r="A7129" s="441">
        <v>9688</v>
      </c>
      <c r="B7129" s="441" t="s">
        <v>5937</v>
      </c>
      <c r="C7129" s="545">
        <v>16.166666666666664</v>
      </c>
      <c r="D7129" s="545">
        <v>8.3333333333333339</v>
      </c>
      <c r="E7129" s="545">
        <v>4.3333333333333339</v>
      </c>
      <c r="F7129" s="545">
        <v>13.357142857142852</v>
      </c>
      <c r="G7129" s="545">
        <v>6.55</v>
      </c>
      <c r="H7129" s="545">
        <v>1</v>
      </c>
      <c r="I7129" s="545">
        <v>2</v>
      </c>
      <c r="J7129" s="545">
        <v>5.1071428571428568</v>
      </c>
    </row>
    <row r="7130" spans="1:10">
      <c r="A7130" s="441">
        <v>3520</v>
      </c>
      <c r="B7130" s="441" t="s">
        <v>5938</v>
      </c>
      <c r="C7130" s="545">
        <v>32.5</v>
      </c>
      <c r="D7130" s="545">
        <v>15</v>
      </c>
      <c r="E7130" s="545">
        <v>10</v>
      </c>
      <c r="F7130" s="545">
        <v>26.785714285714285</v>
      </c>
      <c r="G7130" s="545">
        <v>9.1999999999999993</v>
      </c>
      <c r="H7130" s="545">
        <v>4</v>
      </c>
      <c r="I7130" s="545">
        <v>3</v>
      </c>
      <c r="J7130" s="545">
        <v>7.5714285714285712</v>
      </c>
    </row>
    <row r="7131" spans="1:10">
      <c r="A7131" s="441">
        <v>1653</v>
      </c>
      <c r="B7131" s="441" t="s">
        <v>5939</v>
      </c>
      <c r="C7131" s="545">
        <v>6.1666666666666661</v>
      </c>
      <c r="D7131" s="545">
        <v>5</v>
      </c>
      <c r="E7131" s="545">
        <v>7</v>
      </c>
      <c r="F7131" s="545">
        <v>6.1190476190476186</v>
      </c>
      <c r="G7131" s="545">
        <v>3.25</v>
      </c>
      <c r="H7131" s="545">
        <v>5.333333333333333</v>
      </c>
      <c r="I7131" s="545">
        <v>6.666666666666667</v>
      </c>
      <c r="J7131" s="545">
        <v>4.0357142857142856</v>
      </c>
    </row>
    <row r="7132" spans="1:10">
      <c r="A7132" s="441">
        <v>1655</v>
      </c>
      <c r="B7132" s="441" t="s">
        <v>5939</v>
      </c>
      <c r="C7132" s="545">
        <v>8.6666666666666661</v>
      </c>
      <c r="D7132" s="545">
        <v>5</v>
      </c>
      <c r="E7132" s="545">
        <v>3</v>
      </c>
      <c r="F7132" s="545">
        <v>7.333333333333333</v>
      </c>
      <c r="G7132" s="545">
        <v>3.45</v>
      </c>
      <c r="H7132" s="545">
        <v>2.6666666666666665</v>
      </c>
      <c r="I7132" s="545">
        <v>3.3333333333333335</v>
      </c>
      <c r="J7132" s="545">
        <v>3.3214285714285716</v>
      </c>
    </row>
    <row r="7133" spans="1:10">
      <c r="A7133" s="441">
        <v>9677</v>
      </c>
      <c r="B7133" s="441" t="s">
        <v>5940</v>
      </c>
      <c r="C7133" s="545">
        <v>6.833333333333333</v>
      </c>
      <c r="D7133" s="545">
        <v>8</v>
      </c>
      <c r="E7133" s="545">
        <v>7.6666666666666661</v>
      </c>
      <c r="F7133" s="545">
        <v>7.1190476190476186</v>
      </c>
      <c r="G7133" s="545">
        <v>6</v>
      </c>
      <c r="H7133" s="545">
        <v>3.6666666666666665</v>
      </c>
      <c r="I7133" s="545">
        <v>4</v>
      </c>
      <c r="J7133" s="545">
        <v>5.3809523809523805</v>
      </c>
    </row>
    <row r="7134" spans="1:10">
      <c r="A7134" s="441">
        <v>9682</v>
      </c>
      <c r="B7134" s="441" t="s">
        <v>5940</v>
      </c>
      <c r="C7134" s="545">
        <v>12</v>
      </c>
      <c r="D7134" s="545">
        <v>8.3333333333333339</v>
      </c>
      <c r="E7134" s="545">
        <v>4.666666666666667</v>
      </c>
      <c r="F7134" s="545">
        <v>10.428571428571429</v>
      </c>
      <c r="G7134" s="545">
        <v>8.1999999999999993</v>
      </c>
      <c r="H7134" s="545">
        <v>10.333333333333334</v>
      </c>
      <c r="I7134" s="545">
        <v>6.333333333333333</v>
      </c>
      <c r="J7134" s="545">
        <v>8.238095238095239</v>
      </c>
    </row>
    <row r="7135" spans="1:10">
      <c r="A7135" s="441">
        <v>11025</v>
      </c>
      <c r="B7135" s="441" t="s">
        <v>5941</v>
      </c>
      <c r="C7135" s="545">
        <v>13703.5</v>
      </c>
      <c r="D7135" s="545">
        <v>7042.3333333333339</v>
      </c>
      <c r="E7135" s="545">
        <v>5554.3333333333339</v>
      </c>
      <c r="F7135" s="545">
        <v>11587.738095238094</v>
      </c>
      <c r="G7135" s="545">
        <v>8861.85</v>
      </c>
      <c r="H7135" s="545">
        <v>5058</v>
      </c>
      <c r="I7135" s="545">
        <v>4498.333333333333</v>
      </c>
      <c r="J7135" s="545">
        <v>7695.0833333333339</v>
      </c>
    </row>
    <row r="7136" spans="1:10">
      <c r="A7136" s="441">
        <v>11494</v>
      </c>
      <c r="B7136" s="441" t="s">
        <v>5942</v>
      </c>
      <c r="C7136" s="545">
        <v>1.1666666666666665</v>
      </c>
      <c r="D7136" s="545">
        <v>6</v>
      </c>
      <c r="E7136" s="545">
        <v>5.333333333333333</v>
      </c>
      <c r="F7136" s="545">
        <v>2.4523809523809521</v>
      </c>
      <c r="G7136" s="545">
        <v>1.2</v>
      </c>
      <c r="H7136" s="545">
        <v>1</v>
      </c>
      <c r="I7136" s="545">
        <v>1.3333333333333333</v>
      </c>
      <c r="J7136" s="545">
        <v>1.1904761904761905</v>
      </c>
    </row>
    <row r="7137" spans="1:10">
      <c r="A7137" s="441">
        <v>4956</v>
      </c>
      <c r="B7137" s="441" t="s">
        <v>5943</v>
      </c>
      <c r="C7137" s="545">
        <v>14.333333333333332</v>
      </c>
      <c r="D7137" s="545">
        <v>11</v>
      </c>
      <c r="E7137" s="545">
        <v>8</v>
      </c>
      <c r="F7137" s="545">
        <v>12.952380952380951</v>
      </c>
      <c r="G7137" s="545">
        <v>9.1999999999999993</v>
      </c>
      <c r="H7137" s="545">
        <v>7.666666666666667</v>
      </c>
      <c r="I7137" s="545">
        <v>6.333333333333333</v>
      </c>
      <c r="J7137" s="545">
        <v>8.5714285714285712</v>
      </c>
    </row>
    <row r="7138" spans="1:10">
      <c r="A7138" s="441">
        <v>4969</v>
      </c>
      <c r="B7138" s="441" t="s">
        <v>5943</v>
      </c>
      <c r="C7138" s="545">
        <v>150.83333333333331</v>
      </c>
      <c r="D7138" s="545">
        <v>98.666666666666657</v>
      </c>
      <c r="E7138" s="545">
        <v>86.333333333333329</v>
      </c>
      <c r="F7138" s="545">
        <v>134.16666666666666</v>
      </c>
      <c r="G7138" s="545">
        <v>90.6</v>
      </c>
      <c r="H7138" s="545">
        <v>73.666666666666671</v>
      </c>
      <c r="I7138" s="545">
        <v>51</v>
      </c>
      <c r="J7138" s="545">
        <v>82.523809523809518</v>
      </c>
    </row>
    <row r="7139" spans="1:10">
      <c r="A7139" s="441">
        <v>4482</v>
      </c>
      <c r="B7139" s="441" t="s">
        <v>5944</v>
      </c>
      <c r="C7139" s="545">
        <v>40.333333333333329</v>
      </c>
      <c r="D7139" s="545">
        <v>22.333333333333336</v>
      </c>
      <c r="E7139" s="545">
        <v>11.333333333333334</v>
      </c>
      <c r="F7139" s="545">
        <v>33.619047619047613</v>
      </c>
      <c r="G7139" s="545">
        <v>21.85</v>
      </c>
      <c r="H7139" s="545">
        <v>6.333333333333333</v>
      </c>
      <c r="I7139" s="545">
        <v>7.666666666666667</v>
      </c>
      <c r="J7139" s="545">
        <v>17.607142857142858</v>
      </c>
    </row>
    <row r="7140" spans="1:10">
      <c r="A7140" s="441">
        <v>4485</v>
      </c>
      <c r="B7140" s="441" t="s">
        <v>5944</v>
      </c>
      <c r="C7140" s="545">
        <v>38</v>
      </c>
      <c r="D7140" s="545">
        <v>20.666666666666668</v>
      </c>
      <c r="E7140" s="545">
        <v>9.6666666666666679</v>
      </c>
      <c r="F7140" s="545">
        <v>31.476190476190474</v>
      </c>
      <c r="G7140" s="545">
        <v>20.9</v>
      </c>
      <c r="H7140" s="545">
        <v>10</v>
      </c>
      <c r="I7140" s="545">
        <v>4.333333333333333</v>
      </c>
      <c r="J7140" s="545">
        <v>16.976190476190474</v>
      </c>
    </row>
    <row r="7141" spans="1:10">
      <c r="A7141" s="441">
        <v>2766</v>
      </c>
      <c r="B7141" s="441" t="s">
        <v>5945</v>
      </c>
      <c r="C7141" s="545">
        <v>18.5</v>
      </c>
      <c r="D7141" s="545">
        <v>5.666666666666667</v>
      </c>
      <c r="E7141" s="545">
        <v>6.6666666666666661</v>
      </c>
      <c r="F7141" s="545">
        <v>14.976190476190478</v>
      </c>
      <c r="G7141" s="545">
        <v>12</v>
      </c>
      <c r="H7141" s="545">
        <v>4.666666666666667</v>
      </c>
      <c r="I7141" s="545">
        <v>3</v>
      </c>
      <c r="J7141" s="545">
        <v>9.6666666666666679</v>
      </c>
    </row>
    <row r="7142" spans="1:10">
      <c r="A7142" s="441">
        <v>11456</v>
      </c>
      <c r="B7142" s="441" t="s">
        <v>5946</v>
      </c>
      <c r="C7142" s="545">
        <v>11</v>
      </c>
      <c r="D7142" s="545">
        <v>2.3333333333333335</v>
      </c>
      <c r="E7142" s="545">
        <v>1.6666666666666665</v>
      </c>
      <c r="F7142" s="545">
        <v>8.4285714285714288</v>
      </c>
      <c r="G7142" s="545">
        <v>8.0500000000000007</v>
      </c>
      <c r="H7142" s="545">
        <v>3</v>
      </c>
      <c r="I7142" s="545">
        <v>2.3333333333333335</v>
      </c>
      <c r="J7142" s="545">
        <v>6.5119047619047619</v>
      </c>
    </row>
    <row r="7143" spans="1:10">
      <c r="A7143" s="441">
        <v>10374</v>
      </c>
      <c r="B7143" s="441" t="s">
        <v>5947</v>
      </c>
      <c r="C7143" s="545">
        <v>1.6666666666666667</v>
      </c>
      <c r="D7143" s="545">
        <v>3</v>
      </c>
      <c r="E7143" s="545">
        <v>0</v>
      </c>
      <c r="F7143" s="545">
        <v>1.6190476190476191</v>
      </c>
      <c r="G7143" s="545">
        <v>4.75</v>
      </c>
      <c r="H7143" s="545">
        <v>5</v>
      </c>
      <c r="I7143" s="545">
        <v>2</v>
      </c>
      <c r="J7143" s="545">
        <v>4.3928571428571432</v>
      </c>
    </row>
    <row r="7144" spans="1:10">
      <c r="A7144" s="441">
        <v>10375</v>
      </c>
      <c r="B7144" s="441" t="s">
        <v>5947</v>
      </c>
      <c r="C7144" s="545">
        <v>2</v>
      </c>
      <c r="D7144" s="545">
        <v>1</v>
      </c>
      <c r="E7144" s="545">
        <v>0.66666666666666663</v>
      </c>
      <c r="F7144" s="545">
        <v>1.6666666666666665</v>
      </c>
      <c r="G7144" s="545">
        <v>2.65</v>
      </c>
      <c r="H7144" s="545">
        <v>3.3333333333333335</v>
      </c>
      <c r="I7144" s="545">
        <v>1.6666666666666667</v>
      </c>
      <c r="J7144" s="545">
        <v>2.6071428571428572</v>
      </c>
    </row>
    <row r="7145" spans="1:10">
      <c r="A7145" s="441">
        <v>10385</v>
      </c>
      <c r="B7145" s="441" t="s">
        <v>5947</v>
      </c>
      <c r="C7145" s="545">
        <v>15.833333333333334</v>
      </c>
      <c r="D7145" s="545">
        <v>7</v>
      </c>
      <c r="E7145" s="545">
        <v>9</v>
      </c>
      <c r="F7145" s="545">
        <v>13.595238095238097</v>
      </c>
      <c r="G7145" s="545">
        <v>9.75</v>
      </c>
      <c r="H7145" s="545">
        <v>8.3333333333333339</v>
      </c>
      <c r="I7145" s="545">
        <v>8.3333333333333339</v>
      </c>
      <c r="J7145" s="545">
        <v>9.3452380952380967</v>
      </c>
    </row>
    <row r="7146" spans="1:10">
      <c r="A7146" s="441">
        <v>4959</v>
      </c>
      <c r="B7146" s="441" t="s">
        <v>5948</v>
      </c>
      <c r="C7146" s="545">
        <v>22.5</v>
      </c>
      <c r="D7146" s="545">
        <v>10.666666666666668</v>
      </c>
      <c r="E7146" s="545">
        <v>11.333333333333334</v>
      </c>
      <c r="F7146" s="545">
        <v>19.214285714285715</v>
      </c>
      <c r="G7146" s="545">
        <v>14.65</v>
      </c>
      <c r="H7146" s="545">
        <v>8.6666666666666661</v>
      </c>
      <c r="I7146" s="545">
        <v>8.6666666666666661</v>
      </c>
      <c r="J7146" s="545">
        <v>12.940476190476192</v>
      </c>
    </row>
    <row r="7147" spans="1:10">
      <c r="A7147" s="441">
        <v>4964</v>
      </c>
      <c r="B7147" s="441" t="s">
        <v>5948</v>
      </c>
      <c r="C7147" s="545">
        <v>28.333333333333336</v>
      </c>
      <c r="D7147" s="545">
        <v>10.666666666666666</v>
      </c>
      <c r="E7147" s="545">
        <v>9</v>
      </c>
      <c r="F7147" s="545">
        <v>23.047619047619047</v>
      </c>
      <c r="G7147" s="545">
        <v>13.6</v>
      </c>
      <c r="H7147" s="545">
        <v>9.6666666666666661</v>
      </c>
      <c r="I7147" s="545">
        <v>7.333333333333333</v>
      </c>
      <c r="J7147" s="545">
        <v>12.142857142857142</v>
      </c>
    </row>
    <row r="7148" spans="1:10">
      <c r="A7148" s="441">
        <v>2767</v>
      </c>
      <c r="B7148" s="441" t="s">
        <v>5949</v>
      </c>
      <c r="C7148" s="545">
        <v>11.166666666666666</v>
      </c>
      <c r="D7148" s="545">
        <v>8.6666666666666679</v>
      </c>
      <c r="E7148" s="545">
        <v>8</v>
      </c>
      <c r="F7148" s="545">
        <v>10.357142857142858</v>
      </c>
      <c r="G7148" s="545">
        <v>9.3000000000000007</v>
      </c>
      <c r="H7148" s="545">
        <v>3.3333333333333335</v>
      </c>
      <c r="I7148" s="545">
        <v>4</v>
      </c>
      <c r="J7148" s="545">
        <v>7.6904761904761907</v>
      </c>
    </row>
    <row r="7149" spans="1:10">
      <c r="A7149" s="441">
        <v>2795</v>
      </c>
      <c r="B7149" s="441" t="s">
        <v>5949</v>
      </c>
      <c r="C7149" s="545">
        <v>12.166666666666668</v>
      </c>
      <c r="D7149" s="545">
        <v>9</v>
      </c>
      <c r="E7149" s="545">
        <v>9</v>
      </c>
      <c r="F7149" s="545">
        <v>11.261904761904763</v>
      </c>
      <c r="G7149" s="545">
        <v>9.6999999999999993</v>
      </c>
      <c r="H7149" s="545">
        <v>5</v>
      </c>
      <c r="I7149" s="545">
        <v>4</v>
      </c>
      <c r="J7149" s="545">
        <v>8.2142857142857135</v>
      </c>
    </row>
    <row r="7150" spans="1:10">
      <c r="A7150" s="441">
        <v>2395</v>
      </c>
      <c r="B7150" s="441" t="s">
        <v>5950</v>
      </c>
      <c r="C7150" s="545">
        <v>21.833333333333332</v>
      </c>
      <c r="D7150" s="545">
        <v>10.333333333333332</v>
      </c>
      <c r="E7150" s="545">
        <v>7.3333333333333339</v>
      </c>
      <c r="F7150" s="545">
        <v>18.119047619047617</v>
      </c>
      <c r="G7150" s="545">
        <v>19.55</v>
      </c>
      <c r="H7150" s="545">
        <v>4.333333333333333</v>
      </c>
      <c r="I7150" s="545">
        <v>1</v>
      </c>
      <c r="J7150" s="545">
        <v>14.726190476190476</v>
      </c>
    </row>
    <row r="7151" spans="1:10">
      <c r="A7151" s="441">
        <v>10376</v>
      </c>
      <c r="B7151" s="441" t="s">
        <v>5951</v>
      </c>
      <c r="C7151" s="545">
        <v>18.666666666666668</v>
      </c>
      <c r="D7151" s="545">
        <v>24</v>
      </c>
      <c r="E7151" s="545">
        <v>13.666666666666666</v>
      </c>
      <c r="F7151" s="545">
        <v>18.714285714285715</v>
      </c>
      <c r="G7151" s="545">
        <v>10.15</v>
      </c>
      <c r="H7151" s="545">
        <v>5.333333333333333</v>
      </c>
      <c r="I7151" s="545">
        <v>4</v>
      </c>
      <c r="J7151" s="545">
        <v>8.5833333333333339</v>
      </c>
    </row>
    <row r="7152" spans="1:10">
      <c r="A7152" s="441">
        <v>10377</v>
      </c>
      <c r="B7152" s="441" t="s">
        <v>5951</v>
      </c>
      <c r="C7152" s="545">
        <v>13.333333333333332</v>
      </c>
      <c r="D7152" s="545">
        <v>13.666666666666668</v>
      </c>
      <c r="E7152" s="545">
        <v>9.3333333333333339</v>
      </c>
      <c r="F7152" s="545">
        <v>12.809523809523808</v>
      </c>
      <c r="G7152" s="545">
        <v>2.0499999999999998</v>
      </c>
      <c r="H7152" s="545">
        <v>0.33333333333333331</v>
      </c>
      <c r="I7152" s="545">
        <v>2.3333333333333335</v>
      </c>
      <c r="J7152" s="545">
        <v>1.8452380952380953</v>
      </c>
    </row>
    <row r="7153" spans="1:10">
      <c r="A7153" s="441">
        <v>10386</v>
      </c>
      <c r="B7153" s="441" t="s">
        <v>5951</v>
      </c>
      <c r="C7153" s="545">
        <v>23.666666666666668</v>
      </c>
      <c r="D7153" s="545">
        <v>18.333333333333332</v>
      </c>
      <c r="E7153" s="545">
        <v>14</v>
      </c>
      <c r="F7153" s="545">
        <v>21.523809523809526</v>
      </c>
      <c r="G7153" s="545">
        <v>12.75</v>
      </c>
      <c r="H7153" s="545">
        <v>12.333333333333334</v>
      </c>
      <c r="I7153" s="545">
        <v>6.666666666666667</v>
      </c>
      <c r="J7153" s="545">
        <v>11.821428571428571</v>
      </c>
    </row>
    <row r="7154" spans="1:10">
      <c r="A7154" s="441">
        <v>4483</v>
      </c>
      <c r="B7154" s="441" t="s">
        <v>5952</v>
      </c>
      <c r="C7154" s="545">
        <v>47.666666666666671</v>
      </c>
      <c r="D7154" s="545">
        <v>27.666666666666668</v>
      </c>
      <c r="E7154" s="545">
        <v>22.333333333333332</v>
      </c>
      <c r="F7154" s="545">
        <v>41.190476190476197</v>
      </c>
      <c r="G7154" s="545">
        <v>37</v>
      </c>
      <c r="H7154" s="545">
        <v>20</v>
      </c>
      <c r="I7154" s="545">
        <v>12.666666666666666</v>
      </c>
      <c r="J7154" s="545">
        <v>31.095238095238095</v>
      </c>
    </row>
    <row r="7155" spans="1:10">
      <c r="A7155" s="441">
        <v>4484</v>
      </c>
      <c r="B7155" s="441" t="s">
        <v>5952</v>
      </c>
      <c r="C7155" s="545">
        <v>45.333333333333329</v>
      </c>
      <c r="D7155" s="545">
        <v>33.333333333333336</v>
      </c>
      <c r="E7155" s="545">
        <v>24</v>
      </c>
      <c r="F7155" s="545">
        <v>40.571428571428562</v>
      </c>
      <c r="G7155" s="545">
        <v>34.15</v>
      </c>
      <c r="H7155" s="545">
        <v>16.333333333333332</v>
      </c>
      <c r="I7155" s="545">
        <v>13.333333333333334</v>
      </c>
      <c r="J7155" s="545">
        <v>28.630952380952383</v>
      </c>
    </row>
    <row r="7156" spans="1:10">
      <c r="A7156" s="441">
        <v>2768</v>
      </c>
      <c r="B7156" s="441" t="s">
        <v>5953</v>
      </c>
      <c r="C7156" s="545">
        <v>6.333333333333333</v>
      </c>
      <c r="D7156" s="545">
        <v>4.333333333333333</v>
      </c>
      <c r="E7156" s="545">
        <v>2.6666666666666665</v>
      </c>
      <c r="F7156" s="545">
        <v>5.5238095238095237</v>
      </c>
      <c r="G7156" s="545">
        <v>5.0999999999999996</v>
      </c>
      <c r="H7156" s="545">
        <v>3.3333333333333335</v>
      </c>
      <c r="I7156" s="545">
        <v>4.333333333333333</v>
      </c>
      <c r="J7156" s="545">
        <v>4.7380952380952381</v>
      </c>
    </row>
    <row r="7157" spans="1:10">
      <c r="A7157" s="441">
        <v>2794</v>
      </c>
      <c r="B7157" s="441" t="s">
        <v>5953</v>
      </c>
      <c r="C7157" s="545">
        <v>6.666666666666667</v>
      </c>
      <c r="D7157" s="545">
        <v>5</v>
      </c>
      <c r="E7157" s="545">
        <v>4</v>
      </c>
      <c r="F7157" s="545">
        <v>6.0476190476190483</v>
      </c>
      <c r="G7157" s="545">
        <v>5.5</v>
      </c>
      <c r="H7157" s="545">
        <v>5</v>
      </c>
      <c r="I7157" s="545">
        <v>1</v>
      </c>
      <c r="J7157" s="545">
        <v>4.7857142857142856</v>
      </c>
    </row>
    <row r="7158" spans="1:10">
      <c r="A7158" s="441">
        <v>7091</v>
      </c>
      <c r="B7158" s="441" t="s">
        <v>5954</v>
      </c>
      <c r="C7158" s="545">
        <v>6.833333333333333</v>
      </c>
      <c r="D7158" s="545">
        <v>11</v>
      </c>
      <c r="E7158" s="545">
        <v>11.666666666666668</v>
      </c>
      <c r="F7158" s="545">
        <v>8.1190476190476186</v>
      </c>
      <c r="G7158" s="545">
        <v>6.35</v>
      </c>
      <c r="H7158" s="545">
        <v>4.666666666666667</v>
      </c>
      <c r="I7158" s="545">
        <v>4.333333333333333</v>
      </c>
      <c r="J7158" s="545">
        <v>5.8214285714285712</v>
      </c>
    </row>
    <row r="7159" spans="1:10">
      <c r="A7159" s="441">
        <v>2765</v>
      </c>
      <c r="B7159" s="441" t="s">
        <v>5955</v>
      </c>
      <c r="C7159" s="545">
        <v>8</v>
      </c>
      <c r="D7159" s="545">
        <v>4.3333333333333339</v>
      </c>
      <c r="E7159" s="545">
        <v>1.6666666666666665</v>
      </c>
      <c r="F7159" s="545">
        <v>6.5714285714285712</v>
      </c>
      <c r="G7159" s="545">
        <v>13.45</v>
      </c>
      <c r="H7159" s="545">
        <v>2</v>
      </c>
      <c r="I7159" s="545">
        <v>2</v>
      </c>
      <c r="J7159" s="545">
        <v>10.178571428571429</v>
      </c>
    </row>
    <row r="7160" spans="1:10">
      <c r="A7160" s="441">
        <v>2796</v>
      </c>
      <c r="B7160" s="441" t="s">
        <v>5955</v>
      </c>
      <c r="C7160" s="545">
        <v>23</v>
      </c>
      <c r="D7160" s="545">
        <v>5.6666666666666661</v>
      </c>
      <c r="E7160" s="545">
        <v>8.3333333333333321</v>
      </c>
      <c r="F7160" s="545">
        <v>18.428571428571427</v>
      </c>
      <c r="G7160" s="545">
        <v>15.25</v>
      </c>
      <c r="H7160" s="545">
        <v>6.333333333333333</v>
      </c>
      <c r="I7160" s="545">
        <v>4.666666666666667</v>
      </c>
      <c r="J7160" s="545">
        <v>12.464285714285714</v>
      </c>
    </row>
    <row r="7161" spans="1:10">
      <c r="A7161" s="441">
        <v>2694</v>
      </c>
      <c r="B7161" s="441" t="s">
        <v>5956</v>
      </c>
      <c r="C7161" s="545">
        <v>37.166666666666664</v>
      </c>
      <c r="D7161" s="545">
        <v>31</v>
      </c>
      <c r="E7161" s="545">
        <v>20.666666666666668</v>
      </c>
      <c r="F7161" s="545">
        <v>33.928571428571423</v>
      </c>
      <c r="G7161" s="545">
        <v>25.15</v>
      </c>
      <c r="H7161" s="545">
        <v>20</v>
      </c>
      <c r="I7161" s="545">
        <v>11.666666666666666</v>
      </c>
      <c r="J7161" s="545">
        <v>22.488095238095237</v>
      </c>
    </row>
    <row r="7162" spans="1:10">
      <c r="A7162" s="441">
        <v>2803</v>
      </c>
      <c r="B7162" s="441" t="s">
        <v>5956</v>
      </c>
      <c r="C7162" s="545">
        <v>38.5</v>
      </c>
      <c r="D7162" s="545">
        <v>24.333333333333336</v>
      </c>
      <c r="E7162" s="545">
        <v>25.666666666666668</v>
      </c>
      <c r="F7162" s="545">
        <v>34.642857142857146</v>
      </c>
      <c r="G7162" s="545">
        <v>17.8</v>
      </c>
      <c r="H7162" s="545">
        <v>20</v>
      </c>
      <c r="I7162" s="545">
        <v>9</v>
      </c>
      <c r="J7162" s="545">
        <v>16.857142857142858</v>
      </c>
    </row>
    <row r="7163" spans="1:10">
      <c r="A7163" s="441">
        <v>11538</v>
      </c>
      <c r="B7163" s="441" t="s">
        <v>5957</v>
      </c>
      <c r="C7163" s="545">
        <v>7.833333333333333</v>
      </c>
      <c r="D7163" s="545">
        <v>6</v>
      </c>
      <c r="E7163" s="545">
        <v>5.666666666666667</v>
      </c>
      <c r="F7163" s="545">
        <v>7.261904761904761</v>
      </c>
      <c r="G7163" s="545">
        <v>6.35</v>
      </c>
      <c r="H7163" s="545">
        <v>2.6666666666666665</v>
      </c>
      <c r="I7163" s="545">
        <v>2</v>
      </c>
      <c r="J7163" s="545">
        <v>5.2023809523809517</v>
      </c>
    </row>
    <row r="7164" spans="1:10">
      <c r="A7164" s="441">
        <v>4476</v>
      </c>
      <c r="B7164" s="441" t="s">
        <v>5958</v>
      </c>
      <c r="C7164" s="545">
        <v>43.333333333333336</v>
      </c>
      <c r="D7164" s="545">
        <v>26.333333333333336</v>
      </c>
      <c r="E7164" s="545">
        <v>24.333333333333332</v>
      </c>
      <c r="F7164" s="545">
        <v>38.190476190476197</v>
      </c>
      <c r="G7164" s="545">
        <v>21.55</v>
      </c>
      <c r="H7164" s="545">
        <v>16.333333333333332</v>
      </c>
      <c r="I7164" s="545">
        <v>12.666666666666666</v>
      </c>
      <c r="J7164" s="545">
        <v>19.535714285714285</v>
      </c>
    </row>
    <row r="7165" spans="1:10">
      <c r="A7165" s="441">
        <v>4479</v>
      </c>
      <c r="B7165" s="441" t="s">
        <v>5958</v>
      </c>
      <c r="C7165" s="545">
        <v>35.333333333333336</v>
      </c>
      <c r="D7165" s="545">
        <v>27.666666666666668</v>
      </c>
      <c r="E7165" s="545">
        <v>18</v>
      </c>
      <c r="F7165" s="545">
        <v>31.761904761904763</v>
      </c>
      <c r="G7165" s="545">
        <v>17.75</v>
      </c>
      <c r="H7165" s="545">
        <v>18.666666666666668</v>
      </c>
      <c r="I7165" s="545">
        <v>9</v>
      </c>
      <c r="J7165" s="545">
        <v>16.630952380952383</v>
      </c>
    </row>
    <row r="7166" spans="1:10">
      <c r="A7166" s="441">
        <v>10152</v>
      </c>
      <c r="B7166" s="441" t="s">
        <v>5959</v>
      </c>
      <c r="C7166" s="545" t="e">
        <v>#N/A</v>
      </c>
      <c r="D7166" s="545" t="e">
        <v>#N/A</v>
      </c>
      <c r="E7166" s="545" t="e">
        <v>#N/A</v>
      </c>
      <c r="F7166" s="545" t="e">
        <v>#N/A</v>
      </c>
      <c r="G7166" s="545">
        <v>25.95</v>
      </c>
      <c r="H7166" s="545">
        <v>10.333333333333334</v>
      </c>
      <c r="I7166" s="545">
        <v>9</v>
      </c>
      <c r="J7166" s="545">
        <v>21.297619047619047</v>
      </c>
    </row>
    <row r="7167" spans="1:10">
      <c r="A7167" s="441">
        <v>2695</v>
      </c>
      <c r="B7167" s="441" t="s">
        <v>5960</v>
      </c>
      <c r="C7167" s="545">
        <v>45.833333333333329</v>
      </c>
      <c r="D7167" s="545">
        <v>15</v>
      </c>
      <c r="E7167" s="545">
        <v>8.3333333333333339</v>
      </c>
      <c r="F7167" s="545">
        <v>36.071428571428569</v>
      </c>
      <c r="G7167" s="545">
        <v>12.1</v>
      </c>
      <c r="H7167" s="545">
        <v>7</v>
      </c>
      <c r="I7167" s="545">
        <v>6.666666666666667</v>
      </c>
      <c r="J7167" s="545">
        <v>10.595238095238097</v>
      </c>
    </row>
    <row r="7168" spans="1:10">
      <c r="A7168" s="441">
        <v>2802</v>
      </c>
      <c r="B7168" s="441" t="s">
        <v>5960</v>
      </c>
      <c r="C7168" s="545">
        <v>55.333333333333329</v>
      </c>
      <c r="D7168" s="545">
        <v>11.666666666666668</v>
      </c>
      <c r="E7168" s="545">
        <v>8</v>
      </c>
      <c r="F7168" s="545">
        <v>42.333333333333329</v>
      </c>
      <c r="G7168" s="545">
        <v>10.4</v>
      </c>
      <c r="H7168" s="545">
        <v>6</v>
      </c>
      <c r="I7168" s="545">
        <v>2.3333333333333335</v>
      </c>
      <c r="J7168" s="545">
        <v>8.6190476190476186</v>
      </c>
    </row>
    <row r="7169" spans="1:10">
      <c r="A7169" s="441">
        <v>4957</v>
      </c>
      <c r="B7169" s="441" t="s">
        <v>5961</v>
      </c>
      <c r="C7169" s="545">
        <v>15.5</v>
      </c>
      <c r="D7169" s="545">
        <v>10.333333333333334</v>
      </c>
      <c r="E7169" s="545">
        <v>4.666666666666667</v>
      </c>
      <c r="F7169" s="545">
        <v>13.214285714285714</v>
      </c>
      <c r="G7169" s="545">
        <v>8.3000000000000007</v>
      </c>
      <c r="H7169" s="545">
        <v>7</v>
      </c>
      <c r="I7169" s="545">
        <v>3.3333333333333335</v>
      </c>
      <c r="J7169" s="545">
        <v>7.4047619047619051</v>
      </c>
    </row>
    <row r="7170" spans="1:10">
      <c r="A7170" s="441">
        <v>4967</v>
      </c>
      <c r="B7170" s="441" t="s">
        <v>5961</v>
      </c>
      <c r="C7170" s="545">
        <v>19.333333333333336</v>
      </c>
      <c r="D7170" s="545">
        <v>15.666666666666666</v>
      </c>
      <c r="E7170" s="545">
        <v>5.333333333333333</v>
      </c>
      <c r="F7170" s="545">
        <v>16.809523809523814</v>
      </c>
      <c r="G7170" s="545">
        <v>13.55</v>
      </c>
      <c r="H7170" s="545">
        <v>8.3333333333333339</v>
      </c>
      <c r="I7170" s="545">
        <v>5</v>
      </c>
      <c r="J7170" s="545">
        <v>11.583333333333332</v>
      </c>
    </row>
    <row r="7171" spans="1:10">
      <c r="A7171" s="441">
        <v>4968</v>
      </c>
      <c r="B7171" s="441" t="s">
        <v>5961</v>
      </c>
      <c r="C7171" s="545">
        <v>3.1666666666666665</v>
      </c>
      <c r="D7171" s="545">
        <v>4.333333333333333</v>
      </c>
      <c r="E7171" s="545">
        <v>0.66666666666666663</v>
      </c>
      <c r="F7171" s="545">
        <v>2.9761904761904758</v>
      </c>
      <c r="G7171" s="545">
        <v>23.7</v>
      </c>
      <c r="H7171" s="545">
        <v>2</v>
      </c>
      <c r="I7171" s="545">
        <v>2.3333333333333335</v>
      </c>
      <c r="J7171" s="545">
        <v>17.547619047619047</v>
      </c>
    </row>
    <row r="7172" spans="1:10">
      <c r="A7172" s="441">
        <v>11458</v>
      </c>
      <c r="B7172" s="441" t="s">
        <v>5962</v>
      </c>
      <c r="C7172" s="545">
        <v>30.333333333333336</v>
      </c>
      <c r="D7172" s="545">
        <v>19.333333333333332</v>
      </c>
      <c r="E7172" s="545">
        <v>20</v>
      </c>
      <c r="F7172" s="545">
        <v>27.285714285714288</v>
      </c>
      <c r="G7172" s="545">
        <v>19.8</v>
      </c>
      <c r="H7172" s="545">
        <v>12.333333333333334</v>
      </c>
      <c r="I7172" s="545">
        <v>8.6666666666666661</v>
      </c>
      <c r="J7172" s="545">
        <v>17.142857142857142</v>
      </c>
    </row>
    <row r="7173" spans="1:10">
      <c r="A7173" s="441">
        <v>2797</v>
      </c>
      <c r="B7173" s="441" t="s">
        <v>5963</v>
      </c>
      <c r="C7173" s="545">
        <v>27.5</v>
      </c>
      <c r="D7173" s="545">
        <v>17.666666666666664</v>
      </c>
      <c r="E7173" s="545">
        <v>12.333333333333332</v>
      </c>
      <c r="F7173" s="545">
        <v>23.928571428571427</v>
      </c>
      <c r="G7173" s="545">
        <v>7.8</v>
      </c>
      <c r="H7173" s="545">
        <v>5.666666666666667</v>
      </c>
      <c r="I7173" s="545">
        <v>10.666666666666666</v>
      </c>
      <c r="J7173" s="545">
        <v>7.9047619047619042</v>
      </c>
    </row>
    <row r="7174" spans="1:10">
      <c r="A7174" s="441">
        <v>2786</v>
      </c>
      <c r="B7174" s="441" t="s">
        <v>5964</v>
      </c>
      <c r="C7174" s="545">
        <v>17.5</v>
      </c>
      <c r="D7174" s="545">
        <v>9</v>
      </c>
      <c r="E7174" s="545">
        <v>3.6666666666666665</v>
      </c>
      <c r="F7174" s="545">
        <v>14.30952380952381</v>
      </c>
      <c r="G7174" s="545">
        <v>5.45</v>
      </c>
      <c r="H7174" s="545">
        <v>2.3333333333333335</v>
      </c>
      <c r="I7174" s="545">
        <v>1.3333333333333333</v>
      </c>
      <c r="J7174" s="545">
        <v>4.4166666666666661</v>
      </c>
    </row>
    <row r="7175" spans="1:10">
      <c r="A7175" s="441">
        <v>8448</v>
      </c>
      <c r="B7175" s="441" t="s">
        <v>5965</v>
      </c>
      <c r="C7175" s="545">
        <v>8.1666666666666679</v>
      </c>
      <c r="D7175" s="545">
        <v>9</v>
      </c>
      <c r="E7175" s="545">
        <v>4</v>
      </c>
      <c r="F7175" s="545">
        <v>7.6904761904761916</v>
      </c>
      <c r="G7175" s="545">
        <v>6</v>
      </c>
      <c r="H7175" s="545">
        <v>1.6666666666666667</v>
      </c>
      <c r="I7175" s="545">
        <v>1.6666666666666667</v>
      </c>
      <c r="J7175" s="545">
        <v>4.7619047619047619</v>
      </c>
    </row>
    <row r="7176" spans="1:10">
      <c r="A7176" s="441">
        <v>1311</v>
      </c>
      <c r="B7176" s="441" t="s">
        <v>5966</v>
      </c>
      <c r="C7176" s="545">
        <v>11.666666666666666</v>
      </c>
      <c r="D7176" s="545">
        <v>9</v>
      </c>
      <c r="E7176" s="545">
        <v>3.6666666666666665</v>
      </c>
      <c r="F7176" s="545">
        <v>10.142857142857142</v>
      </c>
      <c r="G7176" s="545">
        <v>6.15</v>
      </c>
      <c r="H7176" s="545">
        <v>3.3333333333333335</v>
      </c>
      <c r="I7176" s="545">
        <v>1.3333333333333333</v>
      </c>
      <c r="J7176" s="545">
        <v>5.0595238095238102</v>
      </c>
    </row>
    <row r="7177" spans="1:10">
      <c r="A7177" s="441">
        <v>2784</v>
      </c>
      <c r="B7177" s="441" t="s">
        <v>5967</v>
      </c>
      <c r="C7177" s="545">
        <v>15.333333333333334</v>
      </c>
      <c r="D7177" s="545">
        <v>8.3333333333333339</v>
      </c>
      <c r="E7177" s="545">
        <v>6</v>
      </c>
      <c r="F7177" s="545">
        <v>13</v>
      </c>
      <c r="G7177" s="545">
        <v>6.8</v>
      </c>
      <c r="H7177" s="545">
        <v>2</v>
      </c>
      <c r="I7177" s="545">
        <v>2.3333333333333335</v>
      </c>
      <c r="J7177" s="545">
        <v>5.4761904761904763</v>
      </c>
    </row>
    <row r="7178" spans="1:10">
      <c r="A7178" s="441">
        <v>11448</v>
      </c>
      <c r="B7178" s="441" t="s">
        <v>5968</v>
      </c>
      <c r="C7178" s="545">
        <v>6.833333333333333</v>
      </c>
      <c r="D7178" s="545">
        <v>4.333333333333333</v>
      </c>
      <c r="E7178" s="545">
        <v>4.3333333333333339</v>
      </c>
      <c r="F7178" s="545">
        <v>6.1190476190476195</v>
      </c>
      <c r="G7178" s="545">
        <v>6.55</v>
      </c>
      <c r="H7178" s="545">
        <v>4.333333333333333</v>
      </c>
      <c r="I7178" s="545">
        <v>3</v>
      </c>
      <c r="J7178" s="545">
        <v>5.7261904761904763</v>
      </c>
    </row>
    <row r="7179" spans="1:10">
      <c r="A7179" s="441">
        <v>4958</v>
      </c>
      <c r="B7179" s="441" t="s">
        <v>5969</v>
      </c>
      <c r="C7179" s="545">
        <v>14.333333333333332</v>
      </c>
      <c r="D7179" s="545">
        <v>7.6666666666666661</v>
      </c>
      <c r="E7179" s="545">
        <v>4</v>
      </c>
      <c r="F7179" s="545">
        <v>11.904761904761903</v>
      </c>
      <c r="G7179" s="545">
        <v>8.1</v>
      </c>
      <c r="H7179" s="545">
        <v>4.333333333333333</v>
      </c>
      <c r="I7179" s="545">
        <v>4.666666666666667</v>
      </c>
      <c r="J7179" s="545">
        <v>7.0714285714285712</v>
      </c>
    </row>
    <row r="7180" spans="1:10">
      <c r="A7180" s="441">
        <v>4965</v>
      </c>
      <c r="B7180" s="441" t="s">
        <v>5969</v>
      </c>
      <c r="C7180" s="545">
        <v>4.5</v>
      </c>
      <c r="D7180" s="545">
        <v>2.666666666666667</v>
      </c>
      <c r="E7180" s="545">
        <v>3</v>
      </c>
      <c r="F7180" s="545">
        <v>4.0238095238095237</v>
      </c>
      <c r="G7180" s="545">
        <v>5.8</v>
      </c>
      <c r="H7180" s="545">
        <v>3.6666666666666665</v>
      </c>
      <c r="I7180" s="545">
        <v>1</v>
      </c>
      <c r="J7180" s="545">
        <v>4.8095238095238093</v>
      </c>
    </row>
    <row r="7181" spans="1:10">
      <c r="A7181" s="441">
        <v>1312</v>
      </c>
      <c r="B7181" s="441" t="s">
        <v>5970</v>
      </c>
      <c r="C7181" s="545">
        <v>7</v>
      </c>
      <c r="D7181" s="545">
        <v>8.3333333333333321</v>
      </c>
      <c r="E7181" s="545">
        <v>2</v>
      </c>
      <c r="F7181" s="545">
        <v>6.4761904761904754</v>
      </c>
      <c r="G7181" s="545">
        <v>3.6</v>
      </c>
      <c r="H7181" s="545">
        <v>2</v>
      </c>
      <c r="I7181" s="545">
        <v>2</v>
      </c>
      <c r="J7181" s="545">
        <v>3.1428571428571428</v>
      </c>
    </row>
    <row r="7182" spans="1:10">
      <c r="A7182" s="441">
        <v>2783</v>
      </c>
      <c r="B7182" s="441" t="s">
        <v>5970</v>
      </c>
      <c r="C7182" s="545">
        <v>1.5</v>
      </c>
      <c r="D7182" s="545">
        <v>3</v>
      </c>
      <c r="E7182" s="545">
        <v>0</v>
      </c>
      <c r="F7182" s="545">
        <v>1.5</v>
      </c>
      <c r="G7182" s="545">
        <v>4.3499999999999996</v>
      </c>
      <c r="H7182" s="545">
        <v>0</v>
      </c>
      <c r="I7182" s="545">
        <v>0</v>
      </c>
      <c r="J7182" s="545">
        <v>3.1071428571428572</v>
      </c>
    </row>
    <row r="7183" spans="1:10">
      <c r="A7183" s="441">
        <v>2801</v>
      </c>
      <c r="B7183" s="441" t="s">
        <v>5971</v>
      </c>
      <c r="C7183" s="545">
        <v>11.833333333333332</v>
      </c>
      <c r="D7183" s="545">
        <v>2.666666666666667</v>
      </c>
      <c r="E7183" s="545">
        <v>7.6666666666666661</v>
      </c>
      <c r="F7183" s="545">
        <v>9.928571428571427</v>
      </c>
      <c r="G7183" s="545">
        <v>23.9</v>
      </c>
      <c r="H7183" s="545">
        <v>2</v>
      </c>
      <c r="I7183" s="545">
        <v>4</v>
      </c>
      <c r="J7183" s="545">
        <v>17.928571428571427</v>
      </c>
    </row>
    <row r="7184" spans="1:10">
      <c r="A7184" s="441">
        <v>2770</v>
      </c>
      <c r="B7184" s="441" t="s">
        <v>5972</v>
      </c>
      <c r="C7184" s="545">
        <v>236.66666666666666</v>
      </c>
      <c r="D7184" s="545">
        <v>155.33333333333331</v>
      </c>
      <c r="E7184" s="545">
        <v>114.33333333333333</v>
      </c>
      <c r="F7184" s="545">
        <v>207.57142857142853</v>
      </c>
      <c r="G7184" s="545">
        <v>98.45</v>
      </c>
      <c r="H7184" s="545">
        <v>63</v>
      </c>
      <c r="I7184" s="545">
        <v>51.333333333333336</v>
      </c>
      <c r="J7184" s="545">
        <v>86.654761904761912</v>
      </c>
    </row>
    <row r="7185" spans="1:10">
      <c r="A7185" s="441">
        <v>2792</v>
      </c>
      <c r="B7185" s="441" t="s">
        <v>5972</v>
      </c>
      <c r="C7185" s="545">
        <v>190</v>
      </c>
      <c r="D7185" s="545">
        <v>141</v>
      </c>
      <c r="E7185" s="545">
        <v>105.33333333333333</v>
      </c>
      <c r="F7185" s="545">
        <v>170.9047619047619</v>
      </c>
      <c r="G7185" s="545">
        <v>84.85</v>
      </c>
      <c r="H7185" s="545">
        <v>50.666666666666664</v>
      </c>
      <c r="I7185" s="545">
        <v>44.666666666666664</v>
      </c>
      <c r="J7185" s="545">
        <v>74.226190476190482</v>
      </c>
    </row>
    <row r="7186" spans="1:10">
      <c r="A7186" s="441">
        <v>4961</v>
      </c>
      <c r="B7186" s="441" t="s">
        <v>5973</v>
      </c>
      <c r="C7186" s="545">
        <v>67.333333333333329</v>
      </c>
      <c r="D7186" s="545">
        <v>15.666666666666666</v>
      </c>
      <c r="E7186" s="545">
        <v>11.333333333333332</v>
      </c>
      <c r="F7186" s="545">
        <v>51.952380952380949</v>
      </c>
      <c r="G7186" s="545">
        <v>47.4</v>
      </c>
      <c r="H7186" s="545">
        <v>11.333333333333334</v>
      </c>
      <c r="I7186" s="545">
        <v>9.6666666666666661</v>
      </c>
      <c r="J7186" s="545">
        <v>36.857142857142854</v>
      </c>
    </row>
    <row r="7187" spans="1:10">
      <c r="A7187" s="441">
        <v>4962</v>
      </c>
      <c r="B7187" s="441" t="s">
        <v>5973</v>
      </c>
      <c r="C7187" s="545">
        <v>64</v>
      </c>
      <c r="D7187" s="545">
        <v>10.333333333333332</v>
      </c>
      <c r="E7187" s="545">
        <v>11.333333333333332</v>
      </c>
      <c r="F7187" s="545">
        <v>48.809523809523803</v>
      </c>
      <c r="G7187" s="545">
        <v>47.45</v>
      </c>
      <c r="H7187" s="545">
        <v>8.3333333333333339</v>
      </c>
      <c r="I7187" s="545">
        <v>3.3333333333333335</v>
      </c>
      <c r="J7187" s="545">
        <v>35.55952380952381</v>
      </c>
    </row>
    <row r="7188" spans="1:10">
      <c r="A7188" s="441">
        <v>11449</v>
      </c>
      <c r="B7188" s="441" t="s">
        <v>5973</v>
      </c>
      <c r="C7188" s="545">
        <v>7.5</v>
      </c>
      <c r="D7188" s="545">
        <v>4.3333333333333339</v>
      </c>
      <c r="E7188" s="545">
        <v>3.666666666666667</v>
      </c>
      <c r="F7188" s="545">
        <v>6.5</v>
      </c>
      <c r="G7188" s="545">
        <v>5.05</v>
      </c>
      <c r="H7188" s="545">
        <v>2.6666666666666665</v>
      </c>
      <c r="I7188" s="545">
        <v>3.3333333333333335</v>
      </c>
      <c r="J7188" s="545">
        <v>4.4642857142857144</v>
      </c>
    </row>
    <row r="7189" spans="1:10">
      <c r="A7189" s="441">
        <v>4475</v>
      </c>
      <c r="B7189" s="441" t="s">
        <v>5974</v>
      </c>
      <c r="C7189" s="545">
        <v>326.5</v>
      </c>
      <c r="D7189" s="545">
        <v>204.66666666666669</v>
      </c>
      <c r="E7189" s="545">
        <v>146.66666666666669</v>
      </c>
      <c r="F7189" s="545">
        <v>283.40476190476193</v>
      </c>
      <c r="G7189" s="545">
        <v>150.85</v>
      </c>
      <c r="H7189" s="545">
        <v>96.333333333333329</v>
      </c>
      <c r="I7189" s="545">
        <v>72.666666666666671</v>
      </c>
      <c r="J7189" s="545">
        <v>131.89285714285714</v>
      </c>
    </row>
    <row r="7190" spans="1:10">
      <c r="A7190" s="441">
        <v>4480</v>
      </c>
      <c r="B7190" s="441" t="s">
        <v>5974</v>
      </c>
      <c r="C7190" s="545">
        <v>443.5</v>
      </c>
      <c r="D7190" s="545">
        <v>295.33333333333337</v>
      </c>
      <c r="E7190" s="545">
        <v>192.66666666666666</v>
      </c>
      <c r="F7190" s="545">
        <v>386.5</v>
      </c>
      <c r="G7190" s="545">
        <v>190.65</v>
      </c>
      <c r="H7190" s="545">
        <v>135.66666666666666</v>
      </c>
      <c r="I7190" s="545">
        <v>82</v>
      </c>
      <c r="J7190" s="545">
        <v>167.27380952380955</v>
      </c>
    </row>
    <row r="7191" spans="1:10">
      <c r="A7191" s="441">
        <v>2769</v>
      </c>
      <c r="B7191" s="441" t="s">
        <v>5975</v>
      </c>
      <c r="C7191" s="545">
        <v>10.666666666666666</v>
      </c>
      <c r="D7191" s="545">
        <v>5.3333333333333339</v>
      </c>
      <c r="E7191" s="545">
        <v>4.666666666666667</v>
      </c>
      <c r="F7191" s="545">
        <v>9.0476190476190474</v>
      </c>
      <c r="G7191" s="545">
        <v>8.1999999999999993</v>
      </c>
      <c r="H7191" s="545">
        <v>4.666666666666667</v>
      </c>
      <c r="I7191" s="545">
        <v>13</v>
      </c>
      <c r="J7191" s="545">
        <v>8.3809523809523814</v>
      </c>
    </row>
    <row r="7192" spans="1:10">
      <c r="A7192" s="441">
        <v>2793</v>
      </c>
      <c r="B7192" s="441" t="s">
        <v>5975</v>
      </c>
      <c r="C7192" s="545">
        <v>61.666666666666664</v>
      </c>
      <c r="D7192" s="545">
        <v>47.333333333333336</v>
      </c>
      <c r="E7192" s="545">
        <v>39.666666666666664</v>
      </c>
      <c r="F7192" s="545">
        <v>56.476190476190474</v>
      </c>
      <c r="G7192" s="545">
        <v>39.4</v>
      </c>
      <c r="H7192" s="545">
        <v>19.666666666666668</v>
      </c>
      <c r="I7192" s="545">
        <v>18.333333333333332</v>
      </c>
      <c r="J7192" s="545">
        <v>33.571428571428569</v>
      </c>
    </row>
    <row r="7193" spans="1:10">
      <c r="A7193" s="441">
        <v>2697</v>
      </c>
      <c r="B7193" s="441" t="s">
        <v>5976</v>
      </c>
      <c r="C7193" s="545">
        <v>9.1666666666666679</v>
      </c>
      <c r="D7193" s="545">
        <v>5</v>
      </c>
      <c r="E7193" s="545">
        <v>2</v>
      </c>
      <c r="F7193" s="545">
        <v>7.5476190476190492</v>
      </c>
      <c r="G7193" s="545">
        <v>9.4</v>
      </c>
      <c r="H7193" s="545">
        <v>4.666666666666667</v>
      </c>
      <c r="I7193" s="545">
        <v>4</v>
      </c>
      <c r="J7193" s="545">
        <v>7.9523809523809517</v>
      </c>
    </row>
    <row r="7194" spans="1:10">
      <c r="A7194" s="441">
        <v>2800</v>
      </c>
      <c r="B7194" s="441" t="s">
        <v>5976</v>
      </c>
      <c r="C7194" s="545">
        <v>10</v>
      </c>
      <c r="D7194" s="545">
        <v>3.666666666666667</v>
      </c>
      <c r="E7194" s="545">
        <v>2.6666666666666665</v>
      </c>
      <c r="F7194" s="545">
        <v>8.0476190476190474</v>
      </c>
      <c r="G7194" s="545">
        <v>7.35</v>
      </c>
      <c r="H7194" s="545">
        <v>6.333333333333333</v>
      </c>
      <c r="I7194" s="545">
        <v>3</v>
      </c>
      <c r="J7194" s="545">
        <v>6.5833333333333339</v>
      </c>
    </row>
    <row r="7195" spans="1:10">
      <c r="A7195" s="441">
        <v>2698</v>
      </c>
      <c r="B7195" s="441" t="s">
        <v>5977</v>
      </c>
      <c r="C7195" s="545">
        <v>124.16666666666666</v>
      </c>
      <c r="D7195" s="545">
        <v>84.333333333333343</v>
      </c>
      <c r="E7195" s="545">
        <v>59.333333333333329</v>
      </c>
      <c r="F7195" s="545">
        <v>109.21428571428571</v>
      </c>
      <c r="G7195" s="545">
        <v>52.25</v>
      </c>
      <c r="H7195" s="545">
        <v>36.333333333333336</v>
      </c>
      <c r="I7195" s="545">
        <v>26.333333333333332</v>
      </c>
      <c r="J7195" s="545">
        <v>46.273809523809518</v>
      </c>
    </row>
    <row r="7196" spans="1:10">
      <c r="A7196" s="441">
        <v>2799</v>
      </c>
      <c r="B7196" s="441" t="s">
        <v>5977</v>
      </c>
      <c r="C7196" s="545">
        <v>58.166666666666664</v>
      </c>
      <c r="D7196" s="545">
        <v>34</v>
      </c>
      <c r="E7196" s="545">
        <v>29.333333333333336</v>
      </c>
      <c r="F7196" s="545">
        <v>50.595238095238088</v>
      </c>
      <c r="G7196" s="545">
        <v>24.7</v>
      </c>
      <c r="H7196" s="545">
        <v>11.333333333333334</v>
      </c>
      <c r="I7196" s="545">
        <v>17.333333333333332</v>
      </c>
      <c r="J7196" s="545">
        <v>21.738095238095241</v>
      </c>
    </row>
    <row r="7197" spans="1:10">
      <c r="A7197" s="441">
        <v>90975</v>
      </c>
      <c r="B7197" s="441" t="s">
        <v>5977</v>
      </c>
      <c r="C7197" s="545">
        <v>21</v>
      </c>
      <c r="D7197" s="545">
        <v>15.333333333333334</v>
      </c>
      <c r="E7197" s="545">
        <v>10.333333333333332</v>
      </c>
      <c r="F7197" s="545">
        <v>18.666666666666664</v>
      </c>
      <c r="G7197" s="545">
        <v>7.1</v>
      </c>
      <c r="H7197" s="545">
        <v>8</v>
      </c>
      <c r="I7197" s="545">
        <v>3</v>
      </c>
      <c r="J7197" s="545">
        <v>6.6428571428571432</v>
      </c>
    </row>
    <row r="7198" spans="1:10">
      <c r="A7198" s="441">
        <v>2696</v>
      </c>
      <c r="B7198" s="441" t="s">
        <v>5978</v>
      </c>
      <c r="C7198" s="545">
        <v>7.166666666666667</v>
      </c>
      <c r="D7198" s="545">
        <v>4.333333333333333</v>
      </c>
      <c r="E7198" s="545">
        <v>6</v>
      </c>
      <c r="F7198" s="545">
        <v>6.5952380952380958</v>
      </c>
      <c r="G7198" s="545">
        <v>6.45</v>
      </c>
      <c r="H7198" s="545">
        <v>2</v>
      </c>
      <c r="I7198" s="545">
        <v>24.333333333333332</v>
      </c>
      <c r="J7198" s="545">
        <v>8.3690476190476186</v>
      </c>
    </row>
    <row r="7199" spans="1:10">
      <c r="A7199" s="441">
        <v>1308</v>
      </c>
      <c r="B7199" s="441" t="s">
        <v>5979</v>
      </c>
      <c r="C7199" s="545">
        <v>8.5</v>
      </c>
      <c r="D7199" s="545">
        <v>10.666666666666666</v>
      </c>
      <c r="E7199" s="545">
        <v>5.333333333333333</v>
      </c>
      <c r="F7199" s="545">
        <v>8.3571428571428577</v>
      </c>
      <c r="G7199" s="545">
        <v>7.7</v>
      </c>
      <c r="H7199" s="545">
        <v>5</v>
      </c>
      <c r="I7199" s="545">
        <v>3.3333333333333335</v>
      </c>
      <c r="J7199" s="545">
        <v>6.6904761904761907</v>
      </c>
    </row>
    <row r="7200" spans="1:10">
      <c r="A7200" s="441">
        <v>2787</v>
      </c>
      <c r="B7200" s="441" t="s">
        <v>5979</v>
      </c>
      <c r="C7200" s="545">
        <v>2.5</v>
      </c>
      <c r="D7200" s="545">
        <v>3.3333333333333335</v>
      </c>
      <c r="E7200" s="545">
        <v>1.6666666666666665</v>
      </c>
      <c r="F7200" s="545">
        <v>2.5</v>
      </c>
      <c r="G7200" s="545">
        <v>7.75</v>
      </c>
      <c r="H7200" s="545">
        <v>4.666666666666667</v>
      </c>
      <c r="I7200" s="545">
        <v>5.333333333333333</v>
      </c>
      <c r="J7200" s="545">
        <v>6.9642857142857144</v>
      </c>
    </row>
    <row r="7201" spans="1:10">
      <c r="A7201" s="441">
        <v>1313</v>
      </c>
      <c r="B7201" s="441" t="s">
        <v>5980</v>
      </c>
      <c r="C7201" s="545">
        <v>7.833333333333333</v>
      </c>
      <c r="D7201" s="545">
        <v>1.6666666666666665</v>
      </c>
      <c r="E7201" s="545">
        <v>0.66666666666666663</v>
      </c>
      <c r="F7201" s="545">
        <v>5.9285714285714279</v>
      </c>
      <c r="G7201" s="545">
        <v>3.25</v>
      </c>
      <c r="H7201" s="545">
        <v>3.3333333333333335</v>
      </c>
      <c r="I7201" s="545">
        <v>0</v>
      </c>
      <c r="J7201" s="545">
        <v>2.7976190476190474</v>
      </c>
    </row>
    <row r="7202" spans="1:10">
      <c r="A7202" s="441">
        <v>2782</v>
      </c>
      <c r="B7202" s="441" t="s">
        <v>5980</v>
      </c>
      <c r="C7202" s="545">
        <v>6.833333333333333</v>
      </c>
      <c r="D7202" s="545">
        <v>7.3333333333333339</v>
      </c>
      <c r="E7202" s="545">
        <v>3</v>
      </c>
      <c r="F7202" s="545">
        <v>6.3571428571428568</v>
      </c>
      <c r="G7202" s="545">
        <v>4.95</v>
      </c>
      <c r="H7202" s="545">
        <v>2</v>
      </c>
      <c r="I7202" s="545">
        <v>0.66666666666666663</v>
      </c>
      <c r="J7202" s="545">
        <v>3.916666666666667</v>
      </c>
    </row>
    <row r="7203" spans="1:10">
      <c r="A7203" s="441">
        <v>4960</v>
      </c>
      <c r="B7203" s="441" t="s">
        <v>5981</v>
      </c>
      <c r="C7203" s="545">
        <v>18.833333333333332</v>
      </c>
      <c r="D7203" s="545">
        <v>15.333333333333332</v>
      </c>
      <c r="E7203" s="545">
        <v>25.333333333333332</v>
      </c>
      <c r="F7203" s="545">
        <v>19.261904761904759</v>
      </c>
      <c r="G7203" s="545">
        <v>13.75</v>
      </c>
      <c r="H7203" s="545">
        <v>5.666666666666667</v>
      </c>
      <c r="I7203" s="545">
        <v>10.333333333333334</v>
      </c>
      <c r="J7203" s="545">
        <v>12.107142857142858</v>
      </c>
    </row>
    <row r="7204" spans="1:10">
      <c r="A7204" s="441">
        <v>4963</v>
      </c>
      <c r="B7204" s="441" t="s">
        <v>5981</v>
      </c>
      <c r="C7204" s="545">
        <v>21</v>
      </c>
      <c r="D7204" s="545">
        <v>18.666666666666668</v>
      </c>
      <c r="E7204" s="545">
        <v>19.333333333333332</v>
      </c>
      <c r="F7204" s="545">
        <v>20.428571428571427</v>
      </c>
      <c r="G7204" s="545">
        <v>12.8</v>
      </c>
      <c r="H7204" s="545">
        <v>6.666666666666667</v>
      </c>
      <c r="I7204" s="545">
        <v>9.3333333333333339</v>
      </c>
      <c r="J7204" s="545">
        <v>11.428571428571429</v>
      </c>
    </row>
    <row r="7205" spans="1:10">
      <c r="A7205" s="441">
        <v>10373</v>
      </c>
      <c r="B7205" s="441" t="s">
        <v>5982</v>
      </c>
      <c r="C7205" s="545">
        <v>5.3333333333333339</v>
      </c>
      <c r="D7205" s="545">
        <v>5.666666666666667</v>
      </c>
      <c r="E7205" s="545">
        <v>6.666666666666667</v>
      </c>
      <c r="F7205" s="545">
        <v>5.5714285714285712</v>
      </c>
      <c r="G7205" s="545">
        <v>4.3</v>
      </c>
      <c r="H7205" s="545">
        <v>4.666666666666667</v>
      </c>
      <c r="I7205" s="545">
        <v>2</v>
      </c>
      <c r="J7205" s="545">
        <v>4.0238095238095237</v>
      </c>
    </row>
    <row r="7206" spans="1:10">
      <c r="A7206" s="441">
        <v>11576</v>
      </c>
      <c r="B7206" s="441" t="s">
        <v>5982</v>
      </c>
      <c r="C7206" s="545">
        <v>9.1666666666666679</v>
      </c>
      <c r="D7206" s="545">
        <v>2.3333333333333335</v>
      </c>
      <c r="E7206" s="545">
        <v>3</v>
      </c>
      <c r="F7206" s="545">
        <v>7.3095238095238111</v>
      </c>
      <c r="G7206" s="545">
        <v>4.6500000000000004</v>
      </c>
      <c r="H7206" s="545">
        <v>1.3333333333333333</v>
      </c>
      <c r="I7206" s="545">
        <v>1.3333333333333333</v>
      </c>
      <c r="J7206" s="545">
        <v>3.7023809523809521</v>
      </c>
    </row>
    <row r="7207" spans="1:10">
      <c r="A7207" s="441">
        <v>1309</v>
      </c>
      <c r="B7207" s="441" t="s">
        <v>5983</v>
      </c>
      <c r="C7207" s="545">
        <v>7.833333333333333</v>
      </c>
      <c r="D7207" s="545">
        <v>2.6666666666666665</v>
      </c>
      <c r="E7207" s="545">
        <v>1.6666666666666667</v>
      </c>
      <c r="F7207" s="545">
        <v>6.2142857142857135</v>
      </c>
      <c r="G7207" s="545">
        <v>1.75</v>
      </c>
      <c r="H7207" s="545">
        <v>1.3333333333333333</v>
      </c>
      <c r="I7207" s="545">
        <v>1</v>
      </c>
      <c r="J7207" s="545">
        <v>1.5833333333333335</v>
      </c>
    </row>
    <row r="7208" spans="1:10">
      <c r="A7208" s="441">
        <v>2773</v>
      </c>
      <c r="B7208" s="441" t="s">
        <v>5984</v>
      </c>
      <c r="C7208" s="545">
        <v>98.666666666666657</v>
      </c>
      <c r="D7208" s="545">
        <v>73.333333333333329</v>
      </c>
      <c r="E7208" s="545">
        <v>45.333333333333329</v>
      </c>
      <c r="F7208" s="545">
        <v>87.428571428571431</v>
      </c>
      <c r="G7208" s="545">
        <v>50.65</v>
      </c>
      <c r="H7208" s="545">
        <v>26.333333333333332</v>
      </c>
      <c r="I7208" s="545">
        <v>22.666666666666668</v>
      </c>
      <c r="J7208" s="545">
        <v>43.178571428571431</v>
      </c>
    </row>
    <row r="7209" spans="1:10">
      <c r="A7209" s="441">
        <v>11888</v>
      </c>
      <c r="B7209" s="441" t="s">
        <v>5984</v>
      </c>
      <c r="C7209" s="545">
        <v>99</v>
      </c>
      <c r="D7209" s="545">
        <v>64.666666666666657</v>
      </c>
      <c r="E7209" s="545">
        <v>45.333333333333336</v>
      </c>
      <c r="F7209" s="545">
        <v>86.428571428571431</v>
      </c>
      <c r="G7209" s="545">
        <v>45.2</v>
      </c>
      <c r="H7209" s="545">
        <v>27</v>
      </c>
      <c r="I7209" s="545">
        <v>35</v>
      </c>
      <c r="J7209" s="545">
        <v>41.142857142857146</v>
      </c>
    </row>
    <row r="7210" spans="1:10">
      <c r="A7210" s="441">
        <v>7801</v>
      </c>
      <c r="B7210" s="441" t="s">
        <v>5985</v>
      </c>
      <c r="C7210" s="545">
        <v>141.5</v>
      </c>
      <c r="D7210" s="545">
        <v>114</v>
      </c>
      <c r="E7210" s="545">
        <v>92.333333333333343</v>
      </c>
      <c r="F7210" s="545">
        <v>130.54761904761907</v>
      </c>
      <c r="G7210" s="545">
        <v>87.55</v>
      </c>
      <c r="H7210" s="545">
        <v>74</v>
      </c>
      <c r="I7210" s="545">
        <v>192.33333333333334</v>
      </c>
      <c r="J7210" s="545">
        <v>100.58333333333334</v>
      </c>
    </row>
    <row r="7211" spans="1:10">
      <c r="A7211" s="441">
        <v>2763</v>
      </c>
      <c r="B7211" s="441" t="s">
        <v>5986</v>
      </c>
      <c r="C7211" s="545">
        <v>11</v>
      </c>
      <c r="D7211" s="545">
        <v>8.6666666666666679</v>
      </c>
      <c r="E7211" s="545">
        <v>9.3333333333333321</v>
      </c>
      <c r="F7211" s="545">
        <v>10.428571428571429</v>
      </c>
      <c r="G7211" s="545">
        <v>6.35</v>
      </c>
      <c r="H7211" s="545">
        <v>4</v>
      </c>
      <c r="I7211" s="545">
        <v>4.333333333333333</v>
      </c>
      <c r="J7211" s="545">
        <v>5.7261904761904763</v>
      </c>
    </row>
    <row r="7212" spans="1:10">
      <c r="A7212" s="441">
        <v>2798</v>
      </c>
      <c r="B7212" s="441" t="s">
        <v>5986</v>
      </c>
      <c r="C7212" s="545">
        <v>10.333333333333334</v>
      </c>
      <c r="D7212" s="545">
        <v>6</v>
      </c>
      <c r="E7212" s="545">
        <v>7</v>
      </c>
      <c r="F7212" s="545">
        <v>9.238095238095239</v>
      </c>
      <c r="G7212" s="545">
        <v>6.2</v>
      </c>
      <c r="H7212" s="545">
        <v>5.666666666666667</v>
      </c>
      <c r="I7212" s="545">
        <v>1.6666666666666667</v>
      </c>
      <c r="J7212" s="545">
        <v>5.4761904761904754</v>
      </c>
    </row>
    <row r="7213" spans="1:10">
      <c r="A7213" s="441">
        <v>11457</v>
      </c>
      <c r="B7213" s="441" t="s">
        <v>5987</v>
      </c>
      <c r="C7213" s="545">
        <v>27.666666666666668</v>
      </c>
      <c r="D7213" s="545">
        <v>19.666666666666668</v>
      </c>
      <c r="E7213" s="545">
        <v>16</v>
      </c>
      <c r="F7213" s="545">
        <v>24.857142857142858</v>
      </c>
      <c r="G7213" s="545">
        <v>16.2</v>
      </c>
      <c r="H7213" s="545">
        <v>13</v>
      </c>
      <c r="I7213" s="545">
        <v>9.6666666666666661</v>
      </c>
      <c r="J7213" s="545">
        <v>14.80952380952381</v>
      </c>
    </row>
    <row r="7214" spans="1:10">
      <c r="A7214" s="441">
        <v>2764</v>
      </c>
      <c r="B7214" s="441" t="s">
        <v>5988</v>
      </c>
      <c r="C7214" s="545">
        <v>16</v>
      </c>
      <c r="D7214" s="545">
        <v>9</v>
      </c>
      <c r="E7214" s="545">
        <v>7.6666666666666661</v>
      </c>
      <c r="F7214" s="545">
        <v>13.80952380952381</v>
      </c>
      <c r="G7214" s="545">
        <v>6.5</v>
      </c>
      <c r="H7214" s="545">
        <v>4.333333333333333</v>
      </c>
      <c r="I7214" s="545">
        <v>5.666666666666667</v>
      </c>
      <c r="J7214" s="545">
        <v>6.0714285714285712</v>
      </c>
    </row>
    <row r="7215" spans="1:10">
      <c r="A7215" s="441">
        <v>2772</v>
      </c>
      <c r="B7215" s="441" t="s">
        <v>5989</v>
      </c>
      <c r="C7215" s="545">
        <v>36.833333333333329</v>
      </c>
      <c r="D7215" s="545">
        <v>3.6666666666666665</v>
      </c>
      <c r="E7215" s="545">
        <v>4</v>
      </c>
      <c r="F7215" s="545">
        <v>27.404761904761898</v>
      </c>
      <c r="G7215" s="545">
        <v>11.25</v>
      </c>
      <c r="H7215" s="545">
        <v>1</v>
      </c>
      <c r="I7215" s="545">
        <v>0</v>
      </c>
      <c r="J7215" s="545">
        <v>8.1785714285714288</v>
      </c>
    </row>
    <row r="7216" spans="1:10">
      <c r="A7216" s="441">
        <v>2790</v>
      </c>
      <c r="B7216" s="441" t="s">
        <v>5989</v>
      </c>
      <c r="C7216" s="545">
        <v>18.166666666666664</v>
      </c>
      <c r="D7216" s="545">
        <v>3.333333333333333</v>
      </c>
      <c r="E7216" s="545">
        <v>1.3333333333333333</v>
      </c>
      <c r="F7216" s="545">
        <v>13.642857142857139</v>
      </c>
      <c r="G7216" s="545">
        <v>9.6999999999999993</v>
      </c>
      <c r="H7216" s="545">
        <v>2.6666666666666665</v>
      </c>
      <c r="I7216" s="545">
        <v>0</v>
      </c>
      <c r="J7216" s="545">
        <v>7.3095238095238093</v>
      </c>
    </row>
    <row r="7217" spans="1:10">
      <c r="A7217" s="441">
        <v>143</v>
      </c>
      <c r="B7217" s="441" t="s">
        <v>5990</v>
      </c>
      <c r="C7217" s="545">
        <v>45.5</v>
      </c>
      <c r="D7217" s="545">
        <v>29</v>
      </c>
      <c r="E7217" s="545">
        <v>17.666666666666664</v>
      </c>
      <c r="F7217" s="545">
        <v>39.166666666666671</v>
      </c>
      <c r="G7217" s="545">
        <v>22.85</v>
      </c>
      <c r="H7217" s="545">
        <v>11.333333333333334</v>
      </c>
      <c r="I7217" s="545">
        <v>14</v>
      </c>
      <c r="J7217" s="545">
        <v>19.940476190476186</v>
      </c>
    </row>
    <row r="7218" spans="1:10">
      <c r="A7218" s="441">
        <v>4481</v>
      </c>
      <c r="B7218" s="441" t="s">
        <v>5990</v>
      </c>
      <c r="C7218" s="545">
        <v>11.166666666666666</v>
      </c>
      <c r="D7218" s="545">
        <v>8</v>
      </c>
      <c r="E7218" s="545">
        <v>6.333333333333333</v>
      </c>
      <c r="F7218" s="545">
        <v>10.023809523809522</v>
      </c>
      <c r="G7218" s="545">
        <v>7.65</v>
      </c>
      <c r="H7218" s="545">
        <v>7.333333333333333</v>
      </c>
      <c r="I7218" s="545">
        <v>3.3333333333333335</v>
      </c>
      <c r="J7218" s="545">
        <v>6.988095238095239</v>
      </c>
    </row>
    <row r="7219" spans="1:10">
      <c r="A7219" s="441">
        <v>2771</v>
      </c>
      <c r="B7219" s="441" t="s">
        <v>5991</v>
      </c>
      <c r="C7219" s="545">
        <v>43.166666666666664</v>
      </c>
      <c r="D7219" s="545">
        <v>36</v>
      </c>
      <c r="E7219" s="545">
        <v>17</v>
      </c>
      <c r="F7219" s="545">
        <v>38.404761904761905</v>
      </c>
      <c r="G7219" s="545">
        <v>31.7</v>
      </c>
      <c r="H7219" s="545">
        <v>21.666666666666668</v>
      </c>
      <c r="I7219" s="545">
        <v>17.333333333333332</v>
      </c>
      <c r="J7219" s="545">
        <v>28.214285714285715</v>
      </c>
    </row>
    <row r="7220" spans="1:10">
      <c r="A7220" s="441">
        <v>2791</v>
      </c>
      <c r="B7220" s="441" t="s">
        <v>5991</v>
      </c>
      <c r="C7220" s="545">
        <v>39</v>
      </c>
      <c r="D7220" s="545">
        <v>27</v>
      </c>
      <c r="E7220" s="545">
        <v>18.333333333333336</v>
      </c>
      <c r="F7220" s="545">
        <v>34.333333333333336</v>
      </c>
      <c r="G7220" s="545">
        <v>31.95</v>
      </c>
      <c r="H7220" s="545">
        <v>25.333333333333332</v>
      </c>
      <c r="I7220" s="545">
        <v>19.333333333333332</v>
      </c>
      <c r="J7220" s="545">
        <v>29.202380952380956</v>
      </c>
    </row>
    <row r="7221" spans="1:10">
      <c r="A7221" s="441">
        <v>7792</v>
      </c>
      <c r="B7221" s="441" t="s">
        <v>5992</v>
      </c>
      <c r="C7221" s="545">
        <v>19.5</v>
      </c>
      <c r="D7221" s="545">
        <v>12.666666666666668</v>
      </c>
      <c r="E7221" s="545">
        <v>9.6666666666666679</v>
      </c>
      <c r="F7221" s="545">
        <v>17.11904761904762</v>
      </c>
      <c r="G7221" s="545">
        <v>14.45</v>
      </c>
      <c r="H7221" s="545">
        <v>9.6666666666666661</v>
      </c>
      <c r="I7221" s="545">
        <v>11.666666666666666</v>
      </c>
      <c r="J7221" s="545">
        <v>13.36904761904762</v>
      </c>
    </row>
    <row r="7222" spans="1:10">
      <c r="A7222" s="441">
        <v>11905</v>
      </c>
      <c r="B7222" s="441" t="s">
        <v>5993</v>
      </c>
      <c r="C7222" s="545">
        <v>6.5</v>
      </c>
      <c r="D7222" s="545">
        <v>2.666666666666667</v>
      </c>
      <c r="E7222" s="545">
        <v>1</v>
      </c>
      <c r="F7222" s="545">
        <v>5.1666666666666661</v>
      </c>
      <c r="G7222" s="545">
        <v>2.4</v>
      </c>
      <c r="H7222" s="545">
        <v>3.3333333333333335</v>
      </c>
      <c r="I7222" s="545">
        <v>2.3333333333333335</v>
      </c>
      <c r="J7222" s="545">
        <v>2.5238095238095242</v>
      </c>
    </row>
    <row r="7223" spans="1:10">
      <c r="A7223" s="441">
        <v>11906</v>
      </c>
      <c r="B7223" s="441" t="s">
        <v>5993</v>
      </c>
      <c r="C7223" s="545">
        <v>1.6666666666666667</v>
      </c>
      <c r="D7223" s="545">
        <v>0.33333333333333331</v>
      </c>
      <c r="E7223" s="545">
        <v>2</v>
      </c>
      <c r="F7223" s="545">
        <v>1.5238095238095239</v>
      </c>
      <c r="G7223" s="545">
        <v>1.75</v>
      </c>
      <c r="H7223" s="545">
        <v>1.3333333333333333</v>
      </c>
      <c r="I7223" s="545">
        <v>1</v>
      </c>
      <c r="J7223" s="545">
        <v>1.5833333333333335</v>
      </c>
    </row>
    <row r="7224" spans="1:10">
      <c r="A7224" s="441">
        <v>4477</v>
      </c>
      <c r="B7224" s="441" t="s">
        <v>5994</v>
      </c>
      <c r="C7224" s="545">
        <v>69.5</v>
      </c>
      <c r="D7224" s="545">
        <v>28.666666666666668</v>
      </c>
      <c r="E7224" s="545">
        <v>14.666666666666666</v>
      </c>
      <c r="F7224" s="545">
        <v>55.833333333333336</v>
      </c>
      <c r="G7224" s="545">
        <v>36.299999999999997</v>
      </c>
      <c r="H7224" s="545">
        <v>16</v>
      </c>
      <c r="I7224" s="545">
        <v>9.3333333333333339</v>
      </c>
      <c r="J7224" s="545">
        <v>29.547619047619047</v>
      </c>
    </row>
    <row r="7225" spans="1:10">
      <c r="A7225" s="441">
        <v>4478</v>
      </c>
      <c r="B7225" s="441" t="s">
        <v>5994</v>
      </c>
      <c r="C7225" s="545">
        <v>102</v>
      </c>
      <c r="D7225" s="545">
        <v>41.333333333333336</v>
      </c>
      <c r="E7225" s="545">
        <v>22.666666666666664</v>
      </c>
      <c r="F7225" s="545">
        <v>82</v>
      </c>
      <c r="G7225" s="545">
        <v>41.4</v>
      </c>
      <c r="H7225" s="545">
        <v>24.333333333333332</v>
      </c>
      <c r="I7225" s="545">
        <v>16.333333333333332</v>
      </c>
      <c r="J7225" s="545">
        <v>35.380952380952387</v>
      </c>
    </row>
    <row r="7226" spans="1:10">
      <c r="A7226" s="441">
        <v>1310</v>
      </c>
      <c r="B7226" s="441" t="s">
        <v>5995</v>
      </c>
      <c r="C7226" s="545">
        <v>10.333333333333334</v>
      </c>
      <c r="D7226" s="545">
        <v>8.6666666666666661</v>
      </c>
      <c r="E7226" s="545">
        <v>2.3333333333333335</v>
      </c>
      <c r="F7226" s="545">
        <v>8.9523809523809526</v>
      </c>
      <c r="G7226" s="545">
        <v>4.45</v>
      </c>
      <c r="H7226" s="545">
        <v>2</v>
      </c>
      <c r="I7226" s="545">
        <v>0.66666666666666663</v>
      </c>
      <c r="J7226" s="545">
        <v>3.5595238095238098</v>
      </c>
    </row>
    <row r="7227" spans="1:10">
      <c r="A7227" s="441">
        <v>2785</v>
      </c>
      <c r="B7227" s="441" t="s">
        <v>5995</v>
      </c>
      <c r="C7227" s="545">
        <v>15.166666666666666</v>
      </c>
      <c r="D7227" s="545">
        <v>3.6666666666666665</v>
      </c>
      <c r="E7227" s="545">
        <v>5.6666666666666661</v>
      </c>
      <c r="F7227" s="545">
        <v>12.166666666666668</v>
      </c>
      <c r="G7227" s="545">
        <v>2.6</v>
      </c>
      <c r="H7227" s="545">
        <v>1</v>
      </c>
      <c r="I7227" s="545">
        <v>0.66666666666666663</v>
      </c>
      <c r="J7227" s="545">
        <v>2.0952380952380953</v>
      </c>
    </row>
    <row r="7228" spans="1:10">
      <c r="A7228" s="441">
        <v>80</v>
      </c>
      <c r="B7228" s="441" t="s">
        <v>5996</v>
      </c>
      <c r="C7228" s="545">
        <v>756.5</v>
      </c>
      <c r="D7228" s="545">
        <v>597.66666666666663</v>
      </c>
      <c r="E7228" s="545">
        <v>512.66666666666674</v>
      </c>
      <c r="F7228" s="545">
        <v>698.9761904761906</v>
      </c>
      <c r="G7228" s="545">
        <v>397.05</v>
      </c>
      <c r="H7228" s="545">
        <v>266.33333333333331</v>
      </c>
      <c r="I7228" s="545">
        <v>234.33333333333334</v>
      </c>
      <c r="J7228" s="545">
        <v>355.13095238095241</v>
      </c>
    </row>
    <row r="7229" spans="1:10">
      <c r="A7229" s="441">
        <v>3109</v>
      </c>
      <c r="B7229" s="441" t="s">
        <v>5997</v>
      </c>
      <c r="C7229" s="545">
        <v>5.166666666666667</v>
      </c>
      <c r="D7229" s="545">
        <v>10.666666666666666</v>
      </c>
      <c r="E7229" s="545">
        <v>4.6666666666666661</v>
      </c>
      <c r="F7229" s="545">
        <v>5.8809523809523805</v>
      </c>
      <c r="G7229" s="545">
        <v>19.399999999999999</v>
      </c>
      <c r="H7229" s="545">
        <v>0.33333333333333331</v>
      </c>
      <c r="I7229" s="545">
        <v>5</v>
      </c>
      <c r="J7229" s="545">
        <v>14.619047619047619</v>
      </c>
    </row>
    <row r="7230" spans="1:10">
      <c r="A7230" s="441">
        <v>11524</v>
      </c>
      <c r="B7230" s="441" t="s">
        <v>5997</v>
      </c>
      <c r="C7230" s="545">
        <v>8.1666666666666661</v>
      </c>
      <c r="D7230" s="545">
        <v>9</v>
      </c>
      <c r="E7230" s="545">
        <v>8.6666666666666661</v>
      </c>
      <c r="F7230" s="545">
        <v>8.3571428571428559</v>
      </c>
      <c r="G7230" s="545">
        <v>24.9</v>
      </c>
      <c r="H7230" s="545">
        <v>3</v>
      </c>
      <c r="I7230" s="545">
        <v>7</v>
      </c>
      <c r="J7230" s="545">
        <v>19.214285714285715</v>
      </c>
    </row>
    <row r="7231" spans="1:10">
      <c r="A7231" s="441">
        <v>3100</v>
      </c>
      <c r="B7231" s="441" t="s">
        <v>5998</v>
      </c>
      <c r="C7231" s="545">
        <v>1.3333333333333333</v>
      </c>
      <c r="D7231" s="545">
        <v>1</v>
      </c>
      <c r="E7231" s="545">
        <v>2</v>
      </c>
      <c r="F7231" s="545">
        <v>1.3809523809523809</v>
      </c>
      <c r="G7231" s="545">
        <v>1.75</v>
      </c>
      <c r="H7231" s="545">
        <v>0.33333333333333331</v>
      </c>
      <c r="I7231" s="545">
        <v>0</v>
      </c>
      <c r="J7231" s="545">
        <v>1.2976190476190477</v>
      </c>
    </row>
    <row r="7232" spans="1:10">
      <c r="A7232" s="441">
        <v>3103</v>
      </c>
      <c r="B7232" s="441" t="s">
        <v>5998</v>
      </c>
      <c r="C7232" s="545">
        <v>2.3333333333333335</v>
      </c>
      <c r="D7232" s="545">
        <v>1.6666666666666665</v>
      </c>
      <c r="E7232" s="545">
        <v>1.6666666666666665</v>
      </c>
      <c r="F7232" s="545">
        <v>2.1428571428571428</v>
      </c>
      <c r="G7232" s="545">
        <v>1.95</v>
      </c>
      <c r="H7232" s="545">
        <v>0</v>
      </c>
      <c r="I7232" s="545">
        <v>0.66666666666666663</v>
      </c>
      <c r="J7232" s="545">
        <v>1.4880952380952379</v>
      </c>
    </row>
    <row r="7233" spans="1:10">
      <c r="A7233" s="441">
        <v>3095</v>
      </c>
      <c r="B7233" s="441" t="s">
        <v>5999</v>
      </c>
      <c r="C7233" s="545">
        <v>5.666666666666667</v>
      </c>
      <c r="D7233" s="545">
        <v>1.6666666666666665</v>
      </c>
      <c r="E7233" s="545">
        <v>2.3333333333333335</v>
      </c>
      <c r="F7233" s="545">
        <v>4.6190476190476195</v>
      </c>
      <c r="G7233" s="545">
        <v>0.8</v>
      </c>
      <c r="H7233" s="545">
        <v>0.33333333333333331</v>
      </c>
      <c r="I7233" s="545">
        <v>1</v>
      </c>
      <c r="J7233" s="545">
        <v>0.76190476190476186</v>
      </c>
    </row>
    <row r="7234" spans="1:10">
      <c r="A7234" s="441">
        <v>3110</v>
      </c>
      <c r="B7234" s="441" t="s">
        <v>5999</v>
      </c>
      <c r="C7234" s="545">
        <v>6.166666666666667</v>
      </c>
      <c r="D7234" s="545">
        <v>3.3333333333333335</v>
      </c>
      <c r="E7234" s="545">
        <v>5</v>
      </c>
      <c r="F7234" s="545">
        <v>5.5952380952380958</v>
      </c>
      <c r="G7234" s="545">
        <v>21.45</v>
      </c>
      <c r="H7234" s="545">
        <v>1.6666666666666667</v>
      </c>
      <c r="I7234" s="545">
        <v>0.33333333333333331</v>
      </c>
      <c r="J7234" s="545">
        <v>15.607142857142858</v>
      </c>
    </row>
    <row r="7235" spans="1:10">
      <c r="A7235" s="441">
        <v>3089</v>
      </c>
      <c r="B7235" s="441" t="s">
        <v>6000</v>
      </c>
      <c r="C7235" s="545">
        <v>7</v>
      </c>
      <c r="D7235" s="545">
        <v>3.6666666666666665</v>
      </c>
      <c r="E7235" s="545">
        <v>4</v>
      </c>
      <c r="F7235" s="545">
        <v>6.0952380952380949</v>
      </c>
      <c r="G7235" s="545">
        <v>2.5</v>
      </c>
      <c r="H7235" s="545">
        <v>1</v>
      </c>
      <c r="I7235" s="545">
        <v>2</v>
      </c>
      <c r="J7235" s="545">
        <v>2.2142857142857144</v>
      </c>
    </row>
    <row r="7236" spans="1:10">
      <c r="A7236" s="441">
        <v>3111</v>
      </c>
      <c r="B7236" s="441" t="s">
        <v>6000</v>
      </c>
      <c r="C7236" s="545">
        <v>6.333333333333333</v>
      </c>
      <c r="D7236" s="545">
        <v>4.3333333333333339</v>
      </c>
      <c r="E7236" s="545">
        <v>4</v>
      </c>
      <c r="F7236" s="545">
        <v>5.7142857142857144</v>
      </c>
      <c r="G7236" s="545">
        <v>3.05</v>
      </c>
      <c r="H7236" s="545">
        <v>0.66666666666666663</v>
      </c>
      <c r="I7236" s="545">
        <v>0</v>
      </c>
      <c r="J7236" s="545">
        <v>2.2738095238095237</v>
      </c>
    </row>
    <row r="7237" spans="1:10">
      <c r="A7237" s="441">
        <v>3098</v>
      </c>
      <c r="B7237" s="441" t="s">
        <v>6001</v>
      </c>
      <c r="C7237" s="545">
        <v>2.8333333333333335</v>
      </c>
      <c r="D7237" s="545">
        <v>2</v>
      </c>
      <c r="E7237" s="545">
        <v>2.3333333333333335</v>
      </c>
      <c r="F7237" s="545">
        <v>2.6428571428571428</v>
      </c>
      <c r="G7237" s="545">
        <v>6.05</v>
      </c>
      <c r="H7237" s="545">
        <v>2</v>
      </c>
      <c r="I7237" s="545">
        <v>2</v>
      </c>
      <c r="J7237" s="545">
        <v>4.8928571428571432</v>
      </c>
    </row>
    <row r="7238" spans="1:10">
      <c r="A7238" s="441">
        <v>3105</v>
      </c>
      <c r="B7238" s="441" t="s">
        <v>6001</v>
      </c>
      <c r="C7238" s="545">
        <v>2.666666666666667</v>
      </c>
      <c r="D7238" s="545">
        <v>1</v>
      </c>
      <c r="E7238" s="545">
        <v>1.3333333333333333</v>
      </c>
      <c r="F7238" s="545">
        <v>2.2380952380952386</v>
      </c>
      <c r="G7238" s="545">
        <v>1.45</v>
      </c>
      <c r="H7238" s="545">
        <v>0</v>
      </c>
      <c r="I7238" s="545">
        <v>0.66666666666666663</v>
      </c>
      <c r="J7238" s="545">
        <v>1.1309523809523809</v>
      </c>
    </row>
    <row r="7239" spans="1:10">
      <c r="A7239" s="441">
        <v>3086</v>
      </c>
      <c r="B7239" s="441" t="s">
        <v>6002</v>
      </c>
      <c r="C7239" s="545">
        <v>0.16666666666666666</v>
      </c>
      <c r="D7239" s="545">
        <v>0.33333333333333331</v>
      </c>
      <c r="E7239" s="545">
        <v>0</v>
      </c>
      <c r="F7239" s="545">
        <v>0.16666666666666666</v>
      </c>
      <c r="G7239" s="545">
        <v>0.9</v>
      </c>
      <c r="H7239" s="545">
        <v>0.33333333333333331</v>
      </c>
      <c r="I7239" s="545">
        <v>0.66666666666666663</v>
      </c>
      <c r="J7239" s="545">
        <v>0.7857142857142857</v>
      </c>
    </row>
    <row r="7240" spans="1:10">
      <c r="A7240" s="441">
        <v>3099</v>
      </c>
      <c r="B7240" s="441" t="s">
        <v>6003</v>
      </c>
      <c r="C7240" s="545">
        <v>4.6666666666666661</v>
      </c>
      <c r="D7240" s="545">
        <v>4</v>
      </c>
      <c r="E7240" s="545">
        <v>2</v>
      </c>
      <c r="F7240" s="545">
        <v>4.1904761904761898</v>
      </c>
      <c r="G7240" s="545">
        <v>0.6</v>
      </c>
      <c r="H7240" s="545">
        <v>0.33333333333333331</v>
      </c>
      <c r="I7240" s="545">
        <v>1</v>
      </c>
      <c r="J7240" s="545">
        <v>0.61904761904761918</v>
      </c>
    </row>
    <row r="7241" spans="1:10">
      <c r="A7241" s="441">
        <v>3104</v>
      </c>
      <c r="B7241" s="441" t="s">
        <v>6003</v>
      </c>
      <c r="C7241" s="545">
        <v>3.6666666666666665</v>
      </c>
      <c r="D7241" s="545">
        <v>3</v>
      </c>
      <c r="E7241" s="545">
        <v>0.66666666666666663</v>
      </c>
      <c r="F7241" s="545">
        <v>3.1428571428571428</v>
      </c>
      <c r="G7241" s="545">
        <v>1.55</v>
      </c>
      <c r="H7241" s="545">
        <v>0.33333333333333331</v>
      </c>
      <c r="I7241" s="545">
        <v>1.3333333333333333</v>
      </c>
      <c r="J7241" s="545">
        <v>1.3452380952380953</v>
      </c>
    </row>
    <row r="7242" spans="1:10">
      <c r="A7242" s="441">
        <v>2230</v>
      </c>
      <c r="B7242" s="441" t="s">
        <v>6004</v>
      </c>
      <c r="C7242" s="545">
        <v>11.833333333333332</v>
      </c>
      <c r="D7242" s="545">
        <v>6.666666666666667</v>
      </c>
      <c r="E7242" s="545">
        <v>5.6666666666666661</v>
      </c>
      <c r="F7242" s="545">
        <v>10.214285714285714</v>
      </c>
      <c r="G7242" s="545">
        <v>8.4499999999999993</v>
      </c>
      <c r="H7242" s="545">
        <v>6.333333333333333</v>
      </c>
      <c r="I7242" s="545">
        <v>4.666666666666667</v>
      </c>
      <c r="J7242" s="545">
        <v>7.6071428571428568</v>
      </c>
    </row>
    <row r="7243" spans="1:10">
      <c r="A7243" s="441">
        <v>3087</v>
      </c>
      <c r="B7243" s="441" t="s">
        <v>6005</v>
      </c>
      <c r="C7243" s="545">
        <v>1.1666666666666667</v>
      </c>
      <c r="D7243" s="545">
        <v>0.33333333333333331</v>
      </c>
      <c r="E7243" s="545">
        <v>0</v>
      </c>
      <c r="F7243" s="545">
        <v>0.88095238095238104</v>
      </c>
      <c r="G7243" s="545">
        <v>0.9</v>
      </c>
      <c r="H7243" s="545">
        <v>0.33333333333333331</v>
      </c>
      <c r="I7243" s="545">
        <v>0.33333333333333331</v>
      </c>
      <c r="J7243" s="545">
        <v>0.73809523809523803</v>
      </c>
    </row>
    <row r="7244" spans="1:10">
      <c r="A7244" s="441">
        <v>10390</v>
      </c>
      <c r="B7244" s="441" t="s">
        <v>6005</v>
      </c>
      <c r="C7244" s="545">
        <v>7.5</v>
      </c>
      <c r="D7244" s="545">
        <v>4</v>
      </c>
      <c r="E7244" s="545">
        <v>2.666666666666667</v>
      </c>
      <c r="F7244" s="545">
        <v>6.3095238095238093</v>
      </c>
      <c r="G7244" s="545">
        <v>24.75</v>
      </c>
      <c r="H7244" s="545">
        <v>1.6666666666666667</v>
      </c>
      <c r="I7244" s="545">
        <v>1</v>
      </c>
      <c r="J7244" s="545">
        <v>18.05952380952381</v>
      </c>
    </row>
    <row r="7245" spans="1:10">
      <c r="A7245" s="441">
        <v>3088</v>
      </c>
      <c r="B7245" s="441" t="s">
        <v>6006</v>
      </c>
      <c r="C7245" s="545">
        <v>10.166666666666666</v>
      </c>
      <c r="D7245" s="545">
        <v>7.6666666666666661</v>
      </c>
      <c r="E7245" s="545">
        <v>2.333333333333333</v>
      </c>
      <c r="F7245" s="545">
        <v>8.6904761904761898</v>
      </c>
      <c r="G7245" s="545">
        <v>26.35</v>
      </c>
      <c r="H7245" s="545">
        <v>4</v>
      </c>
      <c r="I7245" s="545">
        <v>3</v>
      </c>
      <c r="J7245" s="545">
        <v>19.821428571428573</v>
      </c>
    </row>
    <row r="7246" spans="1:10">
      <c r="A7246" s="441">
        <v>10389</v>
      </c>
      <c r="B7246" s="441" t="s">
        <v>6006</v>
      </c>
      <c r="C7246" s="545">
        <v>8.1666666666666679</v>
      </c>
      <c r="D7246" s="545">
        <v>4.3333333333333339</v>
      </c>
      <c r="E7246" s="545">
        <v>6</v>
      </c>
      <c r="F7246" s="545">
        <v>7.3095238095238111</v>
      </c>
      <c r="G7246" s="545">
        <v>4.4000000000000004</v>
      </c>
      <c r="H7246" s="545">
        <v>2</v>
      </c>
      <c r="I7246" s="545">
        <v>3.3333333333333335</v>
      </c>
      <c r="J7246" s="545">
        <v>3.9047619047619047</v>
      </c>
    </row>
    <row r="7247" spans="1:10">
      <c r="A7247" s="441">
        <v>3101</v>
      </c>
      <c r="B7247" s="441" t="s">
        <v>6007</v>
      </c>
      <c r="C7247" s="545">
        <v>16</v>
      </c>
      <c r="D7247" s="545">
        <v>15.666666666666666</v>
      </c>
      <c r="E7247" s="545">
        <v>11.333333333333334</v>
      </c>
      <c r="F7247" s="545">
        <v>15.285714285714286</v>
      </c>
      <c r="G7247" s="545">
        <v>26.95</v>
      </c>
      <c r="H7247" s="545">
        <v>13.666666666666666</v>
      </c>
      <c r="I7247" s="545">
        <v>5</v>
      </c>
      <c r="J7247" s="545">
        <v>21.916666666666664</v>
      </c>
    </row>
    <row r="7248" spans="1:10">
      <c r="A7248" s="441">
        <v>3102</v>
      </c>
      <c r="B7248" s="441" t="s">
        <v>6007</v>
      </c>
      <c r="C7248" s="545">
        <v>14.5</v>
      </c>
      <c r="D7248" s="545">
        <v>12.333333333333334</v>
      </c>
      <c r="E7248" s="545">
        <v>9</v>
      </c>
      <c r="F7248" s="545">
        <v>13.404761904761903</v>
      </c>
      <c r="G7248" s="545">
        <v>27.9</v>
      </c>
      <c r="H7248" s="545">
        <v>11.666666666666666</v>
      </c>
      <c r="I7248" s="545">
        <v>11.333333333333334</v>
      </c>
      <c r="J7248" s="545">
        <v>23.214285714285715</v>
      </c>
    </row>
    <row r="7249" spans="1:10">
      <c r="A7249" s="441">
        <v>2215</v>
      </c>
      <c r="B7249" s="441" t="s">
        <v>6008</v>
      </c>
      <c r="C7249" s="545">
        <v>5.8333333333333339</v>
      </c>
      <c r="D7249" s="545">
        <v>3</v>
      </c>
      <c r="E7249" s="545">
        <v>1.3333333333333333</v>
      </c>
      <c r="F7249" s="545">
        <v>4.7857142857142865</v>
      </c>
      <c r="G7249" s="545">
        <v>3.8</v>
      </c>
      <c r="H7249" s="545">
        <v>4.666666666666667</v>
      </c>
      <c r="I7249" s="545">
        <v>3.3333333333333335</v>
      </c>
      <c r="J7249" s="545">
        <v>3.8571428571428572</v>
      </c>
    </row>
    <row r="7250" spans="1:10">
      <c r="A7250" s="441">
        <v>3096</v>
      </c>
      <c r="B7250" s="441" t="s">
        <v>6009</v>
      </c>
      <c r="C7250" s="545">
        <v>2</v>
      </c>
      <c r="D7250" s="545">
        <v>5.3333333333333339</v>
      </c>
      <c r="E7250" s="545">
        <v>1.6666666666666665</v>
      </c>
      <c r="F7250" s="545">
        <v>2.4285714285714284</v>
      </c>
      <c r="G7250" s="545">
        <v>1.4</v>
      </c>
      <c r="H7250" s="545">
        <v>1</v>
      </c>
      <c r="I7250" s="545">
        <v>0.66666666666666663</v>
      </c>
      <c r="J7250" s="545">
        <v>1.2380952380952379</v>
      </c>
    </row>
    <row r="7251" spans="1:10">
      <c r="A7251" s="441">
        <v>3108</v>
      </c>
      <c r="B7251" s="441" t="s">
        <v>6009</v>
      </c>
      <c r="C7251" s="545">
        <v>2.333333333333333</v>
      </c>
      <c r="D7251" s="545">
        <v>2.333333333333333</v>
      </c>
      <c r="E7251" s="545">
        <v>2</v>
      </c>
      <c r="F7251" s="545">
        <v>2.2857142857142851</v>
      </c>
      <c r="G7251" s="545">
        <v>0.8</v>
      </c>
      <c r="H7251" s="545">
        <v>0.66666666666666663</v>
      </c>
      <c r="I7251" s="545">
        <v>0.33333333333333331</v>
      </c>
      <c r="J7251" s="545">
        <v>0.7142857142857143</v>
      </c>
    </row>
    <row r="7252" spans="1:10">
      <c r="A7252" s="441">
        <v>3097</v>
      </c>
      <c r="B7252" s="441" t="s">
        <v>6010</v>
      </c>
      <c r="C7252" s="545">
        <v>7.8333333333333339</v>
      </c>
      <c r="D7252" s="545">
        <v>5</v>
      </c>
      <c r="E7252" s="545">
        <v>4.666666666666667</v>
      </c>
      <c r="F7252" s="545">
        <v>6.9761904761904763</v>
      </c>
      <c r="G7252" s="545">
        <v>3.4</v>
      </c>
      <c r="H7252" s="545">
        <v>4</v>
      </c>
      <c r="I7252" s="545">
        <v>3</v>
      </c>
      <c r="J7252" s="545">
        <v>3.4285714285714284</v>
      </c>
    </row>
    <row r="7253" spans="1:10">
      <c r="A7253" s="441">
        <v>3106</v>
      </c>
      <c r="B7253" s="441" t="s">
        <v>6010</v>
      </c>
      <c r="C7253" s="545">
        <v>6.833333333333333</v>
      </c>
      <c r="D7253" s="545">
        <v>5</v>
      </c>
      <c r="E7253" s="545">
        <v>5.333333333333333</v>
      </c>
      <c r="F7253" s="545">
        <v>6.3571428571428568</v>
      </c>
      <c r="G7253" s="545">
        <v>12.55</v>
      </c>
      <c r="H7253" s="545">
        <v>2.3333333333333335</v>
      </c>
      <c r="I7253" s="545">
        <v>1.3333333333333333</v>
      </c>
      <c r="J7253" s="545">
        <v>9.4880952380952372</v>
      </c>
    </row>
    <row r="7254" spans="1:10">
      <c r="A7254" s="441">
        <v>3107</v>
      </c>
      <c r="B7254" s="441" t="s">
        <v>6010</v>
      </c>
      <c r="C7254" s="545">
        <v>1.5</v>
      </c>
      <c r="D7254" s="545">
        <v>0.66666666666666663</v>
      </c>
      <c r="E7254" s="545">
        <v>1</v>
      </c>
      <c r="F7254" s="545">
        <v>1.3095238095238095</v>
      </c>
      <c r="G7254" s="545">
        <v>14.95</v>
      </c>
      <c r="H7254" s="545">
        <v>0</v>
      </c>
      <c r="I7254" s="545">
        <v>0</v>
      </c>
      <c r="J7254" s="545">
        <v>10.678571428571429</v>
      </c>
    </row>
    <row r="7255" spans="1:10">
      <c r="A7255" s="441">
        <v>173</v>
      </c>
      <c r="B7255" s="441" t="s">
        <v>6011</v>
      </c>
      <c r="C7255" s="545">
        <v>6.3333333333333339</v>
      </c>
      <c r="D7255" s="545">
        <v>2.6666666666666665</v>
      </c>
      <c r="E7255" s="545">
        <v>2.3333333333333335</v>
      </c>
      <c r="F7255" s="545">
        <v>5.238095238095239</v>
      </c>
      <c r="G7255" s="545">
        <v>6.05</v>
      </c>
      <c r="H7255" s="545">
        <v>2.6666666666666665</v>
      </c>
      <c r="I7255" s="545">
        <v>3</v>
      </c>
      <c r="J7255" s="545">
        <v>5.1309523809523805</v>
      </c>
    </row>
    <row r="7256" spans="1:10">
      <c r="A7256" s="441">
        <v>1865</v>
      </c>
      <c r="B7256" s="441" t="s">
        <v>6011</v>
      </c>
      <c r="C7256" s="545">
        <v>11.5</v>
      </c>
      <c r="D7256" s="545">
        <v>3.333333333333333</v>
      </c>
      <c r="E7256" s="545">
        <v>1.6666666666666665</v>
      </c>
      <c r="F7256" s="545">
        <v>8.9285714285714288</v>
      </c>
      <c r="G7256" s="545">
        <v>5.9</v>
      </c>
      <c r="H7256" s="545">
        <v>3</v>
      </c>
      <c r="I7256" s="545">
        <v>6</v>
      </c>
      <c r="J7256" s="545">
        <v>5.5</v>
      </c>
    </row>
    <row r="7257" spans="1:10">
      <c r="A7257" s="441">
        <v>174</v>
      </c>
      <c r="B7257" s="441" t="s">
        <v>6012</v>
      </c>
      <c r="C7257" s="545">
        <v>7.166666666666667</v>
      </c>
      <c r="D7257" s="545">
        <v>1.3333333333333333</v>
      </c>
      <c r="E7257" s="545">
        <v>2.3333333333333335</v>
      </c>
      <c r="F7257" s="545">
        <v>5.6428571428571441</v>
      </c>
      <c r="G7257" s="545">
        <v>5.7</v>
      </c>
      <c r="H7257" s="545">
        <v>2</v>
      </c>
      <c r="I7257" s="545">
        <v>0.33333333333333331</v>
      </c>
      <c r="J7257" s="545">
        <v>4.4047619047619042</v>
      </c>
    </row>
    <row r="7258" spans="1:10">
      <c r="A7258" s="441">
        <v>1866</v>
      </c>
      <c r="B7258" s="441" t="s">
        <v>6013</v>
      </c>
      <c r="C7258" s="545">
        <v>11.666666666666666</v>
      </c>
      <c r="D7258" s="545">
        <v>6.333333333333333</v>
      </c>
      <c r="E7258" s="545">
        <v>2</v>
      </c>
      <c r="F7258" s="545">
        <v>9.5238095238095219</v>
      </c>
      <c r="G7258" s="545">
        <v>9.1</v>
      </c>
      <c r="H7258" s="545">
        <v>3.3333333333333335</v>
      </c>
      <c r="I7258" s="545">
        <v>7</v>
      </c>
      <c r="J7258" s="545">
        <v>7.9761904761904763</v>
      </c>
    </row>
    <row r="7259" spans="1:10">
      <c r="A7259" s="441">
        <v>12949</v>
      </c>
      <c r="B7259" s="441" t="s">
        <v>6014</v>
      </c>
      <c r="C7259" s="545">
        <v>14</v>
      </c>
      <c r="D7259" s="545">
        <v>12.333333333333334</v>
      </c>
      <c r="E7259" s="545">
        <v>8</v>
      </c>
      <c r="F7259" s="545">
        <v>12.904761904761903</v>
      </c>
      <c r="G7259" s="545">
        <v>9.6</v>
      </c>
      <c r="H7259" s="545">
        <v>5</v>
      </c>
      <c r="I7259" s="545">
        <v>2.6666666666666665</v>
      </c>
      <c r="J7259" s="545">
        <v>7.9523809523809517</v>
      </c>
    </row>
    <row r="7260" spans="1:10">
      <c r="A7260" s="441">
        <v>11882</v>
      </c>
      <c r="B7260" s="441" t="s">
        <v>6015</v>
      </c>
      <c r="C7260" s="545">
        <v>7</v>
      </c>
      <c r="D7260" s="545">
        <v>2.3333333333333335</v>
      </c>
      <c r="E7260" s="545">
        <v>1.3333333333333333</v>
      </c>
      <c r="F7260" s="545">
        <v>5.5238095238095246</v>
      </c>
      <c r="G7260" s="545">
        <v>6.45</v>
      </c>
      <c r="H7260" s="545">
        <v>3</v>
      </c>
      <c r="I7260" s="545">
        <v>6.333333333333333</v>
      </c>
      <c r="J7260" s="545">
        <v>5.9404761904761907</v>
      </c>
    </row>
    <row r="7261" spans="1:10">
      <c r="A7261" s="441">
        <v>6808</v>
      </c>
      <c r="B7261" s="441" t="s">
        <v>6016</v>
      </c>
      <c r="C7261" s="545">
        <v>26.666666666666664</v>
      </c>
      <c r="D7261" s="545">
        <v>22.333333333333332</v>
      </c>
      <c r="E7261" s="545">
        <v>24</v>
      </c>
      <c r="F7261" s="545">
        <v>25.666666666666664</v>
      </c>
      <c r="G7261" s="545">
        <v>18.899999999999999</v>
      </c>
      <c r="H7261" s="545">
        <v>15.333333333333334</v>
      </c>
      <c r="I7261" s="545">
        <v>11</v>
      </c>
      <c r="J7261" s="545">
        <v>17.261904761904763</v>
      </c>
    </row>
    <row r="7262" spans="1:10">
      <c r="A7262" s="441">
        <v>6811</v>
      </c>
      <c r="B7262" s="441" t="s">
        <v>6016</v>
      </c>
      <c r="C7262" s="545">
        <v>22.5</v>
      </c>
      <c r="D7262" s="545">
        <v>10</v>
      </c>
      <c r="E7262" s="545">
        <v>13</v>
      </c>
      <c r="F7262" s="545">
        <v>19.357142857142858</v>
      </c>
      <c r="G7262" s="545">
        <v>20.25</v>
      </c>
      <c r="H7262" s="545">
        <v>17.666666666666668</v>
      </c>
      <c r="I7262" s="545">
        <v>9.3333333333333339</v>
      </c>
      <c r="J7262" s="545">
        <v>18.321428571428573</v>
      </c>
    </row>
    <row r="7263" spans="1:10">
      <c r="A7263" s="441">
        <v>11803</v>
      </c>
      <c r="B7263" s="441" t="s">
        <v>6016</v>
      </c>
      <c r="C7263" s="545">
        <v>4.333333333333333</v>
      </c>
      <c r="D7263" s="545">
        <v>2</v>
      </c>
      <c r="E7263" s="545">
        <v>1.3333333333333333</v>
      </c>
      <c r="F7263" s="545">
        <v>3.5714285714285707</v>
      </c>
      <c r="G7263" s="545">
        <v>2.5499999999999998</v>
      </c>
      <c r="H7263" s="545">
        <v>1.6666666666666667</v>
      </c>
      <c r="I7263" s="545">
        <v>1.6666666666666667</v>
      </c>
      <c r="J7263" s="545">
        <v>2.2976190476190474</v>
      </c>
    </row>
    <row r="7264" spans="1:10">
      <c r="A7264" s="441">
        <v>6802</v>
      </c>
      <c r="B7264" s="441" t="s">
        <v>6017</v>
      </c>
      <c r="C7264" s="545">
        <v>32.666666666666664</v>
      </c>
      <c r="D7264" s="545">
        <v>29</v>
      </c>
      <c r="E7264" s="545">
        <v>25.333333333333336</v>
      </c>
      <c r="F7264" s="545">
        <v>31.095238095238095</v>
      </c>
      <c r="G7264" s="545">
        <v>20.6</v>
      </c>
      <c r="H7264" s="545">
        <v>12</v>
      </c>
      <c r="I7264" s="545">
        <v>19</v>
      </c>
      <c r="J7264" s="545">
        <v>19.142857142857142</v>
      </c>
    </row>
    <row r="7265" spans="1:10">
      <c r="A7265" s="441">
        <v>6815</v>
      </c>
      <c r="B7265" s="441" t="s">
        <v>6017</v>
      </c>
      <c r="C7265" s="545">
        <v>44.333333333333329</v>
      </c>
      <c r="D7265" s="545">
        <v>29</v>
      </c>
      <c r="E7265" s="545">
        <v>17.333333333333332</v>
      </c>
      <c r="F7265" s="545">
        <v>38.285714285714278</v>
      </c>
      <c r="G7265" s="545">
        <v>24.85</v>
      </c>
      <c r="H7265" s="545">
        <v>27</v>
      </c>
      <c r="I7265" s="545">
        <v>17.666666666666668</v>
      </c>
      <c r="J7265" s="545">
        <v>24.13095238095238</v>
      </c>
    </row>
    <row r="7266" spans="1:10">
      <c r="A7266" s="441">
        <v>13002</v>
      </c>
      <c r="B7266" s="441" t="s">
        <v>6018</v>
      </c>
      <c r="C7266" s="545">
        <v>4.333333333333333</v>
      </c>
      <c r="D7266" s="545">
        <v>2</v>
      </c>
      <c r="E7266" s="545">
        <v>1.6666666666666665</v>
      </c>
      <c r="F7266" s="545">
        <v>3.6190476190476191</v>
      </c>
      <c r="G7266" s="545">
        <v>1.25</v>
      </c>
      <c r="H7266" s="545">
        <v>2</v>
      </c>
      <c r="I7266" s="545">
        <v>1.3333333333333333</v>
      </c>
      <c r="J7266" s="545">
        <v>1.3690476190476191</v>
      </c>
    </row>
    <row r="7267" spans="1:10">
      <c r="A7267" s="441">
        <v>6801</v>
      </c>
      <c r="B7267" s="441" t="s">
        <v>6019</v>
      </c>
      <c r="C7267" s="545">
        <v>89.166666666666671</v>
      </c>
      <c r="D7267" s="545">
        <v>80.333333333333329</v>
      </c>
      <c r="E7267" s="545">
        <v>63</v>
      </c>
      <c r="F7267" s="545">
        <v>84.166666666666671</v>
      </c>
      <c r="G7267" s="545">
        <v>48.8</v>
      </c>
      <c r="H7267" s="545">
        <v>50</v>
      </c>
      <c r="I7267" s="545">
        <v>26</v>
      </c>
      <c r="J7267" s="545">
        <v>45.714285714285715</v>
      </c>
    </row>
    <row r="7268" spans="1:10">
      <c r="A7268" s="441">
        <v>6816</v>
      </c>
      <c r="B7268" s="441" t="s">
        <v>6019</v>
      </c>
      <c r="C7268" s="545">
        <v>68.833333333333329</v>
      </c>
      <c r="D7268" s="545">
        <v>42</v>
      </c>
      <c r="E7268" s="545">
        <v>39.666666666666664</v>
      </c>
      <c r="F7268" s="545">
        <v>60.833333333333329</v>
      </c>
      <c r="G7268" s="545">
        <v>38.35</v>
      </c>
      <c r="H7268" s="545">
        <v>33.333333333333336</v>
      </c>
      <c r="I7268" s="545">
        <v>20.666666666666668</v>
      </c>
      <c r="J7268" s="545">
        <v>35.107142857142854</v>
      </c>
    </row>
    <row r="7269" spans="1:10">
      <c r="A7269" s="441">
        <v>6813</v>
      </c>
      <c r="B7269" s="441" t="s">
        <v>6020</v>
      </c>
      <c r="C7269" s="545">
        <v>12.166666666666668</v>
      </c>
      <c r="D7269" s="545">
        <v>7</v>
      </c>
      <c r="E7269" s="545">
        <v>2.3333333333333335</v>
      </c>
      <c r="F7269" s="545">
        <v>10.023809523809524</v>
      </c>
      <c r="G7269" s="545">
        <v>12.25</v>
      </c>
      <c r="H7269" s="545">
        <v>10</v>
      </c>
      <c r="I7269" s="545">
        <v>5</v>
      </c>
      <c r="J7269" s="545">
        <v>10.892857142857142</v>
      </c>
    </row>
    <row r="7270" spans="1:10">
      <c r="A7270" s="441">
        <v>6799</v>
      </c>
      <c r="B7270" s="441" t="s">
        <v>6021</v>
      </c>
      <c r="C7270" s="545">
        <v>7.8333333333333339</v>
      </c>
      <c r="D7270" s="545">
        <v>1.6666666666666665</v>
      </c>
      <c r="E7270" s="545">
        <v>0.66666666666666663</v>
      </c>
      <c r="F7270" s="545">
        <v>5.9285714285714288</v>
      </c>
      <c r="G7270" s="545">
        <v>3.85</v>
      </c>
      <c r="H7270" s="545">
        <v>5.333333333333333</v>
      </c>
      <c r="I7270" s="545">
        <v>5</v>
      </c>
      <c r="J7270" s="545">
        <v>4.2261904761904763</v>
      </c>
    </row>
    <row r="7271" spans="1:10">
      <c r="A7271" s="441">
        <v>10071</v>
      </c>
      <c r="B7271" s="441" t="s">
        <v>6021</v>
      </c>
      <c r="C7271" s="545">
        <v>7.666666666666667</v>
      </c>
      <c r="D7271" s="545">
        <v>0.66666666666666663</v>
      </c>
      <c r="E7271" s="545">
        <v>1.3333333333333333</v>
      </c>
      <c r="F7271" s="545">
        <v>5.7619047619047619</v>
      </c>
      <c r="G7271" s="545">
        <v>0.65</v>
      </c>
      <c r="H7271" s="545">
        <v>0.33333333333333331</v>
      </c>
      <c r="I7271" s="545">
        <v>8</v>
      </c>
      <c r="J7271" s="545">
        <v>1.6547619047619049</v>
      </c>
    </row>
    <row r="7272" spans="1:10">
      <c r="A7272" s="441">
        <v>11801</v>
      </c>
      <c r="B7272" s="441" t="s">
        <v>6022</v>
      </c>
      <c r="C7272" s="545">
        <v>13.833333333333332</v>
      </c>
      <c r="D7272" s="545">
        <v>6.6666666666666661</v>
      </c>
      <c r="E7272" s="545">
        <v>4.666666666666667</v>
      </c>
      <c r="F7272" s="545">
        <v>11.5</v>
      </c>
      <c r="G7272" s="545">
        <v>7.05</v>
      </c>
      <c r="H7272" s="545">
        <v>2</v>
      </c>
      <c r="I7272" s="545">
        <v>7</v>
      </c>
      <c r="J7272" s="545">
        <v>6.3214285714285712</v>
      </c>
    </row>
    <row r="7273" spans="1:10">
      <c r="A7273" s="441">
        <v>10069</v>
      </c>
      <c r="B7273" s="441" t="s">
        <v>6023</v>
      </c>
      <c r="C7273" s="545">
        <v>2.6666666666666665</v>
      </c>
      <c r="D7273" s="545">
        <v>0</v>
      </c>
      <c r="E7273" s="545">
        <v>0</v>
      </c>
      <c r="F7273" s="545">
        <v>1.9047619047619047</v>
      </c>
      <c r="G7273" s="545">
        <v>1.9</v>
      </c>
      <c r="H7273" s="545">
        <v>5</v>
      </c>
      <c r="I7273" s="545">
        <v>1</v>
      </c>
      <c r="J7273" s="545">
        <v>2.2142857142857144</v>
      </c>
    </row>
    <row r="7274" spans="1:10">
      <c r="A7274" s="441">
        <v>10705</v>
      </c>
      <c r="B7274" s="441" t="s">
        <v>6024</v>
      </c>
      <c r="C7274" s="545">
        <v>4</v>
      </c>
      <c r="D7274" s="545">
        <v>2.6666666666666665</v>
      </c>
      <c r="E7274" s="545">
        <v>2</v>
      </c>
      <c r="F7274" s="545">
        <v>3.5238095238095242</v>
      </c>
      <c r="G7274" s="545">
        <v>1.75</v>
      </c>
      <c r="H7274" s="545">
        <v>2.6666666666666665</v>
      </c>
      <c r="I7274" s="545">
        <v>1</v>
      </c>
      <c r="J7274" s="545">
        <v>1.7738095238095237</v>
      </c>
    </row>
    <row r="7275" spans="1:10">
      <c r="A7275" s="441">
        <v>6818</v>
      </c>
      <c r="B7275" s="441" t="s">
        <v>6025</v>
      </c>
      <c r="C7275" s="545">
        <v>13.666666666666666</v>
      </c>
      <c r="D7275" s="545">
        <v>8.3333333333333339</v>
      </c>
      <c r="E7275" s="545">
        <v>10.333333333333332</v>
      </c>
      <c r="F7275" s="545">
        <v>12.428571428571427</v>
      </c>
      <c r="G7275" s="545">
        <v>7.3</v>
      </c>
      <c r="H7275" s="545">
        <v>7.333333333333333</v>
      </c>
      <c r="I7275" s="545">
        <v>4</v>
      </c>
      <c r="J7275" s="545">
        <v>6.8333333333333339</v>
      </c>
    </row>
    <row r="7276" spans="1:10">
      <c r="A7276" s="441">
        <v>11429</v>
      </c>
      <c r="B7276" s="441" t="s">
        <v>6026</v>
      </c>
      <c r="C7276" s="545">
        <v>6</v>
      </c>
      <c r="D7276" s="545">
        <v>2.333333333333333</v>
      </c>
      <c r="E7276" s="545">
        <v>7.3333333333333339</v>
      </c>
      <c r="F7276" s="545">
        <v>5.666666666666667</v>
      </c>
      <c r="G7276" s="545">
        <v>0.6</v>
      </c>
      <c r="H7276" s="545">
        <v>0.33333333333333331</v>
      </c>
      <c r="I7276" s="545">
        <v>0.33333333333333331</v>
      </c>
      <c r="J7276" s="545">
        <v>0.52380952380952384</v>
      </c>
    </row>
    <row r="7277" spans="1:10">
      <c r="A7277" s="441">
        <v>11430</v>
      </c>
      <c r="B7277" s="441" t="s">
        <v>6026</v>
      </c>
      <c r="C7277" s="545">
        <v>9.3333333333333339</v>
      </c>
      <c r="D7277" s="545">
        <v>8.3333333333333339</v>
      </c>
      <c r="E7277" s="545">
        <v>6.666666666666667</v>
      </c>
      <c r="F7277" s="545">
        <v>8.8095238095238102</v>
      </c>
      <c r="G7277" s="545">
        <v>8.4</v>
      </c>
      <c r="H7277" s="545">
        <v>8</v>
      </c>
      <c r="I7277" s="545">
        <v>3.6666666666666665</v>
      </c>
      <c r="J7277" s="545">
        <v>7.6666666666666661</v>
      </c>
    </row>
    <row r="7278" spans="1:10">
      <c r="A7278" s="441">
        <v>6812</v>
      </c>
      <c r="B7278" s="441" t="s">
        <v>6027</v>
      </c>
      <c r="C7278" s="545">
        <v>7.6666666666666661</v>
      </c>
      <c r="D7278" s="545">
        <v>4</v>
      </c>
      <c r="E7278" s="545">
        <v>6</v>
      </c>
      <c r="F7278" s="545">
        <v>6.9047619047619042</v>
      </c>
      <c r="G7278" s="545">
        <v>6.95</v>
      </c>
      <c r="H7278" s="545">
        <v>11.666666666666666</v>
      </c>
      <c r="I7278" s="545">
        <v>3</v>
      </c>
      <c r="J7278" s="545">
        <v>7.0595238095238093</v>
      </c>
    </row>
    <row r="7279" spans="1:10">
      <c r="A7279" s="441">
        <v>12056</v>
      </c>
      <c r="B7279" s="441" t="s">
        <v>6027</v>
      </c>
      <c r="C7279" s="545">
        <v>7</v>
      </c>
      <c r="D7279" s="545">
        <v>3.3333333333333335</v>
      </c>
      <c r="E7279" s="545">
        <v>4.6666666666666661</v>
      </c>
      <c r="F7279" s="545">
        <v>6.1428571428571432</v>
      </c>
      <c r="G7279" s="545">
        <v>6.3</v>
      </c>
      <c r="H7279" s="545">
        <v>4.333333333333333</v>
      </c>
      <c r="I7279" s="545">
        <v>3</v>
      </c>
      <c r="J7279" s="545">
        <v>5.5476190476190483</v>
      </c>
    </row>
    <row r="7280" spans="1:10">
      <c r="A7280" s="441">
        <v>6807</v>
      </c>
      <c r="B7280" s="441" t="s">
        <v>6028</v>
      </c>
      <c r="C7280" s="545">
        <v>0.33333333333333331</v>
      </c>
      <c r="D7280" s="545">
        <v>0</v>
      </c>
      <c r="E7280" s="545">
        <v>0</v>
      </c>
      <c r="F7280" s="545">
        <v>0.23809523809523808</v>
      </c>
      <c r="G7280" s="545">
        <v>1.3</v>
      </c>
      <c r="H7280" s="545">
        <v>2.6666666666666665</v>
      </c>
      <c r="I7280" s="545">
        <v>2</v>
      </c>
      <c r="J7280" s="545">
        <v>1.5952380952380951</v>
      </c>
    </row>
    <row r="7281" spans="1:10">
      <c r="A7281" s="441">
        <v>6806</v>
      </c>
      <c r="B7281" s="441" t="s">
        <v>6029</v>
      </c>
      <c r="C7281" s="545">
        <v>16.5</v>
      </c>
      <c r="D7281" s="545">
        <v>13.333333333333334</v>
      </c>
      <c r="E7281" s="545">
        <v>11.666666666666666</v>
      </c>
      <c r="F7281" s="545">
        <v>15.357142857142858</v>
      </c>
      <c r="G7281" s="545">
        <v>13.3</v>
      </c>
      <c r="H7281" s="545">
        <v>13.666666666666666</v>
      </c>
      <c r="I7281" s="545">
        <v>7.333333333333333</v>
      </c>
      <c r="J7281" s="545">
        <v>12.5</v>
      </c>
    </row>
    <row r="7282" spans="1:10">
      <c r="A7282" s="441">
        <v>12166</v>
      </c>
      <c r="B7282" s="441" t="s">
        <v>6030</v>
      </c>
      <c r="C7282" s="545">
        <v>15</v>
      </c>
      <c r="D7282" s="545">
        <v>9.6666666666666661</v>
      </c>
      <c r="E7282" s="545">
        <v>13</v>
      </c>
      <c r="F7282" s="545">
        <v>13.952380952380953</v>
      </c>
      <c r="G7282" s="545">
        <v>21.7</v>
      </c>
      <c r="H7282" s="545">
        <v>23.666666666666668</v>
      </c>
      <c r="I7282" s="545">
        <v>9.6666666666666661</v>
      </c>
      <c r="J7282" s="545">
        <v>20.261904761904759</v>
      </c>
    </row>
    <row r="7283" spans="1:10">
      <c r="A7283" s="441">
        <v>6800</v>
      </c>
      <c r="B7283" s="441" t="s">
        <v>6031</v>
      </c>
      <c r="C7283" s="545">
        <v>22.333333333333332</v>
      </c>
      <c r="D7283" s="545">
        <v>17.666666666666664</v>
      </c>
      <c r="E7283" s="545">
        <v>14.333333333333334</v>
      </c>
      <c r="F7283" s="545">
        <v>20.523809523809522</v>
      </c>
      <c r="G7283" s="545">
        <v>19</v>
      </c>
      <c r="H7283" s="545">
        <v>19</v>
      </c>
      <c r="I7283" s="545">
        <v>19</v>
      </c>
      <c r="J7283" s="545">
        <v>19</v>
      </c>
    </row>
    <row r="7284" spans="1:10">
      <c r="A7284" s="441">
        <v>6817</v>
      </c>
      <c r="B7284" s="441" t="s">
        <v>6031</v>
      </c>
      <c r="C7284" s="545">
        <v>17</v>
      </c>
      <c r="D7284" s="545">
        <v>13.333333333333334</v>
      </c>
      <c r="E7284" s="545">
        <v>10.333333333333332</v>
      </c>
      <c r="F7284" s="545">
        <v>15.523809523809522</v>
      </c>
      <c r="G7284" s="545">
        <v>15.95</v>
      </c>
      <c r="H7284" s="545">
        <v>16.333333333333332</v>
      </c>
      <c r="I7284" s="545">
        <v>6.333333333333333</v>
      </c>
      <c r="J7284" s="545">
        <v>14.63095238095238</v>
      </c>
    </row>
    <row r="7285" spans="1:10">
      <c r="A7285" s="441">
        <v>6803</v>
      </c>
      <c r="B7285" s="441" t="s">
        <v>6032</v>
      </c>
      <c r="C7285" s="545">
        <v>481.66666666666663</v>
      </c>
      <c r="D7285" s="545">
        <v>365.33333333333337</v>
      </c>
      <c r="E7285" s="545">
        <v>323.66666666666663</v>
      </c>
      <c r="F7285" s="545">
        <v>442.47619047619042</v>
      </c>
      <c r="G7285" s="545">
        <v>365.9</v>
      </c>
      <c r="H7285" s="545">
        <v>240.33333333333334</v>
      </c>
      <c r="I7285" s="545">
        <v>167.66666666666666</v>
      </c>
      <c r="J7285" s="545">
        <v>319.64285714285717</v>
      </c>
    </row>
    <row r="7286" spans="1:10">
      <c r="A7286" s="441">
        <v>6814</v>
      </c>
      <c r="B7286" s="441" t="s">
        <v>6032</v>
      </c>
      <c r="C7286" s="545">
        <v>11.166666666666666</v>
      </c>
      <c r="D7286" s="545">
        <v>6.6666666666666661</v>
      </c>
      <c r="E7286" s="545">
        <v>5.666666666666667</v>
      </c>
      <c r="F7286" s="545">
        <v>9.7380952380952372</v>
      </c>
      <c r="G7286" s="545">
        <v>7.95</v>
      </c>
      <c r="H7286" s="545">
        <v>7.666666666666667</v>
      </c>
      <c r="I7286" s="545">
        <v>5.666666666666667</v>
      </c>
      <c r="J7286" s="545">
        <v>7.583333333333333</v>
      </c>
    </row>
    <row r="7287" spans="1:10">
      <c r="A7287" s="441">
        <v>10965</v>
      </c>
      <c r="B7287" s="441" t="s">
        <v>6033</v>
      </c>
      <c r="C7287" s="545">
        <v>59.166666666666664</v>
      </c>
      <c r="D7287" s="545">
        <v>26.666666666666664</v>
      </c>
      <c r="E7287" s="545">
        <v>16.666666666666664</v>
      </c>
      <c r="F7287" s="545">
        <v>48.452380952380956</v>
      </c>
      <c r="G7287" s="545">
        <v>49.8</v>
      </c>
      <c r="H7287" s="545">
        <v>31.333333333333332</v>
      </c>
      <c r="I7287" s="545">
        <v>34.333333333333336</v>
      </c>
      <c r="J7287" s="545">
        <v>44.952380952380949</v>
      </c>
    </row>
    <row r="7288" spans="1:10">
      <c r="A7288" s="441">
        <v>4767</v>
      </c>
      <c r="B7288" s="441" t="s">
        <v>6034</v>
      </c>
      <c r="C7288" s="545">
        <v>8</v>
      </c>
      <c r="D7288" s="545">
        <v>5</v>
      </c>
      <c r="E7288" s="545">
        <v>0.66666666666666663</v>
      </c>
      <c r="F7288" s="545">
        <v>6.5238095238095237</v>
      </c>
      <c r="G7288" s="545">
        <v>2.85</v>
      </c>
      <c r="H7288" s="545">
        <v>0.33333333333333331</v>
      </c>
      <c r="I7288" s="545">
        <v>0</v>
      </c>
      <c r="J7288" s="545">
        <v>2.0833333333333335</v>
      </c>
    </row>
    <row r="7289" spans="1:10">
      <c r="A7289" s="441">
        <v>4769</v>
      </c>
      <c r="B7289" s="441" t="s">
        <v>6034</v>
      </c>
      <c r="C7289" s="545">
        <v>7</v>
      </c>
      <c r="D7289" s="545">
        <v>2.3333333333333335</v>
      </c>
      <c r="E7289" s="545">
        <v>1</v>
      </c>
      <c r="F7289" s="545">
        <v>5.4761904761904763</v>
      </c>
      <c r="G7289" s="545">
        <v>2</v>
      </c>
      <c r="H7289" s="545">
        <v>0</v>
      </c>
      <c r="I7289" s="545">
        <v>0</v>
      </c>
      <c r="J7289" s="545">
        <v>1.4285714285714286</v>
      </c>
    </row>
    <row r="7290" spans="1:10">
      <c r="A7290" s="441">
        <v>4770</v>
      </c>
      <c r="B7290" s="441" t="s">
        <v>6035</v>
      </c>
      <c r="C7290" s="545">
        <v>26.333333333333336</v>
      </c>
      <c r="D7290" s="545">
        <v>2.3333333333333335</v>
      </c>
      <c r="E7290" s="545">
        <v>1.3333333333333333</v>
      </c>
      <c r="F7290" s="545">
        <v>19.333333333333339</v>
      </c>
      <c r="G7290" s="545">
        <v>16.7</v>
      </c>
      <c r="H7290" s="545">
        <v>16</v>
      </c>
      <c r="I7290" s="545">
        <v>20.666666666666668</v>
      </c>
      <c r="J7290" s="545">
        <v>17.166666666666668</v>
      </c>
    </row>
    <row r="7291" spans="1:10">
      <c r="A7291" s="441">
        <v>628</v>
      </c>
      <c r="B7291" s="441" t="s">
        <v>6036</v>
      </c>
      <c r="C7291" s="545">
        <v>190.83333333333334</v>
      </c>
      <c r="D7291" s="545">
        <v>8.6666666666666661</v>
      </c>
      <c r="E7291" s="545">
        <v>10.666666666666668</v>
      </c>
      <c r="F7291" s="545">
        <v>139.07142857142858</v>
      </c>
      <c r="G7291" s="545">
        <v>79.349999999999994</v>
      </c>
      <c r="H7291" s="545">
        <v>7.333333333333333</v>
      </c>
      <c r="I7291" s="545">
        <v>13.333333333333334</v>
      </c>
      <c r="J7291" s="545">
        <v>59.630952380952372</v>
      </c>
    </row>
    <row r="7292" spans="1:10">
      <c r="A7292" s="441">
        <v>665</v>
      </c>
      <c r="B7292" s="441" t="s">
        <v>6037</v>
      </c>
      <c r="C7292" s="545">
        <v>455.16666666666669</v>
      </c>
      <c r="D7292" s="545">
        <v>0</v>
      </c>
      <c r="E7292" s="545">
        <v>0</v>
      </c>
      <c r="F7292" s="545">
        <v>325.11904761904765</v>
      </c>
      <c r="G7292" s="545">
        <v>165.1</v>
      </c>
      <c r="H7292" s="545"/>
      <c r="I7292" s="545"/>
      <c r="J7292" s="545">
        <v>117.92857142857143</v>
      </c>
    </row>
    <row r="7293" spans="1:10">
      <c r="A7293" s="441">
        <v>629</v>
      </c>
      <c r="B7293" s="441" t="s">
        <v>6038</v>
      </c>
      <c r="C7293" s="545">
        <v>256.83333333333331</v>
      </c>
      <c r="D7293" s="545">
        <v>13</v>
      </c>
      <c r="E7293" s="545">
        <v>14</v>
      </c>
      <c r="F7293" s="545">
        <v>187.3095238095238</v>
      </c>
      <c r="G7293" s="545">
        <v>27.15</v>
      </c>
      <c r="H7293" s="545">
        <v>15.666666666666666</v>
      </c>
      <c r="I7293" s="545">
        <v>9</v>
      </c>
      <c r="J7293" s="545">
        <v>22.916666666666664</v>
      </c>
    </row>
    <row r="7294" spans="1:10">
      <c r="A7294" s="441">
        <v>631</v>
      </c>
      <c r="B7294" s="441" t="s">
        <v>6039</v>
      </c>
      <c r="C7294" s="545">
        <v>243.33333333333331</v>
      </c>
      <c r="D7294" s="545">
        <v>0</v>
      </c>
      <c r="E7294" s="545">
        <v>0</v>
      </c>
      <c r="F7294" s="545">
        <v>173.8095238095238</v>
      </c>
      <c r="G7294" s="545">
        <v>104.55</v>
      </c>
      <c r="H7294" s="545"/>
      <c r="I7294" s="545"/>
      <c r="J7294" s="545">
        <v>74.678571428571431</v>
      </c>
    </row>
    <row r="7295" spans="1:10">
      <c r="A7295" s="441">
        <v>660</v>
      </c>
      <c r="B7295" s="441" t="s">
        <v>6040</v>
      </c>
      <c r="C7295" s="545">
        <v>563.33333333333337</v>
      </c>
      <c r="D7295" s="545">
        <v>72</v>
      </c>
      <c r="E7295" s="545">
        <v>61</v>
      </c>
      <c r="F7295" s="545">
        <v>421.38095238095241</v>
      </c>
      <c r="G7295" s="545">
        <v>41.65</v>
      </c>
      <c r="H7295" s="545">
        <v>34</v>
      </c>
      <c r="I7295" s="545">
        <v>27</v>
      </c>
      <c r="J7295" s="545">
        <v>38.464285714285715</v>
      </c>
    </row>
    <row r="7296" spans="1:10">
      <c r="A7296" s="441">
        <v>632</v>
      </c>
      <c r="B7296" s="441" t="s">
        <v>6041</v>
      </c>
      <c r="C7296" s="545">
        <v>147.16666666666666</v>
      </c>
      <c r="D7296" s="545">
        <v>67</v>
      </c>
      <c r="E7296" s="545">
        <v>50.333333333333336</v>
      </c>
      <c r="F7296" s="545">
        <v>121.88095238095238</v>
      </c>
      <c r="G7296" s="545">
        <v>87.45</v>
      </c>
      <c r="H7296" s="545">
        <v>55.666666666666664</v>
      </c>
      <c r="I7296" s="545">
        <v>46</v>
      </c>
      <c r="J7296" s="545">
        <v>76.988095238095255</v>
      </c>
    </row>
    <row r="7297" spans="1:10">
      <c r="A7297" s="441">
        <v>9582</v>
      </c>
      <c r="B7297" s="441" t="s">
        <v>6042</v>
      </c>
      <c r="C7297" s="545">
        <v>82.833333333333329</v>
      </c>
      <c r="D7297" s="545">
        <v>56.666666666666671</v>
      </c>
      <c r="E7297" s="545">
        <v>63</v>
      </c>
      <c r="F7297" s="545">
        <v>76.261904761904745</v>
      </c>
      <c r="G7297" s="545">
        <v>48.85</v>
      </c>
      <c r="H7297" s="545">
        <v>21.333333333333332</v>
      </c>
      <c r="I7297" s="545">
        <v>23</v>
      </c>
      <c r="J7297" s="545">
        <v>41.226190476190474</v>
      </c>
    </row>
    <row r="7298" spans="1:10">
      <c r="A7298" s="441">
        <v>13052</v>
      </c>
      <c r="B7298" s="441" t="s">
        <v>6043</v>
      </c>
      <c r="C7298" s="545">
        <v>38.666666666666664</v>
      </c>
      <c r="D7298" s="545">
        <v>39</v>
      </c>
      <c r="E7298" s="545">
        <v>31</v>
      </c>
      <c r="F7298" s="545">
        <v>37.619047619047613</v>
      </c>
      <c r="G7298" s="545">
        <v>38.200000000000003</v>
      </c>
      <c r="H7298" s="545">
        <v>30.666666666666668</v>
      </c>
      <c r="I7298" s="545">
        <v>35.666666666666664</v>
      </c>
      <c r="J7298" s="545">
        <v>36.761904761904759</v>
      </c>
    </row>
    <row r="7299" spans="1:10">
      <c r="A7299" s="441">
        <v>661</v>
      </c>
      <c r="B7299" s="441" t="s">
        <v>6044</v>
      </c>
      <c r="C7299" s="545">
        <v>686.33333333333326</v>
      </c>
      <c r="D7299" s="545">
        <v>98</v>
      </c>
      <c r="E7299" s="545">
        <v>57</v>
      </c>
      <c r="F7299" s="545">
        <v>512.38095238095229</v>
      </c>
      <c r="G7299" s="545">
        <v>237.85</v>
      </c>
      <c r="H7299" s="545">
        <v>68</v>
      </c>
      <c r="I7299" s="545">
        <v>41</v>
      </c>
      <c r="J7299" s="545">
        <v>185.46428571428572</v>
      </c>
    </row>
    <row r="7300" spans="1:10">
      <c r="A7300" s="441">
        <v>627</v>
      </c>
      <c r="B7300" s="441" t="s">
        <v>6045</v>
      </c>
      <c r="C7300" s="545">
        <v>182.66666666666666</v>
      </c>
      <c r="D7300" s="545">
        <v>15.333333333333334</v>
      </c>
      <c r="E7300" s="545">
        <v>12.333333333333334</v>
      </c>
      <c r="F7300" s="545">
        <v>134.42857142857142</v>
      </c>
      <c r="G7300" s="545">
        <v>40.1</v>
      </c>
      <c r="H7300" s="545">
        <v>25</v>
      </c>
      <c r="I7300" s="545">
        <v>21.333333333333332</v>
      </c>
      <c r="J7300" s="545">
        <v>35.261904761904766</v>
      </c>
    </row>
    <row r="7301" spans="1:10">
      <c r="A7301" s="441">
        <v>9493</v>
      </c>
      <c r="B7301" s="441" t="s">
        <v>6046</v>
      </c>
      <c r="C7301" s="545">
        <v>132</v>
      </c>
      <c r="D7301" s="545">
        <v>91.333333333333329</v>
      </c>
      <c r="E7301" s="545">
        <v>75.333333333333343</v>
      </c>
      <c r="F7301" s="545">
        <v>118.0952380952381</v>
      </c>
      <c r="G7301" s="545">
        <v>115.6</v>
      </c>
      <c r="H7301" s="545">
        <v>66.333333333333329</v>
      </c>
      <c r="I7301" s="545">
        <v>58.666666666666664</v>
      </c>
      <c r="J7301" s="545">
        <v>100.42857142857143</v>
      </c>
    </row>
    <row r="7302" spans="1:10">
      <c r="A7302" s="441">
        <v>662</v>
      </c>
      <c r="B7302" s="441" t="s">
        <v>6047</v>
      </c>
      <c r="C7302" s="545">
        <v>695.5</v>
      </c>
      <c r="D7302" s="545">
        <v>64</v>
      </c>
      <c r="E7302" s="545">
        <v>51.333333333333336</v>
      </c>
      <c r="F7302" s="545">
        <v>513.26190476190482</v>
      </c>
      <c r="G7302" s="545">
        <v>72.5</v>
      </c>
      <c r="H7302" s="545">
        <v>61</v>
      </c>
      <c r="I7302" s="545">
        <v>38</v>
      </c>
      <c r="J7302" s="545">
        <v>65.928571428571431</v>
      </c>
    </row>
    <row r="7303" spans="1:10">
      <c r="A7303" s="441">
        <v>626</v>
      </c>
      <c r="B7303" s="441" t="s">
        <v>6048</v>
      </c>
      <c r="C7303" s="545">
        <v>306.66666666666669</v>
      </c>
      <c r="D7303" s="545">
        <v>15.666666666666666</v>
      </c>
      <c r="E7303" s="545">
        <v>9.6666666666666679</v>
      </c>
      <c r="F7303" s="545">
        <v>222.66666666666671</v>
      </c>
      <c r="G7303" s="545">
        <v>102.1</v>
      </c>
      <c r="H7303" s="545"/>
      <c r="I7303" s="545"/>
      <c r="J7303" s="545">
        <v>72.928571428571431</v>
      </c>
    </row>
    <row r="7304" spans="1:10">
      <c r="A7304" s="441">
        <v>10515</v>
      </c>
      <c r="B7304" s="441" t="s">
        <v>6049</v>
      </c>
      <c r="C7304" s="545" t="e">
        <v>#N/A</v>
      </c>
      <c r="D7304" s="545" t="e">
        <v>#N/A</v>
      </c>
      <c r="E7304" s="545" t="e">
        <v>#N/A</v>
      </c>
      <c r="F7304" s="545" t="e">
        <v>#N/A</v>
      </c>
      <c r="G7304" s="545">
        <v>0.26315789473684209</v>
      </c>
      <c r="H7304" s="545"/>
      <c r="I7304" s="545"/>
      <c r="J7304" s="545">
        <v>0.18796992481203006</v>
      </c>
    </row>
    <row r="7305" spans="1:10">
      <c r="A7305" s="441">
        <v>685</v>
      </c>
      <c r="B7305" s="441" t="s">
        <v>6050</v>
      </c>
      <c r="C7305" s="545">
        <v>289.5</v>
      </c>
      <c r="D7305" s="545">
        <v>42.666666666666664</v>
      </c>
      <c r="E7305" s="545">
        <v>41</v>
      </c>
      <c r="F7305" s="545">
        <v>218.73809523809524</v>
      </c>
      <c r="G7305" s="545">
        <v>101.7</v>
      </c>
      <c r="H7305" s="545">
        <v>24</v>
      </c>
      <c r="I7305" s="545">
        <v>25.333333333333332</v>
      </c>
      <c r="J7305" s="545">
        <v>79.69047619047619</v>
      </c>
    </row>
    <row r="7306" spans="1:10">
      <c r="A7306" s="441">
        <v>667</v>
      </c>
      <c r="B7306" s="441" t="s">
        <v>6051</v>
      </c>
      <c r="C7306" s="545">
        <v>169.16666666666669</v>
      </c>
      <c r="D7306" s="545">
        <v>71.333333333333343</v>
      </c>
      <c r="E7306" s="545">
        <v>44</v>
      </c>
      <c r="F7306" s="545">
        <v>137.30952380952382</v>
      </c>
      <c r="G7306" s="545">
        <v>101.5</v>
      </c>
      <c r="H7306" s="545">
        <v>33</v>
      </c>
      <c r="I7306" s="545">
        <v>38.333333333333336</v>
      </c>
      <c r="J7306" s="545">
        <v>82.69047619047619</v>
      </c>
    </row>
    <row r="7307" spans="1:10">
      <c r="A7307" s="441">
        <v>630</v>
      </c>
      <c r="B7307" s="441" t="s">
        <v>6052</v>
      </c>
      <c r="C7307" s="545">
        <v>208.16666666666669</v>
      </c>
      <c r="D7307" s="545">
        <v>99</v>
      </c>
      <c r="E7307" s="545">
        <v>67</v>
      </c>
      <c r="F7307" s="545">
        <v>172.40476190476193</v>
      </c>
      <c r="G7307" s="545">
        <v>78.349999999999994</v>
      </c>
      <c r="H7307" s="545">
        <v>55</v>
      </c>
      <c r="I7307" s="545">
        <v>46</v>
      </c>
      <c r="J7307" s="545">
        <v>70.392857142857139</v>
      </c>
    </row>
    <row r="7308" spans="1:10">
      <c r="A7308" s="441">
        <v>664</v>
      </c>
      <c r="B7308" s="441" t="s">
        <v>6053</v>
      </c>
      <c r="C7308" s="545">
        <v>616.83333333333337</v>
      </c>
      <c r="D7308" s="545">
        <v>216</v>
      </c>
      <c r="E7308" s="545">
        <v>157.66666666666669</v>
      </c>
      <c r="F7308" s="545">
        <v>493.97619047619048</v>
      </c>
      <c r="G7308" s="545">
        <v>194.25</v>
      </c>
      <c r="H7308" s="545">
        <v>112.33333333333333</v>
      </c>
      <c r="I7308" s="545">
        <v>125.33333333333333</v>
      </c>
      <c r="J7308" s="545">
        <v>172.70238095238093</v>
      </c>
    </row>
    <row r="7309" spans="1:10">
      <c r="A7309" s="441">
        <v>624</v>
      </c>
      <c r="B7309" s="441" t="s">
        <v>6054</v>
      </c>
      <c r="C7309" s="545">
        <v>1480</v>
      </c>
      <c r="D7309" s="545">
        <v>862.66666666666663</v>
      </c>
      <c r="E7309" s="545">
        <v>672.33333333333337</v>
      </c>
      <c r="F7309" s="545">
        <v>1276.4285714285713</v>
      </c>
      <c r="G7309" s="545">
        <v>1021.45</v>
      </c>
      <c r="H7309" s="545">
        <v>562.66666666666663</v>
      </c>
      <c r="I7309" s="545">
        <v>504.33333333333331</v>
      </c>
      <c r="J7309" s="545">
        <v>882.03571428571433</v>
      </c>
    </row>
    <row r="7310" spans="1:10">
      <c r="A7310" s="441">
        <v>666</v>
      </c>
      <c r="B7310" s="441" t="s">
        <v>6055</v>
      </c>
      <c r="C7310" s="545">
        <v>371.83333333333331</v>
      </c>
      <c r="D7310" s="545">
        <v>91.666666666666671</v>
      </c>
      <c r="E7310" s="545">
        <v>75</v>
      </c>
      <c r="F7310" s="545">
        <v>289.40476190476187</v>
      </c>
      <c r="G7310" s="545">
        <v>83.65</v>
      </c>
      <c r="H7310" s="545">
        <v>65.333333333333329</v>
      </c>
      <c r="I7310" s="545">
        <v>55.333333333333336</v>
      </c>
      <c r="J7310" s="545">
        <v>76.988095238095227</v>
      </c>
    </row>
    <row r="7311" spans="1:10">
      <c r="A7311" s="441">
        <v>9492</v>
      </c>
      <c r="B7311" s="441" t="s">
        <v>6056</v>
      </c>
      <c r="C7311" s="545">
        <v>60</v>
      </c>
      <c r="D7311" s="545">
        <v>32</v>
      </c>
      <c r="E7311" s="545">
        <v>30</v>
      </c>
      <c r="F7311" s="545">
        <v>51.714285714285715</v>
      </c>
      <c r="G7311" s="545">
        <v>46.95</v>
      </c>
      <c r="H7311" s="545">
        <v>19.333333333333332</v>
      </c>
      <c r="I7311" s="545">
        <v>12.666666666666666</v>
      </c>
      <c r="J7311" s="545">
        <v>38.107142857142854</v>
      </c>
    </row>
    <row r="7312" spans="1:10">
      <c r="A7312" s="441">
        <v>663</v>
      </c>
      <c r="B7312" s="441" t="s">
        <v>6057</v>
      </c>
      <c r="C7312" s="545">
        <v>495</v>
      </c>
      <c r="D7312" s="545">
        <v>0</v>
      </c>
      <c r="E7312" s="545">
        <v>0</v>
      </c>
      <c r="F7312" s="545">
        <v>353.57142857142856</v>
      </c>
      <c r="G7312" s="545">
        <v>151.55000000000001</v>
      </c>
      <c r="H7312" s="545"/>
      <c r="I7312" s="545"/>
      <c r="J7312" s="545">
        <v>108.25</v>
      </c>
    </row>
    <row r="7313" spans="1:10">
      <c r="A7313" s="441">
        <v>12493</v>
      </c>
      <c r="B7313" s="441" t="s">
        <v>6058</v>
      </c>
      <c r="C7313" s="545">
        <v>40.666666666666664</v>
      </c>
      <c r="D7313" s="545">
        <v>33.666666666666671</v>
      </c>
      <c r="E7313" s="545">
        <v>20</v>
      </c>
      <c r="F7313" s="545">
        <v>36.714285714285715</v>
      </c>
      <c r="G7313" s="545">
        <v>25.45</v>
      </c>
      <c r="H7313" s="545">
        <v>18.333333333333332</v>
      </c>
      <c r="I7313" s="545">
        <v>12.333333333333334</v>
      </c>
      <c r="J7313" s="545">
        <v>22.559523809523814</v>
      </c>
    </row>
    <row r="7314" spans="1:10">
      <c r="A7314" s="441">
        <v>8014</v>
      </c>
      <c r="B7314" s="441" t="s">
        <v>6059</v>
      </c>
      <c r="C7314" s="545">
        <v>45.333333333333336</v>
      </c>
      <c r="D7314" s="545">
        <v>33.666666666666664</v>
      </c>
      <c r="E7314" s="545">
        <v>21.333333333333332</v>
      </c>
      <c r="F7314" s="545">
        <v>40.238095238095241</v>
      </c>
      <c r="G7314" s="545">
        <v>28.55</v>
      </c>
      <c r="H7314" s="545">
        <v>15.666666666666666</v>
      </c>
      <c r="I7314" s="545">
        <v>8.6666666666666661</v>
      </c>
      <c r="J7314" s="545">
        <v>23.869047619047617</v>
      </c>
    </row>
    <row r="7315" spans="1:10">
      <c r="A7315" s="441">
        <v>4670</v>
      </c>
      <c r="B7315" s="441" t="s">
        <v>6060</v>
      </c>
      <c r="C7315" s="545">
        <v>0.66666666666666663</v>
      </c>
      <c r="D7315" s="545">
        <v>1.3333333333333333</v>
      </c>
      <c r="E7315" s="545">
        <v>0.33333333333333331</v>
      </c>
      <c r="F7315" s="545">
        <v>0.71428571428571419</v>
      </c>
      <c r="G7315" s="545">
        <v>1.9</v>
      </c>
      <c r="H7315" s="545">
        <v>1</v>
      </c>
      <c r="I7315" s="545">
        <v>0</v>
      </c>
      <c r="J7315" s="545">
        <v>1.5</v>
      </c>
    </row>
    <row r="7316" spans="1:10">
      <c r="A7316" s="441">
        <v>4678</v>
      </c>
      <c r="B7316" s="441" t="s">
        <v>6060</v>
      </c>
      <c r="C7316" s="545">
        <v>1.3333333333333333</v>
      </c>
      <c r="D7316" s="545">
        <v>0</v>
      </c>
      <c r="E7316" s="545">
        <v>0</v>
      </c>
      <c r="F7316" s="545">
        <v>0.95238095238095233</v>
      </c>
      <c r="G7316" s="545">
        <v>0.9</v>
      </c>
      <c r="H7316" s="545">
        <v>0</v>
      </c>
      <c r="I7316" s="545">
        <v>0</v>
      </c>
      <c r="J7316" s="545">
        <v>0.6428571428571429</v>
      </c>
    </row>
    <row r="7317" spans="1:10">
      <c r="A7317" s="441">
        <v>4672</v>
      </c>
      <c r="B7317" s="441" t="s">
        <v>6061</v>
      </c>
      <c r="C7317" s="545">
        <v>0.33333333333333331</v>
      </c>
      <c r="D7317" s="545">
        <v>0.66666666666666663</v>
      </c>
      <c r="E7317" s="545">
        <v>0</v>
      </c>
      <c r="F7317" s="545">
        <v>0.33333333333333331</v>
      </c>
      <c r="G7317" s="545">
        <v>0.1</v>
      </c>
      <c r="H7317" s="545">
        <v>0</v>
      </c>
      <c r="I7317" s="545">
        <v>0</v>
      </c>
      <c r="J7317" s="545">
        <v>7.1428571428571425E-2</v>
      </c>
    </row>
    <row r="7318" spans="1:10">
      <c r="A7318" s="441">
        <v>4675</v>
      </c>
      <c r="B7318" s="441" t="s">
        <v>6061</v>
      </c>
      <c r="C7318" s="545">
        <v>0.16666666666666666</v>
      </c>
      <c r="D7318" s="545">
        <v>0</v>
      </c>
      <c r="E7318" s="545">
        <v>0</v>
      </c>
      <c r="F7318" s="545">
        <v>0.11904761904761904</v>
      </c>
      <c r="G7318" s="545">
        <v>0.7</v>
      </c>
      <c r="H7318" s="545">
        <v>0</v>
      </c>
      <c r="I7318" s="545">
        <v>0.66666666666666663</v>
      </c>
      <c r="J7318" s="545">
        <v>0.59523809523809523</v>
      </c>
    </row>
    <row r="7319" spans="1:10">
      <c r="A7319" s="441">
        <v>4673</v>
      </c>
      <c r="B7319" s="441" t="s">
        <v>6062</v>
      </c>
      <c r="C7319" s="545">
        <v>6.5</v>
      </c>
      <c r="D7319" s="545">
        <v>0.66666666666666663</v>
      </c>
      <c r="E7319" s="545">
        <v>0.66666666666666663</v>
      </c>
      <c r="F7319" s="545">
        <v>4.833333333333333</v>
      </c>
      <c r="G7319" s="545">
        <v>1.8</v>
      </c>
      <c r="H7319" s="545">
        <v>2</v>
      </c>
      <c r="I7319" s="545">
        <v>2.6666666666666665</v>
      </c>
      <c r="J7319" s="545">
        <v>1.9523809523809523</v>
      </c>
    </row>
    <row r="7320" spans="1:10">
      <c r="A7320" s="441">
        <v>4674</v>
      </c>
      <c r="B7320" s="441" t="s">
        <v>6062</v>
      </c>
      <c r="C7320" s="545">
        <v>2.5</v>
      </c>
      <c r="D7320" s="545">
        <v>2.3333333333333335</v>
      </c>
      <c r="E7320" s="545">
        <v>3.666666666666667</v>
      </c>
      <c r="F7320" s="545">
        <v>2.6428571428571428</v>
      </c>
      <c r="G7320" s="545">
        <v>1.05</v>
      </c>
      <c r="H7320" s="545">
        <v>2.3333333333333335</v>
      </c>
      <c r="I7320" s="545">
        <v>2.3333333333333335</v>
      </c>
      <c r="J7320" s="545">
        <v>1.4166666666666667</v>
      </c>
    </row>
    <row r="7321" spans="1:10">
      <c r="A7321" s="441">
        <v>4676</v>
      </c>
      <c r="B7321" s="441" t="s">
        <v>6063</v>
      </c>
      <c r="C7321" s="545">
        <v>1</v>
      </c>
      <c r="D7321" s="545">
        <v>0</v>
      </c>
      <c r="E7321" s="545">
        <v>0</v>
      </c>
      <c r="F7321" s="545">
        <v>0.7142857142857143</v>
      </c>
      <c r="G7321" s="545">
        <v>1.55</v>
      </c>
      <c r="H7321" s="545">
        <v>0</v>
      </c>
      <c r="I7321" s="545">
        <v>0.33333333333333331</v>
      </c>
      <c r="J7321" s="545">
        <v>1.1547619047619049</v>
      </c>
    </row>
    <row r="7322" spans="1:10">
      <c r="A7322" s="441">
        <v>10229</v>
      </c>
      <c r="B7322" s="441" t="s">
        <v>6063</v>
      </c>
      <c r="C7322" s="545">
        <v>2.5</v>
      </c>
      <c r="D7322" s="545">
        <v>0.66666666666666663</v>
      </c>
      <c r="E7322" s="545">
        <v>0</v>
      </c>
      <c r="F7322" s="545">
        <v>1.8809523809523809</v>
      </c>
      <c r="G7322" s="545">
        <v>1.1000000000000001</v>
      </c>
      <c r="H7322" s="545">
        <v>0.66666666666666663</v>
      </c>
      <c r="I7322" s="545">
        <v>1.3333333333333333</v>
      </c>
      <c r="J7322" s="545">
        <v>1.0714285714285714</v>
      </c>
    </row>
    <row r="7323" spans="1:10">
      <c r="A7323" s="441">
        <v>4671</v>
      </c>
      <c r="B7323" s="441" t="s">
        <v>6064</v>
      </c>
      <c r="C7323" s="545">
        <v>3</v>
      </c>
      <c r="D7323" s="545">
        <v>0.33333333333333331</v>
      </c>
      <c r="E7323" s="545">
        <v>4.333333333333333</v>
      </c>
      <c r="F7323" s="545">
        <v>2.8095238095238098</v>
      </c>
      <c r="G7323" s="545">
        <v>2.7</v>
      </c>
      <c r="H7323" s="545">
        <v>3.6666666666666665</v>
      </c>
      <c r="I7323" s="545">
        <v>1</v>
      </c>
      <c r="J7323" s="545">
        <v>2.5952380952380953</v>
      </c>
    </row>
    <row r="7324" spans="1:10">
      <c r="A7324" s="441">
        <v>4677</v>
      </c>
      <c r="B7324" s="441" t="s">
        <v>6064</v>
      </c>
      <c r="C7324" s="545">
        <v>4.833333333333333</v>
      </c>
      <c r="D7324" s="545">
        <v>1.3333333333333333</v>
      </c>
      <c r="E7324" s="545">
        <v>5.333333333333333</v>
      </c>
      <c r="F7324" s="545">
        <v>4.4047619047619042</v>
      </c>
      <c r="G7324" s="545">
        <v>1.75</v>
      </c>
      <c r="H7324" s="545">
        <v>1.6666666666666667</v>
      </c>
      <c r="I7324" s="545">
        <v>0.66666666666666663</v>
      </c>
      <c r="J7324" s="545">
        <v>1.5833333333333333</v>
      </c>
    </row>
    <row r="7325" spans="1:10">
      <c r="A7325" s="441">
        <v>2833</v>
      </c>
      <c r="B7325" s="441" t="s">
        <v>6065</v>
      </c>
      <c r="C7325" s="545">
        <v>3.666666666666667</v>
      </c>
      <c r="D7325" s="545">
        <v>0</v>
      </c>
      <c r="E7325" s="545">
        <v>0.66666666666666663</v>
      </c>
      <c r="F7325" s="545">
        <v>2.7142857142857149</v>
      </c>
      <c r="G7325" s="545">
        <v>1.1000000000000001</v>
      </c>
      <c r="H7325" s="545">
        <v>0.33333333333333331</v>
      </c>
      <c r="I7325" s="545">
        <v>0</v>
      </c>
      <c r="J7325" s="545">
        <v>0.83333333333333326</v>
      </c>
    </row>
    <row r="7326" spans="1:10">
      <c r="A7326" s="441">
        <v>2847</v>
      </c>
      <c r="B7326" s="441" t="s">
        <v>6065</v>
      </c>
      <c r="C7326" s="545">
        <v>3</v>
      </c>
      <c r="D7326" s="545">
        <v>1</v>
      </c>
      <c r="E7326" s="545">
        <v>0.33333333333333331</v>
      </c>
      <c r="F7326" s="545">
        <v>2.333333333333333</v>
      </c>
      <c r="G7326" s="545">
        <v>0.4375</v>
      </c>
      <c r="H7326" s="545">
        <v>0</v>
      </c>
      <c r="I7326" s="545">
        <v>0</v>
      </c>
      <c r="J7326" s="545">
        <v>0.3125</v>
      </c>
    </row>
    <row r="7327" spans="1:10">
      <c r="A7327" s="441">
        <v>2835</v>
      </c>
      <c r="B7327" s="441" t="s">
        <v>6066</v>
      </c>
      <c r="C7327" s="545">
        <v>5.5</v>
      </c>
      <c r="D7327" s="545">
        <v>0.66666666666666663</v>
      </c>
      <c r="E7327" s="545">
        <v>0.33333333333333331</v>
      </c>
      <c r="F7327" s="545">
        <v>4.0714285714285712</v>
      </c>
      <c r="G7327" s="545">
        <v>0.2</v>
      </c>
      <c r="H7327" s="545">
        <v>0</v>
      </c>
      <c r="I7327" s="545">
        <v>0</v>
      </c>
      <c r="J7327" s="545">
        <v>0.14285714285714285</v>
      </c>
    </row>
    <row r="7328" spans="1:10">
      <c r="A7328" s="441">
        <v>2846</v>
      </c>
      <c r="B7328" s="441" t="s">
        <v>6066</v>
      </c>
      <c r="C7328" s="545">
        <v>3.666666666666667</v>
      </c>
      <c r="D7328" s="545">
        <v>0</v>
      </c>
      <c r="E7328" s="545">
        <v>0</v>
      </c>
      <c r="F7328" s="545">
        <v>2.6190476190476195</v>
      </c>
      <c r="G7328" s="545">
        <v>0.52631578947368418</v>
      </c>
      <c r="H7328" s="545">
        <v>0</v>
      </c>
      <c r="I7328" s="545">
        <v>0</v>
      </c>
      <c r="J7328" s="545">
        <v>0.37593984962406013</v>
      </c>
    </row>
    <row r="7329" spans="1:10">
      <c r="A7329" s="441">
        <v>2819</v>
      </c>
      <c r="B7329" s="441" t="s">
        <v>6067</v>
      </c>
      <c r="C7329" s="545">
        <v>5</v>
      </c>
      <c r="D7329" s="545">
        <v>2.333333333333333</v>
      </c>
      <c r="E7329" s="545">
        <v>1</v>
      </c>
      <c r="F7329" s="545">
        <v>4.0476190476190474</v>
      </c>
      <c r="G7329" s="545">
        <v>0.21052631578947367</v>
      </c>
      <c r="H7329" s="545">
        <v>0.66666666666666663</v>
      </c>
      <c r="I7329" s="545">
        <v>0</v>
      </c>
      <c r="J7329" s="545">
        <v>0.24561403508771931</v>
      </c>
    </row>
    <row r="7330" spans="1:10">
      <c r="A7330" s="441">
        <v>2837</v>
      </c>
      <c r="B7330" s="441" t="s">
        <v>6068</v>
      </c>
      <c r="C7330" s="545">
        <v>9.3333333333333321</v>
      </c>
      <c r="D7330" s="545">
        <v>2.3333333333333335</v>
      </c>
      <c r="E7330" s="545">
        <v>1.6666666666666667</v>
      </c>
      <c r="F7330" s="545">
        <v>7.2380952380952364</v>
      </c>
      <c r="G7330" s="545">
        <v>0.1111111111111111</v>
      </c>
      <c r="H7330" s="545">
        <v>0</v>
      </c>
      <c r="I7330" s="545">
        <v>0</v>
      </c>
      <c r="J7330" s="545">
        <v>7.9365079365079375E-2</v>
      </c>
    </row>
    <row r="7331" spans="1:10">
      <c r="A7331" s="441">
        <v>2830</v>
      </c>
      <c r="B7331" s="441" t="s">
        <v>6069</v>
      </c>
      <c r="C7331" s="545">
        <v>8.5</v>
      </c>
      <c r="D7331" s="545">
        <v>6.666666666666667</v>
      </c>
      <c r="E7331" s="545">
        <v>5.333333333333333</v>
      </c>
      <c r="F7331" s="545">
        <v>7.7857142857142856</v>
      </c>
      <c r="G7331" s="545">
        <v>4.5999999999999996</v>
      </c>
      <c r="H7331" s="545">
        <v>6.666666666666667</v>
      </c>
      <c r="I7331" s="545">
        <v>5</v>
      </c>
      <c r="J7331" s="545">
        <v>4.9523809523809534</v>
      </c>
    </row>
    <row r="7332" spans="1:10">
      <c r="A7332" s="441">
        <v>2822</v>
      </c>
      <c r="B7332" s="441" t="s">
        <v>6070</v>
      </c>
      <c r="C7332" s="545">
        <v>5</v>
      </c>
      <c r="D7332" s="545">
        <v>1.3333333333333333</v>
      </c>
      <c r="E7332" s="545">
        <v>1.6666666666666667</v>
      </c>
      <c r="F7332" s="545">
        <v>4</v>
      </c>
      <c r="G7332" s="545">
        <v>1.1499999999999999</v>
      </c>
      <c r="H7332" s="545">
        <v>2.6666666666666665</v>
      </c>
      <c r="I7332" s="545">
        <v>1.6666666666666667</v>
      </c>
      <c r="J7332" s="545">
        <v>1.4404761904761902</v>
      </c>
    </row>
    <row r="7333" spans="1:10">
      <c r="A7333" s="441">
        <v>2829</v>
      </c>
      <c r="B7333" s="441" t="s">
        <v>6070</v>
      </c>
      <c r="C7333" s="545">
        <v>3.8333333333333335</v>
      </c>
      <c r="D7333" s="545">
        <v>0.33333333333333331</v>
      </c>
      <c r="E7333" s="545">
        <v>0.66666666666666663</v>
      </c>
      <c r="F7333" s="545">
        <v>2.8809523809523809</v>
      </c>
      <c r="G7333" s="545">
        <v>2.5499999999999998</v>
      </c>
      <c r="H7333" s="545">
        <v>1.6666666666666667</v>
      </c>
      <c r="I7333" s="545">
        <v>0.66666666666666663</v>
      </c>
      <c r="J7333" s="545">
        <v>2.1547619047619047</v>
      </c>
    </row>
    <row r="7334" spans="1:10">
      <c r="A7334" s="441">
        <v>2831</v>
      </c>
      <c r="B7334" s="441" t="s">
        <v>6071</v>
      </c>
      <c r="C7334" s="545">
        <v>29.666666666666664</v>
      </c>
      <c r="D7334" s="545">
        <v>18.333333333333336</v>
      </c>
      <c r="E7334" s="545">
        <v>16.666666666666668</v>
      </c>
      <c r="F7334" s="545">
        <v>26.190476190476186</v>
      </c>
      <c r="G7334" s="545">
        <v>11.75</v>
      </c>
      <c r="H7334" s="545">
        <v>18.333333333333332</v>
      </c>
      <c r="I7334" s="545">
        <v>12.333333333333334</v>
      </c>
      <c r="J7334" s="545">
        <v>12.773809523809522</v>
      </c>
    </row>
    <row r="7335" spans="1:10">
      <c r="A7335" s="441">
        <v>2820</v>
      </c>
      <c r="B7335" s="441" t="s">
        <v>6072</v>
      </c>
      <c r="C7335" s="545">
        <v>5.5</v>
      </c>
      <c r="D7335" s="545">
        <v>6.6666666666666661</v>
      </c>
      <c r="E7335" s="545">
        <v>7.3333333333333339</v>
      </c>
      <c r="F7335" s="545">
        <v>5.9285714285714288</v>
      </c>
      <c r="G7335" s="545">
        <v>1.6</v>
      </c>
      <c r="H7335" s="545">
        <v>1.3333333333333333</v>
      </c>
      <c r="I7335" s="545">
        <v>1</v>
      </c>
      <c r="J7335" s="545">
        <v>1.4761904761904763</v>
      </c>
    </row>
    <row r="7336" spans="1:10">
      <c r="A7336" s="441">
        <v>2832</v>
      </c>
      <c r="B7336" s="441" t="s">
        <v>6072</v>
      </c>
      <c r="C7336" s="545">
        <v>16.333333333333336</v>
      </c>
      <c r="D7336" s="545">
        <v>18</v>
      </c>
      <c r="E7336" s="545">
        <v>17.333333333333336</v>
      </c>
      <c r="F7336" s="545">
        <v>16.714285714285719</v>
      </c>
      <c r="G7336" s="545">
        <v>9</v>
      </c>
      <c r="H7336" s="545">
        <v>6.666666666666667</v>
      </c>
      <c r="I7336" s="545">
        <v>3.3333333333333335</v>
      </c>
      <c r="J7336" s="545">
        <v>7.8571428571428568</v>
      </c>
    </row>
    <row r="7337" spans="1:10">
      <c r="A7337" s="441">
        <v>2824</v>
      </c>
      <c r="B7337" s="441" t="s">
        <v>6073</v>
      </c>
      <c r="C7337" s="545">
        <v>2.333333333333333</v>
      </c>
      <c r="D7337" s="545">
        <v>2</v>
      </c>
      <c r="E7337" s="545">
        <v>0.33333333333333331</v>
      </c>
      <c r="F7337" s="545">
        <v>1.9999999999999998</v>
      </c>
      <c r="G7337" s="545">
        <v>2.1</v>
      </c>
      <c r="H7337" s="545">
        <v>0.33333333333333331</v>
      </c>
      <c r="I7337" s="545">
        <v>1</v>
      </c>
      <c r="J7337" s="545">
        <v>1.6904761904761905</v>
      </c>
    </row>
    <row r="7338" spans="1:10">
      <c r="A7338" s="441">
        <v>2826</v>
      </c>
      <c r="B7338" s="441" t="s">
        <v>6073</v>
      </c>
      <c r="C7338" s="545">
        <v>5.333333333333333</v>
      </c>
      <c r="D7338" s="545">
        <v>1.6666666666666665</v>
      </c>
      <c r="E7338" s="545">
        <v>0.33333333333333331</v>
      </c>
      <c r="F7338" s="545">
        <v>4.0952380952380949</v>
      </c>
      <c r="G7338" s="545">
        <v>0.6</v>
      </c>
      <c r="H7338" s="545">
        <v>1</v>
      </c>
      <c r="I7338" s="545">
        <v>0.66666666666666663</v>
      </c>
      <c r="J7338" s="545">
        <v>0.66666666666666674</v>
      </c>
    </row>
    <row r="7339" spans="1:10">
      <c r="A7339" s="441">
        <v>2825</v>
      </c>
      <c r="B7339" s="441" t="s">
        <v>6074</v>
      </c>
      <c r="C7339" s="545">
        <v>100.5</v>
      </c>
      <c r="D7339" s="545">
        <v>34</v>
      </c>
      <c r="E7339" s="545">
        <v>29</v>
      </c>
      <c r="F7339" s="545">
        <v>80.785714285714292</v>
      </c>
      <c r="G7339" s="545">
        <v>24.95</v>
      </c>
      <c r="H7339" s="545">
        <v>5.666666666666667</v>
      </c>
      <c r="I7339" s="545">
        <v>4</v>
      </c>
      <c r="J7339" s="545">
        <v>19.202380952380953</v>
      </c>
    </row>
    <row r="7340" spans="1:10">
      <c r="A7340" s="441">
        <v>10684</v>
      </c>
      <c r="B7340" s="441" t="s">
        <v>6074</v>
      </c>
      <c r="C7340" s="545">
        <v>131.83333333333331</v>
      </c>
      <c r="D7340" s="545">
        <v>46</v>
      </c>
      <c r="E7340" s="545">
        <v>33.333333333333336</v>
      </c>
      <c r="F7340" s="545">
        <v>105.49999999999999</v>
      </c>
      <c r="G7340" s="545">
        <v>26.15</v>
      </c>
      <c r="H7340" s="545">
        <v>10.666666666666666</v>
      </c>
      <c r="I7340" s="545">
        <v>10</v>
      </c>
      <c r="J7340" s="545">
        <v>21.63095238095238</v>
      </c>
    </row>
    <row r="7341" spans="1:10">
      <c r="A7341" s="441">
        <v>2828</v>
      </c>
      <c r="B7341" s="441" t="s">
        <v>6075</v>
      </c>
      <c r="C7341" s="545">
        <v>17.5</v>
      </c>
      <c r="D7341" s="545">
        <v>6</v>
      </c>
      <c r="E7341" s="545">
        <v>3</v>
      </c>
      <c r="F7341" s="545">
        <v>13.785714285714286</v>
      </c>
      <c r="G7341" s="545">
        <v>1.5</v>
      </c>
      <c r="H7341" s="545">
        <v>1.3333333333333333</v>
      </c>
      <c r="I7341" s="545">
        <v>0.33333333333333331</v>
      </c>
      <c r="J7341" s="545">
        <v>1.3095238095238098</v>
      </c>
    </row>
    <row r="7342" spans="1:10">
      <c r="A7342" s="441">
        <v>2848</v>
      </c>
      <c r="B7342" s="441" t="s">
        <v>6075</v>
      </c>
      <c r="C7342" s="545">
        <v>18.666666666666668</v>
      </c>
      <c r="D7342" s="545">
        <v>9</v>
      </c>
      <c r="E7342" s="545">
        <v>8</v>
      </c>
      <c r="F7342" s="545">
        <v>15.761904761904763</v>
      </c>
      <c r="G7342" s="545">
        <v>0.65</v>
      </c>
      <c r="H7342" s="545">
        <v>0.66666666666666663</v>
      </c>
      <c r="I7342" s="545">
        <v>0.33333333333333331</v>
      </c>
      <c r="J7342" s="545">
        <v>0.6071428571428571</v>
      </c>
    </row>
    <row r="7343" spans="1:10">
      <c r="A7343" s="441">
        <v>2821</v>
      </c>
      <c r="B7343" s="441" t="s">
        <v>6076</v>
      </c>
      <c r="C7343" s="545">
        <v>31.5</v>
      </c>
      <c r="D7343" s="545">
        <v>24.666666666666664</v>
      </c>
      <c r="E7343" s="545">
        <v>16</v>
      </c>
      <c r="F7343" s="545">
        <v>28.309523809523807</v>
      </c>
      <c r="G7343" s="545">
        <v>22.9</v>
      </c>
      <c r="H7343" s="545">
        <v>29.333333333333332</v>
      </c>
      <c r="I7343" s="545">
        <v>18.666666666666668</v>
      </c>
      <c r="J7343" s="545">
        <v>23.214285714285715</v>
      </c>
    </row>
    <row r="7344" spans="1:10">
      <c r="A7344" s="441">
        <v>2823</v>
      </c>
      <c r="B7344" s="441" t="s">
        <v>6077</v>
      </c>
      <c r="C7344" s="545">
        <v>36.666666666666664</v>
      </c>
      <c r="D7344" s="545">
        <v>16</v>
      </c>
      <c r="E7344" s="545">
        <v>9.6666666666666679</v>
      </c>
      <c r="F7344" s="545">
        <v>29.857142857142854</v>
      </c>
      <c r="G7344" s="545">
        <v>7.6</v>
      </c>
      <c r="H7344" s="545">
        <v>6.666666666666667</v>
      </c>
      <c r="I7344" s="545">
        <v>4.666666666666667</v>
      </c>
      <c r="J7344" s="545">
        <v>7.0476190476190466</v>
      </c>
    </row>
    <row r="7345" spans="1:10">
      <c r="A7345" s="441">
        <v>2827</v>
      </c>
      <c r="B7345" s="441" t="s">
        <v>6077</v>
      </c>
      <c r="C7345" s="545">
        <v>31.833333333333332</v>
      </c>
      <c r="D7345" s="545">
        <v>11</v>
      </c>
      <c r="E7345" s="545">
        <v>10.333333333333332</v>
      </c>
      <c r="F7345" s="545">
        <v>25.785714285714285</v>
      </c>
      <c r="G7345" s="545">
        <v>7.7</v>
      </c>
      <c r="H7345" s="545">
        <v>5.666666666666667</v>
      </c>
      <c r="I7345" s="545">
        <v>4.333333333333333</v>
      </c>
      <c r="J7345" s="545">
        <v>6.9285714285714288</v>
      </c>
    </row>
    <row r="7346" spans="1:10">
      <c r="A7346" s="441">
        <v>2818</v>
      </c>
      <c r="B7346" s="441" t="s">
        <v>6078</v>
      </c>
      <c r="C7346" s="545">
        <v>9.6666666666666661</v>
      </c>
      <c r="D7346" s="545">
        <v>4</v>
      </c>
      <c r="E7346" s="545">
        <v>1.6666666666666665</v>
      </c>
      <c r="F7346" s="545">
        <v>7.7142857142857135</v>
      </c>
      <c r="G7346" s="545">
        <v>0.85</v>
      </c>
      <c r="H7346" s="545">
        <v>0</v>
      </c>
      <c r="I7346" s="545">
        <v>0.66666666666666663</v>
      </c>
      <c r="J7346" s="545">
        <v>0.70238095238095244</v>
      </c>
    </row>
    <row r="7347" spans="1:10">
      <c r="A7347" s="441">
        <v>2836</v>
      </c>
      <c r="B7347" s="441" t="s">
        <v>6078</v>
      </c>
      <c r="C7347" s="545">
        <v>0.66666666666666663</v>
      </c>
      <c r="D7347" s="545">
        <v>0</v>
      </c>
      <c r="E7347" s="545">
        <v>0</v>
      </c>
      <c r="F7347" s="545">
        <v>0.47619047619047616</v>
      </c>
      <c r="G7347" s="545">
        <v>0.13333333333333333</v>
      </c>
      <c r="H7347" s="545">
        <v>0</v>
      </c>
      <c r="I7347" s="545">
        <v>0</v>
      </c>
      <c r="J7347" s="545">
        <v>9.5238095238095233E-2</v>
      </c>
    </row>
    <row r="7348" spans="1:10">
      <c r="A7348" s="441">
        <v>2834</v>
      </c>
      <c r="B7348" s="441" t="s">
        <v>6079</v>
      </c>
      <c r="C7348" s="545">
        <v>2.3333333333333335</v>
      </c>
      <c r="D7348" s="545">
        <v>3</v>
      </c>
      <c r="E7348" s="545">
        <v>1.3333333333333333</v>
      </c>
      <c r="F7348" s="545">
        <v>2.2857142857142856</v>
      </c>
      <c r="G7348" s="545">
        <v>0.66666666666666663</v>
      </c>
      <c r="H7348" s="545">
        <v>0.33333333333333331</v>
      </c>
      <c r="I7348" s="545">
        <v>0</v>
      </c>
      <c r="J7348" s="545">
        <v>0.52380952380952384</v>
      </c>
    </row>
    <row r="7349" spans="1:10">
      <c r="A7349" s="441">
        <v>11472</v>
      </c>
      <c r="B7349" s="441" t="s">
        <v>6080</v>
      </c>
      <c r="C7349" s="545">
        <v>8.3333333333333339</v>
      </c>
      <c r="D7349" s="545">
        <v>2</v>
      </c>
      <c r="E7349" s="545">
        <v>1</v>
      </c>
      <c r="F7349" s="545">
        <v>6.3809523809523814</v>
      </c>
      <c r="G7349" s="545">
        <v>7.9</v>
      </c>
      <c r="H7349" s="545">
        <v>7.666666666666667</v>
      </c>
      <c r="I7349" s="545">
        <v>13.333333333333334</v>
      </c>
      <c r="J7349" s="545">
        <v>8.6428571428571423</v>
      </c>
    </row>
    <row r="7350" spans="1:10">
      <c r="A7350" s="441">
        <v>11689</v>
      </c>
      <c r="B7350" s="441" t="s">
        <v>6080</v>
      </c>
      <c r="C7350" s="545">
        <v>46</v>
      </c>
      <c r="D7350" s="545">
        <v>9.6666666666666679</v>
      </c>
      <c r="E7350" s="545">
        <v>8</v>
      </c>
      <c r="F7350" s="545">
        <v>35.38095238095238</v>
      </c>
      <c r="G7350" s="545">
        <v>58.25</v>
      </c>
      <c r="H7350" s="545">
        <v>11</v>
      </c>
      <c r="I7350" s="545">
        <v>5</v>
      </c>
      <c r="J7350" s="545">
        <v>43.892857142857146</v>
      </c>
    </row>
    <row r="7351" spans="1:10">
      <c r="A7351" s="441">
        <v>10509</v>
      </c>
      <c r="B7351" s="441" t="s">
        <v>6081</v>
      </c>
      <c r="C7351" s="545">
        <v>5.333333333333333</v>
      </c>
      <c r="D7351" s="545">
        <v>7</v>
      </c>
      <c r="E7351" s="545">
        <v>1.3333333333333333</v>
      </c>
      <c r="F7351" s="545">
        <v>5</v>
      </c>
      <c r="G7351" s="545">
        <v>4.3499999999999996</v>
      </c>
      <c r="H7351" s="545">
        <v>1.3333333333333333</v>
      </c>
      <c r="I7351" s="545">
        <v>2</v>
      </c>
      <c r="J7351" s="545">
        <v>3.583333333333333</v>
      </c>
    </row>
    <row r="7352" spans="1:10">
      <c r="A7352" s="441">
        <v>8924</v>
      </c>
      <c r="B7352" s="441" t="s">
        <v>6082</v>
      </c>
      <c r="C7352" s="545">
        <v>4.1666666666666661</v>
      </c>
      <c r="D7352" s="545">
        <v>2.333333333333333</v>
      </c>
      <c r="E7352" s="545">
        <v>2.6666666666666665</v>
      </c>
      <c r="F7352" s="545">
        <v>3.6904761904761898</v>
      </c>
      <c r="G7352" s="545">
        <v>4.45</v>
      </c>
      <c r="H7352" s="545">
        <v>1</v>
      </c>
      <c r="I7352" s="545">
        <v>0.66666666666666663</v>
      </c>
      <c r="J7352" s="545">
        <v>3.416666666666667</v>
      </c>
    </row>
    <row r="7353" spans="1:10">
      <c r="A7353" s="441">
        <v>8240</v>
      </c>
      <c r="B7353" s="441" t="s">
        <v>6083</v>
      </c>
      <c r="C7353" s="545">
        <v>0</v>
      </c>
      <c r="D7353" s="545">
        <v>0.66666666666666663</v>
      </c>
      <c r="E7353" s="545">
        <v>0</v>
      </c>
      <c r="F7353" s="545">
        <v>9.5238095238095233E-2</v>
      </c>
      <c r="G7353" s="545">
        <v>0.3</v>
      </c>
      <c r="H7353" s="545">
        <v>0.33333333333333331</v>
      </c>
      <c r="I7353" s="545">
        <v>0</v>
      </c>
      <c r="J7353" s="545">
        <v>0.26190476190476192</v>
      </c>
    </row>
    <row r="7354" spans="1:10">
      <c r="A7354" s="441">
        <v>8241</v>
      </c>
      <c r="B7354" s="441" t="s">
        <v>6084</v>
      </c>
      <c r="C7354" s="545">
        <v>0</v>
      </c>
      <c r="D7354" s="545">
        <v>0</v>
      </c>
      <c r="E7354" s="545">
        <v>1.6666666666666667</v>
      </c>
      <c r="F7354" s="545">
        <v>0.23809523809523811</v>
      </c>
      <c r="G7354" s="545">
        <v>0.55000000000000004</v>
      </c>
      <c r="H7354" s="545">
        <v>0</v>
      </c>
      <c r="I7354" s="545">
        <v>0</v>
      </c>
      <c r="J7354" s="545">
        <v>0.39285714285714285</v>
      </c>
    </row>
    <row r="7355" spans="1:10">
      <c r="A7355" s="441">
        <v>8922</v>
      </c>
      <c r="B7355" s="441" t="s">
        <v>6085</v>
      </c>
      <c r="C7355" s="545">
        <v>2</v>
      </c>
      <c r="D7355" s="545">
        <v>0.33333333333333331</v>
      </c>
      <c r="E7355" s="545">
        <v>1.6666666666666665</v>
      </c>
      <c r="F7355" s="545">
        <v>1.7142857142857142</v>
      </c>
      <c r="G7355" s="545">
        <v>0.6</v>
      </c>
      <c r="H7355" s="545">
        <v>0</v>
      </c>
      <c r="I7355" s="545">
        <v>0</v>
      </c>
      <c r="J7355" s="545">
        <v>0.42857142857142855</v>
      </c>
    </row>
    <row r="7356" spans="1:10">
      <c r="A7356" s="441">
        <v>8923</v>
      </c>
      <c r="B7356" s="441" t="s">
        <v>6086</v>
      </c>
      <c r="C7356" s="545">
        <v>0.16666666666666666</v>
      </c>
      <c r="D7356" s="545">
        <v>1.3333333333333333</v>
      </c>
      <c r="E7356" s="545">
        <v>0</v>
      </c>
      <c r="F7356" s="545">
        <v>0.30952380952380948</v>
      </c>
      <c r="G7356" s="545">
        <v>3.45</v>
      </c>
      <c r="H7356" s="545">
        <v>1</v>
      </c>
      <c r="I7356" s="545">
        <v>0.66666666666666663</v>
      </c>
      <c r="J7356" s="545">
        <v>2.7023809523809526</v>
      </c>
    </row>
    <row r="7357" spans="1:10">
      <c r="A7357" s="441">
        <v>8242</v>
      </c>
      <c r="B7357" s="441" t="s">
        <v>6087</v>
      </c>
      <c r="C7357" s="545">
        <v>11.166666666666666</v>
      </c>
      <c r="D7357" s="545">
        <v>5</v>
      </c>
      <c r="E7357" s="545">
        <v>3.3333333333333335</v>
      </c>
      <c r="F7357" s="545">
        <v>9.1666666666666661</v>
      </c>
      <c r="G7357" s="545">
        <v>3.1</v>
      </c>
      <c r="H7357" s="545">
        <v>0.66666666666666663</v>
      </c>
      <c r="I7357" s="545">
        <v>1</v>
      </c>
      <c r="J7357" s="545">
        <v>2.4523809523809526</v>
      </c>
    </row>
    <row r="7358" spans="1:10">
      <c r="A7358" s="441">
        <v>1387</v>
      </c>
      <c r="B7358" s="441" t="s">
        <v>6088</v>
      </c>
      <c r="C7358" s="545">
        <v>11.5</v>
      </c>
      <c r="D7358" s="545">
        <v>7</v>
      </c>
      <c r="E7358" s="545">
        <v>7</v>
      </c>
      <c r="F7358" s="545">
        <v>10.214285714285714</v>
      </c>
      <c r="G7358" s="545">
        <v>5.2</v>
      </c>
      <c r="H7358" s="545">
        <v>4.333333333333333</v>
      </c>
      <c r="I7358" s="545">
        <v>7.666666666666667</v>
      </c>
      <c r="J7358" s="545">
        <v>5.4285714285714288</v>
      </c>
    </row>
    <row r="7359" spans="1:10">
      <c r="A7359" s="441">
        <v>1406</v>
      </c>
      <c r="B7359" s="441" t="s">
        <v>6088</v>
      </c>
      <c r="C7359" s="545">
        <v>13</v>
      </c>
      <c r="D7359" s="545">
        <v>4</v>
      </c>
      <c r="E7359" s="545">
        <v>4.666666666666667</v>
      </c>
      <c r="F7359" s="545">
        <v>10.523809523809524</v>
      </c>
      <c r="G7359" s="545">
        <v>2.85</v>
      </c>
      <c r="H7359" s="545">
        <v>2.3333333333333335</v>
      </c>
      <c r="I7359" s="545">
        <v>2.3333333333333335</v>
      </c>
      <c r="J7359" s="545">
        <v>2.7023809523809521</v>
      </c>
    </row>
    <row r="7360" spans="1:10">
      <c r="A7360" s="441">
        <v>1386</v>
      </c>
      <c r="B7360" s="441" t="s">
        <v>6089</v>
      </c>
      <c r="C7360" s="545">
        <v>103.83333333333333</v>
      </c>
      <c r="D7360" s="545">
        <v>74</v>
      </c>
      <c r="E7360" s="545">
        <v>69</v>
      </c>
      <c r="F7360" s="545">
        <v>94.595238095238088</v>
      </c>
      <c r="G7360" s="545">
        <v>61.1</v>
      </c>
      <c r="H7360" s="545">
        <v>49</v>
      </c>
      <c r="I7360" s="545">
        <v>40.333333333333336</v>
      </c>
      <c r="J7360" s="545">
        <v>56.404761904761905</v>
      </c>
    </row>
    <row r="7361" spans="1:10">
      <c r="A7361" s="441">
        <v>1407</v>
      </c>
      <c r="B7361" s="441" t="s">
        <v>6089</v>
      </c>
      <c r="C7361" s="545">
        <v>136</v>
      </c>
      <c r="D7361" s="545">
        <v>111.66666666666666</v>
      </c>
      <c r="E7361" s="545">
        <v>80.333333333333329</v>
      </c>
      <c r="F7361" s="545">
        <v>124.57142857142857</v>
      </c>
      <c r="G7361" s="545">
        <v>71.25</v>
      </c>
      <c r="H7361" s="545">
        <v>63.666666666666664</v>
      </c>
      <c r="I7361" s="545">
        <v>48.666666666666664</v>
      </c>
      <c r="J7361" s="545">
        <v>66.94047619047619</v>
      </c>
    </row>
    <row r="7362" spans="1:10">
      <c r="A7362" s="441">
        <v>1403</v>
      </c>
      <c r="B7362" s="441" t="s">
        <v>6090</v>
      </c>
      <c r="C7362" s="545">
        <v>5.166666666666667</v>
      </c>
      <c r="D7362" s="545">
        <v>1.6666666666666665</v>
      </c>
      <c r="E7362" s="545">
        <v>1</v>
      </c>
      <c r="F7362" s="545">
        <v>4.0714285714285721</v>
      </c>
      <c r="G7362" s="545">
        <v>2.4500000000000002</v>
      </c>
      <c r="H7362" s="545">
        <v>1</v>
      </c>
      <c r="I7362" s="545">
        <v>0.66666666666666663</v>
      </c>
      <c r="J7362" s="545">
        <v>1.9880952380952379</v>
      </c>
    </row>
    <row r="7363" spans="1:10">
      <c r="A7363" s="441">
        <v>1393</v>
      </c>
      <c r="B7363" s="441" t="s">
        <v>6091</v>
      </c>
      <c r="C7363" s="545">
        <v>23.666666666666664</v>
      </c>
      <c r="D7363" s="545">
        <v>11.666666666666668</v>
      </c>
      <c r="E7363" s="545">
        <v>9.3333333333333339</v>
      </c>
      <c r="F7363" s="545">
        <v>19.904761904761902</v>
      </c>
      <c r="G7363" s="545">
        <v>10.55</v>
      </c>
      <c r="H7363" s="545">
        <v>10</v>
      </c>
      <c r="I7363" s="545">
        <v>3.3333333333333335</v>
      </c>
      <c r="J7363" s="545">
        <v>9.4404761904761898</v>
      </c>
    </row>
    <row r="7364" spans="1:10">
      <c r="A7364" s="441">
        <v>1399</v>
      </c>
      <c r="B7364" s="441" t="s">
        <v>6091</v>
      </c>
      <c r="C7364" s="545">
        <v>6.166666666666667</v>
      </c>
      <c r="D7364" s="545">
        <v>2</v>
      </c>
      <c r="E7364" s="545">
        <v>4</v>
      </c>
      <c r="F7364" s="545">
        <v>5.2619047619047619</v>
      </c>
      <c r="G7364" s="545">
        <v>4</v>
      </c>
      <c r="H7364" s="545">
        <v>5</v>
      </c>
      <c r="I7364" s="545">
        <v>1.6666666666666667</v>
      </c>
      <c r="J7364" s="545">
        <v>3.8095238095238098</v>
      </c>
    </row>
    <row r="7365" spans="1:10">
      <c r="A7365" s="441">
        <v>1398</v>
      </c>
      <c r="B7365" s="441" t="s">
        <v>6092</v>
      </c>
      <c r="C7365" s="545">
        <v>20.333333333333336</v>
      </c>
      <c r="D7365" s="545">
        <v>19</v>
      </c>
      <c r="E7365" s="545">
        <v>10.666666666666666</v>
      </c>
      <c r="F7365" s="545">
        <v>18.761904761904763</v>
      </c>
      <c r="G7365" s="545">
        <v>13.3</v>
      </c>
      <c r="H7365" s="545">
        <v>8.3333333333333339</v>
      </c>
      <c r="I7365" s="545">
        <v>8</v>
      </c>
      <c r="J7365" s="545">
        <v>11.833333333333332</v>
      </c>
    </row>
    <row r="7366" spans="1:10">
      <c r="A7366" s="441">
        <v>1394</v>
      </c>
      <c r="B7366" s="441" t="s">
        <v>6093</v>
      </c>
      <c r="C7366" s="545">
        <v>36.5</v>
      </c>
      <c r="D7366" s="545">
        <v>21.333333333333332</v>
      </c>
      <c r="E7366" s="545">
        <v>14.333333333333334</v>
      </c>
      <c r="F7366" s="545">
        <v>31.166666666666668</v>
      </c>
      <c r="G7366" s="545">
        <v>25.15</v>
      </c>
      <c r="H7366" s="545">
        <v>14</v>
      </c>
      <c r="I7366" s="545">
        <v>14</v>
      </c>
      <c r="J7366" s="545">
        <v>21.964285714285715</v>
      </c>
    </row>
    <row r="7367" spans="1:10">
      <c r="A7367" s="441">
        <v>1391</v>
      </c>
      <c r="B7367" s="441" t="s">
        <v>6094</v>
      </c>
      <c r="C7367" s="545">
        <v>7.666666666666667</v>
      </c>
      <c r="D7367" s="545">
        <v>8.3333333333333339</v>
      </c>
      <c r="E7367" s="545">
        <v>3</v>
      </c>
      <c r="F7367" s="545">
        <v>7.0952380952380958</v>
      </c>
      <c r="G7367" s="545">
        <v>5.0999999999999996</v>
      </c>
      <c r="H7367" s="545">
        <v>1.3333333333333333</v>
      </c>
      <c r="I7367" s="545">
        <v>1.6666666666666667</v>
      </c>
      <c r="J7367" s="545">
        <v>4.0714285714285712</v>
      </c>
    </row>
    <row r="7368" spans="1:10">
      <c r="A7368" s="441">
        <v>1401</v>
      </c>
      <c r="B7368" s="441" t="s">
        <v>6094</v>
      </c>
      <c r="C7368" s="545">
        <v>5.666666666666667</v>
      </c>
      <c r="D7368" s="545">
        <v>3.6666666666666665</v>
      </c>
      <c r="E7368" s="545">
        <v>4</v>
      </c>
      <c r="F7368" s="545">
        <v>5.1428571428571432</v>
      </c>
      <c r="G7368" s="545">
        <v>2</v>
      </c>
      <c r="H7368" s="545">
        <v>0.33333333333333331</v>
      </c>
      <c r="I7368" s="545">
        <v>0</v>
      </c>
      <c r="J7368" s="545">
        <v>1.4761904761904763</v>
      </c>
    </row>
    <row r="7369" spans="1:10">
      <c r="A7369" s="441">
        <v>1392</v>
      </c>
      <c r="B7369" s="441" t="s">
        <v>6095</v>
      </c>
      <c r="C7369" s="545">
        <v>6.666666666666667</v>
      </c>
      <c r="D7369" s="545">
        <v>6.333333333333333</v>
      </c>
      <c r="E7369" s="545">
        <v>6.3333333333333339</v>
      </c>
      <c r="F7369" s="545">
        <v>6.5714285714285721</v>
      </c>
      <c r="G7369" s="545">
        <v>3.8</v>
      </c>
      <c r="H7369" s="545">
        <v>2.3333333333333335</v>
      </c>
      <c r="I7369" s="545">
        <v>2.3333333333333335</v>
      </c>
      <c r="J7369" s="545">
        <v>3.3809523809523805</v>
      </c>
    </row>
    <row r="7370" spans="1:10">
      <c r="A7370" s="441">
        <v>1400</v>
      </c>
      <c r="B7370" s="441" t="s">
        <v>6095</v>
      </c>
      <c r="C7370" s="545">
        <v>7.3333333333333339</v>
      </c>
      <c r="D7370" s="545">
        <v>3</v>
      </c>
      <c r="E7370" s="545">
        <v>2</v>
      </c>
      <c r="F7370" s="545">
        <v>5.9523809523809534</v>
      </c>
      <c r="G7370" s="545">
        <v>2.9</v>
      </c>
      <c r="H7370" s="545">
        <v>3</v>
      </c>
      <c r="I7370" s="545">
        <v>1</v>
      </c>
      <c r="J7370" s="545">
        <v>2.6428571428571428</v>
      </c>
    </row>
    <row r="7371" spans="1:10">
      <c r="A7371" s="441">
        <v>1389</v>
      </c>
      <c r="B7371" s="441" t="s">
        <v>6096</v>
      </c>
      <c r="C7371" s="545">
        <v>12.5</v>
      </c>
      <c r="D7371" s="545">
        <v>6</v>
      </c>
      <c r="E7371" s="545">
        <v>7</v>
      </c>
      <c r="F7371" s="545">
        <v>10.785714285714286</v>
      </c>
      <c r="G7371" s="545">
        <v>5.85</v>
      </c>
      <c r="H7371" s="545">
        <v>2.3333333333333335</v>
      </c>
      <c r="I7371" s="545">
        <v>3.3333333333333335</v>
      </c>
      <c r="J7371" s="545">
        <v>4.9880952380952381</v>
      </c>
    </row>
    <row r="7372" spans="1:10">
      <c r="A7372" s="441">
        <v>1404</v>
      </c>
      <c r="B7372" s="441" t="s">
        <v>6096</v>
      </c>
      <c r="C7372" s="545">
        <v>8.1666666666666661</v>
      </c>
      <c r="D7372" s="545">
        <v>7.6666666666666661</v>
      </c>
      <c r="E7372" s="545">
        <v>3.6666666666666665</v>
      </c>
      <c r="F7372" s="545">
        <v>7.4523809523809508</v>
      </c>
      <c r="G7372" s="545">
        <v>5.0999999999999996</v>
      </c>
      <c r="H7372" s="545">
        <v>2.6666666666666665</v>
      </c>
      <c r="I7372" s="545">
        <v>5</v>
      </c>
      <c r="J7372" s="545">
        <v>4.738095238095239</v>
      </c>
    </row>
    <row r="7373" spans="1:10">
      <c r="A7373" s="441">
        <v>1390</v>
      </c>
      <c r="B7373" s="441" t="s">
        <v>6097</v>
      </c>
      <c r="C7373" s="545">
        <v>9.3333333333333339</v>
      </c>
      <c r="D7373" s="545">
        <v>4.333333333333333</v>
      </c>
      <c r="E7373" s="545">
        <v>7</v>
      </c>
      <c r="F7373" s="545">
        <v>8.2857142857142865</v>
      </c>
      <c r="G7373" s="545">
        <v>7.7</v>
      </c>
      <c r="H7373" s="545">
        <v>5</v>
      </c>
      <c r="I7373" s="545">
        <v>2.3333333333333335</v>
      </c>
      <c r="J7373" s="545">
        <v>6.5476190476190483</v>
      </c>
    </row>
    <row r="7374" spans="1:10">
      <c r="A7374" s="441">
        <v>1402</v>
      </c>
      <c r="B7374" s="441" t="s">
        <v>6097</v>
      </c>
      <c r="C7374" s="545">
        <v>11.666666666666668</v>
      </c>
      <c r="D7374" s="545">
        <v>7.3333333333333339</v>
      </c>
      <c r="E7374" s="545">
        <v>8</v>
      </c>
      <c r="F7374" s="545">
        <v>10.523809523809524</v>
      </c>
      <c r="G7374" s="545">
        <v>6.9</v>
      </c>
      <c r="H7374" s="545">
        <v>6</v>
      </c>
      <c r="I7374" s="545">
        <v>3.6666666666666665</v>
      </c>
      <c r="J7374" s="545">
        <v>6.3095238095238093</v>
      </c>
    </row>
    <row r="7375" spans="1:10">
      <c r="A7375" s="441">
        <v>1388</v>
      </c>
      <c r="B7375" s="441" t="s">
        <v>6098</v>
      </c>
      <c r="C7375" s="545">
        <v>20.333333333333336</v>
      </c>
      <c r="D7375" s="545">
        <v>11</v>
      </c>
      <c r="E7375" s="545">
        <v>11</v>
      </c>
      <c r="F7375" s="545">
        <v>17.666666666666668</v>
      </c>
      <c r="G7375" s="545">
        <v>13.85</v>
      </c>
      <c r="H7375" s="545">
        <v>9.3333333333333339</v>
      </c>
      <c r="I7375" s="545">
        <v>8</v>
      </c>
      <c r="J7375" s="545">
        <v>12.369047619047619</v>
      </c>
    </row>
    <row r="7376" spans="1:10">
      <c r="A7376" s="441">
        <v>1405</v>
      </c>
      <c r="B7376" s="441" t="s">
        <v>6098</v>
      </c>
      <c r="C7376" s="545">
        <v>16.333333333333336</v>
      </c>
      <c r="D7376" s="545">
        <v>12.666666666666666</v>
      </c>
      <c r="E7376" s="545">
        <v>13.333333333333332</v>
      </c>
      <c r="F7376" s="545">
        <v>15.380952380952383</v>
      </c>
      <c r="G7376" s="545">
        <v>15.45</v>
      </c>
      <c r="H7376" s="545">
        <v>7.333333333333333</v>
      </c>
      <c r="I7376" s="545">
        <v>5</v>
      </c>
      <c r="J7376" s="545">
        <v>12.797619047619047</v>
      </c>
    </row>
    <row r="7377" spans="1:10">
      <c r="A7377" s="441">
        <v>11274</v>
      </c>
      <c r="B7377" s="441" t="s">
        <v>6099</v>
      </c>
      <c r="C7377" s="545">
        <v>447.33333333333337</v>
      </c>
      <c r="D7377" s="545">
        <v>102.33333333333334</v>
      </c>
      <c r="E7377" s="545">
        <v>70.666666666666671</v>
      </c>
      <c r="F7377" s="545">
        <v>344.2380952380953</v>
      </c>
      <c r="G7377" s="545">
        <v>226.35</v>
      </c>
      <c r="H7377" s="545">
        <v>46.333333333333336</v>
      </c>
      <c r="I7377" s="545">
        <v>33.666666666666664</v>
      </c>
      <c r="J7377" s="545">
        <v>173.10714285714286</v>
      </c>
    </row>
    <row r="7378" spans="1:10">
      <c r="A7378" s="441">
        <v>10637</v>
      </c>
      <c r="B7378" s="441" t="s">
        <v>6100</v>
      </c>
      <c r="C7378" s="545">
        <v>241.83333333333331</v>
      </c>
      <c r="D7378" s="545">
        <v>154.66666666666669</v>
      </c>
      <c r="E7378" s="545">
        <v>80.333333333333343</v>
      </c>
      <c r="F7378" s="545">
        <v>206.3095238095238</v>
      </c>
      <c r="G7378" s="545">
        <v>269.25</v>
      </c>
      <c r="H7378" s="545">
        <v>101.33333333333333</v>
      </c>
      <c r="I7378" s="545">
        <v>108</v>
      </c>
      <c r="J7378" s="545">
        <v>222.22619047619045</v>
      </c>
    </row>
    <row r="7379" spans="1:10">
      <c r="A7379" s="441">
        <v>10382</v>
      </c>
      <c r="B7379" s="441" t="s">
        <v>6101</v>
      </c>
      <c r="C7379" s="545">
        <v>2.666666666666667</v>
      </c>
      <c r="D7379" s="545">
        <v>0.66666666666666663</v>
      </c>
      <c r="E7379" s="545">
        <v>2.6666666666666665</v>
      </c>
      <c r="F7379" s="545">
        <v>2.3809523809523809</v>
      </c>
      <c r="G7379" s="545">
        <v>1.3</v>
      </c>
      <c r="H7379" s="545">
        <v>1</v>
      </c>
      <c r="I7379" s="545">
        <v>0</v>
      </c>
      <c r="J7379" s="545">
        <v>1.0714285714285714</v>
      </c>
    </row>
    <row r="7380" spans="1:10">
      <c r="A7380" s="441">
        <v>10381</v>
      </c>
      <c r="B7380" s="441" t="s">
        <v>6102</v>
      </c>
      <c r="C7380" s="545">
        <v>0.5</v>
      </c>
      <c r="D7380" s="545">
        <v>1</v>
      </c>
      <c r="E7380" s="545">
        <v>3</v>
      </c>
      <c r="F7380" s="545">
        <v>0.9285714285714286</v>
      </c>
      <c r="G7380" s="545">
        <v>1.8</v>
      </c>
      <c r="H7380" s="545">
        <v>1</v>
      </c>
      <c r="I7380" s="545">
        <v>1.6666666666666667</v>
      </c>
      <c r="J7380" s="545">
        <v>1.6666666666666665</v>
      </c>
    </row>
    <row r="7381" spans="1:10">
      <c r="A7381" s="441">
        <v>10383</v>
      </c>
      <c r="B7381" s="441" t="s">
        <v>6103</v>
      </c>
      <c r="C7381" s="545">
        <v>2</v>
      </c>
      <c r="D7381" s="545">
        <v>4</v>
      </c>
      <c r="E7381" s="545">
        <v>0.66666666666666663</v>
      </c>
      <c r="F7381" s="545">
        <v>2.0952380952380953</v>
      </c>
      <c r="G7381" s="545">
        <v>0.85</v>
      </c>
      <c r="H7381" s="545">
        <v>0</v>
      </c>
      <c r="I7381" s="545">
        <v>0</v>
      </c>
      <c r="J7381" s="545">
        <v>0.6071428571428571</v>
      </c>
    </row>
    <row r="7382" spans="1:10">
      <c r="A7382" s="441">
        <v>10380</v>
      </c>
      <c r="B7382" s="441" t="s">
        <v>6104</v>
      </c>
      <c r="C7382" s="545">
        <v>4.3333333333333339</v>
      </c>
      <c r="D7382" s="545">
        <v>0.33333333333333331</v>
      </c>
      <c r="E7382" s="545">
        <v>0</v>
      </c>
      <c r="F7382" s="545">
        <v>3.1428571428571432</v>
      </c>
      <c r="G7382" s="545">
        <v>1.45</v>
      </c>
      <c r="H7382" s="545">
        <v>1</v>
      </c>
      <c r="I7382" s="545">
        <v>0</v>
      </c>
      <c r="J7382" s="545">
        <v>1.1785714285714286</v>
      </c>
    </row>
    <row r="7383" spans="1:10">
      <c r="A7383" s="441">
        <v>10740</v>
      </c>
      <c r="B7383" s="441" t="s">
        <v>6105</v>
      </c>
      <c r="C7383" s="545">
        <v>94.166666666666671</v>
      </c>
      <c r="D7383" s="545">
        <v>39.333333333333329</v>
      </c>
      <c r="E7383" s="545">
        <v>23.666666666666664</v>
      </c>
      <c r="F7383" s="545">
        <v>76.261904761904773</v>
      </c>
      <c r="G7383" s="545">
        <v>44.75</v>
      </c>
      <c r="H7383" s="545">
        <v>42.333333333333336</v>
      </c>
      <c r="I7383" s="545">
        <v>37.666666666666664</v>
      </c>
      <c r="J7383" s="545">
        <v>43.392857142857146</v>
      </c>
    </row>
    <row r="7384" spans="1:10">
      <c r="A7384" s="441">
        <v>10877</v>
      </c>
      <c r="B7384" s="441" t="s">
        <v>6105</v>
      </c>
      <c r="C7384" s="545">
        <v>65.666666666666657</v>
      </c>
      <c r="D7384" s="545">
        <v>23.333333333333336</v>
      </c>
      <c r="E7384" s="545">
        <v>22</v>
      </c>
      <c r="F7384" s="545">
        <v>53.380952380952365</v>
      </c>
      <c r="G7384" s="545">
        <v>40.299999999999997</v>
      </c>
      <c r="H7384" s="545">
        <v>37.333333333333336</v>
      </c>
      <c r="I7384" s="545">
        <v>27</v>
      </c>
      <c r="J7384" s="545">
        <v>37.976190476190482</v>
      </c>
    </row>
    <row r="7385" spans="1:10">
      <c r="A7385" s="441">
        <v>10883</v>
      </c>
      <c r="B7385" s="441" t="s">
        <v>6106</v>
      </c>
      <c r="C7385" s="545">
        <v>43.166666666666671</v>
      </c>
      <c r="D7385" s="545">
        <v>12.333333333333334</v>
      </c>
      <c r="E7385" s="545">
        <v>7.666666666666667</v>
      </c>
      <c r="F7385" s="545">
        <v>33.690476190476197</v>
      </c>
      <c r="G7385" s="545">
        <v>17.149999999999999</v>
      </c>
      <c r="H7385" s="545">
        <v>14</v>
      </c>
      <c r="I7385" s="545">
        <v>11</v>
      </c>
      <c r="J7385" s="545">
        <v>15.821428571428571</v>
      </c>
    </row>
    <row r="7386" spans="1:10">
      <c r="A7386" s="441">
        <v>10897</v>
      </c>
      <c r="B7386" s="441" t="s">
        <v>6106</v>
      </c>
      <c r="C7386" s="545">
        <v>30.333333333333332</v>
      </c>
      <c r="D7386" s="545">
        <v>15.666666666666666</v>
      </c>
      <c r="E7386" s="545">
        <v>6.666666666666667</v>
      </c>
      <c r="F7386" s="545">
        <v>24.857142857142854</v>
      </c>
      <c r="G7386" s="545">
        <v>14.5</v>
      </c>
      <c r="H7386" s="545">
        <v>11.333333333333334</v>
      </c>
      <c r="I7386" s="545">
        <v>11</v>
      </c>
      <c r="J7386" s="545">
        <v>13.547619047619047</v>
      </c>
    </row>
    <row r="7387" spans="1:10">
      <c r="A7387" s="441">
        <v>10899</v>
      </c>
      <c r="B7387" s="441" t="s">
        <v>6107</v>
      </c>
      <c r="C7387" s="545">
        <v>25.666666666666664</v>
      </c>
      <c r="D7387" s="545">
        <v>12.333333333333332</v>
      </c>
      <c r="E7387" s="545">
        <v>8.6666666666666661</v>
      </c>
      <c r="F7387" s="545">
        <v>21.333333333333332</v>
      </c>
      <c r="G7387" s="545">
        <v>9.6999999999999993</v>
      </c>
      <c r="H7387" s="545">
        <v>9.3333333333333339</v>
      </c>
      <c r="I7387" s="545">
        <v>8</v>
      </c>
      <c r="J7387" s="545">
        <v>9.4047619047619069</v>
      </c>
    </row>
    <row r="7388" spans="1:10">
      <c r="A7388" s="441">
        <v>7371</v>
      </c>
      <c r="B7388" s="441" t="s">
        <v>6108</v>
      </c>
      <c r="C7388" s="545">
        <v>2.1666666666666665</v>
      </c>
      <c r="D7388" s="545">
        <v>2.6666666666666665</v>
      </c>
      <c r="E7388" s="545">
        <v>2.666666666666667</v>
      </c>
      <c r="F7388" s="545">
        <v>2.3095238095238093</v>
      </c>
      <c r="G7388" s="545">
        <v>3.35</v>
      </c>
      <c r="H7388" s="545">
        <v>3.6666666666666665</v>
      </c>
      <c r="I7388" s="545">
        <v>1.3333333333333333</v>
      </c>
      <c r="J7388" s="545">
        <v>3.1071428571428572</v>
      </c>
    </row>
    <row r="7389" spans="1:10">
      <c r="A7389" s="441">
        <v>10924</v>
      </c>
      <c r="B7389" s="441" t="s">
        <v>6108</v>
      </c>
      <c r="C7389" s="545">
        <v>21.5</v>
      </c>
      <c r="D7389" s="545">
        <v>7.6666666666666661</v>
      </c>
      <c r="E7389" s="545">
        <v>5</v>
      </c>
      <c r="F7389" s="545">
        <v>17.166666666666668</v>
      </c>
      <c r="G7389" s="545">
        <v>11.2</v>
      </c>
      <c r="H7389" s="545">
        <v>6.666666666666667</v>
      </c>
      <c r="I7389" s="545">
        <v>5.666666666666667</v>
      </c>
      <c r="J7389" s="545">
        <v>9.761904761904761</v>
      </c>
    </row>
    <row r="7390" spans="1:10">
      <c r="A7390" s="441">
        <v>11433</v>
      </c>
      <c r="B7390" s="441" t="s">
        <v>6108</v>
      </c>
      <c r="C7390" s="545">
        <v>41.5</v>
      </c>
      <c r="D7390" s="545">
        <v>13.666666666666666</v>
      </c>
      <c r="E7390" s="545">
        <v>14.333333333333332</v>
      </c>
      <c r="F7390" s="545">
        <v>33.642857142857146</v>
      </c>
      <c r="G7390" s="545">
        <v>21.75</v>
      </c>
      <c r="H7390" s="545">
        <v>15.333333333333334</v>
      </c>
      <c r="I7390" s="545">
        <v>19.666666666666668</v>
      </c>
      <c r="J7390" s="545">
        <v>20.535714285714285</v>
      </c>
    </row>
    <row r="7391" spans="1:10">
      <c r="A7391" s="441">
        <v>11267</v>
      </c>
      <c r="B7391" s="441" t="s">
        <v>6109</v>
      </c>
      <c r="C7391" s="545">
        <v>10.5</v>
      </c>
      <c r="D7391" s="545">
        <v>2.6666666666666665</v>
      </c>
      <c r="E7391" s="545">
        <v>1.3333333333333333</v>
      </c>
      <c r="F7391" s="545">
        <v>8.0714285714285712</v>
      </c>
      <c r="G7391" s="545">
        <v>4.05</v>
      </c>
      <c r="H7391" s="545">
        <v>3.6666666666666665</v>
      </c>
      <c r="I7391" s="545">
        <v>1.3333333333333333</v>
      </c>
      <c r="J7391" s="545">
        <v>3.6071428571428572</v>
      </c>
    </row>
    <row r="7392" spans="1:10">
      <c r="A7392" s="441">
        <v>11268</v>
      </c>
      <c r="B7392" s="441" t="s">
        <v>6109</v>
      </c>
      <c r="C7392" s="545">
        <v>15.833333333333332</v>
      </c>
      <c r="D7392" s="545">
        <v>4</v>
      </c>
      <c r="E7392" s="545">
        <v>3</v>
      </c>
      <c r="F7392" s="545">
        <v>12.309523809523808</v>
      </c>
      <c r="G7392" s="545">
        <v>3.75</v>
      </c>
      <c r="H7392" s="545">
        <v>2.6666666666666665</v>
      </c>
      <c r="I7392" s="545">
        <v>0.66666666666666663</v>
      </c>
      <c r="J7392" s="545">
        <v>3.1547619047619051</v>
      </c>
    </row>
    <row r="7393" spans="1:10">
      <c r="A7393" s="441">
        <v>7372</v>
      </c>
      <c r="B7393" s="441" t="s">
        <v>6110</v>
      </c>
      <c r="C7393" s="545">
        <v>1.1666666666666667</v>
      </c>
      <c r="D7393" s="545">
        <v>0.66666666666666663</v>
      </c>
      <c r="E7393" s="545">
        <v>3.333333333333333</v>
      </c>
      <c r="F7393" s="545">
        <v>1.4047619047619049</v>
      </c>
      <c r="G7393" s="545">
        <v>0.7</v>
      </c>
      <c r="H7393" s="545">
        <v>0.33333333333333331</v>
      </c>
      <c r="I7393" s="545">
        <v>1</v>
      </c>
      <c r="J7393" s="545">
        <v>0.69047619047619058</v>
      </c>
    </row>
    <row r="7394" spans="1:10">
      <c r="A7394" s="441">
        <v>10049</v>
      </c>
      <c r="B7394" s="441" t="s">
        <v>6110</v>
      </c>
      <c r="C7394" s="545">
        <v>0.83333333333333326</v>
      </c>
      <c r="D7394" s="545">
        <v>1</v>
      </c>
      <c r="E7394" s="545">
        <v>0.66666666666666663</v>
      </c>
      <c r="F7394" s="545">
        <v>0.83333333333333326</v>
      </c>
      <c r="G7394" s="545">
        <v>1.95</v>
      </c>
      <c r="H7394" s="545">
        <v>0.33333333333333331</v>
      </c>
      <c r="I7394" s="545">
        <v>1.6666666666666667</v>
      </c>
      <c r="J7394" s="545">
        <v>1.6785714285714286</v>
      </c>
    </row>
    <row r="7395" spans="1:10">
      <c r="A7395" s="441">
        <v>7338</v>
      </c>
      <c r="B7395" s="441" t="s">
        <v>6111</v>
      </c>
      <c r="C7395" s="545">
        <v>23.333333333333332</v>
      </c>
      <c r="D7395" s="545">
        <v>0.33333333333333331</v>
      </c>
      <c r="E7395" s="545">
        <v>0.33333333333333331</v>
      </c>
      <c r="F7395" s="545">
        <v>16.761904761904759</v>
      </c>
      <c r="G7395" s="545">
        <v>9.5500000000000007</v>
      </c>
      <c r="H7395" s="545">
        <v>2</v>
      </c>
      <c r="I7395" s="545">
        <v>1.6666666666666667</v>
      </c>
      <c r="J7395" s="545">
        <v>7.3452380952380949</v>
      </c>
    </row>
    <row r="7396" spans="1:10">
      <c r="A7396" s="441">
        <v>7343</v>
      </c>
      <c r="B7396" s="441" t="s">
        <v>6111</v>
      </c>
      <c r="C7396" s="545">
        <v>33.833333333333329</v>
      </c>
      <c r="D7396" s="545">
        <v>0.66666666666666663</v>
      </c>
      <c r="E7396" s="545">
        <v>0.33333333333333331</v>
      </c>
      <c r="F7396" s="545">
        <v>24.309523809523803</v>
      </c>
      <c r="G7396" s="545">
        <v>13.1</v>
      </c>
      <c r="H7396" s="545">
        <v>1</v>
      </c>
      <c r="I7396" s="545">
        <v>1</v>
      </c>
      <c r="J7396" s="545">
        <v>9.6428571428571423</v>
      </c>
    </row>
    <row r="7397" spans="1:10">
      <c r="A7397" s="441">
        <v>7344</v>
      </c>
      <c r="B7397" s="441" t="s">
        <v>6112</v>
      </c>
      <c r="C7397" s="545">
        <v>16.333333333333336</v>
      </c>
      <c r="D7397" s="545">
        <v>10.333333333333332</v>
      </c>
      <c r="E7397" s="545">
        <v>4</v>
      </c>
      <c r="F7397" s="545">
        <v>13.714285714285717</v>
      </c>
      <c r="G7397" s="545">
        <v>12.6</v>
      </c>
      <c r="H7397" s="545">
        <v>8.6666666666666661</v>
      </c>
      <c r="I7397" s="545">
        <v>5.666666666666667</v>
      </c>
      <c r="J7397" s="545">
        <v>11.047619047619049</v>
      </c>
    </row>
    <row r="7398" spans="1:10">
      <c r="A7398" s="441">
        <v>10013</v>
      </c>
      <c r="B7398" s="441" t="s">
        <v>6112</v>
      </c>
      <c r="C7398" s="545">
        <v>9.8333333333333339</v>
      </c>
      <c r="D7398" s="545">
        <v>5.666666666666667</v>
      </c>
      <c r="E7398" s="545">
        <v>4.666666666666667</v>
      </c>
      <c r="F7398" s="545">
        <v>8.5</v>
      </c>
      <c r="G7398" s="545">
        <v>11.35</v>
      </c>
      <c r="H7398" s="545">
        <v>9.6666666666666661</v>
      </c>
      <c r="I7398" s="545">
        <v>3</v>
      </c>
      <c r="J7398" s="545">
        <v>9.9166666666666679</v>
      </c>
    </row>
    <row r="7399" spans="1:10">
      <c r="A7399" s="441">
        <v>10866</v>
      </c>
      <c r="B7399" s="441" t="s">
        <v>6113</v>
      </c>
      <c r="C7399" s="545">
        <v>23</v>
      </c>
      <c r="D7399" s="545">
        <v>13.666666666666666</v>
      </c>
      <c r="E7399" s="545">
        <v>6.3333333333333339</v>
      </c>
      <c r="F7399" s="545">
        <v>19.285714285714285</v>
      </c>
      <c r="G7399" s="545">
        <v>18.95</v>
      </c>
      <c r="H7399" s="545">
        <v>14.333333333333334</v>
      </c>
      <c r="I7399" s="545">
        <v>9</v>
      </c>
      <c r="J7399" s="545">
        <v>16.869047619047617</v>
      </c>
    </row>
    <row r="7400" spans="1:10">
      <c r="A7400" s="441">
        <v>10913</v>
      </c>
      <c r="B7400" s="441" t="s">
        <v>6113</v>
      </c>
      <c r="C7400" s="545">
        <v>26.833333333333332</v>
      </c>
      <c r="D7400" s="545">
        <v>15.666666666666666</v>
      </c>
      <c r="E7400" s="545">
        <v>5.6666666666666661</v>
      </c>
      <c r="F7400" s="545">
        <v>22.214285714285712</v>
      </c>
      <c r="G7400" s="545">
        <v>16.95</v>
      </c>
      <c r="H7400" s="545">
        <v>12.333333333333334</v>
      </c>
      <c r="I7400" s="545">
        <v>10.333333333333334</v>
      </c>
      <c r="J7400" s="545">
        <v>15.345238095238093</v>
      </c>
    </row>
    <row r="7401" spans="1:10">
      <c r="A7401" s="441">
        <v>10966</v>
      </c>
      <c r="B7401" s="441" t="s">
        <v>6114</v>
      </c>
      <c r="C7401" s="545">
        <v>290</v>
      </c>
      <c r="D7401" s="545">
        <v>119.66666666666667</v>
      </c>
      <c r="E7401" s="545">
        <v>118</v>
      </c>
      <c r="F7401" s="545">
        <v>241.0952380952381</v>
      </c>
      <c r="G7401" s="545">
        <v>140.30000000000001</v>
      </c>
      <c r="H7401" s="545">
        <v>141</v>
      </c>
      <c r="I7401" s="545">
        <v>119.66666666666667</v>
      </c>
      <c r="J7401" s="545">
        <v>137.45238095238093</v>
      </c>
    </row>
    <row r="7402" spans="1:10">
      <c r="A7402" s="441">
        <v>10865</v>
      </c>
      <c r="B7402" s="441" t="s">
        <v>6115</v>
      </c>
      <c r="C7402" s="545">
        <v>7.6666666666666661</v>
      </c>
      <c r="D7402" s="545">
        <v>4</v>
      </c>
      <c r="E7402" s="545">
        <v>3</v>
      </c>
      <c r="F7402" s="545">
        <v>6.4761904761904754</v>
      </c>
      <c r="G7402" s="545">
        <v>5.6</v>
      </c>
      <c r="H7402" s="545">
        <v>2.6666666666666665</v>
      </c>
      <c r="I7402" s="545">
        <v>2.3333333333333335</v>
      </c>
      <c r="J7402" s="545">
        <v>4.7142857142857144</v>
      </c>
    </row>
    <row r="7403" spans="1:10">
      <c r="A7403" s="441">
        <v>10914</v>
      </c>
      <c r="B7403" s="441" t="s">
        <v>6115</v>
      </c>
      <c r="C7403" s="545">
        <v>4.333333333333333</v>
      </c>
      <c r="D7403" s="545">
        <v>1.6666666666666665</v>
      </c>
      <c r="E7403" s="545">
        <v>2.333333333333333</v>
      </c>
      <c r="F7403" s="545">
        <v>3.6666666666666665</v>
      </c>
      <c r="G7403" s="545">
        <v>2.4500000000000002</v>
      </c>
      <c r="H7403" s="545">
        <v>1.3333333333333333</v>
      </c>
      <c r="I7403" s="545">
        <v>1.3333333333333333</v>
      </c>
      <c r="J7403" s="545">
        <v>2.1309523809523809</v>
      </c>
    </row>
    <row r="7404" spans="1:10">
      <c r="A7404" s="441">
        <v>10884</v>
      </c>
      <c r="B7404" s="441" t="s">
        <v>6116</v>
      </c>
      <c r="C7404" s="545">
        <v>9.3333333333333339</v>
      </c>
      <c r="D7404" s="545">
        <v>6.666666666666667</v>
      </c>
      <c r="E7404" s="545">
        <v>2</v>
      </c>
      <c r="F7404" s="545">
        <v>7.9047619047619051</v>
      </c>
      <c r="G7404" s="545">
        <v>4.5</v>
      </c>
      <c r="H7404" s="545">
        <v>3</v>
      </c>
      <c r="I7404" s="545">
        <v>1.3333333333333333</v>
      </c>
      <c r="J7404" s="545">
        <v>3.833333333333333</v>
      </c>
    </row>
    <row r="7405" spans="1:10">
      <c r="A7405" s="441">
        <v>10896</v>
      </c>
      <c r="B7405" s="441" t="s">
        <v>6116</v>
      </c>
      <c r="C7405" s="545">
        <v>7.5</v>
      </c>
      <c r="D7405" s="545">
        <v>3</v>
      </c>
      <c r="E7405" s="545">
        <v>1.6666666666666667</v>
      </c>
      <c r="F7405" s="545">
        <v>6.0238095238095237</v>
      </c>
      <c r="G7405" s="545">
        <v>4.7</v>
      </c>
      <c r="H7405" s="545">
        <v>2.6666666666666665</v>
      </c>
      <c r="I7405" s="545">
        <v>3</v>
      </c>
      <c r="J7405" s="545">
        <v>4.166666666666667</v>
      </c>
    </row>
    <row r="7406" spans="1:10">
      <c r="A7406" s="441">
        <v>10867</v>
      </c>
      <c r="B7406" s="441" t="s">
        <v>6117</v>
      </c>
      <c r="C7406" s="545">
        <v>6.333333333333333</v>
      </c>
      <c r="D7406" s="545">
        <v>2.666666666666667</v>
      </c>
      <c r="E7406" s="545">
        <v>1.3333333333333333</v>
      </c>
      <c r="F7406" s="545">
        <v>5.0952380952380949</v>
      </c>
      <c r="G7406" s="545">
        <v>5.05</v>
      </c>
      <c r="H7406" s="545">
        <v>1.6666666666666667</v>
      </c>
      <c r="I7406" s="545">
        <v>0.33333333333333331</v>
      </c>
      <c r="J7406" s="545">
        <v>3.8928571428571428</v>
      </c>
    </row>
    <row r="7407" spans="1:10">
      <c r="A7407" s="441">
        <v>10912</v>
      </c>
      <c r="B7407" s="441" t="s">
        <v>6117</v>
      </c>
      <c r="C7407" s="545">
        <v>2.1666666666666665</v>
      </c>
      <c r="D7407" s="545">
        <v>1</v>
      </c>
      <c r="E7407" s="545">
        <v>1</v>
      </c>
      <c r="F7407" s="545">
        <v>1.8333333333333333</v>
      </c>
      <c r="G7407" s="545">
        <v>3.55</v>
      </c>
      <c r="H7407" s="545">
        <v>1</v>
      </c>
      <c r="I7407" s="545">
        <v>1.3333333333333333</v>
      </c>
      <c r="J7407" s="545">
        <v>2.8690476190476191</v>
      </c>
    </row>
    <row r="7408" spans="1:10">
      <c r="A7408" s="441">
        <v>10872</v>
      </c>
      <c r="B7408" s="441" t="s">
        <v>6118</v>
      </c>
      <c r="C7408" s="545">
        <v>31.833333333333336</v>
      </c>
      <c r="D7408" s="545">
        <v>13.333333333333334</v>
      </c>
      <c r="E7408" s="545">
        <v>10.666666666666668</v>
      </c>
      <c r="F7408" s="545">
        <v>26.166666666666668</v>
      </c>
      <c r="G7408" s="545">
        <v>16.3</v>
      </c>
      <c r="H7408" s="545">
        <v>10.666666666666666</v>
      </c>
      <c r="I7408" s="545">
        <v>10.666666666666666</v>
      </c>
      <c r="J7408" s="545">
        <v>14.690476190476192</v>
      </c>
    </row>
    <row r="7409" spans="1:10">
      <c r="A7409" s="441">
        <v>10907</v>
      </c>
      <c r="B7409" s="441" t="s">
        <v>6118</v>
      </c>
      <c r="C7409" s="545">
        <v>32.666666666666671</v>
      </c>
      <c r="D7409" s="545">
        <v>16</v>
      </c>
      <c r="E7409" s="545">
        <v>8.6666666666666661</v>
      </c>
      <c r="F7409" s="545">
        <v>26.857142857142861</v>
      </c>
      <c r="G7409" s="545">
        <v>15.65</v>
      </c>
      <c r="H7409" s="545">
        <v>10</v>
      </c>
      <c r="I7409" s="545">
        <v>7.666666666666667</v>
      </c>
      <c r="J7409" s="545">
        <v>13.702380952380953</v>
      </c>
    </row>
    <row r="7410" spans="1:10">
      <c r="A7410" s="441">
        <v>10873</v>
      </c>
      <c r="B7410" s="441" t="s">
        <v>6119</v>
      </c>
      <c r="C7410" s="545">
        <v>34.333333333333329</v>
      </c>
      <c r="D7410" s="545">
        <v>28.333333333333336</v>
      </c>
      <c r="E7410" s="545">
        <v>22</v>
      </c>
      <c r="F7410" s="545">
        <v>31.714285714285712</v>
      </c>
      <c r="G7410" s="545">
        <v>27.5</v>
      </c>
      <c r="H7410" s="545">
        <v>19.333333333333332</v>
      </c>
      <c r="I7410" s="545">
        <v>21.666666666666668</v>
      </c>
      <c r="J7410" s="545">
        <v>25.5</v>
      </c>
    </row>
    <row r="7411" spans="1:10">
      <c r="A7411" s="441">
        <v>10906</v>
      </c>
      <c r="B7411" s="441" t="s">
        <v>6119</v>
      </c>
      <c r="C7411" s="545">
        <v>32.333333333333336</v>
      </c>
      <c r="D7411" s="545">
        <v>15.666666666666668</v>
      </c>
      <c r="E7411" s="545">
        <v>14.333333333333334</v>
      </c>
      <c r="F7411" s="545">
        <v>27.380952380952383</v>
      </c>
      <c r="G7411" s="545">
        <v>20.7</v>
      </c>
      <c r="H7411" s="545">
        <v>12.333333333333334</v>
      </c>
      <c r="I7411" s="545">
        <v>16</v>
      </c>
      <c r="J7411" s="545">
        <v>18.833333333333332</v>
      </c>
    </row>
    <row r="7412" spans="1:10">
      <c r="A7412" s="441">
        <v>7337</v>
      </c>
      <c r="B7412" s="441" t="s">
        <v>6120</v>
      </c>
      <c r="C7412" s="545">
        <v>44.833333333333336</v>
      </c>
      <c r="D7412" s="545">
        <v>21</v>
      </c>
      <c r="E7412" s="545">
        <v>13.666666666666668</v>
      </c>
      <c r="F7412" s="545">
        <v>36.976190476190482</v>
      </c>
      <c r="G7412" s="545">
        <v>29.2</v>
      </c>
      <c r="H7412" s="545">
        <v>18.333333333333332</v>
      </c>
      <c r="I7412" s="545">
        <v>15</v>
      </c>
      <c r="J7412" s="545">
        <v>25.61904761904762</v>
      </c>
    </row>
    <row r="7413" spans="1:10">
      <c r="A7413" s="441">
        <v>7345</v>
      </c>
      <c r="B7413" s="441" t="s">
        <v>6120</v>
      </c>
      <c r="C7413" s="545">
        <v>36</v>
      </c>
      <c r="D7413" s="545">
        <v>17.666666666666668</v>
      </c>
      <c r="E7413" s="545">
        <v>14</v>
      </c>
      <c r="F7413" s="545">
        <v>30.238095238095237</v>
      </c>
      <c r="G7413" s="545">
        <v>34.049999999999997</v>
      </c>
      <c r="H7413" s="545">
        <v>19.666666666666668</v>
      </c>
      <c r="I7413" s="545">
        <v>14</v>
      </c>
      <c r="J7413" s="545">
        <v>29.13095238095238</v>
      </c>
    </row>
    <row r="7414" spans="1:10">
      <c r="A7414" s="441">
        <v>10904</v>
      </c>
      <c r="B7414" s="441" t="s">
        <v>6121</v>
      </c>
      <c r="C7414" s="545">
        <v>9.8333333333333339</v>
      </c>
      <c r="D7414" s="545">
        <v>3.3333333333333335</v>
      </c>
      <c r="E7414" s="545">
        <v>2</v>
      </c>
      <c r="F7414" s="545">
        <v>7.7857142857142865</v>
      </c>
      <c r="G7414" s="545">
        <v>9.6999999999999993</v>
      </c>
      <c r="H7414" s="545">
        <v>6.666666666666667</v>
      </c>
      <c r="I7414" s="545">
        <v>5</v>
      </c>
      <c r="J7414" s="545">
        <v>8.5952380952380949</v>
      </c>
    </row>
    <row r="7415" spans="1:10">
      <c r="A7415" s="441">
        <v>7339</v>
      </c>
      <c r="B7415" s="441" t="s">
        <v>6122</v>
      </c>
      <c r="C7415" s="545">
        <v>7.6666666666666661</v>
      </c>
      <c r="D7415" s="545">
        <v>1.6666666666666665</v>
      </c>
      <c r="E7415" s="545">
        <v>0.33333333333333331</v>
      </c>
      <c r="F7415" s="545">
        <v>5.761904761904761</v>
      </c>
      <c r="G7415" s="545">
        <v>3.9</v>
      </c>
      <c r="H7415" s="545">
        <v>3.3333333333333335</v>
      </c>
      <c r="I7415" s="545">
        <v>4</v>
      </c>
      <c r="J7415" s="545">
        <v>3.833333333333333</v>
      </c>
    </row>
    <row r="7416" spans="1:10">
      <c r="A7416" s="441">
        <v>7340</v>
      </c>
      <c r="B7416" s="441" t="s">
        <v>6122</v>
      </c>
      <c r="C7416" s="545">
        <v>7.6666666666666661</v>
      </c>
      <c r="D7416" s="545">
        <v>3.333333333333333</v>
      </c>
      <c r="E7416" s="545">
        <v>1.6666666666666667</v>
      </c>
      <c r="F7416" s="545">
        <v>6.1904761904761898</v>
      </c>
      <c r="G7416" s="545">
        <v>3</v>
      </c>
      <c r="H7416" s="545">
        <v>2.6666666666666665</v>
      </c>
      <c r="I7416" s="545">
        <v>2</v>
      </c>
      <c r="J7416" s="545">
        <v>2.8095238095238098</v>
      </c>
    </row>
    <row r="7417" spans="1:10">
      <c r="A7417" s="441">
        <v>7342</v>
      </c>
      <c r="B7417" s="441" t="s">
        <v>6122</v>
      </c>
      <c r="C7417" s="545">
        <v>5</v>
      </c>
      <c r="D7417" s="545">
        <v>4.6666666666666661</v>
      </c>
      <c r="E7417" s="545">
        <v>1.3333333333333333</v>
      </c>
      <c r="F7417" s="545">
        <v>4.4285714285714279</v>
      </c>
      <c r="G7417" s="545">
        <v>4.55</v>
      </c>
      <c r="H7417" s="545">
        <v>3.6666666666666665</v>
      </c>
      <c r="I7417" s="545">
        <v>2.6666666666666665</v>
      </c>
      <c r="J7417" s="545">
        <v>4.1547619047619051</v>
      </c>
    </row>
    <row r="7418" spans="1:10">
      <c r="A7418" s="441">
        <v>10949</v>
      </c>
      <c r="B7418" s="441" t="s">
        <v>6123</v>
      </c>
      <c r="C7418" s="545">
        <v>5.5</v>
      </c>
      <c r="D7418" s="545">
        <v>3.333333333333333</v>
      </c>
      <c r="E7418" s="545">
        <v>4</v>
      </c>
      <c r="F7418" s="545">
        <v>4.9761904761904754</v>
      </c>
      <c r="G7418" s="545">
        <v>6.9</v>
      </c>
      <c r="H7418" s="545">
        <v>2.6666666666666665</v>
      </c>
      <c r="I7418" s="545">
        <v>2.3333333333333335</v>
      </c>
      <c r="J7418" s="545">
        <v>5.6428571428571432</v>
      </c>
    </row>
    <row r="7419" spans="1:10">
      <c r="A7419" s="441">
        <v>10950</v>
      </c>
      <c r="B7419" s="441" t="s">
        <v>6123</v>
      </c>
      <c r="C7419" s="545">
        <v>3.5</v>
      </c>
      <c r="D7419" s="545">
        <v>1.6666666666666665</v>
      </c>
      <c r="E7419" s="545">
        <v>3.666666666666667</v>
      </c>
      <c r="F7419" s="545">
        <v>3.2619047619047623</v>
      </c>
      <c r="G7419" s="545">
        <v>4.5</v>
      </c>
      <c r="H7419" s="545">
        <v>3</v>
      </c>
      <c r="I7419" s="545">
        <v>1.6666666666666667</v>
      </c>
      <c r="J7419" s="545">
        <v>3.8809523809523809</v>
      </c>
    </row>
    <row r="7420" spans="1:10">
      <c r="A7420" s="441">
        <v>10874</v>
      </c>
      <c r="B7420" s="441" t="s">
        <v>6124</v>
      </c>
      <c r="C7420" s="545">
        <v>2.333333333333333</v>
      </c>
      <c r="D7420" s="545">
        <v>2.3333333333333335</v>
      </c>
      <c r="E7420" s="545">
        <v>0.66666666666666663</v>
      </c>
      <c r="F7420" s="545">
        <v>2.0952380952380949</v>
      </c>
      <c r="G7420" s="545">
        <v>4</v>
      </c>
      <c r="H7420" s="545">
        <v>1.3333333333333333</v>
      </c>
      <c r="I7420" s="545">
        <v>3.6666666666666665</v>
      </c>
      <c r="J7420" s="545">
        <v>3.5714285714285716</v>
      </c>
    </row>
    <row r="7421" spans="1:10">
      <c r="A7421" s="441">
        <v>10905</v>
      </c>
      <c r="B7421" s="441" t="s">
        <v>6124</v>
      </c>
      <c r="C7421" s="545">
        <v>5.8333333333333339</v>
      </c>
      <c r="D7421" s="545">
        <v>3.333333333333333</v>
      </c>
      <c r="E7421" s="545">
        <v>2.6666666666666665</v>
      </c>
      <c r="F7421" s="545">
        <v>5.0238095238095246</v>
      </c>
      <c r="G7421" s="545">
        <v>4.45</v>
      </c>
      <c r="H7421" s="545">
        <v>3</v>
      </c>
      <c r="I7421" s="545">
        <v>2</v>
      </c>
      <c r="J7421" s="545">
        <v>3.8928571428571428</v>
      </c>
    </row>
    <row r="7422" spans="1:10">
      <c r="A7422" s="441">
        <v>10863</v>
      </c>
      <c r="B7422" s="441" t="s">
        <v>6125</v>
      </c>
      <c r="C7422" s="545">
        <v>4.666666666666667</v>
      </c>
      <c r="D7422" s="545">
        <v>2.333333333333333</v>
      </c>
      <c r="E7422" s="545">
        <v>1.6666666666666665</v>
      </c>
      <c r="F7422" s="545">
        <v>3.9047619047619051</v>
      </c>
      <c r="G7422" s="545">
        <v>4.9000000000000004</v>
      </c>
      <c r="H7422" s="545">
        <v>4.666666666666667</v>
      </c>
      <c r="I7422" s="545">
        <v>2.6666666666666665</v>
      </c>
      <c r="J7422" s="545">
        <v>4.5476190476190483</v>
      </c>
    </row>
    <row r="7423" spans="1:10">
      <c r="A7423" s="441">
        <v>10869</v>
      </c>
      <c r="B7423" s="441" t="s">
        <v>6126</v>
      </c>
      <c r="C7423" s="545">
        <v>5.833333333333333</v>
      </c>
      <c r="D7423" s="545">
        <v>1.3333333333333333</v>
      </c>
      <c r="E7423" s="545">
        <v>0.33333333333333331</v>
      </c>
      <c r="F7423" s="545">
        <v>4.4047619047619042</v>
      </c>
      <c r="G7423" s="545">
        <v>3.85</v>
      </c>
      <c r="H7423" s="545">
        <v>1.6666666666666667</v>
      </c>
      <c r="I7423" s="545">
        <v>1.3333333333333333</v>
      </c>
      <c r="J7423" s="545">
        <v>3.1785714285714284</v>
      </c>
    </row>
    <row r="7424" spans="1:10">
      <c r="A7424" s="441">
        <v>10910</v>
      </c>
      <c r="B7424" s="441" t="s">
        <v>6126</v>
      </c>
      <c r="C7424" s="545">
        <v>7.833333333333333</v>
      </c>
      <c r="D7424" s="545">
        <v>2</v>
      </c>
      <c r="E7424" s="545">
        <v>0.66666666666666663</v>
      </c>
      <c r="F7424" s="545">
        <v>5.9761904761904754</v>
      </c>
      <c r="G7424" s="545">
        <v>2.5499999999999998</v>
      </c>
      <c r="H7424" s="545">
        <v>1.6666666666666667</v>
      </c>
      <c r="I7424" s="545">
        <v>1.6666666666666667</v>
      </c>
      <c r="J7424" s="545">
        <v>2.2976190476190474</v>
      </c>
    </row>
    <row r="7425" spans="1:10">
      <c r="A7425" s="441">
        <v>10876</v>
      </c>
      <c r="B7425" s="441" t="s">
        <v>6127</v>
      </c>
      <c r="C7425" s="545">
        <v>10.833333333333334</v>
      </c>
      <c r="D7425" s="545">
        <v>8.6666666666666661</v>
      </c>
      <c r="E7425" s="545">
        <v>7</v>
      </c>
      <c r="F7425" s="545">
        <v>9.9761904761904781</v>
      </c>
      <c r="G7425" s="545">
        <v>8.5</v>
      </c>
      <c r="H7425" s="545">
        <v>13.666666666666666</v>
      </c>
      <c r="I7425" s="545">
        <v>7.333333333333333</v>
      </c>
      <c r="J7425" s="545">
        <v>9.0714285714285712</v>
      </c>
    </row>
    <row r="7426" spans="1:10">
      <c r="A7426" s="441">
        <v>10903</v>
      </c>
      <c r="B7426" s="441" t="s">
        <v>6127</v>
      </c>
      <c r="C7426" s="545">
        <v>9.1666666666666679</v>
      </c>
      <c r="D7426" s="545">
        <v>10.666666666666668</v>
      </c>
      <c r="E7426" s="545">
        <v>9</v>
      </c>
      <c r="F7426" s="545">
        <v>9.3571428571428594</v>
      </c>
      <c r="G7426" s="545">
        <v>7.15</v>
      </c>
      <c r="H7426" s="545">
        <v>2.6666666666666665</v>
      </c>
      <c r="I7426" s="545">
        <v>7.666666666666667</v>
      </c>
      <c r="J7426" s="545">
        <v>6.583333333333333</v>
      </c>
    </row>
    <row r="7427" spans="1:10">
      <c r="A7427" s="441">
        <v>7341</v>
      </c>
      <c r="B7427" s="441" t="s">
        <v>6128</v>
      </c>
      <c r="C7427" s="545">
        <v>4.5</v>
      </c>
      <c r="D7427" s="545">
        <v>2</v>
      </c>
      <c r="E7427" s="545">
        <v>0</v>
      </c>
      <c r="F7427" s="545">
        <v>3.5</v>
      </c>
      <c r="G7427" s="545">
        <v>3.95</v>
      </c>
      <c r="H7427" s="545">
        <v>9</v>
      </c>
      <c r="I7427" s="545">
        <v>1</v>
      </c>
      <c r="J7427" s="545">
        <v>4.25</v>
      </c>
    </row>
    <row r="7428" spans="1:10">
      <c r="A7428" s="441">
        <v>10879</v>
      </c>
      <c r="B7428" s="441" t="s">
        <v>6129</v>
      </c>
      <c r="C7428" s="545">
        <v>0.66666666666666663</v>
      </c>
      <c r="D7428" s="545">
        <v>0.33333333333333331</v>
      </c>
      <c r="E7428" s="545">
        <v>2.333333333333333</v>
      </c>
      <c r="F7428" s="545">
        <v>0.8571428571428571</v>
      </c>
      <c r="G7428" s="545">
        <v>1.1499999999999999</v>
      </c>
      <c r="H7428" s="545">
        <v>0.66666666666666663</v>
      </c>
      <c r="I7428" s="545">
        <v>1</v>
      </c>
      <c r="J7428" s="545">
        <v>1.0595238095238095</v>
      </c>
    </row>
    <row r="7429" spans="1:10">
      <c r="A7429" s="441">
        <v>10901</v>
      </c>
      <c r="B7429" s="441" t="s">
        <v>6129</v>
      </c>
      <c r="C7429" s="545">
        <v>2.3333333333333335</v>
      </c>
      <c r="D7429" s="545">
        <v>0.33333333333333331</v>
      </c>
      <c r="E7429" s="545">
        <v>0.66666666666666663</v>
      </c>
      <c r="F7429" s="545">
        <v>1.8095238095238098</v>
      </c>
      <c r="G7429" s="545">
        <v>1.35</v>
      </c>
      <c r="H7429" s="545">
        <v>2</v>
      </c>
      <c r="I7429" s="545">
        <v>0</v>
      </c>
      <c r="J7429" s="545">
        <v>1.25</v>
      </c>
    </row>
    <row r="7430" spans="1:10">
      <c r="A7430" s="441">
        <v>7336</v>
      </c>
      <c r="B7430" s="441" t="s">
        <v>6130</v>
      </c>
      <c r="C7430" s="545">
        <v>6.1666666666666661</v>
      </c>
      <c r="D7430" s="545">
        <v>3</v>
      </c>
      <c r="E7430" s="545">
        <v>3.333333333333333</v>
      </c>
      <c r="F7430" s="545">
        <v>5.3095238095238093</v>
      </c>
      <c r="G7430" s="545">
        <v>8.1999999999999993</v>
      </c>
      <c r="H7430" s="545">
        <v>4.666666666666667</v>
      </c>
      <c r="I7430" s="545">
        <v>3</v>
      </c>
      <c r="J7430" s="545">
        <v>6.9523809523809517</v>
      </c>
    </row>
    <row r="7431" spans="1:10">
      <c r="A7431" s="441">
        <v>7346</v>
      </c>
      <c r="B7431" s="441" t="s">
        <v>6130</v>
      </c>
      <c r="C7431" s="545">
        <v>13.333333333333334</v>
      </c>
      <c r="D7431" s="545">
        <v>5</v>
      </c>
      <c r="E7431" s="545">
        <v>3.666666666666667</v>
      </c>
      <c r="F7431" s="545">
        <v>10.761904761904763</v>
      </c>
      <c r="G7431" s="545">
        <v>11.5</v>
      </c>
      <c r="H7431" s="545">
        <v>7</v>
      </c>
      <c r="I7431" s="545">
        <v>3</v>
      </c>
      <c r="J7431" s="545">
        <v>9.6428571428571423</v>
      </c>
    </row>
    <row r="7432" spans="1:10">
      <c r="A7432" s="441">
        <v>10963</v>
      </c>
      <c r="B7432" s="441" t="s">
        <v>6131</v>
      </c>
      <c r="C7432" s="545">
        <v>54</v>
      </c>
      <c r="D7432" s="545">
        <v>17.333333333333332</v>
      </c>
      <c r="E7432" s="545">
        <v>15.333333333333334</v>
      </c>
      <c r="F7432" s="545">
        <v>43.238095238095234</v>
      </c>
      <c r="G7432" s="545">
        <v>17.399999999999999</v>
      </c>
      <c r="H7432" s="545">
        <v>18.666666666666668</v>
      </c>
      <c r="I7432" s="545">
        <v>10.666666666666666</v>
      </c>
      <c r="J7432" s="545">
        <v>16.61904761904762</v>
      </c>
    </row>
    <row r="7433" spans="1:10">
      <c r="A7433" s="441">
        <v>10880</v>
      </c>
      <c r="B7433" s="441" t="s">
        <v>6132</v>
      </c>
      <c r="C7433" s="545">
        <v>7.333333333333333</v>
      </c>
      <c r="D7433" s="545">
        <v>1.3333333333333333</v>
      </c>
      <c r="E7433" s="545">
        <v>4.666666666666667</v>
      </c>
      <c r="F7433" s="545">
        <v>6.0952380952380949</v>
      </c>
      <c r="G7433" s="545">
        <v>1.55</v>
      </c>
      <c r="H7433" s="545">
        <v>0.66666666666666663</v>
      </c>
      <c r="I7433" s="545">
        <v>1.3333333333333333</v>
      </c>
      <c r="J7433" s="545">
        <v>1.3928571428571428</v>
      </c>
    </row>
    <row r="7434" spans="1:10">
      <c r="A7434" s="441">
        <v>10900</v>
      </c>
      <c r="B7434" s="441" t="s">
        <v>6132</v>
      </c>
      <c r="C7434" s="545">
        <v>7.833333333333333</v>
      </c>
      <c r="D7434" s="545">
        <v>4.666666666666667</v>
      </c>
      <c r="E7434" s="545">
        <v>3</v>
      </c>
      <c r="F7434" s="545">
        <v>6.6904761904761898</v>
      </c>
      <c r="G7434" s="545">
        <v>2.95</v>
      </c>
      <c r="H7434" s="545">
        <v>4</v>
      </c>
      <c r="I7434" s="545">
        <v>2.6666666666666665</v>
      </c>
      <c r="J7434" s="545">
        <v>3.0595238095238098</v>
      </c>
    </row>
    <row r="7435" spans="1:10">
      <c r="A7435" s="441">
        <v>7335</v>
      </c>
      <c r="B7435" s="441" t="s">
        <v>6133</v>
      </c>
      <c r="C7435" s="545">
        <v>17.5</v>
      </c>
      <c r="D7435" s="545">
        <v>6</v>
      </c>
      <c r="E7435" s="545">
        <v>6.6666666666666661</v>
      </c>
      <c r="F7435" s="545">
        <v>14.30952380952381</v>
      </c>
      <c r="G7435" s="545">
        <v>5.85</v>
      </c>
      <c r="H7435" s="545">
        <v>5</v>
      </c>
      <c r="I7435" s="545">
        <v>3</v>
      </c>
      <c r="J7435" s="545">
        <v>5.3214285714285712</v>
      </c>
    </row>
    <row r="7436" spans="1:10">
      <c r="A7436" s="441">
        <v>7347</v>
      </c>
      <c r="B7436" s="441" t="s">
        <v>6133</v>
      </c>
      <c r="C7436" s="545">
        <v>14.666666666666668</v>
      </c>
      <c r="D7436" s="545">
        <v>5</v>
      </c>
      <c r="E7436" s="545">
        <v>4.666666666666667</v>
      </c>
      <c r="F7436" s="545">
        <v>11.857142857142859</v>
      </c>
      <c r="G7436" s="545">
        <v>2.5499999999999998</v>
      </c>
      <c r="H7436" s="545">
        <v>1.6666666666666667</v>
      </c>
      <c r="I7436" s="545">
        <v>1</v>
      </c>
      <c r="J7436" s="545">
        <v>2.2023809523809521</v>
      </c>
    </row>
    <row r="7437" spans="1:10">
      <c r="A7437" s="441">
        <v>10875</v>
      </c>
      <c r="B7437" s="441" t="s">
        <v>6134</v>
      </c>
      <c r="C7437" s="545">
        <v>15.5</v>
      </c>
      <c r="D7437" s="545">
        <v>6</v>
      </c>
      <c r="E7437" s="545">
        <v>3.666666666666667</v>
      </c>
      <c r="F7437" s="545">
        <v>12.452380952380953</v>
      </c>
      <c r="G7437" s="545">
        <v>11.2</v>
      </c>
      <c r="H7437" s="545">
        <v>8.6666666666666661</v>
      </c>
      <c r="I7437" s="545">
        <v>3.3333333333333335</v>
      </c>
      <c r="J7437" s="545">
        <v>9.7142857142857135</v>
      </c>
    </row>
    <row r="7438" spans="1:10">
      <c r="A7438" s="441">
        <v>10881</v>
      </c>
      <c r="B7438" s="441" t="s">
        <v>6135</v>
      </c>
      <c r="C7438" s="545">
        <v>24.166666666666668</v>
      </c>
      <c r="D7438" s="545">
        <v>9</v>
      </c>
      <c r="E7438" s="545">
        <v>13.333333333333334</v>
      </c>
      <c r="F7438" s="545">
        <v>20.452380952380956</v>
      </c>
      <c r="G7438" s="545">
        <v>9.8000000000000007</v>
      </c>
      <c r="H7438" s="545">
        <v>10</v>
      </c>
      <c r="I7438" s="545">
        <v>7.333333333333333</v>
      </c>
      <c r="J7438" s="545">
        <v>9.4761904761904763</v>
      </c>
    </row>
    <row r="7439" spans="1:10">
      <c r="A7439" s="441">
        <v>7348</v>
      </c>
      <c r="B7439" s="441" t="s">
        <v>6136</v>
      </c>
      <c r="C7439" s="545">
        <v>44</v>
      </c>
      <c r="D7439" s="545">
        <v>17.333333333333332</v>
      </c>
      <c r="E7439" s="545">
        <v>13</v>
      </c>
      <c r="F7439" s="545">
        <v>35.761904761904766</v>
      </c>
      <c r="G7439" s="545">
        <v>27.3</v>
      </c>
      <c r="H7439" s="545">
        <v>19</v>
      </c>
      <c r="I7439" s="545">
        <v>18</v>
      </c>
      <c r="J7439" s="545">
        <v>24.785714285714285</v>
      </c>
    </row>
    <row r="7440" spans="1:10">
      <c r="A7440" s="441">
        <v>7373</v>
      </c>
      <c r="B7440" s="441" t="s">
        <v>6136</v>
      </c>
      <c r="C7440" s="545">
        <v>28.333333333333336</v>
      </c>
      <c r="D7440" s="545">
        <v>14.666666666666668</v>
      </c>
      <c r="E7440" s="545">
        <v>13.333333333333332</v>
      </c>
      <c r="F7440" s="545">
        <v>24.238095238095241</v>
      </c>
      <c r="G7440" s="545">
        <v>19.25</v>
      </c>
      <c r="H7440" s="545">
        <v>13.333333333333334</v>
      </c>
      <c r="I7440" s="545">
        <v>15.333333333333334</v>
      </c>
      <c r="J7440" s="545">
        <v>17.845238095238095</v>
      </c>
    </row>
    <row r="7441" spans="1:10">
      <c r="A7441" s="441">
        <v>10878</v>
      </c>
      <c r="B7441" s="441" t="s">
        <v>6137</v>
      </c>
      <c r="C7441" s="545">
        <v>9</v>
      </c>
      <c r="D7441" s="545">
        <v>11.666666666666666</v>
      </c>
      <c r="E7441" s="545">
        <v>5</v>
      </c>
      <c r="F7441" s="545">
        <v>8.8095238095238084</v>
      </c>
      <c r="G7441" s="545">
        <v>7.4</v>
      </c>
      <c r="H7441" s="545">
        <v>6.666666666666667</v>
      </c>
      <c r="I7441" s="545">
        <v>6</v>
      </c>
      <c r="J7441" s="545">
        <v>7.0952380952380949</v>
      </c>
    </row>
    <row r="7442" spans="1:10">
      <c r="A7442" s="441">
        <v>10902</v>
      </c>
      <c r="B7442" s="441" t="s">
        <v>6137</v>
      </c>
      <c r="C7442" s="545">
        <v>9.1666666666666661</v>
      </c>
      <c r="D7442" s="545">
        <v>6</v>
      </c>
      <c r="E7442" s="545">
        <v>4.3333333333333339</v>
      </c>
      <c r="F7442" s="545">
        <v>8.0238095238095237</v>
      </c>
      <c r="G7442" s="545">
        <v>5.2</v>
      </c>
      <c r="H7442" s="545">
        <v>3</v>
      </c>
      <c r="I7442" s="545">
        <v>1.3333333333333333</v>
      </c>
      <c r="J7442" s="545">
        <v>4.333333333333333</v>
      </c>
    </row>
    <row r="7443" spans="1:10">
      <c r="A7443" s="441">
        <v>10916</v>
      </c>
      <c r="B7443" s="441" t="s">
        <v>6138</v>
      </c>
      <c r="C7443" s="545">
        <v>5.5</v>
      </c>
      <c r="D7443" s="545">
        <v>3</v>
      </c>
      <c r="E7443" s="545">
        <v>2.3333333333333335</v>
      </c>
      <c r="F7443" s="545">
        <v>4.6904761904761907</v>
      </c>
      <c r="G7443" s="545">
        <v>4.1500000000000004</v>
      </c>
      <c r="H7443" s="545">
        <v>5</v>
      </c>
      <c r="I7443" s="545">
        <v>3</v>
      </c>
      <c r="J7443" s="545">
        <v>4.1071428571428568</v>
      </c>
    </row>
    <row r="7444" spans="1:10">
      <c r="A7444" s="441">
        <v>10870</v>
      </c>
      <c r="B7444" s="441" t="s">
        <v>6139</v>
      </c>
      <c r="C7444" s="545">
        <v>2.8333333333333335</v>
      </c>
      <c r="D7444" s="545">
        <v>4</v>
      </c>
      <c r="E7444" s="545">
        <v>3.333333333333333</v>
      </c>
      <c r="F7444" s="545">
        <v>3.0714285714285716</v>
      </c>
      <c r="G7444" s="545">
        <v>3.15</v>
      </c>
      <c r="H7444" s="545">
        <v>1.3333333333333333</v>
      </c>
      <c r="I7444" s="545">
        <v>2.3333333333333335</v>
      </c>
      <c r="J7444" s="545">
        <v>2.7738095238095233</v>
      </c>
    </row>
    <row r="7445" spans="1:10">
      <c r="A7445" s="441">
        <v>10909</v>
      </c>
      <c r="B7445" s="441" t="s">
        <v>6139</v>
      </c>
      <c r="C7445" s="545">
        <v>4.333333333333333</v>
      </c>
      <c r="D7445" s="545">
        <v>5.333333333333333</v>
      </c>
      <c r="E7445" s="545">
        <v>3</v>
      </c>
      <c r="F7445" s="545">
        <v>4.2857142857142856</v>
      </c>
      <c r="G7445" s="545">
        <v>2.25</v>
      </c>
      <c r="H7445" s="545">
        <v>3.3333333333333335</v>
      </c>
      <c r="I7445" s="545">
        <v>6</v>
      </c>
      <c r="J7445" s="545">
        <v>2.9404761904761907</v>
      </c>
    </row>
    <row r="7446" spans="1:10">
      <c r="A7446" s="441">
        <v>10882</v>
      </c>
      <c r="B7446" s="441" t="s">
        <v>6140</v>
      </c>
      <c r="C7446" s="545">
        <v>13.166666666666668</v>
      </c>
      <c r="D7446" s="545">
        <v>9</v>
      </c>
      <c r="E7446" s="545">
        <v>2</v>
      </c>
      <c r="F7446" s="545">
        <v>10.976190476190478</v>
      </c>
      <c r="G7446" s="545">
        <v>6.9</v>
      </c>
      <c r="H7446" s="545">
        <v>5.333333333333333</v>
      </c>
      <c r="I7446" s="545">
        <v>8.3333333333333339</v>
      </c>
      <c r="J7446" s="545">
        <v>6.8809523809523814</v>
      </c>
    </row>
    <row r="7447" spans="1:10">
      <c r="A7447" s="441">
        <v>10898</v>
      </c>
      <c r="B7447" s="441" t="s">
        <v>6140</v>
      </c>
      <c r="C7447" s="545">
        <v>11.166666666666666</v>
      </c>
      <c r="D7447" s="545">
        <v>5.333333333333333</v>
      </c>
      <c r="E7447" s="545">
        <v>3</v>
      </c>
      <c r="F7447" s="545">
        <v>9.1666666666666661</v>
      </c>
      <c r="G7447" s="545">
        <v>10</v>
      </c>
      <c r="H7447" s="545">
        <v>6.666666666666667</v>
      </c>
      <c r="I7447" s="545">
        <v>10</v>
      </c>
      <c r="J7447" s="545">
        <v>9.5238095238095219</v>
      </c>
    </row>
    <row r="7448" spans="1:10">
      <c r="A7448" s="441">
        <v>10864</v>
      </c>
      <c r="B7448" s="441" t="s">
        <v>6141</v>
      </c>
      <c r="C7448" s="545">
        <v>12.333333333333334</v>
      </c>
      <c r="D7448" s="545">
        <v>5</v>
      </c>
      <c r="E7448" s="545">
        <v>4</v>
      </c>
      <c r="F7448" s="545">
        <v>10.095238095238097</v>
      </c>
      <c r="G7448" s="545">
        <v>7.95</v>
      </c>
      <c r="H7448" s="545">
        <v>8.3333333333333339</v>
      </c>
      <c r="I7448" s="545">
        <v>1.3333333333333333</v>
      </c>
      <c r="J7448" s="545">
        <v>7.0595238095238102</v>
      </c>
    </row>
    <row r="7449" spans="1:10">
      <c r="A7449" s="441">
        <v>10915</v>
      </c>
      <c r="B7449" s="441" t="s">
        <v>6141</v>
      </c>
      <c r="C7449" s="545">
        <v>6.5</v>
      </c>
      <c r="D7449" s="545">
        <v>5</v>
      </c>
      <c r="E7449" s="545">
        <v>2</v>
      </c>
      <c r="F7449" s="545">
        <v>5.6428571428571432</v>
      </c>
      <c r="G7449" s="545">
        <v>6.25</v>
      </c>
      <c r="H7449" s="545">
        <v>4.333333333333333</v>
      </c>
      <c r="I7449" s="545">
        <v>3</v>
      </c>
      <c r="J7449" s="545">
        <v>5.5119047619047619</v>
      </c>
    </row>
    <row r="7450" spans="1:10">
      <c r="A7450" s="441">
        <v>10871</v>
      </c>
      <c r="B7450" s="441" t="s">
        <v>6142</v>
      </c>
      <c r="C7450" s="545">
        <v>19.833333333333336</v>
      </c>
      <c r="D7450" s="545">
        <v>8.6666666666666661</v>
      </c>
      <c r="E7450" s="545">
        <v>7.3333333333333339</v>
      </c>
      <c r="F7450" s="545">
        <v>16.452380952380956</v>
      </c>
      <c r="G7450" s="545">
        <v>7.65</v>
      </c>
      <c r="H7450" s="545">
        <v>5.333333333333333</v>
      </c>
      <c r="I7450" s="545">
        <v>4.666666666666667</v>
      </c>
      <c r="J7450" s="545">
        <v>6.8928571428571432</v>
      </c>
    </row>
    <row r="7451" spans="1:10">
      <c r="A7451" s="441">
        <v>10908</v>
      </c>
      <c r="B7451" s="441" t="s">
        <v>6142</v>
      </c>
      <c r="C7451" s="545">
        <v>13.166666666666668</v>
      </c>
      <c r="D7451" s="545">
        <v>7.6666666666666661</v>
      </c>
      <c r="E7451" s="545">
        <v>5.666666666666667</v>
      </c>
      <c r="F7451" s="545">
        <v>11.309523809523812</v>
      </c>
      <c r="G7451" s="545">
        <v>9.9499999999999993</v>
      </c>
      <c r="H7451" s="545">
        <v>5</v>
      </c>
      <c r="I7451" s="545">
        <v>3.6666666666666665</v>
      </c>
      <c r="J7451" s="545">
        <v>8.3452380952380949</v>
      </c>
    </row>
    <row r="7452" spans="1:10">
      <c r="A7452" s="441">
        <v>10868</v>
      </c>
      <c r="B7452" s="441" t="s">
        <v>6143</v>
      </c>
      <c r="C7452" s="545">
        <v>8.1666666666666679</v>
      </c>
      <c r="D7452" s="545">
        <v>1.6666666666666667</v>
      </c>
      <c r="E7452" s="545">
        <v>1</v>
      </c>
      <c r="F7452" s="545">
        <v>6.2142857142857153</v>
      </c>
      <c r="G7452" s="545">
        <v>4.3499999999999996</v>
      </c>
      <c r="H7452" s="545">
        <v>5</v>
      </c>
      <c r="I7452" s="545">
        <v>2.3333333333333335</v>
      </c>
      <c r="J7452" s="545">
        <v>4.1547619047619042</v>
      </c>
    </row>
    <row r="7453" spans="1:10">
      <c r="A7453" s="441">
        <v>10911</v>
      </c>
      <c r="B7453" s="441" t="s">
        <v>6143</v>
      </c>
      <c r="C7453" s="545">
        <v>10.166666666666666</v>
      </c>
      <c r="D7453" s="545">
        <v>3.3333333333333335</v>
      </c>
      <c r="E7453" s="545">
        <v>0.33333333333333331</v>
      </c>
      <c r="F7453" s="545">
        <v>7.7857142857142856</v>
      </c>
      <c r="G7453" s="545">
        <v>3.3</v>
      </c>
      <c r="H7453" s="545">
        <v>2</v>
      </c>
      <c r="I7453" s="545">
        <v>0.66666666666666663</v>
      </c>
      <c r="J7453" s="545">
        <v>2.7380952380952381</v>
      </c>
    </row>
    <row r="7454" spans="1:10">
      <c r="A7454" s="441">
        <v>12712</v>
      </c>
      <c r="B7454" s="441" t="s">
        <v>6144</v>
      </c>
      <c r="C7454" s="545">
        <v>56.833333333333329</v>
      </c>
      <c r="D7454" s="545">
        <v>44.666666666666671</v>
      </c>
      <c r="E7454" s="545">
        <v>29.666666666666668</v>
      </c>
      <c r="F7454" s="545">
        <v>51.214285714285715</v>
      </c>
      <c r="G7454" s="545">
        <v>36.950000000000003</v>
      </c>
      <c r="H7454" s="545">
        <v>29.333333333333332</v>
      </c>
      <c r="I7454" s="545">
        <v>25</v>
      </c>
      <c r="J7454" s="545">
        <v>34.154761904761905</v>
      </c>
    </row>
    <row r="7455" spans="1:10">
      <c r="A7455" s="441">
        <v>12713</v>
      </c>
      <c r="B7455" s="441" t="s">
        <v>6144</v>
      </c>
      <c r="C7455" s="545">
        <v>70.5</v>
      </c>
      <c r="D7455" s="545">
        <v>52.333333333333329</v>
      </c>
      <c r="E7455" s="545">
        <v>47.333333333333329</v>
      </c>
      <c r="F7455" s="545">
        <v>64.595238095238088</v>
      </c>
      <c r="G7455" s="545">
        <v>55.55</v>
      </c>
      <c r="H7455" s="545">
        <v>44.666666666666664</v>
      </c>
      <c r="I7455" s="545">
        <v>33.333333333333336</v>
      </c>
      <c r="J7455" s="545">
        <v>50.821428571428569</v>
      </c>
    </row>
    <row r="7456" spans="1:10">
      <c r="A7456" s="441">
        <v>12686</v>
      </c>
      <c r="B7456" s="441" t="s">
        <v>6145</v>
      </c>
      <c r="C7456" s="545">
        <v>65.166666666666657</v>
      </c>
      <c r="D7456" s="545">
        <v>32</v>
      </c>
      <c r="E7456" s="545">
        <v>20.666666666666664</v>
      </c>
      <c r="F7456" s="545">
        <v>54.071428571428562</v>
      </c>
      <c r="G7456" s="545">
        <v>45.1</v>
      </c>
      <c r="H7456" s="545">
        <v>27.666666666666668</v>
      </c>
      <c r="I7456" s="545">
        <v>24</v>
      </c>
      <c r="J7456" s="545">
        <v>39.595238095238088</v>
      </c>
    </row>
    <row r="7457" spans="1:10">
      <c r="A7457" s="441">
        <v>11560</v>
      </c>
      <c r="B7457" s="441" t="s">
        <v>6146</v>
      </c>
      <c r="C7457" s="545">
        <v>3</v>
      </c>
      <c r="D7457" s="545">
        <v>4.6666666666666661</v>
      </c>
      <c r="E7457" s="545">
        <v>1</v>
      </c>
      <c r="F7457" s="545">
        <v>2.9523809523809521</v>
      </c>
      <c r="G7457" s="545">
        <v>6.15</v>
      </c>
      <c r="H7457" s="545">
        <v>2</v>
      </c>
      <c r="I7457" s="545">
        <v>2</v>
      </c>
      <c r="J7457" s="545">
        <v>4.9642857142857144</v>
      </c>
    </row>
    <row r="7458" spans="1:10">
      <c r="A7458" s="441">
        <v>11455</v>
      </c>
      <c r="B7458" s="441" t="s">
        <v>6147</v>
      </c>
      <c r="C7458" s="545">
        <v>123.5</v>
      </c>
      <c r="D7458" s="545">
        <v>108.66666666666667</v>
      </c>
      <c r="E7458" s="545">
        <v>97</v>
      </c>
      <c r="F7458" s="545">
        <v>117.59523809523809</v>
      </c>
      <c r="G7458" s="545">
        <v>144.30000000000001</v>
      </c>
      <c r="H7458" s="545">
        <v>145</v>
      </c>
      <c r="I7458" s="545">
        <v>135</v>
      </c>
      <c r="J7458" s="545">
        <v>143.07142857142858</v>
      </c>
    </row>
    <row r="7459" spans="1:10">
      <c r="A7459" s="441">
        <v>8293</v>
      </c>
      <c r="B7459" s="441" t="s">
        <v>6148</v>
      </c>
      <c r="C7459" s="545">
        <v>0.16666666666666666</v>
      </c>
      <c r="D7459" s="545">
        <v>0.33333333333333331</v>
      </c>
      <c r="E7459" s="545">
        <v>0</v>
      </c>
      <c r="F7459" s="545">
        <v>0.16666666666666666</v>
      </c>
      <c r="G7459" s="545">
        <v>0.45</v>
      </c>
      <c r="H7459" s="545">
        <v>0</v>
      </c>
      <c r="I7459" s="545">
        <v>0.33333333333333331</v>
      </c>
      <c r="J7459" s="545">
        <v>0.36904761904761907</v>
      </c>
    </row>
    <row r="7460" spans="1:10">
      <c r="A7460" s="441">
        <v>10858</v>
      </c>
      <c r="B7460" s="441" t="s">
        <v>6148</v>
      </c>
      <c r="C7460" s="545">
        <v>0.66666666666666663</v>
      </c>
      <c r="D7460" s="545">
        <v>0</v>
      </c>
      <c r="E7460" s="545">
        <v>0</v>
      </c>
      <c r="F7460" s="545">
        <v>0.47619047619047616</v>
      </c>
      <c r="G7460" s="545">
        <v>0.15</v>
      </c>
      <c r="H7460" s="545">
        <v>0</v>
      </c>
      <c r="I7460" s="545">
        <v>0</v>
      </c>
      <c r="J7460" s="545">
        <v>0.10714285714285714</v>
      </c>
    </row>
    <row r="7461" spans="1:10">
      <c r="A7461" s="441">
        <v>12408</v>
      </c>
      <c r="B7461" s="441" t="s">
        <v>6149</v>
      </c>
      <c r="C7461" s="545">
        <v>8</v>
      </c>
      <c r="D7461" s="545">
        <v>15.333333333333334</v>
      </c>
      <c r="E7461" s="545">
        <v>5</v>
      </c>
      <c r="F7461" s="545">
        <v>8.6190476190476186</v>
      </c>
      <c r="G7461" s="545">
        <v>2.6</v>
      </c>
      <c r="H7461" s="545">
        <v>2</v>
      </c>
      <c r="I7461" s="545">
        <v>1.6666666666666667</v>
      </c>
      <c r="J7461" s="545">
        <v>2.3809523809523809</v>
      </c>
    </row>
    <row r="7462" spans="1:10">
      <c r="A7462" s="441">
        <v>10775</v>
      </c>
      <c r="B7462" s="441" t="s">
        <v>6150</v>
      </c>
      <c r="C7462" s="545">
        <v>4.166666666666667</v>
      </c>
      <c r="D7462" s="545">
        <v>0</v>
      </c>
      <c r="E7462" s="545">
        <v>0.33333333333333331</v>
      </c>
      <c r="F7462" s="545">
        <v>3.0238095238095242</v>
      </c>
      <c r="G7462" s="545">
        <v>16.850000000000001</v>
      </c>
      <c r="H7462" s="545">
        <v>13.666666666666666</v>
      </c>
      <c r="I7462" s="545">
        <v>12.333333333333334</v>
      </c>
      <c r="J7462" s="545">
        <v>15.75</v>
      </c>
    </row>
    <row r="7463" spans="1:10">
      <c r="A7463" s="441">
        <v>13055</v>
      </c>
      <c r="B7463" s="441" t="s">
        <v>6150</v>
      </c>
      <c r="C7463" s="545">
        <v>1.6666666666666667</v>
      </c>
      <c r="D7463" s="545">
        <v>1</v>
      </c>
      <c r="E7463" s="545">
        <v>0</v>
      </c>
      <c r="F7463" s="545">
        <v>1.3333333333333335</v>
      </c>
      <c r="G7463" s="545">
        <v>1.6</v>
      </c>
      <c r="H7463" s="545">
        <v>0</v>
      </c>
      <c r="I7463" s="545">
        <v>0</v>
      </c>
      <c r="J7463" s="545">
        <v>1.1428571428571428</v>
      </c>
    </row>
    <row r="7464" spans="1:10">
      <c r="A7464" s="441">
        <v>11559</v>
      </c>
      <c r="B7464" s="441" t="s">
        <v>6151</v>
      </c>
      <c r="C7464" s="545">
        <v>1.5</v>
      </c>
      <c r="D7464" s="545">
        <v>0</v>
      </c>
      <c r="E7464" s="545">
        <v>0</v>
      </c>
      <c r="F7464" s="545">
        <v>1.0714285714285714</v>
      </c>
      <c r="G7464" s="545">
        <v>0.35</v>
      </c>
      <c r="H7464" s="545">
        <v>0</v>
      </c>
      <c r="I7464" s="545">
        <v>0.66666666666666663</v>
      </c>
      <c r="J7464" s="545">
        <v>0.34523809523809523</v>
      </c>
    </row>
    <row r="7465" spans="1:10">
      <c r="A7465" s="441">
        <v>10212</v>
      </c>
      <c r="B7465" s="441" t="s">
        <v>6152</v>
      </c>
      <c r="C7465" s="545">
        <v>0.33333333333333331</v>
      </c>
      <c r="D7465" s="545">
        <v>0</v>
      </c>
      <c r="E7465" s="545">
        <v>1</v>
      </c>
      <c r="F7465" s="545">
        <v>0.38095238095238093</v>
      </c>
      <c r="G7465" s="545">
        <v>0.8</v>
      </c>
      <c r="H7465" s="545">
        <v>0</v>
      </c>
      <c r="I7465" s="545">
        <v>0.33333333333333331</v>
      </c>
      <c r="J7465" s="545">
        <v>0.61904761904761896</v>
      </c>
    </row>
    <row r="7466" spans="1:10">
      <c r="A7466" s="441">
        <v>8300</v>
      </c>
      <c r="B7466" s="441" t="s">
        <v>6153</v>
      </c>
      <c r="C7466" s="545">
        <v>26.833333333333336</v>
      </c>
      <c r="D7466" s="545">
        <v>12.333333333333334</v>
      </c>
      <c r="E7466" s="545">
        <v>10.333333333333334</v>
      </c>
      <c r="F7466" s="545">
        <v>22.404761904761909</v>
      </c>
      <c r="G7466" s="545">
        <v>21.25</v>
      </c>
      <c r="H7466" s="545">
        <v>14.666666666666666</v>
      </c>
      <c r="I7466" s="545">
        <v>11.333333333333334</v>
      </c>
      <c r="J7466" s="545">
        <v>18.892857142857142</v>
      </c>
    </row>
    <row r="7467" spans="1:10">
      <c r="A7467" s="441">
        <v>12474</v>
      </c>
      <c r="B7467" s="441" t="s">
        <v>6153</v>
      </c>
      <c r="C7467" s="545">
        <v>0.83333333333333337</v>
      </c>
      <c r="D7467" s="545">
        <v>0.33333333333333331</v>
      </c>
      <c r="E7467" s="545">
        <v>0</v>
      </c>
      <c r="F7467" s="545">
        <v>0.6428571428571429</v>
      </c>
      <c r="G7467" s="545">
        <v>3.4</v>
      </c>
      <c r="H7467" s="545">
        <v>1</v>
      </c>
      <c r="I7467" s="545">
        <v>2.6666666666666665</v>
      </c>
      <c r="J7467" s="545">
        <v>2.9523809523809526</v>
      </c>
    </row>
    <row r="7468" spans="1:10">
      <c r="A7468" s="441">
        <v>11451</v>
      </c>
      <c r="B7468" s="441" t="s">
        <v>6154</v>
      </c>
      <c r="C7468" s="545">
        <v>75.833333333333329</v>
      </c>
      <c r="D7468" s="545">
        <v>56.333333333333336</v>
      </c>
      <c r="E7468" s="545">
        <v>39.666666666666671</v>
      </c>
      <c r="F7468" s="545">
        <v>67.88095238095238</v>
      </c>
      <c r="G7468" s="545">
        <v>72</v>
      </c>
      <c r="H7468" s="545">
        <v>47.333333333333336</v>
      </c>
      <c r="I7468" s="545">
        <v>30</v>
      </c>
      <c r="J7468" s="545">
        <v>62.476190476190474</v>
      </c>
    </row>
    <row r="7469" spans="1:10">
      <c r="A7469" s="441">
        <v>8294</v>
      </c>
      <c r="B7469" s="441" t="s">
        <v>6155</v>
      </c>
      <c r="C7469" s="545">
        <v>6.8333333333333339</v>
      </c>
      <c r="D7469" s="545">
        <v>5.6666666666666661</v>
      </c>
      <c r="E7469" s="545">
        <v>2.666666666666667</v>
      </c>
      <c r="F7469" s="545">
        <v>6.0714285714285712</v>
      </c>
      <c r="G7469" s="545">
        <v>2.4500000000000002</v>
      </c>
      <c r="H7469" s="545">
        <v>2.3333333333333335</v>
      </c>
      <c r="I7469" s="545">
        <v>2.3333333333333335</v>
      </c>
      <c r="J7469" s="545">
        <v>2.416666666666667</v>
      </c>
    </row>
    <row r="7470" spans="1:10">
      <c r="A7470" s="441">
        <v>11556</v>
      </c>
      <c r="B7470" s="441" t="s">
        <v>6155</v>
      </c>
      <c r="C7470" s="545">
        <v>4</v>
      </c>
      <c r="D7470" s="545">
        <v>2.3333333333333335</v>
      </c>
      <c r="E7470" s="545">
        <v>1</v>
      </c>
      <c r="F7470" s="545">
        <v>3.333333333333333</v>
      </c>
      <c r="G7470" s="545">
        <v>2.5</v>
      </c>
      <c r="H7470" s="545">
        <v>2</v>
      </c>
      <c r="I7470" s="545">
        <v>1</v>
      </c>
      <c r="J7470" s="545">
        <v>2.2142857142857144</v>
      </c>
    </row>
    <row r="7471" spans="1:10">
      <c r="A7471" s="441">
        <v>12400</v>
      </c>
      <c r="B7471" s="441" t="s">
        <v>6156</v>
      </c>
      <c r="C7471" s="545">
        <v>2.3333333333333335</v>
      </c>
      <c r="D7471" s="545">
        <v>0.66666666666666663</v>
      </c>
      <c r="E7471" s="545">
        <v>0</v>
      </c>
      <c r="F7471" s="545">
        <v>1.7619047619047621</v>
      </c>
      <c r="G7471" s="545">
        <v>1.35</v>
      </c>
      <c r="H7471" s="545">
        <v>0.66666666666666663</v>
      </c>
      <c r="I7471" s="545">
        <v>0.33333333333333331</v>
      </c>
      <c r="J7471" s="545">
        <v>1.1071428571428572</v>
      </c>
    </row>
    <row r="7472" spans="1:10">
      <c r="A7472" s="441">
        <v>12954</v>
      </c>
      <c r="B7472" s="441" t="s">
        <v>6156</v>
      </c>
      <c r="C7472" s="545">
        <v>2.833333333333333</v>
      </c>
      <c r="D7472" s="545">
        <v>3.3333333333333335</v>
      </c>
      <c r="E7472" s="545">
        <v>1</v>
      </c>
      <c r="F7472" s="545">
        <v>2.6428571428571423</v>
      </c>
      <c r="G7472" s="545">
        <v>4</v>
      </c>
      <c r="H7472" s="545">
        <v>1.3333333333333333</v>
      </c>
      <c r="I7472" s="545">
        <v>2.3333333333333335</v>
      </c>
      <c r="J7472" s="545">
        <v>3.3809523809523805</v>
      </c>
    </row>
    <row r="7473" spans="1:10">
      <c r="A7473" s="441">
        <v>8292</v>
      </c>
      <c r="B7473" s="441" t="s">
        <v>6157</v>
      </c>
      <c r="C7473" s="545">
        <v>5.333333333333333</v>
      </c>
      <c r="D7473" s="545">
        <v>2</v>
      </c>
      <c r="E7473" s="545">
        <v>2.6666666666666665</v>
      </c>
      <c r="F7473" s="545">
        <v>4.4761904761904763</v>
      </c>
      <c r="G7473" s="545">
        <v>2.4500000000000002</v>
      </c>
      <c r="H7473" s="545">
        <v>1.6666666666666667</v>
      </c>
      <c r="I7473" s="545">
        <v>1.6666666666666667</v>
      </c>
      <c r="J7473" s="545">
        <v>2.2261904761904758</v>
      </c>
    </row>
    <row r="7474" spans="1:10">
      <c r="A7474" s="441">
        <v>10859</v>
      </c>
      <c r="B7474" s="441" t="s">
        <v>6157</v>
      </c>
      <c r="C7474" s="545">
        <v>2.333333333333333</v>
      </c>
      <c r="D7474" s="545">
        <v>2</v>
      </c>
      <c r="E7474" s="545">
        <v>3.6666666666666665</v>
      </c>
      <c r="F7474" s="545">
        <v>2.4761904761904758</v>
      </c>
      <c r="G7474" s="545">
        <v>1.75</v>
      </c>
      <c r="H7474" s="545">
        <v>1.3333333333333333</v>
      </c>
      <c r="I7474" s="545">
        <v>1.6666666666666667</v>
      </c>
      <c r="J7474" s="545">
        <v>1.6785714285714286</v>
      </c>
    </row>
    <row r="7475" spans="1:10">
      <c r="A7475" s="441">
        <v>12401</v>
      </c>
      <c r="B7475" s="441" t="s">
        <v>6158</v>
      </c>
      <c r="C7475" s="545">
        <v>12.166666666666666</v>
      </c>
      <c r="D7475" s="545">
        <v>5</v>
      </c>
      <c r="E7475" s="545">
        <v>2.3333333333333335</v>
      </c>
      <c r="F7475" s="545">
        <v>9.7380952380952372</v>
      </c>
      <c r="G7475" s="545">
        <v>6.45</v>
      </c>
      <c r="H7475" s="545">
        <v>9.6666666666666661</v>
      </c>
      <c r="I7475" s="545">
        <v>5.333333333333333</v>
      </c>
      <c r="J7475" s="545">
        <v>6.75</v>
      </c>
    </row>
    <row r="7476" spans="1:10">
      <c r="A7476" s="441">
        <v>5067</v>
      </c>
      <c r="B7476" s="441" t="s">
        <v>6159</v>
      </c>
      <c r="C7476" s="545">
        <v>18.333333333333332</v>
      </c>
      <c r="D7476" s="545">
        <v>13.333333333333332</v>
      </c>
      <c r="E7476" s="545">
        <v>11</v>
      </c>
      <c r="F7476" s="545">
        <v>16.571428571428569</v>
      </c>
      <c r="G7476" s="545">
        <v>16.600000000000001</v>
      </c>
      <c r="H7476" s="545">
        <v>11.333333333333334</v>
      </c>
      <c r="I7476" s="545">
        <v>13.666666666666666</v>
      </c>
      <c r="J7476" s="545">
        <v>15.428571428571429</v>
      </c>
    </row>
    <row r="7477" spans="1:10">
      <c r="A7477" s="441">
        <v>6094</v>
      </c>
      <c r="B7477" s="441" t="s">
        <v>6160</v>
      </c>
      <c r="C7477" s="545">
        <v>2.833333333333333</v>
      </c>
      <c r="D7477" s="545">
        <v>0.66666666666666663</v>
      </c>
      <c r="E7477" s="545">
        <v>1</v>
      </c>
      <c r="F7477" s="545">
        <v>2.2619047619047614</v>
      </c>
      <c r="G7477" s="545">
        <v>2.95</v>
      </c>
      <c r="H7477" s="545">
        <v>1</v>
      </c>
      <c r="I7477" s="545">
        <v>0.33333333333333331</v>
      </c>
      <c r="J7477" s="545">
        <v>2.2976190476190474</v>
      </c>
    </row>
    <row r="7478" spans="1:10">
      <c r="A7478" s="441">
        <v>5521</v>
      </c>
      <c r="B7478" s="441" t="s">
        <v>6161</v>
      </c>
      <c r="C7478" s="545">
        <v>1.8333333333333333</v>
      </c>
      <c r="D7478" s="545">
        <v>2</v>
      </c>
      <c r="E7478" s="545">
        <v>2</v>
      </c>
      <c r="F7478" s="545">
        <v>1.8809523809523809</v>
      </c>
      <c r="G7478" s="545">
        <v>1</v>
      </c>
      <c r="H7478" s="545">
        <v>1.6666666666666667</v>
      </c>
      <c r="I7478" s="545">
        <v>0</v>
      </c>
      <c r="J7478" s="545">
        <v>0.95238095238095244</v>
      </c>
    </row>
    <row r="7479" spans="1:10">
      <c r="A7479" s="441">
        <v>6097</v>
      </c>
      <c r="B7479" s="441" t="s">
        <v>6161</v>
      </c>
      <c r="C7479" s="545">
        <v>1.6666666666666665</v>
      </c>
      <c r="D7479" s="545">
        <v>1.6666666666666665</v>
      </c>
      <c r="E7479" s="545">
        <v>0.66666666666666663</v>
      </c>
      <c r="F7479" s="545">
        <v>1.5238095238095235</v>
      </c>
      <c r="G7479" s="545">
        <v>1.1499999999999999</v>
      </c>
      <c r="H7479" s="545">
        <v>1.3333333333333333</v>
      </c>
      <c r="I7479" s="545">
        <v>0</v>
      </c>
      <c r="J7479" s="545">
        <v>1.0119047619047619</v>
      </c>
    </row>
    <row r="7480" spans="1:10">
      <c r="A7480" s="441">
        <v>6673</v>
      </c>
      <c r="B7480" s="441" t="s">
        <v>6162</v>
      </c>
      <c r="C7480" s="545">
        <v>1.1666666666666667</v>
      </c>
      <c r="D7480" s="545">
        <v>1</v>
      </c>
      <c r="E7480" s="545">
        <v>0</v>
      </c>
      <c r="F7480" s="545">
        <v>0.97619047619047628</v>
      </c>
      <c r="G7480" s="545">
        <v>0.15</v>
      </c>
      <c r="H7480" s="545">
        <v>0</v>
      </c>
      <c r="I7480" s="545">
        <v>0.33333333333333331</v>
      </c>
      <c r="J7480" s="545">
        <v>0.15476190476190474</v>
      </c>
    </row>
    <row r="7481" spans="1:10">
      <c r="A7481" s="441">
        <v>6708</v>
      </c>
      <c r="B7481" s="441" t="s">
        <v>6162</v>
      </c>
      <c r="C7481" s="545">
        <v>1.5</v>
      </c>
      <c r="D7481" s="545">
        <v>0.33333333333333331</v>
      </c>
      <c r="E7481" s="545">
        <v>0</v>
      </c>
      <c r="F7481" s="545">
        <v>1.1190476190476191</v>
      </c>
      <c r="G7481" s="545">
        <v>0.15</v>
      </c>
      <c r="H7481" s="545">
        <v>0</v>
      </c>
      <c r="I7481" s="545">
        <v>0</v>
      </c>
      <c r="J7481" s="545">
        <v>0.10714285714285714</v>
      </c>
    </row>
    <row r="7482" spans="1:10">
      <c r="A7482" s="441">
        <v>5524</v>
      </c>
      <c r="B7482" s="441" t="s">
        <v>6163</v>
      </c>
      <c r="C7482" s="545">
        <v>6.5</v>
      </c>
      <c r="D7482" s="545">
        <v>2.6666666666666665</v>
      </c>
      <c r="E7482" s="545">
        <v>4</v>
      </c>
      <c r="F7482" s="545">
        <v>5.5952380952380949</v>
      </c>
      <c r="G7482" s="545">
        <v>3.65</v>
      </c>
      <c r="H7482" s="545">
        <v>6.333333333333333</v>
      </c>
      <c r="I7482" s="545">
        <v>4.333333333333333</v>
      </c>
      <c r="J7482" s="545">
        <v>4.1309523809523805</v>
      </c>
    </row>
    <row r="7483" spans="1:10">
      <c r="A7483" s="441">
        <v>6703</v>
      </c>
      <c r="B7483" s="441" t="s">
        <v>6164</v>
      </c>
      <c r="C7483" s="545">
        <v>7</v>
      </c>
      <c r="D7483" s="545">
        <v>2</v>
      </c>
      <c r="E7483" s="545">
        <v>2.666666666666667</v>
      </c>
      <c r="F7483" s="545">
        <v>5.6666666666666661</v>
      </c>
      <c r="G7483" s="545">
        <v>3.85</v>
      </c>
      <c r="H7483" s="545">
        <v>1.3333333333333333</v>
      </c>
      <c r="I7483" s="545">
        <v>4.333333333333333</v>
      </c>
      <c r="J7483" s="545">
        <v>3.5595238095238093</v>
      </c>
    </row>
    <row r="7484" spans="1:10">
      <c r="A7484" s="441">
        <v>11698</v>
      </c>
      <c r="B7484" s="441" t="s">
        <v>6164</v>
      </c>
      <c r="C7484" s="545">
        <v>6.1666666666666661</v>
      </c>
      <c r="D7484" s="545">
        <v>0.33333333333333331</v>
      </c>
      <c r="E7484" s="545">
        <v>3</v>
      </c>
      <c r="F7484" s="545">
        <v>4.8809523809523796</v>
      </c>
      <c r="G7484" s="545">
        <v>4.9000000000000004</v>
      </c>
      <c r="H7484" s="545">
        <v>1.6666666666666667</v>
      </c>
      <c r="I7484" s="545">
        <v>0.66666666666666663</v>
      </c>
      <c r="J7484" s="545">
        <v>3.8333333333333335</v>
      </c>
    </row>
    <row r="7485" spans="1:10">
      <c r="A7485" s="441">
        <v>6100</v>
      </c>
      <c r="B7485" s="441" t="s">
        <v>6165</v>
      </c>
      <c r="C7485" s="545">
        <v>15.666666666666668</v>
      </c>
      <c r="D7485" s="545">
        <v>5</v>
      </c>
      <c r="E7485" s="545">
        <v>7</v>
      </c>
      <c r="F7485" s="545">
        <v>12.904761904761907</v>
      </c>
      <c r="G7485" s="545">
        <v>7.8</v>
      </c>
      <c r="H7485" s="545">
        <v>7</v>
      </c>
      <c r="I7485" s="545">
        <v>4.333333333333333</v>
      </c>
      <c r="J7485" s="545">
        <v>7.1904761904761907</v>
      </c>
    </row>
    <row r="7486" spans="1:10">
      <c r="A7486" s="441">
        <v>6508</v>
      </c>
      <c r="B7486" s="441" t="s">
        <v>6166</v>
      </c>
      <c r="C7486" s="545">
        <v>6.166666666666667</v>
      </c>
      <c r="D7486" s="545">
        <v>0.33333333333333331</v>
      </c>
      <c r="E7486" s="545">
        <v>0</v>
      </c>
      <c r="F7486" s="545">
        <v>4.4523809523809526</v>
      </c>
      <c r="G7486" s="545">
        <v>1.5</v>
      </c>
      <c r="H7486" s="545">
        <v>2</v>
      </c>
      <c r="I7486" s="545">
        <v>2.6666666666666665</v>
      </c>
      <c r="J7486" s="545">
        <v>1.7380952380952379</v>
      </c>
    </row>
    <row r="7487" spans="1:10">
      <c r="A7487" s="441">
        <v>5523</v>
      </c>
      <c r="B7487" s="441" t="s">
        <v>6167</v>
      </c>
      <c r="C7487" s="545">
        <v>3.5</v>
      </c>
      <c r="D7487" s="545">
        <v>0.33333333333333331</v>
      </c>
      <c r="E7487" s="545">
        <v>0</v>
      </c>
      <c r="F7487" s="545">
        <v>2.5476190476190474</v>
      </c>
      <c r="G7487" s="545">
        <v>0.95</v>
      </c>
      <c r="H7487" s="545">
        <v>0</v>
      </c>
      <c r="I7487" s="545">
        <v>0</v>
      </c>
      <c r="J7487" s="545">
        <v>0.6785714285714286</v>
      </c>
    </row>
    <row r="7488" spans="1:10">
      <c r="A7488" s="441">
        <v>6095</v>
      </c>
      <c r="B7488" s="441" t="s">
        <v>6167</v>
      </c>
      <c r="C7488" s="545">
        <v>2</v>
      </c>
      <c r="D7488" s="545">
        <v>0.33333333333333331</v>
      </c>
      <c r="E7488" s="545">
        <v>0</v>
      </c>
      <c r="F7488" s="545">
        <v>1.4761904761904763</v>
      </c>
      <c r="G7488" s="545">
        <v>1.25</v>
      </c>
      <c r="H7488" s="545">
        <v>0.66666666666666663</v>
      </c>
      <c r="I7488" s="545">
        <v>0.33333333333333331</v>
      </c>
      <c r="J7488" s="545">
        <v>1.0357142857142858</v>
      </c>
    </row>
    <row r="7489" spans="1:10">
      <c r="A7489" s="441">
        <v>6709</v>
      </c>
      <c r="B7489" s="441" t="s">
        <v>6168</v>
      </c>
      <c r="C7489" s="545">
        <v>13.333333333333334</v>
      </c>
      <c r="D7489" s="545">
        <v>11.666666666666668</v>
      </c>
      <c r="E7489" s="545">
        <v>3.3333333333333335</v>
      </c>
      <c r="F7489" s="545">
        <v>11.666666666666668</v>
      </c>
      <c r="G7489" s="545">
        <v>7.4</v>
      </c>
      <c r="H7489" s="545">
        <v>6.333333333333333</v>
      </c>
      <c r="I7489" s="545">
        <v>2.3333333333333335</v>
      </c>
      <c r="J7489" s="545">
        <v>6.5238095238095246</v>
      </c>
    </row>
    <row r="7490" spans="1:10">
      <c r="A7490" s="441">
        <v>6710</v>
      </c>
      <c r="B7490" s="441" t="s">
        <v>6169</v>
      </c>
      <c r="C7490" s="545">
        <v>25.333333333333332</v>
      </c>
      <c r="D7490" s="545">
        <v>15.333333333333332</v>
      </c>
      <c r="E7490" s="545">
        <v>12.666666666666666</v>
      </c>
      <c r="F7490" s="545">
        <v>22.095238095238095</v>
      </c>
      <c r="G7490" s="545">
        <v>14</v>
      </c>
      <c r="H7490" s="545">
        <v>17.333333333333332</v>
      </c>
      <c r="I7490" s="545">
        <v>12.333333333333334</v>
      </c>
      <c r="J7490" s="545">
        <v>14.238095238095237</v>
      </c>
    </row>
    <row r="7491" spans="1:10">
      <c r="A7491" s="441">
        <v>5522</v>
      </c>
      <c r="B7491" s="441" t="s">
        <v>6170</v>
      </c>
      <c r="C7491" s="545">
        <v>4</v>
      </c>
      <c r="D7491" s="545">
        <v>0</v>
      </c>
      <c r="E7491" s="545">
        <v>1</v>
      </c>
      <c r="F7491" s="545">
        <v>3</v>
      </c>
      <c r="G7491" s="545">
        <v>2.75</v>
      </c>
      <c r="H7491" s="545">
        <v>3</v>
      </c>
      <c r="I7491" s="545">
        <v>0.33333333333333331</v>
      </c>
      <c r="J7491" s="545">
        <v>2.4404761904761902</v>
      </c>
    </row>
    <row r="7492" spans="1:10">
      <c r="A7492" s="441">
        <v>6096</v>
      </c>
      <c r="B7492" s="441" t="s">
        <v>6170</v>
      </c>
      <c r="C7492" s="545">
        <v>2.5</v>
      </c>
      <c r="D7492" s="545">
        <v>0</v>
      </c>
      <c r="E7492" s="545">
        <v>0.33333333333333331</v>
      </c>
      <c r="F7492" s="545">
        <v>1.8333333333333335</v>
      </c>
      <c r="G7492" s="545">
        <v>2</v>
      </c>
      <c r="H7492" s="545">
        <v>3.3333333333333335</v>
      </c>
      <c r="I7492" s="545">
        <v>0</v>
      </c>
      <c r="J7492" s="545">
        <v>1.9047619047619049</v>
      </c>
    </row>
    <row r="7493" spans="1:10">
      <c r="A7493" s="441">
        <v>5520</v>
      </c>
      <c r="B7493" s="441" t="s">
        <v>6171</v>
      </c>
      <c r="C7493" s="545">
        <v>4.6666666666666661</v>
      </c>
      <c r="D7493" s="545">
        <v>1</v>
      </c>
      <c r="E7493" s="545">
        <v>0.66666666666666663</v>
      </c>
      <c r="F7493" s="545">
        <v>3.5714285714285707</v>
      </c>
      <c r="G7493" s="545">
        <v>0.75</v>
      </c>
      <c r="H7493" s="545">
        <v>0.33333333333333331</v>
      </c>
      <c r="I7493" s="545">
        <v>0</v>
      </c>
      <c r="J7493" s="545">
        <v>0.58333333333333326</v>
      </c>
    </row>
    <row r="7494" spans="1:10">
      <c r="A7494" s="441">
        <v>6098</v>
      </c>
      <c r="B7494" s="441" t="s">
        <v>6171</v>
      </c>
      <c r="C7494" s="545">
        <v>5.666666666666667</v>
      </c>
      <c r="D7494" s="545">
        <v>2.6666666666666665</v>
      </c>
      <c r="E7494" s="545">
        <v>0.66666666666666663</v>
      </c>
      <c r="F7494" s="545">
        <v>4.5238095238095246</v>
      </c>
      <c r="G7494" s="545">
        <v>0.85</v>
      </c>
      <c r="H7494" s="545">
        <v>0</v>
      </c>
      <c r="I7494" s="545">
        <v>1</v>
      </c>
      <c r="J7494" s="545">
        <v>0.75</v>
      </c>
    </row>
    <row r="7495" spans="1:10">
      <c r="A7495" s="441">
        <v>6509</v>
      </c>
      <c r="B7495" s="441" t="s">
        <v>6172</v>
      </c>
      <c r="C7495" s="545">
        <v>6.1666666666666661</v>
      </c>
      <c r="D7495" s="545">
        <v>2</v>
      </c>
      <c r="E7495" s="545">
        <v>1</v>
      </c>
      <c r="F7495" s="545">
        <v>4.833333333333333</v>
      </c>
      <c r="G7495" s="545">
        <v>4.5</v>
      </c>
      <c r="H7495" s="545">
        <v>1.3333333333333333</v>
      </c>
      <c r="I7495" s="545">
        <v>0.33333333333333331</v>
      </c>
      <c r="J7495" s="545">
        <v>3.4523809523809521</v>
      </c>
    </row>
    <row r="7496" spans="1:10">
      <c r="A7496" s="441">
        <v>6674</v>
      </c>
      <c r="B7496" s="441" t="s">
        <v>6173</v>
      </c>
      <c r="C7496" s="545">
        <v>1.1666666666666665</v>
      </c>
      <c r="D7496" s="545">
        <v>0.66666666666666663</v>
      </c>
      <c r="E7496" s="545">
        <v>0</v>
      </c>
      <c r="F7496" s="545">
        <v>0.92857142857142849</v>
      </c>
      <c r="G7496" s="545">
        <v>0.75</v>
      </c>
      <c r="H7496" s="545">
        <v>0</v>
      </c>
      <c r="I7496" s="545">
        <v>0</v>
      </c>
      <c r="J7496" s="545">
        <v>0.5357142857142857</v>
      </c>
    </row>
    <row r="7497" spans="1:10">
      <c r="A7497" s="441">
        <v>6531</v>
      </c>
      <c r="B7497" s="441" t="s">
        <v>6174</v>
      </c>
      <c r="C7497" s="545">
        <v>4.5</v>
      </c>
      <c r="D7497" s="545">
        <v>1</v>
      </c>
      <c r="E7497" s="545">
        <v>0.66666666666666663</v>
      </c>
      <c r="F7497" s="545">
        <v>3.4523809523809526</v>
      </c>
      <c r="G7497" s="545">
        <v>5.45</v>
      </c>
      <c r="H7497" s="545">
        <v>6</v>
      </c>
      <c r="I7497" s="545">
        <v>1</v>
      </c>
      <c r="J7497" s="545">
        <v>4.8928571428571432</v>
      </c>
    </row>
    <row r="7498" spans="1:10">
      <c r="A7498" s="441">
        <v>6099</v>
      </c>
      <c r="B7498" s="441" t="s">
        <v>6175</v>
      </c>
      <c r="C7498" s="545">
        <v>1.8333333333333333</v>
      </c>
      <c r="D7498" s="545">
        <v>2</v>
      </c>
      <c r="E7498" s="545">
        <v>2</v>
      </c>
      <c r="F7498" s="545">
        <v>1.8809523809523809</v>
      </c>
      <c r="G7498" s="545">
        <v>0.8</v>
      </c>
      <c r="H7498" s="545">
        <v>1</v>
      </c>
      <c r="I7498" s="545">
        <v>1.3333333333333333</v>
      </c>
      <c r="J7498" s="545">
        <v>0.90476190476190477</v>
      </c>
    </row>
    <row r="7499" spans="1:10">
      <c r="A7499" s="441">
        <v>12952</v>
      </c>
      <c r="B7499" s="441" t="s">
        <v>6176</v>
      </c>
      <c r="C7499" s="545">
        <v>54.666666666666671</v>
      </c>
      <c r="D7499" s="545">
        <v>37.666666666666671</v>
      </c>
      <c r="E7499" s="545">
        <v>23.333333333333336</v>
      </c>
      <c r="F7499" s="545">
        <v>47.761904761904766</v>
      </c>
      <c r="G7499" s="545">
        <v>28.1</v>
      </c>
      <c r="H7499" s="545">
        <v>14.666666666666666</v>
      </c>
      <c r="I7499" s="545">
        <v>12.333333333333334</v>
      </c>
      <c r="J7499" s="545">
        <v>23.928571428571427</v>
      </c>
    </row>
    <row r="7500" spans="1:10">
      <c r="A7500" s="441">
        <v>12953</v>
      </c>
      <c r="B7500" s="441" t="s">
        <v>6176</v>
      </c>
      <c r="C7500" s="545">
        <v>66.5</v>
      </c>
      <c r="D7500" s="545">
        <v>35.333333333333329</v>
      </c>
      <c r="E7500" s="545">
        <v>24.666666666666664</v>
      </c>
      <c r="F7500" s="545">
        <v>56.071428571428569</v>
      </c>
      <c r="G7500" s="545">
        <v>25.95</v>
      </c>
      <c r="H7500" s="545">
        <v>10</v>
      </c>
      <c r="I7500" s="545">
        <v>12</v>
      </c>
      <c r="J7500" s="545">
        <v>21.678571428571427</v>
      </c>
    </row>
    <row r="7501" spans="1:10">
      <c r="A7501" s="441">
        <v>6518</v>
      </c>
      <c r="B7501" s="441" t="s">
        <v>6177</v>
      </c>
      <c r="C7501" s="545">
        <v>6.166666666666667</v>
      </c>
      <c r="D7501" s="545">
        <v>2.6666666666666665</v>
      </c>
      <c r="E7501" s="545">
        <v>1</v>
      </c>
      <c r="F7501" s="545">
        <v>4.9285714285714288</v>
      </c>
      <c r="G7501" s="545">
        <v>5.0999999999999996</v>
      </c>
      <c r="H7501" s="545">
        <v>20.333333333333332</v>
      </c>
      <c r="I7501" s="545">
        <v>2.6666666666666665</v>
      </c>
      <c r="J7501" s="545">
        <v>6.9285714285714279</v>
      </c>
    </row>
    <row r="7502" spans="1:10">
      <c r="A7502" s="441">
        <v>8412</v>
      </c>
      <c r="B7502" s="441" t="s">
        <v>6178</v>
      </c>
      <c r="C7502" s="545">
        <v>10.833333333333334</v>
      </c>
      <c r="D7502" s="545">
        <v>3.6666666666666665</v>
      </c>
      <c r="E7502" s="545">
        <v>4</v>
      </c>
      <c r="F7502" s="545">
        <v>8.8333333333333339</v>
      </c>
      <c r="G7502" s="545">
        <v>4.1500000000000004</v>
      </c>
      <c r="H7502" s="545">
        <v>0.66666666666666663</v>
      </c>
      <c r="I7502" s="545">
        <v>3.6666666666666665</v>
      </c>
      <c r="J7502" s="545">
        <v>3.5833333333333335</v>
      </c>
    </row>
    <row r="7503" spans="1:10">
      <c r="A7503" s="441">
        <v>12071</v>
      </c>
      <c r="B7503" s="441" t="s">
        <v>6178</v>
      </c>
      <c r="C7503" s="545">
        <v>138</v>
      </c>
      <c r="D7503" s="545">
        <v>76.333333333333343</v>
      </c>
      <c r="E7503" s="545">
        <v>76</v>
      </c>
      <c r="F7503" s="545">
        <v>120.33333333333334</v>
      </c>
      <c r="G7503" s="545">
        <v>77.099999999999994</v>
      </c>
      <c r="H7503" s="545">
        <v>35</v>
      </c>
      <c r="I7503" s="545">
        <v>31.666666666666668</v>
      </c>
      <c r="J7503" s="545">
        <v>64.595238095238102</v>
      </c>
    </row>
    <row r="7504" spans="1:10">
      <c r="A7504" s="441">
        <v>12072</v>
      </c>
      <c r="B7504" s="441" t="s">
        <v>6178</v>
      </c>
      <c r="C7504" s="545">
        <v>213.83333333333334</v>
      </c>
      <c r="D7504" s="545">
        <v>121.33333333333334</v>
      </c>
      <c r="E7504" s="545">
        <v>126.33333333333334</v>
      </c>
      <c r="F7504" s="545">
        <v>188.11904761904762</v>
      </c>
      <c r="G7504" s="545">
        <v>128.6</v>
      </c>
      <c r="H7504" s="545">
        <v>79.333333333333329</v>
      </c>
      <c r="I7504" s="545">
        <v>58</v>
      </c>
      <c r="J7504" s="545">
        <v>111.47619047619048</v>
      </c>
    </row>
    <row r="7505" spans="1:10">
      <c r="A7505" s="441">
        <v>6517</v>
      </c>
      <c r="B7505" s="441" t="s">
        <v>6179</v>
      </c>
      <c r="C7505" s="545">
        <v>11.333333333333334</v>
      </c>
      <c r="D7505" s="545">
        <v>7.666666666666667</v>
      </c>
      <c r="E7505" s="545">
        <v>5.3333333333333339</v>
      </c>
      <c r="F7505" s="545">
        <v>9.9523809523809526</v>
      </c>
      <c r="G7505" s="545">
        <v>3.4</v>
      </c>
      <c r="H7505" s="545">
        <v>1.6666666666666667</v>
      </c>
      <c r="I7505" s="545">
        <v>3</v>
      </c>
      <c r="J7505" s="545">
        <v>3.0952380952380953</v>
      </c>
    </row>
    <row r="7506" spans="1:10">
      <c r="A7506" s="441">
        <v>6522</v>
      </c>
      <c r="B7506" s="441" t="s">
        <v>6179</v>
      </c>
      <c r="C7506" s="545">
        <v>10.333333333333332</v>
      </c>
      <c r="D7506" s="545">
        <v>5.3333333333333339</v>
      </c>
      <c r="E7506" s="545">
        <v>8.6666666666666661</v>
      </c>
      <c r="F7506" s="545">
        <v>9.3809523809523796</v>
      </c>
      <c r="G7506" s="545">
        <v>4.9000000000000004</v>
      </c>
      <c r="H7506" s="545">
        <v>2.6666666666666665</v>
      </c>
      <c r="I7506" s="545">
        <v>3</v>
      </c>
      <c r="J7506" s="545">
        <v>4.3095238095238093</v>
      </c>
    </row>
    <row r="7507" spans="1:10">
      <c r="A7507" s="441">
        <v>6516</v>
      </c>
      <c r="B7507" s="441" t="s">
        <v>6180</v>
      </c>
      <c r="C7507" s="545">
        <v>19.833333333333336</v>
      </c>
      <c r="D7507" s="545">
        <v>8.6666666666666679</v>
      </c>
      <c r="E7507" s="545">
        <v>5.333333333333333</v>
      </c>
      <c r="F7507" s="545">
        <v>16.166666666666668</v>
      </c>
      <c r="G7507" s="545">
        <v>11.55</v>
      </c>
      <c r="H7507" s="545">
        <v>5</v>
      </c>
      <c r="I7507" s="545">
        <v>3</v>
      </c>
      <c r="J7507" s="545">
        <v>9.3928571428571423</v>
      </c>
    </row>
    <row r="7508" spans="1:10">
      <c r="A7508" s="441">
        <v>6523</v>
      </c>
      <c r="B7508" s="441" t="s">
        <v>6180</v>
      </c>
      <c r="C7508" s="545">
        <v>22.333333333333332</v>
      </c>
      <c r="D7508" s="545">
        <v>16.666666666666668</v>
      </c>
      <c r="E7508" s="545">
        <v>6.6666666666666661</v>
      </c>
      <c r="F7508" s="545">
        <v>19.285714285714281</v>
      </c>
      <c r="G7508" s="545">
        <v>12.25</v>
      </c>
      <c r="H7508" s="545">
        <v>4</v>
      </c>
      <c r="I7508" s="545">
        <v>5.666666666666667</v>
      </c>
      <c r="J7508" s="545">
        <v>10.130952380952381</v>
      </c>
    </row>
    <row r="7509" spans="1:10">
      <c r="A7509" s="441">
        <v>6519</v>
      </c>
      <c r="B7509" s="441" t="s">
        <v>6181</v>
      </c>
      <c r="C7509" s="545">
        <v>32.166666666666664</v>
      </c>
      <c r="D7509" s="545">
        <v>20.333333333333336</v>
      </c>
      <c r="E7509" s="545">
        <v>8</v>
      </c>
      <c r="F7509" s="545">
        <v>27.023809523809522</v>
      </c>
      <c r="G7509" s="545">
        <v>17.3</v>
      </c>
      <c r="H7509" s="545">
        <v>4.666666666666667</v>
      </c>
      <c r="I7509" s="545">
        <v>5.333333333333333</v>
      </c>
      <c r="J7509" s="545">
        <v>13.785714285714286</v>
      </c>
    </row>
    <row r="7510" spans="1:10">
      <c r="A7510" s="441">
        <v>6520</v>
      </c>
      <c r="B7510" s="441" t="s">
        <v>6181</v>
      </c>
      <c r="C7510" s="545">
        <v>79.833333333333329</v>
      </c>
      <c r="D7510" s="545">
        <v>22</v>
      </c>
      <c r="E7510" s="545">
        <v>16.333333333333332</v>
      </c>
      <c r="F7510" s="545">
        <v>62.499999999999993</v>
      </c>
      <c r="G7510" s="545">
        <v>15.85</v>
      </c>
      <c r="H7510" s="545">
        <v>8.3333333333333339</v>
      </c>
      <c r="I7510" s="545">
        <v>8.6666666666666661</v>
      </c>
      <c r="J7510" s="545">
        <v>13.75</v>
      </c>
    </row>
    <row r="7511" spans="1:10">
      <c r="A7511" s="441">
        <v>8413</v>
      </c>
      <c r="B7511" s="441" t="s">
        <v>6182</v>
      </c>
      <c r="C7511" s="545">
        <v>21</v>
      </c>
      <c r="D7511" s="545">
        <v>5.666666666666667</v>
      </c>
      <c r="E7511" s="545">
        <v>4</v>
      </c>
      <c r="F7511" s="545">
        <v>16.380952380952383</v>
      </c>
      <c r="G7511" s="545">
        <v>5.85</v>
      </c>
      <c r="H7511" s="545">
        <v>1.3333333333333333</v>
      </c>
      <c r="I7511" s="545">
        <v>3.3333333333333335</v>
      </c>
      <c r="J7511" s="545">
        <v>4.8452380952380949</v>
      </c>
    </row>
    <row r="7512" spans="1:10">
      <c r="A7512" s="441">
        <v>12077</v>
      </c>
      <c r="B7512" s="441" t="s">
        <v>6183</v>
      </c>
      <c r="C7512" s="545">
        <v>17.666666666666668</v>
      </c>
      <c r="D7512" s="545">
        <v>5.6666666666666661</v>
      </c>
      <c r="E7512" s="545">
        <v>4.333333333333333</v>
      </c>
      <c r="F7512" s="545">
        <v>14.047619047619049</v>
      </c>
      <c r="G7512" s="545">
        <v>6.35</v>
      </c>
      <c r="H7512" s="545">
        <v>1.6666666666666667</v>
      </c>
      <c r="I7512" s="545">
        <v>1</v>
      </c>
      <c r="J7512" s="545">
        <v>4.9166666666666661</v>
      </c>
    </row>
    <row r="7513" spans="1:10">
      <c r="A7513" s="441">
        <v>6521</v>
      </c>
      <c r="B7513" s="441" t="s">
        <v>6184</v>
      </c>
      <c r="C7513" s="545">
        <v>6.3333333333333339</v>
      </c>
      <c r="D7513" s="545">
        <v>2.666666666666667</v>
      </c>
      <c r="E7513" s="545">
        <v>2.6666666666666665</v>
      </c>
      <c r="F7513" s="545">
        <v>5.2857142857142856</v>
      </c>
      <c r="G7513" s="545">
        <v>5.25</v>
      </c>
      <c r="H7513" s="545">
        <v>2</v>
      </c>
      <c r="I7513" s="545">
        <v>2</v>
      </c>
      <c r="J7513" s="545">
        <v>4.3214285714285712</v>
      </c>
    </row>
    <row r="7514" spans="1:10">
      <c r="A7514" s="441">
        <v>12413</v>
      </c>
      <c r="B7514" s="441" t="s">
        <v>6185</v>
      </c>
      <c r="C7514" s="545">
        <v>1.6666666666666665</v>
      </c>
      <c r="D7514" s="545">
        <v>2</v>
      </c>
      <c r="E7514" s="545">
        <v>1.3333333333333333</v>
      </c>
      <c r="F7514" s="545">
        <v>1.6666666666666665</v>
      </c>
      <c r="G7514" s="545">
        <v>3.35</v>
      </c>
      <c r="H7514" s="545">
        <v>0.33333333333333331</v>
      </c>
      <c r="I7514" s="545">
        <v>5.333333333333333</v>
      </c>
      <c r="J7514" s="545">
        <v>3.2023809523809521</v>
      </c>
    </row>
    <row r="7515" spans="1:10">
      <c r="A7515" s="441">
        <v>13033</v>
      </c>
      <c r="B7515" s="441" t="s">
        <v>6185</v>
      </c>
      <c r="C7515" s="545">
        <v>15.166666666666666</v>
      </c>
      <c r="D7515" s="545">
        <v>5.333333333333333</v>
      </c>
      <c r="E7515" s="545">
        <v>4.6666666666666661</v>
      </c>
      <c r="F7515" s="545">
        <v>12.261904761904761</v>
      </c>
      <c r="G7515" s="545">
        <v>14.5</v>
      </c>
      <c r="H7515" s="545">
        <v>4.333333333333333</v>
      </c>
      <c r="I7515" s="545">
        <v>4.333333333333333</v>
      </c>
      <c r="J7515" s="545">
        <v>11.595238095238093</v>
      </c>
    </row>
    <row r="7516" spans="1:10">
      <c r="A7516" s="441">
        <v>13071</v>
      </c>
      <c r="B7516" s="441" t="s">
        <v>6185</v>
      </c>
      <c r="C7516" s="545">
        <v>11.166666666666666</v>
      </c>
      <c r="D7516" s="545">
        <v>4.666666666666667</v>
      </c>
      <c r="E7516" s="545">
        <v>4</v>
      </c>
      <c r="F7516" s="545">
        <v>9.2142857142857135</v>
      </c>
      <c r="G7516" s="545">
        <v>10.1</v>
      </c>
      <c r="H7516" s="545">
        <v>6.333333333333333</v>
      </c>
      <c r="I7516" s="545">
        <v>6.333333333333333</v>
      </c>
      <c r="J7516" s="545">
        <v>9.0238095238095237</v>
      </c>
    </row>
    <row r="7517" spans="1:10">
      <c r="A7517" s="441">
        <v>703</v>
      </c>
      <c r="B7517" s="441" t="s">
        <v>6186</v>
      </c>
      <c r="C7517" s="545">
        <v>43</v>
      </c>
      <c r="D7517" s="545">
        <v>21.666666666666664</v>
      </c>
      <c r="E7517" s="545">
        <v>10.333333333333332</v>
      </c>
      <c r="F7517" s="545">
        <v>35.285714285714285</v>
      </c>
      <c r="G7517" s="545">
        <v>19.25</v>
      </c>
      <c r="H7517" s="545">
        <v>7.333333333333333</v>
      </c>
      <c r="I7517" s="545">
        <v>9.6666666666666661</v>
      </c>
      <c r="J7517" s="545">
        <v>16.178571428571427</v>
      </c>
    </row>
    <row r="7518" spans="1:10">
      <c r="A7518" s="441">
        <v>6071</v>
      </c>
      <c r="B7518" s="441" t="s">
        <v>6186</v>
      </c>
      <c r="C7518" s="545">
        <v>40.166666666666664</v>
      </c>
      <c r="D7518" s="545">
        <v>21.333333333333332</v>
      </c>
      <c r="E7518" s="545">
        <v>11.333333333333334</v>
      </c>
      <c r="F7518" s="545">
        <v>33.357142857142854</v>
      </c>
      <c r="G7518" s="545">
        <v>27.25</v>
      </c>
      <c r="H7518" s="545">
        <v>6.333333333333333</v>
      </c>
      <c r="I7518" s="545">
        <v>7.333333333333333</v>
      </c>
      <c r="J7518" s="545">
        <v>21.416666666666668</v>
      </c>
    </row>
    <row r="7519" spans="1:10">
      <c r="A7519" s="441">
        <v>6494</v>
      </c>
      <c r="B7519" s="441" t="s">
        <v>6187</v>
      </c>
      <c r="C7519" s="545">
        <v>10</v>
      </c>
      <c r="D7519" s="545">
        <v>7</v>
      </c>
      <c r="E7519" s="545">
        <v>5</v>
      </c>
      <c r="F7519" s="545">
        <v>8.8571428571428577</v>
      </c>
      <c r="G7519" s="545">
        <v>12.65</v>
      </c>
      <c r="H7519" s="545">
        <v>3</v>
      </c>
      <c r="I7519" s="545">
        <v>4.666666666666667</v>
      </c>
      <c r="J7519" s="545">
        <v>10.130952380952381</v>
      </c>
    </row>
    <row r="7520" spans="1:10">
      <c r="A7520" s="441">
        <v>6712</v>
      </c>
      <c r="B7520" s="441" t="s">
        <v>6187</v>
      </c>
      <c r="C7520" s="545">
        <v>12</v>
      </c>
      <c r="D7520" s="545">
        <v>8.6666666666666661</v>
      </c>
      <c r="E7520" s="545">
        <v>3</v>
      </c>
      <c r="F7520" s="545">
        <v>10.238095238095239</v>
      </c>
      <c r="G7520" s="545">
        <v>8</v>
      </c>
      <c r="H7520" s="545">
        <v>5.666666666666667</v>
      </c>
      <c r="I7520" s="545">
        <v>3.6666666666666665</v>
      </c>
      <c r="J7520" s="545">
        <v>7.0476190476190466</v>
      </c>
    </row>
    <row r="7521" spans="1:10">
      <c r="A7521" s="441">
        <v>6492</v>
      </c>
      <c r="B7521" s="441" t="s">
        <v>6188</v>
      </c>
      <c r="C7521" s="545">
        <v>13.666666666666668</v>
      </c>
      <c r="D7521" s="545">
        <v>8.3333333333333321</v>
      </c>
      <c r="E7521" s="545">
        <v>6</v>
      </c>
      <c r="F7521" s="545">
        <v>11.80952380952381</v>
      </c>
      <c r="G7521" s="545">
        <v>6.5</v>
      </c>
      <c r="H7521" s="545">
        <v>2</v>
      </c>
      <c r="I7521" s="545">
        <v>2</v>
      </c>
      <c r="J7521" s="545">
        <v>5.2142857142857144</v>
      </c>
    </row>
    <row r="7522" spans="1:10">
      <c r="A7522" s="441">
        <v>6713</v>
      </c>
      <c r="B7522" s="441" t="s">
        <v>6188</v>
      </c>
      <c r="C7522" s="545">
        <v>12.5</v>
      </c>
      <c r="D7522" s="545">
        <v>1.6666666666666667</v>
      </c>
      <c r="E7522" s="545">
        <v>3.3333333333333335</v>
      </c>
      <c r="F7522" s="545">
        <v>9.6428571428571423</v>
      </c>
      <c r="G7522" s="545">
        <v>6.35</v>
      </c>
      <c r="H7522" s="545">
        <v>3.6666666666666665</v>
      </c>
      <c r="I7522" s="545">
        <v>1.6666666666666667</v>
      </c>
      <c r="J7522" s="545">
        <v>5.2976190476190466</v>
      </c>
    </row>
    <row r="7523" spans="1:10">
      <c r="A7523" s="441">
        <v>6068</v>
      </c>
      <c r="B7523" s="441" t="s">
        <v>6189</v>
      </c>
      <c r="C7523" s="545">
        <v>25.833333333333332</v>
      </c>
      <c r="D7523" s="545">
        <v>17.666666666666664</v>
      </c>
      <c r="E7523" s="545">
        <v>13.666666666666666</v>
      </c>
      <c r="F7523" s="545">
        <v>22.928571428571423</v>
      </c>
      <c r="G7523" s="545">
        <v>23</v>
      </c>
      <c r="H7523" s="545">
        <v>7</v>
      </c>
      <c r="I7523" s="545">
        <v>10.333333333333334</v>
      </c>
      <c r="J7523" s="545">
        <v>18.904761904761905</v>
      </c>
    </row>
    <row r="7524" spans="1:10">
      <c r="A7524" s="441">
        <v>6070</v>
      </c>
      <c r="B7524" s="441" t="s">
        <v>6189</v>
      </c>
      <c r="C7524" s="545">
        <v>75.666666666666671</v>
      </c>
      <c r="D7524" s="545">
        <v>69</v>
      </c>
      <c r="E7524" s="545">
        <v>45.666666666666664</v>
      </c>
      <c r="F7524" s="545">
        <v>70.428571428571431</v>
      </c>
      <c r="G7524" s="545">
        <v>57.05</v>
      </c>
      <c r="H7524" s="545">
        <v>38.666666666666664</v>
      </c>
      <c r="I7524" s="545">
        <v>23.333333333333332</v>
      </c>
      <c r="J7524" s="545">
        <v>49.607142857142854</v>
      </c>
    </row>
    <row r="7525" spans="1:10">
      <c r="A7525" s="441">
        <v>6496</v>
      </c>
      <c r="B7525" s="441" t="s">
        <v>6190</v>
      </c>
      <c r="C7525" s="545">
        <v>77.166666666666657</v>
      </c>
      <c r="D7525" s="545">
        <v>52.333333333333336</v>
      </c>
      <c r="E7525" s="545">
        <v>49.666666666666671</v>
      </c>
      <c r="F7525" s="545">
        <v>69.690476190476176</v>
      </c>
      <c r="G7525" s="545">
        <v>17.95</v>
      </c>
      <c r="H7525" s="545">
        <v>7</v>
      </c>
      <c r="I7525" s="545">
        <v>11</v>
      </c>
      <c r="J7525" s="545">
        <v>15.392857142857142</v>
      </c>
    </row>
    <row r="7526" spans="1:10">
      <c r="A7526" s="441">
        <v>6711</v>
      </c>
      <c r="B7526" s="441" t="s">
        <v>6190</v>
      </c>
      <c r="C7526" s="545">
        <v>75.833333333333343</v>
      </c>
      <c r="D7526" s="545">
        <v>54.666666666666664</v>
      </c>
      <c r="E7526" s="545">
        <v>41.666666666666664</v>
      </c>
      <c r="F7526" s="545">
        <v>67.928571428571445</v>
      </c>
      <c r="G7526" s="545">
        <v>33.9</v>
      </c>
      <c r="H7526" s="545">
        <v>20.333333333333332</v>
      </c>
      <c r="I7526" s="545">
        <v>13.333333333333334</v>
      </c>
      <c r="J7526" s="545">
        <v>29.023809523809526</v>
      </c>
    </row>
    <row r="7527" spans="1:10">
      <c r="A7527" s="441">
        <v>6069</v>
      </c>
      <c r="B7527" s="441" t="s">
        <v>6191</v>
      </c>
      <c r="C7527" s="545">
        <v>73.5</v>
      </c>
      <c r="D7527" s="545">
        <v>68</v>
      </c>
      <c r="E7527" s="545">
        <v>50</v>
      </c>
      <c r="F7527" s="545">
        <v>69.357142857142861</v>
      </c>
      <c r="G7527" s="545">
        <v>42.25</v>
      </c>
      <c r="H7527" s="545">
        <v>21.333333333333332</v>
      </c>
      <c r="I7527" s="545">
        <v>22.666666666666668</v>
      </c>
      <c r="J7527" s="545">
        <v>36.464285714285715</v>
      </c>
    </row>
    <row r="7528" spans="1:10">
      <c r="A7528" s="441">
        <v>6067</v>
      </c>
      <c r="B7528" s="441" t="s">
        <v>6192</v>
      </c>
      <c r="C7528" s="545">
        <v>61.666666666666664</v>
      </c>
      <c r="D7528" s="545">
        <v>45.333333333333336</v>
      </c>
      <c r="E7528" s="545">
        <v>31</v>
      </c>
      <c r="F7528" s="545">
        <v>54.952380952380949</v>
      </c>
      <c r="G7528" s="545">
        <v>31.3</v>
      </c>
      <c r="H7528" s="545">
        <v>21</v>
      </c>
      <c r="I7528" s="545">
        <v>18.666666666666668</v>
      </c>
      <c r="J7528" s="545">
        <v>28.023809523809522</v>
      </c>
    </row>
    <row r="7529" spans="1:10">
      <c r="A7529" s="441">
        <v>6072</v>
      </c>
      <c r="B7529" s="441" t="s">
        <v>6192</v>
      </c>
      <c r="C7529" s="545">
        <v>54.5</v>
      </c>
      <c r="D7529" s="545">
        <v>36.333333333333329</v>
      </c>
      <c r="E7529" s="545">
        <v>32</v>
      </c>
      <c r="F7529" s="545">
        <v>48.69047619047619</v>
      </c>
      <c r="G7529" s="545">
        <v>49.05</v>
      </c>
      <c r="H7529" s="545">
        <v>19.666666666666668</v>
      </c>
      <c r="I7529" s="545">
        <v>13.333333333333334</v>
      </c>
      <c r="J7529" s="545">
        <v>39.75</v>
      </c>
    </row>
    <row r="7530" spans="1:10">
      <c r="A7530" s="441">
        <v>6491</v>
      </c>
      <c r="B7530" s="441" t="s">
        <v>6193</v>
      </c>
      <c r="C7530" s="545">
        <v>10.666666666666668</v>
      </c>
      <c r="D7530" s="545">
        <v>3.3333333333333335</v>
      </c>
      <c r="E7530" s="545">
        <v>6</v>
      </c>
      <c r="F7530" s="545">
        <v>8.9523809523809543</v>
      </c>
      <c r="G7530" s="545">
        <v>10.1</v>
      </c>
      <c r="H7530" s="545">
        <v>8.3333333333333339</v>
      </c>
      <c r="I7530" s="545">
        <v>6.333333333333333</v>
      </c>
      <c r="J7530" s="545">
        <v>9.3095238095238102</v>
      </c>
    </row>
    <row r="7531" spans="1:10">
      <c r="A7531" s="441">
        <v>6714</v>
      </c>
      <c r="B7531" s="441" t="s">
        <v>6193</v>
      </c>
      <c r="C7531" s="545">
        <v>16.666666666666664</v>
      </c>
      <c r="D7531" s="545">
        <v>10.333333333333334</v>
      </c>
      <c r="E7531" s="545">
        <v>8.3333333333333321</v>
      </c>
      <c r="F7531" s="545">
        <v>14.571428571428568</v>
      </c>
      <c r="G7531" s="545">
        <v>10.75</v>
      </c>
      <c r="H7531" s="545">
        <v>5</v>
      </c>
      <c r="I7531" s="545">
        <v>4.333333333333333</v>
      </c>
      <c r="J7531" s="545">
        <v>9.0119047619047628</v>
      </c>
    </row>
    <row r="7532" spans="1:10">
      <c r="A7532" s="441">
        <v>6066</v>
      </c>
      <c r="B7532" s="441" t="s">
        <v>6194</v>
      </c>
      <c r="C7532" s="545">
        <v>292</v>
      </c>
      <c r="D7532" s="545">
        <v>202.33333333333331</v>
      </c>
      <c r="E7532" s="545">
        <v>142</v>
      </c>
      <c r="F7532" s="545">
        <v>257.76190476190476</v>
      </c>
      <c r="G7532" s="545">
        <v>202.85</v>
      </c>
      <c r="H7532" s="545">
        <v>118.33333333333333</v>
      </c>
      <c r="I7532" s="545">
        <v>96</v>
      </c>
      <c r="J7532" s="545">
        <v>175.51190476190476</v>
      </c>
    </row>
    <row r="7533" spans="1:10">
      <c r="A7533" s="441">
        <v>2431</v>
      </c>
      <c r="B7533" s="441" t="s">
        <v>6195</v>
      </c>
      <c r="C7533" s="545">
        <v>5.3333333333333339</v>
      </c>
      <c r="D7533" s="545">
        <v>2.666666666666667</v>
      </c>
      <c r="E7533" s="545">
        <v>0.66666666666666663</v>
      </c>
      <c r="F7533" s="545">
        <v>4.2857142857142865</v>
      </c>
      <c r="G7533" s="545">
        <v>5.4</v>
      </c>
      <c r="H7533" s="545">
        <v>3</v>
      </c>
      <c r="I7533" s="545">
        <v>2</v>
      </c>
      <c r="J7533" s="545">
        <v>4.5714285714285712</v>
      </c>
    </row>
    <row r="7534" spans="1:10">
      <c r="A7534" s="441">
        <v>6459</v>
      </c>
      <c r="B7534" s="441" t="s">
        <v>6195</v>
      </c>
      <c r="C7534" s="545">
        <v>9.8333333333333321</v>
      </c>
      <c r="D7534" s="545">
        <v>1.6666666666666665</v>
      </c>
      <c r="E7534" s="545">
        <v>3</v>
      </c>
      <c r="F7534" s="545">
        <v>7.6904761904761889</v>
      </c>
      <c r="G7534" s="545">
        <v>4.8499999999999996</v>
      </c>
      <c r="H7534" s="545">
        <v>1.6666666666666667</v>
      </c>
      <c r="I7534" s="545">
        <v>2</v>
      </c>
      <c r="J7534" s="545">
        <v>3.9880952380952381</v>
      </c>
    </row>
    <row r="7535" spans="1:10">
      <c r="A7535" s="441">
        <v>8584</v>
      </c>
      <c r="B7535" s="441" t="s">
        <v>6196</v>
      </c>
      <c r="C7535" s="545">
        <v>156.5</v>
      </c>
      <c r="D7535" s="545">
        <v>89.333333333333329</v>
      </c>
      <c r="E7535" s="545">
        <v>70.666666666666657</v>
      </c>
      <c r="F7535" s="545">
        <v>134.64285714285714</v>
      </c>
      <c r="G7535" s="545">
        <v>96.35</v>
      </c>
      <c r="H7535" s="545">
        <v>74</v>
      </c>
      <c r="I7535" s="545">
        <v>51.666666666666664</v>
      </c>
      <c r="J7535" s="545">
        <v>86.773809523809518</v>
      </c>
    </row>
    <row r="7536" spans="1:10">
      <c r="A7536" s="441">
        <v>8587</v>
      </c>
      <c r="B7536" s="441" t="s">
        <v>6196</v>
      </c>
      <c r="C7536" s="545">
        <v>141.16666666666666</v>
      </c>
      <c r="D7536" s="545">
        <v>73.666666666666657</v>
      </c>
      <c r="E7536" s="545">
        <v>51</v>
      </c>
      <c r="F7536" s="545">
        <v>118.64285714285712</v>
      </c>
      <c r="G7536" s="545">
        <v>89.05</v>
      </c>
      <c r="H7536" s="545">
        <v>70.666666666666671</v>
      </c>
      <c r="I7536" s="545">
        <v>48</v>
      </c>
      <c r="J7536" s="545">
        <v>80.55952380952381</v>
      </c>
    </row>
    <row r="7537" spans="1:10">
      <c r="A7537" s="441">
        <v>8592</v>
      </c>
      <c r="B7537" s="441" t="s">
        <v>6197</v>
      </c>
      <c r="C7537" s="545">
        <v>15</v>
      </c>
      <c r="D7537" s="545">
        <v>12.333333333333334</v>
      </c>
      <c r="E7537" s="545">
        <v>7.666666666666667</v>
      </c>
      <c r="F7537" s="545">
        <v>13.571428571428571</v>
      </c>
      <c r="G7537" s="545">
        <v>5.65</v>
      </c>
      <c r="H7537" s="545">
        <v>4.333333333333333</v>
      </c>
      <c r="I7537" s="545">
        <v>2.3333333333333335</v>
      </c>
      <c r="J7537" s="545">
        <v>4.988095238095239</v>
      </c>
    </row>
    <row r="7538" spans="1:10">
      <c r="A7538" s="441">
        <v>13039</v>
      </c>
      <c r="B7538" s="441" t="s">
        <v>6197</v>
      </c>
      <c r="C7538" s="545">
        <v>24.166666666666664</v>
      </c>
      <c r="D7538" s="545">
        <v>23</v>
      </c>
      <c r="E7538" s="545">
        <v>10.666666666666666</v>
      </c>
      <c r="F7538" s="545">
        <v>22.071428571428566</v>
      </c>
      <c r="G7538" s="545">
        <v>11.2</v>
      </c>
      <c r="H7538" s="545">
        <v>8</v>
      </c>
      <c r="I7538" s="545">
        <v>4.666666666666667</v>
      </c>
      <c r="J7538" s="545">
        <v>9.8095238095238102</v>
      </c>
    </row>
    <row r="7539" spans="1:10">
      <c r="A7539" s="441">
        <v>2433</v>
      </c>
      <c r="B7539" s="441" t="s">
        <v>6198</v>
      </c>
      <c r="C7539" s="545">
        <v>4.833333333333333</v>
      </c>
      <c r="D7539" s="545">
        <v>2</v>
      </c>
      <c r="E7539" s="545">
        <v>1.3333333333333333</v>
      </c>
      <c r="F7539" s="545">
        <v>3.9285714285714279</v>
      </c>
      <c r="G7539" s="545">
        <v>3.55</v>
      </c>
      <c r="H7539" s="545">
        <v>1</v>
      </c>
      <c r="I7539" s="545">
        <v>0.66666666666666663</v>
      </c>
      <c r="J7539" s="545">
        <v>2.7738095238095242</v>
      </c>
    </row>
    <row r="7540" spans="1:10">
      <c r="A7540" s="441">
        <v>6457</v>
      </c>
      <c r="B7540" s="441" t="s">
        <v>6198</v>
      </c>
      <c r="C7540" s="545">
        <v>6</v>
      </c>
      <c r="D7540" s="545">
        <v>6</v>
      </c>
      <c r="E7540" s="545">
        <v>4</v>
      </c>
      <c r="F7540" s="545">
        <v>5.7142857142857144</v>
      </c>
      <c r="G7540" s="545">
        <v>2.6</v>
      </c>
      <c r="H7540" s="545">
        <v>3</v>
      </c>
      <c r="I7540" s="545">
        <v>0.66666666666666663</v>
      </c>
      <c r="J7540" s="545">
        <v>2.3809523809523809</v>
      </c>
    </row>
    <row r="7541" spans="1:10">
      <c r="A7541" s="441">
        <v>523</v>
      </c>
      <c r="B7541" s="441" t="s">
        <v>6199</v>
      </c>
      <c r="C7541" s="545">
        <v>14.333333333333332</v>
      </c>
      <c r="D7541" s="545">
        <v>5</v>
      </c>
      <c r="E7541" s="545">
        <v>2.3333333333333335</v>
      </c>
      <c r="F7541" s="545">
        <v>11.285714285714283</v>
      </c>
      <c r="G7541" s="545">
        <v>9.5</v>
      </c>
      <c r="H7541" s="545">
        <v>4.333333333333333</v>
      </c>
      <c r="I7541" s="545">
        <v>1</v>
      </c>
      <c r="J7541" s="545">
        <v>7.5476190476190483</v>
      </c>
    </row>
    <row r="7542" spans="1:10">
      <c r="A7542" s="441">
        <v>2425</v>
      </c>
      <c r="B7542" s="441" t="s">
        <v>6199</v>
      </c>
      <c r="C7542" s="545">
        <v>23.5</v>
      </c>
      <c r="D7542" s="545">
        <v>13.666666666666666</v>
      </c>
      <c r="E7542" s="545">
        <v>9.6666666666666661</v>
      </c>
      <c r="F7542" s="545">
        <v>20.119047619047617</v>
      </c>
      <c r="G7542" s="545">
        <v>16.649999999999999</v>
      </c>
      <c r="H7542" s="545">
        <v>10.333333333333334</v>
      </c>
      <c r="I7542" s="545">
        <v>2</v>
      </c>
      <c r="J7542" s="545">
        <v>13.654761904761903</v>
      </c>
    </row>
    <row r="7543" spans="1:10">
      <c r="A7543" s="441">
        <v>2429</v>
      </c>
      <c r="B7543" s="441" t="s">
        <v>6200</v>
      </c>
      <c r="C7543" s="545">
        <v>75.5</v>
      </c>
      <c r="D7543" s="545">
        <v>44</v>
      </c>
      <c r="E7543" s="545">
        <v>33.333333333333336</v>
      </c>
      <c r="F7543" s="545">
        <v>64.976190476190467</v>
      </c>
      <c r="G7543" s="545">
        <v>45</v>
      </c>
      <c r="H7543" s="545">
        <v>42</v>
      </c>
      <c r="I7543" s="545">
        <v>17</v>
      </c>
      <c r="J7543" s="545">
        <v>40.571428571428569</v>
      </c>
    </row>
    <row r="7544" spans="1:10">
      <c r="A7544" s="441">
        <v>6461</v>
      </c>
      <c r="B7544" s="441" t="s">
        <v>6200</v>
      </c>
      <c r="C7544" s="545">
        <v>65.166666666666671</v>
      </c>
      <c r="D7544" s="545">
        <v>34</v>
      </c>
      <c r="E7544" s="545">
        <v>30</v>
      </c>
      <c r="F7544" s="545">
        <v>55.690476190476197</v>
      </c>
      <c r="G7544" s="545">
        <v>49.15</v>
      </c>
      <c r="H7544" s="545">
        <v>32.666666666666664</v>
      </c>
      <c r="I7544" s="545">
        <v>16.666666666666668</v>
      </c>
      <c r="J7544" s="545">
        <v>42.154761904761912</v>
      </c>
    </row>
    <row r="7545" spans="1:10">
      <c r="A7545" s="441">
        <v>2430</v>
      </c>
      <c r="B7545" s="441" t="s">
        <v>6201</v>
      </c>
      <c r="C7545" s="545">
        <v>7.6666666666666661</v>
      </c>
      <c r="D7545" s="545">
        <v>4.666666666666667</v>
      </c>
      <c r="E7545" s="545">
        <v>4.6666666666666661</v>
      </c>
      <c r="F7545" s="545">
        <v>6.8095238095238084</v>
      </c>
      <c r="G7545" s="545">
        <v>7.9</v>
      </c>
      <c r="H7545" s="545">
        <v>7.333333333333333</v>
      </c>
      <c r="I7545" s="545">
        <v>4.333333333333333</v>
      </c>
      <c r="J7545" s="545">
        <v>7.3095238095238102</v>
      </c>
    </row>
    <row r="7546" spans="1:10">
      <c r="A7546" s="441">
        <v>6460</v>
      </c>
      <c r="B7546" s="441" t="s">
        <v>6201</v>
      </c>
      <c r="C7546" s="545">
        <v>5.333333333333333</v>
      </c>
      <c r="D7546" s="545">
        <v>4.6666666666666661</v>
      </c>
      <c r="E7546" s="545">
        <v>3.333333333333333</v>
      </c>
      <c r="F7546" s="545">
        <v>4.9523809523809517</v>
      </c>
      <c r="G7546" s="545">
        <v>6.35</v>
      </c>
      <c r="H7546" s="545">
        <v>6.333333333333333</v>
      </c>
      <c r="I7546" s="545">
        <v>4</v>
      </c>
      <c r="J7546" s="545">
        <v>6.0119047619047619</v>
      </c>
    </row>
    <row r="7547" spans="1:10">
      <c r="A7547" s="441">
        <v>526</v>
      </c>
      <c r="B7547" s="441" t="s">
        <v>6202</v>
      </c>
      <c r="C7547" s="545">
        <v>36.666666666666671</v>
      </c>
      <c r="D7547" s="545">
        <v>24</v>
      </c>
      <c r="E7547" s="545">
        <v>22.333333333333336</v>
      </c>
      <c r="F7547" s="545">
        <v>32.809523809523817</v>
      </c>
      <c r="G7547" s="545">
        <v>31.65</v>
      </c>
      <c r="H7547" s="545">
        <v>27.333333333333332</v>
      </c>
      <c r="I7547" s="545">
        <v>19.666666666666668</v>
      </c>
      <c r="J7547" s="545">
        <v>29.321428571428573</v>
      </c>
    </row>
    <row r="7548" spans="1:10">
      <c r="A7548" s="441">
        <v>2415</v>
      </c>
      <c r="B7548" s="441" t="s">
        <v>6202</v>
      </c>
      <c r="C7548" s="545">
        <v>40.5</v>
      </c>
      <c r="D7548" s="545">
        <v>29.666666666666664</v>
      </c>
      <c r="E7548" s="545">
        <v>26.333333333333336</v>
      </c>
      <c r="F7548" s="545">
        <v>36.928571428571431</v>
      </c>
      <c r="G7548" s="545">
        <v>34.700000000000003</v>
      </c>
      <c r="H7548" s="545">
        <v>34.666666666666664</v>
      </c>
      <c r="I7548" s="545">
        <v>21.333333333333332</v>
      </c>
      <c r="J7548" s="545">
        <v>32.785714285714285</v>
      </c>
    </row>
    <row r="7549" spans="1:10">
      <c r="A7549" s="441">
        <v>10592</v>
      </c>
      <c r="B7549" s="441" t="s">
        <v>6203</v>
      </c>
      <c r="C7549" s="545">
        <v>12.5</v>
      </c>
      <c r="D7549" s="545">
        <v>13.333333333333334</v>
      </c>
      <c r="E7549" s="545">
        <v>8.3333333333333339</v>
      </c>
      <c r="F7549" s="545">
        <v>12.023809523809522</v>
      </c>
      <c r="G7549" s="545">
        <v>11</v>
      </c>
      <c r="H7549" s="545">
        <v>11</v>
      </c>
      <c r="I7549" s="545">
        <v>5.333333333333333</v>
      </c>
      <c r="J7549" s="545">
        <v>10.19047619047619</v>
      </c>
    </row>
    <row r="7550" spans="1:10">
      <c r="A7550" s="441">
        <v>2411</v>
      </c>
      <c r="B7550" s="441" t="s">
        <v>6204</v>
      </c>
      <c r="C7550" s="545">
        <v>62.666666666666671</v>
      </c>
      <c r="D7550" s="545">
        <v>36.666666666666671</v>
      </c>
      <c r="E7550" s="545">
        <v>28.333333333333332</v>
      </c>
      <c r="F7550" s="545">
        <v>54.047619047619051</v>
      </c>
      <c r="G7550" s="545">
        <v>34.049999999999997</v>
      </c>
      <c r="H7550" s="545">
        <v>25</v>
      </c>
      <c r="I7550" s="545">
        <v>20.333333333333332</v>
      </c>
      <c r="J7550" s="545">
        <v>30.797619047619047</v>
      </c>
    </row>
    <row r="7551" spans="1:10">
      <c r="A7551" s="441">
        <v>10156</v>
      </c>
      <c r="B7551" s="441" t="s">
        <v>6204</v>
      </c>
      <c r="C7551" s="545">
        <v>51.5</v>
      </c>
      <c r="D7551" s="545">
        <v>32</v>
      </c>
      <c r="E7551" s="545">
        <v>21.666666666666668</v>
      </c>
      <c r="F7551" s="545">
        <v>44.452380952380956</v>
      </c>
      <c r="G7551" s="545">
        <v>23.7</v>
      </c>
      <c r="H7551" s="545">
        <v>13</v>
      </c>
      <c r="I7551" s="545">
        <v>14.666666666666666</v>
      </c>
      <c r="J7551" s="545">
        <v>20.88095238095238</v>
      </c>
    </row>
    <row r="7552" spans="1:10">
      <c r="A7552" s="441">
        <v>2412</v>
      </c>
      <c r="B7552" s="441" t="s">
        <v>6205</v>
      </c>
      <c r="C7552" s="545">
        <v>21.833333333333332</v>
      </c>
      <c r="D7552" s="545">
        <v>23</v>
      </c>
      <c r="E7552" s="545">
        <v>8</v>
      </c>
      <c r="F7552" s="545">
        <v>20.023809523809522</v>
      </c>
      <c r="G7552" s="545">
        <v>8.6999999999999993</v>
      </c>
      <c r="H7552" s="545">
        <v>5</v>
      </c>
      <c r="I7552" s="545">
        <v>5</v>
      </c>
      <c r="J7552" s="545">
        <v>7.6428571428571432</v>
      </c>
    </row>
    <row r="7553" spans="1:10">
      <c r="A7553" s="441">
        <v>528</v>
      </c>
      <c r="B7553" s="441" t="s">
        <v>6206</v>
      </c>
      <c r="C7553" s="545">
        <v>84.833333333333329</v>
      </c>
      <c r="D7553" s="545">
        <v>51</v>
      </c>
      <c r="E7553" s="545">
        <v>42.333333333333329</v>
      </c>
      <c r="F7553" s="545">
        <v>73.928571428571431</v>
      </c>
      <c r="G7553" s="545">
        <v>54.3</v>
      </c>
      <c r="H7553" s="545">
        <v>46.666666666666664</v>
      </c>
      <c r="I7553" s="545">
        <v>37</v>
      </c>
      <c r="J7553" s="545">
        <v>50.738095238095241</v>
      </c>
    </row>
    <row r="7554" spans="1:10">
      <c r="A7554" s="441">
        <v>529</v>
      </c>
      <c r="B7554" s="441" t="s">
        <v>6206</v>
      </c>
      <c r="C7554" s="545">
        <v>31.666666666666664</v>
      </c>
      <c r="D7554" s="545">
        <v>22.666666666666664</v>
      </c>
      <c r="E7554" s="545">
        <v>12.666666666666668</v>
      </c>
      <c r="F7554" s="545">
        <v>27.666666666666661</v>
      </c>
      <c r="G7554" s="545">
        <v>13.3</v>
      </c>
      <c r="H7554" s="545">
        <v>10.666666666666666</v>
      </c>
      <c r="I7554" s="545">
        <v>7</v>
      </c>
      <c r="J7554" s="545">
        <v>12.023809523809524</v>
      </c>
    </row>
    <row r="7555" spans="1:10">
      <c r="A7555" s="441">
        <v>2413</v>
      </c>
      <c r="B7555" s="441" t="s">
        <v>6206</v>
      </c>
      <c r="C7555" s="545">
        <v>93.666666666666657</v>
      </c>
      <c r="D7555" s="545">
        <v>59.666666666666664</v>
      </c>
      <c r="E7555" s="545">
        <v>43.333333333333336</v>
      </c>
      <c r="F7555" s="545">
        <v>81.619047619047606</v>
      </c>
      <c r="G7555" s="545">
        <v>60.45</v>
      </c>
      <c r="H7555" s="545">
        <v>166</v>
      </c>
      <c r="I7555" s="545">
        <v>49.333333333333336</v>
      </c>
      <c r="J7555" s="545">
        <v>73.94047619047619</v>
      </c>
    </row>
    <row r="7556" spans="1:10">
      <c r="A7556" s="441">
        <v>2414</v>
      </c>
      <c r="B7556" s="441" t="s">
        <v>6206</v>
      </c>
      <c r="C7556" s="545">
        <v>18.833333333333332</v>
      </c>
      <c r="D7556" s="545">
        <v>10.333333333333334</v>
      </c>
      <c r="E7556" s="545">
        <v>13</v>
      </c>
      <c r="F7556" s="545">
        <v>16.785714285714285</v>
      </c>
      <c r="G7556" s="545">
        <v>15.1</v>
      </c>
      <c r="H7556" s="545">
        <v>14</v>
      </c>
      <c r="I7556" s="545">
        <v>7</v>
      </c>
      <c r="J7556" s="545">
        <v>13.785714285714286</v>
      </c>
    </row>
    <row r="7557" spans="1:10">
      <c r="A7557" s="441">
        <v>530</v>
      </c>
      <c r="B7557" s="441" t="s">
        <v>6207</v>
      </c>
      <c r="C7557" s="545">
        <v>25.166666666666664</v>
      </c>
      <c r="D7557" s="545">
        <v>29</v>
      </c>
      <c r="E7557" s="545">
        <v>20.666666666666668</v>
      </c>
      <c r="F7557" s="545">
        <v>25.071428571428566</v>
      </c>
      <c r="G7557" s="545">
        <v>25.25</v>
      </c>
      <c r="H7557" s="545">
        <v>22</v>
      </c>
      <c r="I7557" s="545">
        <v>19.333333333333332</v>
      </c>
      <c r="J7557" s="545">
        <v>23.940476190476193</v>
      </c>
    </row>
    <row r="7558" spans="1:10">
      <c r="A7558" s="441">
        <v>2410</v>
      </c>
      <c r="B7558" s="441" t="s">
        <v>6207</v>
      </c>
      <c r="C7558" s="545">
        <v>20.166666666666664</v>
      </c>
      <c r="D7558" s="545">
        <v>18.666666666666664</v>
      </c>
      <c r="E7558" s="545">
        <v>12</v>
      </c>
      <c r="F7558" s="545">
        <v>18.785714285714281</v>
      </c>
      <c r="G7558" s="545">
        <v>15.7</v>
      </c>
      <c r="H7558" s="545">
        <v>20</v>
      </c>
      <c r="I7558" s="545">
        <v>12.666666666666666</v>
      </c>
      <c r="J7558" s="545">
        <v>15.880952380952381</v>
      </c>
    </row>
    <row r="7559" spans="1:10">
      <c r="A7559" s="441">
        <v>8585</v>
      </c>
      <c r="B7559" s="441" t="s">
        <v>6207</v>
      </c>
      <c r="C7559" s="545">
        <v>41</v>
      </c>
      <c r="D7559" s="545">
        <v>50.333333333333329</v>
      </c>
      <c r="E7559" s="545">
        <v>30.666666666666664</v>
      </c>
      <c r="F7559" s="545">
        <v>40.857142857142854</v>
      </c>
      <c r="G7559" s="545">
        <v>40.549999999999997</v>
      </c>
      <c r="H7559" s="545">
        <v>30</v>
      </c>
      <c r="I7559" s="545">
        <v>24</v>
      </c>
      <c r="J7559" s="545">
        <v>36.678571428571431</v>
      </c>
    </row>
    <row r="7560" spans="1:10">
      <c r="A7560" s="441">
        <v>8586</v>
      </c>
      <c r="B7560" s="441" t="s">
        <v>6207</v>
      </c>
      <c r="C7560" s="545">
        <v>28</v>
      </c>
      <c r="D7560" s="545">
        <v>31.666666666666664</v>
      </c>
      <c r="E7560" s="545">
        <v>29.333333333333332</v>
      </c>
      <c r="F7560" s="545">
        <v>28.714285714285715</v>
      </c>
      <c r="G7560" s="545">
        <v>40.65</v>
      </c>
      <c r="H7560" s="545">
        <v>39.333333333333336</v>
      </c>
      <c r="I7560" s="545">
        <v>32.333333333333336</v>
      </c>
      <c r="J7560" s="545">
        <v>39.273809523809526</v>
      </c>
    </row>
    <row r="7561" spans="1:10">
      <c r="A7561" s="441">
        <v>521</v>
      </c>
      <c r="B7561" s="441" t="s">
        <v>6208</v>
      </c>
      <c r="C7561" s="545">
        <v>27.5</v>
      </c>
      <c r="D7561" s="545">
        <v>11.666666666666668</v>
      </c>
      <c r="E7561" s="545">
        <v>10.333333333333332</v>
      </c>
      <c r="F7561" s="545">
        <v>22.785714285714285</v>
      </c>
      <c r="G7561" s="545">
        <v>20</v>
      </c>
      <c r="H7561" s="545">
        <v>10</v>
      </c>
      <c r="I7561" s="545">
        <v>5</v>
      </c>
      <c r="J7561" s="545">
        <v>16.428571428571427</v>
      </c>
    </row>
    <row r="7562" spans="1:10">
      <c r="A7562" s="441">
        <v>2427</v>
      </c>
      <c r="B7562" s="441" t="s">
        <v>6208</v>
      </c>
      <c r="C7562" s="545">
        <v>26.166666666666668</v>
      </c>
      <c r="D7562" s="545">
        <v>17</v>
      </c>
      <c r="E7562" s="545">
        <v>13.333333333333334</v>
      </c>
      <c r="F7562" s="545">
        <v>23.023809523809526</v>
      </c>
      <c r="G7562" s="545">
        <v>22.7</v>
      </c>
      <c r="H7562" s="545">
        <v>12.666666666666666</v>
      </c>
      <c r="I7562" s="545">
        <v>11.333333333333334</v>
      </c>
      <c r="J7562" s="545">
        <v>19.642857142857142</v>
      </c>
    </row>
    <row r="7563" spans="1:10">
      <c r="A7563" s="441">
        <v>522</v>
      </c>
      <c r="B7563" s="441" t="s">
        <v>6209</v>
      </c>
      <c r="C7563" s="545">
        <v>20.166666666666668</v>
      </c>
      <c r="D7563" s="545">
        <v>15.333333333333332</v>
      </c>
      <c r="E7563" s="545">
        <v>13.666666666666668</v>
      </c>
      <c r="F7563" s="545">
        <v>18.547619047619047</v>
      </c>
      <c r="G7563" s="545">
        <v>9.5</v>
      </c>
      <c r="H7563" s="545">
        <v>7</v>
      </c>
      <c r="I7563" s="545">
        <v>2.6666666666666665</v>
      </c>
      <c r="J7563" s="545">
        <v>8.1666666666666661</v>
      </c>
    </row>
    <row r="7564" spans="1:10">
      <c r="A7564" s="441">
        <v>2426</v>
      </c>
      <c r="B7564" s="441" t="s">
        <v>6209</v>
      </c>
      <c r="C7564" s="545">
        <v>20.5</v>
      </c>
      <c r="D7564" s="545">
        <v>14.666666666666668</v>
      </c>
      <c r="E7564" s="545">
        <v>8.3333333333333339</v>
      </c>
      <c r="F7564" s="545">
        <v>17.928571428571427</v>
      </c>
      <c r="G7564" s="545">
        <v>11.5</v>
      </c>
      <c r="H7564" s="545">
        <v>5</v>
      </c>
      <c r="I7564" s="545">
        <v>2.3333333333333335</v>
      </c>
      <c r="J7564" s="545">
        <v>9.261904761904761</v>
      </c>
    </row>
    <row r="7565" spans="1:10">
      <c r="A7565" s="441">
        <v>525</v>
      </c>
      <c r="B7565" s="441" t="s">
        <v>6210</v>
      </c>
      <c r="C7565" s="545">
        <v>13.833333333333334</v>
      </c>
      <c r="D7565" s="545">
        <v>7</v>
      </c>
      <c r="E7565" s="545">
        <v>6.6666666666666661</v>
      </c>
      <c r="F7565" s="545">
        <v>11.833333333333334</v>
      </c>
      <c r="G7565" s="545">
        <v>5.5</v>
      </c>
      <c r="H7565" s="545">
        <v>4</v>
      </c>
      <c r="I7565" s="545">
        <v>2.3333333333333335</v>
      </c>
      <c r="J7565" s="545">
        <v>4.8333333333333339</v>
      </c>
    </row>
    <row r="7566" spans="1:10">
      <c r="A7566" s="441">
        <v>5145</v>
      </c>
      <c r="B7566" s="441" t="s">
        <v>6210</v>
      </c>
      <c r="C7566" s="545">
        <v>13.333333333333332</v>
      </c>
      <c r="D7566" s="545">
        <v>10.333333333333334</v>
      </c>
      <c r="E7566" s="545">
        <v>5.3333333333333339</v>
      </c>
      <c r="F7566" s="545">
        <v>11.761904761904759</v>
      </c>
      <c r="G7566" s="545">
        <v>5.6</v>
      </c>
      <c r="H7566" s="545">
        <v>4.333333333333333</v>
      </c>
      <c r="I7566" s="545">
        <v>1.3333333333333333</v>
      </c>
      <c r="J7566" s="545">
        <v>4.8095238095238102</v>
      </c>
    </row>
    <row r="7567" spans="1:10">
      <c r="A7567" s="441">
        <v>524</v>
      </c>
      <c r="B7567" s="441" t="s">
        <v>6211</v>
      </c>
      <c r="C7567" s="545">
        <v>37</v>
      </c>
      <c r="D7567" s="545">
        <v>26</v>
      </c>
      <c r="E7567" s="545">
        <v>15.666666666666668</v>
      </c>
      <c r="F7567" s="545">
        <v>32.38095238095238</v>
      </c>
      <c r="G7567" s="545">
        <v>73.95</v>
      </c>
      <c r="H7567" s="545">
        <v>19.666666666666668</v>
      </c>
      <c r="I7567" s="545">
        <v>12</v>
      </c>
      <c r="J7567" s="545">
        <v>57.345238095238095</v>
      </c>
    </row>
    <row r="7568" spans="1:10">
      <c r="A7568" s="441">
        <v>2416</v>
      </c>
      <c r="B7568" s="441" t="s">
        <v>6211</v>
      </c>
      <c r="C7568" s="545">
        <v>31.166666666666664</v>
      </c>
      <c r="D7568" s="545">
        <v>15.333333333333334</v>
      </c>
      <c r="E7568" s="545">
        <v>12.333333333333332</v>
      </c>
      <c r="F7568" s="545">
        <v>26.214285714285715</v>
      </c>
      <c r="G7568" s="545">
        <v>23.3</v>
      </c>
      <c r="H7568" s="545">
        <v>21</v>
      </c>
      <c r="I7568" s="545">
        <v>9.6666666666666661</v>
      </c>
      <c r="J7568" s="545">
        <v>21.023809523809522</v>
      </c>
    </row>
    <row r="7569" spans="1:10">
      <c r="A7569" s="441">
        <v>6419</v>
      </c>
      <c r="B7569" s="441" t="s">
        <v>6212</v>
      </c>
      <c r="C7569" s="545">
        <v>1</v>
      </c>
      <c r="D7569" s="545">
        <v>0.33333333333333331</v>
      </c>
      <c r="E7569" s="545">
        <v>0</v>
      </c>
      <c r="F7569" s="545">
        <v>0.76190476190476186</v>
      </c>
      <c r="G7569" s="545">
        <v>1.1499999999999999</v>
      </c>
      <c r="H7569" s="545">
        <v>0</v>
      </c>
      <c r="I7569" s="545">
        <v>0</v>
      </c>
      <c r="J7569" s="545">
        <v>0.8214285714285714</v>
      </c>
    </row>
    <row r="7570" spans="1:10">
      <c r="A7570" s="441">
        <v>6450</v>
      </c>
      <c r="B7570" s="441" t="s">
        <v>6212</v>
      </c>
      <c r="C7570" s="545">
        <v>0.83333333333333326</v>
      </c>
      <c r="D7570" s="545">
        <v>0</v>
      </c>
      <c r="E7570" s="545">
        <v>0</v>
      </c>
      <c r="F7570" s="545">
        <v>0.59523809523809512</v>
      </c>
      <c r="G7570" s="545">
        <v>0.65</v>
      </c>
      <c r="H7570" s="545">
        <v>0</v>
      </c>
      <c r="I7570" s="545">
        <v>0</v>
      </c>
      <c r="J7570" s="545">
        <v>0.4642857142857143</v>
      </c>
    </row>
    <row r="7571" spans="1:10">
      <c r="A7571" s="441">
        <v>7480</v>
      </c>
      <c r="B7571" s="441" t="s">
        <v>6213</v>
      </c>
      <c r="C7571" s="545">
        <v>70.666666666666657</v>
      </c>
      <c r="D7571" s="545">
        <v>41</v>
      </c>
      <c r="E7571" s="545">
        <v>27.666666666666668</v>
      </c>
      <c r="F7571" s="545">
        <v>60.285714285714278</v>
      </c>
      <c r="G7571" s="545">
        <v>38.549999999999997</v>
      </c>
      <c r="H7571" s="545">
        <v>34.666666666666664</v>
      </c>
      <c r="I7571" s="545">
        <v>12.333333333333334</v>
      </c>
      <c r="J7571" s="545">
        <v>34.25</v>
      </c>
    </row>
    <row r="7572" spans="1:10">
      <c r="A7572" s="441">
        <v>8261</v>
      </c>
      <c r="B7572" s="441" t="s">
        <v>6213</v>
      </c>
      <c r="C7572" s="545">
        <v>74</v>
      </c>
      <c r="D7572" s="545">
        <v>26.666666666666664</v>
      </c>
      <c r="E7572" s="545">
        <v>24.333333333333332</v>
      </c>
      <c r="F7572" s="545">
        <v>60.142857142857146</v>
      </c>
      <c r="G7572" s="545">
        <v>34.15</v>
      </c>
      <c r="H7572" s="545">
        <v>22.333333333333332</v>
      </c>
      <c r="I7572" s="545">
        <v>8.3333333333333339</v>
      </c>
      <c r="J7572" s="545">
        <v>28.773809523809526</v>
      </c>
    </row>
    <row r="7573" spans="1:10">
      <c r="A7573" s="441">
        <v>7478</v>
      </c>
      <c r="B7573" s="441" t="s">
        <v>6214</v>
      </c>
      <c r="C7573" s="545">
        <v>0.5</v>
      </c>
      <c r="D7573" s="545">
        <v>0</v>
      </c>
      <c r="E7573" s="545">
        <v>0.66666666666666663</v>
      </c>
      <c r="F7573" s="545">
        <v>0.45238095238095238</v>
      </c>
      <c r="G7573" s="545">
        <v>0.9</v>
      </c>
      <c r="H7573" s="545">
        <v>1</v>
      </c>
      <c r="I7573" s="545">
        <v>0</v>
      </c>
      <c r="J7573" s="545">
        <v>0.7857142857142857</v>
      </c>
    </row>
    <row r="7574" spans="1:10">
      <c r="A7574" s="441">
        <v>7509</v>
      </c>
      <c r="B7574" s="441" t="s">
        <v>6214</v>
      </c>
      <c r="C7574" s="545">
        <v>0.83333333333333337</v>
      </c>
      <c r="D7574" s="545">
        <v>0</v>
      </c>
      <c r="E7574" s="545">
        <v>0</v>
      </c>
      <c r="F7574" s="545">
        <v>0.59523809523809523</v>
      </c>
      <c r="G7574" s="545">
        <v>1.9</v>
      </c>
      <c r="H7574" s="545">
        <v>0.33333333333333331</v>
      </c>
      <c r="I7574" s="545">
        <v>0.66666666666666663</v>
      </c>
      <c r="J7574" s="545">
        <v>1.5</v>
      </c>
    </row>
    <row r="7575" spans="1:10">
      <c r="A7575" s="441">
        <v>7477</v>
      </c>
      <c r="B7575" s="441" t="s">
        <v>6215</v>
      </c>
      <c r="C7575" s="545">
        <v>22.166666666666668</v>
      </c>
      <c r="D7575" s="545">
        <v>7.666666666666667</v>
      </c>
      <c r="E7575" s="545">
        <v>12.333333333333332</v>
      </c>
      <c r="F7575" s="545">
        <v>18.690476190476193</v>
      </c>
      <c r="G7575" s="545">
        <v>9.5</v>
      </c>
      <c r="H7575" s="545">
        <v>7.666666666666667</v>
      </c>
      <c r="I7575" s="545">
        <v>1.3333333333333333</v>
      </c>
      <c r="J7575" s="545">
        <v>8.0714285714285712</v>
      </c>
    </row>
    <row r="7576" spans="1:10">
      <c r="A7576" s="441">
        <v>7510</v>
      </c>
      <c r="B7576" s="441" t="s">
        <v>6215</v>
      </c>
      <c r="C7576" s="545">
        <v>17.333333333333332</v>
      </c>
      <c r="D7576" s="545">
        <v>6.666666666666667</v>
      </c>
      <c r="E7576" s="545">
        <v>4.3333333333333339</v>
      </c>
      <c r="F7576" s="545">
        <v>13.952380952380951</v>
      </c>
      <c r="G7576" s="545">
        <v>7.25</v>
      </c>
      <c r="H7576" s="545">
        <v>3.3333333333333335</v>
      </c>
      <c r="I7576" s="545">
        <v>1.6666666666666667</v>
      </c>
      <c r="J7576" s="545">
        <v>5.8928571428571432</v>
      </c>
    </row>
    <row r="7577" spans="1:10">
      <c r="A7577" s="441">
        <v>8427</v>
      </c>
      <c r="B7577" s="441" t="s">
        <v>6216</v>
      </c>
      <c r="C7577" s="545">
        <v>7.666666666666667</v>
      </c>
      <c r="D7577" s="545">
        <v>5</v>
      </c>
      <c r="E7577" s="545">
        <v>2.6666666666666665</v>
      </c>
      <c r="F7577" s="545">
        <v>6.5714285714285712</v>
      </c>
      <c r="G7577" s="545">
        <v>3.35</v>
      </c>
      <c r="H7577" s="545">
        <v>1.6666666666666667</v>
      </c>
      <c r="I7577" s="545">
        <v>0.66666666666666663</v>
      </c>
      <c r="J7577" s="545">
        <v>2.7261904761904767</v>
      </c>
    </row>
    <row r="7578" spans="1:10">
      <c r="A7578" s="441">
        <v>2404</v>
      </c>
      <c r="B7578" s="441" t="s">
        <v>6217</v>
      </c>
      <c r="C7578" s="545">
        <v>3</v>
      </c>
      <c r="D7578" s="545">
        <v>2.333333333333333</v>
      </c>
      <c r="E7578" s="545">
        <v>1.6666666666666665</v>
      </c>
      <c r="F7578" s="545">
        <v>2.7142857142857144</v>
      </c>
      <c r="G7578" s="545">
        <v>0.7</v>
      </c>
      <c r="H7578" s="545">
        <v>0.66666666666666663</v>
      </c>
      <c r="I7578" s="545">
        <v>0.33333333333333331</v>
      </c>
      <c r="J7578" s="545">
        <v>0.6428571428571429</v>
      </c>
    </row>
    <row r="7579" spans="1:10">
      <c r="A7579" s="441">
        <v>8842</v>
      </c>
      <c r="B7579" s="441" t="s">
        <v>6217</v>
      </c>
      <c r="C7579" s="545">
        <v>2</v>
      </c>
      <c r="D7579" s="545">
        <v>0.66666666666666663</v>
      </c>
      <c r="E7579" s="545">
        <v>1</v>
      </c>
      <c r="F7579" s="545">
        <v>1.6666666666666665</v>
      </c>
      <c r="G7579" s="545">
        <v>0.9</v>
      </c>
      <c r="H7579" s="545">
        <v>0.33333333333333331</v>
      </c>
      <c r="I7579" s="545">
        <v>0.33333333333333331</v>
      </c>
      <c r="J7579" s="545">
        <v>0.73809523809523803</v>
      </c>
    </row>
    <row r="7580" spans="1:10">
      <c r="A7580" s="441">
        <v>7490</v>
      </c>
      <c r="B7580" s="441" t="s">
        <v>6218</v>
      </c>
      <c r="C7580" s="545">
        <v>8.1666666666666679</v>
      </c>
      <c r="D7580" s="545">
        <v>1.3333333333333333</v>
      </c>
      <c r="E7580" s="545">
        <v>0</v>
      </c>
      <c r="F7580" s="545">
        <v>6.0238095238095255</v>
      </c>
      <c r="G7580" s="545">
        <v>4.75</v>
      </c>
      <c r="H7580" s="545">
        <v>0</v>
      </c>
      <c r="I7580" s="545">
        <v>0</v>
      </c>
      <c r="J7580" s="545">
        <v>3.3928571428571428</v>
      </c>
    </row>
    <row r="7581" spans="1:10">
      <c r="A7581" s="441">
        <v>7497</v>
      </c>
      <c r="B7581" s="441" t="s">
        <v>6219</v>
      </c>
      <c r="C7581" s="545">
        <v>9.6666666666666661</v>
      </c>
      <c r="D7581" s="545">
        <v>0.33333333333333331</v>
      </c>
      <c r="E7581" s="545">
        <v>2.3333333333333335</v>
      </c>
      <c r="F7581" s="545">
        <v>7.2857142857142856</v>
      </c>
      <c r="G7581" s="545">
        <v>5.3</v>
      </c>
      <c r="H7581" s="545">
        <v>0.33333333333333331</v>
      </c>
      <c r="I7581" s="545">
        <v>0</v>
      </c>
      <c r="J7581" s="545">
        <v>3.833333333333333</v>
      </c>
    </row>
    <row r="7582" spans="1:10">
      <c r="A7582" s="441">
        <v>2403</v>
      </c>
      <c r="B7582" s="441" t="s">
        <v>6220</v>
      </c>
      <c r="C7582" s="545">
        <v>5.166666666666667</v>
      </c>
      <c r="D7582" s="545">
        <v>4</v>
      </c>
      <c r="E7582" s="545">
        <v>1.6666666666666665</v>
      </c>
      <c r="F7582" s="545">
        <v>4.5000000000000009</v>
      </c>
      <c r="G7582" s="545">
        <v>4.5999999999999996</v>
      </c>
      <c r="H7582" s="545">
        <v>2.3333333333333335</v>
      </c>
      <c r="I7582" s="545">
        <v>0</v>
      </c>
      <c r="J7582" s="545">
        <v>3.6190476190476191</v>
      </c>
    </row>
    <row r="7583" spans="1:10">
      <c r="A7583" s="441">
        <v>8259</v>
      </c>
      <c r="B7583" s="441" t="s">
        <v>6220</v>
      </c>
      <c r="C7583" s="545">
        <v>4.166666666666667</v>
      </c>
      <c r="D7583" s="545">
        <v>1</v>
      </c>
      <c r="E7583" s="545">
        <v>1.6666666666666667</v>
      </c>
      <c r="F7583" s="545">
        <v>3.3571428571428577</v>
      </c>
      <c r="G7583" s="545">
        <v>2.2999999999999998</v>
      </c>
      <c r="H7583" s="545">
        <v>2.6666666666666665</v>
      </c>
      <c r="I7583" s="545">
        <v>0</v>
      </c>
      <c r="J7583" s="545">
        <v>2.0238095238095237</v>
      </c>
    </row>
    <row r="7584" spans="1:10">
      <c r="A7584" s="441">
        <v>7491</v>
      </c>
      <c r="B7584" s="441" t="s">
        <v>6221</v>
      </c>
      <c r="C7584" s="545">
        <v>0</v>
      </c>
      <c r="D7584" s="545">
        <v>0.66666666666666663</v>
      </c>
      <c r="E7584" s="545">
        <v>0</v>
      </c>
      <c r="F7584" s="545">
        <v>9.5238095238095233E-2</v>
      </c>
      <c r="G7584" s="545">
        <v>0.45</v>
      </c>
      <c r="H7584" s="545">
        <v>0.33333333333333331</v>
      </c>
      <c r="I7584" s="545">
        <v>0</v>
      </c>
      <c r="J7584" s="545">
        <v>0.36904761904761907</v>
      </c>
    </row>
    <row r="7585" spans="1:10">
      <c r="A7585" s="441">
        <v>9992</v>
      </c>
      <c r="B7585" s="441" t="s">
        <v>6221</v>
      </c>
      <c r="C7585" s="545">
        <v>1.5</v>
      </c>
      <c r="D7585" s="545">
        <v>0.33333333333333331</v>
      </c>
      <c r="E7585" s="545">
        <v>0</v>
      </c>
      <c r="F7585" s="545">
        <v>1.1190476190476191</v>
      </c>
      <c r="G7585" s="545">
        <v>1.35</v>
      </c>
      <c r="H7585" s="545">
        <v>0.66666666666666663</v>
      </c>
      <c r="I7585" s="545">
        <v>0</v>
      </c>
      <c r="J7585" s="545">
        <v>1.0595238095238095</v>
      </c>
    </row>
    <row r="7586" spans="1:10">
      <c r="A7586" s="441">
        <v>10129</v>
      </c>
      <c r="B7586" s="441" t="s">
        <v>6222</v>
      </c>
      <c r="C7586" s="545">
        <v>1.6666666666666667</v>
      </c>
      <c r="D7586" s="545">
        <v>0.66666666666666663</v>
      </c>
      <c r="E7586" s="545">
        <v>0</v>
      </c>
      <c r="F7586" s="545">
        <v>1.2857142857142858</v>
      </c>
      <c r="G7586" s="545">
        <v>0.6</v>
      </c>
      <c r="H7586" s="545">
        <v>0.33333333333333331</v>
      </c>
      <c r="I7586" s="545">
        <v>0</v>
      </c>
      <c r="J7586" s="545">
        <v>0.47619047619047622</v>
      </c>
    </row>
    <row r="7587" spans="1:10">
      <c r="A7587" s="441">
        <v>7500</v>
      </c>
      <c r="B7587" s="441" t="s">
        <v>6223</v>
      </c>
      <c r="C7587" s="545">
        <v>1</v>
      </c>
      <c r="D7587" s="545">
        <v>0</v>
      </c>
      <c r="E7587" s="545">
        <v>0</v>
      </c>
      <c r="F7587" s="545">
        <v>0.7142857142857143</v>
      </c>
      <c r="G7587" s="545">
        <v>0.9</v>
      </c>
      <c r="H7587" s="545">
        <v>3</v>
      </c>
      <c r="I7587" s="545">
        <v>2</v>
      </c>
      <c r="J7587" s="545">
        <v>1.3571428571428572</v>
      </c>
    </row>
    <row r="7588" spans="1:10">
      <c r="A7588" s="441">
        <v>7486</v>
      </c>
      <c r="B7588" s="441" t="s">
        <v>6224</v>
      </c>
      <c r="C7588" s="545">
        <v>4</v>
      </c>
      <c r="D7588" s="545">
        <v>0.66666666666666663</v>
      </c>
      <c r="E7588" s="545">
        <v>0.33333333333333331</v>
      </c>
      <c r="F7588" s="545">
        <v>3</v>
      </c>
      <c r="G7588" s="545">
        <v>1.9</v>
      </c>
      <c r="H7588" s="545">
        <v>2.3333333333333335</v>
      </c>
      <c r="I7588" s="545">
        <v>1</v>
      </c>
      <c r="J7588" s="545">
        <v>1.8333333333333335</v>
      </c>
    </row>
    <row r="7589" spans="1:10">
      <c r="A7589" s="441">
        <v>11459</v>
      </c>
      <c r="B7589" s="441" t="s">
        <v>6224</v>
      </c>
      <c r="C7589" s="545">
        <v>2.5</v>
      </c>
      <c r="D7589" s="545">
        <v>0.66666666666666663</v>
      </c>
      <c r="E7589" s="545">
        <v>1.6666666666666667</v>
      </c>
      <c r="F7589" s="545">
        <v>2.1190476190476191</v>
      </c>
      <c r="G7589" s="545">
        <v>2.8</v>
      </c>
      <c r="H7589" s="545">
        <v>0.66666666666666663</v>
      </c>
      <c r="I7589" s="545">
        <v>1</v>
      </c>
      <c r="J7589" s="545">
        <v>2.2380952380952381</v>
      </c>
    </row>
    <row r="7590" spans="1:10">
      <c r="A7590" s="441">
        <v>6452</v>
      </c>
      <c r="B7590" s="441" t="s">
        <v>6225</v>
      </c>
      <c r="C7590" s="545">
        <v>31.833333333333332</v>
      </c>
      <c r="D7590" s="545">
        <v>13.333333333333332</v>
      </c>
      <c r="E7590" s="545">
        <v>15.666666666666666</v>
      </c>
      <c r="F7590" s="545">
        <v>26.88095238095238</v>
      </c>
      <c r="G7590" s="545">
        <v>13.45</v>
      </c>
      <c r="H7590" s="545">
        <v>12.666666666666666</v>
      </c>
      <c r="I7590" s="545">
        <v>7</v>
      </c>
      <c r="J7590" s="545">
        <v>12.416666666666668</v>
      </c>
    </row>
    <row r="7591" spans="1:10">
      <c r="A7591" s="441">
        <v>7495</v>
      </c>
      <c r="B7591" s="441" t="s">
        <v>6225</v>
      </c>
      <c r="C7591" s="545">
        <v>51.166666666666671</v>
      </c>
      <c r="D7591" s="545">
        <v>35.666666666666664</v>
      </c>
      <c r="E7591" s="545">
        <v>24.666666666666664</v>
      </c>
      <c r="F7591" s="545">
        <v>45.166666666666679</v>
      </c>
      <c r="G7591" s="545">
        <v>26.8</v>
      </c>
      <c r="H7591" s="545">
        <v>23.666666666666668</v>
      </c>
      <c r="I7591" s="545">
        <v>7.666666666666667</v>
      </c>
      <c r="J7591" s="545">
        <v>23.619047619047617</v>
      </c>
    </row>
    <row r="7592" spans="1:10">
      <c r="A7592" s="441">
        <v>7485</v>
      </c>
      <c r="B7592" s="441" t="s">
        <v>6226</v>
      </c>
      <c r="C7592" s="545">
        <v>3.833333333333333</v>
      </c>
      <c r="D7592" s="545">
        <v>1.6666666666666667</v>
      </c>
      <c r="E7592" s="545">
        <v>2.6666666666666665</v>
      </c>
      <c r="F7592" s="545">
        <v>3.3571428571428572</v>
      </c>
      <c r="G7592" s="545">
        <v>2.65</v>
      </c>
      <c r="H7592" s="545">
        <v>2</v>
      </c>
      <c r="I7592" s="545">
        <v>0.33333333333333331</v>
      </c>
      <c r="J7592" s="545">
        <v>2.2261904761904763</v>
      </c>
    </row>
    <row r="7593" spans="1:10">
      <c r="A7593" s="441">
        <v>7503</v>
      </c>
      <c r="B7593" s="441" t="s">
        <v>6226</v>
      </c>
      <c r="C7593" s="545">
        <v>2.5</v>
      </c>
      <c r="D7593" s="545">
        <v>0.66666666666666663</v>
      </c>
      <c r="E7593" s="545">
        <v>1.6666666666666665</v>
      </c>
      <c r="F7593" s="545">
        <v>2.1190476190476191</v>
      </c>
      <c r="G7593" s="545">
        <v>1.7</v>
      </c>
      <c r="H7593" s="545">
        <v>2.3333333333333335</v>
      </c>
      <c r="I7593" s="545">
        <v>1.3333333333333333</v>
      </c>
      <c r="J7593" s="545">
        <v>1.7380952380952384</v>
      </c>
    </row>
    <row r="7594" spans="1:10">
      <c r="A7594" s="441">
        <v>6418</v>
      </c>
      <c r="B7594" s="441" t="s">
        <v>6227</v>
      </c>
      <c r="C7594" s="545">
        <v>1.6666666666666667</v>
      </c>
      <c r="D7594" s="545">
        <v>2</v>
      </c>
      <c r="E7594" s="545">
        <v>0.66666666666666663</v>
      </c>
      <c r="F7594" s="545">
        <v>1.5714285714285714</v>
      </c>
      <c r="G7594" s="545">
        <v>0.1</v>
      </c>
      <c r="H7594" s="545">
        <v>0</v>
      </c>
      <c r="I7594" s="545">
        <v>0</v>
      </c>
      <c r="J7594" s="545">
        <v>7.1428571428571425E-2</v>
      </c>
    </row>
    <row r="7595" spans="1:10">
      <c r="A7595" s="441">
        <v>6451</v>
      </c>
      <c r="B7595" s="441" t="s">
        <v>6227</v>
      </c>
      <c r="C7595" s="545">
        <v>0.5</v>
      </c>
      <c r="D7595" s="545">
        <v>0.66666666666666663</v>
      </c>
      <c r="E7595" s="545">
        <v>0</v>
      </c>
      <c r="F7595" s="545">
        <v>0.45238095238095238</v>
      </c>
      <c r="G7595" s="545">
        <v>1.6</v>
      </c>
      <c r="H7595" s="545">
        <v>0</v>
      </c>
      <c r="I7595" s="545">
        <v>4.333333333333333</v>
      </c>
      <c r="J7595" s="545">
        <v>1.7619047619047616</v>
      </c>
    </row>
    <row r="7596" spans="1:10">
      <c r="A7596" s="441">
        <v>8431</v>
      </c>
      <c r="B7596" s="441" t="s">
        <v>6228</v>
      </c>
      <c r="C7596" s="545">
        <v>7.8333333333333339</v>
      </c>
      <c r="D7596" s="545">
        <v>3</v>
      </c>
      <c r="E7596" s="545">
        <v>3.666666666666667</v>
      </c>
      <c r="F7596" s="545">
        <v>6.5476190476190483</v>
      </c>
      <c r="G7596" s="545">
        <v>3.95</v>
      </c>
      <c r="H7596" s="545">
        <v>3.3333333333333335</v>
      </c>
      <c r="I7596" s="545">
        <v>0.33333333333333331</v>
      </c>
      <c r="J7596" s="545">
        <v>3.3452380952380949</v>
      </c>
    </row>
    <row r="7597" spans="1:10">
      <c r="A7597" s="441">
        <v>7489</v>
      </c>
      <c r="B7597" s="441" t="s">
        <v>6229</v>
      </c>
      <c r="C7597" s="545">
        <v>0.5</v>
      </c>
      <c r="D7597" s="545">
        <v>0</v>
      </c>
      <c r="E7597" s="545">
        <v>0</v>
      </c>
      <c r="F7597" s="545">
        <v>0.35714285714285715</v>
      </c>
      <c r="G7597" s="545">
        <v>0.25</v>
      </c>
      <c r="H7597" s="545">
        <v>0</v>
      </c>
      <c r="I7597" s="545">
        <v>0</v>
      </c>
      <c r="J7597" s="545">
        <v>0.17857142857142858</v>
      </c>
    </row>
    <row r="7598" spans="1:10">
      <c r="A7598" s="441">
        <v>7498</v>
      </c>
      <c r="B7598" s="441" t="s">
        <v>6229</v>
      </c>
      <c r="C7598" s="545">
        <v>0.16666666666666666</v>
      </c>
      <c r="D7598" s="545">
        <v>0</v>
      </c>
      <c r="E7598" s="545">
        <v>0</v>
      </c>
      <c r="F7598" s="545">
        <v>0.11904761904761904</v>
      </c>
      <c r="G7598" s="545">
        <v>0</v>
      </c>
      <c r="H7598" s="545">
        <v>0</v>
      </c>
      <c r="I7598" s="545">
        <v>0</v>
      </c>
      <c r="J7598" s="545">
        <v>0</v>
      </c>
    </row>
    <row r="7599" spans="1:10">
      <c r="A7599" s="441">
        <v>7479</v>
      </c>
      <c r="B7599" s="441" t="s">
        <v>6230</v>
      </c>
      <c r="C7599" s="545">
        <v>0.33333333333333331</v>
      </c>
      <c r="D7599" s="545">
        <v>0.33333333333333331</v>
      </c>
      <c r="E7599" s="545">
        <v>0.33333333333333331</v>
      </c>
      <c r="F7599" s="545">
        <v>0.33333333333333331</v>
      </c>
      <c r="G7599" s="545">
        <v>1.1000000000000001</v>
      </c>
      <c r="H7599" s="545">
        <v>0.33333333333333331</v>
      </c>
      <c r="I7599" s="545">
        <v>5</v>
      </c>
      <c r="J7599" s="545">
        <v>1.5476190476190474</v>
      </c>
    </row>
    <row r="7600" spans="1:10">
      <c r="A7600" s="441">
        <v>10128</v>
      </c>
      <c r="B7600" s="441" t="s">
        <v>6230</v>
      </c>
      <c r="C7600" s="545">
        <v>0.83333333333333326</v>
      </c>
      <c r="D7600" s="545">
        <v>0.33333333333333331</v>
      </c>
      <c r="E7600" s="545">
        <v>0</v>
      </c>
      <c r="F7600" s="545">
        <v>0.64285714285714268</v>
      </c>
      <c r="G7600" s="545">
        <v>0.7</v>
      </c>
      <c r="H7600" s="545">
        <v>1</v>
      </c>
      <c r="I7600" s="545">
        <v>0</v>
      </c>
      <c r="J7600" s="545">
        <v>0.6428571428571429</v>
      </c>
    </row>
    <row r="7601" spans="1:10">
      <c r="A7601" s="441">
        <v>8426</v>
      </c>
      <c r="B7601" s="441" t="s">
        <v>6231</v>
      </c>
      <c r="C7601" s="545">
        <v>4.333333333333333</v>
      </c>
      <c r="D7601" s="545">
        <v>5.6666666666666661</v>
      </c>
      <c r="E7601" s="545">
        <v>2.3333333333333335</v>
      </c>
      <c r="F7601" s="545">
        <v>4.2380952380952372</v>
      </c>
      <c r="G7601" s="545">
        <v>2.9</v>
      </c>
      <c r="H7601" s="545">
        <v>1.3333333333333333</v>
      </c>
      <c r="I7601" s="545">
        <v>0</v>
      </c>
      <c r="J7601" s="545">
        <v>2.2619047619047619</v>
      </c>
    </row>
    <row r="7602" spans="1:10">
      <c r="A7602" s="441">
        <v>8442</v>
      </c>
      <c r="B7602" s="441" t="s">
        <v>6231</v>
      </c>
      <c r="C7602" s="545">
        <v>0.66666666666666663</v>
      </c>
      <c r="D7602" s="545">
        <v>0.33333333333333331</v>
      </c>
      <c r="E7602" s="545">
        <v>1.6666666666666665</v>
      </c>
      <c r="F7602" s="545">
        <v>0.76190476190476186</v>
      </c>
      <c r="G7602" s="545">
        <v>4</v>
      </c>
      <c r="H7602" s="545">
        <v>1.6666666666666667</v>
      </c>
      <c r="I7602" s="545">
        <v>142</v>
      </c>
      <c r="J7602" s="545">
        <v>23.38095238095238</v>
      </c>
    </row>
    <row r="7603" spans="1:10">
      <c r="A7603" s="441">
        <v>8430</v>
      </c>
      <c r="B7603" s="441" t="s">
        <v>6232</v>
      </c>
      <c r="C7603" s="545">
        <v>10.833333333333332</v>
      </c>
      <c r="D7603" s="545">
        <v>1</v>
      </c>
      <c r="E7603" s="545">
        <v>2.3333333333333335</v>
      </c>
      <c r="F7603" s="545">
        <v>8.2142857142857135</v>
      </c>
      <c r="G7603" s="545">
        <v>1.65</v>
      </c>
      <c r="H7603" s="545">
        <v>3.3333333333333335</v>
      </c>
      <c r="I7603" s="545">
        <v>1</v>
      </c>
      <c r="J7603" s="545">
        <v>1.7976190476190477</v>
      </c>
    </row>
    <row r="7604" spans="1:10">
      <c r="A7604" s="441">
        <v>8425</v>
      </c>
      <c r="B7604" s="441" t="s">
        <v>6233</v>
      </c>
      <c r="C7604" s="545">
        <v>17.833333333333332</v>
      </c>
      <c r="D7604" s="545">
        <v>14.666666666666668</v>
      </c>
      <c r="E7604" s="545">
        <v>6</v>
      </c>
      <c r="F7604" s="545">
        <v>15.69047619047619</v>
      </c>
      <c r="G7604" s="545">
        <v>12.6</v>
      </c>
      <c r="H7604" s="545">
        <v>11</v>
      </c>
      <c r="I7604" s="545">
        <v>2.3333333333333335</v>
      </c>
      <c r="J7604" s="545">
        <v>10.904761904761903</v>
      </c>
    </row>
    <row r="7605" spans="1:10">
      <c r="A7605" s="441">
        <v>8443</v>
      </c>
      <c r="B7605" s="441" t="s">
        <v>6233</v>
      </c>
      <c r="C7605" s="545">
        <v>36.833333333333336</v>
      </c>
      <c r="D7605" s="545">
        <v>25.333333333333336</v>
      </c>
      <c r="E7605" s="545">
        <v>25.333333333333336</v>
      </c>
      <c r="F7605" s="545">
        <v>33.547619047619051</v>
      </c>
      <c r="G7605" s="545">
        <v>26.35</v>
      </c>
      <c r="H7605" s="545">
        <v>25.666666666666668</v>
      </c>
      <c r="I7605" s="545">
        <v>12</v>
      </c>
      <c r="J7605" s="545">
        <v>24.202380952380953</v>
      </c>
    </row>
    <row r="7606" spans="1:10">
      <c r="A7606" s="441">
        <v>7482</v>
      </c>
      <c r="B7606" s="441" t="s">
        <v>6234</v>
      </c>
      <c r="C7606" s="545">
        <v>2.5</v>
      </c>
      <c r="D7606" s="545">
        <v>1.3333333333333333</v>
      </c>
      <c r="E7606" s="545">
        <v>0.33333333333333331</v>
      </c>
      <c r="F7606" s="545">
        <v>2.0238095238095242</v>
      </c>
      <c r="G7606" s="545">
        <v>1.7</v>
      </c>
      <c r="H7606" s="545">
        <v>0</v>
      </c>
      <c r="I7606" s="545">
        <v>0</v>
      </c>
      <c r="J7606" s="545">
        <v>1.2142857142857142</v>
      </c>
    </row>
    <row r="7607" spans="1:10">
      <c r="A7607" s="441">
        <v>7506</v>
      </c>
      <c r="B7607" s="441" t="s">
        <v>6234</v>
      </c>
      <c r="C7607" s="545">
        <v>2.6666666666666665</v>
      </c>
      <c r="D7607" s="545">
        <v>0</v>
      </c>
      <c r="E7607" s="545">
        <v>1.3333333333333333</v>
      </c>
      <c r="F7607" s="545">
        <v>2.0952380952380953</v>
      </c>
      <c r="G7607" s="545">
        <v>0.55000000000000004</v>
      </c>
      <c r="H7607" s="545">
        <v>0</v>
      </c>
      <c r="I7607" s="545">
        <v>0</v>
      </c>
      <c r="J7607" s="545">
        <v>0.39285714285714285</v>
      </c>
    </row>
    <row r="7608" spans="1:10">
      <c r="A7608" s="441">
        <v>7508</v>
      </c>
      <c r="B7608" s="441" t="s">
        <v>6235</v>
      </c>
      <c r="C7608" s="545">
        <v>5.1666666666666661</v>
      </c>
      <c r="D7608" s="545">
        <v>1.3333333333333333</v>
      </c>
      <c r="E7608" s="545">
        <v>1</v>
      </c>
      <c r="F7608" s="545">
        <v>4.0238095238095228</v>
      </c>
      <c r="G7608" s="545">
        <v>4</v>
      </c>
      <c r="H7608" s="545">
        <v>1</v>
      </c>
      <c r="I7608" s="545">
        <v>0.66666666666666663</v>
      </c>
      <c r="J7608" s="545">
        <v>3.0952380952380953</v>
      </c>
    </row>
    <row r="7609" spans="1:10">
      <c r="A7609" s="441">
        <v>7488</v>
      </c>
      <c r="B7609" s="441" t="s">
        <v>6236</v>
      </c>
      <c r="C7609" s="545">
        <v>1</v>
      </c>
      <c r="D7609" s="545">
        <v>0.66666666666666663</v>
      </c>
      <c r="E7609" s="545">
        <v>1.3333333333333333</v>
      </c>
      <c r="F7609" s="545">
        <v>1</v>
      </c>
      <c r="G7609" s="545">
        <v>0.8</v>
      </c>
      <c r="H7609" s="545">
        <v>1.6666666666666667</v>
      </c>
      <c r="I7609" s="545">
        <v>1</v>
      </c>
      <c r="J7609" s="545">
        <v>0.95238095238095244</v>
      </c>
    </row>
    <row r="7610" spans="1:10">
      <c r="A7610" s="441">
        <v>8429</v>
      </c>
      <c r="B7610" s="441" t="s">
        <v>6237</v>
      </c>
      <c r="C7610" s="545">
        <v>1.3333333333333335</v>
      </c>
      <c r="D7610" s="545">
        <v>1</v>
      </c>
      <c r="E7610" s="545">
        <v>0.33333333333333331</v>
      </c>
      <c r="F7610" s="545">
        <v>1.142857142857143</v>
      </c>
      <c r="G7610" s="545">
        <v>0.5</v>
      </c>
      <c r="H7610" s="545">
        <v>2</v>
      </c>
      <c r="I7610" s="545">
        <v>0</v>
      </c>
      <c r="J7610" s="545">
        <v>0.6428571428571429</v>
      </c>
    </row>
    <row r="7611" spans="1:10">
      <c r="A7611" s="441">
        <v>8424</v>
      </c>
      <c r="B7611" s="441" t="s">
        <v>6238</v>
      </c>
      <c r="C7611" s="545">
        <v>26.5</v>
      </c>
      <c r="D7611" s="545">
        <v>17.333333333333336</v>
      </c>
      <c r="E7611" s="545">
        <v>24.666666666666664</v>
      </c>
      <c r="F7611" s="545">
        <v>24.928571428571427</v>
      </c>
      <c r="G7611" s="545">
        <v>20.7</v>
      </c>
      <c r="H7611" s="545">
        <v>18.333333333333332</v>
      </c>
      <c r="I7611" s="545">
        <v>13</v>
      </c>
      <c r="J7611" s="545">
        <v>19.261904761904759</v>
      </c>
    </row>
    <row r="7612" spans="1:10">
      <c r="A7612" s="441">
        <v>8444</v>
      </c>
      <c r="B7612" s="441" t="s">
        <v>6238</v>
      </c>
      <c r="C7612" s="545">
        <v>10.5</v>
      </c>
      <c r="D7612" s="545">
        <v>6</v>
      </c>
      <c r="E7612" s="545">
        <v>5.333333333333333</v>
      </c>
      <c r="F7612" s="545">
        <v>9.1190476190476186</v>
      </c>
      <c r="G7612" s="545">
        <v>10.9</v>
      </c>
      <c r="H7612" s="545">
        <v>13</v>
      </c>
      <c r="I7612" s="545">
        <v>4.333333333333333</v>
      </c>
      <c r="J7612" s="545">
        <v>10.261904761904761</v>
      </c>
    </row>
    <row r="7613" spans="1:10">
      <c r="A7613" s="441">
        <v>7493</v>
      </c>
      <c r="B7613" s="441" t="s">
        <v>6239</v>
      </c>
      <c r="C7613" s="545">
        <v>36.666666666666671</v>
      </c>
      <c r="D7613" s="545">
        <v>27.666666666666664</v>
      </c>
      <c r="E7613" s="545">
        <v>19</v>
      </c>
      <c r="F7613" s="545">
        <v>32.857142857142861</v>
      </c>
      <c r="G7613" s="545">
        <v>26.35</v>
      </c>
      <c r="H7613" s="545">
        <v>23.333333333333332</v>
      </c>
      <c r="I7613" s="545">
        <v>10.333333333333334</v>
      </c>
      <c r="J7613" s="545">
        <v>23.630952380952383</v>
      </c>
    </row>
    <row r="7614" spans="1:10">
      <c r="A7614" s="441">
        <v>7494</v>
      </c>
      <c r="B7614" s="441" t="s">
        <v>6239</v>
      </c>
      <c r="C7614" s="545">
        <v>43.5</v>
      </c>
      <c r="D7614" s="545">
        <v>27</v>
      </c>
      <c r="E7614" s="545">
        <v>22</v>
      </c>
      <c r="F7614" s="545">
        <v>38.071428571428569</v>
      </c>
      <c r="G7614" s="545">
        <v>15.75</v>
      </c>
      <c r="H7614" s="545">
        <v>12.666666666666666</v>
      </c>
      <c r="I7614" s="545">
        <v>4</v>
      </c>
      <c r="J7614" s="545">
        <v>13.630952380952381</v>
      </c>
    </row>
    <row r="7615" spans="1:10">
      <c r="A7615" s="441">
        <v>7492</v>
      </c>
      <c r="B7615" s="441" t="s">
        <v>6240</v>
      </c>
      <c r="C7615" s="545">
        <v>4.666666666666667</v>
      </c>
      <c r="D7615" s="545">
        <v>0.33333333333333331</v>
      </c>
      <c r="E7615" s="545">
        <v>0.33333333333333331</v>
      </c>
      <c r="F7615" s="545">
        <v>3.4285714285714284</v>
      </c>
      <c r="G7615" s="545">
        <v>1.6</v>
      </c>
      <c r="H7615" s="545">
        <v>1.6666666666666667</v>
      </c>
      <c r="I7615" s="545">
        <v>3.6666666666666665</v>
      </c>
      <c r="J7615" s="545">
        <v>1.9047619047619047</v>
      </c>
    </row>
    <row r="7616" spans="1:10">
      <c r="A7616" s="441">
        <v>7496</v>
      </c>
      <c r="B7616" s="441" t="s">
        <v>6240</v>
      </c>
      <c r="C7616" s="545">
        <v>3.3333333333333335</v>
      </c>
      <c r="D7616" s="545">
        <v>0.66666666666666663</v>
      </c>
      <c r="E7616" s="545">
        <v>0.33333333333333331</v>
      </c>
      <c r="F7616" s="545">
        <v>2.5238095238095242</v>
      </c>
      <c r="G7616" s="545">
        <v>0.45</v>
      </c>
      <c r="H7616" s="545">
        <v>0.66666666666666663</v>
      </c>
      <c r="I7616" s="545">
        <v>0</v>
      </c>
      <c r="J7616" s="545">
        <v>0.41666666666666663</v>
      </c>
    </row>
    <row r="7617" spans="1:10">
      <c r="A7617" s="441">
        <v>7481</v>
      </c>
      <c r="B7617" s="441" t="s">
        <v>6241</v>
      </c>
      <c r="C7617" s="545">
        <v>4</v>
      </c>
      <c r="D7617" s="545">
        <v>0.33333333333333331</v>
      </c>
      <c r="E7617" s="545">
        <v>0</v>
      </c>
      <c r="F7617" s="545">
        <v>2.9047619047619047</v>
      </c>
      <c r="G7617" s="545">
        <v>2.25</v>
      </c>
      <c r="H7617" s="545">
        <v>1.3333333333333333</v>
      </c>
      <c r="I7617" s="545">
        <v>0.33333333333333331</v>
      </c>
      <c r="J7617" s="545">
        <v>1.8452380952380953</v>
      </c>
    </row>
    <row r="7618" spans="1:10">
      <c r="A7618" s="441">
        <v>2405</v>
      </c>
      <c r="B7618" s="441" t="s">
        <v>6242</v>
      </c>
      <c r="C7618" s="545">
        <v>3.6666666666666665</v>
      </c>
      <c r="D7618" s="545">
        <v>1.6666666666666665</v>
      </c>
      <c r="E7618" s="545">
        <v>1.6666666666666665</v>
      </c>
      <c r="F7618" s="545">
        <v>3.0952380952380953</v>
      </c>
      <c r="G7618" s="545">
        <v>6.35</v>
      </c>
      <c r="H7618" s="545">
        <v>2</v>
      </c>
      <c r="I7618" s="545">
        <v>1.3333333333333333</v>
      </c>
      <c r="J7618" s="545">
        <v>5.0119047619047619</v>
      </c>
    </row>
    <row r="7619" spans="1:10">
      <c r="A7619" s="441">
        <v>7487</v>
      </c>
      <c r="B7619" s="441" t="s">
        <v>6243</v>
      </c>
      <c r="C7619" s="545">
        <v>4.5</v>
      </c>
      <c r="D7619" s="545">
        <v>3</v>
      </c>
      <c r="E7619" s="545">
        <v>6</v>
      </c>
      <c r="F7619" s="545">
        <v>4.5</v>
      </c>
      <c r="G7619" s="545">
        <v>3.8</v>
      </c>
      <c r="H7619" s="545">
        <v>1.6666666666666667</v>
      </c>
      <c r="I7619" s="545">
        <v>2</v>
      </c>
      <c r="J7619" s="545">
        <v>3.2380952380952381</v>
      </c>
    </row>
    <row r="7620" spans="1:10">
      <c r="A7620" s="441">
        <v>7501</v>
      </c>
      <c r="B7620" s="441" t="s">
        <v>6243</v>
      </c>
      <c r="C7620" s="545">
        <v>6.1666666666666661</v>
      </c>
      <c r="D7620" s="545">
        <v>1</v>
      </c>
      <c r="E7620" s="545">
        <v>4</v>
      </c>
      <c r="F7620" s="545">
        <v>5.1190476190476186</v>
      </c>
      <c r="G7620" s="545">
        <v>5.3</v>
      </c>
      <c r="H7620" s="545">
        <v>1.3333333333333333</v>
      </c>
      <c r="I7620" s="545">
        <v>2.3333333333333335</v>
      </c>
      <c r="J7620" s="545">
        <v>4.3095238095238093</v>
      </c>
    </row>
    <row r="7621" spans="1:10">
      <c r="A7621" s="441">
        <v>7507</v>
      </c>
      <c r="B7621" s="441" t="s">
        <v>6244</v>
      </c>
      <c r="C7621" s="545">
        <v>0</v>
      </c>
      <c r="D7621" s="545">
        <v>0</v>
      </c>
      <c r="E7621" s="545">
        <v>0</v>
      </c>
      <c r="F7621" s="545">
        <v>0</v>
      </c>
      <c r="G7621" s="545">
        <v>0.65</v>
      </c>
      <c r="H7621" s="545">
        <v>0</v>
      </c>
      <c r="I7621" s="545">
        <v>0</v>
      </c>
      <c r="J7621" s="545">
        <v>0.4642857142857143</v>
      </c>
    </row>
    <row r="7622" spans="1:10">
      <c r="A7622" s="441">
        <v>8428</v>
      </c>
      <c r="B7622" s="441" t="s">
        <v>6245</v>
      </c>
      <c r="C7622" s="545">
        <v>4.666666666666667</v>
      </c>
      <c r="D7622" s="545">
        <v>0</v>
      </c>
      <c r="E7622" s="545">
        <v>0</v>
      </c>
      <c r="F7622" s="545">
        <v>3.3333333333333335</v>
      </c>
      <c r="G7622" s="545">
        <v>2.15</v>
      </c>
      <c r="H7622" s="545">
        <v>0</v>
      </c>
      <c r="I7622" s="545">
        <v>0</v>
      </c>
      <c r="J7622" s="545">
        <v>1.5357142857142858</v>
      </c>
    </row>
    <row r="7623" spans="1:10">
      <c r="A7623" s="441">
        <v>6420</v>
      </c>
      <c r="B7623" s="441" t="s">
        <v>6246</v>
      </c>
      <c r="C7623" s="545">
        <v>1</v>
      </c>
      <c r="D7623" s="545">
        <v>0</v>
      </c>
      <c r="E7623" s="545">
        <v>0.33333333333333331</v>
      </c>
      <c r="F7623" s="545">
        <v>0.76190476190476186</v>
      </c>
      <c r="G7623" s="545">
        <v>0.9</v>
      </c>
      <c r="H7623" s="545">
        <v>0.33333333333333331</v>
      </c>
      <c r="I7623" s="545">
        <v>0</v>
      </c>
      <c r="J7623" s="545">
        <v>0.69047619047619047</v>
      </c>
    </row>
    <row r="7624" spans="1:10">
      <c r="A7624" s="441">
        <v>6449</v>
      </c>
      <c r="B7624" s="441" t="s">
        <v>6246</v>
      </c>
      <c r="C7624" s="545">
        <v>2.5</v>
      </c>
      <c r="D7624" s="545">
        <v>0.66666666666666663</v>
      </c>
      <c r="E7624" s="545">
        <v>1</v>
      </c>
      <c r="F7624" s="545">
        <v>2.0238095238095237</v>
      </c>
      <c r="G7624" s="545">
        <v>0.95</v>
      </c>
      <c r="H7624" s="545">
        <v>1</v>
      </c>
      <c r="I7624" s="545">
        <v>0</v>
      </c>
      <c r="J7624" s="545">
        <v>0.8214285714285714</v>
      </c>
    </row>
    <row r="7625" spans="1:10">
      <c r="A7625" s="441">
        <v>7484</v>
      </c>
      <c r="B7625" s="441" t="s">
        <v>6247</v>
      </c>
      <c r="C7625" s="545">
        <v>2.5</v>
      </c>
      <c r="D7625" s="545">
        <v>1</v>
      </c>
      <c r="E7625" s="545">
        <v>0.33333333333333331</v>
      </c>
      <c r="F7625" s="545">
        <v>1.9761904761904763</v>
      </c>
      <c r="G7625" s="545">
        <v>0.55000000000000004</v>
      </c>
      <c r="H7625" s="545">
        <v>2</v>
      </c>
      <c r="I7625" s="545">
        <v>1.3333333333333333</v>
      </c>
      <c r="J7625" s="545">
        <v>0.86904761904761896</v>
      </c>
    </row>
    <row r="7626" spans="1:10">
      <c r="A7626" s="441">
        <v>7504</v>
      </c>
      <c r="B7626" s="441" t="s">
        <v>6247</v>
      </c>
      <c r="C7626" s="545">
        <v>1.6666666666666665</v>
      </c>
      <c r="D7626" s="545">
        <v>2</v>
      </c>
      <c r="E7626" s="545">
        <v>1</v>
      </c>
      <c r="F7626" s="545">
        <v>1.6190476190476188</v>
      </c>
      <c r="G7626" s="545">
        <v>0.55000000000000004</v>
      </c>
      <c r="H7626" s="545">
        <v>0.66666666666666663</v>
      </c>
      <c r="I7626" s="545">
        <v>1.3333333333333333</v>
      </c>
      <c r="J7626" s="545">
        <v>0.6785714285714286</v>
      </c>
    </row>
    <row r="7627" spans="1:10">
      <c r="A7627" s="441">
        <v>7499</v>
      </c>
      <c r="B7627" s="441" t="s">
        <v>6248</v>
      </c>
      <c r="C7627" s="545">
        <v>0.16666666666666666</v>
      </c>
      <c r="D7627" s="545">
        <v>0</v>
      </c>
      <c r="E7627" s="545">
        <v>0.33333333333333331</v>
      </c>
      <c r="F7627" s="545">
        <v>0.16666666666666666</v>
      </c>
      <c r="G7627" s="545">
        <v>0.05</v>
      </c>
      <c r="H7627" s="545">
        <v>0</v>
      </c>
      <c r="I7627" s="545">
        <v>0</v>
      </c>
      <c r="J7627" s="545">
        <v>3.5714285714285712E-2</v>
      </c>
    </row>
    <row r="7628" spans="1:10">
      <c r="A7628" s="441">
        <v>7483</v>
      </c>
      <c r="B7628" s="441" t="s">
        <v>6249</v>
      </c>
      <c r="C7628" s="545">
        <v>11.833333333333334</v>
      </c>
      <c r="D7628" s="545">
        <v>5</v>
      </c>
      <c r="E7628" s="545">
        <v>2.3333333333333335</v>
      </c>
      <c r="F7628" s="545">
        <v>9.5</v>
      </c>
      <c r="G7628" s="545">
        <v>6.5</v>
      </c>
      <c r="H7628" s="545">
        <v>2</v>
      </c>
      <c r="I7628" s="545">
        <v>1</v>
      </c>
      <c r="J7628" s="545">
        <v>5.0714285714285712</v>
      </c>
    </row>
    <row r="7629" spans="1:10">
      <c r="A7629" s="441">
        <v>7505</v>
      </c>
      <c r="B7629" s="441" t="s">
        <v>6249</v>
      </c>
      <c r="C7629" s="545">
        <v>16.833333333333336</v>
      </c>
      <c r="D7629" s="545">
        <v>5.666666666666667</v>
      </c>
      <c r="E7629" s="545">
        <v>4.333333333333333</v>
      </c>
      <c r="F7629" s="545">
        <v>13.452380952380954</v>
      </c>
      <c r="G7629" s="545">
        <v>5.0999999999999996</v>
      </c>
      <c r="H7629" s="545">
        <v>2</v>
      </c>
      <c r="I7629" s="545">
        <v>1</v>
      </c>
      <c r="J7629" s="545">
        <v>4.0714285714285712</v>
      </c>
    </row>
    <row r="7630" spans="1:10">
      <c r="A7630" s="441">
        <v>6288</v>
      </c>
      <c r="B7630" s="441" t="s">
        <v>6250</v>
      </c>
      <c r="C7630" s="545">
        <v>83.666666666666657</v>
      </c>
      <c r="D7630" s="545">
        <v>39</v>
      </c>
      <c r="E7630" s="545">
        <v>24.666666666666668</v>
      </c>
      <c r="F7630" s="545">
        <v>68.857142857142847</v>
      </c>
      <c r="G7630" s="545">
        <v>47.8</v>
      </c>
      <c r="H7630" s="545">
        <v>23.333333333333332</v>
      </c>
      <c r="I7630" s="545">
        <v>15.666666666666666</v>
      </c>
      <c r="J7630" s="545">
        <v>39.714285714285715</v>
      </c>
    </row>
    <row r="7631" spans="1:10">
      <c r="A7631" s="441">
        <v>6950</v>
      </c>
      <c r="B7631" s="441" t="s">
        <v>6250</v>
      </c>
      <c r="C7631" s="545">
        <v>88.666666666666657</v>
      </c>
      <c r="D7631" s="545">
        <v>50</v>
      </c>
      <c r="E7631" s="545">
        <v>30.666666666666664</v>
      </c>
      <c r="F7631" s="545">
        <v>74.857142857142847</v>
      </c>
      <c r="G7631" s="545">
        <v>50.1</v>
      </c>
      <c r="H7631" s="545">
        <v>17</v>
      </c>
      <c r="I7631" s="545">
        <v>18.666666666666668</v>
      </c>
      <c r="J7631" s="545">
        <v>40.880952380952387</v>
      </c>
    </row>
    <row r="7632" spans="1:10">
      <c r="A7632" s="441">
        <v>6943</v>
      </c>
      <c r="B7632" s="441" t="s">
        <v>6251</v>
      </c>
      <c r="C7632" s="545">
        <v>15.333333333333334</v>
      </c>
      <c r="D7632" s="545">
        <v>4</v>
      </c>
      <c r="E7632" s="545">
        <v>5</v>
      </c>
      <c r="F7632" s="545">
        <v>12.238095238095239</v>
      </c>
      <c r="G7632" s="545">
        <v>16.7</v>
      </c>
      <c r="H7632" s="545">
        <v>8.3333333333333339</v>
      </c>
      <c r="I7632" s="545">
        <v>5.666666666666667</v>
      </c>
      <c r="J7632" s="545">
        <v>13.928571428571429</v>
      </c>
    </row>
    <row r="7633" spans="1:10">
      <c r="A7633" s="441">
        <v>10174</v>
      </c>
      <c r="B7633" s="441" t="s">
        <v>6251</v>
      </c>
      <c r="C7633" s="545">
        <v>9.1666666666666679</v>
      </c>
      <c r="D7633" s="545">
        <v>1.6666666666666665</v>
      </c>
      <c r="E7633" s="545">
        <v>3.666666666666667</v>
      </c>
      <c r="F7633" s="545">
        <v>7.3095238095238102</v>
      </c>
      <c r="G7633" s="545">
        <v>8.9499999999999993</v>
      </c>
      <c r="H7633" s="545">
        <v>6.666666666666667</v>
      </c>
      <c r="I7633" s="545">
        <v>5.333333333333333</v>
      </c>
      <c r="J7633" s="545">
        <v>8.1071428571428577</v>
      </c>
    </row>
    <row r="7634" spans="1:10">
      <c r="A7634" s="441">
        <v>6283</v>
      </c>
      <c r="B7634" s="441" t="s">
        <v>6252</v>
      </c>
      <c r="C7634" s="545">
        <v>21.5</v>
      </c>
      <c r="D7634" s="545">
        <v>12.333333333333332</v>
      </c>
      <c r="E7634" s="545">
        <v>6.6666666666666661</v>
      </c>
      <c r="F7634" s="545">
        <v>18.071428571428573</v>
      </c>
      <c r="G7634" s="545">
        <v>17.399999999999999</v>
      </c>
      <c r="H7634" s="545">
        <v>16</v>
      </c>
      <c r="I7634" s="545">
        <v>5.333333333333333</v>
      </c>
      <c r="J7634" s="545">
        <v>15.476190476190476</v>
      </c>
    </row>
    <row r="7635" spans="1:10">
      <c r="A7635" s="441">
        <v>11632</v>
      </c>
      <c r="B7635" s="441" t="s">
        <v>6253</v>
      </c>
      <c r="C7635" s="545">
        <v>29.5</v>
      </c>
      <c r="D7635" s="545">
        <v>17.666666666666664</v>
      </c>
      <c r="E7635" s="545">
        <v>8.3333333333333339</v>
      </c>
      <c r="F7635" s="545">
        <v>24.785714285714285</v>
      </c>
      <c r="G7635" s="545">
        <v>19.899999999999999</v>
      </c>
      <c r="H7635" s="545">
        <v>11.666666666666666</v>
      </c>
      <c r="I7635" s="545">
        <v>7.666666666666667</v>
      </c>
      <c r="J7635" s="545">
        <v>16.976190476190478</v>
      </c>
    </row>
    <row r="7636" spans="1:10">
      <c r="A7636" s="441">
        <v>6947</v>
      </c>
      <c r="B7636" s="441" t="s">
        <v>6254</v>
      </c>
      <c r="C7636" s="545">
        <v>8.8333333333333339</v>
      </c>
      <c r="D7636" s="545">
        <v>5.333333333333333</v>
      </c>
      <c r="E7636" s="545">
        <v>3.6666666666666665</v>
      </c>
      <c r="F7636" s="545">
        <v>7.5952380952380958</v>
      </c>
      <c r="G7636" s="545">
        <v>9.5500000000000007</v>
      </c>
      <c r="H7636" s="545">
        <v>9.3333333333333339</v>
      </c>
      <c r="I7636" s="545">
        <v>5.666666666666667</v>
      </c>
      <c r="J7636" s="545">
        <v>8.9642857142857135</v>
      </c>
    </row>
    <row r="7637" spans="1:10">
      <c r="A7637" s="441">
        <v>6290</v>
      </c>
      <c r="B7637" s="441" t="s">
        <v>6255</v>
      </c>
      <c r="C7637" s="545">
        <v>104.16666666666666</v>
      </c>
      <c r="D7637" s="545">
        <v>49.666666666666664</v>
      </c>
      <c r="E7637" s="545">
        <v>31.666666666666668</v>
      </c>
      <c r="F7637" s="545">
        <v>86.023809523809504</v>
      </c>
      <c r="G7637" s="545">
        <v>60.3</v>
      </c>
      <c r="H7637" s="545">
        <v>27</v>
      </c>
      <c r="I7637" s="545">
        <v>20</v>
      </c>
      <c r="J7637" s="545">
        <v>49.785714285714285</v>
      </c>
    </row>
    <row r="7638" spans="1:10">
      <c r="A7638" s="441">
        <v>6948</v>
      </c>
      <c r="B7638" s="441" t="s">
        <v>6255</v>
      </c>
      <c r="C7638" s="545">
        <v>131.83333333333334</v>
      </c>
      <c r="D7638" s="545">
        <v>52.333333333333336</v>
      </c>
      <c r="E7638" s="545">
        <v>28</v>
      </c>
      <c r="F7638" s="545">
        <v>105.64285714285715</v>
      </c>
      <c r="G7638" s="545">
        <v>63.15</v>
      </c>
      <c r="H7638" s="545">
        <v>20.333333333333332</v>
      </c>
      <c r="I7638" s="545">
        <v>12.666666666666666</v>
      </c>
      <c r="J7638" s="545">
        <v>49.821428571428569</v>
      </c>
    </row>
    <row r="7639" spans="1:10">
      <c r="A7639" s="441">
        <v>4764</v>
      </c>
      <c r="B7639" s="441" t="s">
        <v>6256</v>
      </c>
      <c r="C7639" s="545">
        <v>17.333333333333332</v>
      </c>
      <c r="D7639" s="545">
        <v>13</v>
      </c>
      <c r="E7639" s="545">
        <v>3.666666666666667</v>
      </c>
      <c r="F7639" s="545">
        <v>14.761904761904761</v>
      </c>
      <c r="G7639" s="545">
        <v>8.15</v>
      </c>
      <c r="H7639" s="545">
        <v>1.6666666666666667</v>
      </c>
      <c r="I7639" s="545">
        <v>1</v>
      </c>
      <c r="J7639" s="545">
        <v>6.2023809523809517</v>
      </c>
    </row>
    <row r="7640" spans="1:10">
      <c r="A7640" s="441">
        <v>6286</v>
      </c>
      <c r="B7640" s="441" t="s">
        <v>6257</v>
      </c>
      <c r="C7640" s="545">
        <v>47.666666666666671</v>
      </c>
      <c r="D7640" s="545">
        <v>32</v>
      </c>
      <c r="E7640" s="545">
        <v>21</v>
      </c>
      <c r="F7640" s="545">
        <v>41.619047619047628</v>
      </c>
      <c r="G7640" s="545">
        <v>43.7</v>
      </c>
      <c r="H7640" s="545">
        <v>16.333333333333332</v>
      </c>
      <c r="I7640" s="545">
        <v>17</v>
      </c>
      <c r="J7640" s="545">
        <v>35.976190476190474</v>
      </c>
    </row>
    <row r="7641" spans="1:10">
      <c r="A7641" s="441">
        <v>6952</v>
      </c>
      <c r="B7641" s="441" t="s">
        <v>6257</v>
      </c>
      <c r="C7641" s="545">
        <v>50</v>
      </c>
      <c r="D7641" s="545">
        <v>29.333333333333332</v>
      </c>
      <c r="E7641" s="545">
        <v>22.666666666666668</v>
      </c>
      <c r="F7641" s="545">
        <v>43.142857142857146</v>
      </c>
      <c r="G7641" s="545">
        <v>40.950000000000003</v>
      </c>
      <c r="H7641" s="545">
        <v>21.666666666666668</v>
      </c>
      <c r="I7641" s="545">
        <v>14.666666666666666</v>
      </c>
      <c r="J7641" s="545">
        <v>34.44047619047619</v>
      </c>
    </row>
    <row r="7642" spans="1:10">
      <c r="A7642" s="441">
        <v>6287</v>
      </c>
      <c r="B7642" s="441" t="s">
        <v>6258</v>
      </c>
      <c r="C7642" s="545">
        <v>2.833333333333333</v>
      </c>
      <c r="D7642" s="545">
        <v>3.333333333333333</v>
      </c>
      <c r="E7642" s="545">
        <v>1.6666666666666665</v>
      </c>
      <c r="F7642" s="545">
        <v>2.7380952380952377</v>
      </c>
      <c r="G7642" s="545">
        <v>2</v>
      </c>
      <c r="H7642" s="545">
        <v>1</v>
      </c>
      <c r="I7642" s="545">
        <v>1</v>
      </c>
      <c r="J7642" s="545">
        <v>1.7142857142857142</v>
      </c>
    </row>
    <row r="7643" spans="1:10">
      <c r="A7643" s="441">
        <v>6951</v>
      </c>
      <c r="B7643" s="441" t="s">
        <v>6258</v>
      </c>
      <c r="C7643" s="545">
        <v>2.6666666666666665</v>
      </c>
      <c r="D7643" s="545">
        <v>1.3333333333333333</v>
      </c>
      <c r="E7643" s="545">
        <v>2.6666666666666665</v>
      </c>
      <c r="F7643" s="545">
        <v>2.4761904761904758</v>
      </c>
      <c r="G7643" s="545">
        <v>2.5</v>
      </c>
      <c r="H7643" s="545">
        <v>1.3333333333333333</v>
      </c>
      <c r="I7643" s="545">
        <v>0.66666666666666663</v>
      </c>
      <c r="J7643" s="545">
        <v>2.0714285714285716</v>
      </c>
    </row>
    <row r="7644" spans="1:10">
      <c r="A7644" s="441">
        <v>6941</v>
      </c>
      <c r="B7644" s="441" t="s">
        <v>6259</v>
      </c>
      <c r="C7644" s="545">
        <v>11.166666666666666</v>
      </c>
      <c r="D7644" s="545">
        <v>2.3333333333333335</v>
      </c>
      <c r="E7644" s="545">
        <v>3.3333333333333335</v>
      </c>
      <c r="F7644" s="545">
        <v>8.7857142857142865</v>
      </c>
      <c r="G7644" s="545">
        <v>5.0999999999999996</v>
      </c>
      <c r="H7644" s="545">
        <v>3</v>
      </c>
      <c r="I7644" s="545">
        <v>1.3333333333333333</v>
      </c>
      <c r="J7644" s="545">
        <v>4.2619047619047619</v>
      </c>
    </row>
    <row r="7645" spans="1:10">
      <c r="A7645" s="441">
        <v>6944</v>
      </c>
      <c r="B7645" s="441" t="s">
        <v>6259</v>
      </c>
      <c r="C7645" s="545">
        <v>13.166666666666666</v>
      </c>
      <c r="D7645" s="545">
        <v>4.333333333333333</v>
      </c>
      <c r="E7645" s="545">
        <v>1.3333333333333333</v>
      </c>
      <c r="F7645" s="545">
        <v>10.214285714285712</v>
      </c>
      <c r="G7645" s="545">
        <v>5.35</v>
      </c>
      <c r="H7645" s="545">
        <v>4.666666666666667</v>
      </c>
      <c r="I7645" s="545">
        <v>0.66666666666666663</v>
      </c>
      <c r="J7645" s="545">
        <v>4.5833333333333339</v>
      </c>
    </row>
    <row r="7646" spans="1:10">
      <c r="A7646" s="441">
        <v>6282</v>
      </c>
      <c r="B7646" s="441" t="s">
        <v>6260</v>
      </c>
      <c r="C7646" s="545">
        <v>8.1666666666666661</v>
      </c>
      <c r="D7646" s="545">
        <v>2.3333333333333335</v>
      </c>
      <c r="E7646" s="545">
        <v>1</v>
      </c>
      <c r="F7646" s="545">
        <v>6.3095238095238093</v>
      </c>
      <c r="G7646" s="545">
        <v>6.05</v>
      </c>
      <c r="H7646" s="545">
        <v>1.6666666666666667</v>
      </c>
      <c r="I7646" s="545">
        <v>1.6666666666666667</v>
      </c>
      <c r="J7646" s="545">
        <v>4.7976190476190483</v>
      </c>
    </row>
    <row r="7647" spans="1:10">
      <c r="A7647" s="441">
        <v>6284</v>
      </c>
      <c r="B7647" s="441" t="s">
        <v>6260</v>
      </c>
      <c r="C7647" s="545">
        <v>14.166666666666668</v>
      </c>
      <c r="D7647" s="545">
        <v>4.333333333333333</v>
      </c>
      <c r="E7647" s="545">
        <v>1.3333333333333333</v>
      </c>
      <c r="F7647" s="545">
        <v>10.928571428571429</v>
      </c>
      <c r="G7647" s="545">
        <v>7.1</v>
      </c>
      <c r="H7647" s="545">
        <v>7</v>
      </c>
      <c r="I7647" s="545">
        <v>1.3333333333333333</v>
      </c>
      <c r="J7647" s="545">
        <v>6.2619047619047619</v>
      </c>
    </row>
    <row r="7648" spans="1:10">
      <c r="A7648" s="441">
        <v>6939</v>
      </c>
      <c r="B7648" s="441" t="s">
        <v>6261</v>
      </c>
      <c r="C7648" s="545">
        <v>26.166666666666668</v>
      </c>
      <c r="D7648" s="545">
        <v>8.3333333333333339</v>
      </c>
      <c r="E7648" s="545">
        <v>8.6666666666666661</v>
      </c>
      <c r="F7648" s="545">
        <v>21.11904761904762</v>
      </c>
      <c r="G7648" s="545">
        <v>20.7</v>
      </c>
      <c r="H7648" s="545">
        <v>9.3333333333333339</v>
      </c>
      <c r="I7648" s="545">
        <v>10.666666666666666</v>
      </c>
      <c r="J7648" s="545">
        <v>17.642857142857142</v>
      </c>
    </row>
    <row r="7649" spans="1:10">
      <c r="A7649" s="441">
        <v>6946</v>
      </c>
      <c r="B7649" s="441" t="s">
        <v>6261</v>
      </c>
      <c r="C7649" s="545">
        <v>20.833333333333332</v>
      </c>
      <c r="D7649" s="545">
        <v>11</v>
      </c>
      <c r="E7649" s="545">
        <v>4.666666666666667</v>
      </c>
      <c r="F7649" s="545">
        <v>17.119047619047617</v>
      </c>
      <c r="G7649" s="545">
        <v>12.4</v>
      </c>
      <c r="H7649" s="545">
        <v>6.333333333333333</v>
      </c>
      <c r="I7649" s="545">
        <v>3.3333333333333335</v>
      </c>
      <c r="J7649" s="545">
        <v>10.238095238095237</v>
      </c>
    </row>
    <row r="7650" spans="1:10">
      <c r="A7650" s="441">
        <v>6940</v>
      </c>
      <c r="B7650" s="441" t="s">
        <v>6262</v>
      </c>
      <c r="C7650" s="545">
        <v>14.833333333333334</v>
      </c>
      <c r="D7650" s="545">
        <v>7.3333333333333339</v>
      </c>
      <c r="E7650" s="545">
        <v>2.666666666666667</v>
      </c>
      <c r="F7650" s="545">
        <v>12.023809523809524</v>
      </c>
      <c r="G7650" s="545">
        <v>6.05</v>
      </c>
      <c r="H7650" s="545">
        <v>4.666666666666667</v>
      </c>
      <c r="I7650" s="545">
        <v>1</v>
      </c>
      <c r="J7650" s="545">
        <v>5.1309523809523805</v>
      </c>
    </row>
    <row r="7651" spans="1:10">
      <c r="A7651" s="441">
        <v>6945</v>
      </c>
      <c r="B7651" s="441" t="s">
        <v>6262</v>
      </c>
      <c r="C7651" s="545">
        <v>12.666666666666666</v>
      </c>
      <c r="D7651" s="545">
        <v>5</v>
      </c>
      <c r="E7651" s="545">
        <v>3.3333333333333335</v>
      </c>
      <c r="F7651" s="545">
        <v>10.238095238095237</v>
      </c>
      <c r="G7651" s="545">
        <v>5.5</v>
      </c>
      <c r="H7651" s="545">
        <v>3</v>
      </c>
      <c r="I7651" s="545">
        <v>3.3333333333333335</v>
      </c>
      <c r="J7651" s="545">
        <v>4.8333333333333339</v>
      </c>
    </row>
    <row r="7652" spans="1:10">
      <c r="A7652" s="441">
        <v>6281</v>
      </c>
      <c r="B7652" s="441" t="s">
        <v>6263</v>
      </c>
      <c r="C7652" s="545">
        <v>4.5</v>
      </c>
      <c r="D7652" s="545">
        <v>6</v>
      </c>
      <c r="E7652" s="545">
        <v>4.333333333333333</v>
      </c>
      <c r="F7652" s="545">
        <v>4.6904761904761907</v>
      </c>
      <c r="G7652" s="545">
        <v>7.45</v>
      </c>
      <c r="H7652" s="545">
        <v>2.3333333333333335</v>
      </c>
      <c r="I7652" s="545">
        <v>3</v>
      </c>
      <c r="J7652" s="545">
        <v>6.0833333333333339</v>
      </c>
    </row>
    <row r="7653" spans="1:10">
      <c r="A7653" s="441">
        <v>6285</v>
      </c>
      <c r="B7653" s="441" t="s">
        <v>6263</v>
      </c>
      <c r="C7653" s="545">
        <v>2.5</v>
      </c>
      <c r="D7653" s="545">
        <v>3</v>
      </c>
      <c r="E7653" s="545">
        <v>1.3333333333333333</v>
      </c>
      <c r="F7653" s="545">
        <v>2.4047619047619047</v>
      </c>
      <c r="G7653" s="545">
        <v>2.15</v>
      </c>
      <c r="H7653" s="545">
        <v>1</v>
      </c>
      <c r="I7653" s="545">
        <v>1</v>
      </c>
      <c r="J7653" s="545">
        <v>1.8214285714285714</v>
      </c>
    </row>
    <row r="7654" spans="1:10">
      <c r="A7654" s="441">
        <v>6935</v>
      </c>
      <c r="B7654" s="441" t="s">
        <v>6264</v>
      </c>
      <c r="C7654" s="545">
        <v>190.33333333333331</v>
      </c>
      <c r="D7654" s="545">
        <v>99.333333333333329</v>
      </c>
      <c r="E7654" s="545">
        <v>57.333333333333329</v>
      </c>
      <c r="F7654" s="545">
        <v>158.33333333333329</v>
      </c>
      <c r="G7654" s="545">
        <v>144.25</v>
      </c>
      <c r="H7654" s="545">
        <v>58.666666666666664</v>
      </c>
      <c r="I7654" s="545">
        <v>43.333333333333336</v>
      </c>
      <c r="J7654" s="545">
        <v>117.60714285714286</v>
      </c>
    </row>
    <row r="7655" spans="1:10">
      <c r="A7655" s="441">
        <v>6289</v>
      </c>
      <c r="B7655" s="441" t="s">
        <v>6265</v>
      </c>
      <c r="C7655" s="545">
        <v>38.833333333333336</v>
      </c>
      <c r="D7655" s="545">
        <v>17</v>
      </c>
      <c r="E7655" s="545">
        <v>13.333333333333334</v>
      </c>
      <c r="F7655" s="545">
        <v>32.071428571428577</v>
      </c>
      <c r="G7655" s="545">
        <v>23.85</v>
      </c>
      <c r="H7655" s="545">
        <v>10.333333333333334</v>
      </c>
      <c r="I7655" s="545">
        <v>8</v>
      </c>
      <c r="J7655" s="545">
        <v>19.654761904761905</v>
      </c>
    </row>
    <row r="7656" spans="1:10">
      <c r="A7656" s="441">
        <v>6949</v>
      </c>
      <c r="B7656" s="441" t="s">
        <v>6265</v>
      </c>
      <c r="C7656" s="545">
        <v>37.666666666666664</v>
      </c>
      <c r="D7656" s="545">
        <v>19</v>
      </c>
      <c r="E7656" s="545">
        <v>10.666666666666666</v>
      </c>
      <c r="F7656" s="545">
        <v>31.142857142857139</v>
      </c>
      <c r="G7656" s="545">
        <v>33.5</v>
      </c>
      <c r="H7656" s="545">
        <v>11.333333333333334</v>
      </c>
      <c r="I7656" s="545">
        <v>11.666666666666666</v>
      </c>
      <c r="J7656" s="545">
        <v>27.214285714285715</v>
      </c>
    </row>
    <row r="7657" spans="1:10">
      <c r="A7657" s="441">
        <v>6934</v>
      </c>
      <c r="B7657" s="441" t="s">
        <v>6266</v>
      </c>
      <c r="C7657" s="545">
        <v>48</v>
      </c>
      <c r="D7657" s="545">
        <v>20</v>
      </c>
      <c r="E7657" s="545">
        <v>10.666666666666666</v>
      </c>
      <c r="F7657" s="545">
        <v>38.666666666666671</v>
      </c>
      <c r="G7657" s="545">
        <v>32.15</v>
      </c>
      <c r="H7657" s="545">
        <v>23</v>
      </c>
      <c r="I7657" s="545">
        <v>13.666666666666666</v>
      </c>
      <c r="J7657" s="545">
        <v>28.202380952380953</v>
      </c>
    </row>
    <row r="7658" spans="1:10">
      <c r="A7658" s="441">
        <v>6850</v>
      </c>
      <c r="B7658" s="441" t="s">
        <v>6267</v>
      </c>
      <c r="C7658" s="545">
        <v>36</v>
      </c>
      <c r="D7658" s="545">
        <v>19.666666666666664</v>
      </c>
      <c r="E7658" s="545">
        <v>14.333333333333334</v>
      </c>
      <c r="F7658" s="545">
        <v>30.571428571428573</v>
      </c>
      <c r="G7658" s="545">
        <v>26.9</v>
      </c>
      <c r="H7658" s="545">
        <v>9.6666666666666661</v>
      </c>
      <c r="I7658" s="545">
        <v>10.666666666666666</v>
      </c>
      <c r="J7658" s="545">
        <v>22.119047619047617</v>
      </c>
    </row>
    <row r="7659" spans="1:10">
      <c r="A7659" s="441">
        <v>6917</v>
      </c>
      <c r="B7659" s="441" t="s">
        <v>6267</v>
      </c>
      <c r="C7659" s="545">
        <v>23.666666666666664</v>
      </c>
      <c r="D7659" s="545">
        <v>14</v>
      </c>
      <c r="E7659" s="545">
        <v>18.666666666666664</v>
      </c>
      <c r="F7659" s="545">
        <v>21.571428571428566</v>
      </c>
      <c r="G7659" s="545">
        <v>25.85</v>
      </c>
      <c r="H7659" s="545">
        <v>12.666666666666666</v>
      </c>
      <c r="I7659" s="545">
        <v>7.666666666666667</v>
      </c>
      <c r="J7659" s="545">
        <v>21.369047619047617</v>
      </c>
    </row>
    <row r="7660" spans="1:10">
      <c r="A7660" s="441">
        <v>6869</v>
      </c>
      <c r="B7660" s="441" t="s">
        <v>6268</v>
      </c>
      <c r="C7660" s="545">
        <v>32.666666666666664</v>
      </c>
      <c r="D7660" s="545">
        <v>26.333333333333332</v>
      </c>
      <c r="E7660" s="545">
        <v>21</v>
      </c>
      <c r="F7660" s="545">
        <v>30.095238095238095</v>
      </c>
      <c r="G7660" s="545">
        <v>23.95</v>
      </c>
      <c r="H7660" s="545">
        <v>9.6666666666666661</v>
      </c>
      <c r="I7660" s="545">
        <v>14.666666666666666</v>
      </c>
      <c r="J7660" s="545">
        <v>20.583333333333332</v>
      </c>
    </row>
    <row r="7661" spans="1:10">
      <c r="A7661" s="441">
        <v>6894</v>
      </c>
      <c r="B7661" s="441" t="s">
        <v>6268</v>
      </c>
      <c r="C7661" s="545">
        <v>29.5</v>
      </c>
      <c r="D7661" s="545">
        <v>22.666666666666664</v>
      </c>
      <c r="E7661" s="545">
        <v>14</v>
      </c>
      <c r="F7661" s="545">
        <v>26.309523809523807</v>
      </c>
      <c r="G7661" s="545">
        <v>22.9</v>
      </c>
      <c r="H7661" s="545">
        <v>6.333333333333333</v>
      </c>
      <c r="I7661" s="545">
        <v>5</v>
      </c>
      <c r="J7661" s="545">
        <v>17.976190476190474</v>
      </c>
    </row>
    <row r="7662" spans="1:10">
      <c r="A7662" s="441">
        <v>11885</v>
      </c>
      <c r="B7662" s="441" t="s">
        <v>6269</v>
      </c>
      <c r="C7662" s="545">
        <v>5.6666666666666661</v>
      </c>
      <c r="D7662" s="545">
        <v>0.66666666666666663</v>
      </c>
      <c r="E7662" s="545">
        <v>0</v>
      </c>
      <c r="F7662" s="545">
        <v>4.1428571428571423</v>
      </c>
      <c r="G7662" s="545">
        <v>8.1999999999999993</v>
      </c>
      <c r="H7662" s="545">
        <v>5</v>
      </c>
      <c r="I7662" s="545">
        <v>12.666666666666666</v>
      </c>
      <c r="J7662" s="545">
        <v>8.3809523809523814</v>
      </c>
    </row>
    <row r="7663" spans="1:10">
      <c r="A7663" s="441">
        <v>6880</v>
      </c>
      <c r="B7663" s="441" t="s">
        <v>6270</v>
      </c>
      <c r="C7663" s="545">
        <v>4</v>
      </c>
      <c r="D7663" s="545">
        <v>5.333333333333333</v>
      </c>
      <c r="E7663" s="545">
        <v>4</v>
      </c>
      <c r="F7663" s="545">
        <v>4.1904761904761907</v>
      </c>
      <c r="G7663" s="545">
        <v>4.55</v>
      </c>
      <c r="H7663" s="545">
        <v>4.666666666666667</v>
      </c>
      <c r="I7663" s="545">
        <v>5.666666666666667</v>
      </c>
      <c r="J7663" s="545">
        <v>4.7261904761904763</v>
      </c>
    </row>
    <row r="7664" spans="1:10">
      <c r="A7664" s="441">
        <v>6883</v>
      </c>
      <c r="B7664" s="441" t="s">
        <v>6270</v>
      </c>
      <c r="C7664" s="545">
        <v>4.6666666666666661</v>
      </c>
      <c r="D7664" s="545">
        <v>4.6666666666666661</v>
      </c>
      <c r="E7664" s="545">
        <v>3</v>
      </c>
      <c r="F7664" s="545">
        <v>4.4285714285714279</v>
      </c>
      <c r="G7664" s="545">
        <v>5.65</v>
      </c>
      <c r="H7664" s="545">
        <v>4</v>
      </c>
      <c r="I7664" s="545">
        <v>3.6666666666666665</v>
      </c>
      <c r="J7664" s="545">
        <v>5.1309523809523805</v>
      </c>
    </row>
    <row r="7665" spans="1:10">
      <c r="A7665" s="441">
        <v>6868</v>
      </c>
      <c r="B7665" s="441" t="s">
        <v>6271</v>
      </c>
      <c r="C7665" s="545">
        <v>106</v>
      </c>
      <c r="D7665" s="545">
        <v>79</v>
      </c>
      <c r="E7665" s="545">
        <v>55</v>
      </c>
      <c r="F7665" s="545">
        <v>94.857142857142861</v>
      </c>
      <c r="G7665" s="545">
        <v>77.25</v>
      </c>
      <c r="H7665" s="545">
        <v>39.666666666666664</v>
      </c>
      <c r="I7665" s="545">
        <v>24.333333333333332</v>
      </c>
      <c r="J7665" s="545">
        <v>64.321428571428569</v>
      </c>
    </row>
    <row r="7666" spans="1:10">
      <c r="A7666" s="441">
        <v>6895</v>
      </c>
      <c r="B7666" s="441" t="s">
        <v>6271</v>
      </c>
      <c r="C7666" s="545">
        <v>102.66666666666666</v>
      </c>
      <c r="D7666" s="545">
        <v>78.333333333333329</v>
      </c>
      <c r="E7666" s="545">
        <v>57.666666666666671</v>
      </c>
      <c r="F7666" s="545">
        <v>92.761904761904745</v>
      </c>
      <c r="G7666" s="545">
        <v>78.099999999999994</v>
      </c>
      <c r="H7666" s="545">
        <v>34.333333333333336</v>
      </c>
      <c r="I7666" s="545">
        <v>34.666666666666664</v>
      </c>
      <c r="J7666" s="545">
        <v>65.642857142857139</v>
      </c>
    </row>
    <row r="7667" spans="1:10">
      <c r="A7667" s="441">
        <v>6861</v>
      </c>
      <c r="B7667" s="441" t="s">
        <v>6272</v>
      </c>
      <c r="C7667" s="545">
        <v>43.5</v>
      </c>
      <c r="D7667" s="545">
        <v>30.666666666666668</v>
      </c>
      <c r="E7667" s="545">
        <v>17</v>
      </c>
      <c r="F7667" s="545">
        <v>37.880952380952372</v>
      </c>
      <c r="G7667" s="545">
        <v>22.2</v>
      </c>
      <c r="H7667" s="545">
        <v>12.666666666666666</v>
      </c>
      <c r="I7667" s="545">
        <v>6.333333333333333</v>
      </c>
      <c r="J7667" s="545">
        <v>18.571428571428573</v>
      </c>
    </row>
    <row r="7668" spans="1:10">
      <c r="A7668" s="441">
        <v>6902</v>
      </c>
      <c r="B7668" s="441" t="s">
        <v>6272</v>
      </c>
      <c r="C7668" s="545">
        <v>32.5</v>
      </c>
      <c r="D7668" s="545">
        <v>16.666666666666668</v>
      </c>
      <c r="E7668" s="545">
        <v>15.333333333333332</v>
      </c>
      <c r="F7668" s="545">
        <v>27.785714285714285</v>
      </c>
      <c r="G7668" s="545">
        <v>15</v>
      </c>
      <c r="H7668" s="545">
        <v>11.666666666666666</v>
      </c>
      <c r="I7668" s="545">
        <v>7.333333333333333</v>
      </c>
      <c r="J7668" s="545">
        <v>13.428571428571429</v>
      </c>
    </row>
    <row r="7669" spans="1:10">
      <c r="A7669" s="441">
        <v>6860</v>
      </c>
      <c r="B7669" s="441" t="s">
        <v>6273</v>
      </c>
      <c r="C7669" s="545">
        <v>20.166666666666664</v>
      </c>
      <c r="D7669" s="545">
        <v>23</v>
      </c>
      <c r="E7669" s="545">
        <v>15.666666666666668</v>
      </c>
      <c r="F7669" s="545">
        <v>19.928571428571423</v>
      </c>
      <c r="G7669" s="545">
        <v>20.85</v>
      </c>
      <c r="H7669" s="545">
        <v>15.333333333333334</v>
      </c>
      <c r="I7669" s="545">
        <v>8.6666666666666661</v>
      </c>
      <c r="J7669" s="545">
        <v>18.321428571428573</v>
      </c>
    </row>
    <row r="7670" spans="1:10">
      <c r="A7670" s="441">
        <v>6903</v>
      </c>
      <c r="B7670" s="441" t="s">
        <v>6273</v>
      </c>
      <c r="C7670" s="545">
        <v>18.166666666666668</v>
      </c>
      <c r="D7670" s="545">
        <v>19</v>
      </c>
      <c r="E7670" s="545">
        <v>11.333333333333334</v>
      </c>
      <c r="F7670" s="545">
        <v>17.30952380952381</v>
      </c>
      <c r="G7670" s="545">
        <v>24.15</v>
      </c>
      <c r="H7670" s="545">
        <v>16.333333333333332</v>
      </c>
      <c r="I7670" s="545">
        <v>9.3333333333333339</v>
      </c>
      <c r="J7670" s="545">
        <v>20.916666666666668</v>
      </c>
    </row>
    <row r="7671" spans="1:10">
      <c r="A7671" s="441">
        <v>6864</v>
      </c>
      <c r="B7671" s="441" t="s">
        <v>6274</v>
      </c>
      <c r="C7671" s="545">
        <v>89.166666666666657</v>
      </c>
      <c r="D7671" s="545">
        <v>81</v>
      </c>
      <c r="E7671" s="545">
        <v>60.333333333333329</v>
      </c>
      <c r="F7671" s="545">
        <v>83.88095238095238</v>
      </c>
      <c r="G7671" s="545">
        <v>76.099999999999994</v>
      </c>
      <c r="H7671" s="545">
        <v>40.333333333333336</v>
      </c>
      <c r="I7671" s="545">
        <v>33.333333333333336</v>
      </c>
      <c r="J7671" s="545">
        <v>64.88095238095238</v>
      </c>
    </row>
    <row r="7672" spans="1:10">
      <c r="A7672" s="441">
        <v>6899</v>
      </c>
      <c r="B7672" s="441" t="s">
        <v>6274</v>
      </c>
      <c r="C7672" s="545">
        <v>121.83333333333334</v>
      </c>
      <c r="D7672" s="545">
        <v>93.666666666666671</v>
      </c>
      <c r="E7672" s="545">
        <v>72.666666666666657</v>
      </c>
      <c r="F7672" s="545">
        <v>110.78571428571429</v>
      </c>
      <c r="G7672" s="545">
        <v>80.400000000000006</v>
      </c>
      <c r="H7672" s="545">
        <v>48.666666666666664</v>
      </c>
      <c r="I7672" s="545">
        <v>37</v>
      </c>
      <c r="J7672" s="545">
        <v>69.666666666666671</v>
      </c>
    </row>
    <row r="7673" spans="1:10">
      <c r="A7673" s="441">
        <v>6878</v>
      </c>
      <c r="B7673" s="441" t="s">
        <v>6275</v>
      </c>
      <c r="C7673" s="545">
        <v>1.3333333333333333</v>
      </c>
      <c r="D7673" s="545">
        <v>1.6666666666666665</v>
      </c>
      <c r="E7673" s="545">
        <v>1.6666666666666665</v>
      </c>
      <c r="F7673" s="545">
        <v>1.4285714285714284</v>
      </c>
      <c r="G7673" s="545">
        <v>3.25</v>
      </c>
      <c r="H7673" s="545">
        <v>0.33333333333333331</v>
      </c>
      <c r="I7673" s="545">
        <v>0</v>
      </c>
      <c r="J7673" s="545">
        <v>2.3690476190476191</v>
      </c>
    </row>
    <row r="7674" spans="1:10">
      <c r="A7674" s="441">
        <v>6885</v>
      </c>
      <c r="B7674" s="441" t="s">
        <v>6275</v>
      </c>
      <c r="C7674" s="545">
        <v>3.3333333333333335</v>
      </c>
      <c r="D7674" s="545">
        <v>0.66666666666666663</v>
      </c>
      <c r="E7674" s="545">
        <v>0.66666666666666663</v>
      </c>
      <c r="F7674" s="545">
        <v>2.5714285714285721</v>
      </c>
      <c r="G7674" s="545">
        <v>2.2000000000000002</v>
      </c>
      <c r="H7674" s="545">
        <v>0.33333333333333331</v>
      </c>
      <c r="I7674" s="545">
        <v>0.33333333333333331</v>
      </c>
      <c r="J7674" s="545">
        <v>1.6666666666666667</v>
      </c>
    </row>
    <row r="7675" spans="1:10">
      <c r="A7675" s="441">
        <v>5769</v>
      </c>
      <c r="B7675" s="441" t="s">
        <v>6276</v>
      </c>
      <c r="C7675" s="545">
        <v>15</v>
      </c>
      <c r="D7675" s="545">
        <v>6</v>
      </c>
      <c r="E7675" s="545">
        <v>3.666666666666667</v>
      </c>
      <c r="F7675" s="545">
        <v>12.095238095238097</v>
      </c>
      <c r="G7675" s="545">
        <v>11.55</v>
      </c>
      <c r="H7675" s="545">
        <v>1</v>
      </c>
      <c r="I7675" s="545">
        <v>2.3333333333333335</v>
      </c>
      <c r="J7675" s="545">
        <v>8.7261904761904763</v>
      </c>
    </row>
    <row r="7676" spans="1:10">
      <c r="A7676" s="441">
        <v>12304</v>
      </c>
      <c r="B7676" s="441" t="s">
        <v>6277</v>
      </c>
      <c r="C7676" s="545">
        <v>24.5</v>
      </c>
      <c r="D7676" s="545">
        <v>12</v>
      </c>
      <c r="E7676" s="545">
        <v>14.666666666666668</v>
      </c>
      <c r="F7676" s="545">
        <v>21.309523809523807</v>
      </c>
      <c r="G7676" s="545">
        <v>22.95</v>
      </c>
      <c r="H7676" s="545">
        <v>7.666666666666667</v>
      </c>
      <c r="I7676" s="545">
        <v>6.333333333333333</v>
      </c>
      <c r="J7676" s="545">
        <v>18.392857142857142</v>
      </c>
    </row>
    <row r="7677" spans="1:10">
      <c r="A7677" s="441">
        <v>12776</v>
      </c>
      <c r="B7677" s="441" t="s">
        <v>6277</v>
      </c>
      <c r="C7677" s="545">
        <v>45.833333333333329</v>
      </c>
      <c r="D7677" s="545">
        <v>17.333333333333332</v>
      </c>
      <c r="E7677" s="545">
        <v>18.666666666666668</v>
      </c>
      <c r="F7677" s="545">
        <v>37.880952380952372</v>
      </c>
      <c r="G7677" s="545">
        <v>32.200000000000003</v>
      </c>
      <c r="H7677" s="545">
        <v>13.333333333333334</v>
      </c>
      <c r="I7677" s="545">
        <v>5.666666666666667</v>
      </c>
      <c r="J7677" s="545">
        <v>25.714285714285715</v>
      </c>
    </row>
    <row r="7678" spans="1:10">
      <c r="A7678" s="441">
        <v>6874</v>
      </c>
      <c r="B7678" s="441" t="s">
        <v>6278</v>
      </c>
      <c r="C7678" s="545">
        <v>55.666666666666664</v>
      </c>
      <c r="D7678" s="545">
        <v>16</v>
      </c>
      <c r="E7678" s="545">
        <v>7</v>
      </c>
      <c r="F7678" s="545">
        <v>43.047619047619044</v>
      </c>
      <c r="G7678" s="545">
        <v>31.85</v>
      </c>
      <c r="H7678" s="545">
        <v>6.333333333333333</v>
      </c>
      <c r="I7678" s="545">
        <v>6.666666666666667</v>
      </c>
      <c r="J7678" s="545">
        <v>24.607142857142858</v>
      </c>
    </row>
    <row r="7679" spans="1:10">
      <c r="A7679" s="441">
        <v>6889</v>
      </c>
      <c r="B7679" s="441" t="s">
        <v>6278</v>
      </c>
      <c r="C7679" s="545">
        <v>50.333333333333336</v>
      </c>
      <c r="D7679" s="545">
        <v>16</v>
      </c>
      <c r="E7679" s="545">
        <v>7.6666666666666661</v>
      </c>
      <c r="F7679" s="545">
        <v>39.333333333333336</v>
      </c>
      <c r="G7679" s="545">
        <v>39.5</v>
      </c>
      <c r="H7679" s="545">
        <v>7.333333333333333</v>
      </c>
      <c r="I7679" s="545">
        <v>1</v>
      </c>
      <c r="J7679" s="545">
        <v>29.404761904761905</v>
      </c>
    </row>
    <row r="7680" spans="1:10">
      <c r="A7680" s="441">
        <v>12300</v>
      </c>
      <c r="B7680" s="441" t="s">
        <v>6279</v>
      </c>
      <c r="C7680" s="545">
        <v>5.5</v>
      </c>
      <c r="D7680" s="545">
        <v>6.6666666666666661</v>
      </c>
      <c r="E7680" s="545">
        <v>3.6666666666666665</v>
      </c>
      <c r="F7680" s="545">
        <v>5.4047619047619042</v>
      </c>
      <c r="G7680" s="545">
        <v>10.65</v>
      </c>
      <c r="H7680" s="545">
        <v>1</v>
      </c>
      <c r="I7680" s="545">
        <v>5.333333333333333</v>
      </c>
      <c r="J7680" s="545">
        <v>8.5119047619047628</v>
      </c>
    </row>
    <row r="7681" spans="1:10">
      <c r="A7681" s="441">
        <v>12301</v>
      </c>
      <c r="B7681" s="441" t="s">
        <v>6279</v>
      </c>
      <c r="C7681" s="545">
        <v>11.5</v>
      </c>
      <c r="D7681" s="545">
        <v>9</v>
      </c>
      <c r="E7681" s="545">
        <v>4.666666666666667</v>
      </c>
      <c r="F7681" s="545">
        <v>10.166666666666668</v>
      </c>
      <c r="G7681" s="545">
        <v>7.75</v>
      </c>
      <c r="H7681" s="545">
        <v>0</v>
      </c>
      <c r="I7681" s="545">
        <v>4.333333333333333</v>
      </c>
      <c r="J7681" s="545">
        <v>6.1547619047619051</v>
      </c>
    </row>
    <row r="7682" spans="1:10">
      <c r="A7682" s="441">
        <v>6875</v>
      </c>
      <c r="B7682" s="441" t="s">
        <v>6280</v>
      </c>
      <c r="C7682" s="545">
        <v>24.5</v>
      </c>
      <c r="D7682" s="545">
        <v>29</v>
      </c>
      <c r="E7682" s="545">
        <v>14.666666666666668</v>
      </c>
      <c r="F7682" s="545">
        <v>23.738095238095237</v>
      </c>
      <c r="G7682" s="545">
        <v>26.95</v>
      </c>
      <c r="H7682" s="545">
        <v>14.333333333333334</v>
      </c>
      <c r="I7682" s="545">
        <v>13.666666666666666</v>
      </c>
      <c r="J7682" s="545">
        <v>23.25</v>
      </c>
    </row>
    <row r="7683" spans="1:10">
      <c r="A7683" s="441">
        <v>6888</v>
      </c>
      <c r="B7683" s="441" t="s">
        <v>6280</v>
      </c>
      <c r="C7683" s="545">
        <v>30.666666666666664</v>
      </c>
      <c r="D7683" s="545">
        <v>24.666666666666664</v>
      </c>
      <c r="E7683" s="545">
        <v>14.666666666666666</v>
      </c>
      <c r="F7683" s="545">
        <v>27.523809523809518</v>
      </c>
      <c r="G7683" s="545">
        <v>34.299999999999997</v>
      </c>
      <c r="H7683" s="545">
        <v>15</v>
      </c>
      <c r="I7683" s="545">
        <v>8.3333333333333339</v>
      </c>
      <c r="J7683" s="545">
        <v>27.833333333333336</v>
      </c>
    </row>
    <row r="7684" spans="1:10">
      <c r="A7684" s="441">
        <v>6853</v>
      </c>
      <c r="B7684" s="441" t="s">
        <v>6281</v>
      </c>
      <c r="C7684" s="545">
        <v>15.5</v>
      </c>
      <c r="D7684" s="545">
        <v>15</v>
      </c>
      <c r="E7684" s="545">
        <v>10.666666666666668</v>
      </c>
      <c r="F7684" s="545">
        <v>14.738095238095239</v>
      </c>
      <c r="G7684" s="545">
        <v>18</v>
      </c>
      <c r="H7684" s="545">
        <v>6.333333333333333</v>
      </c>
      <c r="I7684" s="545">
        <v>6.666666666666667</v>
      </c>
      <c r="J7684" s="545">
        <v>14.714285714285714</v>
      </c>
    </row>
    <row r="7685" spans="1:10">
      <c r="A7685" s="441">
        <v>6914</v>
      </c>
      <c r="B7685" s="441" t="s">
        <v>6281</v>
      </c>
      <c r="C7685" s="545">
        <v>14.333333333333332</v>
      </c>
      <c r="D7685" s="545">
        <v>16</v>
      </c>
      <c r="E7685" s="545">
        <v>11.666666666666666</v>
      </c>
      <c r="F7685" s="545">
        <v>14.19047619047619</v>
      </c>
      <c r="G7685" s="545">
        <v>17.350000000000001</v>
      </c>
      <c r="H7685" s="545">
        <v>3.3333333333333335</v>
      </c>
      <c r="I7685" s="545">
        <v>6.333333333333333</v>
      </c>
      <c r="J7685" s="545">
        <v>13.773809523809522</v>
      </c>
    </row>
    <row r="7686" spans="1:10">
      <c r="A7686" s="441">
        <v>6876</v>
      </c>
      <c r="B7686" s="441" t="s">
        <v>6282</v>
      </c>
      <c r="C7686" s="545">
        <v>15.833333333333334</v>
      </c>
      <c r="D7686" s="545">
        <v>6</v>
      </c>
      <c r="E7686" s="545">
        <v>5</v>
      </c>
      <c r="F7686" s="545">
        <v>12.880952380952381</v>
      </c>
      <c r="G7686" s="545">
        <v>9.4</v>
      </c>
      <c r="H7686" s="545">
        <v>3.6666666666666665</v>
      </c>
      <c r="I7686" s="545">
        <v>4.666666666666667</v>
      </c>
      <c r="J7686" s="545">
        <v>7.9047619047619042</v>
      </c>
    </row>
    <row r="7687" spans="1:10">
      <c r="A7687" s="441">
        <v>6887</v>
      </c>
      <c r="B7687" s="441" t="s">
        <v>6282</v>
      </c>
      <c r="C7687" s="545">
        <v>7.3333333333333339</v>
      </c>
      <c r="D7687" s="545">
        <v>4</v>
      </c>
      <c r="E7687" s="545">
        <v>4.333333333333333</v>
      </c>
      <c r="F7687" s="545">
        <v>6.4285714285714297</v>
      </c>
      <c r="G7687" s="545">
        <v>7.8</v>
      </c>
      <c r="H7687" s="545">
        <v>2</v>
      </c>
      <c r="I7687" s="545">
        <v>1.6666666666666667</v>
      </c>
      <c r="J7687" s="545">
        <v>6.0952380952380949</v>
      </c>
    </row>
    <row r="7688" spans="1:10">
      <c r="A7688" s="441">
        <v>5723</v>
      </c>
      <c r="B7688" s="441" t="s">
        <v>6283</v>
      </c>
      <c r="C7688" s="545">
        <v>1.5</v>
      </c>
      <c r="D7688" s="545">
        <v>0</v>
      </c>
      <c r="E7688" s="545">
        <v>0</v>
      </c>
      <c r="F7688" s="545">
        <v>1.0714285714285714</v>
      </c>
      <c r="G7688" s="545">
        <v>1.6</v>
      </c>
      <c r="H7688" s="545">
        <v>0.66666666666666663</v>
      </c>
      <c r="I7688" s="545">
        <v>0.66666666666666663</v>
      </c>
      <c r="J7688" s="545">
        <v>1.3333333333333333</v>
      </c>
    </row>
    <row r="7689" spans="1:10">
      <c r="A7689" s="441">
        <v>5730</v>
      </c>
      <c r="B7689" s="441" t="s">
        <v>6283</v>
      </c>
      <c r="C7689" s="545">
        <v>2.333333333333333</v>
      </c>
      <c r="D7689" s="545">
        <v>0</v>
      </c>
      <c r="E7689" s="545">
        <v>0</v>
      </c>
      <c r="F7689" s="545">
        <v>1.6666666666666663</v>
      </c>
      <c r="G7689" s="545">
        <v>1.25</v>
      </c>
      <c r="H7689" s="545">
        <v>0</v>
      </c>
      <c r="I7689" s="545">
        <v>0.66666666666666663</v>
      </c>
      <c r="J7689" s="545">
        <v>0.98809523809523814</v>
      </c>
    </row>
    <row r="7690" spans="1:10">
      <c r="A7690" s="441">
        <v>6852</v>
      </c>
      <c r="B7690" s="441" t="s">
        <v>6284</v>
      </c>
      <c r="C7690" s="545">
        <v>9.1666666666666661</v>
      </c>
      <c r="D7690" s="545">
        <v>5</v>
      </c>
      <c r="E7690" s="545">
        <v>7.666666666666667</v>
      </c>
      <c r="F7690" s="545">
        <v>8.3571428571428559</v>
      </c>
      <c r="G7690" s="545">
        <v>9.4499999999999993</v>
      </c>
      <c r="H7690" s="545">
        <v>7.333333333333333</v>
      </c>
      <c r="I7690" s="545">
        <v>8.3333333333333339</v>
      </c>
      <c r="J7690" s="545">
        <v>8.988095238095239</v>
      </c>
    </row>
    <row r="7691" spans="1:10">
      <c r="A7691" s="441">
        <v>6915</v>
      </c>
      <c r="B7691" s="441" t="s">
        <v>6284</v>
      </c>
      <c r="C7691" s="545">
        <v>7.1666666666666661</v>
      </c>
      <c r="D7691" s="545">
        <v>4</v>
      </c>
      <c r="E7691" s="545">
        <v>6</v>
      </c>
      <c r="F7691" s="545">
        <v>6.5476190476190466</v>
      </c>
      <c r="G7691" s="545">
        <v>6.65</v>
      </c>
      <c r="H7691" s="545">
        <v>9.6666666666666661</v>
      </c>
      <c r="I7691" s="545">
        <v>6.333333333333333</v>
      </c>
      <c r="J7691" s="545">
        <v>7.0357142857142856</v>
      </c>
    </row>
    <row r="7692" spans="1:10">
      <c r="A7692" s="441">
        <v>6898</v>
      </c>
      <c r="B7692" s="441" t="s">
        <v>6285</v>
      </c>
      <c r="C7692" s="545">
        <v>231</v>
      </c>
      <c r="D7692" s="545">
        <v>189</v>
      </c>
      <c r="E7692" s="545">
        <v>132</v>
      </c>
      <c r="F7692" s="545">
        <v>210.85714285714286</v>
      </c>
      <c r="G7692" s="545">
        <v>187.55</v>
      </c>
      <c r="H7692" s="545">
        <v>93</v>
      </c>
      <c r="I7692" s="545">
        <v>103</v>
      </c>
      <c r="J7692" s="545">
        <v>161.96428571428572</v>
      </c>
    </row>
    <row r="7693" spans="1:10">
      <c r="A7693" s="441">
        <v>6856</v>
      </c>
      <c r="B7693" s="441" t="s">
        <v>6286</v>
      </c>
      <c r="C7693" s="545">
        <v>11.666666666666666</v>
      </c>
      <c r="D7693" s="545">
        <v>10</v>
      </c>
      <c r="E7693" s="545">
        <v>9.3333333333333339</v>
      </c>
      <c r="F7693" s="545">
        <v>11.095238095238093</v>
      </c>
      <c r="G7693" s="545">
        <v>10.35</v>
      </c>
      <c r="H7693" s="545">
        <v>7.333333333333333</v>
      </c>
      <c r="I7693" s="545">
        <v>2.6666666666666665</v>
      </c>
      <c r="J7693" s="545">
        <v>8.8214285714285712</v>
      </c>
    </row>
    <row r="7694" spans="1:10">
      <c r="A7694" s="441">
        <v>6912</v>
      </c>
      <c r="B7694" s="441" t="s">
        <v>6286</v>
      </c>
      <c r="C7694" s="545">
        <v>17.166666666666664</v>
      </c>
      <c r="D7694" s="545">
        <v>18.333333333333332</v>
      </c>
      <c r="E7694" s="545">
        <v>11</v>
      </c>
      <c r="F7694" s="545">
        <v>16.452380952380949</v>
      </c>
      <c r="G7694" s="545">
        <v>16.899999999999999</v>
      </c>
      <c r="H7694" s="545">
        <v>8</v>
      </c>
      <c r="I7694" s="545">
        <v>2</v>
      </c>
      <c r="J7694" s="545">
        <v>13.5</v>
      </c>
    </row>
    <row r="7695" spans="1:10">
      <c r="A7695" s="441">
        <v>6905</v>
      </c>
      <c r="B7695" s="441" t="s">
        <v>6287</v>
      </c>
      <c r="C7695" s="545">
        <v>31.166666666666664</v>
      </c>
      <c r="D7695" s="545">
        <v>14.666666666666668</v>
      </c>
      <c r="E7695" s="545">
        <v>9.6666666666666661</v>
      </c>
      <c r="F7695" s="545">
        <v>25.738095238095234</v>
      </c>
      <c r="G7695" s="545">
        <v>20.5</v>
      </c>
      <c r="H7695" s="545">
        <v>8.6666666666666661</v>
      </c>
      <c r="I7695" s="545">
        <v>6.666666666666667</v>
      </c>
      <c r="J7695" s="545">
        <v>16.833333333333336</v>
      </c>
    </row>
    <row r="7696" spans="1:10">
      <c r="A7696" s="441">
        <v>5724</v>
      </c>
      <c r="B7696" s="441" t="s">
        <v>6288</v>
      </c>
      <c r="C7696" s="545">
        <v>4.166666666666667</v>
      </c>
      <c r="D7696" s="545">
        <v>0.66666666666666663</v>
      </c>
      <c r="E7696" s="545">
        <v>0.66666666666666663</v>
      </c>
      <c r="F7696" s="545">
        <v>3.1666666666666674</v>
      </c>
      <c r="G7696" s="545">
        <v>6.65</v>
      </c>
      <c r="H7696" s="545">
        <v>0.33333333333333331</v>
      </c>
      <c r="I7696" s="545">
        <v>2</v>
      </c>
      <c r="J7696" s="545">
        <v>5.0833333333333339</v>
      </c>
    </row>
    <row r="7697" spans="1:10">
      <c r="A7697" s="441">
        <v>5729</v>
      </c>
      <c r="B7697" s="441" t="s">
        <v>6288</v>
      </c>
      <c r="C7697" s="545">
        <v>1.8333333333333333</v>
      </c>
      <c r="D7697" s="545">
        <v>1.3333333333333333</v>
      </c>
      <c r="E7697" s="545">
        <v>1</v>
      </c>
      <c r="F7697" s="545">
        <v>1.6428571428571428</v>
      </c>
      <c r="G7697" s="545">
        <v>9.4499999999999993</v>
      </c>
      <c r="H7697" s="545">
        <v>0.33333333333333331</v>
      </c>
      <c r="I7697" s="545">
        <v>3</v>
      </c>
      <c r="J7697" s="545">
        <v>7.2261904761904763</v>
      </c>
    </row>
    <row r="7698" spans="1:10">
      <c r="A7698" s="441">
        <v>6871</v>
      </c>
      <c r="B7698" s="441" t="s">
        <v>6289</v>
      </c>
      <c r="C7698" s="545">
        <v>71.666666666666671</v>
      </c>
      <c r="D7698" s="545">
        <v>49.666666666666671</v>
      </c>
      <c r="E7698" s="545">
        <v>41.666666666666671</v>
      </c>
      <c r="F7698" s="545">
        <v>64.238095238095255</v>
      </c>
      <c r="G7698" s="545">
        <v>75.25</v>
      </c>
      <c r="H7698" s="545">
        <v>34.333333333333336</v>
      </c>
      <c r="I7698" s="545">
        <v>29.666666666666668</v>
      </c>
      <c r="J7698" s="545">
        <v>62.892857142857146</v>
      </c>
    </row>
    <row r="7699" spans="1:10">
      <c r="A7699" s="441">
        <v>6892</v>
      </c>
      <c r="B7699" s="441" t="s">
        <v>6289</v>
      </c>
      <c r="C7699" s="545">
        <v>68.5</v>
      </c>
      <c r="D7699" s="545">
        <v>53</v>
      </c>
      <c r="E7699" s="545">
        <v>30.666666666666668</v>
      </c>
      <c r="F7699" s="545">
        <v>60.880952380952387</v>
      </c>
      <c r="G7699" s="545">
        <v>74.5</v>
      </c>
      <c r="H7699" s="545">
        <v>30</v>
      </c>
      <c r="I7699" s="545">
        <v>35.666666666666664</v>
      </c>
      <c r="J7699" s="545">
        <v>62.595238095238095</v>
      </c>
    </row>
    <row r="7700" spans="1:10">
      <c r="A7700" s="441">
        <v>12980</v>
      </c>
      <c r="B7700" s="441" t="s">
        <v>6290</v>
      </c>
      <c r="C7700" s="545">
        <v>22.833333333333336</v>
      </c>
      <c r="D7700" s="545">
        <v>18</v>
      </c>
      <c r="E7700" s="545">
        <v>10.333333333333332</v>
      </c>
      <c r="F7700" s="545">
        <v>20.357142857142861</v>
      </c>
      <c r="G7700" s="545">
        <v>25.95</v>
      </c>
      <c r="H7700" s="545">
        <v>13.666666666666666</v>
      </c>
      <c r="I7700" s="545">
        <v>13.666666666666666</v>
      </c>
      <c r="J7700" s="545">
        <v>22.440476190476186</v>
      </c>
    </row>
    <row r="7701" spans="1:10">
      <c r="A7701" s="441">
        <v>12981</v>
      </c>
      <c r="B7701" s="441" t="s">
        <v>6290</v>
      </c>
      <c r="C7701" s="545">
        <v>33</v>
      </c>
      <c r="D7701" s="545">
        <v>25</v>
      </c>
      <c r="E7701" s="545">
        <v>17</v>
      </c>
      <c r="F7701" s="545">
        <v>29.571428571428573</v>
      </c>
      <c r="G7701" s="545">
        <v>26.15</v>
      </c>
      <c r="H7701" s="545">
        <v>11.333333333333334</v>
      </c>
      <c r="I7701" s="545">
        <v>12.333333333333334</v>
      </c>
      <c r="J7701" s="545">
        <v>22.059523809523814</v>
      </c>
    </row>
    <row r="7702" spans="1:10">
      <c r="A7702" s="441">
        <v>5772</v>
      </c>
      <c r="B7702" s="441" t="s">
        <v>6291</v>
      </c>
      <c r="C7702" s="545">
        <v>14.5</v>
      </c>
      <c r="D7702" s="545">
        <v>3</v>
      </c>
      <c r="E7702" s="545">
        <v>2.6666666666666665</v>
      </c>
      <c r="F7702" s="545">
        <v>11.166666666666668</v>
      </c>
      <c r="G7702" s="545">
        <v>7.95</v>
      </c>
      <c r="H7702" s="545">
        <v>0</v>
      </c>
      <c r="I7702" s="545">
        <v>2</v>
      </c>
      <c r="J7702" s="545">
        <v>5.9642857142857144</v>
      </c>
    </row>
    <row r="7703" spans="1:10">
      <c r="A7703" s="441">
        <v>12303</v>
      </c>
      <c r="B7703" s="441" t="s">
        <v>6291</v>
      </c>
      <c r="C7703" s="545">
        <v>17.5</v>
      </c>
      <c r="D7703" s="545">
        <v>3</v>
      </c>
      <c r="E7703" s="545">
        <v>1.3333333333333333</v>
      </c>
      <c r="F7703" s="545">
        <v>13.119047619047619</v>
      </c>
      <c r="G7703" s="545">
        <v>7.3</v>
      </c>
      <c r="H7703" s="545">
        <v>0.66666666666666663</v>
      </c>
      <c r="I7703" s="545">
        <v>1</v>
      </c>
      <c r="J7703" s="545">
        <v>5.4523809523809517</v>
      </c>
    </row>
    <row r="7704" spans="1:10">
      <c r="A7704" s="441">
        <v>6851</v>
      </c>
      <c r="B7704" s="441" t="s">
        <v>6292</v>
      </c>
      <c r="C7704" s="545">
        <v>34.5</v>
      </c>
      <c r="D7704" s="545">
        <v>16.333333333333332</v>
      </c>
      <c r="E7704" s="545">
        <v>13</v>
      </c>
      <c r="F7704" s="545">
        <v>28.833333333333336</v>
      </c>
      <c r="G7704" s="545">
        <v>21.1</v>
      </c>
      <c r="H7704" s="545">
        <v>10.666666666666666</v>
      </c>
      <c r="I7704" s="545">
        <v>13.333333333333334</v>
      </c>
      <c r="J7704" s="545">
        <v>18.5</v>
      </c>
    </row>
    <row r="7705" spans="1:10">
      <c r="A7705" s="441">
        <v>6916</v>
      </c>
      <c r="B7705" s="441" t="s">
        <v>6292</v>
      </c>
      <c r="C7705" s="545">
        <v>40.166666666666671</v>
      </c>
      <c r="D7705" s="545">
        <v>14.333333333333332</v>
      </c>
      <c r="E7705" s="545">
        <v>13.333333333333334</v>
      </c>
      <c r="F7705" s="545">
        <v>32.642857142857153</v>
      </c>
      <c r="G7705" s="545">
        <v>30.3</v>
      </c>
      <c r="H7705" s="545">
        <v>11</v>
      </c>
      <c r="I7705" s="545">
        <v>15.666666666666666</v>
      </c>
      <c r="J7705" s="545">
        <v>25.452380952380953</v>
      </c>
    </row>
    <row r="7706" spans="1:10">
      <c r="A7706" s="441">
        <v>5773</v>
      </c>
      <c r="B7706" s="441" t="s">
        <v>6293</v>
      </c>
      <c r="C7706" s="545">
        <v>14.5</v>
      </c>
      <c r="D7706" s="545">
        <v>8.3333333333333339</v>
      </c>
      <c r="E7706" s="545">
        <v>4</v>
      </c>
      <c r="F7706" s="545">
        <v>12.119047619047619</v>
      </c>
      <c r="G7706" s="545">
        <v>12.6</v>
      </c>
      <c r="H7706" s="545">
        <v>6</v>
      </c>
      <c r="I7706" s="545">
        <v>3</v>
      </c>
      <c r="J7706" s="545">
        <v>10.285714285714286</v>
      </c>
    </row>
    <row r="7707" spans="1:10">
      <c r="A7707" s="441">
        <v>12302</v>
      </c>
      <c r="B7707" s="441" t="s">
        <v>6293</v>
      </c>
      <c r="C7707" s="545">
        <v>23.166666666666664</v>
      </c>
      <c r="D7707" s="545">
        <v>5</v>
      </c>
      <c r="E7707" s="545">
        <v>7.6666666666666661</v>
      </c>
      <c r="F7707" s="545">
        <v>18.357142857142854</v>
      </c>
      <c r="G7707" s="545">
        <v>12.15</v>
      </c>
      <c r="H7707" s="545">
        <v>5</v>
      </c>
      <c r="I7707" s="545">
        <v>1.3333333333333333</v>
      </c>
      <c r="J7707" s="545">
        <v>9.5833333333333321</v>
      </c>
    </row>
    <row r="7708" spans="1:10">
      <c r="A7708" s="441">
        <v>6870</v>
      </c>
      <c r="B7708" s="441" t="s">
        <v>6294</v>
      </c>
      <c r="C7708" s="545">
        <v>2.666666666666667</v>
      </c>
      <c r="D7708" s="545">
        <v>1.6666666666666665</v>
      </c>
      <c r="E7708" s="545">
        <v>0.66666666666666663</v>
      </c>
      <c r="F7708" s="545">
        <v>2.2380952380952381</v>
      </c>
      <c r="G7708" s="545">
        <v>4</v>
      </c>
      <c r="H7708" s="545">
        <v>1</v>
      </c>
      <c r="I7708" s="545">
        <v>1.3333333333333333</v>
      </c>
      <c r="J7708" s="545">
        <v>3.1904761904761902</v>
      </c>
    </row>
    <row r="7709" spans="1:10">
      <c r="A7709" s="441">
        <v>6893</v>
      </c>
      <c r="B7709" s="441" t="s">
        <v>6294</v>
      </c>
      <c r="C7709" s="545">
        <v>2.5</v>
      </c>
      <c r="D7709" s="545">
        <v>2</v>
      </c>
      <c r="E7709" s="545">
        <v>0.33333333333333331</v>
      </c>
      <c r="F7709" s="545">
        <v>2.1190476190476191</v>
      </c>
      <c r="G7709" s="545">
        <v>2.4500000000000002</v>
      </c>
      <c r="H7709" s="545">
        <v>1</v>
      </c>
      <c r="I7709" s="545">
        <v>2</v>
      </c>
      <c r="J7709" s="545">
        <v>2.1785714285714284</v>
      </c>
    </row>
    <row r="7710" spans="1:10">
      <c r="A7710" s="441">
        <v>6863</v>
      </c>
      <c r="B7710" s="441" t="s">
        <v>6295</v>
      </c>
      <c r="C7710" s="545">
        <v>24.166666666666668</v>
      </c>
      <c r="D7710" s="545">
        <v>16.666666666666668</v>
      </c>
      <c r="E7710" s="545">
        <v>9.6666666666666661</v>
      </c>
      <c r="F7710" s="545">
        <v>21.023809523809522</v>
      </c>
      <c r="G7710" s="545">
        <v>15.35</v>
      </c>
      <c r="H7710" s="545">
        <v>6</v>
      </c>
      <c r="I7710" s="545">
        <v>4</v>
      </c>
      <c r="J7710" s="545">
        <v>12.392857142857142</v>
      </c>
    </row>
    <row r="7711" spans="1:10">
      <c r="A7711" s="441">
        <v>6900</v>
      </c>
      <c r="B7711" s="441" t="s">
        <v>6295</v>
      </c>
      <c r="C7711" s="545">
        <v>34.833333333333336</v>
      </c>
      <c r="D7711" s="545">
        <v>18</v>
      </c>
      <c r="E7711" s="545">
        <v>12.333333333333332</v>
      </c>
      <c r="F7711" s="545">
        <v>29.214285714285719</v>
      </c>
      <c r="G7711" s="545">
        <v>26.15</v>
      </c>
      <c r="H7711" s="545">
        <v>11</v>
      </c>
      <c r="I7711" s="545">
        <v>15.666666666666666</v>
      </c>
      <c r="J7711" s="545">
        <v>22.488095238095237</v>
      </c>
    </row>
    <row r="7712" spans="1:10">
      <c r="A7712" s="441">
        <v>10998</v>
      </c>
      <c r="B7712" s="441" t="s">
        <v>6296</v>
      </c>
      <c r="C7712" s="545">
        <v>2.8333333333333335</v>
      </c>
      <c r="D7712" s="545">
        <v>0.33333333333333331</v>
      </c>
      <c r="E7712" s="545">
        <v>4</v>
      </c>
      <c r="F7712" s="545">
        <v>2.6428571428571428</v>
      </c>
      <c r="G7712" s="545">
        <v>5.2</v>
      </c>
      <c r="H7712" s="545">
        <v>1.6666666666666667</v>
      </c>
      <c r="I7712" s="545">
        <v>0.66666666666666663</v>
      </c>
      <c r="J7712" s="545">
        <v>4.0476190476190483</v>
      </c>
    </row>
    <row r="7713" spans="1:10">
      <c r="A7713" s="441">
        <v>11210</v>
      </c>
      <c r="B7713" s="441" t="s">
        <v>6297</v>
      </c>
      <c r="C7713" s="545">
        <v>15</v>
      </c>
      <c r="D7713" s="545">
        <v>9.3333333333333339</v>
      </c>
      <c r="E7713" s="545">
        <v>4.6666666666666661</v>
      </c>
      <c r="F7713" s="545">
        <v>12.714285714285714</v>
      </c>
      <c r="G7713" s="545">
        <v>26.6</v>
      </c>
      <c r="H7713" s="545">
        <v>28.333333333333332</v>
      </c>
      <c r="I7713" s="545">
        <v>46.666666666666664</v>
      </c>
      <c r="J7713" s="545">
        <v>29.714285714285715</v>
      </c>
    </row>
    <row r="7714" spans="1:10">
      <c r="A7714" s="441">
        <v>11519</v>
      </c>
      <c r="B7714" s="441" t="s">
        <v>6297</v>
      </c>
      <c r="C7714" s="545">
        <v>3</v>
      </c>
      <c r="D7714" s="545">
        <v>0</v>
      </c>
      <c r="E7714" s="545">
        <v>3</v>
      </c>
      <c r="F7714" s="545">
        <v>2.5714285714285716</v>
      </c>
      <c r="G7714" s="545">
        <v>6.75</v>
      </c>
      <c r="H7714" s="545">
        <v>20</v>
      </c>
      <c r="I7714" s="545">
        <v>4.666666666666667</v>
      </c>
      <c r="J7714" s="545">
        <v>8.3452380952380949</v>
      </c>
    </row>
    <row r="7715" spans="1:10">
      <c r="A7715" s="441">
        <v>5770</v>
      </c>
      <c r="B7715" s="441" t="s">
        <v>6298</v>
      </c>
      <c r="C7715" s="545">
        <v>72.5</v>
      </c>
      <c r="D7715" s="545">
        <v>14</v>
      </c>
      <c r="E7715" s="545">
        <v>8.6666666666666661</v>
      </c>
      <c r="F7715" s="545">
        <v>55.023809523809526</v>
      </c>
      <c r="G7715" s="545">
        <v>41.5</v>
      </c>
      <c r="H7715" s="545">
        <v>10.333333333333334</v>
      </c>
      <c r="I7715" s="545">
        <v>6.666666666666667</v>
      </c>
      <c r="J7715" s="545">
        <v>32.071428571428569</v>
      </c>
    </row>
    <row r="7716" spans="1:10">
      <c r="A7716" s="441">
        <v>5771</v>
      </c>
      <c r="B7716" s="441" t="s">
        <v>6298</v>
      </c>
      <c r="C7716" s="545">
        <v>1.8333333333333335</v>
      </c>
      <c r="D7716" s="545">
        <v>1.3333333333333333</v>
      </c>
      <c r="E7716" s="545">
        <v>0.33333333333333331</v>
      </c>
      <c r="F7716" s="545">
        <v>1.5476190476190479</v>
      </c>
      <c r="G7716" s="545">
        <v>1.25</v>
      </c>
      <c r="H7716" s="545">
        <v>0.33333333333333331</v>
      </c>
      <c r="I7716" s="545">
        <v>0.66666666666666663</v>
      </c>
      <c r="J7716" s="545">
        <v>1.0357142857142858</v>
      </c>
    </row>
    <row r="7717" spans="1:10">
      <c r="A7717" s="441">
        <v>12775</v>
      </c>
      <c r="B7717" s="441" t="s">
        <v>6298</v>
      </c>
      <c r="C7717" s="545">
        <v>33.833333333333336</v>
      </c>
      <c r="D7717" s="545">
        <v>10.333333333333334</v>
      </c>
      <c r="E7717" s="545">
        <v>6</v>
      </c>
      <c r="F7717" s="545">
        <v>26.500000000000004</v>
      </c>
      <c r="G7717" s="545">
        <v>11.2</v>
      </c>
      <c r="H7717" s="545">
        <v>2</v>
      </c>
      <c r="I7717" s="545">
        <v>3</v>
      </c>
      <c r="J7717" s="545">
        <v>8.7142857142857135</v>
      </c>
    </row>
    <row r="7718" spans="1:10">
      <c r="A7718" s="441">
        <v>13038</v>
      </c>
      <c r="B7718" s="441" t="s">
        <v>6298</v>
      </c>
      <c r="C7718" s="545">
        <v>80.833333333333329</v>
      </c>
      <c r="D7718" s="545">
        <v>12.666666666666668</v>
      </c>
      <c r="E7718" s="545">
        <v>7</v>
      </c>
      <c r="F7718" s="545">
        <v>60.547619047619044</v>
      </c>
      <c r="G7718" s="545">
        <v>50.25</v>
      </c>
      <c r="H7718" s="545">
        <v>14.666666666666666</v>
      </c>
      <c r="I7718" s="545">
        <v>14.666666666666666</v>
      </c>
      <c r="J7718" s="545">
        <v>40.083333333333336</v>
      </c>
    </row>
    <row r="7719" spans="1:10">
      <c r="A7719" s="441">
        <v>6865</v>
      </c>
      <c r="B7719" s="441" t="s">
        <v>6299</v>
      </c>
      <c r="C7719" s="545">
        <v>281.83333333333337</v>
      </c>
      <c r="D7719" s="545">
        <v>219.66666666666666</v>
      </c>
      <c r="E7719" s="545">
        <v>144.33333333333334</v>
      </c>
      <c r="F7719" s="545">
        <v>253.30952380952385</v>
      </c>
      <c r="G7719" s="545">
        <v>208.85</v>
      </c>
      <c r="H7719" s="545">
        <v>109.33333333333333</v>
      </c>
      <c r="I7719" s="545">
        <v>117</v>
      </c>
      <c r="J7719" s="545">
        <v>181.51190476190476</v>
      </c>
    </row>
    <row r="7720" spans="1:10">
      <c r="A7720" s="441">
        <v>6866</v>
      </c>
      <c r="B7720" s="441" t="s">
        <v>6299</v>
      </c>
      <c r="C7720" s="545">
        <v>17</v>
      </c>
      <c r="D7720" s="545">
        <v>7</v>
      </c>
      <c r="E7720" s="545">
        <v>10</v>
      </c>
      <c r="F7720" s="545">
        <v>14.571428571428571</v>
      </c>
      <c r="G7720" s="545">
        <v>11.85</v>
      </c>
      <c r="H7720" s="545">
        <v>4.666666666666667</v>
      </c>
      <c r="I7720" s="545">
        <v>6.333333333333333</v>
      </c>
      <c r="J7720" s="545">
        <v>10.035714285714286</v>
      </c>
    </row>
    <row r="7721" spans="1:10">
      <c r="A7721" s="441">
        <v>6897</v>
      </c>
      <c r="B7721" s="441" t="s">
        <v>6299</v>
      </c>
      <c r="C7721" s="545">
        <v>9.1666666666666661</v>
      </c>
      <c r="D7721" s="545">
        <v>2.666666666666667</v>
      </c>
      <c r="E7721" s="545">
        <v>8.3333333333333339</v>
      </c>
      <c r="F7721" s="545">
        <v>8.1190476190476186</v>
      </c>
      <c r="G7721" s="545">
        <v>11.1</v>
      </c>
      <c r="H7721" s="545">
        <v>2.6666666666666665</v>
      </c>
      <c r="I7721" s="545">
        <v>3</v>
      </c>
      <c r="J7721" s="545">
        <v>8.7380952380952372</v>
      </c>
    </row>
    <row r="7722" spans="1:10">
      <c r="A7722" s="441">
        <v>5731</v>
      </c>
      <c r="B7722" s="441" t="s">
        <v>6300</v>
      </c>
      <c r="C7722" s="545">
        <v>16.833333333333332</v>
      </c>
      <c r="D7722" s="545">
        <v>17.333333333333336</v>
      </c>
      <c r="E7722" s="545">
        <v>12.666666666666666</v>
      </c>
      <c r="F7722" s="545">
        <v>16.30952380952381</v>
      </c>
      <c r="G7722" s="545">
        <v>15.4</v>
      </c>
      <c r="H7722" s="545">
        <v>15</v>
      </c>
      <c r="I7722" s="545">
        <v>11</v>
      </c>
      <c r="J7722" s="545">
        <v>14.714285714285714</v>
      </c>
    </row>
    <row r="7723" spans="1:10">
      <c r="A7723" s="441">
        <v>6886</v>
      </c>
      <c r="B7723" s="441" t="s">
        <v>6301</v>
      </c>
      <c r="C7723" s="545">
        <v>1.3333333333333335</v>
      </c>
      <c r="D7723" s="545">
        <v>0.33333333333333331</v>
      </c>
      <c r="E7723" s="545">
        <v>0.66666666666666663</v>
      </c>
      <c r="F7723" s="545">
        <v>1.0952380952380953</v>
      </c>
      <c r="G7723" s="545">
        <v>0.85</v>
      </c>
      <c r="H7723" s="545">
        <v>0</v>
      </c>
      <c r="I7723" s="545">
        <v>0</v>
      </c>
      <c r="J7723" s="545">
        <v>0.6071428571428571</v>
      </c>
    </row>
    <row r="7724" spans="1:10">
      <c r="A7724" s="441">
        <v>6873</v>
      </c>
      <c r="B7724" s="441" t="s">
        <v>6302</v>
      </c>
      <c r="C7724" s="545">
        <v>2.1666666666666665</v>
      </c>
      <c r="D7724" s="545">
        <v>1.3333333333333333</v>
      </c>
      <c r="E7724" s="545">
        <v>0</v>
      </c>
      <c r="F7724" s="545">
        <v>1.7380952380952379</v>
      </c>
      <c r="G7724" s="545">
        <v>1.05</v>
      </c>
      <c r="H7724" s="545">
        <v>0</v>
      </c>
      <c r="I7724" s="545">
        <v>0</v>
      </c>
      <c r="J7724" s="545">
        <v>0.75</v>
      </c>
    </row>
    <row r="7725" spans="1:10">
      <c r="A7725" s="441">
        <v>6890</v>
      </c>
      <c r="B7725" s="441" t="s">
        <v>6302</v>
      </c>
      <c r="C7725" s="545">
        <v>2.6666666666666665</v>
      </c>
      <c r="D7725" s="545">
        <v>1</v>
      </c>
      <c r="E7725" s="545">
        <v>0.33333333333333331</v>
      </c>
      <c r="F7725" s="545">
        <v>2.0952380952380953</v>
      </c>
      <c r="G7725" s="545">
        <v>1.35</v>
      </c>
      <c r="H7725" s="545">
        <v>0.33333333333333331</v>
      </c>
      <c r="I7725" s="545">
        <v>0</v>
      </c>
      <c r="J7725" s="545">
        <v>1.0119047619047619</v>
      </c>
    </row>
    <row r="7726" spans="1:10">
      <c r="A7726" s="441">
        <v>5721</v>
      </c>
      <c r="B7726" s="441" t="s">
        <v>6303</v>
      </c>
      <c r="C7726" s="545">
        <v>36</v>
      </c>
      <c r="D7726" s="545">
        <v>59.666666666666671</v>
      </c>
      <c r="E7726" s="545">
        <v>41.666666666666671</v>
      </c>
      <c r="F7726" s="545">
        <v>40.190476190476197</v>
      </c>
      <c r="G7726" s="545">
        <v>38.6</v>
      </c>
      <c r="H7726" s="545">
        <v>22.333333333333332</v>
      </c>
      <c r="I7726" s="545">
        <v>34.333333333333336</v>
      </c>
      <c r="J7726" s="545">
        <v>35.666666666666671</v>
      </c>
    </row>
    <row r="7727" spans="1:10">
      <c r="A7727" s="441">
        <v>5732</v>
      </c>
      <c r="B7727" s="441" t="s">
        <v>6303</v>
      </c>
      <c r="C7727" s="545">
        <v>45.333333333333329</v>
      </c>
      <c r="D7727" s="545">
        <v>64.333333333333329</v>
      </c>
      <c r="E7727" s="545">
        <v>40</v>
      </c>
      <c r="F7727" s="545">
        <v>47.285714285714278</v>
      </c>
      <c r="G7727" s="545">
        <v>44.5</v>
      </c>
      <c r="H7727" s="545">
        <v>32</v>
      </c>
      <c r="I7727" s="545">
        <v>27.333333333333332</v>
      </c>
      <c r="J7727" s="545">
        <v>40.261904761904759</v>
      </c>
    </row>
    <row r="7728" spans="1:10">
      <c r="A7728" s="441">
        <v>6862</v>
      </c>
      <c r="B7728" s="441" t="s">
        <v>6304</v>
      </c>
      <c r="C7728" s="545">
        <v>5.333333333333333</v>
      </c>
      <c r="D7728" s="545">
        <v>2.3333333333333335</v>
      </c>
      <c r="E7728" s="545">
        <v>2</v>
      </c>
      <c r="F7728" s="545">
        <v>4.4285714285714279</v>
      </c>
      <c r="G7728" s="545">
        <v>9.1999999999999993</v>
      </c>
      <c r="H7728" s="545">
        <v>0</v>
      </c>
      <c r="I7728" s="545">
        <v>0.66666666666666663</v>
      </c>
      <c r="J7728" s="545">
        <v>6.6666666666666661</v>
      </c>
    </row>
    <row r="7729" spans="1:10">
      <c r="A7729" s="441">
        <v>6901</v>
      </c>
      <c r="B7729" s="441" t="s">
        <v>6304</v>
      </c>
      <c r="C7729" s="545">
        <v>11.833333333333332</v>
      </c>
      <c r="D7729" s="545">
        <v>3.666666666666667</v>
      </c>
      <c r="E7729" s="545">
        <v>3.3333333333333335</v>
      </c>
      <c r="F7729" s="545">
        <v>9.4523809523809508</v>
      </c>
      <c r="G7729" s="545">
        <v>7.15</v>
      </c>
      <c r="H7729" s="545">
        <v>1</v>
      </c>
      <c r="I7729" s="545">
        <v>1.6666666666666667</v>
      </c>
      <c r="J7729" s="545">
        <v>5.4880952380952381</v>
      </c>
    </row>
    <row r="7730" spans="1:10">
      <c r="A7730" s="441">
        <v>6855</v>
      </c>
      <c r="B7730" s="441" t="s">
        <v>6305</v>
      </c>
      <c r="C7730" s="545">
        <v>8</v>
      </c>
      <c r="D7730" s="545">
        <v>5.666666666666667</v>
      </c>
      <c r="E7730" s="545">
        <v>4</v>
      </c>
      <c r="F7730" s="545">
        <v>7.0952380952380949</v>
      </c>
      <c r="G7730" s="545">
        <v>6.5</v>
      </c>
      <c r="H7730" s="545">
        <v>6</v>
      </c>
      <c r="I7730" s="545">
        <v>2</v>
      </c>
      <c r="J7730" s="545">
        <v>5.7857142857142856</v>
      </c>
    </row>
    <row r="7731" spans="1:10">
      <c r="A7731" s="441">
        <v>10176</v>
      </c>
      <c r="B7731" s="441" t="s">
        <v>6305</v>
      </c>
      <c r="C7731" s="545">
        <v>10.166666666666668</v>
      </c>
      <c r="D7731" s="545">
        <v>4.3333333333333339</v>
      </c>
      <c r="E7731" s="545">
        <v>5</v>
      </c>
      <c r="F7731" s="545">
        <v>8.5952380952380967</v>
      </c>
      <c r="G7731" s="545">
        <v>9.6</v>
      </c>
      <c r="H7731" s="545">
        <v>4.666666666666667</v>
      </c>
      <c r="I7731" s="545">
        <v>1.6666666666666667</v>
      </c>
      <c r="J7731" s="545">
        <v>7.761904761904761</v>
      </c>
    </row>
    <row r="7732" spans="1:10">
      <c r="A7732" s="441">
        <v>6872</v>
      </c>
      <c r="B7732" s="441" t="s">
        <v>6306</v>
      </c>
      <c r="C7732" s="545">
        <v>1</v>
      </c>
      <c r="D7732" s="545">
        <v>1</v>
      </c>
      <c r="E7732" s="545">
        <v>0.33333333333333331</v>
      </c>
      <c r="F7732" s="545">
        <v>0.90476190476190477</v>
      </c>
      <c r="G7732" s="545">
        <v>0.65</v>
      </c>
      <c r="H7732" s="545">
        <v>1.3333333333333333</v>
      </c>
      <c r="I7732" s="545">
        <v>3.3333333333333335</v>
      </c>
      <c r="J7732" s="545">
        <v>1.1309523809523809</v>
      </c>
    </row>
    <row r="7733" spans="1:10">
      <c r="A7733" s="441">
        <v>6891</v>
      </c>
      <c r="B7733" s="441" t="s">
        <v>6306</v>
      </c>
      <c r="C7733" s="545">
        <v>1</v>
      </c>
      <c r="D7733" s="545">
        <v>0.33333333333333331</v>
      </c>
      <c r="E7733" s="545">
        <v>0.33333333333333331</v>
      </c>
      <c r="F7733" s="545">
        <v>0.80952380952380942</v>
      </c>
      <c r="G7733" s="545">
        <v>3.25</v>
      </c>
      <c r="H7733" s="545">
        <v>0</v>
      </c>
      <c r="I7733" s="545">
        <v>0.66666666666666663</v>
      </c>
      <c r="J7733" s="545">
        <v>2.416666666666667</v>
      </c>
    </row>
    <row r="7734" spans="1:10">
      <c r="A7734" s="441">
        <v>11670</v>
      </c>
      <c r="B7734" s="441" t="s">
        <v>6307</v>
      </c>
      <c r="C7734" s="545">
        <v>7.333333333333333</v>
      </c>
      <c r="D7734" s="545">
        <v>3.6666666666666665</v>
      </c>
      <c r="E7734" s="545">
        <v>4</v>
      </c>
      <c r="F7734" s="545">
        <v>6.333333333333333</v>
      </c>
      <c r="G7734" s="545">
        <v>11.75</v>
      </c>
      <c r="H7734" s="545">
        <v>2.3333333333333335</v>
      </c>
      <c r="I7734" s="545">
        <v>2.6666666666666665</v>
      </c>
      <c r="J7734" s="545">
        <v>9.1071428571428577</v>
      </c>
    </row>
    <row r="7735" spans="1:10">
      <c r="A7735" s="441">
        <v>6859</v>
      </c>
      <c r="B7735" s="441" t="s">
        <v>6308</v>
      </c>
      <c r="C7735" s="545">
        <v>237.66666666666666</v>
      </c>
      <c r="D7735" s="545">
        <v>152.33333333333334</v>
      </c>
      <c r="E7735" s="545">
        <v>132.66666666666669</v>
      </c>
      <c r="F7735" s="545">
        <v>210.47619047619045</v>
      </c>
      <c r="G7735" s="545">
        <v>182.5</v>
      </c>
      <c r="H7735" s="545">
        <v>77.333333333333329</v>
      </c>
      <c r="I7735" s="545">
        <v>86</v>
      </c>
      <c r="J7735" s="545">
        <v>153.6904761904762</v>
      </c>
    </row>
    <row r="7736" spans="1:10">
      <c r="A7736" s="441">
        <v>6904</v>
      </c>
      <c r="B7736" s="441" t="s">
        <v>6308</v>
      </c>
      <c r="C7736" s="545">
        <v>226.66666666666666</v>
      </c>
      <c r="D7736" s="545">
        <v>152.33333333333334</v>
      </c>
      <c r="E7736" s="545">
        <v>125</v>
      </c>
      <c r="F7736" s="545">
        <v>201.52380952380949</v>
      </c>
      <c r="G7736" s="545">
        <v>170.45</v>
      </c>
      <c r="H7736" s="545">
        <v>69</v>
      </c>
      <c r="I7736" s="545">
        <v>79</v>
      </c>
      <c r="J7736" s="545">
        <v>142.89285714285714</v>
      </c>
    </row>
    <row r="7737" spans="1:10">
      <c r="A7737" s="441">
        <v>12305</v>
      </c>
      <c r="B7737" s="441" t="s">
        <v>6309</v>
      </c>
      <c r="C7737" s="545">
        <v>50.833333333333329</v>
      </c>
      <c r="D7737" s="545">
        <v>46.333333333333336</v>
      </c>
      <c r="E7737" s="545">
        <v>29</v>
      </c>
      <c r="F7737" s="545">
        <v>47.071428571428562</v>
      </c>
      <c r="G7737" s="545">
        <v>38.85</v>
      </c>
      <c r="H7737" s="545">
        <v>18.666666666666668</v>
      </c>
      <c r="I7737" s="545">
        <v>15.333333333333334</v>
      </c>
      <c r="J7737" s="545">
        <v>32.607142857142854</v>
      </c>
    </row>
    <row r="7738" spans="1:10">
      <c r="A7738" s="441">
        <v>12306</v>
      </c>
      <c r="B7738" s="441" t="s">
        <v>6309</v>
      </c>
      <c r="C7738" s="545">
        <v>56</v>
      </c>
      <c r="D7738" s="545">
        <v>43.333333333333336</v>
      </c>
      <c r="E7738" s="545">
        <v>30.666666666666664</v>
      </c>
      <c r="F7738" s="545">
        <v>50.571428571428569</v>
      </c>
      <c r="G7738" s="545">
        <v>33.5</v>
      </c>
      <c r="H7738" s="545">
        <v>23.666666666666668</v>
      </c>
      <c r="I7738" s="545">
        <v>17.333333333333332</v>
      </c>
      <c r="J7738" s="545">
        <v>29.785714285714285</v>
      </c>
    </row>
    <row r="7739" spans="1:10">
      <c r="A7739" s="441">
        <v>5720</v>
      </c>
      <c r="B7739" s="441" t="s">
        <v>6310</v>
      </c>
      <c r="C7739" s="545">
        <v>116.5</v>
      </c>
      <c r="D7739" s="545">
        <v>77.333333333333343</v>
      </c>
      <c r="E7739" s="545">
        <v>55.333333333333336</v>
      </c>
      <c r="F7739" s="545">
        <v>102.16666666666667</v>
      </c>
      <c r="G7739" s="545">
        <v>84.9</v>
      </c>
      <c r="H7739" s="545">
        <v>47.333333333333336</v>
      </c>
      <c r="I7739" s="545">
        <v>70</v>
      </c>
      <c r="J7739" s="545">
        <v>77.404761904761898</v>
      </c>
    </row>
    <row r="7740" spans="1:10">
      <c r="A7740" s="441">
        <v>5733</v>
      </c>
      <c r="B7740" s="441" t="s">
        <v>6310</v>
      </c>
      <c r="C7740" s="545">
        <v>64.333333333333343</v>
      </c>
      <c r="D7740" s="545">
        <v>43.666666666666671</v>
      </c>
      <c r="E7740" s="545">
        <v>26</v>
      </c>
      <c r="F7740" s="545">
        <v>55.904761904761919</v>
      </c>
      <c r="G7740" s="545">
        <v>59.2</v>
      </c>
      <c r="H7740" s="545">
        <v>31.666666666666668</v>
      </c>
      <c r="I7740" s="545">
        <v>31.333333333333332</v>
      </c>
      <c r="J7740" s="545">
        <v>51.285714285714285</v>
      </c>
    </row>
    <row r="7741" spans="1:10">
      <c r="A7741" s="441">
        <v>6881</v>
      </c>
      <c r="B7741" s="441" t="s">
        <v>6310</v>
      </c>
      <c r="C7741" s="545">
        <v>97</v>
      </c>
      <c r="D7741" s="545">
        <v>83.666666666666657</v>
      </c>
      <c r="E7741" s="545">
        <v>56.666666666666671</v>
      </c>
      <c r="F7741" s="545">
        <v>89.333333333333329</v>
      </c>
      <c r="G7741" s="545">
        <v>65.5</v>
      </c>
      <c r="H7741" s="545">
        <v>50.333333333333336</v>
      </c>
      <c r="I7741" s="545">
        <v>40.666666666666664</v>
      </c>
      <c r="J7741" s="545">
        <v>59.785714285714285</v>
      </c>
    </row>
    <row r="7742" spans="1:10">
      <c r="A7742" s="441">
        <v>6882</v>
      </c>
      <c r="B7742" s="441" t="s">
        <v>6310</v>
      </c>
      <c r="C7742" s="545">
        <v>136</v>
      </c>
      <c r="D7742" s="545">
        <v>88.333333333333329</v>
      </c>
      <c r="E7742" s="545">
        <v>60.333333333333336</v>
      </c>
      <c r="F7742" s="545">
        <v>118.38095238095239</v>
      </c>
      <c r="G7742" s="545">
        <v>82.25</v>
      </c>
      <c r="H7742" s="545">
        <v>52.333333333333336</v>
      </c>
      <c r="I7742" s="545">
        <v>47.333333333333336</v>
      </c>
      <c r="J7742" s="545">
        <v>72.988095238095227</v>
      </c>
    </row>
    <row r="7743" spans="1:10">
      <c r="A7743" s="441">
        <v>11671</v>
      </c>
      <c r="B7743" s="441" t="s">
        <v>6311</v>
      </c>
      <c r="C7743" s="545">
        <v>10.166666666666668</v>
      </c>
      <c r="D7743" s="545">
        <v>3.6666666666666665</v>
      </c>
      <c r="E7743" s="545">
        <v>3</v>
      </c>
      <c r="F7743" s="545">
        <v>8.2142857142857153</v>
      </c>
      <c r="G7743" s="545">
        <v>9.9</v>
      </c>
      <c r="H7743" s="545">
        <v>3.3333333333333335</v>
      </c>
      <c r="I7743" s="545">
        <v>4</v>
      </c>
      <c r="J7743" s="545">
        <v>8.1190476190476186</v>
      </c>
    </row>
    <row r="7744" spans="1:10">
      <c r="A7744" s="441">
        <v>6867</v>
      </c>
      <c r="B7744" s="441" t="s">
        <v>6312</v>
      </c>
      <c r="C7744" s="545">
        <v>46.666666666666664</v>
      </c>
      <c r="D7744" s="545">
        <v>33</v>
      </c>
      <c r="E7744" s="545">
        <v>29.333333333333332</v>
      </c>
      <c r="F7744" s="545">
        <v>42.238095238095234</v>
      </c>
      <c r="G7744" s="545">
        <v>33.6</v>
      </c>
      <c r="H7744" s="545">
        <v>14.666666666666666</v>
      </c>
      <c r="I7744" s="545">
        <v>15.666666666666666</v>
      </c>
      <c r="J7744" s="545">
        <v>28.333333333333332</v>
      </c>
    </row>
    <row r="7745" spans="1:10">
      <c r="A7745" s="441">
        <v>6896</v>
      </c>
      <c r="B7745" s="441" t="s">
        <v>6312</v>
      </c>
      <c r="C7745" s="545">
        <v>42.333333333333336</v>
      </c>
      <c r="D7745" s="545">
        <v>26.333333333333336</v>
      </c>
      <c r="E7745" s="545">
        <v>14.666666666666668</v>
      </c>
      <c r="F7745" s="545">
        <v>36.095238095238095</v>
      </c>
      <c r="G7745" s="545">
        <v>34.75</v>
      </c>
      <c r="H7745" s="545">
        <v>11.666666666666666</v>
      </c>
      <c r="I7745" s="545">
        <v>9.6666666666666661</v>
      </c>
      <c r="J7745" s="545">
        <v>27.869047619047617</v>
      </c>
    </row>
    <row r="7746" spans="1:10">
      <c r="A7746" s="441">
        <v>11886</v>
      </c>
      <c r="B7746" s="441" t="s">
        <v>6313</v>
      </c>
      <c r="C7746" s="545">
        <v>2</v>
      </c>
      <c r="D7746" s="545">
        <v>0.66666666666666663</v>
      </c>
      <c r="E7746" s="545">
        <v>0</v>
      </c>
      <c r="F7746" s="545">
        <v>1.5238095238095237</v>
      </c>
      <c r="G7746" s="545">
        <v>2.4500000000000002</v>
      </c>
      <c r="H7746" s="545">
        <v>1</v>
      </c>
      <c r="I7746" s="545">
        <v>0.33333333333333331</v>
      </c>
      <c r="J7746" s="545">
        <v>1.9404761904761905</v>
      </c>
    </row>
    <row r="7747" spans="1:10">
      <c r="A7747" s="441">
        <v>11518</v>
      </c>
      <c r="B7747" s="441" t="s">
        <v>6314</v>
      </c>
      <c r="C7747" s="545">
        <v>2.3333333333333335</v>
      </c>
      <c r="D7747" s="545">
        <v>1.3333333333333333</v>
      </c>
      <c r="E7747" s="545">
        <v>1</v>
      </c>
      <c r="F7747" s="545">
        <v>2.0000000000000004</v>
      </c>
      <c r="G7747" s="545">
        <v>4.25</v>
      </c>
      <c r="H7747" s="545">
        <v>4.333333333333333</v>
      </c>
      <c r="I7747" s="545">
        <v>3</v>
      </c>
      <c r="J7747" s="545">
        <v>4.083333333333333</v>
      </c>
    </row>
    <row r="7748" spans="1:10">
      <c r="A7748" s="441">
        <v>11348</v>
      </c>
      <c r="B7748" s="441" t="s">
        <v>6315</v>
      </c>
      <c r="C7748" s="545">
        <v>9.6666666666666679</v>
      </c>
      <c r="D7748" s="545">
        <v>11</v>
      </c>
      <c r="E7748" s="545">
        <v>14.333333333333332</v>
      </c>
      <c r="F7748" s="545">
        <v>10.523809523809524</v>
      </c>
      <c r="G7748" s="545">
        <v>6.9</v>
      </c>
      <c r="H7748" s="545">
        <v>5.333333333333333</v>
      </c>
      <c r="I7748" s="545">
        <v>7.333333333333333</v>
      </c>
      <c r="J7748" s="545">
        <v>6.738095238095239</v>
      </c>
    </row>
    <row r="7749" spans="1:10">
      <c r="A7749" s="441">
        <v>11349</v>
      </c>
      <c r="B7749" s="441" t="s">
        <v>6315</v>
      </c>
      <c r="C7749" s="545">
        <v>17.333333333333332</v>
      </c>
      <c r="D7749" s="545">
        <v>19</v>
      </c>
      <c r="E7749" s="545">
        <v>15.333333333333332</v>
      </c>
      <c r="F7749" s="545">
        <v>17.285714285714285</v>
      </c>
      <c r="G7749" s="545">
        <v>5.4</v>
      </c>
      <c r="H7749" s="545">
        <v>3.3333333333333335</v>
      </c>
      <c r="I7749" s="545">
        <v>5.333333333333333</v>
      </c>
      <c r="J7749" s="545">
        <v>5.0952380952380949</v>
      </c>
    </row>
    <row r="7750" spans="1:10">
      <c r="A7750" s="441">
        <v>6854</v>
      </c>
      <c r="B7750" s="441" t="s">
        <v>6316</v>
      </c>
      <c r="C7750" s="545">
        <v>3.6666666666666665</v>
      </c>
      <c r="D7750" s="545">
        <v>2.6666666666666665</v>
      </c>
      <c r="E7750" s="545">
        <v>2.3333333333333335</v>
      </c>
      <c r="F7750" s="545">
        <v>3.333333333333333</v>
      </c>
      <c r="G7750" s="545">
        <v>2.85</v>
      </c>
      <c r="H7750" s="545">
        <v>1</v>
      </c>
      <c r="I7750" s="545">
        <v>1</v>
      </c>
      <c r="J7750" s="545">
        <v>2.3214285714285716</v>
      </c>
    </row>
    <row r="7751" spans="1:10">
      <c r="A7751" s="441">
        <v>6913</v>
      </c>
      <c r="B7751" s="441" t="s">
        <v>6316</v>
      </c>
      <c r="C7751" s="545">
        <v>2.8333333333333335</v>
      </c>
      <c r="D7751" s="545">
        <v>2.6666666666666665</v>
      </c>
      <c r="E7751" s="545">
        <v>3.6666666666666665</v>
      </c>
      <c r="F7751" s="545">
        <v>2.9285714285714293</v>
      </c>
      <c r="G7751" s="545">
        <v>2.8</v>
      </c>
      <c r="H7751" s="545">
        <v>1</v>
      </c>
      <c r="I7751" s="545">
        <v>0</v>
      </c>
      <c r="J7751" s="545">
        <v>2.1428571428571428</v>
      </c>
    </row>
    <row r="7752" spans="1:10">
      <c r="A7752" s="441">
        <v>6877</v>
      </c>
      <c r="B7752" s="441" t="s">
        <v>6317</v>
      </c>
      <c r="C7752" s="545">
        <v>1.8333333333333335</v>
      </c>
      <c r="D7752" s="545">
        <v>0</v>
      </c>
      <c r="E7752" s="545">
        <v>0.33333333333333331</v>
      </c>
      <c r="F7752" s="545">
        <v>1.3571428571428574</v>
      </c>
      <c r="G7752" s="545">
        <v>0.95</v>
      </c>
      <c r="H7752" s="545">
        <v>0.33333333333333331</v>
      </c>
      <c r="I7752" s="545">
        <v>9</v>
      </c>
      <c r="J7752" s="545">
        <v>2.0119047619047619</v>
      </c>
    </row>
    <row r="7753" spans="1:10">
      <c r="A7753" s="441">
        <v>12307</v>
      </c>
      <c r="B7753" s="441" t="s">
        <v>6318</v>
      </c>
      <c r="C7753" s="545">
        <v>78</v>
      </c>
      <c r="D7753" s="545">
        <v>50.666666666666671</v>
      </c>
      <c r="E7753" s="545">
        <v>47.666666666666671</v>
      </c>
      <c r="F7753" s="545">
        <v>69.761904761904773</v>
      </c>
      <c r="G7753" s="545">
        <v>52.1</v>
      </c>
      <c r="H7753" s="545">
        <v>25.666666666666668</v>
      </c>
      <c r="I7753" s="545">
        <v>17.333333333333332</v>
      </c>
      <c r="J7753" s="545">
        <v>43.357142857142854</v>
      </c>
    </row>
    <row r="7754" spans="1:10">
      <c r="A7754" s="441">
        <v>12308</v>
      </c>
      <c r="B7754" s="441" t="s">
        <v>6318</v>
      </c>
      <c r="C7754" s="545">
        <v>83.333333333333329</v>
      </c>
      <c r="D7754" s="545">
        <v>53.333333333333336</v>
      </c>
      <c r="E7754" s="545">
        <v>48</v>
      </c>
      <c r="F7754" s="545">
        <v>74</v>
      </c>
      <c r="G7754" s="545">
        <v>60.15</v>
      </c>
      <c r="H7754" s="545">
        <v>26.666666666666668</v>
      </c>
      <c r="I7754" s="545">
        <v>29</v>
      </c>
      <c r="J7754" s="545">
        <v>50.916666666666671</v>
      </c>
    </row>
    <row r="7755" spans="1:10">
      <c r="A7755" s="441">
        <v>5727</v>
      </c>
      <c r="B7755" s="441" t="s">
        <v>6319</v>
      </c>
      <c r="C7755" s="545">
        <v>41.5</v>
      </c>
      <c r="D7755" s="545">
        <v>17.333333333333336</v>
      </c>
      <c r="E7755" s="545">
        <v>13.666666666666668</v>
      </c>
      <c r="F7755" s="545">
        <v>34.071428571428569</v>
      </c>
      <c r="G7755" s="545">
        <v>15.75</v>
      </c>
      <c r="H7755" s="545">
        <v>8.3333333333333339</v>
      </c>
      <c r="I7755" s="545">
        <v>3.6666666666666665</v>
      </c>
      <c r="J7755" s="545">
        <v>12.964285714285714</v>
      </c>
    </row>
    <row r="7756" spans="1:10">
      <c r="A7756" s="441">
        <v>6857</v>
      </c>
      <c r="B7756" s="441" t="s">
        <v>6320</v>
      </c>
      <c r="C7756" s="545">
        <v>16.166666666666668</v>
      </c>
      <c r="D7756" s="545">
        <v>4.666666666666667</v>
      </c>
      <c r="E7756" s="545">
        <v>2.3333333333333335</v>
      </c>
      <c r="F7756" s="545">
        <v>12.547619047619049</v>
      </c>
      <c r="G7756" s="545">
        <v>9.8000000000000007</v>
      </c>
      <c r="H7756" s="545">
        <v>3.3333333333333335</v>
      </c>
      <c r="I7756" s="545">
        <v>4</v>
      </c>
      <c r="J7756" s="545">
        <v>8.0476190476190474</v>
      </c>
    </row>
    <row r="7757" spans="1:10">
      <c r="A7757" s="441">
        <v>6906</v>
      </c>
      <c r="B7757" s="441" t="s">
        <v>6320</v>
      </c>
      <c r="C7757" s="545">
        <v>18.666666666666668</v>
      </c>
      <c r="D7757" s="545">
        <v>7.666666666666667</v>
      </c>
      <c r="E7757" s="545">
        <v>3</v>
      </c>
      <c r="F7757" s="545">
        <v>14.857142857142859</v>
      </c>
      <c r="G7757" s="545">
        <v>11.7</v>
      </c>
      <c r="H7757" s="545">
        <v>2.3333333333333335</v>
      </c>
      <c r="I7757" s="545">
        <v>1.6666666666666667</v>
      </c>
      <c r="J7757" s="545">
        <v>8.9285714285714288</v>
      </c>
    </row>
    <row r="7758" spans="1:10">
      <c r="A7758" s="441">
        <v>6858</v>
      </c>
      <c r="B7758" s="441" t="s">
        <v>6321</v>
      </c>
      <c r="C7758" s="545">
        <v>30.333333333333336</v>
      </c>
      <c r="D7758" s="545">
        <v>16.333333333333332</v>
      </c>
      <c r="E7758" s="545">
        <v>12.666666666666666</v>
      </c>
      <c r="F7758" s="545">
        <v>25.809523809523814</v>
      </c>
      <c r="G7758" s="545">
        <v>13.75</v>
      </c>
      <c r="H7758" s="545">
        <v>10</v>
      </c>
      <c r="I7758" s="545">
        <v>14.333333333333334</v>
      </c>
      <c r="J7758" s="545">
        <v>13.297619047619047</v>
      </c>
    </row>
    <row r="7759" spans="1:10">
      <c r="A7759" s="441">
        <v>10403</v>
      </c>
      <c r="B7759" s="441" t="s">
        <v>6322</v>
      </c>
      <c r="C7759" s="545">
        <v>63.333333333333336</v>
      </c>
      <c r="D7759" s="545">
        <v>48</v>
      </c>
      <c r="E7759" s="545">
        <v>35</v>
      </c>
      <c r="F7759" s="545">
        <v>57.095238095238095</v>
      </c>
      <c r="G7759" s="545">
        <v>46.15</v>
      </c>
      <c r="H7759" s="545">
        <v>33.333333333333336</v>
      </c>
      <c r="I7759" s="545">
        <v>27.333333333333332</v>
      </c>
      <c r="J7759" s="545">
        <v>41.630952380952372</v>
      </c>
    </row>
    <row r="7760" spans="1:10">
      <c r="A7760" s="441">
        <v>12242</v>
      </c>
      <c r="B7760" s="441" t="s">
        <v>6322</v>
      </c>
      <c r="C7760" s="545">
        <v>73.666666666666657</v>
      </c>
      <c r="D7760" s="545">
        <v>48.333333333333329</v>
      </c>
      <c r="E7760" s="545">
        <v>37.333333333333336</v>
      </c>
      <c r="F7760" s="545">
        <v>64.857142857142847</v>
      </c>
      <c r="G7760" s="545">
        <v>53.15</v>
      </c>
      <c r="H7760" s="545">
        <v>43.666666666666664</v>
      </c>
      <c r="I7760" s="545">
        <v>39.333333333333336</v>
      </c>
      <c r="J7760" s="545">
        <v>49.821428571428569</v>
      </c>
    </row>
    <row r="7761" spans="1:10">
      <c r="A7761" s="441">
        <v>6879</v>
      </c>
      <c r="B7761" s="441" t="s">
        <v>6323</v>
      </c>
      <c r="C7761" s="545">
        <v>11.666666666666666</v>
      </c>
      <c r="D7761" s="545">
        <v>6.6666666666666661</v>
      </c>
      <c r="E7761" s="545">
        <v>6.6666666666666661</v>
      </c>
      <c r="F7761" s="545">
        <v>10.238095238095239</v>
      </c>
      <c r="G7761" s="545">
        <v>9.0500000000000007</v>
      </c>
      <c r="H7761" s="545">
        <v>6.666666666666667</v>
      </c>
      <c r="I7761" s="545">
        <v>3.6666666666666665</v>
      </c>
      <c r="J7761" s="545">
        <v>7.9404761904761898</v>
      </c>
    </row>
    <row r="7762" spans="1:10">
      <c r="A7762" s="441">
        <v>6884</v>
      </c>
      <c r="B7762" s="441" t="s">
        <v>6323</v>
      </c>
      <c r="C7762" s="545">
        <v>12.333333333333332</v>
      </c>
      <c r="D7762" s="545">
        <v>11.333333333333334</v>
      </c>
      <c r="E7762" s="545">
        <v>3.6666666666666665</v>
      </c>
      <c r="F7762" s="545">
        <v>10.952380952380951</v>
      </c>
      <c r="G7762" s="545">
        <v>7.85</v>
      </c>
      <c r="H7762" s="545">
        <v>5</v>
      </c>
      <c r="I7762" s="545">
        <v>4</v>
      </c>
      <c r="J7762" s="545">
        <v>6.8928571428571432</v>
      </c>
    </row>
    <row r="7763" spans="1:10">
      <c r="A7763" s="441">
        <v>5725</v>
      </c>
      <c r="B7763" s="441" t="s">
        <v>6324</v>
      </c>
      <c r="C7763" s="545">
        <v>26.166666666666668</v>
      </c>
      <c r="D7763" s="545">
        <v>13</v>
      </c>
      <c r="E7763" s="545">
        <v>9.3333333333333321</v>
      </c>
      <c r="F7763" s="545">
        <v>21.880952380952383</v>
      </c>
      <c r="G7763" s="545">
        <v>13</v>
      </c>
      <c r="H7763" s="545">
        <v>2.3333333333333335</v>
      </c>
      <c r="I7763" s="545">
        <v>4</v>
      </c>
      <c r="J7763" s="545">
        <v>10.19047619047619</v>
      </c>
    </row>
    <row r="7764" spans="1:10">
      <c r="A7764" s="441">
        <v>5728</v>
      </c>
      <c r="B7764" s="441" t="s">
        <v>6324</v>
      </c>
      <c r="C7764" s="545">
        <v>31</v>
      </c>
      <c r="D7764" s="545">
        <v>39.333333333333336</v>
      </c>
      <c r="E7764" s="545">
        <v>21.333333333333332</v>
      </c>
      <c r="F7764" s="545">
        <v>30.809523809523814</v>
      </c>
      <c r="G7764" s="545">
        <v>12.6</v>
      </c>
      <c r="H7764" s="545">
        <v>14.666666666666666</v>
      </c>
      <c r="I7764" s="545">
        <v>9.6666666666666661</v>
      </c>
      <c r="J7764" s="545">
        <v>12.476190476190478</v>
      </c>
    </row>
    <row r="7765" spans="1:10">
      <c r="A7765" s="441">
        <v>5726</v>
      </c>
      <c r="B7765" s="441" t="s">
        <v>6325</v>
      </c>
      <c r="C7765" s="545">
        <v>22.5</v>
      </c>
      <c r="D7765" s="545">
        <v>17</v>
      </c>
      <c r="E7765" s="545">
        <v>18.666666666666668</v>
      </c>
      <c r="F7765" s="545">
        <v>21.166666666666664</v>
      </c>
      <c r="G7765" s="545">
        <v>20.399999999999999</v>
      </c>
      <c r="H7765" s="545">
        <v>10</v>
      </c>
      <c r="I7765" s="545">
        <v>8.6666666666666661</v>
      </c>
      <c r="J7765" s="545">
        <v>17.238095238095237</v>
      </c>
    </row>
    <row r="7766" spans="1:10">
      <c r="A7766" s="441">
        <v>6057</v>
      </c>
      <c r="B7766" s="441" t="s">
        <v>6326</v>
      </c>
      <c r="C7766" s="545">
        <v>73.833333333333329</v>
      </c>
      <c r="D7766" s="545">
        <v>55</v>
      </c>
      <c r="E7766" s="545">
        <v>47</v>
      </c>
      <c r="F7766" s="545">
        <v>67.30952380952381</v>
      </c>
      <c r="G7766" s="545">
        <v>43.45</v>
      </c>
      <c r="H7766" s="545">
        <v>198.66666666666666</v>
      </c>
      <c r="I7766" s="545">
        <v>16.333333333333332</v>
      </c>
      <c r="J7766" s="545">
        <v>61.749999999999993</v>
      </c>
    </row>
    <row r="7767" spans="1:10">
      <c r="A7767" s="441">
        <v>6080</v>
      </c>
      <c r="B7767" s="441" t="s">
        <v>6326</v>
      </c>
      <c r="C7767" s="545">
        <v>51.833333333333336</v>
      </c>
      <c r="D7767" s="545">
        <v>34.666666666666664</v>
      </c>
      <c r="E7767" s="545">
        <v>34.333333333333336</v>
      </c>
      <c r="F7767" s="545">
        <v>46.880952380952387</v>
      </c>
      <c r="G7767" s="545">
        <v>31.55</v>
      </c>
      <c r="H7767" s="545">
        <v>33</v>
      </c>
      <c r="I7767" s="545">
        <v>20.333333333333332</v>
      </c>
      <c r="J7767" s="545">
        <v>30.154761904761905</v>
      </c>
    </row>
    <row r="7768" spans="1:10">
      <c r="A7768" s="441">
        <v>6055</v>
      </c>
      <c r="B7768" s="441" t="s">
        <v>6327</v>
      </c>
      <c r="C7768" s="545">
        <v>43.833333333333336</v>
      </c>
      <c r="D7768" s="545">
        <v>42.333333333333336</v>
      </c>
      <c r="E7768" s="545">
        <v>30.333333333333336</v>
      </c>
      <c r="F7768" s="545">
        <v>41.69047619047619</v>
      </c>
      <c r="G7768" s="545">
        <v>11.55</v>
      </c>
      <c r="H7768" s="545">
        <v>6.333333333333333</v>
      </c>
      <c r="I7768" s="545">
        <v>7.666666666666667</v>
      </c>
      <c r="J7768" s="545">
        <v>10.25</v>
      </c>
    </row>
    <row r="7769" spans="1:10">
      <c r="A7769" s="441">
        <v>6082</v>
      </c>
      <c r="B7769" s="441" t="s">
        <v>6327</v>
      </c>
      <c r="C7769" s="545">
        <v>35.5</v>
      </c>
      <c r="D7769" s="545">
        <v>28.333333333333336</v>
      </c>
      <c r="E7769" s="545">
        <v>31.333333333333336</v>
      </c>
      <c r="F7769" s="545">
        <v>33.880952380952387</v>
      </c>
      <c r="G7769" s="545">
        <v>11.35</v>
      </c>
      <c r="H7769" s="545">
        <v>9.6666666666666661</v>
      </c>
      <c r="I7769" s="545">
        <v>5.333333333333333</v>
      </c>
      <c r="J7769" s="545">
        <v>10.25</v>
      </c>
    </row>
    <row r="7770" spans="1:10">
      <c r="A7770" s="441">
        <v>6060</v>
      </c>
      <c r="B7770" s="441" t="s">
        <v>6328</v>
      </c>
      <c r="C7770" s="545">
        <v>95</v>
      </c>
      <c r="D7770" s="545">
        <v>58.666666666666671</v>
      </c>
      <c r="E7770" s="545">
        <v>49</v>
      </c>
      <c r="F7770" s="545">
        <v>83.238095238095227</v>
      </c>
      <c r="G7770" s="545">
        <v>38.950000000000003</v>
      </c>
      <c r="H7770" s="545">
        <v>17.666666666666668</v>
      </c>
      <c r="I7770" s="545">
        <v>16</v>
      </c>
      <c r="J7770" s="545">
        <v>32.63095238095238</v>
      </c>
    </row>
    <row r="7771" spans="1:10">
      <c r="A7771" s="441">
        <v>6077</v>
      </c>
      <c r="B7771" s="441" t="s">
        <v>6328</v>
      </c>
      <c r="C7771" s="545">
        <v>218</v>
      </c>
      <c r="D7771" s="545">
        <v>143.33333333333331</v>
      </c>
      <c r="E7771" s="545">
        <v>126.66666666666666</v>
      </c>
      <c r="F7771" s="545">
        <v>194.28571428571428</v>
      </c>
      <c r="G7771" s="545">
        <v>110.2</v>
      </c>
      <c r="H7771" s="545">
        <v>72.666666666666671</v>
      </c>
      <c r="I7771" s="545">
        <v>42.666666666666664</v>
      </c>
      <c r="J7771" s="545">
        <v>95.190476190476176</v>
      </c>
    </row>
    <row r="7772" spans="1:10">
      <c r="A7772" s="441">
        <v>6056</v>
      </c>
      <c r="B7772" s="441" t="s">
        <v>6329</v>
      </c>
      <c r="C7772" s="545">
        <v>40.5</v>
      </c>
      <c r="D7772" s="545">
        <v>21.666666666666664</v>
      </c>
      <c r="E7772" s="545">
        <v>14</v>
      </c>
      <c r="F7772" s="545">
        <v>34.023809523809526</v>
      </c>
      <c r="G7772" s="545">
        <v>14.65</v>
      </c>
      <c r="H7772" s="545">
        <v>6</v>
      </c>
      <c r="I7772" s="545">
        <v>8.6666666666666661</v>
      </c>
      <c r="J7772" s="545">
        <v>12.55952380952381</v>
      </c>
    </row>
    <row r="7773" spans="1:10">
      <c r="A7773" s="441">
        <v>6081</v>
      </c>
      <c r="B7773" s="441" t="s">
        <v>6329</v>
      </c>
      <c r="C7773" s="545">
        <v>30.166666666666668</v>
      </c>
      <c r="D7773" s="545">
        <v>19.666666666666668</v>
      </c>
      <c r="E7773" s="545">
        <v>16.666666666666668</v>
      </c>
      <c r="F7773" s="545">
        <v>26.738095238095237</v>
      </c>
      <c r="G7773" s="545">
        <v>22.9</v>
      </c>
      <c r="H7773" s="545">
        <v>7.333333333333333</v>
      </c>
      <c r="I7773" s="545">
        <v>11</v>
      </c>
      <c r="J7773" s="545">
        <v>18.976190476190474</v>
      </c>
    </row>
    <row r="7774" spans="1:10">
      <c r="A7774" s="441">
        <v>6446</v>
      </c>
      <c r="B7774" s="441" t="s">
        <v>6330</v>
      </c>
      <c r="C7774" s="545">
        <v>90.333333333333343</v>
      </c>
      <c r="D7774" s="545">
        <v>52.333333333333329</v>
      </c>
      <c r="E7774" s="545">
        <v>43.666666666666671</v>
      </c>
      <c r="F7774" s="545">
        <v>78.238095238095255</v>
      </c>
      <c r="G7774" s="545">
        <v>41.1</v>
      </c>
      <c r="H7774" s="545">
        <v>28.333333333333332</v>
      </c>
      <c r="I7774" s="545">
        <v>18.666666666666668</v>
      </c>
      <c r="J7774" s="545">
        <v>36.071428571428569</v>
      </c>
    </row>
    <row r="7775" spans="1:10">
      <c r="A7775" s="441">
        <v>6423</v>
      </c>
      <c r="B7775" s="441" t="s">
        <v>6331</v>
      </c>
      <c r="C7775" s="545">
        <v>9.5</v>
      </c>
      <c r="D7775" s="545">
        <v>4.333333333333333</v>
      </c>
      <c r="E7775" s="545">
        <v>1.3333333333333333</v>
      </c>
      <c r="F7775" s="545">
        <v>7.5952380952380958</v>
      </c>
      <c r="G7775" s="545">
        <v>4.5999999999999996</v>
      </c>
      <c r="H7775" s="545">
        <v>2</v>
      </c>
      <c r="I7775" s="545">
        <v>1.6666666666666667</v>
      </c>
      <c r="J7775" s="545">
        <v>3.8095238095238098</v>
      </c>
    </row>
    <row r="7776" spans="1:10">
      <c r="A7776" s="441">
        <v>6444</v>
      </c>
      <c r="B7776" s="441" t="s">
        <v>6331</v>
      </c>
      <c r="C7776" s="545">
        <v>5.3333333333333339</v>
      </c>
      <c r="D7776" s="545">
        <v>1.3333333333333333</v>
      </c>
      <c r="E7776" s="545">
        <v>2</v>
      </c>
      <c r="F7776" s="545">
        <v>4.2857142857142865</v>
      </c>
      <c r="G7776" s="545">
        <v>2.5499999999999998</v>
      </c>
      <c r="H7776" s="545">
        <v>2.3333333333333335</v>
      </c>
      <c r="I7776" s="545">
        <v>2.3333333333333335</v>
      </c>
      <c r="J7776" s="545">
        <v>2.4880952380952381</v>
      </c>
    </row>
    <row r="7777" spans="1:10">
      <c r="A7777" s="441">
        <v>6421</v>
      </c>
      <c r="B7777" s="441" t="s">
        <v>6332</v>
      </c>
      <c r="C7777" s="545">
        <v>99.166666666666657</v>
      </c>
      <c r="D7777" s="545">
        <v>51</v>
      </c>
      <c r="E7777" s="545">
        <v>35.333333333333329</v>
      </c>
      <c r="F7777" s="545">
        <v>83.166666666666657</v>
      </c>
      <c r="G7777" s="545">
        <v>53.7</v>
      </c>
      <c r="H7777" s="545">
        <v>25.333333333333332</v>
      </c>
      <c r="I7777" s="545">
        <v>17</v>
      </c>
      <c r="J7777" s="545">
        <v>44.404761904761905</v>
      </c>
    </row>
    <row r="7778" spans="1:10">
      <c r="A7778" s="441">
        <v>6447</v>
      </c>
      <c r="B7778" s="441" t="s">
        <v>6332</v>
      </c>
      <c r="C7778" s="545">
        <v>82.5</v>
      </c>
      <c r="D7778" s="545">
        <v>50</v>
      </c>
      <c r="E7778" s="545">
        <v>25.666666666666664</v>
      </c>
      <c r="F7778" s="545">
        <v>69.738095238095241</v>
      </c>
      <c r="G7778" s="545">
        <v>49.3</v>
      </c>
      <c r="H7778" s="545">
        <v>25.333333333333332</v>
      </c>
      <c r="I7778" s="545">
        <v>15.666666666666666</v>
      </c>
      <c r="J7778" s="545">
        <v>41.071428571428569</v>
      </c>
    </row>
    <row r="7779" spans="1:10">
      <c r="A7779" s="441">
        <v>6424</v>
      </c>
      <c r="B7779" s="441" t="s">
        <v>6333</v>
      </c>
      <c r="C7779" s="545">
        <v>18.666666666666664</v>
      </c>
      <c r="D7779" s="545">
        <v>10.333333333333332</v>
      </c>
      <c r="E7779" s="545">
        <v>9</v>
      </c>
      <c r="F7779" s="545">
        <v>16.095238095238091</v>
      </c>
      <c r="G7779" s="545">
        <v>14.85</v>
      </c>
      <c r="H7779" s="545">
        <v>10.333333333333334</v>
      </c>
      <c r="I7779" s="545">
        <v>4.666666666666667</v>
      </c>
      <c r="J7779" s="545">
        <v>12.75</v>
      </c>
    </row>
    <row r="7780" spans="1:10">
      <c r="A7780" s="441">
        <v>6443</v>
      </c>
      <c r="B7780" s="441" t="s">
        <v>6333</v>
      </c>
      <c r="C7780" s="545">
        <v>16.333333333333336</v>
      </c>
      <c r="D7780" s="545">
        <v>5</v>
      </c>
      <c r="E7780" s="545">
        <v>6</v>
      </c>
      <c r="F7780" s="545">
        <v>13.238095238095241</v>
      </c>
      <c r="G7780" s="545">
        <v>9.65</v>
      </c>
      <c r="H7780" s="545">
        <v>10.666666666666666</v>
      </c>
      <c r="I7780" s="545">
        <v>7</v>
      </c>
      <c r="J7780" s="545">
        <v>9.4166666666666661</v>
      </c>
    </row>
    <row r="7781" spans="1:10">
      <c r="A7781" s="441">
        <v>6422</v>
      </c>
      <c r="B7781" s="441" t="s">
        <v>6334</v>
      </c>
      <c r="C7781" s="545">
        <v>39</v>
      </c>
      <c r="D7781" s="545">
        <v>26</v>
      </c>
      <c r="E7781" s="545">
        <v>19</v>
      </c>
      <c r="F7781" s="545">
        <v>34.285714285714285</v>
      </c>
      <c r="G7781" s="545">
        <v>26.35</v>
      </c>
      <c r="H7781" s="545">
        <v>14.333333333333334</v>
      </c>
      <c r="I7781" s="545">
        <v>15.666666666666666</v>
      </c>
      <c r="J7781" s="545">
        <v>23.107142857142858</v>
      </c>
    </row>
    <row r="7782" spans="1:10">
      <c r="A7782" s="441">
        <v>6445</v>
      </c>
      <c r="B7782" s="441" t="s">
        <v>6334</v>
      </c>
      <c r="C7782" s="545">
        <v>18</v>
      </c>
      <c r="D7782" s="545">
        <v>9.3333333333333339</v>
      </c>
      <c r="E7782" s="545">
        <v>7.333333333333333</v>
      </c>
      <c r="F7782" s="545">
        <v>15.238095238095237</v>
      </c>
      <c r="G7782" s="545">
        <v>13.1</v>
      </c>
      <c r="H7782" s="545">
        <v>12.333333333333334</v>
      </c>
      <c r="I7782" s="545">
        <v>6</v>
      </c>
      <c r="J7782" s="545">
        <v>11.976190476190476</v>
      </c>
    </row>
    <row r="7783" spans="1:10">
      <c r="A7783" s="441">
        <v>6425</v>
      </c>
      <c r="B7783" s="441" t="s">
        <v>6335</v>
      </c>
      <c r="C7783" s="545">
        <v>112.5</v>
      </c>
      <c r="D7783" s="545">
        <v>86</v>
      </c>
      <c r="E7783" s="545">
        <v>57.333333333333336</v>
      </c>
      <c r="F7783" s="545">
        <v>100.83333333333334</v>
      </c>
      <c r="G7783" s="545">
        <v>63.05</v>
      </c>
      <c r="H7783" s="545">
        <v>42.666666666666664</v>
      </c>
      <c r="I7783" s="545">
        <v>26.666666666666668</v>
      </c>
      <c r="J7783" s="545">
        <v>54.940476190476197</v>
      </c>
    </row>
    <row r="7784" spans="1:10">
      <c r="A7784" s="441">
        <v>646</v>
      </c>
      <c r="B7784" s="441" t="s">
        <v>6336</v>
      </c>
      <c r="C7784" s="545">
        <v>27.5</v>
      </c>
      <c r="D7784" s="545">
        <v>6</v>
      </c>
      <c r="E7784" s="545">
        <v>4</v>
      </c>
      <c r="F7784" s="545">
        <v>21.071428571428573</v>
      </c>
      <c r="G7784" s="545">
        <v>15.5</v>
      </c>
      <c r="H7784" s="545">
        <v>3.3333333333333335</v>
      </c>
      <c r="I7784" s="545">
        <v>0.66666666666666663</v>
      </c>
      <c r="J7784" s="545">
        <v>11.642857142857142</v>
      </c>
    </row>
    <row r="7785" spans="1:10">
      <c r="A7785" s="441">
        <v>9974</v>
      </c>
      <c r="B7785" s="441" t="s">
        <v>6336</v>
      </c>
      <c r="C7785" s="545">
        <v>36.166666666666664</v>
      </c>
      <c r="D7785" s="545">
        <v>11.666666666666668</v>
      </c>
      <c r="E7785" s="545">
        <v>7.6666666666666661</v>
      </c>
      <c r="F7785" s="545">
        <v>28.595238095238091</v>
      </c>
      <c r="G7785" s="545">
        <v>23.4</v>
      </c>
      <c r="H7785" s="545">
        <v>12.333333333333334</v>
      </c>
      <c r="I7785" s="545">
        <v>2</v>
      </c>
      <c r="J7785" s="545">
        <v>18.761904761904763</v>
      </c>
    </row>
    <row r="7786" spans="1:10">
      <c r="A7786" s="441">
        <v>3383</v>
      </c>
      <c r="B7786" s="441" t="s">
        <v>6337</v>
      </c>
      <c r="C7786" s="545">
        <v>52.5</v>
      </c>
      <c r="D7786" s="545">
        <v>9.6666666666666679</v>
      </c>
      <c r="E7786" s="545">
        <v>5.6666666666666661</v>
      </c>
      <c r="F7786" s="545">
        <v>39.690476190476197</v>
      </c>
      <c r="G7786" s="545">
        <v>23.75</v>
      </c>
      <c r="H7786" s="545">
        <v>5</v>
      </c>
      <c r="I7786" s="545">
        <v>5</v>
      </c>
      <c r="J7786" s="545">
        <v>18.392857142857142</v>
      </c>
    </row>
    <row r="7787" spans="1:10">
      <c r="A7787" s="441">
        <v>9988</v>
      </c>
      <c r="B7787" s="441" t="s">
        <v>6337</v>
      </c>
      <c r="C7787" s="545">
        <v>39.333333333333336</v>
      </c>
      <c r="D7787" s="545">
        <v>8</v>
      </c>
      <c r="E7787" s="545">
        <v>6.333333333333333</v>
      </c>
      <c r="F7787" s="545">
        <v>30.142857142857146</v>
      </c>
      <c r="G7787" s="545">
        <v>15.45</v>
      </c>
      <c r="H7787" s="545">
        <v>4.333333333333333</v>
      </c>
      <c r="I7787" s="545">
        <v>2</v>
      </c>
      <c r="J7787" s="545">
        <v>11.94047619047619</v>
      </c>
    </row>
    <row r="7788" spans="1:10">
      <c r="A7788" s="441">
        <v>3357</v>
      </c>
      <c r="B7788" s="441" t="s">
        <v>6338</v>
      </c>
      <c r="C7788" s="545">
        <v>23</v>
      </c>
      <c r="D7788" s="545">
        <v>19.333333333333332</v>
      </c>
      <c r="E7788" s="545">
        <v>14.333333333333332</v>
      </c>
      <c r="F7788" s="545">
        <v>21.238095238095241</v>
      </c>
      <c r="G7788" s="545">
        <v>14.25</v>
      </c>
      <c r="H7788" s="545">
        <v>14.666666666666666</v>
      </c>
      <c r="I7788" s="545">
        <v>8</v>
      </c>
      <c r="J7788" s="545">
        <v>13.416666666666668</v>
      </c>
    </row>
    <row r="7789" spans="1:10">
      <c r="A7789" s="441">
        <v>3368</v>
      </c>
      <c r="B7789" s="441" t="s">
        <v>6339</v>
      </c>
      <c r="C7789" s="545">
        <v>7.166666666666667</v>
      </c>
      <c r="D7789" s="545">
        <v>10</v>
      </c>
      <c r="E7789" s="545">
        <v>4.3333333333333339</v>
      </c>
      <c r="F7789" s="545">
        <v>7.166666666666667</v>
      </c>
      <c r="G7789" s="545">
        <v>12.35</v>
      </c>
      <c r="H7789" s="545">
        <v>5.333333333333333</v>
      </c>
      <c r="I7789" s="545">
        <v>6.666666666666667</v>
      </c>
      <c r="J7789" s="545">
        <v>10.535714285714286</v>
      </c>
    </row>
    <row r="7790" spans="1:10">
      <c r="A7790" s="441">
        <v>3377</v>
      </c>
      <c r="B7790" s="441" t="s">
        <v>6339</v>
      </c>
      <c r="C7790" s="545">
        <v>7.3333333333333339</v>
      </c>
      <c r="D7790" s="545">
        <v>6.666666666666667</v>
      </c>
      <c r="E7790" s="545">
        <v>4.3333333333333339</v>
      </c>
      <c r="F7790" s="545">
        <v>6.8095238095238102</v>
      </c>
      <c r="G7790" s="545">
        <v>34.5</v>
      </c>
      <c r="H7790" s="545">
        <v>6.333333333333333</v>
      </c>
      <c r="I7790" s="545">
        <v>9.3333333333333339</v>
      </c>
      <c r="J7790" s="545">
        <v>26.880952380952383</v>
      </c>
    </row>
    <row r="7791" spans="1:10">
      <c r="A7791" s="441">
        <v>3364</v>
      </c>
      <c r="B7791" s="441" t="s">
        <v>6340</v>
      </c>
      <c r="C7791" s="545">
        <v>18.833333333333336</v>
      </c>
      <c r="D7791" s="545">
        <v>6.3333333333333339</v>
      </c>
      <c r="E7791" s="545">
        <v>3.3333333333333335</v>
      </c>
      <c r="F7791" s="545">
        <v>14.833333333333334</v>
      </c>
      <c r="G7791" s="545">
        <v>7.75</v>
      </c>
      <c r="H7791" s="545">
        <v>2.3333333333333335</v>
      </c>
      <c r="I7791" s="545">
        <v>2.6666666666666665</v>
      </c>
      <c r="J7791" s="545">
        <v>6.25</v>
      </c>
    </row>
    <row r="7792" spans="1:10">
      <c r="A7792" s="441">
        <v>3381</v>
      </c>
      <c r="B7792" s="441" t="s">
        <v>6340</v>
      </c>
      <c r="C7792" s="545">
        <v>19.5</v>
      </c>
      <c r="D7792" s="545">
        <v>3</v>
      </c>
      <c r="E7792" s="545">
        <v>1.6666666666666665</v>
      </c>
      <c r="F7792" s="545">
        <v>14.595238095238097</v>
      </c>
      <c r="G7792" s="545">
        <v>6.75</v>
      </c>
      <c r="H7792" s="545">
        <v>1</v>
      </c>
      <c r="I7792" s="545">
        <v>1.6666666666666667</v>
      </c>
      <c r="J7792" s="545">
        <v>5.2023809523809517</v>
      </c>
    </row>
    <row r="7793" spans="1:10">
      <c r="A7793" s="441">
        <v>3360</v>
      </c>
      <c r="B7793" s="441" t="s">
        <v>6341</v>
      </c>
      <c r="C7793" s="545">
        <v>34.833333333333329</v>
      </c>
      <c r="D7793" s="545">
        <v>9.3333333333333321</v>
      </c>
      <c r="E7793" s="545">
        <v>8</v>
      </c>
      <c r="F7793" s="545">
        <v>27.357142857142854</v>
      </c>
      <c r="G7793" s="545">
        <v>28.9</v>
      </c>
      <c r="H7793" s="545">
        <v>12.666666666666666</v>
      </c>
      <c r="I7793" s="545">
        <v>10</v>
      </c>
      <c r="J7793" s="545">
        <v>23.88095238095238</v>
      </c>
    </row>
    <row r="7794" spans="1:10">
      <c r="A7794" s="441">
        <v>3385</v>
      </c>
      <c r="B7794" s="441" t="s">
        <v>6341</v>
      </c>
      <c r="C7794" s="545">
        <v>42.666666666666671</v>
      </c>
      <c r="D7794" s="545">
        <v>17.333333333333332</v>
      </c>
      <c r="E7794" s="545">
        <v>9.6666666666666679</v>
      </c>
      <c r="F7794" s="545">
        <v>34.333333333333336</v>
      </c>
      <c r="G7794" s="545">
        <v>21.6</v>
      </c>
      <c r="H7794" s="545">
        <v>11</v>
      </c>
      <c r="I7794" s="545">
        <v>12.666666666666666</v>
      </c>
      <c r="J7794" s="545">
        <v>18.809523809523807</v>
      </c>
    </row>
    <row r="7795" spans="1:10">
      <c r="A7795" s="441">
        <v>3388</v>
      </c>
      <c r="B7795" s="441" t="s">
        <v>6342</v>
      </c>
      <c r="C7795" s="545">
        <v>25.166666666666664</v>
      </c>
      <c r="D7795" s="545">
        <v>14.333333333333332</v>
      </c>
      <c r="E7795" s="545">
        <v>9.3333333333333321</v>
      </c>
      <c r="F7795" s="545">
        <v>21.357142857142858</v>
      </c>
      <c r="G7795" s="545">
        <v>19.95</v>
      </c>
      <c r="H7795" s="545">
        <v>12.333333333333334</v>
      </c>
      <c r="I7795" s="545">
        <v>6</v>
      </c>
      <c r="J7795" s="545">
        <v>16.869047619047617</v>
      </c>
    </row>
    <row r="7796" spans="1:10">
      <c r="A7796" s="441">
        <v>3365</v>
      </c>
      <c r="B7796" s="441" t="s">
        <v>6343</v>
      </c>
      <c r="C7796" s="545">
        <v>6.333333333333333</v>
      </c>
      <c r="D7796" s="545">
        <v>3</v>
      </c>
      <c r="E7796" s="545">
        <v>0.66666666666666663</v>
      </c>
      <c r="F7796" s="545">
        <v>5.0476190476190466</v>
      </c>
      <c r="G7796" s="545">
        <v>4.8499999999999996</v>
      </c>
      <c r="H7796" s="545">
        <v>1.6666666666666667</v>
      </c>
      <c r="I7796" s="545">
        <v>2</v>
      </c>
      <c r="J7796" s="545">
        <v>3.9880952380952381</v>
      </c>
    </row>
    <row r="7797" spans="1:10">
      <c r="A7797" s="441">
        <v>3380</v>
      </c>
      <c r="B7797" s="441" t="s">
        <v>6343</v>
      </c>
      <c r="C7797" s="545">
        <v>6.5</v>
      </c>
      <c r="D7797" s="545">
        <v>0.66666666666666663</v>
      </c>
      <c r="E7797" s="545">
        <v>3.333333333333333</v>
      </c>
      <c r="F7797" s="545">
        <v>5.2142857142857144</v>
      </c>
      <c r="G7797" s="545">
        <v>5.4</v>
      </c>
      <c r="H7797" s="545">
        <v>4</v>
      </c>
      <c r="I7797" s="545">
        <v>1.3333333333333333</v>
      </c>
      <c r="J7797" s="545">
        <v>4.6190476190476195</v>
      </c>
    </row>
    <row r="7798" spans="1:10">
      <c r="A7798" s="441">
        <v>3376</v>
      </c>
      <c r="B7798" s="441" t="s">
        <v>6344</v>
      </c>
      <c r="C7798" s="545">
        <v>7.166666666666667</v>
      </c>
      <c r="D7798" s="545">
        <v>4.3333333333333339</v>
      </c>
      <c r="E7798" s="545">
        <v>2</v>
      </c>
      <c r="F7798" s="545">
        <v>6.0238095238095246</v>
      </c>
      <c r="G7798" s="545">
        <v>20.100000000000001</v>
      </c>
      <c r="H7798" s="545">
        <v>8.6666666666666661</v>
      </c>
      <c r="I7798" s="545">
        <v>5.666666666666667</v>
      </c>
      <c r="J7798" s="545">
        <v>16.404761904761905</v>
      </c>
    </row>
    <row r="7799" spans="1:10">
      <c r="A7799" s="441">
        <v>3363</v>
      </c>
      <c r="B7799" s="441" t="s">
        <v>6345</v>
      </c>
      <c r="C7799" s="545">
        <v>48.833333333333336</v>
      </c>
      <c r="D7799" s="545">
        <v>38.666666666666664</v>
      </c>
      <c r="E7799" s="545">
        <v>36.666666666666664</v>
      </c>
      <c r="F7799" s="545">
        <v>45.642857142857153</v>
      </c>
      <c r="G7799" s="545">
        <v>52.05</v>
      </c>
      <c r="H7799" s="545">
        <v>23.666666666666668</v>
      </c>
      <c r="I7799" s="545">
        <v>19.666666666666668</v>
      </c>
      <c r="J7799" s="545">
        <v>43.369047619047628</v>
      </c>
    </row>
    <row r="7800" spans="1:10">
      <c r="A7800" s="441">
        <v>3382</v>
      </c>
      <c r="B7800" s="441" t="s">
        <v>6345</v>
      </c>
      <c r="C7800" s="545">
        <v>59.333333333333329</v>
      </c>
      <c r="D7800" s="545">
        <v>57.333333333333329</v>
      </c>
      <c r="E7800" s="545">
        <v>46.333333333333329</v>
      </c>
      <c r="F7800" s="545">
        <v>57.190476190476183</v>
      </c>
      <c r="G7800" s="545">
        <v>47.3</v>
      </c>
      <c r="H7800" s="545">
        <v>30</v>
      </c>
      <c r="I7800" s="545">
        <v>26</v>
      </c>
      <c r="J7800" s="545">
        <v>41.785714285714285</v>
      </c>
    </row>
    <row r="7801" spans="1:10">
      <c r="A7801" s="441">
        <v>3367</v>
      </c>
      <c r="B7801" s="441" t="s">
        <v>6346</v>
      </c>
      <c r="C7801" s="545">
        <v>18.833333333333336</v>
      </c>
      <c r="D7801" s="545">
        <v>5.3333333333333339</v>
      </c>
      <c r="E7801" s="545">
        <v>3.333333333333333</v>
      </c>
      <c r="F7801" s="545">
        <v>14.690476190476192</v>
      </c>
      <c r="G7801" s="545">
        <v>28.65</v>
      </c>
      <c r="H7801" s="545">
        <v>6</v>
      </c>
      <c r="I7801" s="545">
        <v>1.6666666666666667</v>
      </c>
      <c r="J7801" s="545">
        <v>21.559523809523807</v>
      </c>
    </row>
    <row r="7802" spans="1:10">
      <c r="A7802" s="441">
        <v>3378</v>
      </c>
      <c r="B7802" s="441" t="s">
        <v>6346</v>
      </c>
      <c r="C7802" s="545">
        <v>15.666666666666668</v>
      </c>
      <c r="D7802" s="545">
        <v>3</v>
      </c>
      <c r="E7802" s="545">
        <v>3.3333333333333335</v>
      </c>
      <c r="F7802" s="545">
        <v>12.095238095238097</v>
      </c>
      <c r="G7802" s="545">
        <v>14.2</v>
      </c>
      <c r="H7802" s="545">
        <v>8</v>
      </c>
      <c r="I7802" s="545">
        <v>3.6666666666666665</v>
      </c>
      <c r="J7802" s="545">
        <v>11.80952380952381</v>
      </c>
    </row>
    <row r="7803" spans="1:10">
      <c r="A7803" s="441">
        <v>3372</v>
      </c>
      <c r="B7803" s="441" t="s">
        <v>6347</v>
      </c>
      <c r="C7803" s="545">
        <v>12.166666666666668</v>
      </c>
      <c r="D7803" s="545">
        <v>10.666666666666668</v>
      </c>
      <c r="E7803" s="545">
        <v>7.333333333333333</v>
      </c>
      <c r="F7803" s="545">
        <v>11.261904761904763</v>
      </c>
      <c r="G7803" s="545">
        <v>10.199999999999999</v>
      </c>
      <c r="H7803" s="545">
        <v>4</v>
      </c>
      <c r="I7803" s="545">
        <v>4.666666666666667</v>
      </c>
      <c r="J7803" s="545">
        <v>8.5238095238095237</v>
      </c>
    </row>
    <row r="7804" spans="1:10">
      <c r="A7804" s="441">
        <v>3384</v>
      </c>
      <c r="B7804" s="441" t="s">
        <v>6348</v>
      </c>
      <c r="C7804" s="545">
        <v>2.3333333333333335</v>
      </c>
      <c r="D7804" s="545">
        <v>0.66666666666666663</v>
      </c>
      <c r="E7804" s="545">
        <v>1.3333333333333333</v>
      </c>
      <c r="F7804" s="545">
        <v>1.9523809523809526</v>
      </c>
      <c r="G7804" s="545">
        <v>10.7</v>
      </c>
      <c r="H7804" s="545">
        <v>3</v>
      </c>
      <c r="I7804" s="545">
        <v>0</v>
      </c>
      <c r="J7804" s="545">
        <v>8.0714285714285712</v>
      </c>
    </row>
    <row r="7805" spans="1:10">
      <c r="A7805" s="441">
        <v>3361</v>
      </c>
      <c r="B7805" s="441" t="s">
        <v>6349</v>
      </c>
      <c r="C7805" s="545">
        <v>34.5</v>
      </c>
      <c r="D7805" s="545">
        <v>7.3333333333333339</v>
      </c>
      <c r="E7805" s="545">
        <v>2</v>
      </c>
      <c r="F7805" s="545">
        <v>25.976190476190478</v>
      </c>
      <c r="G7805" s="545">
        <v>23.3</v>
      </c>
      <c r="H7805" s="545">
        <v>7.333333333333333</v>
      </c>
      <c r="I7805" s="545">
        <v>10.333333333333334</v>
      </c>
      <c r="J7805" s="545">
        <v>19.166666666666664</v>
      </c>
    </row>
    <row r="7806" spans="1:10">
      <c r="A7806" s="441">
        <v>3362</v>
      </c>
      <c r="B7806" s="441" t="s">
        <v>6349</v>
      </c>
      <c r="C7806" s="545">
        <v>3</v>
      </c>
      <c r="D7806" s="545">
        <v>5.6666666666666661</v>
      </c>
      <c r="E7806" s="545">
        <v>1.3333333333333333</v>
      </c>
      <c r="F7806" s="545">
        <v>3.1428571428571423</v>
      </c>
      <c r="G7806" s="545">
        <v>7.4</v>
      </c>
      <c r="H7806" s="545">
        <v>1</v>
      </c>
      <c r="I7806" s="545">
        <v>0</v>
      </c>
      <c r="J7806" s="545">
        <v>5.4285714285714288</v>
      </c>
    </row>
    <row r="7807" spans="1:10">
      <c r="A7807" s="441">
        <v>9987</v>
      </c>
      <c r="B7807" s="441" t="s">
        <v>6349</v>
      </c>
      <c r="C7807" s="545">
        <v>24.833333333333336</v>
      </c>
      <c r="D7807" s="545">
        <v>6.6666666666666661</v>
      </c>
      <c r="E7807" s="545">
        <v>2.666666666666667</v>
      </c>
      <c r="F7807" s="545">
        <v>19.071428571428573</v>
      </c>
      <c r="G7807" s="545">
        <v>18.350000000000001</v>
      </c>
      <c r="H7807" s="545">
        <v>6.333333333333333</v>
      </c>
      <c r="I7807" s="545">
        <v>4</v>
      </c>
      <c r="J7807" s="545">
        <v>14.583333333333332</v>
      </c>
    </row>
    <row r="7808" spans="1:10">
      <c r="A7808" s="441">
        <v>3370</v>
      </c>
      <c r="B7808" s="441" t="s">
        <v>6350</v>
      </c>
      <c r="C7808" s="545">
        <v>2.6666666666666665</v>
      </c>
      <c r="D7808" s="545">
        <v>2</v>
      </c>
      <c r="E7808" s="545">
        <v>3.666666666666667</v>
      </c>
      <c r="F7808" s="545">
        <v>2.7142857142857144</v>
      </c>
      <c r="G7808" s="545">
        <v>6.15</v>
      </c>
      <c r="H7808" s="545">
        <v>1.6666666666666667</v>
      </c>
      <c r="I7808" s="545">
        <v>1.3333333333333333</v>
      </c>
      <c r="J7808" s="545">
        <v>4.8214285714285712</v>
      </c>
    </row>
    <row r="7809" spans="1:10">
      <c r="A7809" s="441">
        <v>3358</v>
      </c>
      <c r="B7809" s="441" t="s">
        <v>6351</v>
      </c>
      <c r="C7809" s="545">
        <v>73</v>
      </c>
      <c r="D7809" s="545">
        <v>44.333333333333329</v>
      </c>
      <c r="E7809" s="545">
        <v>39</v>
      </c>
      <c r="F7809" s="545">
        <v>64.047619047619051</v>
      </c>
      <c r="G7809" s="545">
        <v>63.2</v>
      </c>
      <c r="H7809" s="545">
        <v>47</v>
      </c>
      <c r="I7809" s="545">
        <v>35.333333333333336</v>
      </c>
      <c r="J7809" s="545">
        <v>56.904761904761905</v>
      </c>
    </row>
    <row r="7810" spans="1:10">
      <c r="A7810" s="441">
        <v>3387</v>
      </c>
      <c r="B7810" s="441" t="s">
        <v>6351</v>
      </c>
      <c r="C7810" s="545">
        <v>78.333333333333329</v>
      </c>
      <c r="D7810" s="545">
        <v>54.333333333333329</v>
      </c>
      <c r="E7810" s="545">
        <v>31.666666666666664</v>
      </c>
      <c r="F7810" s="545">
        <v>68.238095238095227</v>
      </c>
      <c r="G7810" s="545">
        <v>69.75</v>
      </c>
      <c r="H7810" s="545">
        <v>43.666666666666664</v>
      </c>
      <c r="I7810" s="545">
        <v>34.333333333333336</v>
      </c>
      <c r="J7810" s="545">
        <v>60.964285714285715</v>
      </c>
    </row>
    <row r="7811" spans="1:10">
      <c r="A7811" s="441">
        <v>3366</v>
      </c>
      <c r="B7811" s="441" t="s">
        <v>6352</v>
      </c>
      <c r="C7811" s="545">
        <v>92.666666666666657</v>
      </c>
      <c r="D7811" s="545">
        <v>72.333333333333343</v>
      </c>
      <c r="E7811" s="545">
        <v>55.666666666666671</v>
      </c>
      <c r="F7811" s="545">
        <v>84.476190476190467</v>
      </c>
      <c r="G7811" s="545">
        <v>90.7</v>
      </c>
      <c r="H7811" s="545">
        <v>52.666666666666664</v>
      </c>
      <c r="I7811" s="545">
        <v>43.666666666666664</v>
      </c>
      <c r="J7811" s="545">
        <v>78.547619047619051</v>
      </c>
    </row>
    <row r="7812" spans="1:10">
      <c r="A7812" s="441">
        <v>12066</v>
      </c>
      <c r="B7812" s="441" t="s">
        <v>6352</v>
      </c>
      <c r="C7812" s="545">
        <v>79.5</v>
      </c>
      <c r="D7812" s="545">
        <v>52.333333333333329</v>
      </c>
      <c r="E7812" s="545">
        <v>36.666666666666664</v>
      </c>
      <c r="F7812" s="545">
        <v>69.5</v>
      </c>
      <c r="G7812" s="545">
        <v>78.849999999999994</v>
      </c>
      <c r="H7812" s="545">
        <v>46.333333333333336</v>
      </c>
      <c r="I7812" s="545">
        <v>46.666666666666664</v>
      </c>
      <c r="J7812" s="545">
        <v>69.607142857142861</v>
      </c>
    </row>
    <row r="7813" spans="1:10">
      <c r="A7813" s="441">
        <v>3359</v>
      </c>
      <c r="B7813" s="441" t="s">
        <v>6353</v>
      </c>
      <c r="C7813" s="545">
        <v>15.833333333333332</v>
      </c>
      <c r="D7813" s="545">
        <v>6.6666666666666661</v>
      </c>
      <c r="E7813" s="545">
        <v>4</v>
      </c>
      <c r="F7813" s="545">
        <v>12.833333333333332</v>
      </c>
      <c r="G7813" s="545">
        <v>13.3</v>
      </c>
      <c r="H7813" s="545">
        <v>3.3333333333333335</v>
      </c>
      <c r="I7813" s="545">
        <v>1</v>
      </c>
      <c r="J7813" s="545">
        <v>10.119047619047619</v>
      </c>
    </row>
    <row r="7814" spans="1:10">
      <c r="A7814" s="441">
        <v>3386</v>
      </c>
      <c r="B7814" s="441" t="s">
        <v>6353</v>
      </c>
      <c r="C7814" s="545">
        <v>23.666666666666664</v>
      </c>
      <c r="D7814" s="545">
        <v>11.666666666666668</v>
      </c>
      <c r="E7814" s="545">
        <v>9</v>
      </c>
      <c r="F7814" s="545">
        <v>19.857142857142854</v>
      </c>
      <c r="G7814" s="545">
        <v>15.75</v>
      </c>
      <c r="H7814" s="545">
        <v>6</v>
      </c>
      <c r="I7814" s="545">
        <v>3</v>
      </c>
      <c r="J7814" s="545">
        <v>12.535714285714286</v>
      </c>
    </row>
    <row r="7815" spans="1:10">
      <c r="A7815" s="441">
        <v>5331</v>
      </c>
      <c r="B7815" s="441" t="s">
        <v>6354</v>
      </c>
      <c r="C7815" s="545">
        <v>22</v>
      </c>
      <c r="D7815" s="545">
        <v>7.666666666666667</v>
      </c>
      <c r="E7815" s="545">
        <v>2.666666666666667</v>
      </c>
      <c r="F7815" s="545">
        <v>17.190476190476193</v>
      </c>
      <c r="G7815" s="545">
        <v>8.9</v>
      </c>
      <c r="H7815" s="545">
        <v>5.333333333333333</v>
      </c>
      <c r="I7815" s="545">
        <v>2.3333333333333335</v>
      </c>
      <c r="J7815" s="545">
        <v>7.4523809523809534</v>
      </c>
    </row>
    <row r="7816" spans="1:10">
      <c r="A7816" s="441">
        <v>5347</v>
      </c>
      <c r="B7816" s="441" t="s">
        <v>6354</v>
      </c>
      <c r="C7816" s="545">
        <v>14.666666666666668</v>
      </c>
      <c r="D7816" s="545">
        <v>8</v>
      </c>
      <c r="E7816" s="545">
        <v>2.3333333333333335</v>
      </c>
      <c r="F7816" s="545">
        <v>11.952380952380953</v>
      </c>
      <c r="G7816" s="545">
        <v>11.1</v>
      </c>
      <c r="H7816" s="545">
        <v>3.6666666666666665</v>
      </c>
      <c r="I7816" s="545">
        <v>1.3333333333333333</v>
      </c>
      <c r="J7816" s="545">
        <v>8.6428571428571423</v>
      </c>
    </row>
    <row r="7817" spans="1:10">
      <c r="A7817" s="441">
        <v>4726</v>
      </c>
      <c r="B7817" s="441" t="s">
        <v>6355</v>
      </c>
      <c r="C7817" s="545">
        <v>32.833333333333336</v>
      </c>
      <c r="D7817" s="545">
        <v>14.666666666666668</v>
      </c>
      <c r="E7817" s="545">
        <v>13.666666666666668</v>
      </c>
      <c r="F7817" s="545">
        <v>27.5</v>
      </c>
      <c r="G7817" s="545">
        <v>42.15</v>
      </c>
      <c r="H7817" s="545">
        <v>10.666666666666666</v>
      </c>
      <c r="I7817" s="545">
        <v>6.333333333333333</v>
      </c>
      <c r="J7817" s="545">
        <v>32.535714285714285</v>
      </c>
    </row>
    <row r="7818" spans="1:10">
      <c r="A7818" s="441">
        <v>4740</v>
      </c>
      <c r="B7818" s="441" t="s">
        <v>6355</v>
      </c>
      <c r="C7818" s="545">
        <v>30.333333333333332</v>
      </c>
      <c r="D7818" s="545">
        <v>15.333333333333332</v>
      </c>
      <c r="E7818" s="545">
        <v>7.666666666666667</v>
      </c>
      <c r="F7818" s="545">
        <v>24.952380952380953</v>
      </c>
      <c r="G7818" s="545">
        <v>40.75</v>
      </c>
      <c r="H7818" s="545">
        <v>8.6666666666666661</v>
      </c>
      <c r="I7818" s="545">
        <v>5.333333333333333</v>
      </c>
      <c r="J7818" s="545">
        <v>31.107142857142858</v>
      </c>
    </row>
    <row r="7819" spans="1:10">
      <c r="A7819" s="441">
        <v>4728</v>
      </c>
      <c r="B7819" s="441" t="s">
        <v>6356</v>
      </c>
      <c r="C7819" s="545">
        <v>20</v>
      </c>
      <c r="D7819" s="545">
        <v>12.666666666666668</v>
      </c>
      <c r="E7819" s="545">
        <v>11</v>
      </c>
      <c r="F7819" s="545">
        <v>17.666666666666668</v>
      </c>
      <c r="G7819" s="545">
        <v>11.35</v>
      </c>
      <c r="H7819" s="545">
        <v>4.333333333333333</v>
      </c>
      <c r="I7819" s="545">
        <v>7</v>
      </c>
      <c r="J7819" s="545">
        <v>9.7261904761904781</v>
      </c>
    </row>
    <row r="7820" spans="1:10">
      <c r="A7820" s="441">
        <v>4738</v>
      </c>
      <c r="B7820" s="441" t="s">
        <v>6356</v>
      </c>
      <c r="C7820" s="545">
        <v>16.5</v>
      </c>
      <c r="D7820" s="545">
        <v>8.6666666666666661</v>
      </c>
      <c r="E7820" s="545">
        <v>7.333333333333333</v>
      </c>
      <c r="F7820" s="545">
        <v>14.071428571428571</v>
      </c>
      <c r="G7820" s="545">
        <v>21.6</v>
      </c>
      <c r="H7820" s="545">
        <v>5.333333333333333</v>
      </c>
      <c r="I7820" s="545">
        <v>5.333333333333333</v>
      </c>
      <c r="J7820" s="545">
        <v>16.952380952380953</v>
      </c>
    </row>
    <row r="7821" spans="1:10">
      <c r="A7821" s="441">
        <v>12020</v>
      </c>
      <c r="B7821" s="441" t="s">
        <v>6357</v>
      </c>
      <c r="C7821" s="545">
        <v>12.166666666666666</v>
      </c>
      <c r="D7821" s="545">
        <v>14.666666666666666</v>
      </c>
      <c r="E7821" s="545">
        <v>9</v>
      </c>
      <c r="F7821" s="545">
        <v>12.071428571428571</v>
      </c>
      <c r="G7821" s="545">
        <v>17.2</v>
      </c>
      <c r="H7821" s="545">
        <v>4</v>
      </c>
      <c r="I7821" s="545">
        <v>2</v>
      </c>
      <c r="J7821" s="545">
        <v>13.142857142857142</v>
      </c>
    </row>
    <row r="7822" spans="1:10">
      <c r="A7822" s="441">
        <v>12021</v>
      </c>
      <c r="B7822" s="441" t="s">
        <v>6357</v>
      </c>
      <c r="C7822" s="545">
        <v>11.166666666666668</v>
      </c>
      <c r="D7822" s="545">
        <v>3.3333333333333335</v>
      </c>
      <c r="E7822" s="545">
        <v>4.666666666666667</v>
      </c>
      <c r="F7822" s="545">
        <v>9.1190476190476204</v>
      </c>
      <c r="G7822" s="545">
        <v>5.4</v>
      </c>
      <c r="H7822" s="545">
        <v>1.3333333333333333</v>
      </c>
      <c r="I7822" s="545">
        <v>1.6666666666666667</v>
      </c>
      <c r="J7822" s="545">
        <v>4.2857142857142856</v>
      </c>
    </row>
    <row r="7823" spans="1:10">
      <c r="A7823" s="441">
        <v>4723</v>
      </c>
      <c r="B7823" s="441" t="s">
        <v>6358</v>
      </c>
      <c r="C7823" s="545">
        <v>0.66666666666666663</v>
      </c>
      <c r="D7823" s="545">
        <v>1.3333333333333333</v>
      </c>
      <c r="E7823" s="545">
        <v>0</v>
      </c>
      <c r="F7823" s="545">
        <v>0.66666666666666663</v>
      </c>
      <c r="G7823" s="545">
        <v>1.65</v>
      </c>
      <c r="H7823" s="545">
        <v>0.66666666666666663</v>
      </c>
      <c r="I7823" s="545">
        <v>0.66666666666666663</v>
      </c>
      <c r="J7823" s="545">
        <v>1.3690476190476188</v>
      </c>
    </row>
    <row r="7824" spans="1:10">
      <c r="A7824" s="441">
        <v>4743</v>
      </c>
      <c r="B7824" s="441" t="s">
        <v>6358</v>
      </c>
      <c r="C7824" s="545">
        <v>1.1666666666666665</v>
      </c>
      <c r="D7824" s="545">
        <v>5.333333333333333</v>
      </c>
      <c r="E7824" s="545">
        <v>0.33333333333333331</v>
      </c>
      <c r="F7824" s="545">
        <v>1.6428571428571426</v>
      </c>
      <c r="G7824" s="545">
        <v>2.15</v>
      </c>
      <c r="H7824" s="545">
        <v>1.6666666666666667</v>
      </c>
      <c r="I7824" s="545">
        <v>1</v>
      </c>
      <c r="J7824" s="545">
        <v>1.9166666666666665</v>
      </c>
    </row>
    <row r="7825" spans="1:10">
      <c r="A7825" s="441">
        <v>4724</v>
      </c>
      <c r="B7825" s="441" t="s">
        <v>6359</v>
      </c>
      <c r="C7825" s="545">
        <v>8.3333333333333321</v>
      </c>
      <c r="D7825" s="545">
        <v>4</v>
      </c>
      <c r="E7825" s="545">
        <v>2.666666666666667</v>
      </c>
      <c r="F7825" s="545">
        <v>6.9047619047619033</v>
      </c>
      <c r="G7825" s="545">
        <v>1.7</v>
      </c>
      <c r="H7825" s="545">
        <v>2</v>
      </c>
      <c r="I7825" s="545">
        <v>3</v>
      </c>
      <c r="J7825" s="545">
        <v>1.9285714285714286</v>
      </c>
    </row>
    <row r="7826" spans="1:10">
      <c r="A7826" s="441">
        <v>4742</v>
      </c>
      <c r="B7826" s="441" t="s">
        <v>6359</v>
      </c>
      <c r="C7826" s="545">
        <v>4.666666666666667</v>
      </c>
      <c r="D7826" s="545">
        <v>2</v>
      </c>
      <c r="E7826" s="545">
        <v>5</v>
      </c>
      <c r="F7826" s="545">
        <v>4.3333333333333339</v>
      </c>
      <c r="G7826" s="545">
        <v>1.4</v>
      </c>
      <c r="H7826" s="545">
        <v>0.33333333333333331</v>
      </c>
      <c r="I7826" s="545">
        <v>0.33333333333333331</v>
      </c>
      <c r="J7826" s="545">
        <v>1.0952380952380951</v>
      </c>
    </row>
    <row r="7827" spans="1:10">
      <c r="A7827" s="441">
        <v>5334</v>
      </c>
      <c r="B7827" s="441" t="s">
        <v>6360</v>
      </c>
      <c r="C7827" s="545">
        <v>4.666666666666667</v>
      </c>
      <c r="D7827" s="545">
        <v>2.3333333333333335</v>
      </c>
      <c r="E7827" s="545">
        <v>2.333333333333333</v>
      </c>
      <c r="F7827" s="545">
        <v>4</v>
      </c>
      <c r="G7827" s="545">
        <v>3.1</v>
      </c>
      <c r="H7827" s="545">
        <v>1.6666666666666667</v>
      </c>
      <c r="I7827" s="545">
        <v>0.66666666666666663</v>
      </c>
      <c r="J7827" s="545">
        <v>2.5476190476190479</v>
      </c>
    </row>
    <row r="7828" spans="1:10">
      <c r="A7828" s="441">
        <v>5344</v>
      </c>
      <c r="B7828" s="441" t="s">
        <v>6360</v>
      </c>
      <c r="C7828" s="545">
        <v>9.3333333333333321</v>
      </c>
      <c r="D7828" s="545">
        <v>6.3333333333333339</v>
      </c>
      <c r="E7828" s="545">
        <v>6.666666666666667</v>
      </c>
      <c r="F7828" s="545">
        <v>8.5238095238095219</v>
      </c>
      <c r="G7828" s="545">
        <v>3.75</v>
      </c>
      <c r="H7828" s="545">
        <v>2</v>
      </c>
      <c r="I7828" s="545">
        <v>1.6666666666666667</v>
      </c>
      <c r="J7828" s="545">
        <v>3.2023809523809526</v>
      </c>
    </row>
    <row r="7829" spans="1:10">
      <c r="A7829" s="441">
        <v>4727</v>
      </c>
      <c r="B7829" s="441" t="s">
        <v>6361</v>
      </c>
      <c r="C7829" s="545">
        <v>4.5</v>
      </c>
      <c r="D7829" s="545">
        <v>4.6666666666666661</v>
      </c>
      <c r="E7829" s="545">
        <v>2.666666666666667</v>
      </c>
      <c r="F7829" s="545">
        <v>4.2619047619047619</v>
      </c>
      <c r="G7829" s="545">
        <v>30.2</v>
      </c>
      <c r="H7829" s="545">
        <v>2</v>
      </c>
      <c r="I7829" s="545">
        <v>0.66666666666666663</v>
      </c>
      <c r="J7829" s="545">
        <v>21.952380952380953</v>
      </c>
    </row>
    <row r="7830" spans="1:10">
      <c r="A7830" s="441">
        <v>4739</v>
      </c>
      <c r="B7830" s="441" t="s">
        <v>6361</v>
      </c>
      <c r="C7830" s="545">
        <v>6.8333333333333339</v>
      </c>
      <c r="D7830" s="545">
        <v>7</v>
      </c>
      <c r="E7830" s="545">
        <v>2.6666666666666665</v>
      </c>
      <c r="F7830" s="545">
        <v>6.2619047619047619</v>
      </c>
      <c r="G7830" s="545">
        <v>2.2000000000000002</v>
      </c>
      <c r="H7830" s="545">
        <v>4</v>
      </c>
      <c r="I7830" s="545">
        <v>2</v>
      </c>
      <c r="J7830" s="545">
        <v>2.4285714285714284</v>
      </c>
    </row>
    <row r="7831" spans="1:10">
      <c r="A7831" s="441">
        <v>4725</v>
      </c>
      <c r="B7831" s="441" t="s">
        <v>6362</v>
      </c>
      <c r="C7831" s="545">
        <v>17.333333333333336</v>
      </c>
      <c r="D7831" s="545">
        <v>7.333333333333333</v>
      </c>
      <c r="E7831" s="545">
        <v>7.6666666666666661</v>
      </c>
      <c r="F7831" s="545">
        <v>14.523809523809527</v>
      </c>
      <c r="G7831" s="545">
        <v>19.5</v>
      </c>
      <c r="H7831" s="545">
        <v>4.333333333333333</v>
      </c>
      <c r="I7831" s="545">
        <v>3.6666666666666665</v>
      </c>
      <c r="J7831" s="545">
        <v>15.071428571428571</v>
      </c>
    </row>
    <row r="7832" spans="1:10">
      <c r="A7832" s="441">
        <v>4741</v>
      </c>
      <c r="B7832" s="441" t="s">
        <v>6362</v>
      </c>
      <c r="C7832" s="545">
        <v>14.5</v>
      </c>
      <c r="D7832" s="545">
        <v>12</v>
      </c>
      <c r="E7832" s="545">
        <v>10.333333333333334</v>
      </c>
      <c r="F7832" s="545">
        <v>13.547619047619047</v>
      </c>
      <c r="G7832" s="545">
        <v>16.95</v>
      </c>
      <c r="H7832" s="545">
        <v>2</v>
      </c>
      <c r="I7832" s="545">
        <v>1.3333333333333333</v>
      </c>
      <c r="J7832" s="545">
        <v>12.583333333333332</v>
      </c>
    </row>
    <row r="7833" spans="1:10">
      <c r="A7833" s="441">
        <v>4729</v>
      </c>
      <c r="B7833" s="441" t="s">
        <v>6363</v>
      </c>
      <c r="C7833" s="545">
        <v>2.333333333333333</v>
      </c>
      <c r="D7833" s="545">
        <v>2</v>
      </c>
      <c r="E7833" s="545">
        <v>2.3333333333333335</v>
      </c>
      <c r="F7833" s="545">
        <v>2.2857142857142856</v>
      </c>
      <c r="G7833" s="545">
        <v>15.25</v>
      </c>
      <c r="H7833" s="545">
        <v>2.3333333333333335</v>
      </c>
      <c r="I7833" s="545">
        <v>3.3333333333333335</v>
      </c>
      <c r="J7833" s="545">
        <v>11.702380952380951</v>
      </c>
    </row>
    <row r="7834" spans="1:10">
      <c r="A7834" s="441">
        <v>4758</v>
      </c>
      <c r="B7834" s="441" t="s">
        <v>6364</v>
      </c>
      <c r="C7834" s="545">
        <v>70.333333333333343</v>
      </c>
      <c r="D7834" s="545">
        <v>1</v>
      </c>
      <c r="E7834" s="545">
        <v>4</v>
      </c>
      <c r="F7834" s="545">
        <v>50.952380952380963</v>
      </c>
      <c r="G7834" s="545">
        <v>2.2000000000000002</v>
      </c>
      <c r="H7834" s="545">
        <v>1.3333333333333333</v>
      </c>
      <c r="I7834" s="545">
        <v>0.66666666666666663</v>
      </c>
      <c r="J7834" s="545">
        <v>1.8571428571428572</v>
      </c>
    </row>
    <row r="7835" spans="1:10">
      <c r="A7835" s="441">
        <v>5333</v>
      </c>
      <c r="B7835" s="441" t="s">
        <v>6365</v>
      </c>
      <c r="C7835" s="545">
        <v>100.33333333333333</v>
      </c>
      <c r="D7835" s="545">
        <v>47.666666666666664</v>
      </c>
      <c r="E7835" s="545">
        <v>30</v>
      </c>
      <c r="F7835" s="545">
        <v>82.761904761904745</v>
      </c>
      <c r="G7835" s="545">
        <v>58.35</v>
      </c>
      <c r="H7835" s="545">
        <v>15</v>
      </c>
      <c r="I7835" s="545">
        <v>18.333333333333332</v>
      </c>
      <c r="J7835" s="545">
        <v>46.44047619047619</v>
      </c>
    </row>
    <row r="7836" spans="1:10">
      <c r="A7836" s="441">
        <v>5345</v>
      </c>
      <c r="B7836" s="441" t="s">
        <v>6365</v>
      </c>
      <c r="C7836" s="545">
        <v>16.166666666666668</v>
      </c>
      <c r="D7836" s="545">
        <v>7.6666666666666661</v>
      </c>
      <c r="E7836" s="545">
        <v>5.666666666666667</v>
      </c>
      <c r="F7836" s="545">
        <v>13.452380952380954</v>
      </c>
      <c r="G7836" s="545">
        <v>30.3</v>
      </c>
      <c r="H7836" s="545">
        <v>2</v>
      </c>
      <c r="I7836" s="545">
        <v>1.3333333333333333</v>
      </c>
      <c r="J7836" s="545">
        <v>22.11904761904762</v>
      </c>
    </row>
    <row r="7837" spans="1:10">
      <c r="A7837" s="441">
        <v>5346</v>
      </c>
      <c r="B7837" s="441" t="s">
        <v>6365</v>
      </c>
      <c r="C7837" s="545">
        <v>13.333333333333332</v>
      </c>
      <c r="D7837" s="545">
        <v>6.333333333333333</v>
      </c>
      <c r="E7837" s="545">
        <v>4</v>
      </c>
      <c r="F7837" s="545">
        <v>10.999999999999998</v>
      </c>
      <c r="G7837" s="545">
        <v>15.1</v>
      </c>
      <c r="H7837" s="545">
        <v>5.333333333333333</v>
      </c>
      <c r="I7837" s="545">
        <v>6.333333333333333</v>
      </c>
      <c r="J7837" s="545">
        <v>12.452380952380951</v>
      </c>
    </row>
    <row r="7838" spans="1:10">
      <c r="A7838" s="441">
        <v>3316</v>
      </c>
      <c r="B7838" s="441" t="s">
        <v>6366</v>
      </c>
      <c r="C7838" s="545">
        <v>14.166666666666666</v>
      </c>
      <c r="D7838" s="545">
        <v>10</v>
      </c>
      <c r="E7838" s="545">
        <v>8</v>
      </c>
      <c r="F7838" s="545">
        <v>12.69047619047619</v>
      </c>
      <c r="G7838" s="545">
        <v>7.2</v>
      </c>
      <c r="H7838" s="545">
        <v>4.333333333333333</v>
      </c>
      <c r="I7838" s="545">
        <v>2.6666666666666665</v>
      </c>
      <c r="J7838" s="545">
        <v>6.1428571428571432</v>
      </c>
    </row>
    <row r="7839" spans="1:10">
      <c r="A7839" s="441">
        <v>3298</v>
      </c>
      <c r="B7839" s="441" t="s">
        <v>6367</v>
      </c>
      <c r="C7839" s="545">
        <v>3.666666666666667</v>
      </c>
      <c r="D7839" s="545">
        <v>2.333333333333333</v>
      </c>
      <c r="E7839" s="545">
        <v>0.66666666666666663</v>
      </c>
      <c r="F7839" s="545">
        <v>3.0476190476190479</v>
      </c>
      <c r="G7839" s="545">
        <v>6.1</v>
      </c>
      <c r="H7839" s="545">
        <v>3.3333333333333335</v>
      </c>
      <c r="I7839" s="545">
        <v>1.3333333333333333</v>
      </c>
      <c r="J7839" s="545">
        <v>5.0238095238095246</v>
      </c>
    </row>
    <row r="7840" spans="1:10">
      <c r="A7840" s="441">
        <v>10566</v>
      </c>
      <c r="B7840" s="441" t="s">
        <v>6367</v>
      </c>
      <c r="C7840" s="545">
        <v>0.66666666666666663</v>
      </c>
      <c r="D7840" s="545">
        <v>1</v>
      </c>
      <c r="E7840" s="545">
        <v>0</v>
      </c>
      <c r="F7840" s="545">
        <v>0.61904761904761896</v>
      </c>
      <c r="G7840" s="545">
        <v>9.5500000000000007</v>
      </c>
      <c r="H7840" s="545">
        <v>3.3333333333333335</v>
      </c>
      <c r="I7840" s="545">
        <v>1</v>
      </c>
      <c r="J7840" s="545">
        <v>7.4404761904761907</v>
      </c>
    </row>
    <row r="7841" spans="1:10">
      <c r="A7841" s="441">
        <v>3296</v>
      </c>
      <c r="B7841" s="441" t="s">
        <v>6368</v>
      </c>
      <c r="C7841" s="545">
        <v>7.6666666666666661</v>
      </c>
      <c r="D7841" s="545">
        <v>7</v>
      </c>
      <c r="E7841" s="545">
        <v>6.3333333333333339</v>
      </c>
      <c r="F7841" s="545">
        <v>7.3809523809523805</v>
      </c>
      <c r="G7841" s="545">
        <v>7.75</v>
      </c>
      <c r="H7841" s="545">
        <v>5.333333333333333</v>
      </c>
      <c r="I7841" s="545">
        <v>0.66666666666666663</v>
      </c>
      <c r="J7841" s="545">
        <v>6.3928571428571432</v>
      </c>
    </row>
    <row r="7842" spans="1:10">
      <c r="A7842" s="441">
        <v>10397</v>
      </c>
      <c r="B7842" s="441" t="s">
        <v>6368</v>
      </c>
      <c r="C7842" s="545">
        <v>11.5</v>
      </c>
      <c r="D7842" s="545">
        <v>5</v>
      </c>
      <c r="E7842" s="545">
        <v>8</v>
      </c>
      <c r="F7842" s="545">
        <v>10.071428571428571</v>
      </c>
      <c r="G7842" s="545">
        <v>8.5500000000000007</v>
      </c>
      <c r="H7842" s="545">
        <v>4.333333333333333</v>
      </c>
      <c r="I7842" s="545">
        <v>2.3333333333333335</v>
      </c>
      <c r="J7842" s="545">
        <v>7.0595238095238102</v>
      </c>
    </row>
    <row r="7843" spans="1:10">
      <c r="A7843" s="441">
        <v>3317</v>
      </c>
      <c r="B7843" s="441" t="s">
        <v>6369</v>
      </c>
      <c r="C7843" s="545">
        <v>14.666666666666668</v>
      </c>
      <c r="D7843" s="545">
        <v>6</v>
      </c>
      <c r="E7843" s="545">
        <v>6.3333333333333339</v>
      </c>
      <c r="F7843" s="545">
        <v>12.238095238095239</v>
      </c>
      <c r="G7843" s="545">
        <v>4.05</v>
      </c>
      <c r="H7843" s="545">
        <v>2.6666666666666665</v>
      </c>
      <c r="I7843" s="545">
        <v>4</v>
      </c>
      <c r="J7843" s="545">
        <v>3.8452380952380953</v>
      </c>
    </row>
    <row r="7844" spans="1:10">
      <c r="A7844" s="441">
        <v>3304</v>
      </c>
      <c r="B7844" s="441" t="s">
        <v>6370</v>
      </c>
      <c r="C7844" s="545">
        <v>2.5</v>
      </c>
      <c r="D7844" s="545">
        <v>0.66666666666666663</v>
      </c>
      <c r="E7844" s="545">
        <v>1.6666666666666667</v>
      </c>
      <c r="F7844" s="545">
        <v>2.1190476190476191</v>
      </c>
      <c r="G7844" s="545">
        <v>1.25</v>
      </c>
      <c r="H7844" s="545">
        <v>0.66666666666666663</v>
      </c>
      <c r="I7844" s="545">
        <v>0.33333333333333331</v>
      </c>
      <c r="J7844" s="545">
        <v>1.0357142857142858</v>
      </c>
    </row>
    <row r="7845" spans="1:10">
      <c r="A7845" s="441">
        <v>3322</v>
      </c>
      <c r="B7845" s="441" t="s">
        <v>6370</v>
      </c>
      <c r="C7845" s="545">
        <v>1.5</v>
      </c>
      <c r="D7845" s="545">
        <v>1</v>
      </c>
      <c r="E7845" s="545">
        <v>1.3333333333333333</v>
      </c>
      <c r="F7845" s="545">
        <v>1.4047619047619049</v>
      </c>
      <c r="G7845" s="545">
        <v>1.1499999999999999</v>
      </c>
      <c r="H7845" s="545">
        <v>0</v>
      </c>
      <c r="I7845" s="545">
        <v>0</v>
      </c>
      <c r="J7845" s="545">
        <v>0.8214285714285714</v>
      </c>
    </row>
    <row r="7846" spans="1:10">
      <c r="A7846" s="441">
        <v>3315</v>
      </c>
      <c r="B7846" s="441" t="s">
        <v>6371</v>
      </c>
      <c r="C7846" s="545">
        <v>5.833333333333333</v>
      </c>
      <c r="D7846" s="545">
        <v>3</v>
      </c>
      <c r="E7846" s="545">
        <v>1</v>
      </c>
      <c r="F7846" s="545">
        <v>4.7380952380952381</v>
      </c>
      <c r="G7846" s="545">
        <v>1.2</v>
      </c>
      <c r="H7846" s="545">
        <v>2.3333333333333335</v>
      </c>
      <c r="I7846" s="545">
        <v>1.3333333333333333</v>
      </c>
      <c r="J7846" s="545">
        <v>1.3809523809523812</v>
      </c>
    </row>
    <row r="7847" spans="1:10">
      <c r="A7847" s="441">
        <v>3299</v>
      </c>
      <c r="B7847" s="441" t="s">
        <v>6372</v>
      </c>
      <c r="C7847" s="545">
        <v>10.666666666666666</v>
      </c>
      <c r="D7847" s="545">
        <v>5.3333333333333339</v>
      </c>
      <c r="E7847" s="545">
        <v>3.333333333333333</v>
      </c>
      <c r="F7847" s="545">
        <v>8.8571428571428577</v>
      </c>
      <c r="G7847" s="545">
        <v>10.3</v>
      </c>
      <c r="H7847" s="545">
        <v>5.666666666666667</v>
      </c>
      <c r="I7847" s="545">
        <v>3</v>
      </c>
      <c r="J7847" s="545">
        <v>8.5952380952380949</v>
      </c>
    </row>
    <row r="7848" spans="1:10">
      <c r="A7848" s="441">
        <v>3301</v>
      </c>
      <c r="B7848" s="441" t="s">
        <v>6372</v>
      </c>
      <c r="C7848" s="545">
        <v>16.5</v>
      </c>
      <c r="D7848" s="545">
        <v>9.6666666666666661</v>
      </c>
      <c r="E7848" s="545">
        <v>6</v>
      </c>
      <c r="F7848" s="545">
        <v>14.023809523809524</v>
      </c>
      <c r="G7848" s="545">
        <v>14.25</v>
      </c>
      <c r="H7848" s="545">
        <v>11.666666666666666</v>
      </c>
      <c r="I7848" s="545">
        <v>5.333333333333333</v>
      </c>
      <c r="J7848" s="545">
        <v>12.607142857142858</v>
      </c>
    </row>
    <row r="7849" spans="1:10">
      <c r="A7849" s="441">
        <v>3303</v>
      </c>
      <c r="B7849" s="441" t="s">
        <v>6373</v>
      </c>
      <c r="C7849" s="545">
        <v>29.166666666666664</v>
      </c>
      <c r="D7849" s="545">
        <v>19.333333333333336</v>
      </c>
      <c r="E7849" s="545">
        <v>17.666666666666664</v>
      </c>
      <c r="F7849" s="545">
        <v>26.119047619047617</v>
      </c>
      <c r="G7849" s="545">
        <v>24.3</v>
      </c>
      <c r="H7849" s="545">
        <v>19.333333333333332</v>
      </c>
      <c r="I7849" s="545">
        <v>9</v>
      </c>
      <c r="J7849" s="545">
        <v>21.404761904761905</v>
      </c>
    </row>
    <row r="7850" spans="1:10">
      <c r="A7850" s="441">
        <v>4236</v>
      </c>
      <c r="B7850" s="441" t="s">
        <v>6373</v>
      </c>
      <c r="C7850" s="545">
        <v>28.166666666666664</v>
      </c>
      <c r="D7850" s="545">
        <v>23</v>
      </c>
      <c r="E7850" s="545">
        <v>16.666666666666668</v>
      </c>
      <c r="F7850" s="545">
        <v>25.785714285714281</v>
      </c>
      <c r="G7850" s="545">
        <v>25.15</v>
      </c>
      <c r="H7850" s="545">
        <v>18</v>
      </c>
      <c r="I7850" s="545">
        <v>7.666666666666667</v>
      </c>
      <c r="J7850" s="545">
        <v>21.63095238095238</v>
      </c>
    </row>
    <row r="7851" spans="1:10">
      <c r="A7851" s="441">
        <v>3306</v>
      </c>
      <c r="B7851" s="441" t="s">
        <v>6374</v>
      </c>
      <c r="C7851" s="545">
        <v>22</v>
      </c>
      <c r="D7851" s="545">
        <v>19.333333333333336</v>
      </c>
      <c r="E7851" s="545">
        <v>15.666666666666666</v>
      </c>
      <c r="F7851" s="545">
        <v>20.714285714285715</v>
      </c>
      <c r="G7851" s="545">
        <v>19.05</v>
      </c>
      <c r="H7851" s="545">
        <v>14</v>
      </c>
      <c r="I7851" s="545">
        <v>4</v>
      </c>
      <c r="J7851" s="545">
        <v>16.178571428571427</v>
      </c>
    </row>
    <row r="7852" spans="1:10">
      <c r="A7852" s="441">
        <v>3320</v>
      </c>
      <c r="B7852" s="441" t="s">
        <v>6374</v>
      </c>
      <c r="C7852" s="545">
        <v>17.833333333333336</v>
      </c>
      <c r="D7852" s="545">
        <v>15</v>
      </c>
      <c r="E7852" s="545">
        <v>13.666666666666666</v>
      </c>
      <c r="F7852" s="545">
        <v>16.833333333333336</v>
      </c>
      <c r="G7852" s="545">
        <v>15.65</v>
      </c>
      <c r="H7852" s="545">
        <v>7.666666666666667</v>
      </c>
      <c r="I7852" s="545">
        <v>3</v>
      </c>
      <c r="J7852" s="545">
        <v>12.702380952380953</v>
      </c>
    </row>
    <row r="7853" spans="1:10">
      <c r="A7853" s="441">
        <v>3300</v>
      </c>
      <c r="B7853" s="441" t="s">
        <v>6375</v>
      </c>
      <c r="C7853" s="545">
        <v>14.333333333333334</v>
      </c>
      <c r="D7853" s="545">
        <v>12.666666666666668</v>
      </c>
      <c r="E7853" s="545">
        <v>4.3333333333333339</v>
      </c>
      <c r="F7853" s="545">
        <v>12.666666666666668</v>
      </c>
      <c r="G7853" s="545">
        <v>9.85</v>
      </c>
      <c r="H7853" s="545">
        <v>7</v>
      </c>
      <c r="I7853" s="545">
        <v>3</v>
      </c>
      <c r="J7853" s="545">
        <v>8.4642857142857135</v>
      </c>
    </row>
    <row r="7854" spans="1:10">
      <c r="A7854" s="441">
        <v>3307</v>
      </c>
      <c r="B7854" s="441" t="s">
        <v>6376</v>
      </c>
      <c r="C7854" s="545">
        <v>7.1666666666666661</v>
      </c>
      <c r="D7854" s="545">
        <v>3.6666666666666665</v>
      </c>
      <c r="E7854" s="545">
        <v>4</v>
      </c>
      <c r="F7854" s="545">
        <v>6.2142857142857135</v>
      </c>
      <c r="G7854" s="545">
        <v>7</v>
      </c>
      <c r="H7854" s="545">
        <v>2.6666666666666665</v>
      </c>
      <c r="I7854" s="545">
        <v>1.6666666666666667</v>
      </c>
      <c r="J7854" s="545">
        <v>5.6190476190476186</v>
      </c>
    </row>
    <row r="7855" spans="1:10">
      <c r="A7855" s="441">
        <v>3319</v>
      </c>
      <c r="B7855" s="441" t="s">
        <v>6376</v>
      </c>
      <c r="C7855" s="545">
        <v>4.5</v>
      </c>
      <c r="D7855" s="545">
        <v>4.6666666666666661</v>
      </c>
      <c r="E7855" s="545">
        <v>4.3333333333333339</v>
      </c>
      <c r="F7855" s="545">
        <v>4.5</v>
      </c>
      <c r="G7855" s="545">
        <v>6.3</v>
      </c>
      <c r="H7855" s="545">
        <v>5.666666666666667</v>
      </c>
      <c r="I7855" s="545">
        <v>2</v>
      </c>
      <c r="J7855" s="545">
        <v>5.5952380952380949</v>
      </c>
    </row>
    <row r="7856" spans="1:10">
      <c r="A7856" s="441">
        <v>3318</v>
      </c>
      <c r="B7856" s="441" t="s">
        <v>6377</v>
      </c>
      <c r="C7856" s="545">
        <v>15</v>
      </c>
      <c r="D7856" s="545">
        <v>7</v>
      </c>
      <c r="E7856" s="545">
        <v>4.6666666666666661</v>
      </c>
      <c r="F7856" s="545">
        <v>12.380952380952381</v>
      </c>
      <c r="G7856" s="545">
        <v>10</v>
      </c>
      <c r="H7856" s="545">
        <v>2</v>
      </c>
      <c r="I7856" s="545">
        <v>0.33333333333333331</v>
      </c>
      <c r="J7856" s="545">
        <v>7.4761904761904763</v>
      </c>
    </row>
    <row r="7857" spans="1:10">
      <c r="A7857" s="441">
        <v>11410</v>
      </c>
      <c r="B7857" s="441" t="s">
        <v>6377</v>
      </c>
      <c r="C7857" s="545">
        <v>27.833333333333336</v>
      </c>
      <c r="D7857" s="545">
        <v>11</v>
      </c>
      <c r="E7857" s="545">
        <v>5</v>
      </c>
      <c r="F7857" s="545">
        <v>22.166666666666668</v>
      </c>
      <c r="G7857" s="545">
        <v>27.1</v>
      </c>
      <c r="H7857" s="545">
        <v>12.666666666666666</v>
      </c>
      <c r="I7857" s="545">
        <v>8.3333333333333339</v>
      </c>
      <c r="J7857" s="545">
        <v>22.357142857142858</v>
      </c>
    </row>
    <row r="7858" spans="1:10">
      <c r="A7858" s="441">
        <v>3305</v>
      </c>
      <c r="B7858" s="441" t="s">
        <v>6378</v>
      </c>
      <c r="C7858" s="545">
        <v>2.1666666666666665</v>
      </c>
      <c r="D7858" s="545">
        <v>1.3333333333333333</v>
      </c>
      <c r="E7858" s="545">
        <v>0.66666666666666663</v>
      </c>
      <c r="F7858" s="545">
        <v>1.8333333333333333</v>
      </c>
      <c r="G7858" s="545">
        <v>1.55</v>
      </c>
      <c r="H7858" s="545">
        <v>1.6666666666666667</v>
      </c>
      <c r="I7858" s="545">
        <v>1</v>
      </c>
      <c r="J7858" s="545">
        <v>1.4880952380952379</v>
      </c>
    </row>
    <row r="7859" spans="1:10">
      <c r="A7859" s="441">
        <v>3321</v>
      </c>
      <c r="B7859" s="441" t="s">
        <v>6378</v>
      </c>
      <c r="C7859" s="545">
        <v>5.333333333333333</v>
      </c>
      <c r="D7859" s="545">
        <v>2.3333333333333335</v>
      </c>
      <c r="E7859" s="545">
        <v>2.3333333333333335</v>
      </c>
      <c r="F7859" s="545">
        <v>4.4761904761904754</v>
      </c>
      <c r="G7859" s="545">
        <v>3.3</v>
      </c>
      <c r="H7859" s="545">
        <v>1</v>
      </c>
      <c r="I7859" s="545">
        <v>1.3333333333333333</v>
      </c>
      <c r="J7859" s="545">
        <v>2.6904761904761902</v>
      </c>
    </row>
    <row r="7860" spans="1:10">
      <c r="A7860" s="441">
        <v>122</v>
      </c>
      <c r="B7860" s="441" t="s">
        <v>6379</v>
      </c>
      <c r="C7860" s="545">
        <v>19</v>
      </c>
      <c r="D7860" s="545">
        <v>8.6666666666666679</v>
      </c>
      <c r="E7860" s="545">
        <v>9.3333333333333321</v>
      </c>
      <c r="F7860" s="545">
        <v>16.142857142857142</v>
      </c>
      <c r="G7860" s="545">
        <v>9.5</v>
      </c>
      <c r="H7860" s="545">
        <v>3</v>
      </c>
      <c r="I7860" s="545">
        <v>1.3333333333333333</v>
      </c>
      <c r="J7860" s="545">
        <v>7.4047619047619051</v>
      </c>
    </row>
    <row r="7861" spans="1:10">
      <c r="A7861" s="441">
        <v>3323</v>
      </c>
      <c r="B7861" s="441" t="s">
        <v>6379</v>
      </c>
      <c r="C7861" s="545">
        <v>17.833333333333332</v>
      </c>
      <c r="D7861" s="545">
        <v>5.3333333333333339</v>
      </c>
      <c r="E7861" s="545">
        <v>9</v>
      </c>
      <c r="F7861" s="545">
        <v>14.785714285714283</v>
      </c>
      <c r="G7861" s="545">
        <v>4.55</v>
      </c>
      <c r="H7861" s="545">
        <v>2.6666666666666665</v>
      </c>
      <c r="I7861" s="545">
        <v>1.6666666666666667</v>
      </c>
      <c r="J7861" s="545">
        <v>3.8690476190476195</v>
      </c>
    </row>
    <row r="7862" spans="1:10">
      <c r="A7862" s="441">
        <v>3297</v>
      </c>
      <c r="B7862" s="441" t="s">
        <v>6380</v>
      </c>
      <c r="C7862" s="545">
        <v>26.166666666666664</v>
      </c>
      <c r="D7862" s="545">
        <v>17.666666666666668</v>
      </c>
      <c r="E7862" s="545">
        <v>13.333333333333334</v>
      </c>
      <c r="F7862" s="545">
        <v>23.119047619047617</v>
      </c>
      <c r="G7862" s="545">
        <v>15.35</v>
      </c>
      <c r="H7862" s="545">
        <v>9.3333333333333339</v>
      </c>
      <c r="I7862" s="545">
        <v>2.6666666666666665</v>
      </c>
      <c r="J7862" s="545">
        <v>12.678571428571429</v>
      </c>
    </row>
    <row r="7863" spans="1:10">
      <c r="A7863" s="441">
        <v>3302</v>
      </c>
      <c r="B7863" s="441" t="s">
        <v>6380</v>
      </c>
      <c r="C7863" s="545">
        <v>26.833333333333336</v>
      </c>
      <c r="D7863" s="545">
        <v>19.666666666666664</v>
      </c>
      <c r="E7863" s="545">
        <v>22.333333333333332</v>
      </c>
      <c r="F7863" s="545">
        <v>25.166666666666668</v>
      </c>
      <c r="G7863" s="545">
        <v>18.3</v>
      </c>
      <c r="H7863" s="545">
        <v>11.666666666666666</v>
      </c>
      <c r="I7863" s="545">
        <v>3</v>
      </c>
      <c r="J7863" s="545">
        <v>15.166666666666668</v>
      </c>
    </row>
    <row r="7864" spans="1:10">
      <c r="A7864" s="441">
        <v>10704</v>
      </c>
      <c r="B7864" s="441" t="s">
        <v>6381</v>
      </c>
      <c r="C7864" s="545">
        <v>23.166666666666668</v>
      </c>
      <c r="D7864" s="545">
        <v>15</v>
      </c>
      <c r="E7864" s="545">
        <v>10.333333333333334</v>
      </c>
      <c r="F7864" s="545">
        <v>20.166666666666668</v>
      </c>
      <c r="G7864" s="545">
        <v>5.7</v>
      </c>
      <c r="H7864" s="545">
        <v>6.333333333333333</v>
      </c>
      <c r="I7864" s="545">
        <v>3.3333333333333335</v>
      </c>
      <c r="J7864" s="545">
        <v>5.4523809523809534</v>
      </c>
    </row>
    <row r="7865" spans="1:10">
      <c r="A7865" s="441">
        <v>11653</v>
      </c>
      <c r="B7865" s="441" t="s">
        <v>6381</v>
      </c>
      <c r="C7865" s="545">
        <v>20.166666666666668</v>
      </c>
      <c r="D7865" s="545">
        <v>12.333333333333334</v>
      </c>
      <c r="E7865" s="545">
        <v>10</v>
      </c>
      <c r="F7865" s="545">
        <v>17.595238095238095</v>
      </c>
      <c r="G7865" s="545">
        <v>9.6</v>
      </c>
      <c r="H7865" s="545">
        <v>11.333333333333334</v>
      </c>
      <c r="I7865" s="545">
        <v>8.3333333333333339</v>
      </c>
      <c r="J7865" s="545">
        <v>9.6666666666666679</v>
      </c>
    </row>
    <row r="7866" spans="1:10">
      <c r="A7866" s="441">
        <v>3969</v>
      </c>
      <c r="B7866" s="441" t="s">
        <v>6382</v>
      </c>
      <c r="C7866" s="545">
        <v>93.333333333333329</v>
      </c>
      <c r="D7866" s="545">
        <v>53</v>
      </c>
      <c r="E7866" s="545">
        <v>52.333333333333329</v>
      </c>
      <c r="F7866" s="545">
        <v>81.714285714285708</v>
      </c>
      <c r="G7866" s="545">
        <v>56.15</v>
      </c>
      <c r="H7866" s="545">
        <v>41.666666666666664</v>
      </c>
      <c r="I7866" s="545">
        <v>38.666666666666664</v>
      </c>
      <c r="J7866" s="545">
        <v>51.583333333333336</v>
      </c>
    </row>
    <row r="7867" spans="1:10">
      <c r="A7867" s="441">
        <v>4539</v>
      </c>
      <c r="B7867" s="441" t="s">
        <v>6382</v>
      </c>
      <c r="C7867" s="545">
        <v>75.5</v>
      </c>
      <c r="D7867" s="545">
        <v>52</v>
      </c>
      <c r="E7867" s="545">
        <v>34.666666666666664</v>
      </c>
      <c r="F7867" s="545">
        <v>66.30952380952381</v>
      </c>
      <c r="G7867" s="545">
        <v>44.05</v>
      </c>
      <c r="H7867" s="545">
        <v>27.333333333333332</v>
      </c>
      <c r="I7867" s="545">
        <v>18.666666666666668</v>
      </c>
      <c r="J7867" s="545">
        <v>38.035714285714285</v>
      </c>
    </row>
    <row r="7868" spans="1:10">
      <c r="A7868" s="441">
        <v>4540</v>
      </c>
      <c r="B7868" s="441" t="s">
        <v>6383</v>
      </c>
      <c r="C7868" s="545">
        <v>27.666666666666664</v>
      </c>
      <c r="D7868" s="545">
        <v>24.333333333333336</v>
      </c>
      <c r="E7868" s="545">
        <v>15.666666666666668</v>
      </c>
      <c r="F7868" s="545">
        <v>25.476190476190474</v>
      </c>
      <c r="G7868" s="545">
        <v>28.85</v>
      </c>
      <c r="H7868" s="545">
        <v>17</v>
      </c>
      <c r="I7868" s="545">
        <v>10</v>
      </c>
      <c r="J7868" s="545">
        <v>24.464285714285715</v>
      </c>
    </row>
    <row r="7869" spans="1:10">
      <c r="A7869" s="441">
        <v>3967</v>
      </c>
      <c r="B7869" s="441" t="s">
        <v>6384</v>
      </c>
      <c r="C7869" s="545">
        <v>81.5</v>
      </c>
      <c r="D7869" s="545">
        <v>57</v>
      </c>
      <c r="E7869" s="545">
        <v>36.333333333333329</v>
      </c>
      <c r="F7869" s="545">
        <v>71.547619047619051</v>
      </c>
      <c r="G7869" s="545">
        <v>57.5</v>
      </c>
      <c r="H7869" s="545">
        <v>34</v>
      </c>
      <c r="I7869" s="545">
        <v>22</v>
      </c>
      <c r="J7869" s="545">
        <v>49.071428571428569</v>
      </c>
    </row>
    <row r="7870" spans="1:10">
      <c r="A7870" s="441">
        <v>10239</v>
      </c>
      <c r="B7870" s="441" t="s">
        <v>6384</v>
      </c>
      <c r="C7870" s="545">
        <v>111.83333333333333</v>
      </c>
      <c r="D7870" s="545">
        <v>73.333333333333343</v>
      </c>
      <c r="E7870" s="545">
        <v>56.666666666666664</v>
      </c>
      <c r="F7870" s="545">
        <v>98.452380952380949</v>
      </c>
      <c r="G7870" s="545">
        <v>61.85</v>
      </c>
      <c r="H7870" s="545">
        <v>39.333333333333336</v>
      </c>
      <c r="I7870" s="545">
        <v>39.333333333333336</v>
      </c>
      <c r="J7870" s="545">
        <v>55.416666666666664</v>
      </c>
    </row>
    <row r="7871" spans="1:10">
      <c r="A7871" s="441">
        <v>9839</v>
      </c>
      <c r="B7871" s="441" t="s">
        <v>6385</v>
      </c>
      <c r="C7871" s="545">
        <v>19.666666666666668</v>
      </c>
      <c r="D7871" s="545">
        <v>11</v>
      </c>
      <c r="E7871" s="545">
        <v>21</v>
      </c>
      <c r="F7871" s="545">
        <v>18.61904761904762</v>
      </c>
      <c r="G7871" s="545">
        <v>3.3</v>
      </c>
      <c r="H7871" s="545">
        <v>5</v>
      </c>
      <c r="I7871" s="545">
        <v>3.6666666666666665</v>
      </c>
      <c r="J7871" s="545">
        <v>3.5952380952380953</v>
      </c>
    </row>
    <row r="7872" spans="1:10">
      <c r="A7872" s="441">
        <v>9837</v>
      </c>
      <c r="B7872" s="441" t="s">
        <v>6386</v>
      </c>
      <c r="C7872" s="545">
        <v>14.833333333333334</v>
      </c>
      <c r="D7872" s="545">
        <v>2.3333333333333335</v>
      </c>
      <c r="E7872" s="545">
        <v>2.333333333333333</v>
      </c>
      <c r="F7872" s="545">
        <v>11.261904761904761</v>
      </c>
      <c r="G7872" s="545">
        <v>7.9</v>
      </c>
      <c r="H7872" s="545">
        <v>1.3333333333333333</v>
      </c>
      <c r="I7872" s="545">
        <v>0</v>
      </c>
      <c r="J7872" s="545">
        <v>5.8333333333333339</v>
      </c>
    </row>
    <row r="7873" spans="1:10">
      <c r="A7873" s="441">
        <v>9851</v>
      </c>
      <c r="B7873" s="441" t="s">
        <v>6386</v>
      </c>
      <c r="C7873" s="545">
        <v>12.333333333333332</v>
      </c>
      <c r="D7873" s="545">
        <v>1.6666666666666665</v>
      </c>
      <c r="E7873" s="545">
        <v>2</v>
      </c>
      <c r="F7873" s="545">
        <v>9.3333333333333304</v>
      </c>
      <c r="G7873" s="545">
        <v>5.35</v>
      </c>
      <c r="H7873" s="545">
        <v>1.3333333333333333</v>
      </c>
      <c r="I7873" s="545">
        <v>0.33333333333333331</v>
      </c>
      <c r="J7873" s="545">
        <v>4.0595238095238093</v>
      </c>
    </row>
    <row r="7874" spans="1:10">
      <c r="A7874" s="441">
        <v>9838</v>
      </c>
      <c r="B7874" s="441" t="s">
        <v>6387</v>
      </c>
      <c r="C7874" s="545">
        <v>6.3333333333333339</v>
      </c>
      <c r="D7874" s="545">
        <v>2.333333333333333</v>
      </c>
      <c r="E7874" s="545">
        <v>2</v>
      </c>
      <c r="F7874" s="545">
        <v>5.1428571428571441</v>
      </c>
      <c r="G7874" s="545">
        <v>6.9</v>
      </c>
      <c r="H7874" s="545">
        <v>0.66666666666666663</v>
      </c>
      <c r="I7874" s="545">
        <v>4.666666666666667</v>
      </c>
      <c r="J7874" s="545">
        <v>5.6904761904761898</v>
      </c>
    </row>
    <row r="7875" spans="1:10">
      <c r="A7875" s="441">
        <v>9850</v>
      </c>
      <c r="B7875" s="441" t="s">
        <v>6387</v>
      </c>
      <c r="C7875" s="545">
        <v>8.1666666666666661</v>
      </c>
      <c r="D7875" s="545">
        <v>4.666666666666667</v>
      </c>
      <c r="E7875" s="545">
        <v>3.666666666666667</v>
      </c>
      <c r="F7875" s="545">
        <v>7.0238095238095228</v>
      </c>
      <c r="G7875" s="545">
        <v>7.6</v>
      </c>
      <c r="H7875" s="545">
        <v>2</v>
      </c>
      <c r="I7875" s="545">
        <v>3</v>
      </c>
      <c r="J7875" s="545">
        <v>6.1428571428571432</v>
      </c>
    </row>
    <row r="7876" spans="1:10">
      <c r="A7876" s="441">
        <v>2628</v>
      </c>
      <c r="B7876" s="441" t="s">
        <v>6388</v>
      </c>
      <c r="C7876" s="545">
        <v>2.333333333333333</v>
      </c>
      <c r="D7876" s="545">
        <v>1</v>
      </c>
      <c r="E7876" s="545">
        <v>0.33333333333333331</v>
      </c>
      <c r="F7876" s="545">
        <v>1.857142857142857</v>
      </c>
      <c r="G7876" s="545">
        <v>0.6</v>
      </c>
      <c r="H7876" s="545">
        <v>3</v>
      </c>
      <c r="I7876" s="545">
        <v>0</v>
      </c>
      <c r="J7876" s="545">
        <v>0.8571428571428571</v>
      </c>
    </row>
    <row r="7877" spans="1:10">
      <c r="A7877" s="441">
        <v>2635</v>
      </c>
      <c r="B7877" s="441" t="s">
        <v>6389</v>
      </c>
      <c r="C7877" s="545">
        <v>2.333333333333333</v>
      </c>
      <c r="D7877" s="545">
        <v>6.333333333333333</v>
      </c>
      <c r="E7877" s="545">
        <v>3.666666666666667</v>
      </c>
      <c r="F7877" s="545">
        <v>3.0952380952380949</v>
      </c>
      <c r="G7877" s="545">
        <v>3.2</v>
      </c>
      <c r="H7877" s="545">
        <v>1.3333333333333333</v>
      </c>
      <c r="I7877" s="545">
        <v>1.6666666666666667</v>
      </c>
      <c r="J7877" s="545">
        <v>2.7142857142857144</v>
      </c>
    </row>
    <row r="7878" spans="1:10">
      <c r="A7878" s="441">
        <v>2627</v>
      </c>
      <c r="B7878" s="441" t="s">
        <v>6390</v>
      </c>
      <c r="C7878" s="545">
        <v>6</v>
      </c>
      <c r="D7878" s="545">
        <v>3</v>
      </c>
      <c r="E7878" s="545">
        <v>1.6666666666666665</v>
      </c>
      <c r="F7878" s="545">
        <v>4.9523809523809517</v>
      </c>
      <c r="G7878" s="545">
        <v>1.65</v>
      </c>
      <c r="H7878" s="545">
        <v>2</v>
      </c>
      <c r="I7878" s="545">
        <v>1</v>
      </c>
      <c r="J7878" s="545">
        <v>1.6071428571428572</v>
      </c>
    </row>
    <row r="7879" spans="1:10">
      <c r="A7879" s="441">
        <v>12231</v>
      </c>
      <c r="B7879" s="441" t="s">
        <v>6390</v>
      </c>
      <c r="C7879" s="545">
        <v>6.1666666666666661</v>
      </c>
      <c r="D7879" s="545">
        <v>3.3333333333333335</v>
      </c>
      <c r="E7879" s="545">
        <v>5.3333333333333339</v>
      </c>
      <c r="F7879" s="545">
        <v>5.6428571428571432</v>
      </c>
      <c r="G7879" s="545">
        <v>3.75</v>
      </c>
      <c r="H7879" s="545">
        <v>1.3333333333333333</v>
      </c>
      <c r="I7879" s="545">
        <v>2</v>
      </c>
      <c r="J7879" s="545">
        <v>3.1547619047619047</v>
      </c>
    </row>
    <row r="7880" spans="1:10">
      <c r="A7880" s="441">
        <v>12642</v>
      </c>
      <c r="B7880" s="441" t="s">
        <v>6391</v>
      </c>
      <c r="C7880" s="545">
        <v>6.5</v>
      </c>
      <c r="D7880" s="545">
        <v>5.3333333333333339</v>
      </c>
      <c r="E7880" s="545">
        <v>5.333333333333333</v>
      </c>
      <c r="F7880" s="545">
        <v>6.166666666666667</v>
      </c>
      <c r="G7880" s="545">
        <v>1.65</v>
      </c>
      <c r="H7880" s="545">
        <v>2.3333333333333335</v>
      </c>
      <c r="I7880" s="545">
        <v>1</v>
      </c>
      <c r="J7880" s="545">
        <v>1.6547619047619049</v>
      </c>
    </row>
    <row r="7881" spans="1:10">
      <c r="A7881" s="441">
        <v>12643</v>
      </c>
      <c r="B7881" s="441" t="s">
        <v>6391</v>
      </c>
      <c r="C7881" s="545">
        <v>6</v>
      </c>
      <c r="D7881" s="545">
        <v>6</v>
      </c>
      <c r="E7881" s="545">
        <v>5.6666666666666661</v>
      </c>
      <c r="F7881" s="545">
        <v>5.9523809523809517</v>
      </c>
      <c r="G7881" s="545">
        <v>1</v>
      </c>
      <c r="H7881" s="545">
        <v>1.3333333333333333</v>
      </c>
      <c r="I7881" s="545">
        <v>3.3333333333333335</v>
      </c>
      <c r="J7881" s="545">
        <v>1.3809523809523809</v>
      </c>
    </row>
    <row r="7882" spans="1:10">
      <c r="A7882" s="441">
        <v>11674</v>
      </c>
      <c r="B7882" s="441" t="s">
        <v>6392</v>
      </c>
      <c r="C7882" s="545">
        <v>2.666666666666667</v>
      </c>
      <c r="D7882" s="545">
        <v>1.3333333333333333</v>
      </c>
      <c r="E7882" s="545">
        <v>1.3333333333333333</v>
      </c>
      <c r="F7882" s="545">
        <v>2.285714285714286</v>
      </c>
      <c r="G7882" s="545">
        <v>0.05</v>
      </c>
      <c r="H7882" s="545">
        <v>0</v>
      </c>
      <c r="I7882" s="545">
        <v>0</v>
      </c>
      <c r="J7882" s="545">
        <v>3.5714285714285712E-2</v>
      </c>
    </row>
    <row r="7883" spans="1:10">
      <c r="A7883" s="441">
        <v>6959</v>
      </c>
      <c r="B7883" s="441" t="s">
        <v>6393</v>
      </c>
      <c r="C7883" s="545">
        <v>19</v>
      </c>
      <c r="D7883" s="545">
        <v>31.666666666666668</v>
      </c>
      <c r="E7883" s="545">
        <v>18.666666666666664</v>
      </c>
      <c r="F7883" s="545">
        <v>20.761904761904763</v>
      </c>
      <c r="G7883" s="545">
        <v>13.4</v>
      </c>
      <c r="H7883" s="545">
        <v>16.333333333333332</v>
      </c>
      <c r="I7883" s="545">
        <v>10.666666666666666</v>
      </c>
      <c r="J7883" s="545">
        <v>13.428571428571429</v>
      </c>
    </row>
    <row r="7884" spans="1:10">
      <c r="A7884" s="441">
        <v>5442</v>
      </c>
      <c r="B7884" s="441" t="s">
        <v>6394</v>
      </c>
      <c r="C7884" s="545">
        <v>3.6666666666666665</v>
      </c>
      <c r="D7884" s="545">
        <v>0.66666666666666663</v>
      </c>
      <c r="E7884" s="545">
        <v>2.3333333333333335</v>
      </c>
      <c r="F7884" s="545">
        <v>3.0476190476190474</v>
      </c>
      <c r="G7884" s="545">
        <v>2.4500000000000002</v>
      </c>
      <c r="H7884" s="545">
        <v>0</v>
      </c>
      <c r="I7884" s="545">
        <v>0.33333333333333331</v>
      </c>
      <c r="J7884" s="545">
        <v>1.7976190476190477</v>
      </c>
    </row>
    <row r="7885" spans="1:10">
      <c r="A7885" s="441">
        <v>6961</v>
      </c>
      <c r="B7885" s="441" t="s">
        <v>6394</v>
      </c>
      <c r="C7885" s="545">
        <v>2.1666666666666665</v>
      </c>
      <c r="D7885" s="545">
        <v>0.33333333333333331</v>
      </c>
      <c r="E7885" s="545">
        <v>0.33333333333333331</v>
      </c>
      <c r="F7885" s="545">
        <v>1.6428571428571428</v>
      </c>
      <c r="G7885" s="545">
        <v>3</v>
      </c>
      <c r="H7885" s="545">
        <v>0.33333333333333331</v>
      </c>
      <c r="I7885" s="545">
        <v>0.33333333333333331</v>
      </c>
      <c r="J7885" s="545">
        <v>2.2380952380952381</v>
      </c>
    </row>
    <row r="7886" spans="1:10">
      <c r="A7886" s="441">
        <v>5444</v>
      </c>
      <c r="B7886" s="441" t="s">
        <v>6395</v>
      </c>
      <c r="C7886" s="545">
        <v>132.66666666666666</v>
      </c>
      <c r="D7886" s="545">
        <v>25</v>
      </c>
      <c r="E7886" s="545">
        <v>5</v>
      </c>
      <c r="F7886" s="545">
        <v>99.047619047619037</v>
      </c>
      <c r="G7886" s="545">
        <v>65.599999999999994</v>
      </c>
      <c r="H7886" s="545">
        <v>17</v>
      </c>
      <c r="I7886" s="545">
        <v>12</v>
      </c>
      <c r="J7886" s="545">
        <v>51</v>
      </c>
    </row>
    <row r="7887" spans="1:10">
      <c r="A7887" s="441">
        <v>6957</v>
      </c>
      <c r="B7887" s="441" t="s">
        <v>6395</v>
      </c>
      <c r="C7887" s="545">
        <v>0</v>
      </c>
      <c r="D7887" s="545">
        <v>0</v>
      </c>
      <c r="E7887" s="545">
        <v>0</v>
      </c>
      <c r="F7887" s="545">
        <v>0</v>
      </c>
      <c r="G7887" s="545">
        <v>0</v>
      </c>
      <c r="H7887" s="545">
        <v>0</v>
      </c>
      <c r="I7887" s="545">
        <v>0.33333333333333331</v>
      </c>
      <c r="J7887" s="545">
        <v>4.7619047619047616E-2</v>
      </c>
    </row>
    <row r="7888" spans="1:10">
      <c r="A7888" s="441">
        <v>5443</v>
      </c>
      <c r="B7888" s="441" t="s">
        <v>6396</v>
      </c>
      <c r="C7888" s="545">
        <v>25.166666666666668</v>
      </c>
      <c r="D7888" s="545">
        <v>16.666666666666668</v>
      </c>
      <c r="E7888" s="545">
        <v>11</v>
      </c>
      <c r="F7888" s="545">
        <v>21.928571428571427</v>
      </c>
      <c r="G7888" s="545">
        <v>17.25</v>
      </c>
      <c r="H7888" s="545">
        <v>13</v>
      </c>
      <c r="I7888" s="545">
        <v>15.333333333333334</v>
      </c>
      <c r="J7888" s="545">
        <v>16.369047619047617</v>
      </c>
    </row>
    <row r="7889" spans="1:10">
      <c r="A7889" s="441">
        <v>6960</v>
      </c>
      <c r="B7889" s="441" t="s">
        <v>6397</v>
      </c>
      <c r="C7889" s="545">
        <v>2</v>
      </c>
      <c r="D7889" s="545">
        <v>6.333333333333333</v>
      </c>
      <c r="E7889" s="545">
        <v>2.333333333333333</v>
      </c>
      <c r="F7889" s="545">
        <v>2.6666666666666665</v>
      </c>
      <c r="G7889" s="545">
        <v>2.4</v>
      </c>
      <c r="H7889" s="545">
        <v>1.6666666666666667</v>
      </c>
      <c r="I7889" s="545">
        <v>0.66666666666666663</v>
      </c>
      <c r="J7889" s="545">
        <v>2.0476190476190474</v>
      </c>
    </row>
    <row r="7890" spans="1:10">
      <c r="A7890" s="441">
        <v>10000</v>
      </c>
      <c r="B7890" s="441" t="s">
        <v>6397</v>
      </c>
      <c r="C7890" s="545">
        <v>2.1666666666666665</v>
      </c>
      <c r="D7890" s="545">
        <v>0.33333333333333331</v>
      </c>
      <c r="E7890" s="545">
        <v>1.3333333333333333</v>
      </c>
      <c r="F7890" s="545">
        <v>1.7857142857142858</v>
      </c>
      <c r="G7890" s="545">
        <v>2.15</v>
      </c>
      <c r="H7890" s="545">
        <v>2.6666666666666665</v>
      </c>
      <c r="I7890" s="545">
        <v>1</v>
      </c>
      <c r="J7890" s="545">
        <v>2.0595238095238093</v>
      </c>
    </row>
    <row r="7891" spans="1:10">
      <c r="A7891" s="441">
        <v>5756</v>
      </c>
      <c r="B7891" s="441" t="s">
        <v>6398</v>
      </c>
      <c r="C7891" s="545">
        <v>1</v>
      </c>
      <c r="D7891" s="545">
        <v>1</v>
      </c>
      <c r="E7891" s="545">
        <v>2</v>
      </c>
      <c r="F7891" s="545">
        <v>1.1428571428571428</v>
      </c>
      <c r="G7891" s="545">
        <v>1.85</v>
      </c>
      <c r="H7891" s="545">
        <v>0.33333333333333331</v>
      </c>
      <c r="I7891" s="545">
        <v>1.3333333333333333</v>
      </c>
      <c r="J7891" s="545">
        <v>1.5595238095238098</v>
      </c>
    </row>
    <row r="7892" spans="1:10">
      <c r="A7892" s="441">
        <v>11972</v>
      </c>
      <c r="B7892" s="441" t="s">
        <v>6398</v>
      </c>
      <c r="C7892" s="545">
        <v>0.83333333333333326</v>
      </c>
      <c r="D7892" s="545">
        <v>0.33333333333333331</v>
      </c>
      <c r="E7892" s="545">
        <v>0.33333333333333331</v>
      </c>
      <c r="F7892" s="545">
        <v>0.69047619047619035</v>
      </c>
      <c r="G7892" s="545">
        <v>1.6</v>
      </c>
      <c r="H7892" s="545">
        <v>0</v>
      </c>
      <c r="I7892" s="545">
        <v>0</v>
      </c>
      <c r="J7892" s="545">
        <v>1.1428571428571428</v>
      </c>
    </row>
    <row r="7893" spans="1:10">
      <c r="A7893" s="441">
        <v>6956</v>
      </c>
      <c r="B7893" s="441" t="s">
        <v>6399</v>
      </c>
      <c r="C7893" s="545">
        <v>2</v>
      </c>
      <c r="D7893" s="545">
        <v>0</v>
      </c>
      <c r="E7893" s="545">
        <v>0</v>
      </c>
      <c r="F7893" s="545">
        <v>1.4285714285714286</v>
      </c>
      <c r="G7893" s="545">
        <v>1.85</v>
      </c>
      <c r="H7893" s="545">
        <v>2</v>
      </c>
      <c r="I7893" s="545">
        <v>1</v>
      </c>
      <c r="J7893" s="545">
        <v>1.75</v>
      </c>
    </row>
    <row r="7894" spans="1:10">
      <c r="A7894" s="441">
        <v>5445</v>
      </c>
      <c r="B7894" s="441" t="s">
        <v>6400</v>
      </c>
      <c r="C7894" s="545">
        <v>22.666666666666668</v>
      </c>
      <c r="D7894" s="545">
        <v>11.333333333333332</v>
      </c>
      <c r="E7894" s="545">
        <v>8</v>
      </c>
      <c r="F7894" s="545">
        <v>18.952380952380956</v>
      </c>
      <c r="G7894" s="545">
        <v>12.7</v>
      </c>
      <c r="H7894" s="545">
        <v>13</v>
      </c>
      <c r="I7894" s="545">
        <v>7</v>
      </c>
      <c r="J7894" s="545">
        <v>11.928571428571429</v>
      </c>
    </row>
    <row r="7895" spans="1:10">
      <c r="A7895" s="441">
        <v>6958</v>
      </c>
      <c r="B7895" s="441" t="s">
        <v>6401</v>
      </c>
      <c r="C7895" s="545">
        <v>1.8333333333333335</v>
      </c>
      <c r="D7895" s="545">
        <v>0.5</v>
      </c>
      <c r="E7895" s="545">
        <v>0</v>
      </c>
      <c r="F7895" s="545">
        <v>1.3809523809523812</v>
      </c>
      <c r="G7895" s="545">
        <v>0.3</v>
      </c>
      <c r="H7895" s="545">
        <v>0.33333333333333331</v>
      </c>
      <c r="I7895" s="545">
        <v>0</v>
      </c>
      <c r="J7895" s="545">
        <v>0.26190476190476192</v>
      </c>
    </row>
    <row r="7896" spans="1:10">
      <c r="A7896" s="441">
        <v>9998</v>
      </c>
      <c r="B7896" s="441" t="s">
        <v>6402</v>
      </c>
      <c r="C7896" s="545">
        <v>8.8333333333333321</v>
      </c>
      <c r="D7896" s="545">
        <v>1</v>
      </c>
      <c r="E7896" s="545">
        <v>1</v>
      </c>
      <c r="F7896" s="545">
        <v>6.595238095238094</v>
      </c>
      <c r="G7896" s="545">
        <v>2.75</v>
      </c>
      <c r="H7896" s="545">
        <v>1.6666666666666667</v>
      </c>
      <c r="I7896" s="545">
        <v>0</v>
      </c>
      <c r="J7896" s="545">
        <v>2.2023809523809521</v>
      </c>
    </row>
    <row r="7897" spans="1:10">
      <c r="A7897" s="441">
        <v>6955</v>
      </c>
      <c r="B7897" s="441" t="s">
        <v>6403</v>
      </c>
      <c r="C7897" s="545">
        <v>11.333333333333334</v>
      </c>
      <c r="D7897" s="545">
        <v>4</v>
      </c>
      <c r="E7897" s="545">
        <v>5.3333333333333339</v>
      </c>
      <c r="F7897" s="545">
        <v>9.4285714285714288</v>
      </c>
      <c r="G7897" s="545">
        <v>7.55</v>
      </c>
      <c r="H7897" s="545">
        <v>3.3333333333333335</v>
      </c>
      <c r="I7897" s="545">
        <v>4.333333333333333</v>
      </c>
      <c r="J7897" s="545">
        <v>6.488095238095239</v>
      </c>
    </row>
    <row r="7898" spans="1:10">
      <c r="A7898" s="441">
        <v>5446</v>
      </c>
      <c r="B7898" s="441" t="s">
        <v>6404</v>
      </c>
      <c r="C7898" s="545">
        <v>7.666666666666667</v>
      </c>
      <c r="D7898" s="545">
        <v>6</v>
      </c>
      <c r="E7898" s="545">
        <v>3.3333333333333335</v>
      </c>
      <c r="F7898" s="545">
        <v>6.8095238095238102</v>
      </c>
      <c r="G7898" s="545">
        <v>6.95</v>
      </c>
      <c r="H7898" s="545">
        <v>4.666666666666667</v>
      </c>
      <c r="I7898" s="545">
        <v>3.6666666666666665</v>
      </c>
      <c r="J7898" s="545">
        <v>6.1547619047619042</v>
      </c>
    </row>
    <row r="7899" spans="1:10">
      <c r="A7899" s="441">
        <v>8341</v>
      </c>
      <c r="B7899" s="441" t="s">
        <v>6405</v>
      </c>
      <c r="C7899" s="545">
        <v>1.3333333333333335</v>
      </c>
      <c r="D7899" s="545">
        <v>0</v>
      </c>
      <c r="E7899" s="545">
        <v>0.66666666666666663</v>
      </c>
      <c r="F7899" s="545">
        <v>1.0476190476190479</v>
      </c>
      <c r="G7899" s="545">
        <v>1</v>
      </c>
      <c r="H7899" s="545">
        <v>2</v>
      </c>
      <c r="I7899" s="545">
        <v>0.33333333333333331</v>
      </c>
      <c r="J7899" s="545">
        <v>1.0476190476190477</v>
      </c>
    </row>
    <row r="7900" spans="1:10">
      <c r="A7900" s="441">
        <v>7066</v>
      </c>
      <c r="B7900" s="441" t="s">
        <v>6406</v>
      </c>
      <c r="C7900" s="545">
        <v>3.666666666666667</v>
      </c>
      <c r="D7900" s="545">
        <v>3</v>
      </c>
      <c r="E7900" s="545">
        <v>1</v>
      </c>
      <c r="F7900" s="545">
        <v>3.1904761904761907</v>
      </c>
      <c r="G7900" s="545">
        <v>1.65</v>
      </c>
      <c r="H7900" s="545">
        <v>2</v>
      </c>
      <c r="I7900" s="545">
        <v>0.66666666666666663</v>
      </c>
      <c r="J7900" s="545">
        <v>1.5595238095238095</v>
      </c>
    </row>
    <row r="7901" spans="1:10">
      <c r="A7901" s="441">
        <v>7070</v>
      </c>
      <c r="B7901" s="441" t="s">
        <v>6406</v>
      </c>
      <c r="C7901" s="545">
        <v>16.5</v>
      </c>
      <c r="D7901" s="545">
        <v>4.666666666666667</v>
      </c>
      <c r="E7901" s="545">
        <v>3.3333333333333335</v>
      </c>
      <c r="F7901" s="545">
        <v>12.928571428571429</v>
      </c>
      <c r="G7901" s="545">
        <v>1.65</v>
      </c>
      <c r="H7901" s="545">
        <v>0.66666666666666663</v>
      </c>
      <c r="I7901" s="545">
        <v>0.33333333333333331</v>
      </c>
      <c r="J7901" s="545">
        <v>1.3214285714285714</v>
      </c>
    </row>
    <row r="7902" spans="1:10">
      <c r="A7902" s="441">
        <v>7326</v>
      </c>
      <c r="B7902" s="441" t="s">
        <v>6407</v>
      </c>
      <c r="C7902" s="545">
        <v>7.5</v>
      </c>
      <c r="D7902" s="545">
        <v>4.333333333333333</v>
      </c>
      <c r="E7902" s="545">
        <v>2</v>
      </c>
      <c r="F7902" s="545">
        <v>6.2619047619047619</v>
      </c>
      <c r="G7902" s="545">
        <v>1.9</v>
      </c>
      <c r="H7902" s="545">
        <v>2.6666666666666665</v>
      </c>
      <c r="I7902" s="545">
        <v>1.3333333333333333</v>
      </c>
      <c r="J7902" s="545">
        <v>1.9285714285714286</v>
      </c>
    </row>
    <row r="7903" spans="1:10">
      <c r="A7903" s="441">
        <v>8333</v>
      </c>
      <c r="B7903" s="441" t="s">
        <v>6408</v>
      </c>
      <c r="C7903" s="545">
        <v>15.333333333333332</v>
      </c>
      <c r="D7903" s="545">
        <v>8</v>
      </c>
      <c r="E7903" s="545">
        <v>7</v>
      </c>
      <c r="F7903" s="545">
        <v>13.095238095238093</v>
      </c>
      <c r="G7903" s="545">
        <v>5.5</v>
      </c>
      <c r="H7903" s="545">
        <v>5</v>
      </c>
      <c r="I7903" s="545">
        <v>3</v>
      </c>
      <c r="J7903" s="545">
        <v>5.0714285714285712</v>
      </c>
    </row>
    <row r="7904" spans="1:10">
      <c r="A7904" s="441">
        <v>10210</v>
      </c>
      <c r="B7904" s="441" t="s">
        <v>6408</v>
      </c>
      <c r="C7904" s="545">
        <v>16</v>
      </c>
      <c r="D7904" s="545">
        <v>11</v>
      </c>
      <c r="E7904" s="545">
        <v>11.666666666666668</v>
      </c>
      <c r="F7904" s="545">
        <v>14.666666666666668</v>
      </c>
      <c r="G7904" s="545">
        <v>5.3</v>
      </c>
      <c r="H7904" s="545">
        <v>4</v>
      </c>
      <c r="I7904" s="545">
        <v>2.3333333333333335</v>
      </c>
      <c r="J7904" s="545">
        <v>4.6904761904761907</v>
      </c>
    </row>
    <row r="7905" spans="1:10">
      <c r="A7905" s="441">
        <v>7067</v>
      </c>
      <c r="B7905" s="441" t="s">
        <v>6409</v>
      </c>
      <c r="C7905" s="545">
        <v>2.6666666666666665</v>
      </c>
      <c r="D7905" s="545">
        <v>0.33333333333333331</v>
      </c>
      <c r="E7905" s="545">
        <v>1.6666666666666665</v>
      </c>
      <c r="F7905" s="545">
        <v>2.1904761904761902</v>
      </c>
      <c r="G7905" s="545">
        <v>2.25</v>
      </c>
      <c r="H7905" s="545">
        <v>1.3333333333333333</v>
      </c>
      <c r="I7905" s="545">
        <v>1.3333333333333333</v>
      </c>
      <c r="J7905" s="545">
        <v>1.9880952380952384</v>
      </c>
    </row>
    <row r="7906" spans="1:10">
      <c r="A7906" s="441">
        <v>7069</v>
      </c>
      <c r="B7906" s="441" t="s">
        <v>6409</v>
      </c>
      <c r="C7906" s="545">
        <v>3.333333333333333</v>
      </c>
      <c r="D7906" s="545">
        <v>1.3333333333333333</v>
      </c>
      <c r="E7906" s="545">
        <v>1.3333333333333333</v>
      </c>
      <c r="F7906" s="545">
        <v>2.7619047619047614</v>
      </c>
      <c r="G7906" s="545">
        <v>1.6</v>
      </c>
      <c r="H7906" s="545">
        <v>0.33333333333333331</v>
      </c>
      <c r="I7906" s="545">
        <v>0</v>
      </c>
      <c r="J7906" s="545">
        <v>1.1904761904761905</v>
      </c>
    </row>
    <row r="7907" spans="1:10">
      <c r="A7907" s="441">
        <v>8350</v>
      </c>
      <c r="B7907" s="441" t="s">
        <v>6410</v>
      </c>
      <c r="C7907" s="545">
        <v>4</v>
      </c>
      <c r="D7907" s="545">
        <v>1.3333333333333333</v>
      </c>
      <c r="E7907" s="545">
        <v>1.6666666666666665</v>
      </c>
      <c r="F7907" s="545">
        <v>3.2857142857142856</v>
      </c>
      <c r="G7907" s="545">
        <v>4.3</v>
      </c>
      <c r="H7907" s="545">
        <v>1.3333333333333333</v>
      </c>
      <c r="I7907" s="545">
        <v>2.6666666666666665</v>
      </c>
      <c r="J7907" s="545">
        <v>3.6428571428571428</v>
      </c>
    </row>
    <row r="7908" spans="1:10">
      <c r="A7908" s="441">
        <v>7073</v>
      </c>
      <c r="B7908" s="441" t="s">
        <v>6411</v>
      </c>
      <c r="C7908" s="545">
        <v>5.1666666666666661</v>
      </c>
      <c r="D7908" s="545">
        <v>2</v>
      </c>
      <c r="E7908" s="545">
        <v>0.33333333333333331</v>
      </c>
      <c r="F7908" s="545">
        <v>4.0238095238095228</v>
      </c>
      <c r="G7908" s="545">
        <v>4.25</v>
      </c>
      <c r="H7908" s="545">
        <v>4</v>
      </c>
      <c r="I7908" s="545">
        <v>2.3333333333333335</v>
      </c>
      <c r="J7908" s="545">
        <v>3.9404761904761902</v>
      </c>
    </row>
    <row r="7909" spans="1:10">
      <c r="A7909" s="441">
        <v>7065</v>
      </c>
      <c r="B7909" s="441" t="s">
        <v>6412</v>
      </c>
      <c r="C7909" s="545">
        <v>9.6666666666666661</v>
      </c>
      <c r="D7909" s="545">
        <v>7</v>
      </c>
      <c r="E7909" s="545">
        <v>5</v>
      </c>
      <c r="F7909" s="545">
        <v>8.6190476190476186</v>
      </c>
      <c r="G7909" s="545">
        <v>9.65</v>
      </c>
      <c r="H7909" s="545">
        <v>5.666666666666667</v>
      </c>
      <c r="I7909" s="545">
        <v>4.666666666666667</v>
      </c>
      <c r="J7909" s="545">
        <v>8.3690476190476186</v>
      </c>
    </row>
    <row r="7910" spans="1:10">
      <c r="A7910" s="441">
        <v>7071</v>
      </c>
      <c r="B7910" s="441" t="s">
        <v>6412</v>
      </c>
      <c r="C7910" s="545">
        <v>13.166666666666666</v>
      </c>
      <c r="D7910" s="545">
        <v>6</v>
      </c>
      <c r="E7910" s="545">
        <v>7.666666666666667</v>
      </c>
      <c r="F7910" s="545">
        <v>11.357142857142858</v>
      </c>
      <c r="G7910" s="545">
        <v>9.9499999999999993</v>
      </c>
      <c r="H7910" s="545">
        <v>6</v>
      </c>
      <c r="I7910" s="545">
        <v>2.6666666666666665</v>
      </c>
      <c r="J7910" s="545">
        <v>8.3452380952380949</v>
      </c>
    </row>
    <row r="7911" spans="1:10">
      <c r="A7911" s="441">
        <v>7330</v>
      </c>
      <c r="B7911" s="441" t="s">
        <v>6413</v>
      </c>
      <c r="C7911" s="545">
        <v>8</v>
      </c>
      <c r="D7911" s="545">
        <v>4.3333333333333339</v>
      </c>
      <c r="E7911" s="545">
        <v>2.6666666666666665</v>
      </c>
      <c r="F7911" s="545">
        <v>6.7142857142857144</v>
      </c>
      <c r="G7911" s="545">
        <v>10.15</v>
      </c>
      <c r="H7911" s="545">
        <v>6.666666666666667</v>
      </c>
      <c r="I7911" s="545">
        <v>8.6666666666666661</v>
      </c>
      <c r="J7911" s="545">
        <v>9.4404761904761898</v>
      </c>
    </row>
    <row r="7912" spans="1:10">
      <c r="A7912" s="441">
        <v>8338</v>
      </c>
      <c r="B7912" s="441" t="s">
        <v>6413</v>
      </c>
      <c r="C7912" s="545">
        <v>3.6666666666666665</v>
      </c>
      <c r="D7912" s="545">
        <v>3</v>
      </c>
      <c r="E7912" s="545">
        <v>3.3333333333333335</v>
      </c>
      <c r="F7912" s="545">
        <v>3.5238095238095233</v>
      </c>
      <c r="G7912" s="545">
        <v>12.3</v>
      </c>
      <c r="H7912" s="545">
        <v>10</v>
      </c>
      <c r="I7912" s="545">
        <v>18</v>
      </c>
      <c r="J7912" s="545">
        <v>12.785714285714286</v>
      </c>
    </row>
    <row r="7913" spans="1:10">
      <c r="A7913" s="441">
        <v>8346</v>
      </c>
      <c r="B7913" s="441" t="s">
        <v>6414</v>
      </c>
      <c r="C7913" s="545">
        <v>3.333333333333333</v>
      </c>
      <c r="D7913" s="545">
        <v>2.333333333333333</v>
      </c>
      <c r="E7913" s="545">
        <v>1</v>
      </c>
      <c r="F7913" s="545">
        <v>2.8571428571428568</v>
      </c>
      <c r="G7913" s="545">
        <v>4.1500000000000004</v>
      </c>
      <c r="H7913" s="545">
        <v>2.6666666666666665</v>
      </c>
      <c r="I7913" s="545">
        <v>2.3333333333333335</v>
      </c>
      <c r="J7913" s="545">
        <v>3.6785714285714284</v>
      </c>
    </row>
    <row r="7914" spans="1:10">
      <c r="A7914" s="441">
        <v>7329</v>
      </c>
      <c r="B7914" s="441" t="s">
        <v>6415</v>
      </c>
      <c r="C7914" s="545">
        <v>10</v>
      </c>
      <c r="D7914" s="545">
        <v>2</v>
      </c>
      <c r="E7914" s="545">
        <v>4</v>
      </c>
      <c r="F7914" s="545">
        <v>8</v>
      </c>
      <c r="G7914" s="545">
        <v>6.75</v>
      </c>
      <c r="H7914" s="545">
        <v>10</v>
      </c>
      <c r="I7914" s="545">
        <v>3.6666666666666665</v>
      </c>
      <c r="J7914" s="545">
        <v>6.7738095238095237</v>
      </c>
    </row>
    <row r="7915" spans="1:10">
      <c r="A7915" s="441">
        <v>8339</v>
      </c>
      <c r="B7915" s="441" t="s">
        <v>6415</v>
      </c>
      <c r="C7915" s="545">
        <v>6.6666666666666661</v>
      </c>
      <c r="D7915" s="545">
        <v>4.6666666666666661</v>
      </c>
      <c r="E7915" s="545">
        <v>2</v>
      </c>
      <c r="F7915" s="545">
        <v>5.7142857142857135</v>
      </c>
      <c r="G7915" s="545">
        <v>5.65</v>
      </c>
      <c r="H7915" s="545">
        <v>7</v>
      </c>
      <c r="I7915" s="545">
        <v>2</v>
      </c>
      <c r="J7915" s="545">
        <v>5.3214285714285712</v>
      </c>
    </row>
    <row r="7916" spans="1:10">
      <c r="A7916" s="441">
        <v>8342</v>
      </c>
      <c r="B7916" s="441" t="s">
        <v>6416</v>
      </c>
      <c r="C7916" s="545">
        <v>10.166666666666668</v>
      </c>
      <c r="D7916" s="545">
        <v>5.666666666666667</v>
      </c>
      <c r="E7916" s="545">
        <v>4.333333333333333</v>
      </c>
      <c r="F7916" s="545">
        <v>8.6904761904761916</v>
      </c>
      <c r="G7916" s="545">
        <v>2.95</v>
      </c>
      <c r="H7916" s="545">
        <v>3</v>
      </c>
      <c r="I7916" s="545">
        <v>2.3333333333333335</v>
      </c>
      <c r="J7916" s="545">
        <v>2.8690476190476191</v>
      </c>
    </row>
    <row r="7917" spans="1:10">
      <c r="A7917" s="441">
        <v>7328</v>
      </c>
      <c r="B7917" s="441" t="s">
        <v>6417</v>
      </c>
      <c r="C7917" s="545">
        <v>11.166666666666666</v>
      </c>
      <c r="D7917" s="545">
        <v>7</v>
      </c>
      <c r="E7917" s="545">
        <v>5</v>
      </c>
      <c r="F7917" s="545">
        <v>9.6904761904761898</v>
      </c>
      <c r="G7917" s="545">
        <v>4</v>
      </c>
      <c r="H7917" s="545">
        <v>3</v>
      </c>
      <c r="I7917" s="545">
        <v>4.666666666666667</v>
      </c>
      <c r="J7917" s="545">
        <v>3.9523809523809526</v>
      </c>
    </row>
    <row r="7918" spans="1:10">
      <c r="A7918" s="441">
        <v>8340</v>
      </c>
      <c r="B7918" s="441" t="s">
        <v>6417</v>
      </c>
      <c r="C7918" s="545">
        <v>14.666666666666668</v>
      </c>
      <c r="D7918" s="545">
        <v>10</v>
      </c>
      <c r="E7918" s="545">
        <v>5.6666666666666661</v>
      </c>
      <c r="F7918" s="545">
        <v>12.714285714285717</v>
      </c>
      <c r="G7918" s="545">
        <v>6.05</v>
      </c>
      <c r="H7918" s="545">
        <v>4</v>
      </c>
      <c r="I7918" s="545">
        <v>3.3333333333333335</v>
      </c>
      <c r="J7918" s="545">
        <v>5.3690476190476195</v>
      </c>
    </row>
    <row r="7919" spans="1:10">
      <c r="A7919" s="441">
        <v>7334</v>
      </c>
      <c r="B7919" s="441" t="s">
        <v>6418</v>
      </c>
      <c r="C7919" s="545">
        <v>8</v>
      </c>
      <c r="D7919" s="545">
        <v>5</v>
      </c>
      <c r="E7919" s="545">
        <v>2.3333333333333335</v>
      </c>
      <c r="F7919" s="545">
        <v>6.7619047619047619</v>
      </c>
      <c r="G7919" s="545">
        <v>3.45</v>
      </c>
      <c r="H7919" s="545">
        <v>2.3333333333333335</v>
      </c>
      <c r="I7919" s="545">
        <v>1</v>
      </c>
      <c r="J7919" s="545">
        <v>2.9404761904761902</v>
      </c>
    </row>
    <row r="7920" spans="1:10">
      <c r="A7920" s="441">
        <v>8334</v>
      </c>
      <c r="B7920" s="441" t="s">
        <v>6418</v>
      </c>
      <c r="C7920" s="545">
        <v>9.3333333333333321</v>
      </c>
      <c r="D7920" s="545">
        <v>2.333333333333333</v>
      </c>
      <c r="E7920" s="545">
        <v>1.6666666666666665</v>
      </c>
      <c r="F7920" s="545">
        <v>7.2380952380952364</v>
      </c>
      <c r="G7920" s="545">
        <v>2.15</v>
      </c>
      <c r="H7920" s="545">
        <v>2.6666666666666665</v>
      </c>
      <c r="I7920" s="545">
        <v>2.3333333333333335</v>
      </c>
      <c r="J7920" s="545">
        <v>2.25</v>
      </c>
    </row>
    <row r="7921" spans="1:10">
      <c r="A7921" s="441">
        <v>8332</v>
      </c>
      <c r="B7921" s="441" t="s">
        <v>6419</v>
      </c>
      <c r="C7921" s="545">
        <v>8.1666666666666661</v>
      </c>
      <c r="D7921" s="545">
        <v>3.333333333333333</v>
      </c>
      <c r="E7921" s="545">
        <v>5.6666666666666661</v>
      </c>
      <c r="F7921" s="545">
        <v>7.1190476190476186</v>
      </c>
      <c r="G7921" s="545">
        <v>4.1500000000000004</v>
      </c>
      <c r="H7921" s="545">
        <v>3.6666666666666665</v>
      </c>
      <c r="I7921" s="545">
        <v>1.3333333333333333</v>
      </c>
      <c r="J7921" s="545">
        <v>3.6785714285714284</v>
      </c>
    </row>
    <row r="7922" spans="1:10">
      <c r="A7922" s="441">
        <v>10211</v>
      </c>
      <c r="B7922" s="441" t="s">
        <v>6419</v>
      </c>
      <c r="C7922" s="545">
        <v>7.166666666666667</v>
      </c>
      <c r="D7922" s="545">
        <v>4.333333333333333</v>
      </c>
      <c r="E7922" s="545">
        <v>1.3333333333333333</v>
      </c>
      <c r="F7922" s="545">
        <v>5.9285714285714297</v>
      </c>
      <c r="G7922" s="545">
        <v>6.65</v>
      </c>
      <c r="H7922" s="545">
        <v>6</v>
      </c>
      <c r="I7922" s="545">
        <v>0.33333333333333331</v>
      </c>
      <c r="J7922" s="545">
        <v>5.6547619047619051</v>
      </c>
    </row>
    <row r="7923" spans="1:10">
      <c r="A7923" s="441">
        <v>7325</v>
      </c>
      <c r="B7923" s="441" t="s">
        <v>6420</v>
      </c>
      <c r="C7923" s="545">
        <v>13.333333333333332</v>
      </c>
      <c r="D7923" s="545">
        <v>10</v>
      </c>
      <c r="E7923" s="545">
        <v>7.6666666666666661</v>
      </c>
      <c r="F7923" s="545">
        <v>12.047619047619047</v>
      </c>
      <c r="G7923" s="545">
        <v>12.6</v>
      </c>
      <c r="H7923" s="545">
        <v>13</v>
      </c>
      <c r="I7923" s="545">
        <v>18.666666666666668</v>
      </c>
      <c r="J7923" s="545">
        <v>13.523809523809524</v>
      </c>
    </row>
    <row r="7924" spans="1:10">
      <c r="A7924" s="441">
        <v>33</v>
      </c>
      <c r="B7924" s="441" t="s">
        <v>6421</v>
      </c>
      <c r="C7924" s="545">
        <v>15.833333333333332</v>
      </c>
      <c r="D7924" s="545">
        <v>9</v>
      </c>
      <c r="E7924" s="545">
        <v>4.666666666666667</v>
      </c>
      <c r="F7924" s="545">
        <v>13.261904761904761</v>
      </c>
      <c r="G7924" s="545">
        <v>10.6</v>
      </c>
      <c r="H7924" s="545">
        <v>10.666666666666666</v>
      </c>
      <c r="I7924" s="545">
        <v>6.333333333333333</v>
      </c>
      <c r="J7924" s="545">
        <v>10</v>
      </c>
    </row>
    <row r="7925" spans="1:10">
      <c r="A7925" s="441">
        <v>8335</v>
      </c>
      <c r="B7925" s="441" t="s">
        <v>6421</v>
      </c>
      <c r="C7925" s="545">
        <v>17.833333333333332</v>
      </c>
      <c r="D7925" s="545">
        <v>10</v>
      </c>
      <c r="E7925" s="545">
        <v>6</v>
      </c>
      <c r="F7925" s="545">
        <v>15.023809523809522</v>
      </c>
      <c r="G7925" s="545">
        <v>11.75</v>
      </c>
      <c r="H7925" s="545">
        <v>12.333333333333334</v>
      </c>
      <c r="I7925" s="545">
        <v>7.666666666666667</v>
      </c>
      <c r="J7925" s="545">
        <v>11.25</v>
      </c>
    </row>
    <row r="7926" spans="1:10">
      <c r="A7926" s="441">
        <v>9</v>
      </c>
      <c r="B7926" s="441" t="s">
        <v>6422</v>
      </c>
      <c r="C7926" s="545">
        <v>8.5</v>
      </c>
      <c r="D7926" s="545">
        <v>5</v>
      </c>
      <c r="E7926" s="545">
        <v>6.6666666666666661</v>
      </c>
      <c r="F7926" s="545">
        <v>7.7380952380952381</v>
      </c>
      <c r="G7926" s="545">
        <v>7.45</v>
      </c>
      <c r="H7926" s="545">
        <v>3.3333333333333335</v>
      </c>
      <c r="I7926" s="545">
        <v>1.6666666666666667</v>
      </c>
      <c r="J7926" s="545">
        <v>6.0357142857142856</v>
      </c>
    </row>
    <row r="7927" spans="1:10">
      <c r="A7927" s="441">
        <v>7068</v>
      </c>
      <c r="B7927" s="441" t="s">
        <v>6422</v>
      </c>
      <c r="C7927" s="545">
        <v>17</v>
      </c>
      <c r="D7927" s="545">
        <v>10.333333333333334</v>
      </c>
      <c r="E7927" s="545">
        <v>10.666666666666666</v>
      </c>
      <c r="F7927" s="545">
        <v>15.142857142857142</v>
      </c>
      <c r="G7927" s="545">
        <v>14.2</v>
      </c>
      <c r="H7927" s="545">
        <v>14</v>
      </c>
      <c r="I7927" s="545">
        <v>5.666666666666667</v>
      </c>
      <c r="J7927" s="545">
        <v>12.952380952380953</v>
      </c>
    </row>
    <row r="7928" spans="1:10">
      <c r="A7928" s="441">
        <v>8343</v>
      </c>
      <c r="B7928" s="441" t="s">
        <v>6423</v>
      </c>
      <c r="C7928" s="545">
        <v>10.333333333333332</v>
      </c>
      <c r="D7928" s="545">
        <v>8.3333333333333321</v>
      </c>
      <c r="E7928" s="545">
        <v>6.6666666666666661</v>
      </c>
      <c r="F7928" s="545">
        <v>9.5238095238095219</v>
      </c>
      <c r="G7928" s="545">
        <v>7.55</v>
      </c>
      <c r="H7928" s="545">
        <v>5</v>
      </c>
      <c r="I7928" s="545">
        <v>3.3333333333333335</v>
      </c>
      <c r="J7928" s="545">
        <v>6.5833333333333339</v>
      </c>
    </row>
    <row r="7929" spans="1:10">
      <c r="A7929" s="441">
        <v>8344</v>
      </c>
      <c r="B7929" s="441" t="s">
        <v>6424</v>
      </c>
      <c r="C7929" s="545">
        <v>12</v>
      </c>
      <c r="D7929" s="545">
        <v>8.3333333333333339</v>
      </c>
      <c r="E7929" s="545">
        <v>9.3333333333333321</v>
      </c>
      <c r="F7929" s="545">
        <v>11.095238095238093</v>
      </c>
      <c r="G7929" s="545">
        <v>8.6</v>
      </c>
      <c r="H7929" s="545">
        <v>6.333333333333333</v>
      </c>
      <c r="I7929" s="545">
        <v>3</v>
      </c>
      <c r="J7929" s="545">
        <v>7.4761904761904763</v>
      </c>
    </row>
    <row r="7930" spans="1:10">
      <c r="A7930" s="441">
        <v>8336</v>
      </c>
      <c r="B7930" s="441" t="s">
        <v>6425</v>
      </c>
      <c r="C7930" s="545">
        <v>15.833333333333332</v>
      </c>
      <c r="D7930" s="545">
        <v>12.333333333333334</v>
      </c>
      <c r="E7930" s="545">
        <v>9.3333333333333339</v>
      </c>
      <c r="F7930" s="545">
        <v>14.404761904761902</v>
      </c>
      <c r="G7930" s="545">
        <v>8.6999999999999993</v>
      </c>
      <c r="H7930" s="545">
        <v>5.333333333333333</v>
      </c>
      <c r="I7930" s="545">
        <v>6</v>
      </c>
      <c r="J7930" s="545">
        <v>7.8333333333333339</v>
      </c>
    </row>
    <row r="7931" spans="1:10">
      <c r="A7931" s="441">
        <v>13190</v>
      </c>
      <c r="B7931" s="441" t="s">
        <v>6426</v>
      </c>
      <c r="C7931" s="545" t="e">
        <v>#N/A</v>
      </c>
      <c r="D7931" s="545" t="e">
        <v>#N/A</v>
      </c>
      <c r="E7931" s="545" t="e">
        <v>#N/A</v>
      </c>
      <c r="F7931" s="545" t="e">
        <v>#N/A</v>
      </c>
      <c r="G7931" s="545">
        <v>5.95</v>
      </c>
      <c r="H7931" s="545">
        <v>4.333333333333333</v>
      </c>
      <c r="I7931" s="545">
        <v>3.3333333333333335</v>
      </c>
      <c r="J7931" s="545">
        <v>5.3452380952380958</v>
      </c>
    </row>
    <row r="7932" spans="1:10">
      <c r="A7932" s="441">
        <v>13191</v>
      </c>
      <c r="B7932" s="441" t="s">
        <v>6426</v>
      </c>
      <c r="C7932" s="545" t="e">
        <v>#N/A</v>
      </c>
      <c r="D7932" s="545" t="e">
        <v>#N/A</v>
      </c>
      <c r="E7932" s="545" t="e">
        <v>#N/A</v>
      </c>
      <c r="F7932" s="545" t="e">
        <v>#N/A</v>
      </c>
      <c r="G7932" s="545">
        <v>3.45</v>
      </c>
      <c r="H7932" s="545">
        <v>0.66666666666666663</v>
      </c>
      <c r="I7932" s="545">
        <v>0.33333333333333331</v>
      </c>
      <c r="J7932" s="545">
        <v>2.6071428571428572</v>
      </c>
    </row>
    <row r="7933" spans="1:10">
      <c r="A7933" s="441">
        <v>7074</v>
      </c>
      <c r="B7933" s="441" t="s">
        <v>6427</v>
      </c>
      <c r="C7933" s="545">
        <v>3.3333333333333335</v>
      </c>
      <c r="D7933" s="545">
        <v>1</v>
      </c>
      <c r="E7933" s="545">
        <v>2</v>
      </c>
      <c r="F7933" s="545">
        <v>2.8095238095238098</v>
      </c>
      <c r="G7933" s="545">
        <v>2.9</v>
      </c>
      <c r="H7933" s="545">
        <v>4.333333333333333</v>
      </c>
      <c r="I7933" s="545">
        <v>1.6666666666666667</v>
      </c>
      <c r="J7933" s="545">
        <v>2.9285714285714284</v>
      </c>
    </row>
    <row r="7934" spans="1:10">
      <c r="A7934" s="441">
        <v>8349</v>
      </c>
      <c r="B7934" s="441" t="s">
        <v>6427</v>
      </c>
      <c r="C7934" s="545">
        <v>3.833333333333333</v>
      </c>
      <c r="D7934" s="545">
        <v>2.333333333333333</v>
      </c>
      <c r="E7934" s="545">
        <v>1.6666666666666665</v>
      </c>
      <c r="F7934" s="545">
        <v>3.3095238095238093</v>
      </c>
      <c r="G7934" s="545">
        <v>5.7</v>
      </c>
      <c r="H7934" s="545">
        <v>4.666666666666667</v>
      </c>
      <c r="I7934" s="545">
        <v>3.3333333333333335</v>
      </c>
      <c r="J7934" s="545">
        <v>5.2142857142857144</v>
      </c>
    </row>
    <row r="7935" spans="1:10">
      <c r="A7935" s="441">
        <v>11872</v>
      </c>
      <c r="B7935" s="441" t="s">
        <v>6428</v>
      </c>
      <c r="C7935" s="545">
        <v>3.333333333333333</v>
      </c>
      <c r="D7935" s="545">
        <v>0.66666666666666663</v>
      </c>
      <c r="E7935" s="545">
        <v>1</v>
      </c>
      <c r="F7935" s="545">
        <v>2.6190476190476191</v>
      </c>
      <c r="G7935" s="545">
        <v>1.1000000000000001</v>
      </c>
      <c r="H7935" s="545">
        <v>0.33333333333333331</v>
      </c>
      <c r="I7935" s="545">
        <v>1.3333333333333333</v>
      </c>
      <c r="J7935" s="545">
        <v>1.0238095238095237</v>
      </c>
    </row>
    <row r="7936" spans="1:10">
      <c r="A7936" s="441">
        <v>7332</v>
      </c>
      <c r="B7936" s="441" t="s">
        <v>6429</v>
      </c>
      <c r="C7936" s="545">
        <v>14</v>
      </c>
      <c r="D7936" s="545">
        <v>10</v>
      </c>
      <c r="E7936" s="545">
        <v>7</v>
      </c>
      <c r="F7936" s="545">
        <v>12.428571428571429</v>
      </c>
      <c r="G7936" s="545">
        <v>8.0500000000000007</v>
      </c>
      <c r="H7936" s="545">
        <v>4</v>
      </c>
      <c r="I7936" s="545">
        <v>6.666666666666667</v>
      </c>
      <c r="J7936" s="545">
        <v>7.2738095238095237</v>
      </c>
    </row>
    <row r="7937" spans="1:10">
      <c r="A7937" s="441">
        <v>7075</v>
      </c>
      <c r="B7937" s="441" t="s">
        <v>6430</v>
      </c>
      <c r="C7937" s="545">
        <v>27.5</v>
      </c>
      <c r="D7937" s="545">
        <v>19.666666666666668</v>
      </c>
      <c r="E7937" s="545">
        <v>19.666666666666668</v>
      </c>
      <c r="F7937" s="545">
        <v>25.261904761904759</v>
      </c>
      <c r="G7937" s="545">
        <v>15</v>
      </c>
      <c r="H7937" s="545">
        <v>10.333333333333334</v>
      </c>
      <c r="I7937" s="545">
        <v>8.6666666666666661</v>
      </c>
      <c r="J7937" s="545">
        <v>13.428571428571429</v>
      </c>
    </row>
    <row r="7938" spans="1:10">
      <c r="A7938" s="441">
        <v>8348</v>
      </c>
      <c r="B7938" s="441" t="s">
        <v>6430</v>
      </c>
      <c r="C7938" s="545">
        <v>27.5</v>
      </c>
      <c r="D7938" s="545">
        <v>25</v>
      </c>
      <c r="E7938" s="545">
        <v>20</v>
      </c>
      <c r="F7938" s="545">
        <v>26.071428571428573</v>
      </c>
      <c r="G7938" s="545">
        <v>12.45</v>
      </c>
      <c r="H7938" s="545">
        <v>12.666666666666666</v>
      </c>
      <c r="I7938" s="545">
        <v>7.333333333333333</v>
      </c>
      <c r="J7938" s="545">
        <v>11.75</v>
      </c>
    </row>
    <row r="7939" spans="1:10">
      <c r="A7939" s="441">
        <v>10209</v>
      </c>
      <c r="B7939" s="441" t="s">
        <v>6431</v>
      </c>
      <c r="C7939" s="545">
        <v>23.666666666666668</v>
      </c>
      <c r="D7939" s="545">
        <v>17.333333333333332</v>
      </c>
      <c r="E7939" s="545">
        <v>19.333333333333336</v>
      </c>
      <c r="F7939" s="545">
        <v>22.142857142857146</v>
      </c>
      <c r="G7939" s="545">
        <v>10.199999999999999</v>
      </c>
      <c r="H7939" s="545">
        <v>6</v>
      </c>
      <c r="I7939" s="545">
        <v>2.3333333333333335</v>
      </c>
      <c r="J7939" s="545">
        <v>8.4761904761904763</v>
      </c>
    </row>
    <row r="7940" spans="1:10">
      <c r="A7940" s="441">
        <v>10697</v>
      </c>
      <c r="B7940" s="441" t="s">
        <v>6431</v>
      </c>
      <c r="C7940" s="545">
        <v>24.833333333333336</v>
      </c>
      <c r="D7940" s="545">
        <v>21</v>
      </c>
      <c r="E7940" s="545">
        <v>17</v>
      </c>
      <c r="F7940" s="545">
        <v>23.166666666666668</v>
      </c>
      <c r="G7940" s="545">
        <v>14.5</v>
      </c>
      <c r="H7940" s="545">
        <v>4.666666666666667</v>
      </c>
      <c r="I7940" s="545">
        <v>5</v>
      </c>
      <c r="J7940" s="545">
        <v>11.738095238095239</v>
      </c>
    </row>
    <row r="7941" spans="1:10">
      <c r="A7941" s="441">
        <v>7072</v>
      </c>
      <c r="B7941" s="441" t="s">
        <v>6432</v>
      </c>
      <c r="C7941" s="545">
        <v>37.333333333333336</v>
      </c>
      <c r="D7941" s="545">
        <v>12.333333333333332</v>
      </c>
      <c r="E7941" s="545">
        <v>10.666666666666666</v>
      </c>
      <c r="F7941" s="545">
        <v>29.952380952380956</v>
      </c>
      <c r="G7941" s="545">
        <v>18.45</v>
      </c>
      <c r="H7941" s="545">
        <v>6</v>
      </c>
      <c r="I7941" s="545">
        <v>4</v>
      </c>
      <c r="J7941" s="545">
        <v>14.607142857142858</v>
      </c>
    </row>
    <row r="7942" spans="1:10">
      <c r="A7942" s="441">
        <v>8351</v>
      </c>
      <c r="B7942" s="441" t="s">
        <v>6432</v>
      </c>
      <c r="C7942" s="545">
        <v>35</v>
      </c>
      <c r="D7942" s="545">
        <v>12.666666666666668</v>
      </c>
      <c r="E7942" s="545">
        <v>17</v>
      </c>
      <c r="F7942" s="545">
        <v>29.238095238095237</v>
      </c>
      <c r="G7942" s="545">
        <v>18.850000000000001</v>
      </c>
      <c r="H7942" s="545">
        <v>11.666666666666666</v>
      </c>
      <c r="I7942" s="545">
        <v>4.666666666666667</v>
      </c>
      <c r="J7942" s="545">
        <v>15.797619047619049</v>
      </c>
    </row>
    <row r="7943" spans="1:10">
      <c r="A7943" s="441">
        <v>11903</v>
      </c>
      <c r="B7943" s="441" t="s">
        <v>6433</v>
      </c>
      <c r="C7943" s="545">
        <v>8.3333333333333321</v>
      </c>
      <c r="D7943" s="545">
        <v>6</v>
      </c>
      <c r="E7943" s="545">
        <v>6</v>
      </c>
      <c r="F7943" s="545">
        <v>7.6666666666666652</v>
      </c>
      <c r="G7943" s="545">
        <v>8.3000000000000007</v>
      </c>
      <c r="H7943" s="545">
        <v>3.6666666666666665</v>
      </c>
      <c r="I7943" s="545">
        <v>2.3333333333333335</v>
      </c>
      <c r="J7943" s="545">
        <v>6.7857142857142856</v>
      </c>
    </row>
    <row r="7944" spans="1:10">
      <c r="A7944" s="441">
        <v>13070</v>
      </c>
      <c r="B7944" s="441" t="s">
        <v>6433</v>
      </c>
      <c r="C7944" s="545">
        <v>9.1666666666666679</v>
      </c>
      <c r="D7944" s="545">
        <v>8.6666666666666661</v>
      </c>
      <c r="E7944" s="545">
        <v>7</v>
      </c>
      <c r="F7944" s="545">
        <v>8.7857142857142865</v>
      </c>
      <c r="G7944" s="545">
        <v>6.6</v>
      </c>
      <c r="H7944" s="545">
        <v>5</v>
      </c>
      <c r="I7944" s="545">
        <v>5.333333333333333</v>
      </c>
      <c r="J7944" s="545">
        <v>6.1904761904761907</v>
      </c>
    </row>
    <row r="7945" spans="1:10">
      <c r="A7945" s="441">
        <v>12895</v>
      </c>
      <c r="B7945" s="441" t="s">
        <v>6434</v>
      </c>
      <c r="C7945" s="545">
        <v>1.8333333333333335</v>
      </c>
      <c r="D7945" s="545">
        <v>3</v>
      </c>
      <c r="E7945" s="545">
        <v>1.6666666666666665</v>
      </c>
      <c r="F7945" s="545">
        <v>1.9761904761904763</v>
      </c>
      <c r="G7945" s="545">
        <v>2.65</v>
      </c>
      <c r="H7945" s="545">
        <v>2.6666666666666665</v>
      </c>
      <c r="I7945" s="545">
        <v>1</v>
      </c>
      <c r="J7945" s="545">
        <v>2.4166666666666665</v>
      </c>
    </row>
    <row r="7946" spans="1:10">
      <c r="A7946" s="441">
        <v>5828</v>
      </c>
      <c r="B7946" s="441" t="s">
        <v>6435</v>
      </c>
      <c r="C7946" s="545">
        <v>3.3333333333333335</v>
      </c>
      <c r="D7946" s="545">
        <v>1.3333333333333333</v>
      </c>
      <c r="E7946" s="545">
        <v>1.3333333333333333</v>
      </c>
      <c r="F7946" s="545">
        <v>2.7619047619047619</v>
      </c>
      <c r="G7946" s="545">
        <v>2.1</v>
      </c>
      <c r="H7946" s="545">
        <v>1.3333333333333333</v>
      </c>
      <c r="I7946" s="545">
        <v>0.66666666666666663</v>
      </c>
      <c r="J7946" s="545">
        <v>1.7857142857142858</v>
      </c>
    </row>
    <row r="7947" spans="1:10">
      <c r="A7947" s="441">
        <v>5302</v>
      </c>
      <c r="B7947" s="441" t="s">
        <v>6436</v>
      </c>
      <c r="C7947" s="545">
        <v>9.1666666666666661</v>
      </c>
      <c r="D7947" s="545">
        <v>6.666666666666667</v>
      </c>
      <c r="E7947" s="545">
        <v>5</v>
      </c>
      <c r="F7947" s="545">
        <v>8.2142857142857135</v>
      </c>
      <c r="G7947" s="545">
        <v>8.4499999999999993</v>
      </c>
      <c r="H7947" s="545">
        <v>5.666666666666667</v>
      </c>
      <c r="I7947" s="545">
        <v>5.333333333333333</v>
      </c>
      <c r="J7947" s="545">
        <v>7.6071428571428568</v>
      </c>
    </row>
    <row r="7948" spans="1:10">
      <c r="A7948" s="441">
        <v>5301</v>
      </c>
      <c r="B7948" s="441" t="s">
        <v>6437</v>
      </c>
      <c r="C7948" s="545">
        <v>7.1666666666666661</v>
      </c>
      <c r="D7948" s="545">
        <v>4.666666666666667</v>
      </c>
      <c r="E7948" s="545">
        <v>3.3333333333333335</v>
      </c>
      <c r="F7948" s="545">
        <v>6.261904761904761</v>
      </c>
      <c r="G7948" s="545">
        <v>2.2999999999999998</v>
      </c>
      <c r="H7948" s="545">
        <v>3.6666666666666665</v>
      </c>
      <c r="I7948" s="545">
        <v>1.3333333333333333</v>
      </c>
      <c r="J7948" s="545">
        <v>2.3571428571428572</v>
      </c>
    </row>
    <row r="7949" spans="1:10">
      <c r="A7949" s="441">
        <v>5317</v>
      </c>
      <c r="B7949" s="441" t="s">
        <v>6437</v>
      </c>
      <c r="C7949" s="545">
        <v>5.166666666666667</v>
      </c>
      <c r="D7949" s="545">
        <v>4.333333333333333</v>
      </c>
      <c r="E7949" s="545">
        <v>1.3333333333333333</v>
      </c>
      <c r="F7949" s="545">
        <v>4.5</v>
      </c>
      <c r="G7949" s="545">
        <v>3.35</v>
      </c>
      <c r="H7949" s="545">
        <v>1.6666666666666667</v>
      </c>
      <c r="I7949" s="545">
        <v>1</v>
      </c>
      <c r="J7949" s="545">
        <v>2.7738095238095242</v>
      </c>
    </row>
    <row r="7950" spans="1:10">
      <c r="A7950" s="441">
        <v>11343</v>
      </c>
      <c r="B7950" s="441" t="s">
        <v>6438</v>
      </c>
      <c r="C7950" s="545">
        <v>19</v>
      </c>
      <c r="D7950" s="545">
        <v>9.6666666666666661</v>
      </c>
      <c r="E7950" s="545">
        <v>5.333333333333333</v>
      </c>
      <c r="F7950" s="545">
        <v>15.714285714285714</v>
      </c>
      <c r="G7950" s="545">
        <v>15.8</v>
      </c>
      <c r="H7950" s="545">
        <v>10.666666666666666</v>
      </c>
      <c r="I7950" s="545">
        <v>7</v>
      </c>
      <c r="J7950" s="545">
        <v>13.80952380952381</v>
      </c>
    </row>
    <row r="7951" spans="1:10">
      <c r="A7951" s="441">
        <v>11344</v>
      </c>
      <c r="B7951" s="441" t="s">
        <v>6438</v>
      </c>
      <c r="C7951" s="545">
        <v>26.166666666666668</v>
      </c>
      <c r="D7951" s="545">
        <v>10.666666666666666</v>
      </c>
      <c r="E7951" s="545">
        <v>8.3333333333333339</v>
      </c>
      <c r="F7951" s="545">
        <v>21.404761904761905</v>
      </c>
      <c r="G7951" s="545">
        <v>17.600000000000001</v>
      </c>
      <c r="H7951" s="545">
        <v>12.666666666666666</v>
      </c>
      <c r="I7951" s="545">
        <v>7</v>
      </c>
      <c r="J7951" s="545">
        <v>15.380952380952381</v>
      </c>
    </row>
    <row r="7952" spans="1:10">
      <c r="A7952" s="441">
        <v>5811</v>
      </c>
      <c r="B7952" s="441" t="s">
        <v>6439</v>
      </c>
      <c r="C7952" s="545">
        <v>39.166666666666664</v>
      </c>
      <c r="D7952" s="545">
        <v>12.333333333333334</v>
      </c>
      <c r="E7952" s="545">
        <v>13</v>
      </c>
      <c r="F7952" s="545">
        <v>31.595238095238095</v>
      </c>
      <c r="G7952" s="545">
        <v>21.7</v>
      </c>
      <c r="H7952" s="545">
        <v>5</v>
      </c>
      <c r="I7952" s="545">
        <v>6.333333333333333</v>
      </c>
      <c r="J7952" s="545">
        <v>17.119047619047617</v>
      </c>
    </row>
    <row r="7953" spans="1:10">
      <c r="A7953" s="441">
        <v>12881</v>
      </c>
      <c r="B7953" s="441" t="s">
        <v>6439</v>
      </c>
      <c r="C7953" s="545">
        <v>25</v>
      </c>
      <c r="D7953" s="545">
        <v>13.333333333333334</v>
      </c>
      <c r="E7953" s="545">
        <v>11</v>
      </c>
      <c r="F7953" s="545">
        <v>21.333333333333336</v>
      </c>
      <c r="G7953" s="545">
        <v>17.8</v>
      </c>
      <c r="H7953" s="545">
        <v>10.333333333333334</v>
      </c>
      <c r="I7953" s="545">
        <v>5.666666666666667</v>
      </c>
      <c r="J7953" s="545">
        <v>15</v>
      </c>
    </row>
    <row r="7954" spans="1:10">
      <c r="A7954" s="441">
        <v>5812</v>
      </c>
      <c r="B7954" s="441" t="s">
        <v>6440</v>
      </c>
      <c r="C7954" s="545">
        <v>3.3333333333333335</v>
      </c>
      <c r="D7954" s="545">
        <v>4.666666666666667</v>
      </c>
      <c r="E7954" s="545">
        <v>2</v>
      </c>
      <c r="F7954" s="545">
        <v>3.3333333333333335</v>
      </c>
      <c r="G7954" s="545">
        <v>3.95</v>
      </c>
      <c r="H7954" s="545">
        <v>0.66666666666666663</v>
      </c>
      <c r="I7954" s="545">
        <v>1</v>
      </c>
      <c r="J7954" s="545">
        <v>3.0595238095238098</v>
      </c>
    </row>
    <row r="7955" spans="1:10">
      <c r="A7955" s="441">
        <v>12880</v>
      </c>
      <c r="B7955" s="441" t="s">
        <v>6440</v>
      </c>
      <c r="C7955" s="545">
        <v>20</v>
      </c>
      <c r="D7955" s="545">
        <v>8.3333333333333339</v>
      </c>
      <c r="E7955" s="545">
        <v>3.3333333333333335</v>
      </c>
      <c r="F7955" s="545">
        <v>15.952380952380951</v>
      </c>
      <c r="G7955" s="545">
        <v>16.5</v>
      </c>
      <c r="H7955" s="545">
        <v>2</v>
      </c>
      <c r="I7955" s="545">
        <v>2.6666666666666665</v>
      </c>
      <c r="J7955" s="545">
        <v>12.452380952380953</v>
      </c>
    </row>
    <row r="7956" spans="1:10">
      <c r="A7956" s="441">
        <v>12652</v>
      </c>
      <c r="B7956" s="441" t="s">
        <v>6441</v>
      </c>
      <c r="C7956" s="545">
        <v>41.166666666666664</v>
      </c>
      <c r="D7956" s="545">
        <v>14.333333333333334</v>
      </c>
      <c r="E7956" s="545">
        <v>16.666666666666668</v>
      </c>
      <c r="F7956" s="545">
        <v>33.833333333333329</v>
      </c>
      <c r="G7956" s="545">
        <v>24.5</v>
      </c>
      <c r="H7956" s="545">
        <v>15.333333333333334</v>
      </c>
      <c r="I7956" s="545">
        <v>11.666666666666666</v>
      </c>
      <c r="J7956" s="545">
        <v>21.357142857142858</v>
      </c>
    </row>
    <row r="7957" spans="1:10">
      <c r="A7957" s="441">
        <v>12653</v>
      </c>
      <c r="B7957" s="441" t="s">
        <v>6441</v>
      </c>
      <c r="C7957" s="545">
        <v>42.5</v>
      </c>
      <c r="D7957" s="545">
        <v>16</v>
      </c>
      <c r="E7957" s="545">
        <v>15.666666666666668</v>
      </c>
      <c r="F7957" s="545">
        <v>34.88095238095238</v>
      </c>
      <c r="G7957" s="545">
        <v>20.8</v>
      </c>
      <c r="H7957" s="545">
        <v>13.333333333333334</v>
      </c>
      <c r="I7957" s="545">
        <v>11.333333333333334</v>
      </c>
      <c r="J7957" s="545">
        <v>18.38095238095238</v>
      </c>
    </row>
    <row r="7958" spans="1:10">
      <c r="A7958" s="441">
        <v>5318</v>
      </c>
      <c r="B7958" s="441" t="s">
        <v>6442</v>
      </c>
      <c r="C7958" s="545">
        <v>33.833333333333336</v>
      </c>
      <c r="D7958" s="545">
        <v>12.333333333333332</v>
      </c>
      <c r="E7958" s="545">
        <v>13.666666666666668</v>
      </c>
      <c r="F7958" s="545">
        <v>27.880952380952383</v>
      </c>
      <c r="G7958" s="545">
        <v>18.3</v>
      </c>
      <c r="H7958" s="545">
        <v>9.6666666666666661</v>
      </c>
      <c r="I7958" s="545">
        <v>7.333333333333333</v>
      </c>
      <c r="J7958" s="545">
        <v>15.5</v>
      </c>
    </row>
    <row r="7959" spans="1:10">
      <c r="A7959" s="441">
        <v>13015</v>
      </c>
      <c r="B7959" s="441" t="s">
        <v>6442</v>
      </c>
      <c r="C7959" s="545">
        <v>23.833333333333332</v>
      </c>
      <c r="D7959" s="545">
        <v>15.666666666666666</v>
      </c>
      <c r="E7959" s="545">
        <v>14.333333333333334</v>
      </c>
      <c r="F7959" s="545">
        <v>21.309523809523807</v>
      </c>
      <c r="G7959" s="545">
        <v>19.2</v>
      </c>
      <c r="H7959" s="545">
        <v>15</v>
      </c>
      <c r="I7959" s="545">
        <v>11</v>
      </c>
      <c r="J7959" s="545">
        <v>17.428571428571427</v>
      </c>
    </row>
    <row r="7960" spans="1:10">
      <c r="A7960" s="441">
        <v>10005</v>
      </c>
      <c r="B7960" s="441" t="s">
        <v>6443</v>
      </c>
      <c r="C7960" s="545">
        <v>71.833333333333329</v>
      </c>
      <c r="D7960" s="545">
        <v>13.666666666666668</v>
      </c>
      <c r="E7960" s="545">
        <v>3.6666666666666665</v>
      </c>
      <c r="F7960" s="545">
        <v>53.785714285714285</v>
      </c>
      <c r="G7960" s="545">
        <v>39.9</v>
      </c>
      <c r="H7960" s="545">
        <v>4.333333333333333</v>
      </c>
      <c r="I7960" s="545">
        <v>4.666666666666667</v>
      </c>
      <c r="J7960" s="545">
        <v>29.785714285714285</v>
      </c>
    </row>
    <row r="7961" spans="1:10">
      <c r="A7961" s="441">
        <v>7084</v>
      </c>
      <c r="B7961" s="441" t="s">
        <v>6444</v>
      </c>
      <c r="C7961" s="545">
        <v>10.333333333333332</v>
      </c>
      <c r="D7961" s="545">
        <v>5.333333333333333</v>
      </c>
      <c r="E7961" s="545">
        <v>2</v>
      </c>
      <c r="F7961" s="545">
        <v>8.428571428571427</v>
      </c>
      <c r="G7961" s="545">
        <v>6.1</v>
      </c>
      <c r="H7961" s="545">
        <v>7.666666666666667</v>
      </c>
      <c r="I7961" s="545">
        <v>3.3333333333333335</v>
      </c>
      <c r="J7961" s="545">
        <v>5.9285714285714288</v>
      </c>
    </row>
    <row r="7962" spans="1:10">
      <c r="A7962" s="441">
        <v>7082</v>
      </c>
      <c r="B7962" s="441" t="s">
        <v>6445</v>
      </c>
      <c r="C7962" s="545">
        <v>1.8333333333333335</v>
      </c>
      <c r="D7962" s="545">
        <v>1</v>
      </c>
      <c r="E7962" s="545">
        <v>1.6666666666666665</v>
      </c>
      <c r="F7962" s="545">
        <v>1.6904761904761905</v>
      </c>
      <c r="G7962" s="545">
        <v>0.9</v>
      </c>
      <c r="H7962" s="545">
        <v>3</v>
      </c>
      <c r="I7962" s="545">
        <v>0.66666666666666663</v>
      </c>
      <c r="J7962" s="545">
        <v>1.1666666666666665</v>
      </c>
    </row>
    <row r="7963" spans="1:10">
      <c r="A7963" s="441">
        <v>7083</v>
      </c>
      <c r="B7963" s="441" t="s">
        <v>6446</v>
      </c>
      <c r="C7963" s="545">
        <v>8</v>
      </c>
      <c r="D7963" s="545">
        <v>2</v>
      </c>
      <c r="E7963" s="545">
        <v>1.6666666666666665</v>
      </c>
      <c r="F7963" s="545">
        <v>6.2380952380952381</v>
      </c>
      <c r="G7963" s="545">
        <v>11.6</v>
      </c>
      <c r="H7963" s="545">
        <v>5.333333333333333</v>
      </c>
      <c r="I7963" s="545">
        <v>4</v>
      </c>
      <c r="J7963" s="545">
        <v>9.6190476190476204</v>
      </c>
    </row>
    <row r="7964" spans="1:10">
      <c r="A7964" s="441">
        <v>7085</v>
      </c>
      <c r="B7964" s="441" t="s">
        <v>6447</v>
      </c>
      <c r="C7964" s="545">
        <v>19.666666666666668</v>
      </c>
      <c r="D7964" s="545">
        <v>12.666666666666668</v>
      </c>
      <c r="E7964" s="545">
        <v>8</v>
      </c>
      <c r="F7964" s="545">
        <v>17.000000000000004</v>
      </c>
      <c r="G7964" s="545">
        <v>8.5</v>
      </c>
      <c r="H7964" s="545">
        <v>8</v>
      </c>
      <c r="I7964" s="545">
        <v>8.6666666666666661</v>
      </c>
      <c r="J7964" s="545">
        <v>8.4523809523809526</v>
      </c>
    </row>
    <row r="7965" spans="1:10">
      <c r="A7965" s="441">
        <v>4731</v>
      </c>
      <c r="B7965" s="441" t="s">
        <v>6448</v>
      </c>
      <c r="C7965" s="545">
        <v>8.8333333333333339</v>
      </c>
      <c r="D7965" s="545">
        <v>2.333333333333333</v>
      </c>
      <c r="E7965" s="545">
        <v>4</v>
      </c>
      <c r="F7965" s="545">
        <v>7.2142857142857153</v>
      </c>
      <c r="G7965" s="545">
        <v>2.5499999999999998</v>
      </c>
      <c r="H7965" s="545">
        <v>1.3333333333333333</v>
      </c>
      <c r="I7965" s="545">
        <v>2.6666666666666665</v>
      </c>
      <c r="J7965" s="545">
        <v>2.3928571428571428</v>
      </c>
    </row>
    <row r="7966" spans="1:10">
      <c r="A7966" s="441">
        <v>4735</v>
      </c>
      <c r="B7966" s="441" t="s">
        <v>6448</v>
      </c>
      <c r="C7966" s="545">
        <v>6.666666666666667</v>
      </c>
      <c r="D7966" s="545">
        <v>3.3333333333333335</v>
      </c>
      <c r="E7966" s="545">
        <v>6</v>
      </c>
      <c r="F7966" s="545">
        <v>6.0952380952380958</v>
      </c>
      <c r="G7966" s="545">
        <v>3.45</v>
      </c>
      <c r="H7966" s="545">
        <v>2</v>
      </c>
      <c r="I7966" s="545">
        <v>3</v>
      </c>
      <c r="J7966" s="545">
        <v>3.1785714285714284</v>
      </c>
    </row>
    <row r="7967" spans="1:10">
      <c r="A7967" s="441">
        <v>4734</v>
      </c>
      <c r="B7967" s="441" t="s">
        <v>6449</v>
      </c>
      <c r="C7967" s="545">
        <v>29.166666666666664</v>
      </c>
      <c r="D7967" s="545">
        <v>25</v>
      </c>
      <c r="E7967" s="545">
        <v>13.666666666666668</v>
      </c>
      <c r="F7967" s="545">
        <v>26.357142857142854</v>
      </c>
      <c r="G7967" s="545">
        <v>28.4</v>
      </c>
      <c r="H7967" s="545">
        <v>9.3333333333333339</v>
      </c>
      <c r="I7967" s="545">
        <v>11.666666666666666</v>
      </c>
      <c r="J7967" s="545">
        <v>23.285714285714285</v>
      </c>
    </row>
    <row r="7968" spans="1:10">
      <c r="A7968" s="441">
        <v>4733</v>
      </c>
      <c r="B7968" s="441" t="s">
        <v>6450</v>
      </c>
      <c r="C7968" s="545">
        <v>5.166666666666667</v>
      </c>
      <c r="D7968" s="545">
        <v>2.3333333333333335</v>
      </c>
      <c r="E7968" s="545">
        <v>2</v>
      </c>
      <c r="F7968" s="545">
        <v>4.3095238095238093</v>
      </c>
      <c r="G7968" s="545">
        <v>18.2</v>
      </c>
      <c r="H7968" s="545">
        <v>2.3333333333333335</v>
      </c>
      <c r="I7968" s="545">
        <v>2.3333333333333335</v>
      </c>
      <c r="J7968" s="545">
        <v>13.666666666666666</v>
      </c>
    </row>
    <row r="7969" spans="1:10">
      <c r="A7969" s="441">
        <v>12171</v>
      </c>
      <c r="B7969" s="441" t="s">
        <v>6450</v>
      </c>
      <c r="C7969" s="545">
        <v>5.8333333333333339</v>
      </c>
      <c r="D7969" s="545">
        <v>4.6666666666666661</v>
      </c>
      <c r="E7969" s="545">
        <v>3.3333333333333335</v>
      </c>
      <c r="F7969" s="545">
        <v>5.3095238095238102</v>
      </c>
      <c r="G7969" s="545">
        <v>17.75</v>
      </c>
      <c r="H7969" s="545">
        <v>2</v>
      </c>
      <c r="I7969" s="545">
        <v>6.666666666666667</v>
      </c>
      <c r="J7969" s="545">
        <v>13.916666666666668</v>
      </c>
    </row>
    <row r="7970" spans="1:10">
      <c r="A7970" s="441">
        <v>4737</v>
      </c>
      <c r="B7970" s="441" t="s">
        <v>6451</v>
      </c>
      <c r="C7970" s="545">
        <v>6.166666666666667</v>
      </c>
      <c r="D7970" s="545">
        <v>2</v>
      </c>
      <c r="E7970" s="545">
        <v>4.333333333333333</v>
      </c>
      <c r="F7970" s="545">
        <v>5.3095238095238102</v>
      </c>
      <c r="G7970" s="545">
        <v>14.65</v>
      </c>
      <c r="H7970" s="545">
        <v>0.33333333333333331</v>
      </c>
      <c r="I7970" s="545">
        <v>1.3333333333333333</v>
      </c>
      <c r="J7970" s="545">
        <v>10.702380952380951</v>
      </c>
    </row>
    <row r="7971" spans="1:10">
      <c r="A7971" s="441">
        <v>4730</v>
      </c>
      <c r="B7971" s="441" t="s">
        <v>6452</v>
      </c>
      <c r="C7971" s="545">
        <v>3.833333333333333</v>
      </c>
      <c r="D7971" s="545">
        <v>4</v>
      </c>
      <c r="E7971" s="545">
        <v>2.3333333333333335</v>
      </c>
      <c r="F7971" s="545">
        <v>3.6428571428571423</v>
      </c>
      <c r="G7971" s="545">
        <v>15.45</v>
      </c>
      <c r="H7971" s="545">
        <v>0.66666666666666663</v>
      </c>
      <c r="I7971" s="545">
        <v>0.66666666666666663</v>
      </c>
      <c r="J7971" s="545">
        <v>11.226190476190478</v>
      </c>
    </row>
    <row r="7972" spans="1:10">
      <c r="A7972" s="441">
        <v>4736</v>
      </c>
      <c r="B7972" s="441" t="s">
        <v>6452</v>
      </c>
      <c r="C7972" s="545">
        <v>3</v>
      </c>
      <c r="D7972" s="545">
        <v>2.3333333333333335</v>
      </c>
      <c r="E7972" s="545">
        <v>2</v>
      </c>
      <c r="F7972" s="545">
        <v>2.7619047619047619</v>
      </c>
      <c r="G7972" s="545">
        <v>2.0499999999999998</v>
      </c>
      <c r="H7972" s="545">
        <v>0.33333333333333331</v>
      </c>
      <c r="I7972" s="545">
        <v>1.6666666666666667</v>
      </c>
      <c r="J7972" s="545">
        <v>1.75</v>
      </c>
    </row>
    <row r="7973" spans="1:10">
      <c r="A7973" s="441">
        <v>8446</v>
      </c>
      <c r="B7973" s="441" t="s">
        <v>6453</v>
      </c>
      <c r="C7973" s="545">
        <v>10</v>
      </c>
      <c r="D7973" s="545">
        <v>8.6666666666666661</v>
      </c>
      <c r="E7973" s="545">
        <v>8.6666666666666679</v>
      </c>
      <c r="F7973" s="545">
        <v>9.6190476190476186</v>
      </c>
      <c r="G7973" s="545">
        <v>7.2</v>
      </c>
      <c r="H7973" s="545">
        <v>4</v>
      </c>
      <c r="I7973" s="545">
        <v>5</v>
      </c>
      <c r="J7973" s="545">
        <v>6.4285714285714288</v>
      </c>
    </row>
    <row r="7974" spans="1:10">
      <c r="A7974" s="441">
        <v>7787</v>
      </c>
      <c r="B7974" s="441" t="s">
        <v>6454</v>
      </c>
      <c r="C7974" s="545">
        <v>368</v>
      </c>
      <c r="D7974" s="545">
        <v>271.33333333333337</v>
      </c>
      <c r="E7974" s="545">
        <v>185</v>
      </c>
      <c r="F7974" s="545">
        <v>328.04761904761909</v>
      </c>
      <c r="G7974" s="545">
        <v>200.25</v>
      </c>
      <c r="H7974" s="545">
        <v>151.66666666666666</v>
      </c>
      <c r="I7974" s="545">
        <v>106.33333333333333</v>
      </c>
      <c r="J7974" s="545">
        <v>179.89285714285714</v>
      </c>
    </row>
    <row r="7975" spans="1:10">
      <c r="A7975" s="441">
        <v>7788</v>
      </c>
      <c r="B7975" s="441" t="s">
        <v>6454</v>
      </c>
      <c r="C7975" s="545">
        <v>338</v>
      </c>
      <c r="D7975" s="545">
        <v>263.33333333333331</v>
      </c>
      <c r="E7975" s="545">
        <v>182.33333333333331</v>
      </c>
      <c r="F7975" s="545">
        <v>305.09523809523807</v>
      </c>
      <c r="G7975" s="545">
        <v>173.25</v>
      </c>
      <c r="H7975" s="545">
        <v>144</v>
      </c>
      <c r="I7975" s="545">
        <v>113.66666666666667</v>
      </c>
      <c r="J7975" s="545">
        <v>160.55952380952382</v>
      </c>
    </row>
    <row r="7976" spans="1:10">
      <c r="A7976" s="441">
        <v>2384</v>
      </c>
      <c r="B7976" s="441" t="s">
        <v>6455</v>
      </c>
      <c r="C7976" s="545">
        <v>4.8333333333333339</v>
      </c>
      <c r="D7976" s="545">
        <v>1</v>
      </c>
      <c r="E7976" s="545">
        <v>2</v>
      </c>
      <c r="F7976" s="545">
        <v>3.8809523809523818</v>
      </c>
      <c r="G7976" s="545">
        <v>3.1</v>
      </c>
      <c r="H7976" s="545">
        <v>0</v>
      </c>
      <c r="I7976" s="545">
        <v>10.333333333333334</v>
      </c>
      <c r="J7976" s="545">
        <v>3.6904761904761907</v>
      </c>
    </row>
    <row r="7977" spans="1:10">
      <c r="A7977" s="441">
        <v>2394</v>
      </c>
      <c r="B7977" s="441" t="s">
        <v>6455</v>
      </c>
      <c r="C7977" s="545">
        <v>2</v>
      </c>
      <c r="D7977" s="545">
        <v>0.66666666666666663</v>
      </c>
      <c r="E7977" s="545">
        <v>8</v>
      </c>
      <c r="F7977" s="545">
        <v>2.6666666666666665</v>
      </c>
      <c r="G7977" s="545">
        <v>0.6</v>
      </c>
      <c r="H7977" s="545">
        <v>0</v>
      </c>
      <c r="I7977" s="545">
        <v>0</v>
      </c>
      <c r="J7977" s="545">
        <v>0.42857142857142855</v>
      </c>
    </row>
    <row r="7978" spans="1:10">
      <c r="A7978" s="441">
        <v>2386</v>
      </c>
      <c r="B7978" s="441" t="s">
        <v>6456</v>
      </c>
      <c r="C7978" s="545">
        <v>3.5</v>
      </c>
      <c r="D7978" s="545">
        <v>4.333333333333333</v>
      </c>
      <c r="E7978" s="545">
        <v>0.66666666666666663</v>
      </c>
      <c r="F7978" s="545">
        <v>3.2142857142857144</v>
      </c>
      <c r="G7978" s="545">
        <v>1.2</v>
      </c>
      <c r="H7978" s="545">
        <v>1.6666666666666667</v>
      </c>
      <c r="I7978" s="545">
        <v>0.66666666666666663</v>
      </c>
      <c r="J7978" s="545">
        <v>1.1904761904761905</v>
      </c>
    </row>
    <row r="7979" spans="1:10">
      <c r="A7979" s="441">
        <v>2392</v>
      </c>
      <c r="B7979" s="441" t="s">
        <v>6456</v>
      </c>
      <c r="C7979" s="545">
        <v>2.5</v>
      </c>
      <c r="D7979" s="545">
        <v>1.3333333333333333</v>
      </c>
      <c r="E7979" s="545">
        <v>1</v>
      </c>
      <c r="F7979" s="545">
        <v>2.1190476190476191</v>
      </c>
      <c r="G7979" s="545">
        <v>8.65</v>
      </c>
      <c r="H7979" s="545">
        <v>0.66666666666666663</v>
      </c>
      <c r="I7979" s="545">
        <v>0</v>
      </c>
      <c r="J7979" s="545">
        <v>6.2738095238095237</v>
      </c>
    </row>
    <row r="7980" spans="1:10">
      <c r="A7980" s="441">
        <v>2387</v>
      </c>
      <c r="B7980" s="441" t="s">
        <v>6457</v>
      </c>
      <c r="C7980" s="545">
        <v>6.5</v>
      </c>
      <c r="D7980" s="545">
        <v>2.666666666666667</v>
      </c>
      <c r="E7980" s="545">
        <v>4</v>
      </c>
      <c r="F7980" s="545">
        <v>5.5952380952380949</v>
      </c>
      <c r="G7980" s="545">
        <v>2.2999999999999998</v>
      </c>
      <c r="H7980" s="545">
        <v>1.6666666666666667</v>
      </c>
      <c r="I7980" s="545">
        <v>1.6666666666666667</v>
      </c>
      <c r="J7980" s="545">
        <v>2.1190476190476191</v>
      </c>
    </row>
    <row r="7981" spans="1:10">
      <c r="A7981" s="441">
        <v>2391</v>
      </c>
      <c r="B7981" s="441" t="s">
        <v>6457</v>
      </c>
      <c r="C7981" s="545">
        <v>4.833333333333333</v>
      </c>
      <c r="D7981" s="545">
        <v>4.6666666666666661</v>
      </c>
      <c r="E7981" s="545">
        <v>2</v>
      </c>
      <c r="F7981" s="545">
        <v>4.4047619047619042</v>
      </c>
      <c r="G7981" s="545">
        <v>2.15</v>
      </c>
      <c r="H7981" s="545">
        <v>1.3333333333333333</v>
      </c>
      <c r="I7981" s="545">
        <v>1</v>
      </c>
      <c r="J7981" s="545">
        <v>1.8690476190476191</v>
      </c>
    </row>
    <row r="7982" spans="1:10">
      <c r="A7982" s="441">
        <v>7781</v>
      </c>
      <c r="B7982" s="441" t="s">
        <v>6458</v>
      </c>
      <c r="C7982" s="545">
        <v>27.166666666666668</v>
      </c>
      <c r="D7982" s="545">
        <v>9.6666666666666679</v>
      </c>
      <c r="E7982" s="545">
        <v>10.333333333333332</v>
      </c>
      <c r="F7982" s="545">
        <v>22.261904761904763</v>
      </c>
      <c r="G7982" s="545">
        <v>13.05</v>
      </c>
      <c r="H7982" s="545">
        <v>7</v>
      </c>
      <c r="I7982" s="545">
        <v>6.666666666666667</v>
      </c>
      <c r="J7982" s="545">
        <v>11.273809523809524</v>
      </c>
    </row>
    <row r="7983" spans="1:10">
      <c r="A7983" s="441">
        <v>7794</v>
      </c>
      <c r="B7983" s="441" t="s">
        <v>6458</v>
      </c>
      <c r="C7983" s="545">
        <v>23.833333333333332</v>
      </c>
      <c r="D7983" s="545">
        <v>9</v>
      </c>
      <c r="E7983" s="545">
        <v>11</v>
      </c>
      <c r="F7983" s="545">
        <v>19.88095238095238</v>
      </c>
      <c r="G7983" s="545">
        <v>13.75</v>
      </c>
      <c r="H7983" s="545">
        <v>8.6666666666666661</v>
      </c>
      <c r="I7983" s="545">
        <v>4.666666666666667</v>
      </c>
      <c r="J7983" s="545">
        <v>11.726190476190478</v>
      </c>
    </row>
    <row r="7984" spans="1:10">
      <c r="A7984" s="441">
        <v>7796</v>
      </c>
      <c r="B7984" s="441" t="s">
        <v>6459</v>
      </c>
      <c r="C7984" s="545">
        <v>14.833333333333334</v>
      </c>
      <c r="D7984" s="545">
        <v>13</v>
      </c>
      <c r="E7984" s="545">
        <v>8.6666666666666661</v>
      </c>
      <c r="F7984" s="545">
        <v>13.690476190476192</v>
      </c>
      <c r="G7984" s="545">
        <v>6.15</v>
      </c>
      <c r="H7984" s="545">
        <v>5.333333333333333</v>
      </c>
      <c r="I7984" s="545">
        <v>1.6666666666666667</v>
      </c>
      <c r="J7984" s="545">
        <v>5.3928571428571432</v>
      </c>
    </row>
    <row r="7985" spans="1:10">
      <c r="A7985" s="441">
        <v>13048</v>
      </c>
      <c r="B7985" s="441" t="s">
        <v>6460</v>
      </c>
      <c r="C7985" s="545">
        <v>0.66666666666666663</v>
      </c>
      <c r="D7985" s="545">
        <v>0.33333333333333331</v>
      </c>
      <c r="E7985" s="545">
        <v>0.66666666666666663</v>
      </c>
      <c r="F7985" s="545">
        <v>0.61904761904761896</v>
      </c>
      <c r="G7985" s="545">
        <v>3.1</v>
      </c>
      <c r="H7985" s="545">
        <v>3.6666666666666665</v>
      </c>
      <c r="I7985" s="545">
        <v>0.33333333333333331</v>
      </c>
      <c r="J7985" s="545">
        <v>2.7857142857142856</v>
      </c>
    </row>
    <row r="7986" spans="1:10">
      <c r="A7986" s="441">
        <v>7780</v>
      </c>
      <c r="B7986" s="441" t="s">
        <v>6461</v>
      </c>
      <c r="C7986" s="545">
        <v>1</v>
      </c>
      <c r="D7986" s="545">
        <v>1.3333333333333333</v>
      </c>
      <c r="E7986" s="545">
        <v>0.66666666666666663</v>
      </c>
      <c r="F7986" s="545">
        <v>1</v>
      </c>
      <c r="G7986" s="545">
        <v>0.8</v>
      </c>
      <c r="H7986" s="545">
        <v>2.3333333333333335</v>
      </c>
      <c r="I7986" s="545">
        <v>1.3333333333333333</v>
      </c>
      <c r="J7986" s="545">
        <v>1.0952380952380953</v>
      </c>
    </row>
    <row r="7987" spans="1:10">
      <c r="A7987" s="441">
        <v>7795</v>
      </c>
      <c r="B7987" s="441" t="s">
        <v>6461</v>
      </c>
      <c r="C7987" s="545">
        <v>2.6666666666666665</v>
      </c>
      <c r="D7987" s="545">
        <v>1.6666666666666665</v>
      </c>
      <c r="E7987" s="545">
        <v>2.666666666666667</v>
      </c>
      <c r="F7987" s="545">
        <v>2.5238095238095233</v>
      </c>
      <c r="G7987" s="545">
        <v>1.4</v>
      </c>
      <c r="H7987" s="545">
        <v>1.3333333333333333</v>
      </c>
      <c r="I7987" s="545">
        <v>1.3333333333333333</v>
      </c>
      <c r="J7987" s="545">
        <v>1.3809523809523812</v>
      </c>
    </row>
    <row r="7988" spans="1:10">
      <c r="A7988" s="441">
        <v>7778</v>
      </c>
      <c r="B7988" s="441" t="s">
        <v>6462</v>
      </c>
      <c r="C7988" s="545">
        <v>9.1666666666666679</v>
      </c>
      <c r="D7988" s="545">
        <v>5.6666666666666661</v>
      </c>
      <c r="E7988" s="545">
        <v>2.666666666666667</v>
      </c>
      <c r="F7988" s="545">
        <v>7.738095238095239</v>
      </c>
      <c r="G7988" s="545">
        <v>3.75</v>
      </c>
      <c r="H7988" s="545">
        <v>1</v>
      </c>
      <c r="I7988" s="545">
        <v>1</v>
      </c>
      <c r="J7988" s="545">
        <v>2.9642857142857144</v>
      </c>
    </row>
    <row r="7989" spans="1:10">
      <c r="A7989" s="441">
        <v>7797</v>
      </c>
      <c r="B7989" s="441" t="s">
        <v>6462</v>
      </c>
      <c r="C7989" s="545">
        <v>3.6666666666666665</v>
      </c>
      <c r="D7989" s="545">
        <v>4.666666666666667</v>
      </c>
      <c r="E7989" s="545">
        <v>2.6666666666666665</v>
      </c>
      <c r="F7989" s="545">
        <v>3.666666666666667</v>
      </c>
      <c r="G7989" s="545">
        <v>2.6</v>
      </c>
      <c r="H7989" s="545">
        <v>1.6666666666666667</v>
      </c>
      <c r="I7989" s="545">
        <v>2</v>
      </c>
      <c r="J7989" s="545">
        <v>2.3809523809523805</v>
      </c>
    </row>
    <row r="7990" spans="1:10">
      <c r="A7990" s="441">
        <v>11672</v>
      </c>
      <c r="B7990" s="441" t="s">
        <v>6463</v>
      </c>
      <c r="C7990" s="545">
        <v>2.833333333333333</v>
      </c>
      <c r="D7990" s="545">
        <v>0.66666666666666663</v>
      </c>
      <c r="E7990" s="545">
        <v>0.66666666666666663</v>
      </c>
      <c r="F7990" s="545">
        <v>2.214285714285714</v>
      </c>
      <c r="G7990" s="545">
        <v>0.65</v>
      </c>
      <c r="H7990" s="545">
        <v>0</v>
      </c>
      <c r="I7990" s="545">
        <v>0.33333333333333331</v>
      </c>
      <c r="J7990" s="545">
        <v>0.51190476190476197</v>
      </c>
    </row>
    <row r="7991" spans="1:10">
      <c r="A7991" s="441">
        <v>11679</v>
      </c>
      <c r="B7991" s="441" t="s">
        <v>6463</v>
      </c>
      <c r="C7991" s="545">
        <v>0.5</v>
      </c>
      <c r="D7991" s="545">
        <v>0</v>
      </c>
      <c r="E7991" s="545">
        <v>0.33333333333333331</v>
      </c>
      <c r="F7991" s="545">
        <v>0.40476190476190477</v>
      </c>
      <c r="G7991" s="545">
        <v>1.1499999999999999</v>
      </c>
      <c r="H7991" s="545">
        <v>0</v>
      </c>
      <c r="I7991" s="545">
        <v>0</v>
      </c>
      <c r="J7991" s="545">
        <v>0.8214285714285714</v>
      </c>
    </row>
    <row r="7992" spans="1:10">
      <c r="A7992" s="441">
        <v>7786</v>
      </c>
      <c r="B7992" s="441" t="s">
        <v>6464</v>
      </c>
      <c r="C7992" s="545">
        <v>5.8333333333333339</v>
      </c>
      <c r="D7992" s="545">
        <v>5.666666666666667</v>
      </c>
      <c r="E7992" s="545">
        <v>4</v>
      </c>
      <c r="F7992" s="545">
        <v>5.5476190476190483</v>
      </c>
      <c r="G7992" s="545">
        <v>6.55</v>
      </c>
      <c r="H7992" s="545">
        <v>4.333333333333333</v>
      </c>
      <c r="I7992" s="545">
        <v>4</v>
      </c>
      <c r="J7992" s="545">
        <v>5.8690476190476195</v>
      </c>
    </row>
    <row r="7993" spans="1:10">
      <c r="A7993" s="441">
        <v>7789</v>
      </c>
      <c r="B7993" s="441" t="s">
        <v>6464</v>
      </c>
      <c r="C7993" s="545">
        <v>4.5</v>
      </c>
      <c r="D7993" s="545">
        <v>3.333333333333333</v>
      </c>
      <c r="E7993" s="545">
        <v>2.666666666666667</v>
      </c>
      <c r="F7993" s="545">
        <v>4.0714285714285712</v>
      </c>
      <c r="G7993" s="545">
        <v>6.05</v>
      </c>
      <c r="H7993" s="545">
        <v>4</v>
      </c>
      <c r="I7993" s="545">
        <v>4.333333333333333</v>
      </c>
      <c r="J7993" s="545">
        <v>5.5119047619047619</v>
      </c>
    </row>
    <row r="7994" spans="1:10">
      <c r="A7994" s="441">
        <v>8449</v>
      </c>
      <c r="B7994" s="441" t="s">
        <v>6465</v>
      </c>
      <c r="C7994" s="545">
        <v>45</v>
      </c>
      <c r="D7994" s="545">
        <v>31</v>
      </c>
      <c r="E7994" s="545">
        <v>27.666666666666664</v>
      </c>
      <c r="F7994" s="545">
        <v>40.523809523809526</v>
      </c>
      <c r="G7994" s="545">
        <v>35.950000000000003</v>
      </c>
      <c r="H7994" s="545">
        <v>30</v>
      </c>
      <c r="I7994" s="545">
        <v>19.666666666666668</v>
      </c>
      <c r="J7994" s="545">
        <v>32.773809523809526</v>
      </c>
    </row>
    <row r="7995" spans="1:10">
      <c r="A7995" s="441">
        <v>8450</v>
      </c>
      <c r="B7995" s="441" t="s">
        <v>6465</v>
      </c>
      <c r="C7995" s="545">
        <v>30.5</v>
      </c>
      <c r="D7995" s="545">
        <v>23.666666666666668</v>
      </c>
      <c r="E7995" s="545">
        <v>17.333333333333332</v>
      </c>
      <c r="F7995" s="545">
        <v>27.642857142857142</v>
      </c>
      <c r="G7995" s="545">
        <v>25.65</v>
      </c>
      <c r="H7995" s="545">
        <v>22.666666666666668</v>
      </c>
      <c r="I7995" s="545">
        <v>25.333333333333332</v>
      </c>
      <c r="J7995" s="545">
        <v>25.178571428571427</v>
      </c>
    </row>
    <row r="7996" spans="1:10">
      <c r="A7996" s="441">
        <v>13042</v>
      </c>
      <c r="B7996" s="441" t="s">
        <v>6466</v>
      </c>
      <c r="C7996" s="545">
        <v>430.5</v>
      </c>
      <c r="D7996" s="545">
        <v>336</v>
      </c>
      <c r="E7996" s="545">
        <v>280.33333333333331</v>
      </c>
      <c r="F7996" s="545">
        <v>395.54761904761909</v>
      </c>
      <c r="G7996" s="545">
        <v>20.149999999999999</v>
      </c>
      <c r="H7996" s="545">
        <v>16.666666666666668</v>
      </c>
      <c r="I7996" s="545">
        <v>11.666666666666666</v>
      </c>
      <c r="J7996" s="545">
        <v>18.440476190476193</v>
      </c>
    </row>
    <row r="7997" spans="1:10">
      <c r="A7997" s="441">
        <v>2388</v>
      </c>
      <c r="B7997" s="441" t="s">
        <v>6467</v>
      </c>
      <c r="C7997" s="545">
        <v>0.83333333333333326</v>
      </c>
      <c r="D7997" s="545">
        <v>1</v>
      </c>
      <c r="E7997" s="545">
        <v>1</v>
      </c>
      <c r="F7997" s="545">
        <v>0.88095238095238082</v>
      </c>
      <c r="G7997" s="545">
        <v>1.75</v>
      </c>
      <c r="H7997" s="545">
        <v>0</v>
      </c>
      <c r="I7997" s="545">
        <v>0</v>
      </c>
      <c r="J7997" s="545">
        <v>1.25</v>
      </c>
    </row>
    <row r="7998" spans="1:10">
      <c r="A7998" s="441">
        <v>2390</v>
      </c>
      <c r="B7998" s="441" t="s">
        <v>6467</v>
      </c>
      <c r="C7998" s="545">
        <v>3</v>
      </c>
      <c r="D7998" s="545">
        <v>0.66666666666666663</v>
      </c>
      <c r="E7998" s="545">
        <v>1</v>
      </c>
      <c r="F7998" s="545">
        <v>2.3809523809523805</v>
      </c>
      <c r="G7998" s="545">
        <v>1.6</v>
      </c>
      <c r="H7998" s="545">
        <v>0.33333333333333331</v>
      </c>
      <c r="I7998" s="545">
        <v>0.66666666666666663</v>
      </c>
      <c r="J7998" s="545">
        <v>1.2857142857142858</v>
      </c>
    </row>
    <row r="7999" spans="1:10">
      <c r="A7999" s="441">
        <v>8451</v>
      </c>
      <c r="B7999" s="441" t="s">
        <v>6468</v>
      </c>
      <c r="C7999" s="545">
        <v>52.333333333333336</v>
      </c>
      <c r="D7999" s="545">
        <v>34.333333333333336</v>
      </c>
      <c r="E7999" s="545">
        <v>27.666666666666668</v>
      </c>
      <c r="F7999" s="545">
        <v>46.238095238095241</v>
      </c>
      <c r="G7999" s="545">
        <v>46.7</v>
      </c>
      <c r="H7999" s="545">
        <v>28.333333333333332</v>
      </c>
      <c r="I7999" s="545">
        <v>25.666666666666668</v>
      </c>
      <c r="J7999" s="545">
        <v>41.071428571428569</v>
      </c>
    </row>
    <row r="8000" spans="1:10">
      <c r="A8000" s="441">
        <v>10153</v>
      </c>
      <c r="B8000" s="441" t="s">
        <v>6468</v>
      </c>
      <c r="C8000" s="545">
        <v>91.833333333333343</v>
      </c>
      <c r="D8000" s="545">
        <v>73</v>
      </c>
      <c r="E8000" s="545">
        <v>48</v>
      </c>
      <c r="F8000" s="545">
        <v>82.880952380952394</v>
      </c>
      <c r="G8000" s="545">
        <v>52.75</v>
      </c>
      <c r="H8000" s="545">
        <v>38</v>
      </c>
      <c r="I8000" s="545">
        <v>36</v>
      </c>
      <c r="J8000" s="545">
        <v>48.25</v>
      </c>
    </row>
    <row r="8001" spans="1:10">
      <c r="A8001" s="441">
        <v>7776</v>
      </c>
      <c r="B8001" s="441" t="s">
        <v>6469</v>
      </c>
      <c r="C8001" s="545">
        <v>137</v>
      </c>
      <c r="D8001" s="545">
        <v>89</v>
      </c>
      <c r="E8001" s="545">
        <v>71</v>
      </c>
      <c r="F8001" s="545">
        <v>120.71428571428571</v>
      </c>
      <c r="G8001" s="545">
        <v>64.2</v>
      </c>
      <c r="H8001" s="545">
        <v>51.666666666666664</v>
      </c>
      <c r="I8001" s="545">
        <v>45</v>
      </c>
      <c r="J8001" s="545">
        <v>59.666666666666671</v>
      </c>
    </row>
    <row r="8002" spans="1:10">
      <c r="A8002" s="441">
        <v>7799</v>
      </c>
      <c r="B8002" s="441" t="s">
        <v>6469</v>
      </c>
      <c r="C8002" s="545">
        <v>128.33333333333331</v>
      </c>
      <c r="D8002" s="545">
        <v>84.333333333333343</v>
      </c>
      <c r="E8002" s="545">
        <v>66.333333333333329</v>
      </c>
      <c r="F8002" s="545">
        <v>113.19047619047618</v>
      </c>
      <c r="G8002" s="545">
        <v>69.900000000000006</v>
      </c>
      <c r="H8002" s="545">
        <v>53.666666666666664</v>
      </c>
      <c r="I8002" s="545">
        <v>45.333333333333336</v>
      </c>
      <c r="J8002" s="545">
        <v>64.071428571428569</v>
      </c>
    </row>
    <row r="8003" spans="1:10">
      <c r="A8003" s="441">
        <v>13043</v>
      </c>
      <c r="B8003" s="441" t="s">
        <v>6470</v>
      </c>
      <c r="C8003" s="545">
        <v>7.333333333333333</v>
      </c>
      <c r="D8003" s="545">
        <v>3.333333333333333</v>
      </c>
      <c r="E8003" s="545">
        <v>1.6666666666666667</v>
      </c>
      <c r="F8003" s="545">
        <v>5.9523809523809517</v>
      </c>
      <c r="G8003" s="545">
        <v>9.6</v>
      </c>
      <c r="H8003" s="545">
        <v>4</v>
      </c>
      <c r="I8003" s="545">
        <v>1</v>
      </c>
      <c r="J8003" s="545">
        <v>7.5714285714285712</v>
      </c>
    </row>
    <row r="8004" spans="1:10">
      <c r="A8004" s="441">
        <v>7777</v>
      </c>
      <c r="B8004" s="441" t="s">
        <v>6471</v>
      </c>
      <c r="C8004" s="545">
        <v>19.166666666666668</v>
      </c>
      <c r="D8004" s="545">
        <v>20</v>
      </c>
      <c r="E8004" s="545">
        <v>18.666666666666664</v>
      </c>
      <c r="F8004" s="545">
        <v>19.214285714285715</v>
      </c>
      <c r="G8004" s="545">
        <v>16.350000000000001</v>
      </c>
      <c r="H8004" s="545">
        <v>12</v>
      </c>
      <c r="I8004" s="545">
        <v>14</v>
      </c>
      <c r="J8004" s="545">
        <v>15.392857142857142</v>
      </c>
    </row>
    <row r="8005" spans="1:10">
      <c r="A8005" s="441">
        <v>7798</v>
      </c>
      <c r="B8005" s="441" t="s">
        <v>6471</v>
      </c>
      <c r="C8005" s="545">
        <v>21</v>
      </c>
      <c r="D8005" s="545">
        <v>16.666666666666668</v>
      </c>
      <c r="E8005" s="545">
        <v>11</v>
      </c>
      <c r="F8005" s="545">
        <v>18.952380952380956</v>
      </c>
      <c r="G8005" s="545">
        <v>10.5</v>
      </c>
      <c r="H8005" s="545">
        <v>7</v>
      </c>
      <c r="I8005" s="545">
        <v>4.666666666666667</v>
      </c>
      <c r="J8005" s="545">
        <v>9.1666666666666679</v>
      </c>
    </row>
    <row r="8006" spans="1:10">
      <c r="A8006" s="441">
        <v>7782</v>
      </c>
      <c r="B8006" s="441" t="s">
        <v>6472</v>
      </c>
      <c r="C8006" s="545">
        <v>9.6666666666666679</v>
      </c>
      <c r="D8006" s="545">
        <v>6</v>
      </c>
      <c r="E8006" s="545">
        <v>7</v>
      </c>
      <c r="F8006" s="545">
        <v>8.7619047619047628</v>
      </c>
      <c r="G8006" s="545">
        <v>9.9</v>
      </c>
      <c r="H8006" s="545">
        <v>4.666666666666667</v>
      </c>
      <c r="I8006" s="545">
        <v>5.333333333333333</v>
      </c>
      <c r="J8006" s="545">
        <v>8.5</v>
      </c>
    </row>
    <row r="8007" spans="1:10">
      <c r="A8007" s="441">
        <v>7793</v>
      </c>
      <c r="B8007" s="441" t="s">
        <v>6472</v>
      </c>
      <c r="C8007" s="545">
        <v>8.5</v>
      </c>
      <c r="D8007" s="545">
        <v>8</v>
      </c>
      <c r="E8007" s="545">
        <v>7.6666666666666661</v>
      </c>
      <c r="F8007" s="545">
        <v>8.3095238095238084</v>
      </c>
      <c r="G8007" s="545">
        <v>7.05</v>
      </c>
      <c r="H8007" s="545">
        <v>19.666666666666668</v>
      </c>
      <c r="I8007" s="545">
        <v>6.666666666666667</v>
      </c>
      <c r="J8007" s="545">
        <v>8.7976190476190474</v>
      </c>
    </row>
    <row r="8008" spans="1:10">
      <c r="A8008" s="441">
        <v>7783</v>
      </c>
      <c r="B8008" s="441" t="s">
        <v>6473</v>
      </c>
      <c r="C8008" s="545">
        <v>24</v>
      </c>
      <c r="D8008" s="545">
        <v>12</v>
      </c>
      <c r="E8008" s="545">
        <v>8.6666666666666661</v>
      </c>
      <c r="F8008" s="545">
        <v>20.095238095238095</v>
      </c>
      <c r="G8008" s="545">
        <v>13.25</v>
      </c>
      <c r="H8008" s="545">
        <v>14.333333333333334</v>
      </c>
      <c r="I8008" s="545">
        <v>10</v>
      </c>
      <c r="J8008" s="545">
        <v>12.94047619047619</v>
      </c>
    </row>
    <row r="8009" spans="1:10">
      <c r="A8009" s="441">
        <v>7779</v>
      </c>
      <c r="B8009" s="441" t="s">
        <v>6474</v>
      </c>
      <c r="C8009" s="545">
        <v>12.5</v>
      </c>
      <c r="D8009" s="545">
        <v>6.333333333333333</v>
      </c>
      <c r="E8009" s="545">
        <v>6.666666666666667</v>
      </c>
      <c r="F8009" s="545">
        <v>10.785714285714286</v>
      </c>
      <c r="G8009" s="545">
        <v>5.45</v>
      </c>
      <c r="H8009" s="545">
        <v>4.333333333333333</v>
      </c>
      <c r="I8009" s="545">
        <v>2.3333333333333335</v>
      </c>
      <c r="J8009" s="545">
        <v>4.8452380952380949</v>
      </c>
    </row>
    <row r="8010" spans="1:10">
      <c r="A8010" s="441">
        <v>7800</v>
      </c>
      <c r="B8010" s="441" t="s">
        <v>6475</v>
      </c>
      <c r="C8010" s="545">
        <v>153.66666666666666</v>
      </c>
      <c r="D8010" s="545">
        <v>123.66666666666667</v>
      </c>
      <c r="E8010" s="545">
        <v>110.66666666666667</v>
      </c>
      <c r="F8010" s="545">
        <v>143.23809523809521</v>
      </c>
      <c r="G8010" s="545">
        <v>81.599999999999994</v>
      </c>
      <c r="H8010" s="545">
        <v>84.333333333333329</v>
      </c>
      <c r="I8010" s="545">
        <v>66.666666666666671</v>
      </c>
      <c r="J8010" s="545">
        <v>79.857142857142861</v>
      </c>
    </row>
    <row r="8011" spans="1:10">
      <c r="A8011" s="441">
        <v>8447</v>
      </c>
      <c r="B8011" s="441" t="s">
        <v>6476</v>
      </c>
      <c r="C8011" s="545">
        <v>7</v>
      </c>
      <c r="D8011" s="545">
        <v>1.6666666666666665</v>
      </c>
      <c r="E8011" s="545">
        <v>1.3333333333333333</v>
      </c>
      <c r="F8011" s="545">
        <v>5.4285714285714288</v>
      </c>
      <c r="G8011" s="545">
        <v>1.9</v>
      </c>
      <c r="H8011" s="545">
        <v>0.66666666666666663</v>
      </c>
      <c r="I8011" s="545">
        <v>1.3333333333333333</v>
      </c>
      <c r="J8011" s="545">
        <v>1.6428571428571428</v>
      </c>
    </row>
    <row r="8012" spans="1:10">
      <c r="A8012" s="441">
        <v>8452</v>
      </c>
      <c r="B8012" s="441" t="s">
        <v>6476</v>
      </c>
      <c r="C8012" s="545">
        <v>5</v>
      </c>
      <c r="D8012" s="545">
        <v>3</v>
      </c>
      <c r="E8012" s="545">
        <v>2.3333333333333335</v>
      </c>
      <c r="F8012" s="545">
        <v>4.333333333333333</v>
      </c>
      <c r="G8012" s="545">
        <v>1.55</v>
      </c>
      <c r="H8012" s="545">
        <v>1</v>
      </c>
      <c r="I8012" s="545">
        <v>0.33333333333333331</v>
      </c>
      <c r="J8012" s="545">
        <v>1.2976190476190477</v>
      </c>
    </row>
    <row r="8013" spans="1:10">
      <c r="A8013" s="441">
        <v>8453</v>
      </c>
      <c r="B8013" s="441" t="s">
        <v>6477</v>
      </c>
      <c r="C8013" s="545">
        <v>7</v>
      </c>
      <c r="D8013" s="545">
        <v>6</v>
      </c>
      <c r="E8013" s="545">
        <v>4.6666666666666661</v>
      </c>
      <c r="F8013" s="545">
        <v>6.5238095238095237</v>
      </c>
      <c r="G8013" s="545">
        <v>11.45</v>
      </c>
      <c r="H8013" s="545">
        <v>2.3333333333333335</v>
      </c>
      <c r="I8013" s="545">
        <v>18.333333333333332</v>
      </c>
      <c r="J8013" s="545">
        <v>11.130952380952381</v>
      </c>
    </row>
    <row r="8014" spans="1:10">
      <c r="A8014" s="441">
        <v>2389</v>
      </c>
      <c r="B8014" s="441" t="s">
        <v>6478</v>
      </c>
      <c r="C8014" s="545">
        <v>6.8333333333333339</v>
      </c>
      <c r="D8014" s="545">
        <v>3.666666666666667</v>
      </c>
      <c r="E8014" s="545">
        <v>3</v>
      </c>
      <c r="F8014" s="545">
        <v>5.8333333333333339</v>
      </c>
      <c r="G8014" s="545">
        <v>2.95</v>
      </c>
      <c r="H8014" s="545">
        <v>0.33333333333333331</v>
      </c>
      <c r="I8014" s="545">
        <v>2</v>
      </c>
      <c r="J8014" s="545">
        <v>2.4404761904761907</v>
      </c>
    </row>
    <row r="8015" spans="1:10">
      <c r="A8015" s="441">
        <v>7096</v>
      </c>
      <c r="B8015" s="441" t="s">
        <v>6479</v>
      </c>
      <c r="C8015" s="545">
        <v>19.833333333333332</v>
      </c>
      <c r="D8015" s="545">
        <v>4.666666666666667</v>
      </c>
      <c r="E8015" s="545">
        <v>4.6666666666666661</v>
      </c>
      <c r="F8015" s="545">
        <v>15.5</v>
      </c>
      <c r="G8015" s="545">
        <v>10.45</v>
      </c>
      <c r="H8015" s="545">
        <v>2.3333333333333335</v>
      </c>
      <c r="I8015" s="545">
        <v>4.333333333333333</v>
      </c>
      <c r="J8015" s="545">
        <v>8.4166666666666679</v>
      </c>
    </row>
    <row r="8016" spans="1:10">
      <c r="A8016" s="441">
        <v>2385</v>
      </c>
      <c r="B8016" s="441" t="s">
        <v>6480</v>
      </c>
      <c r="C8016" s="545">
        <v>18.833333333333336</v>
      </c>
      <c r="D8016" s="545">
        <v>17.666666666666664</v>
      </c>
      <c r="E8016" s="545">
        <v>12.666666666666666</v>
      </c>
      <c r="F8016" s="545">
        <v>17.785714285714288</v>
      </c>
      <c r="G8016" s="545">
        <v>14.9</v>
      </c>
      <c r="H8016" s="545">
        <v>17.666666666666668</v>
      </c>
      <c r="I8016" s="545">
        <v>6</v>
      </c>
      <c r="J8016" s="545">
        <v>14.023809523809524</v>
      </c>
    </row>
    <row r="8017" spans="1:10">
      <c r="A8017" s="441">
        <v>2393</v>
      </c>
      <c r="B8017" s="441" t="s">
        <v>6480</v>
      </c>
      <c r="C8017" s="545">
        <v>16.666666666666664</v>
      </c>
      <c r="D8017" s="545">
        <v>12.666666666666668</v>
      </c>
      <c r="E8017" s="545">
        <v>13</v>
      </c>
      <c r="F8017" s="545">
        <v>15.571428571428569</v>
      </c>
      <c r="G8017" s="545">
        <v>15.7</v>
      </c>
      <c r="H8017" s="545">
        <v>10.666666666666666</v>
      </c>
      <c r="I8017" s="545">
        <v>6.666666666666667</v>
      </c>
      <c r="J8017" s="545">
        <v>13.690476190476192</v>
      </c>
    </row>
    <row r="8018" spans="1:10">
      <c r="A8018" s="441">
        <v>7785</v>
      </c>
      <c r="B8018" s="441" t="s">
        <v>6481</v>
      </c>
      <c r="C8018" s="545">
        <v>19.833333333333336</v>
      </c>
      <c r="D8018" s="545">
        <v>14.666666666666668</v>
      </c>
      <c r="E8018" s="545">
        <v>21.333333333333336</v>
      </c>
      <c r="F8018" s="545">
        <v>19.309523809523814</v>
      </c>
      <c r="G8018" s="545">
        <v>20.45</v>
      </c>
      <c r="H8018" s="545">
        <v>16</v>
      </c>
      <c r="I8018" s="545">
        <v>13.666666666666666</v>
      </c>
      <c r="J8018" s="545">
        <v>18.845238095238095</v>
      </c>
    </row>
    <row r="8019" spans="1:10">
      <c r="A8019" s="441">
        <v>7790</v>
      </c>
      <c r="B8019" s="441" t="s">
        <v>6481</v>
      </c>
      <c r="C8019" s="545">
        <v>17.166666666666664</v>
      </c>
      <c r="D8019" s="545">
        <v>18.666666666666664</v>
      </c>
      <c r="E8019" s="545">
        <v>15.666666666666668</v>
      </c>
      <c r="F8019" s="545">
        <v>17.166666666666664</v>
      </c>
      <c r="G8019" s="545">
        <v>14.55</v>
      </c>
      <c r="H8019" s="545">
        <v>13</v>
      </c>
      <c r="I8019" s="545">
        <v>9.3333333333333339</v>
      </c>
      <c r="J8019" s="545">
        <v>13.583333333333332</v>
      </c>
    </row>
    <row r="8020" spans="1:10">
      <c r="A8020" s="441">
        <v>2</v>
      </c>
      <c r="B8020" s="441" t="s">
        <v>6482</v>
      </c>
      <c r="C8020" s="545">
        <v>0</v>
      </c>
      <c r="D8020" s="545">
        <v>0.66666666666666663</v>
      </c>
      <c r="E8020" s="545">
        <v>0</v>
      </c>
      <c r="F8020" s="545">
        <v>9.5238095238095233E-2</v>
      </c>
      <c r="G8020" s="545">
        <v>0.2</v>
      </c>
      <c r="H8020" s="545">
        <v>0</v>
      </c>
      <c r="I8020" s="545">
        <v>0</v>
      </c>
      <c r="J8020" s="545">
        <v>0.14285714285714285</v>
      </c>
    </row>
    <row r="8021" spans="1:10">
      <c r="A8021" s="441">
        <v>7094</v>
      </c>
      <c r="B8021" s="441" t="s">
        <v>6482</v>
      </c>
      <c r="C8021" s="545">
        <v>1.1666666666666667</v>
      </c>
      <c r="D8021" s="545">
        <v>1.3333333333333333</v>
      </c>
      <c r="E8021" s="545">
        <v>0</v>
      </c>
      <c r="F8021" s="545">
        <v>1.0238095238095239</v>
      </c>
      <c r="G8021" s="545">
        <v>0.15</v>
      </c>
      <c r="H8021" s="545">
        <v>0</v>
      </c>
      <c r="I8021" s="545">
        <v>0</v>
      </c>
      <c r="J8021" s="545">
        <v>0.10714285714285714</v>
      </c>
    </row>
    <row r="8022" spans="1:10">
      <c r="A8022" s="441">
        <v>7093</v>
      </c>
      <c r="B8022" s="441" t="s">
        <v>6483</v>
      </c>
      <c r="C8022" s="545">
        <v>20.833333333333336</v>
      </c>
      <c r="D8022" s="545">
        <v>6</v>
      </c>
      <c r="E8022" s="545">
        <v>3.333333333333333</v>
      </c>
      <c r="F8022" s="545">
        <v>16.214285714285715</v>
      </c>
      <c r="G8022" s="545">
        <v>10.25</v>
      </c>
      <c r="H8022" s="545">
        <v>4.333333333333333</v>
      </c>
      <c r="I8022" s="545">
        <v>3</v>
      </c>
      <c r="J8022" s="545">
        <v>8.3690476190476186</v>
      </c>
    </row>
    <row r="8023" spans="1:10">
      <c r="A8023" s="441">
        <v>7784</v>
      </c>
      <c r="B8023" s="441" t="s">
        <v>6484</v>
      </c>
      <c r="C8023" s="545">
        <v>38.333333333333336</v>
      </c>
      <c r="D8023" s="545">
        <v>38.333333333333336</v>
      </c>
      <c r="E8023" s="545">
        <v>35</v>
      </c>
      <c r="F8023" s="545">
        <v>37.857142857142854</v>
      </c>
      <c r="G8023" s="545">
        <v>30.85</v>
      </c>
      <c r="H8023" s="545">
        <v>24</v>
      </c>
      <c r="I8023" s="545">
        <v>17.666666666666668</v>
      </c>
      <c r="J8023" s="545">
        <v>27.988095238095237</v>
      </c>
    </row>
    <row r="8024" spans="1:10">
      <c r="A8024" s="441">
        <v>7791</v>
      </c>
      <c r="B8024" s="441" t="s">
        <v>6484</v>
      </c>
      <c r="C8024" s="545">
        <v>42</v>
      </c>
      <c r="D8024" s="545">
        <v>30.666666666666664</v>
      </c>
      <c r="E8024" s="545">
        <v>31</v>
      </c>
      <c r="F8024" s="545">
        <v>38.809523809523803</v>
      </c>
      <c r="G8024" s="545">
        <v>27</v>
      </c>
      <c r="H8024" s="545">
        <v>23</v>
      </c>
      <c r="I8024" s="545">
        <v>16.333333333333332</v>
      </c>
      <c r="J8024" s="545">
        <v>24.904761904761905</v>
      </c>
    </row>
    <row r="8025" spans="1:10">
      <c r="A8025" s="441">
        <v>1</v>
      </c>
      <c r="B8025" s="441" t="s">
        <v>6485</v>
      </c>
      <c r="C8025" s="545">
        <v>0.5</v>
      </c>
      <c r="D8025" s="545">
        <v>0.33333333333333331</v>
      </c>
      <c r="E8025" s="545">
        <v>0.33333333333333331</v>
      </c>
      <c r="F8025" s="545">
        <v>0.45238095238095244</v>
      </c>
      <c r="G8025" s="545">
        <v>0.2</v>
      </c>
      <c r="H8025" s="545">
        <v>0.33333333333333331</v>
      </c>
      <c r="I8025" s="545">
        <v>0</v>
      </c>
      <c r="J8025" s="545">
        <v>0.19047619047619047</v>
      </c>
    </row>
    <row r="8026" spans="1:10">
      <c r="A8026" s="441">
        <v>7095</v>
      </c>
      <c r="B8026" s="441" t="s">
        <v>6485</v>
      </c>
      <c r="C8026" s="545">
        <v>1.1666666666666667</v>
      </c>
      <c r="D8026" s="545">
        <v>0.33333333333333331</v>
      </c>
      <c r="E8026" s="545">
        <v>1.3333333333333333</v>
      </c>
      <c r="F8026" s="545">
        <v>1.0714285714285714</v>
      </c>
      <c r="G8026" s="545">
        <v>0.35</v>
      </c>
      <c r="H8026" s="545">
        <v>0</v>
      </c>
      <c r="I8026" s="545">
        <v>1</v>
      </c>
      <c r="J8026" s="545">
        <v>0.39285714285714285</v>
      </c>
    </row>
    <row r="8027" spans="1:10">
      <c r="A8027" s="441">
        <v>7092</v>
      </c>
      <c r="B8027" s="441" t="s">
        <v>6486</v>
      </c>
      <c r="C8027" s="545">
        <v>88.666666666666657</v>
      </c>
      <c r="D8027" s="545">
        <v>65.666666666666671</v>
      </c>
      <c r="E8027" s="545">
        <v>46.666666666666671</v>
      </c>
      <c r="F8027" s="545">
        <v>79.38095238095238</v>
      </c>
      <c r="G8027" s="545">
        <v>48.2</v>
      </c>
      <c r="H8027" s="545">
        <v>35.666666666666664</v>
      </c>
      <c r="I8027" s="545">
        <v>30</v>
      </c>
      <c r="J8027" s="545">
        <v>43.80952380952381</v>
      </c>
    </row>
    <row r="8028" spans="1:10">
      <c r="A8028" s="441">
        <v>7097</v>
      </c>
      <c r="B8028" s="441" t="s">
        <v>6486</v>
      </c>
      <c r="C8028" s="545">
        <v>89.833333333333329</v>
      </c>
      <c r="D8028" s="545">
        <v>65.666666666666671</v>
      </c>
      <c r="E8028" s="545">
        <v>50</v>
      </c>
      <c r="F8028" s="545">
        <v>80.690476190476176</v>
      </c>
      <c r="G8028" s="545">
        <v>49.6</v>
      </c>
      <c r="H8028" s="545">
        <v>34.333333333333336</v>
      </c>
      <c r="I8028" s="545">
        <v>22.666666666666668</v>
      </c>
      <c r="J8028" s="545">
        <v>43.571428571428569</v>
      </c>
    </row>
    <row r="8029" spans="1:10">
      <c r="A8029" s="441">
        <v>7098</v>
      </c>
      <c r="B8029" s="441" t="s">
        <v>6487</v>
      </c>
      <c r="C8029" s="545">
        <v>11</v>
      </c>
      <c r="D8029" s="545">
        <v>8</v>
      </c>
      <c r="E8029" s="545">
        <v>6.6666666666666661</v>
      </c>
      <c r="F8029" s="545">
        <v>9.9523809523809526</v>
      </c>
      <c r="G8029" s="545">
        <v>5.8</v>
      </c>
      <c r="H8029" s="545">
        <v>4.333333333333333</v>
      </c>
      <c r="I8029" s="545">
        <v>5.666666666666667</v>
      </c>
      <c r="J8029" s="545">
        <v>5.5714285714285712</v>
      </c>
    </row>
    <row r="8030" spans="1:10">
      <c r="A8030" s="441">
        <v>2026</v>
      </c>
      <c r="B8030" s="441" t="s">
        <v>6488</v>
      </c>
      <c r="C8030" s="545">
        <v>3.333333333333333</v>
      </c>
      <c r="D8030" s="545">
        <v>4</v>
      </c>
      <c r="E8030" s="545">
        <v>4.3333333333333339</v>
      </c>
      <c r="F8030" s="545">
        <v>3.5714285714285716</v>
      </c>
      <c r="G8030" s="545">
        <v>2.9</v>
      </c>
      <c r="H8030" s="545">
        <v>3</v>
      </c>
      <c r="I8030" s="545">
        <v>1.3333333333333333</v>
      </c>
      <c r="J8030" s="545">
        <v>2.6904761904761902</v>
      </c>
    </row>
    <row r="8031" spans="1:10">
      <c r="A8031" s="441">
        <v>2038</v>
      </c>
      <c r="B8031" s="441" t="s">
        <v>6488</v>
      </c>
      <c r="C8031" s="545">
        <v>4.5</v>
      </c>
      <c r="D8031" s="545">
        <v>4.333333333333333</v>
      </c>
      <c r="E8031" s="545">
        <v>3.6666666666666665</v>
      </c>
      <c r="F8031" s="545">
        <v>4.3571428571428568</v>
      </c>
      <c r="G8031" s="545">
        <v>3.9</v>
      </c>
      <c r="H8031" s="545">
        <v>0.66666666666666663</v>
      </c>
      <c r="I8031" s="545">
        <v>1</v>
      </c>
      <c r="J8031" s="545">
        <v>3.0238095238095242</v>
      </c>
    </row>
    <row r="8032" spans="1:10">
      <c r="A8032" s="441">
        <v>10060</v>
      </c>
      <c r="B8032" s="441" t="s">
        <v>6489</v>
      </c>
      <c r="C8032" s="545">
        <v>22.5</v>
      </c>
      <c r="D8032" s="545">
        <v>18</v>
      </c>
      <c r="E8032" s="545">
        <v>13</v>
      </c>
      <c r="F8032" s="545">
        <v>20.5</v>
      </c>
      <c r="G8032" s="545">
        <v>7.65</v>
      </c>
      <c r="H8032" s="545">
        <v>8</v>
      </c>
      <c r="I8032" s="545">
        <v>4.333333333333333</v>
      </c>
      <c r="J8032" s="545">
        <v>7.2261904761904763</v>
      </c>
    </row>
    <row r="8033" spans="1:10">
      <c r="A8033" s="441">
        <v>10061</v>
      </c>
      <c r="B8033" s="441" t="s">
        <v>6489</v>
      </c>
      <c r="C8033" s="545">
        <v>25.5</v>
      </c>
      <c r="D8033" s="545">
        <v>9</v>
      </c>
      <c r="E8033" s="545">
        <v>12.333333333333332</v>
      </c>
      <c r="F8033" s="545">
        <v>21.261904761904763</v>
      </c>
      <c r="G8033" s="545">
        <v>7.05</v>
      </c>
      <c r="H8033" s="545">
        <v>6</v>
      </c>
      <c r="I8033" s="545">
        <v>4</v>
      </c>
      <c r="J8033" s="545">
        <v>6.4642857142857144</v>
      </c>
    </row>
    <row r="8034" spans="1:10">
      <c r="A8034" s="441">
        <v>2027</v>
      </c>
      <c r="B8034" s="441" t="s">
        <v>6490</v>
      </c>
      <c r="C8034" s="545">
        <v>60.5</v>
      </c>
      <c r="D8034" s="545">
        <v>40.333333333333336</v>
      </c>
      <c r="E8034" s="545">
        <v>30</v>
      </c>
      <c r="F8034" s="545">
        <v>53.261904761904759</v>
      </c>
      <c r="G8034" s="545">
        <v>40.65</v>
      </c>
      <c r="H8034" s="545">
        <v>27</v>
      </c>
      <c r="I8034" s="545">
        <v>22.333333333333332</v>
      </c>
      <c r="J8034" s="545">
        <v>36.083333333333336</v>
      </c>
    </row>
    <row r="8035" spans="1:10">
      <c r="A8035" s="441">
        <v>2037</v>
      </c>
      <c r="B8035" s="441" t="s">
        <v>6490</v>
      </c>
      <c r="C8035" s="545">
        <v>47.833333333333329</v>
      </c>
      <c r="D8035" s="545">
        <v>26.666666666666664</v>
      </c>
      <c r="E8035" s="545">
        <v>24.333333333333332</v>
      </c>
      <c r="F8035" s="545">
        <v>41.452380952380949</v>
      </c>
      <c r="G8035" s="545">
        <v>23.45</v>
      </c>
      <c r="H8035" s="545">
        <v>16</v>
      </c>
      <c r="I8035" s="545">
        <v>11</v>
      </c>
      <c r="J8035" s="545">
        <v>20.607142857142858</v>
      </c>
    </row>
    <row r="8036" spans="1:10">
      <c r="A8036" s="441">
        <v>2033</v>
      </c>
      <c r="B8036" s="441" t="s">
        <v>6491</v>
      </c>
      <c r="C8036" s="545">
        <v>32.833333333333336</v>
      </c>
      <c r="D8036" s="545">
        <v>14.666666666666668</v>
      </c>
      <c r="E8036" s="545">
        <v>12</v>
      </c>
      <c r="F8036" s="545">
        <v>27.261904761904763</v>
      </c>
      <c r="G8036" s="545">
        <v>18.100000000000001</v>
      </c>
      <c r="H8036" s="545">
        <v>16.666666666666668</v>
      </c>
      <c r="I8036" s="545">
        <v>11.666666666666666</v>
      </c>
      <c r="J8036" s="545">
        <v>16.976190476190478</v>
      </c>
    </row>
    <row r="8037" spans="1:10">
      <c r="A8037" s="441">
        <v>2030</v>
      </c>
      <c r="B8037" s="441" t="s">
        <v>6492</v>
      </c>
      <c r="C8037" s="545">
        <v>34.166666666666664</v>
      </c>
      <c r="D8037" s="545">
        <v>30.333333333333336</v>
      </c>
      <c r="E8037" s="545">
        <v>15</v>
      </c>
      <c r="F8037" s="545">
        <v>30.88095238095238</v>
      </c>
      <c r="G8037" s="545">
        <v>21.8</v>
      </c>
      <c r="H8037" s="545">
        <v>24.666666666666668</v>
      </c>
      <c r="I8037" s="545">
        <v>15.666666666666666</v>
      </c>
      <c r="J8037" s="545">
        <v>21.333333333333332</v>
      </c>
    </row>
    <row r="8038" spans="1:10">
      <c r="A8038" s="441">
        <v>2034</v>
      </c>
      <c r="B8038" s="441" t="s">
        <v>6492</v>
      </c>
      <c r="C8038" s="545">
        <v>11.166666666666668</v>
      </c>
      <c r="D8038" s="545">
        <v>8</v>
      </c>
      <c r="E8038" s="545">
        <v>6.666666666666667</v>
      </c>
      <c r="F8038" s="545">
        <v>10.071428571428573</v>
      </c>
      <c r="G8038" s="545">
        <v>9.3000000000000007</v>
      </c>
      <c r="H8038" s="545">
        <v>6.333333333333333</v>
      </c>
      <c r="I8038" s="545">
        <v>20</v>
      </c>
      <c r="J8038" s="545">
        <v>10.404761904761907</v>
      </c>
    </row>
    <row r="8039" spans="1:10">
      <c r="A8039" s="441">
        <v>2036</v>
      </c>
      <c r="B8039" s="441" t="s">
        <v>6493</v>
      </c>
      <c r="C8039" s="545">
        <v>5.833333333333333</v>
      </c>
      <c r="D8039" s="545">
        <v>3.6666666666666665</v>
      </c>
      <c r="E8039" s="545">
        <v>3.3333333333333335</v>
      </c>
      <c r="F8039" s="545">
        <v>5.1666666666666661</v>
      </c>
      <c r="G8039" s="545">
        <v>2.8</v>
      </c>
      <c r="H8039" s="545">
        <v>1.6666666666666667</v>
      </c>
      <c r="I8039" s="545">
        <v>2.3333333333333335</v>
      </c>
      <c r="J8039" s="545">
        <v>2.5714285714285716</v>
      </c>
    </row>
    <row r="8040" spans="1:10">
      <c r="A8040" s="441">
        <v>2029</v>
      </c>
      <c r="B8040" s="441" t="s">
        <v>6494</v>
      </c>
      <c r="C8040" s="545">
        <v>4.166666666666667</v>
      </c>
      <c r="D8040" s="545">
        <v>2</v>
      </c>
      <c r="E8040" s="545">
        <v>0.33333333333333331</v>
      </c>
      <c r="F8040" s="545">
        <v>3.3095238095238098</v>
      </c>
      <c r="G8040" s="545">
        <v>4.75</v>
      </c>
      <c r="H8040" s="545">
        <v>3</v>
      </c>
      <c r="I8040" s="545">
        <v>2.6666666666666665</v>
      </c>
      <c r="J8040" s="545">
        <v>4.2023809523809526</v>
      </c>
    </row>
    <row r="8041" spans="1:10">
      <c r="A8041" s="441">
        <v>2035</v>
      </c>
      <c r="B8041" s="441" t="s">
        <v>6494</v>
      </c>
      <c r="C8041" s="545">
        <v>7.3333333333333339</v>
      </c>
      <c r="D8041" s="545">
        <v>2.666666666666667</v>
      </c>
      <c r="E8041" s="545">
        <v>1</v>
      </c>
      <c r="F8041" s="545">
        <v>5.7619047619047619</v>
      </c>
      <c r="G8041" s="545">
        <v>3.3</v>
      </c>
      <c r="H8041" s="545">
        <v>2.3333333333333335</v>
      </c>
      <c r="I8041" s="545">
        <v>9.3333333333333339</v>
      </c>
      <c r="J8041" s="545">
        <v>4.0238095238095237</v>
      </c>
    </row>
    <row r="8042" spans="1:10">
      <c r="A8042" s="441">
        <v>2031</v>
      </c>
      <c r="B8042" s="441" t="s">
        <v>6495</v>
      </c>
      <c r="C8042" s="545">
        <v>19.5</v>
      </c>
      <c r="D8042" s="545">
        <v>8</v>
      </c>
      <c r="E8042" s="545">
        <v>8.3333333333333339</v>
      </c>
      <c r="F8042" s="545">
        <v>16.261904761904763</v>
      </c>
      <c r="G8042" s="545">
        <v>14.65</v>
      </c>
      <c r="H8042" s="545">
        <v>11.333333333333334</v>
      </c>
      <c r="I8042" s="545">
        <v>11.333333333333334</v>
      </c>
      <c r="J8042" s="545">
        <v>13.702380952380951</v>
      </c>
    </row>
    <row r="8043" spans="1:10">
      <c r="A8043" s="441">
        <v>2032</v>
      </c>
      <c r="B8043" s="441" t="s">
        <v>6495</v>
      </c>
      <c r="C8043" s="545">
        <v>14.166666666666666</v>
      </c>
      <c r="D8043" s="545">
        <v>12.666666666666668</v>
      </c>
      <c r="E8043" s="545">
        <v>15.666666666666668</v>
      </c>
      <c r="F8043" s="545">
        <v>14.166666666666668</v>
      </c>
      <c r="G8043" s="545">
        <v>17.399999999999999</v>
      </c>
      <c r="H8043" s="545">
        <v>11.333333333333334</v>
      </c>
      <c r="I8043" s="545">
        <v>19.666666666666668</v>
      </c>
      <c r="J8043" s="545">
        <v>16.857142857142858</v>
      </c>
    </row>
    <row r="8044" spans="1:10">
      <c r="A8044" s="441">
        <v>1446</v>
      </c>
      <c r="B8044" s="441" t="s">
        <v>6496</v>
      </c>
      <c r="C8044" s="545">
        <v>24.5</v>
      </c>
      <c r="D8044" s="545">
        <v>8</v>
      </c>
      <c r="E8044" s="545">
        <v>4.6666666666666661</v>
      </c>
      <c r="F8044" s="545">
        <v>19.309523809523807</v>
      </c>
      <c r="G8044" s="545">
        <v>10.55</v>
      </c>
      <c r="H8044" s="545">
        <v>4</v>
      </c>
      <c r="I8044" s="545">
        <v>3</v>
      </c>
      <c r="J8044" s="545">
        <v>8.5357142857142865</v>
      </c>
    </row>
    <row r="8045" spans="1:10">
      <c r="A8045" s="441">
        <v>1437</v>
      </c>
      <c r="B8045" s="441" t="s">
        <v>6497</v>
      </c>
      <c r="C8045" s="545">
        <v>33.333333333333329</v>
      </c>
      <c r="D8045" s="545">
        <v>13.333333333333332</v>
      </c>
      <c r="E8045" s="545">
        <v>12.333333333333332</v>
      </c>
      <c r="F8045" s="545">
        <v>27.476190476190474</v>
      </c>
      <c r="G8045" s="545">
        <v>13.8</v>
      </c>
      <c r="H8045" s="545">
        <v>4.333333333333333</v>
      </c>
      <c r="I8045" s="545">
        <v>4</v>
      </c>
      <c r="J8045" s="545">
        <v>11.047619047619047</v>
      </c>
    </row>
    <row r="8046" spans="1:10">
      <c r="A8046" s="441">
        <v>11356</v>
      </c>
      <c r="B8046" s="441" t="s">
        <v>6498</v>
      </c>
      <c r="C8046" s="545">
        <v>9.6666666666666679</v>
      </c>
      <c r="D8046" s="545">
        <v>3.666666666666667</v>
      </c>
      <c r="E8046" s="545">
        <v>3</v>
      </c>
      <c r="F8046" s="545">
        <v>7.8571428571428585</v>
      </c>
      <c r="G8046" s="545">
        <v>2.95</v>
      </c>
      <c r="H8046" s="545">
        <v>0.66666666666666663</v>
      </c>
      <c r="I8046" s="545">
        <v>2.3333333333333335</v>
      </c>
      <c r="J8046" s="545">
        <v>2.5357142857142856</v>
      </c>
    </row>
    <row r="8047" spans="1:10">
      <c r="A8047" s="441">
        <v>1732</v>
      </c>
      <c r="B8047" s="441" t="s">
        <v>6499</v>
      </c>
      <c r="C8047" s="545">
        <v>6.666666666666667</v>
      </c>
      <c r="D8047" s="545">
        <v>5.3333333333333339</v>
      </c>
      <c r="E8047" s="545">
        <v>4</v>
      </c>
      <c r="F8047" s="545">
        <v>6.0952380952380958</v>
      </c>
      <c r="G8047" s="545">
        <v>1.2</v>
      </c>
      <c r="H8047" s="545">
        <v>1</v>
      </c>
      <c r="I8047" s="545">
        <v>0.33333333333333331</v>
      </c>
      <c r="J8047" s="545">
        <v>1.0476190476190477</v>
      </c>
    </row>
    <row r="8048" spans="1:10">
      <c r="A8048" s="441">
        <v>12956</v>
      </c>
      <c r="B8048" s="441" t="s">
        <v>6499</v>
      </c>
      <c r="C8048" s="545">
        <v>1.5</v>
      </c>
      <c r="D8048" s="545">
        <v>1.3333333333333333</v>
      </c>
      <c r="E8048" s="545">
        <v>1.3333333333333333</v>
      </c>
      <c r="F8048" s="545">
        <v>1.4523809523809526</v>
      </c>
      <c r="G8048" s="545">
        <v>1.1499999999999999</v>
      </c>
      <c r="H8048" s="545">
        <v>0</v>
      </c>
      <c r="I8048" s="545">
        <v>0</v>
      </c>
      <c r="J8048" s="545">
        <v>0.8214285714285714</v>
      </c>
    </row>
    <row r="8049" spans="1:10">
      <c r="A8049" s="441">
        <v>194</v>
      </c>
      <c r="B8049" s="441" t="s">
        <v>6500</v>
      </c>
      <c r="C8049" s="545">
        <v>3.5</v>
      </c>
      <c r="D8049" s="545">
        <v>0</v>
      </c>
      <c r="E8049" s="545">
        <v>0</v>
      </c>
      <c r="F8049" s="545">
        <v>2.5</v>
      </c>
      <c r="G8049" s="545">
        <v>0.3</v>
      </c>
      <c r="H8049" s="545">
        <v>0.33333333333333331</v>
      </c>
      <c r="I8049" s="545">
        <v>0</v>
      </c>
      <c r="J8049" s="545">
        <v>0.26190476190476192</v>
      </c>
    </row>
    <row r="8050" spans="1:10">
      <c r="A8050" s="441">
        <v>212</v>
      </c>
      <c r="B8050" s="441" t="s">
        <v>6500</v>
      </c>
      <c r="C8050" s="545">
        <v>10.333333333333334</v>
      </c>
      <c r="D8050" s="545">
        <v>0.33333333333333331</v>
      </c>
      <c r="E8050" s="545">
        <v>0.33333333333333331</v>
      </c>
      <c r="F8050" s="545">
        <v>7.4761904761904772</v>
      </c>
      <c r="G8050" s="545">
        <v>1.65</v>
      </c>
      <c r="H8050" s="545">
        <v>2</v>
      </c>
      <c r="I8050" s="545">
        <v>0.33333333333333331</v>
      </c>
      <c r="J8050" s="545">
        <v>1.5119047619047621</v>
      </c>
    </row>
    <row r="8051" spans="1:10">
      <c r="A8051" s="441">
        <v>195</v>
      </c>
      <c r="B8051" s="441" t="s">
        <v>6501</v>
      </c>
      <c r="C8051" s="545">
        <v>2.166666666666667</v>
      </c>
      <c r="D8051" s="545">
        <v>0.33333333333333331</v>
      </c>
      <c r="E8051" s="545">
        <v>0</v>
      </c>
      <c r="F8051" s="545">
        <v>1.5952380952380956</v>
      </c>
      <c r="G8051" s="545">
        <v>2.7</v>
      </c>
      <c r="H8051" s="545">
        <v>1</v>
      </c>
      <c r="I8051" s="545">
        <v>1.3333333333333333</v>
      </c>
      <c r="J8051" s="545">
        <v>2.2619047619047619</v>
      </c>
    </row>
    <row r="8052" spans="1:10">
      <c r="A8052" s="441">
        <v>211</v>
      </c>
      <c r="B8052" s="441" t="s">
        <v>6501</v>
      </c>
      <c r="C8052" s="545">
        <v>6</v>
      </c>
      <c r="D8052" s="545">
        <v>2</v>
      </c>
      <c r="E8052" s="545">
        <v>0.66666666666666663</v>
      </c>
      <c r="F8052" s="545">
        <v>4.6666666666666661</v>
      </c>
      <c r="G8052" s="545">
        <v>2.8</v>
      </c>
      <c r="H8052" s="545">
        <v>0.66666666666666663</v>
      </c>
      <c r="I8052" s="545">
        <v>0.66666666666666663</v>
      </c>
      <c r="J8052" s="545">
        <v>2.1904761904761902</v>
      </c>
    </row>
    <row r="8053" spans="1:10">
      <c r="A8053" s="441">
        <v>197</v>
      </c>
      <c r="B8053" s="441" t="s">
        <v>6502</v>
      </c>
      <c r="C8053" s="545">
        <v>2.833333333333333</v>
      </c>
      <c r="D8053" s="545">
        <v>0</v>
      </c>
      <c r="E8053" s="545">
        <v>0</v>
      </c>
      <c r="F8053" s="545">
        <v>2.0238095238095233</v>
      </c>
      <c r="G8053" s="545">
        <v>1.8</v>
      </c>
      <c r="H8053" s="545">
        <v>0.33333333333333331</v>
      </c>
      <c r="I8053" s="545">
        <v>0.66666666666666663</v>
      </c>
      <c r="J8053" s="545">
        <v>1.4285714285714286</v>
      </c>
    </row>
    <row r="8054" spans="1:10">
      <c r="A8054" s="441">
        <v>11968</v>
      </c>
      <c r="B8054" s="441" t="s">
        <v>6502</v>
      </c>
      <c r="C8054" s="545">
        <v>3.3333333333333335</v>
      </c>
      <c r="D8054" s="545">
        <v>1</v>
      </c>
      <c r="E8054" s="545">
        <v>0.66666666666666663</v>
      </c>
      <c r="F8054" s="545">
        <v>2.6190476190476195</v>
      </c>
      <c r="G8054" s="545">
        <v>1.35</v>
      </c>
      <c r="H8054" s="545">
        <v>1</v>
      </c>
      <c r="I8054" s="545">
        <v>0.66666666666666663</v>
      </c>
      <c r="J8054" s="545">
        <v>1.2023809523809523</v>
      </c>
    </row>
    <row r="8055" spans="1:10">
      <c r="A8055" s="441">
        <v>1731</v>
      </c>
      <c r="B8055" s="441" t="s">
        <v>6503</v>
      </c>
      <c r="C8055" s="545">
        <v>0.66666666666666663</v>
      </c>
      <c r="D8055" s="545">
        <v>0.33333333333333331</v>
      </c>
      <c r="E8055" s="545">
        <v>0</v>
      </c>
      <c r="F8055" s="545">
        <v>0.52380952380952384</v>
      </c>
      <c r="G8055" s="545">
        <v>2.35</v>
      </c>
      <c r="H8055" s="545">
        <v>0.66666666666666663</v>
      </c>
      <c r="I8055" s="545">
        <v>1.3333333333333333</v>
      </c>
      <c r="J8055" s="545">
        <v>1.9642857142857142</v>
      </c>
    </row>
    <row r="8056" spans="1:10">
      <c r="A8056" s="441">
        <v>12957</v>
      </c>
      <c r="B8056" s="441" t="s">
        <v>6503</v>
      </c>
      <c r="C8056" s="545">
        <v>1.8333333333333335</v>
      </c>
      <c r="D8056" s="545">
        <v>2.3333333333333335</v>
      </c>
      <c r="E8056" s="545">
        <v>0.66666666666666663</v>
      </c>
      <c r="F8056" s="545">
        <v>1.7380952380952384</v>
      </c>
      <c r="G8056" s="545">
        <v>1.6</v>
      </c>
      <c r="H8056" s="545">
        <v>2.3333333333333335</v>
      </c>
      <c r="I8056" s="545">
        <v>0</v>
      </c>
      <c r="J8056" s="545">
        <v>1.4761904761904763</v>
      </c>
    </row>
    <row r="8057" spans="1:10">
      <c r="A8057" s="441">
        <v>196</v>
      </c>
      <c r="B8057" s="441" t="s">
        <v>6504</v>
      </c>
      <c r="C8057" s="545">
        <v>1.8333333333333333</v>
      </c>
      <c r="D8057" s="545">
        <v>1</v>
      </c>
      <c r="E8057" s="545">
        <v>0.33333333333333331</v>
      </c>
      <c r="F8057" s="545">
        <v>1.5</v>
      </c>
      <c r="G8057" s="545">
        <v>0.8</v>
      </c>
      <c r="H8057" s="545">
        <v>0</v>
      </c>
      <c r="I8057" s="545">
        <v>0</v>
      </c>
      <c r="J8057" s="545">
        <v>0.5714285714285714</v>
      </c>
    </row>
    <row r="8058" spans="1:10">
      <c r="A8058" s="441">
        <v>210</v>
      </c>
      <c r="B8058" s="441" t="s">
        <v>6504</v>
      </c>
      <c r="C8058" s="545">
        <v>2.166666666666667</v>
      </c>
      <c r="D8058" s="545">
        <v>0.33333333333333331</v>
      </c>
      <c r="E8058" s="545">
        <v>0</v>
      </c>
      <c r="F8058" s="545">
        <v>1.5952380952380956</v>
      </c>
      <c r="G8058" s="545">
        <v>0.65</v>
      </c>
      <c r="H8058" s="545">
        <v>0</v>
      </c>
      <c r="I8058" s="545">
        <v>0</v>
      </c>
      <c r="J8058" s="545">
        <v>0.4642857142857143</v>
      </c>
    </row>
    <row r="8059" spans="1:10">
      <c r="A8059" s="441">
        <v>8127</v>
      </c>
      <c r="B8059" s="441" t="s">
        <v>6505</v>
      </c>
      <c r="C8059" s="545">
        <v>127</v>
      </c>
      <c r="D8059" s="545">
        <v>70.666666666666657</v>
      </c>
      <c r="E8059" s="545">
        <v>66</v>
      </c>
      <c r="F8059" s="545">
        <v>110.23809523809523</v>
      </c>
      <c r="G8059" s="545">
        <v>27.25</v>
      </c>
      <c r="H8059" s="545">
        <v>17</v>
      </c>
      <c r="I8059" s="545">
        <v>17</v>
      </c>
      <c r="J8059" s="545">
        <v>24.321428571428573</v>
      </c>
    </row>
    <row r="8060" spans="1:10">
      <c r="A8060" s="441">
        <v>8128</v>
      </c>
      <c r="B8060" s="441" t="s">
        <v>6505</v>
      </c>
      <c r="C8060" s="545">
        <v>29.166666666666664</v>
      </c>
      <c r="D8060" s="545">
        <v>22.666666666666664</v>
      </c>
      <c r="E8060" s="545">
        <v>20</v>
      </c>
      <c r="F8060" s="545">
        <v>26.928571428571423</v>
      </c>
      <c r="G8060" s="545">
        <v>48.65</v>
      </c>
      <c r="H8060" s="545">
        <v>34.666666666666664</v>
      </c>
      <c r="I8060" s="545">
        <v>27</v>
      </c>
      <c r="J8060" s="545">
        <v>43.55952380952381</v>
      </c>
    </row>
    <row r="8061" spans="1:10">
      <c r="A8061" s="441">
        <v>8130</v>
      </c>
      <c r="B8061" s="441" t="s">
        <v>6505</v>
      </c>
      <c r="C8061" s="545">
        <v>102.66666666666666</v>
      </c>
      <c r="D8061" s="545">
        <v>64.333333333333343</v>
      </c>
      <c r="E8061" s="545">
        <v>45.333333333333336</v>
      </c>
      <c r="F8061" s="545">
        <v>89</v>
      </c>
      <c r="G8061" s="545">
        <v>70.45</v>
      </c>
      <c r="H8061" s="545">
        <v>40.666666666666664</v>
      </c>
      <c r="I8061" s="545">
        <v>35.333333333333336</v>
      </c>
      <c r="J8061" s="545">
        <v>61.178571428571431</v>
      </c>
    </row>
    <row r="8062" spans="1:10">
      <c r="A8062" s="441">
        <v>8131</v>
      </c>
      <c r="B8062" s="441" t="s">
        <v>6505</v>
      </c>
      <c r="C8062" s="545">
        <v>23</v>
      </c>
      <c r="D8062" s="545">
        <v>19</v>
      </c>
      <c r="E8062" s="545">
        <v>13.333333333333334</v>
      </c>
      <c r="F8062" s="545">
        <v>21.047619047619047</v>
      </c>
      <c r="G8062" s="545">
        <v>19.7</v>
      </c>
      <c r="H8062" s="545">
        <v>7.666666666666667</v>
      </c>
      <c r="I8062" s="545">
        <v>5</v>
      </c>
      <c r="J8062" s="545">
        <v>15.880952380952381</v>
      </c>
    </row>
    <row r="8063" spans="1:10">
      <c r="A8063" s="441">
        <v>8126</v>
      </c>
      <c r="B8063" s="441" t="s">
        <v>6506</v>
      </c>
      <c r="C8063" s="545">
        <v>71.166666666666671</v>
      </c>
      <c r="D8063" s="545">
        <v>54</v>
      </c>
      <c r="E8063" s="545">
        <v>42</v>
      </c>
      <c r="F8063" s="545">
        <v>64.547619047619051</v>
      </c>
      <c r="G8063" s="545">
        <v>62.45</v>
      </c>
      <c r="H8063" s="545">
        <v>40.666666666666664</v>
      </c>
      <c r="I8063" s="545">
        <v>36.666666666666664</v>
      </c>
      <c r="J8063" s="545">
        <v>55.654761904761912</v>
      </c>
    </row>
    <row r="8064" spans="1:10">
      <c r="A8064" s="441">
        <v>8132</v>
      </c>
      <c r="B8064" s="441" t="s">
        <v>6506</v>
      </c>
      <c r="C8064" s="545">
        <v>60.666666666666671</v>
      </c>
      <c r="D8064" s="545">
        <v>40</v>
      </c>
      <c r="E8064" s="545">
        <v>27.666666666666664</v>
      </c>
      <c r="F8064" s="545">
        <v>53.000000000000007</v>
      </c>
      <c r="G8064" s="545">
        <v>53.25</v>
      </c>
      <c r="H8064" s="545">
        <v>26</v>
      </c>
      <c r="I8064" s="545">
        <v>28.666666666666668</v>
      </c>
      <c r="J8064" s="545">
        <v>45.845238095238095</v>
      </c>
    </row>
    <row r="8065" spans="1:10">
      <c r="A8065" s="441">
        <v>8133</v>
      </c>
      <c r="B8065" s="441" t="s">
        <v>6506</v>
      </c>
      <c r="C8065" s="545">
        <v>21.833333333333332</v>
      </c>
      <c r="D8065" s="545">
        <v>12.666666666666668</v>
      </c>
      <c r="E8065" s="545">
        <v>10</v>
      </c>
      <c r="F8065" s="545">
        <v>18.833333333333332</v>
      </c>
      <c r="G8065" s="545">
        <v>1.25</v>
      </c>
      <c r="H8065" s="545">
        <v>0.33333333333333331</v>
      </c>
      <c r="I8065" s="545">
        <v>0.66666666666666663</v>
      </c>
      <c r="J8065" s="545">
        <v>1.0357142857142858</v>
      </c>
    </row>
    <row r="8066" spans="1:10">
      <c r="A8066" s="441">
        <v>514</v>
      </c>
      <c r="B8066" s="441" t="s">
        <v>6507</v>
      </c>
      <c r="C8066" s="545">
        <v>98.333333333333343</v>
      </c>
      <c r="D8066" s="545">
        <v>76</v>
      </c>
      <c r="E8066" s="545">
        <v>65</v>
      </c>
      <c r="F8066" s="545">
        <v>90.380952380952394</v>
      </c>
      <c r="G8066" s="545">
        <v>91.8</v>
      </c>
      <c r="H8066" s="545">
        <v>76</v>
      </c>
      <c r="I8066" s="545">
        <v>65.333333333333329</v>
      </c>
      <c r="J8066" s="545">
        <v>85.761904761904773</v>
      </c>
    </row>
    <row r="8067" spans="1:10">
      <c r="A8067" s="441">
        <v>8129</v>
      </c>
      <c r="B8067" s="441" t="s">
        <v>6507</v>
      </c>
      <c r="C8067" s="545">
        <v>47</v>
      </c>
      <c r="D8067" s="545">
        <v>28.333333333333336</v>
      </c>
      <c r="E8067" s="545">
        <v>21</v>
      </c>
      <c r="F8067" s="545">
        <v>40.619047619047613</v>
      </c>
      <c r="G8067" s="545">
        <v>61.05</v>
      </c>
      <c r="H8067" s="545">
        <v>39</v>
      </c>
      <c r="I8067" s="545">
        <v>44.333333333333336</v>
      </c>
      <c r="J8067" s="545">
        <v>55.511904761904759</v>
      </c>
    </row>
    <row r="8068" spans="1:10">
      <c r="A8068" s="441">
        <v>8123</v>
      </c>
      <c r="B8068" s="441" t="s">
        <v>6508</v>
      </c>
      <c r="C8068" s="545">
        <v>5.5</v>
      </c>
      <c r="D8068" s="545">
        <v>8</v>
      </c>
      <c r="E8068" s="545">
        <v>4.3333333333333339</v>
      </c>
      <c r="F8068" s="545">
        <v>5.6904761904761907</v>
      </c>
      <c r="G8068" s="545">
        <v>5.3</v>
      </c>
      <c r="H8068" s="545">
        <v>5.666666666666667</v>
      </c>
      <c r="I8068" s="545">
        <v>2.3333333333333335</v>
      </c>
      <c r="J8068" s="545">
        <v>4.9285714285714288</v>
      </c>
    </row>
    <row r="8069" spans="1:10">
      <c r="A8069" s="441">
        <v>8135</v>
      </c>
      <c r="B8069" s="441" t="s">
        <v>6508</v>
      </c>
      <c r="C8069" s="545">
        <v>6.1666666666666661</v>
      </c>
      <c r="D8069" s="545">
        <v>3</v>
      </c>
      <c r="E8069" s="545">
        <v>4</v>
      </c>
      <c r="F8069" s="545">
        <v>5.4047619047619042</v>
      </c>
      <c r="G8069" s="545">
        <v>9.1</v>
      </c>
      <c r="H8069" s="545">
        <v>5.333333333333333</v>
      </c>
      <c r="I8069" s="545">
        <v>3</v>
      </c>
      <c r="J8069" s="545">
        <v>7.6904761904761907</v>
      </c>
    </row>
    <row r="8070" spans="1:10">
      <c r="A8070" s="441">
        <v>8124</v>
      </c>
      <c r="B8070" s="441" t="s">
        <v>6509</v>
      </c>
      <c r="C8070" s="545">
        <v>12.5</v>
      </c>
      <c r="D8070" s="545">
        <v>4.6666666666666661</v>
      </c>
      <c r="E8070" s="545">
        <v>5</v>
      </c>
      <c r="F8070" s="545">
        <v>10.30952380952381</v>
      </c>
      <c r="G8070" s="545">
        <v>16.649999999999999</v>
      </c>
      <c r="H8070" s="545">
        <v>9.6666666666666661</v>
      </c>
      <c r="I8070" s="545">
        <v>14</v>
      </c>
      <c r="J8070" s="545">
        <v>15.273809523809524</v>
      </c>
    </row>
    <row r="8071" spans="1:10">
      <c r="A8071" s="441">
        <v>8125</v>
      </c>
      <c r="B8071" s="441" t="s">
        <v>6509</v>
      </c>
      <c r="C8071" s="545">
        <v>18</v>
      </c>
      <c r="D8071" s="545">
        <v>17</v>
      </c>
      <c r="E8071" s="545">
        <v>12.666666666666666</v>
      </c>
      <c r="F8071" s="545">
        <v>17.095238095238095</v>
      </c>
      <c r="G8071" s="545">
        <v>0.2</v>
      </c>
      <c r="H8071" s="545">
        <v>0</v>
      </c>
      <c r="I8071" s="545">
        <v>0.66666666666666663</v>
      </c>
      <c r="J8071" s="545">
        <v>0.23809523809523808</v>
      </c>
    </row>
    <row r="8072" spans="1:10">
      <c r="A8072" s="441">
        <v>8134</v>
      </c>
      <c r="B8072" s="441" t="s">
        <v>6509</v>
      </c>
      <c r="C8072" s="545">
        <v>11.166666666666666</v>
      </c>
      <c r="D8072" s="545">
        <v>6.3333333333333339</v>
      </c>
      <c r="E8072" s="545">
        <v>4.666666666666667</v>
      </c>
      <c r="F8072" s="545">
        <v>9.5476190476190474</v>
      </c>
      <c r="G8072" s="545">
        <v>18.8</v>
      </c>
      <c r="H8072" s="545">
        <v>16</v>
      </c>
      <c r="I8072" s="545">
        <v>14</v>
      </c>
      <c r="J8072" s="545">
        <v>17.714285714285715</v>
      </c>
    </row>
    <row r="8073" spans="1:10">
      <c r="A8073" s="441">
        <v>483</v>
      </c>
      <c r="B8073" s="441" t="s">
        <v>6510</v>
      </c>
      <c r="C8073" s="545">
        <v>8.8333333333333339</v>
      </c>
      <c r="D8073" s="545">
        <v>4.666666666666667</v>
      </c>
      <c r="E8073" s="545">
        <v>13.666666666666666</v>
      </c>
      <c r="F8073" s="545">
        <v>8.9285714285714288</v>
      </c>
      <c r="G8073" s="545">
        <v>10.1</v>
      </c>
      <c r="H8073" s="545">
        <v>6</v>
      </c>
      <c r="I8073" s="545">
        <v>6.333333333333333</v>
      </c>
      <c r="J8073" s="545">
        <v>8.9761904761904763</v>
      </c>
    </row>
    <row r="8074" spans="1:10">
      <c r="A8074" s="441">
        <v>5610</v>
      </c>
      <c r="B8074" s="441" t="s">
        <v>6511</v>
      </c>
      <c r="C8074" s="545">
        <v>19.833333333333332</v>
      </c>
      <c r="D8074" s="545">
        <v>10</v>
      </c>
      <c r="E8074" s="545">
        <v>11.666666666666666</v>
      </c>
      <c r="F8074" s="545">
        <v>17.261904761904763</v>
      </c>
      <c r="G8074" s="545">
        <v>10.1</v>
      </c>
      <c r="H8074" s="545">
        <v>4</v>
      </c>
      <c r="I8074" s="545">
        <v>3.6666666666666665</v>
      </c>
      <c r="J8074" s="545">
        <v>8.3095238095238084</v>
      </c>
    </row>
    <row r="8075" spans="1:10">
      <c r="A8075" s="441">
        <v>5618</v>
      </c>
      <c r="B8075" s="441" t="s">
        <v>6511</v>
      </c>
      <c r="C8075" s="545">
        <v>10</v>
      </c>
      <c r="D8075" s="545">
        <v>3.666666666666667</v>
      </c>
      <c r="E8075" s="545">
        <v>4</v>
      </c>
      <c r="F8075" s="545">
        <v>8.2380952380952372</v>
      </c>
      <c r="G8075" s="545">
        <v>5.5</v>
      </c>
      <c r="H8075" s="545">
        <v>4.333333333333333</v>
      </c>
      <c r="I8075" s="545">
        <v>2.6666666666666665</v>
      </c>
      <c r="J8075" s="545">
        <v>4.9285714285714288</v>
      </c>
    </row>
    <row r="8076" spans="1:10">
      <c r="A8076" s="441">
        <v>494</v>
      </c>
      <c r="B8076" s="441" t="s">
        <v>6512</v>
      </c>
      <c r="C8076" s="545">
        <v>27.166666666666668</v>
      </c>
      <c r="D8076" s="545">
        <v>9.3333333333333339</v>
      </c>
      <c r="E8076" s="545">
        <v>7.3333333333333339</v>
      </c>
      <c r="F8076" s="545">
        <v>21.785714285714288</v>
      </c>
      <c r="G8076" s="545">
        <v>11.45</v>
      </c>
      <c r="H8076" s="545">
        <v>5.333333333333333</v>
      </c>
      <c r="I8076" s="545">
        <v>6</v>
      </c>
      <c r="J8076" s="545">
        <v>9.7976190476190492</v>
      </c>
    </row>
    <row r="8077" spans="1:10">
      <c r="A8077" s="441">
        <v>475</v>
      </c>
      <c r="B8077" s="441" t="s">
        <v>6513</v>
      </c>
      <c r="C8077" s="545">
        <v>42</v>
      </c>
      <c r="D8077" s="545">
        <v>20.666666666666664</v>
      </c>
      <c r="E8077" s="545">
        <v>17.666666666666668</v>
      </c>
      <c r="F8077" s="545">
        <v>35.476190476190474</v>
      </c>
      <c r="G8077" s="545">
        <v>26.4</v>
      </c>
      <c r="H8077" s="545">
        <v>13.333333333333334</v>
      </c>
      <c r="I8077" s="545">
        <v>13.333333333333334</v>
      </c>
      <c r="J8077" s="545">
        <v>22.666666666666668</v>
      </c>
    </row>
    <row r="8078" spans="1:10">
      <c r="A8078" s="441">
        <v>487</v>
      </c>
      <c r="B8078" s="441" t="s">
        <v>6513</v>
      </c>
      <c r="C8078" s="545">
        <v>29.166666666666664</v>
      </c>
      <c r="D8078" s="545">
        <v>23.333333333333336</v>
      </c>
      <c r="E8078" s="545">
        <v>26</v>
      </c>
      <c r="F8078" s="545">
        <v>27.88095238095238</v>
      </c>
      <c r="G8078" s="545">
        <v>27.5</v>
      </c>
      <c r="H8078" s="545">
        <v>11.666666666666666</v>
      </c>
      <c r="I8078" s="545">
        <v>10.666666666666666</v>
      </c>
      <c r="J8078" s="545">
        <v>22.833333333333332</v>
      </c>
    </row>
    <row r="8079" spans="1:10">
      <c r="A8079" s="441">
        <v>5611</v>
      </c>
      <c r="B8079" s="441" t="s">
        <v>6514</v>
      </c>
      <c r="C8079" s="545">
        <v>23.5</v>
      </c>
      <c r="D8079" s="545">
        <v>8.3333333333333339</v>
      </c>
      <c r="E8079" s="545">
        <v>9.3333333333333321</v>
      </c>
      <c r="F8079" s="545">
        <v>19.309523809523807</v>
      </c>
      <c r="G8079" s="545">
        <v>7.15</v>
      </c>
      <c r="H8079" s="545">
        <v>3.6666666666666665</v>
      </c>
      <c r="I8079" s="545">
        <v>1.3333333333333333</v>
      </c>
      <c r="J8079" s="545">
        <v>5.8214285714285712</v>
      </c>
    </row>
    <row r="8080" spans="1:10">
      <c r="A8080" s="441">
        <v>5617</v>
      </c>
      <c r="B8080" s="441" t="s">
        <v>6514</v>
      </c>
      <c r="C8080" s="545">
        <v>30.833333333333332</v>
      </c>
      <c r="D8080" s="545">
        <v>22.666666666666664</v>
      </c>
      <c r="E8080" s="545">
        <v>14.666666666666666</v>
      </c>
      <c r="F8080" s="545">
        <v>27.357142857142854</v>
      </c>
      <c r="G8080" s="545">
        <v>16.100000000000001</v>
      </c>
      <c r="H8080" s="545">
        <v>8</v>
      </c>
      <c r="I8080" s="545">
        <v>10</v>
      </c>
      <c r="J8080" s="545">
        <v>14.071428571428571</v>
      </c>
    </row>
    <row r="8081" spans="1:10">
      <c r="A8081" s="441">
        <v>479</v>
      </c>
      <c r="B8081" s="441" t="s">
        <v>6515</v>
      </c>
      <c r="C8081" s="545">
        <v>8.3333333333333339</v>
      </c>
      <c r="D8081" s="545">
        <v>6</v>
      </c>
      <c r="E8081" s="545">
        <v>15</v>
      </c>
      <c r="F8081" s="545">
        <v>8.9523809523809526</v>
      </c>
      <c r="G8081" s="545">
        <v>6.55</v>
      </c>
      <c r="H8081" s="545">
        <v>5</v>
      </c>
      <c r="I8081" s="545">
        <v>2</v>
      </c>
      <c r="J8081" s="545">
        <v>5.6785714285714288</v>
      </c>
    </row>
    <row r="8082" spans="1:10">
      <c r="A8082" s="441">
        <v>474</v>
      </c>
      <c r="B8082" s="441" t="s">
        <v>6516</v>
      </c>
      <c r="C8082" s="545">
        <v>16.166666666666668</v>
      </c>
      <c r="D8082" s="545">
        <v>6.333333333333333</v>
      </c>
      <c r="E8082" s="545">
        <v>5.666666666666667</v>
      </c>
      <c r="F8082" s="545">
        <v>13.261904761904763</v>
      </c>
      <c r="G8082" s="545">
        <v>7.1</v>
      </c>
      <c r="H8082" s="545">
        <v>3</v>
      </c>
      <c r="I8082" s="545">
        <v>2.3333333333333335</v>
      </c>
      <c r="J8082" s="545">
        <v>5.8333333333333339</v>
      </c>
    </row>
    <row r="8083" spans="1:10">
      <c r="A8083" s="441">
        <v>488</v>
      </c>
      <c r="B8083" s="441" t="s">
        <v>6516</v>
      </c>
      <c r="C8083" s="545">
        <v>26.5</v>
      </c>
      <c r="D8083" s="545">
        <v>17</v>
      </c>
      <c r="E8083" s="545">
        <v>11.666666666666666</v>
      </c>
      <c r="F8083" s="545">
        <v>23.023809523809522</v>
      </c>
      <c r="G8083" s="545">
        <v>12.85</v>
      </c>
      <c r="H8083" s="545">
        <v>6.666666666666667</v>
      </c>
      <c r="I8083" s="545">
        <v>6.666666666666667</v>
      </c>
      <c r="J8083" s="545">
        <v>11.083333333333334</v>
      </c>
    </row>
    <row r="8084" spans="1:10">
      <c r="A8084" s="441">
        <v>5613</v>
      </c>
      <c r="B8084" s="441" t="s">
        <v>6517</v>
      </c>
      <c r="C8084" s="545">
        <v>11.666666666666666</v>
      </c>
      <c r="D8084" s="545">
        <v>5.6666666666666661</v>
      </c>
      <c r="E8084" s="545">
        <v>6.6666666666666661</v>
      </c>
      <c r="F8084" s="545">
        <v>10.095238095238093</v>
      </c>
      <c r="G8084" s="545">
        <v>6.2</v>
      </c>
      <c r="H8084" s="545">
        <v>7</v>
      </c>
      <c r="I8084" s="545">
        <v>6</v>
      </c>
      <c r="J8084" s="545">
        <v>6.2857142857142856</v>
      </c>
    </row>
    <row r="8085" spans="1:10">
      <c r="A8085" s="441">
        <v>5620</v>
      </c>
      <c r="B8085" s="441" t="s">
        <v>6518</v>
      </c>
      <c r="C8085" s="545">
        <v>15.333333333333334</v>
      </c>
      <c r="D8085" s="545">
        <v>4</v>
      </c>
      <c r="E8085" s="545">
        <v>5</v>
      </c>
      <c r="F8085" s="545">
        <v>12.238095238095239</v>
      </c>
      <c r="G8085" s="545">
        <v>5.25</v>
      </c>
      <c r="H8085" s="545">
        <v>3</v>
      </c>
      <c r="I8085" s="545">
        <v>4</v>
      </c>
      <c r="J8085" s="545">
        <v>4.75</v>
      </c>
    </row>
    <row r="8086" spans="1:10">
      <c r="A8086" s="441">
        <v>10862</v>
      </c>
      <c r="B8086" s="441" t="s">
        <v>6518</v>
      </c>
      <c r="C8086" s="545">
        <v>20</v>
      </c>
      <c r="D8086" s="545">
        <v>8.3333333333333339</v>
      </c>
      <c r="E8086" s="545">
        <v>10.666666666666668</v>
      </c>
      <c r="F8086" s="545">
        <v>17</v>
      </c>
      <c r="G8086" s="545">
        <v>4.4000000000000004</v>
      </c>
      <c r="H8086" s="545">
        <v>1.3333333333333333</v>
      </c>
      <c r="I8086" s="545">
        <v>2.3333333333333335</v>
      </c>
      <c r="J8086" s="545">
        <v>3.6666666666666665</v>
      </c>
    </row>
    <row r="8087" spans="1:10">
      <c r="A8087" s="441">
        <v>10426</v>
      </c>
      <c r="B8087" s="441" t="s">
        <v>6519</v>
      </c>
      <c r="C8087" s="545">
        <v>20.666666666666668</v>
      </c>
      <c r="D8087" s="545">
        <v>13.333333333333334</v>
      </c>
      <c r="E8087" s="545">
        <v>13</v>
      </c>
      <c r="F8087" s="545">
        <v>18.523809523809526</v>
      </c>
      <c r="G8087" s="545">
        <v>40.200000000000003</v>
      </c>
      <c r="H8087" s="545">
        <v>28.333333333333332</v>
      </c>
      <c r="I8087" s="545">
        <v>28</v>
      </c>
      <c r="J8087" s="545">
        <v>36.761904761904766</v>
      </c>
    </row>
    <row r="8088" spans="1:10">
      <c r="A8088" s="441">
        <v>5614</v>
      </c>
      <c r="B8088" s="441" t="s">
        <v>6520</v>
      </c>
      <c r="C8088" s="545">
        <v>30.166666666666668</v>
      </c>
      <c r="D8088" s="545">
        <v>24.666666666666668</v>
      </c>
      <c r="E8088" s="545">
        <v>28</v>
      </c>
      <c r="F8088" s="545">
        <v>29.071428571428573</v>
      </c>
      <c r="G8088" s="545">
        <v>22.35</v>
      </c>
      <c r="H8088" s="545">
        <v>23.666666666666668</v>
      </c>
      <c r="I8088" s="545">
        <v>28</v>
      </c>
      <c r="J8088" s="545">
        <v>23.345238095238095</v>
      </c>
    </row>
    <row r="8089" spans="1:10">
      <c r="A8089" s="441">
        <v>470</v>
      </c>
      <c r="B8089" s="441" t="s">
        <v>6521</v>
      </c>
      <c r="C8089" s="545">
        <v>56.166666666666671</v>
      </c>
      <c r="D8089" s="545">
        <v>55.333333333333329</v>
      </c>
      <c r="E8089" s="545">
        <v>36.666666666666671</v>
      </c>
      <c r="F8089" s="545">
        <v>53.261904761904766</v>
      </c>
      <c r="G8089" s="545">
        <v>67.849999999999994</v>
      </c>
      <c r="H8089" s="545">
        <v>64.666666666666671</v>
      </c>
      <c r="I8089" s="545">
        <v>46.333333333333336</v>
      </c>
      <c r="J8089" s="545">
        <v>64.321428571428569</v>
      </c>
    </row>
    <row r="8090" spans="1:10">
      <c r="A8090" s="441">
        <v>492</v>
      </c>
      <c r="B8090" s="441" t="s">
        <v>6521</v>
      </c>
      <c r="C8090" s="545">
        <v>75.666666666666671</v>
      </c>
      <c r="D8090" s="545">
        <v>45.333333333333329</v>
      </c>
      <c r="E8090" s="545">
        <v>33</v>
      </c>
      <c r="F8090" s="545">
        <v>65.238095238095241</v>
      </c>
      <c r="G8090" s="545">
        <v>59.35</v>
      </c>
      <c r="H8090" s="545">
        <v>46.666666666666664</v>
      </c>
      <c r="I8090" s="545">
        <v>36</v>
      </c>
      <c r="J8090" s="545">
        <v>54.202380952380956</v>
      </c>
    </row>
    <row r="8091" spans="1:10">
      <c r="A8091" s="441">
        <v>477</v>
      </c>
      <c r="B8091" s="441" t="s">
        <v>6522</v>
      </c>
      <c r="C8091" s="545">
        <v>8.1666666666666679</v>
      </c>
      <c r="D8091" s="545">
        <v>10</v>
      </c>
      <c r="E8091" s="545">
        <v>7</v>
      </c>
      <c r="F8091" s="545">
        <v>8.2619047619047628</v>
      </c>
      <c r="G8091" s="545">
        <v>4.9000000000000004</v>
      </c>
      <c r="H8091" s="545">
        <v>3.6666666666666665</v>
      </c>
      <c r="I8091" s="545">
        <v>4.666666666666667</v>
      </c>
      <c r="J8091" s="545">
        <v>4.6904761904761907</v>
      </c>
    </row>
    <row r="8092" spans="1:10">
      <c r="A8092" s="441">
        <v>485</v>
      </c>
      <c r="B8092" s="441" t="s">
        <v>6522</v>
      </c>
      <c r="C8092" s="545">
        <v>21.333333333333336</v>
      </c>
      <c r="D8092" s="545">
        <v>26</v>
      </c>
      <c r="E8092" s="545">
        <v>21.333333333333332</v>
      </c>
      <c r="F8092" s="545">
        <v>22.000000000000004</v>
      </c>
      <c r="G8092" s="545">
        <v>12.2</v>
      </c>
      <c r="H8092" s="545">
        <v>13.666666666666666</v>
      </c>
      <c r="I8092" s="545">
        <v>11.333333333333334</v>
      </c>
      <c r="J8092" s="545">
        <v>12.285714285714286</v>
      </c>
    </row>
    <row r="8093" spans="1:10">
      <c r="A8093" s="441">
        <v>482</v>
      </c>
      <c r="B8093" s="441" t="s">
        <v>6523</v>
      </c>
      <c r="C8093" s="545">
        <v>34.666666666666671</v>
      </c>
      <c r="D8093" s="545">
        <v>14.666666666666668</v>
      </c>
      <c r="E8093" s="545">
        <v>21.666666666666668</v>
      </c>
      <c r="F8093" s="545">
        <v>29.952380952380956</v>
      </c>
      <c r="G8093" s="545">
        <v>10.4</v>
      </c>
      <c r="H8093" s="545">
        <v>5.333333333333333</v>
      </c>
      <c r="I8093" s="545">
        <v>7.333333333333333</v>
      </c>
      <c r="J8093" s="545">
        <v>9.238095238095239</v>
      </c>
    </row>
    <row r="8094" spans="1:10">
      <c r="A8094" s="441">
        <v>11248</v>
      </c>
      <c r="B8094" s="441" t="s">
        <v>6523</v>
      </c>
      <c r="C8094" s="545">
        <v>40.833333333333336</v>
      </c>
      <c r="D8094" s="545">
        <v>14.333333333333332</v>
      </c>
      <c r="E8094" s="545">
        <v>20.333333333333332</v>
      </c>
      <c r="F8094" s="545">
        <v>34.119047619047628</v>
      </c>
      <c r="G8094" s="545">
        <v>17.3</v>
      </c>
      <c r="H8094" s="545">
        <v>10.333333333333334</v>
      </c>
      <c r="I8094" s="545">
        <v>12</v>
      </c>
      <c r="J8094" s="545">
        <v>15.547619047619047</v>
      </c>
    </row>
    <row r="8095" spans="1:10">
      <c r="A8095" s="441">
        <v>6556</v>
      </c>
      <c r="B8095" s="441" t="s">
        <v>6524</v>
      </c>
      <c r="C8095" s="545">
        <v>3.6666666666666665</v>
      </c>
      <c r="D8095" s="545">
        <v>1.6666666666666667</v>
      </c>
      <c r="E8095" s="545">
        <v>0.33333333333333331</v>
      </c>
      <c r="F8095" s="545">
        <v>2.9047619047619047</v>
      </c>
      <c r="G8095" s="545">
        <v>7.45</v>
      </c>
      <c r="H8095" s="545">
        <v>3.3333333333333335</v>
      </c>
      <c r="I8095" s="545">
        <v>2.3333333333333335</v>
      </c>
      <c r="J8095" s="545">
        <v>6.1309523809523814</v>
      </c>
    </row>
    <row r="8096" spans="1:10">
      <c r="A8096" s="441">
        <v>469</v>
      </c>
      <c r="B8096" s="441" t="s">
        <v>6525</v>
      </c>
      <c r="C8096" s="545">
        <v>28.166666666666664</v>
      </c>
      <c r="D8096" s="545">
        <v>5</v>
      </c>
      <c r="E8096" s="545">
        <v>6</v>
      </c>
      <c r="F8096" s="545">
        <v>21.690476190476186</v>
      </c>
      <c r="G8096" s="545">
        <v>11.45</v>
      </c>
      <c r="H8096" s="545">
        <v>6</v>
      </c>
      <c r="I8096" s="545">
        <v>9</v>
      </c>
      <c r="J8096" s="545">
        <v>10.321428571428571</v>
      </c>
    </row>
    <row r="8097" spans="1:10">
      <c r="A8097" s="441">
        <v>12994</v>
      </c>
      <c r="B8097" s="441" t="s">
        <v>6526</v>
      </c>
      <c r="C8097" s="545">
        <v>23.5</v>
      </c>
      <c r="D8097" s="545">
        <v>9.3333333333333339</v>
      </c>
      <c r="E8097" s="545">
        <v>10</v>
      </c>
      <c r="F8097" s="545">
        <v>19.547619047619044</v>
      </c>
      <c r="G8097" s="545">
        <v>12.5</v>
      </c>
      <c r="H8097" s="545">
        <v>3</v>
      </c>
      <c r="I8097" s="545">
        <v>7.333333333333333</v>
      </c>
      <c r="J8097" s="545">
        <v>10.404761904761903</v>
      </c>
    </row>
    <row r="8098" spans="1:10">
      <c r="A8098" s="441">
        <v>6547</v>
      </c>
      <c r="B8098" s="441" t="s">
        <v>6527</v>
      </c>
      <c r="C8098" s="545">
        <v>29.5</v>
      </c>
      <c r="D8098" s="545">
        <v>11</v>
      </c>
      <c r="E8098" s="545">
        <v>10.333333333333334</v>
      </c>
      <c r="F8098" s="545">
        <v>24.11904761904762</v>
      </c>
      <c r="G8098" s="545">
        <v>19.350000000000001</v>
      </c>
      <c r="H8098" s="545">
        <v>8</v>
      </c>
      <c r="I8098" s="545">
        <v>10.666666666666666</v>
      </c>
      <c r="J8098" s="545">
        <v>16.488095238095237</v>
      </c>
    </row>
    <row r="8099" spans="1:10">
      <c r="A8099" s="441">
        <v>473</v>
      </c>
      <c r="B8099" s="441" t="s">
        <v>6528</v>
      </c>
      <c r="C8099" s="545">
        <v>8.3333333333333339</v>
      </c>
      <c r="D8099" s="545">
        <v>14.333333333333334</v>
      </c>
      <c r="E8099" s="545">
        <v>2</v>
      </c>
      <c r="F8099" s="545">
        <v>8.2857142857142865</v>
      </c>
      <c r="G8099" s="545">
        <v>6.2</v>
      </c>
      <c r="H8099" s="545">
        <v>4</v>
      </c>
      <c r="I8099" s="545">
        <v>5</v>
      </c>
      <c r="J8099" s="545">
        <v>5.7142857142857144</v>
      </c>
    </row>
    <row r="8100" spans="1:10">
      <c r="A8100" s="441">
        <v>497</v>
      </c>
      <c r="B8100" s="441" t="s">
        <v>6529</v>
      </c>
      <c r="C8100" s="545">
        <v>22.666666666666668</v>
      </c>
      <c r="D8100" s="545">
        <v>11.666666666666666</v>
      </c>
      <c r="E8100" s="545">
        <v>15.333333333333334</v>
      </c>
      <c r="F8100" s="545">
        <v>20.047619047619047</v>
      </c>
      <c r="G8100" s="545">
        <v>11.5</v>
      </c>
      <c r="H8100" s="545">
        <v>7.333333333333333</v>
      </c>
      <c r="I8100" s="545">
        <v>9.6666666666666661</v>
      </c>
      <c r="J8100" s="545">
        <v>10.642857142857142</v>
      </c>
    </row>
    <row r="8101" spans="1:10">
      <c r="A8101" s="441">
        <v>467</v>
      </c>
      <c r="B8101" s="441" t="s">
        <v>6530</v>
      </c>
      <c r="C8101" s="545">
        <v>11.166666666666666</v>
      </c>
      <c r="D8101" s="545">
        <v>12.666666666666668</v>
      </c>
      <c r="E8101" s="545">
        <v>4.3333333333333339</v>
      </c>
      <c r="F8101" s="545">
        <v>10.404761904761903</v>
      </c>
      <c r="G8101" s="545">
        <v>9.6</v>
      </c>
      <c r="H8101" s="545">
        <v>7.333333333333333</v>
      </c>
      <c r="I8101" s="545">
        <v>5.333333333333333</v>
      </c>
      <c r="J8101" s="545">
        <v>8.6666666666666679</v>
      </c>
    </row>
    <row r="8102" spans="1:10">
      <c r="A8102" s="441">
        <v>496</v>
      </c>
      <c r="B8102" s="441" t="s">
        <v>6530</v>
      </c>
      <c r="C8102" s="545">
        <v>12</v>
      </c>
      <c r="D8102" s="545">
        <v>8</v>
      </c>
      <c r="E8102" s="545">
        <v>7</v>
      </c>
      <c r="F8102" s="545">
        <v>10.714285714285714</v>
      </c>
      <c r="G8102" s="545">
        <v>6.65</v>
      </c>
      <c r="H8102" s="545">
        <v>3</v>
      </c>
      <c r="I8102" s="545">
        <v>3.3333333333333335</v>
      </c>
      <c r="J8102" s="545">
        <v>5.6547619047619051</v>
      </c>
    </row>
    <row r="8103" spans="1:10">
      <c r="A8103" s="441">
        <v>481</v>
      </c>
      <c r="B8103" s="441" t="s">
        <v>6531</v>
      </c>
      <c r="C8103" s="545">
        <v>3.6666666666666665</v>
      </c>
      <c r="D8103" s="545">
        <v>1.6666666666666665</v>
      </c>
      <c r="E8103" s="545">
        <v>1.6666666666666667</v>
      </c>
      <c r="F8103" s="545">
        <v>3.0952380952380953</v>
      </c>
      <c r="G8103" s="545">
        <v>2.35</v>
      </c>
      <c r="H8103" s="545">
        <v>1.6666666666666667</v>
      </c>
      <c r="I8103" s="545">
        <v>0.33333333333333331</v>
      </c>
      <c r="J8103" s="545">
        <v>1.9642857142857142</v>
      </c>
    </row>
    <row r="8104" spans="1:10">
      <c r="A8104" s="441">
        <v>5602</v>
      </c>
      <c r="B8104" s="441" t="s">
        <v>6532</v>
      </c>
      <c r="C8104" s="545">
        <v>8.5</v>
      </c>
      <c r="D8104" s="545">
        <v>2</v>
      </c>
      <c r="E8104" s="545">
        <v>1.6666666666666665</v>
      </c>
      <c r="F8104" s="545">
        <v>6.5952380952380949</v>
      </c>
      <c r="G8104" s="545">
        <v>4</v>
      </c>
      <c r="H8104" s="545">
        <v>1.3333333333333333</v>
      </c>
      <c r="I8104" s="545">
        <v>2</v>
      </c>
      <c r="J8104" s="545">
        <v>3.333333333333333</v>
      </c>
    </row>
    <row r="8105" spans="1:10">
      <c r="A8105" s="441">
        <v>5621</v>
      </c>
      <c r="B8105" s="441" t="s">
        <v>6532</v>
      </c>
      <c r="C8105" s="545">
        <v>27</v>
      </c>
      <c r="D8105" s="545">
        <v>12</v>
      </c>
      <c r="E8105" s="545">
        <v>10</v>
      </c>
      <c r="F8105" s="545">
        <v>22.428571428571427</v>
      </c>
      <c r="G8105" s="545">
        <v>4.45</v>
      </c>
      <c r="H8105" s="545">
        <v>2.6666666666666665</v>
      </c>
      <c r="I8105" s="545">
        <v>5.666666666666667</v>
      </c>
      <c r="J8105" s="545">
        <v>4.3690476190476195</v>
      </c>
    </row>
    <row r="8106" spans="1:10">
      <c r="A8106" s="441">
        <v>5601</v>
      </c>
      <c r="B8106" s="441" t="s">
        <v>6533</v>
      </c>
      <c r="C8106" s="545">
        <v>37.5</v>
      </c>
      <c r="D8106" s="545">
        <v>20.666666666666664</v>
      </c>
      <c r="E8106" s="545">
        <v>19.333333333333336</v>
      </c>
      <c r="F8106" s="545">
        <v>32.5</v>
      </c>
      <c r="G8106" s="545">
        <v>31.3</v>
      </c>
      <c r="H8106" s="545">
        <v>19.333333333333332</v>
      </c>
      <c r="I8106" s="545">
        <v>13.333333333333334</v>
      </c>
      <c r="J8106" s="545">
        <v>27.023809523809526</v>
      </c>
    </row>
    <row r="8107" spans="1:10">
      <c r="A8107" s="441">
        <v>5612</v>
      </c>
      <c r="B8107" s="441" t="s">
        <v>6534</v>
      </c>
      <c r="C8107" s="545">
        <v>8.1666666666666661</v>
      </c>
      <c r="D8107" s="545">
        <v>8.6666666666666661</v>
      </c>
      <c r="E8107" s="545">
        <v>6.3333333333333339</v>
      </c>
      <c r="F8107" s="545">
        <v>7.9761904761904754</v>
      </c>
      <c r="G8107" s="545">
        <v>6.15</v>
      </c>
      <c r="H8107" s="545">
        <v>4.333333333333333</v>
      </c>
      <c r="I8107" s="545">
        <v>1.3333333333333333</v>
      </c>
      <c r="J8107" s="545">
        <v>5.2023809523809534</v>
      </c>
    </row>
    <row r="8108" spans="1:10">
      <c r="A8108" s="441">
        <v>466</v>
      </c>
      <c r="B8108" s="441" t="s">
        <v>6535</v>
      </c>
      <c r="C8108" s="545">
        <v>31.833333333333336</v>
      </c>
      <c r="D8108" s="545">
        <v>24.666666666666668</v>
      </c>
      <c r="E8108" s="545">
        <v>23.333333333333332</v>
      </c>
      <c r="F8108" s="545">
        <v>29.595238095238098</v>
      </c>
      <c r="G8108" s="545">
        <v>18.2</v>
      </c>
      <c r="H8108" s="545">
        <v>18.666666666666668</v>
      </c>
      <c r="I8108" s="545">
        <v>17.666666666666668</v>
      </c>
      <c r="J8108" s="545">
        <v>18.190476190476193</v>
      </c>
    </row>
    <row r="8109" spans="1:10">
      <c r="A8109" s="441">
        <v>498</v>
      </c>
      <c r="B8109" s="441" t="s">
        <v>6535</v>
      </c>
      <c r="C8109" s="545">
        <v>94</v>
      </c>
      <c r="D8109" s="545">
        <v>60.333333333333329</v>
      </c>
      <c r="E8109" s="545">
        <v>68.666666666666671</v>
      </c>
      <c r="F8109" s="545">
        <v>85.571428571428569</v>
      </c>
      <c r="G8109" s="545">
        <v>50.35</v>
      </c>
      <c r="H8109" s="545">
        <v>39.666666666666664</v>
      </c>
      <c r="I8109" s="545">
        <v>34.333333333333336</v>
      </c>
      <c r="J8109" s="545">
        <v>46.535714285714285</v>
      </c>
    </row>
    <row r="8110" spans="1:10">
      <c r="A8110" s="441">
        <v>10427</v>
      </c>
      <c r="B8110" s="441" t="s">
        <v>6535</v>
      </c>
      <c r="C8110" s="545">
        <v>76.166666666666671</v>
      </c>
      <c r="D8110" s="545">
        <v>58.666666666666664</v>
      </c>
      <c r="E8110" s="545">
        <v>48.333333333333329</v>
      </c>
      <c r="F8110" s="545">
        <v>69.69047619047619</v>
      </c>
      <c r="G8110" s="545">
        <v>26.75</v>
      </c>
      <c r="H8110" s="545">
        <v>23</v>
      </c>
      <c r="I8110" s="545">
        <v>25.666666666666668</v>
      </c>
      <c r="J8110" s="545">
        <v>26.059523809523807</v>
      </c>
    </row>
    <row r="8111" spans="1:10">
      <c r="A8111" s="441">
        <v>478</v>
      </c>
      <c r="B8111" s="441" t="s">
        <v>6536</v>
      </c>
      <c r="C8111" s="545">
        <v>30.5</v>
      </c>
      <c r="D8111" s="545">
        <v>20.666666666666668</v>
      </c>
      <c r="E8111" s="545">
        <v>13.333333333333332</v>
      </c>
      <c r="F8111" s="545">
        <v>26.642857142857142</v>
      </c>
      <c r="G8111" s="545">
        <v>14.35</v>
      </c>
      <c r="H8111" s="545">
        <v>13.333333333333334</v>
      </c>
      <c r="I8111" s="545">
        <v>13.333333333333334</v>
      </c>
      <c r="J8111" s="545">
        <v>14.059523809523808</v>
      </c>
    </row>
    <row r="8112" spans="1:10">
      <c r="A8112" s="441">
        <v>484</v>
      </c>
      <c r="B8112" s="441" t="s">
        <v>6536</v>
      </c>
      <c r="C8112" s="545">
        <v>29.833333333333332</v>
      </c>
      <c r="D8112" s="545">
        <v>23</v>
      </c>
      <c r="E8112" s="545">
        <v>16.666666666666668</v>
      </c>
      <c r="F8112" s="545">
        <v>26.976190476190474</v>
      </c>
      <c r="G8112" s="545">
        <v>19.7</v>
      </c>
      <c r="H8112" s="545">
        <v>18.666666666666668</v>
      </c>
      <c r="I8112" s="545">
        <v>17.666666666666668</v>
      </c>
      <c r="J8112" s="545">
        <v>19.261904761904763</v>
      </c>
    </row>
    <row r="8113" spans="1:10">
      <c r="A8113" s="441">
        <v>472</v>
      </c>
      <c r="B8113" s="441" t="s">
        <v>6537</v>
      </c>
      <c r="C8113" s="545">
        <v>144.83333333333334</v>
      </c>
      <c r="D8113" s="545">
        <v>72.666666666666657</v>
      </c>
      <c r="E8113" s="545">
        <v>74</v>
      </c>
      <c r="F8113" s="545">
        <v>124.40476190476191</v>
      </c>
      <c r="G8113" s="545">
        <v>63.65</v>
      </c>
      <c r="H8113" s="545">
        <v>43.333333333333336</v>
      </c>
      <c r="I8113" s="545">
        <v>42.666666666666664</v>
      </c>
      <c r="J8113" s="545">
        <v>57.75</v>
      </c>
    </row>
    <row r="8114" spans="1:10">
      <c r="A8114" s="441">
        <v>490</v>
      </c>
      <c r="B8114" s="441" t="s">
        <v>6537</v>
      </c>
      <c r="C8114" s="545">
        <v>141.66666666666666</v>
      </c>
      <c r="D8114" s="545">
        <v>77.333333333333329</v>
      </c>
      <c r="E8114" s="545">
        <v>76.666666666666657</v>
      </c>
      <c r="F8114" s="545">
        <v>123.19047619047618</v>
      </c>
      <c r="G8114" s="545">
        <v>63.8</v>
      </c>
      <c r="H8114" s="545">
        <v>44</v>
      </c>
      <c r="I8114" s="545">
        <v>43.333333333333336</v>
      </c>
      <c r="J8114" s="545">
        <v>58.047619047619044</v>
      </c>
    </row>
    <row r="8115" spans="1:10">
      <c r="A8115" s="441">
        <v>476</v>
      </c>
      <c r="B8115" s="441" t="s">
        <v>6538</v>
      </c>
      <c r="C8115" s="545">
        <v>46.833333333333336</v>
      </c>
      <c r="D8115" s="545">
        <v>49.666666666666664</v>
      </c>
      <c r="E8115" s="545">
        <v>33</v>
      </c>
      <c r="F8115" s="545">
        <v>45.261904761904766</v>
      </c>
      <c r="G8115" s="545">
        <v>37.200000000000003</v>
      </c>
      <c r="H8115" s="545">
        <v>30.333333333333332</v>
      </c>
      <c r="I8115" s="545">
        <v>17.666666666666668</v>
      </c>
      <c r="J8115" s="545">
        <v>33.428571428571431</v>
      </c>
    </row>
    <row r="8116" spans="1:10">
      <c r="A8116" s="441">
        <v>486</v>
      </c>
      <c r="B8116" s="441" t="s">
        <v>6538</v>
      </c>
      <c r="C8116" s="545">
        <v>34.5</v>
      </c>
      <c r="D8116" s="545">
        <v>29.333333333333336</v>
      </c>
      <c r="E8116" s="545">
        <v>23.333333333333336</v>
      </c>
      <c r="F8116" s="545">
        <v>32.166666666666671</v>
      </c>
      <c r="G8116" s="545">
        <v>26.15</v>
      </c>
      <c r="H8116" s="545">
        <v>23.666666666666668</v>
      </c>
      <c r="I8116" s="545">
        <v>9.6666666666666661</v>
      </c>
      <c r="J8116" s="545">
        <v>23.440476190476186</v>
      </c>
    </row>
    <row r="8117" spans="1:10">
      <c r="A8117" s="441">
        <v>5619</v>
      </c>
      <c r="B8117" s="441" t="s">
        <v>6539</v>
      </c>
      <c r="C8117" s="545">
        <v>31.833333333333332</v>
      </c>
      <c r="D8117" s="545">
        <v>22.666666666666668</v>
      </c>
      <c r="E8117" s="545">
        <v>21.666666666666664</v>
      </c>
      <c r="F8117" s="545">
        <v>29.071428571428566</v>
      </c>
      <c r="G8117" s="545">
        <v>21.75</v>
      </c>
      <c r="H8117" s="545">
        <v>20</v>
      </c>
      <c r="I8117" s="545">
        <v>15</v>
      </c>
      <c r="J8117" s="545">
        <v>20.535714285714285</v>
      </c>
    </row>
    <row r="8118" spans="1:10">
      <c r="A8118" s="441">
        <v>10680</v>
      </c>
      <c r="B8118" s="441" t="s">
        <v>6539</v>
      </c>
      <c r="C8118" s="545">
        <v>18.333333333333332</v>
      </c>
      <c r="D8118" s="545">
        <v>12.333333333333334</v>
      </c>
      <c r="E8118" s="545">
        <v>16.333333333333336</v>
      </c>
      <c r="F8118" s="545">
        <v>17.190476190476186</v>
      </c>
      <c r="G8118" s="545">
        <v>19.75</v>
      </c>
      <c r="H8118" s="545">
        <v>49.666666666666664</v>
      </c>
      <c r="I8118" s="545">
        <v>11</v>
      </c>
      <c r="J8118" s="545">
        <v>22.773809523809522</v>
      </c>
    </row>
    <row r="8119" spans="1:10">
      <c r="A8119" s="441">
        <v>468</v>
      </c>
      <c r="B8119" s="441" t="s">
        <v>6540</v>
      </c>
      <c r="C8119" s="545">
        <v>20.166666666666664</v>
      </c>
      <c r="D8119" s="545">
        <v>8.3333333333333339</v>
      </c>
      <c r="E8119" s="545">
        <v>6</v>
      </c>
      <c r="F8119" s="545">
        <v>16.452380952380949</v>
      </c>
      <c r="G8119" s="545">
        <v>7.15</v>
      </c>
      <c r="H8119" s="545">
        <v>5</v>
      </c>
      <c r="I8119" s="545">
        <v>2.6666666666666665</v>
      </c>
      <c r="J8119" s="545">
        <v>6.2023809523809517</v>
      </c>
    </row>
    <row r="8120" spans="1:10">
      <c r="A8120" s="441">
        <v>495</v>
      </c>
      <c r="B8120" s="441" t="s">
        <v>6540</v>
      </c>
      <c r="C8120" s="545">
        <v>14</v>
      </c>
      <c r="D8120" s="545">
        <v>9.6666666666666661</v>
      </c>
      <c r="E8120" s="545">
        <v>2</v>
      </c>
      <c r="F8120" s="545">
        <v>11.666666666666668</v>
      </c>
      <c r="G8120" s="545">
        <v>5.0999999999999996</v>
      </c>
      <c r="H8120" s="545">
        <v>2</v>
      </c>
      <c r="I8120" s="545">
        <v>0.33333333333333331</v>
      </c>
      <c r="J8120" s="545">
        <v>3.9761904761904758</v>
      </c>
    </row>
    <row r="8121" spans="1:10">
      <c r="A8121" s="441">
        <v>471</v>
      </c>
      <c r="B8121" s="441" t="s">
        <v>6541</v>
      </c>
      <c r="C8121" s="545">
        <v>28.833333333333332</v>
      </c>
      <c r="D8121" s="545">
        <v>4.333333333333333</v>
      </c>
      <c r="E8121" s="545">
        <v>5</v>
      </c>
      <c r="F8121" s="545">
        <v>21.928571428571427</v>
      </c>
      <c r="G8121" s="545">
        <v>7.05</v>
      </c>
      <c r="H8121" s="545">
        <v>3.6666666666666665</v>
      </c>
      <c r="I8121" s="545">
        <v>2.6666666666666665</v>
      </c>
      <c r="J8121" s="545">
        <v>5.9404761904761898</v>
      </c>
    </row>
    <row r="8122" spans="1:10">
      <c r="A8122" s="441">
        <v>491</v>
      </c>
      <c r="B8122" s="441" t="s">
        <v>6541</v>
      </c>
      <c r="C8122" s="545">
        <v>26</v>
      </c>
      <c r="D8122" s="545">
        <v>9.3333333333333339</v>
      </c>
      <c r="E8122" s="545">
        <v>9.6666666666666661</v>
      </c>
      <c r="F8122" s="545">
        <v>21.285714285714285</v>
      </c>
      <c r="G8122" s="545">
        <v>5.55</v>
      </c>
      <c r="H8122" s="545">
        <v>2.3333333333333335</v>
      </c>
      <c r="I8122" s="545">
        <v>3.3333333333333335</v>
      </c>
      <c r="J8122" s="545">
        <v>4.7738095238095237</v>
      </c>
    </row>
    <row r="8123" spans="1:10">
      <c r="A8123" s="441">
        <v>493</v>
      </c>
      <c r="B8123" s="441" t="s">
        <v>6542</v>
      </c>
      <c r="C8123" s="545">
        <v>64.166666666666671</v>
      </c>
      <c r="D8123" s="545">
        <v>43.666666666666671</v>
      </c>
      <c r="E8123" s="545">
        <v>39</v>
      </c>
      <c r="F8123" s="545">
        <v>57.642857142857153</v>
      </c>
      <c r="G8123" s="545">
        <v>42.15</v>
      </c>
      <c r="H8123" s="545">
        <v>40.333333333333336</v>
      </c>
      <c r="I8123" s="545">
        <v>41</v>
      </c>
      <c r="J8123" s="545">
        <v>41.726190476190482</v>
      </c>
    </row>
    <row r="8124" spans="1:10">
      <c r="A8124" s="441">
        <v>12982</v>
      </c>
      <c r="B8124" s="441" t="s">
        <v>6542</v>
      </c>
      <c r="C8124" s="545">
        <v>56.166666666666664</v>
      </c>
      <c r="D8124" s="545">
        <v>42</v>
      </c>
      <c r="E8124" s="545">
        <v>30.333333333333332</v>
      </c>
      <c r="F8124" s="545">
        <v>50.452380952380949</v>
      </c>
      <c r="G8124" s="545">
        <v>36.049999999999997</v>
      </c>
      <c r="H8124" s="545">
        <v>34</v>
      </c>
      <c r="I8124" s="545">
        <v>37</v>
      </c>
      <c r="J8124" s="545">
        <v>35.892857142857146</v>
      </c>
    </row>
    <row r="8125" spans="1:10">
      <c r="A8125" s="441">
        <v>12975</v>
      </c>
      <c r="B8125" s="441" t="s">
        <v>6543</v>
      </c>
      <c r="C8125" s="545">
        <v>0.66666666666666663</v>
      </c>
      <c r="D8125" s="545">
        <v>0</v>
      </c>
      <c r="E8125" s="545">
        <v>0</v>
      </c>
      <c r="F8125" s="545">
        <v>0.47619047619047616</v>
      </c>
      <c r="G8125" s="545">
        <v>1.1000000000000001</v>
      </c>
      <c r="H8125" s="545">
        <v>1.6666666666666667</v>
      </c>
      <c r="I8125" s="545">
        <v>0</v>
      </c>
      <c r="J8125" s="545">
        <v>1.0238095238095239</v>
      </c>
    </row>
    <row r="8126" spans="1:10">
      <c r="A8126" s="441">
        <v>12976</v>
      </c>
      <c r="B8126" s="441" t="s">
        <v>6543</v>
      </c>
      <c r="C8126" s="545">
        <v>1.6666666666666667</v>
      </c>
      <c r="D8126" s="545">
        <v>0.33333333333333331</v>
      </c>
      <c r="E8126" s="545">
        <v>0</v>
      </c>
      <c r="F8126" s="545">
        <v>1.2380952380952384</v>
      </c>
      <c r="G8126" s="545">
        <v>2.0499999999999998</v>
      </c>
      <c r="H8126" s="545">
        <v>0.66666666666666663</v>
      </c>
      <c r="I8126" s="545">
        <v>1</v>
      </c>
      <c r="J8126" s="545">
        <v>1.7023809523809523</v>
      </c>
    </row>
    <row r="8127" spans="1:10">
      <c r="A8127" s="441">
        <v>5495</v>
      </c>
      <c r="B8127" s="441" t="s">
        <v>6544</v>
      </c>
      <c r="C8127" s="545">
        <v>4.3333333333333339</v>
      </c>
      <c r="D8127" s="545">
        <v>0.33333333333333331</v>
      </c>
      <c r="E8127" s="545">
        <v>0.33333333333333331</v>
      </c>
      <c r="F8127" s="545">
        <v>3.1904761904761907</v>
      </c>
      <c r="G8127" s="545">
        <v>0.45</v>
      </c>
      <c r="H8127" s="545">
        <v>0.66666666666666663</v>
      </c>
      <c r="I8127" s="545">
        <v>0.33333333333333331</v>
      </c>
      <c r="J8127" s="545">
        <v>0.4642857142857143</v>
      </c>
    </row>
    <row r="8128" spans="1:10">
      <c r="A8128" s="441">
        <v>5506</v>
      </c>
      <c r="B8128" s="441" t="s">
        <v>6544</v>
      </c>
      <c r="C8128" s="545">
        <v>2</v>
      </c>
      <c r="D8128" s="545">
        <v>0</v>
      </c>
      <c r="E8128" s="545">
        <v>0.33333333333333331</v>
      </c>
      <c r="F8128" s="545">
        <v>1.4761904761904763</v>
      </c>
      <c r="G8128" s="545">
        <v>0.1</v>
      </c>
      <c r="H8128" s="545">
        <v>6</v>
      </c>
      <c r="I8128" s="545">
        <v>0.33333333333333331</v>
      </c>
      <c r="J8128" s="545">
        <v>0.97619047619047616</v>
      </c>
    </row>
    <row r="8129" spans="1:10">
      <c r="A8129" s="441">
        <v>5494</v>
      </c>
      <c r="B8129" s="441" t="s">
        <v>6545</v>
      </c>
      <c r="C8129" s="545">
        <v>0.83333333333333326</v>
      </c>
      <c r="D8129" s="545">
        <v>0</v>
      </c>
      <c r="E8129" s="545">
        <v>0</v>
      </c>
      <c r="F8129" s="545">
        <v>0.59523809523809512</v>
      </c>
      <c r="G8129" s="545">
        <v>0.45</v>
      </c>
      <c r="H8129" s="545">
        <v>0</v>
      </c>
      <c r="I8129" s="545">
        <v>0.33333333333333331</v>
      </c>
      <c r="J8129" s="545">
        <v>0.36904761904761907</v>
      </c>
    </row>
    <row r="8130" spans="1:10">
      <c r="A8130" s="441">
        <v>5507</v>
      </c>
      <c r="B8130" s="441" t="s">
        <v>6545</v>
      </c>
      <c r="C8130" s="545">
        <v>1.5</v>
      </c>
      <c r="D8130" s="545">
        <v>0</v>
      </c>
      <c r="E8130" s="545">
        <v>0</v>
      </c>
      <c r="F8130" s="545">
        <v>1.0714285714285714</v>
      </c>
      <c r="G8130" s="545">
        <v>0.1</v>
      </c>
      <c r="H8130" s="545">
        <v>0</v>
      </c>
      <c r="I8130" s="545">
        <v>0</v>
      </c>
      <c r="J8130" s="545">
        <v>7.1428571428571425E-2</v>
      </c>
    </row>
    <row r="8131" spans="1:10">
      <c r="A8131" s="441">
        <v>5509</v>
      </c>
      <c r="B8131" s="441" t="s">
        <v>6546</v>
      </c>
      <c r="C8131" s="545">
        <v>2.6666666666666665</v>
      </c>
      <c r="D8131" s="545">
        <v>0.33333333333333331</v>
      </c>
      <c r="E8131" s="545">
        <v>1.6666666666666667</v>
      </c>
      <c r="F8131" s="545">
        <v>2.1904761904761902</v>
      </c>
      <c r="G8131" s="545">
        <v>0.2</v>
      </c>
      <c r="H8131" s="545">
        <v>0.33333333333333331</v>
      </c>
      <c r="I8131" s="545">
        <v>0</v>
      </c>
      <c r="J8131" s="545">
        <v>0.19047619047619047</v>
      </c>
    </row>
    <row r="8132" spans="1:10">
      <c r="A8132" s="441">
        <v>5493</v>
      </c>
      <c r="B8132" s="441" t="s">
        <v>6547</v>
      </c>
      <c r="C8132" s="545">
        <v>3.3333333333333335</v>
      </c>
      <c r="D8132" s="545">
        <v>0.66666666666666663</v>
      </c>
      <c r="E8132" s="545">
        <v>0</v>
      </c>
      <c r="F8132" s="545">
        <v>2.4761904761904767</v>
      </c>
      <c r="G8132" s="545">
        <v>1</v>
      </c>
      <c r="H8132" s="545">
        <v>0</v>
      </c>
      <c r="I8132" s="545">
        <v>0</v>
      </c>
      <c r="J8132" s="545">
        <v>0.7142857142857143</v>
      </c>
    </row>
    <row r="8133" spans="1:10">
      <c r="A8133" s="441">
        <v>5508</v>
      </c>
      <c r="B8133" s="441" t="s">
        <v>6547</v>
      </c>
      <c r="C8133" s="545">
        <v>2.6666666666666665</v>
      </c>
      <c r="D8133" s="545">
        <v>1</v>
      </c>
      <c r="E8133" s="545">
        <v>2</v>
      </c>
      <c r="F8133" s="545">
        <v>2.333333333333333</v>
      </c>
      <c r="G8133" s="545">
        <v>0.8</v>
      </c>
      <c r="H8133" s="545">
        <v>1.3333333333333333</v>
      </c>
      <c r="I8133" s="545">
        <v>0</v>
      </c>
      <c r="J8133" s="545">
        <v>0.76190476190476186</v>
      </c>
    </row>
    <row r="8134" spans="1:10">
      <c r="A8134" s="441">
        <v>12396</v>
      </c>
      <c r="B8134" s="441" t="s">
        <v>6548</v>
      </c>
      <c r="C8134" s="545">
        <v>3.5</v>
      </c>
      <c r="D8134" s="545">
        <v>0.33333333333333331</v>
      </c>
      <c r="E8134" s="545">
        <v>0.33333333333333331</v>
      </c>
      <c r="F8134" s="545">
        <v>2.5952380952380949</v>
      </c>
      <c r="G8134" s="545">
        <v>1.05</v>
      </c>
      <c r="H8134" s="545">
        <v>0</v>
      </c>
      <c r="I8134" s="545">
        <v>0</v>
      </c>
      <c r="J8134" s="545">
        <v>0.75</v>
      </c>
    </row>
    <row r="8135" spans="1:10">
      <c r="A8135" s="441">
        <v>505</v>
      </c>
      <c r="B8135" s="441" t="s">
        <v>6549</v>
      </c>
      <c r="C8135" s="545">
        <v>23.166666666666664</v>
      </c>
      <c r="D8135" s="545">
        <v>4.6666666666666661</v>
      </c>
      <c r="E8135" s="545">
        <v>3.3333333333333335</v>
      </c>
      <c r="F8135" s="545">
        <v>17.690476190476186</v>
      </c>
      <c r="G8135" s="545">
        <v>8.8000000000000007</v>
      </c>
      <c r="H8135" s="545">
        <v>7.333333333333333</v>
      </c>
      <c r="I8135" s="545">
        <v>4.333333333333333</v>
      </c>
      <c r="J8135" s="545">
        <v>7.9523809523809534</v>
      </c>
    </row>
    <row r="8136" spans="1:10">
      <c r="A8136" s="441">
        <v>3348</v>
      </c>
      <c r="B8136" s="441" t="s">
        <v>6549</v>
      </c>
      <c r="C8136" s="545">
        <v>19.5</v>
      </c>
      <c r="D8136" s="545">
        <v>2.333333333333333</v>
      </c>
      <c r="E8136" s="545">
        <v>2</v>
      </c>
      <c r="F8136" s="545">
        <v>14.547619047619047</v>
      </c>
      <c r="G8136" s="545">
        <v>9.4</v>
      </c>
      <c r="H8136" s="545">
        <v>4.333333333333333</v>
      </c>
      <c r="I8136" s="545">
        <v>4</v>
      </c>
      <c r="J8136" s="545">
        <v>7.9047619047619051</v>
      </c>
    </row>
    <row r="8137" spans="1:10">
      <c r="A8137" s="441">
        <v>506</v>
      </c>
      <c r="B8137" s="441" t="s">
        <v>6550</v>
      </c>
      <c r="C8137" s="545">
        <v>8.1666666666666661</v>
      </c>
      <c r="D8137" s="545">
        <v>1</v>
      </c>
      <c r="E8137" s="545">
        <v>1.6666666666666665</v>
      </c>
      <c r="F8137" s="545">
        <v>6.2142857142857135</v>
      </c>
      <c r="G8137" s="545">
        <v>3.6</v>
      </c>
      <c r="H8137" s="545">
        <v>4</v>
      </c>
      <c r="I8137" s="545">
        <v>2.3333333333333335</v>
      </c>
      <c r="J8137" s="545">
        <v>3.4761904761904758</v>
      </c>
    </row>
    <row r="8138" spans="1:10">
      <c r="A8138" s="441">
        <v>3347</v>
      </c>
      <c r="B8138" s="441" t="s">
        <v>6550</v>
      </c>
      <c r="C8138" s="545">
        <v>11.166666666666668</v>
      </c>
      <c r="D8138" s="545">
        <v>4.666666666666667</v>
      </c>
      <c r="E8138" s="545">
        <v>6</v>
      </c>
      <c r="F8138" s="545">
        <v>9.5</v>
      </c>
      <c r="G8138" s="545">
        <v>9.0500000000000007</v>
      </c>
      <c r="H8138" s="545">
        <v>6</v>
      </c>
      <c r="I8138" s="545">
        <v>5.333333333333333</v>
      </c>
      <c r="J8138" s="545">
        <v>8.0833333333333339</v>
      </c>
    </row>
    <row r="8139" spans="1:10">
      <c r="A8139" s="441">
        <v>9815</v>
      </c>
      <c r="B8139" s="441" t="s">
        <v>6551</v>
      </c>
      <c r="C8139" s="545">
        <v>13.666666666666668</v>
      </c>
      <c r="D8139" s="545">
        <v>9.3333333333333321</v>
      </c>
      <c r="E8139" s="545">
        <v>4.666666666666667</v>
      </c>
      <c r="F8139" s="545">
        <v>11.761904761904763</v>
      </c>
      <c r="G8139" s="545">
        <v>4.0999999999999996</v>
      </c>
      <c r="H8139" s="545">
        <v>4.333333333333333</v>
      </c>
      <c r="I8139" s="545">
        <v>3.6666666666666665</v>
      </c>
      <c r="J8139" s="545">
        <v>4.0714285714285712</v>
      </c>
    </row>
    <row r="8140" spans="1:10">
      <c r="A8140" s="441">
        <v>9814</v>
      </c>
      <c r="B8140" s="441" t="s">
        <v>6552</v>
      </c>
      <c r="C8140" s="545">
        <v>3.166666666666667</v>
      </c>
      <c r="D8140" s="545">
        <v>3.3333333333333335</v>
      </c>
      <c r="E8140" s="545">
        <v>0.66666666666666663</v>
      </c>
      <c r="F8140" s="545">
        <v>2.8333333333333335</v>
      </c>
      <c r="G8140" s="545">
        <v>3.2</v>
      </c>
      <c r="H8140" s="545">
        <v>1.6666666666666667</v>
      </c>
      <c r="I8140" s="545">
        <v>0.33333333333333331</v>
      </c>
      <c r="J8140" s="545">
        <v>2.5714285714285716</v>
      </c>
    </row>
    <row r="8141" spans="1:10">
      <c r="A8141" s="441">
        <v>9812</v>
      </c>
      <c r="B8141" s="441" t="s">
        <v>6553</v>
      </c>
      <c r="C8141" s="545">
        <v>15</v>
      </c>
      <c r="D8141" s="545">
        <v>3.666666666666667</v>
      </c>
      <c r="E8141" s="545">
        <v>1.3333333333333333</v>
      </c>
      <c r="F8141" s="545">
        <v>11.428571428571429</v>
      </c>
      <c r="G8141" s="545">
        <v>6.2</v>
      </c>
      <c r="H8141" s="545">
        <v>3</v>
      </c>
      <c r="I8141" s="545">
        <v>1.6666666666666667</v>
      </c>
      <c r="J8141" s="545">
        <v>5.0952380952380949</v>
      </c>
    </row>
    <row r="8142" spans="1:10">
      <c r="A8142" s="441">
        <v>9811</v>
      </c>
      <c r="B8142" s="441" t="s">
        <v>6554</v>
      </c>
      <c r="C8142" s="545">
        <v>9.1666666666666679</v>
      </c>
      <c r="D8142" s="545">
        <v>9</v>
      </c>
      <c r="E8142" s="545">
        <v>9</v>
      </c>
      <c r="F8142" s="545">
        <v>9.1190476190476204</v>
      </c>
      <c r="G8142" s="545">
        <v>13.5</v>
      </c>
      <c r="H8142" s="545">
        <v>11.666666666666666</v>
      </c>
      <c r="I8142" s="545">
        <v>11.666666666666666</v>
      </c>
      <c r="J8142" s="545">
        <v>12.976190476190478</v>
      </c>
    </row>
    <row r="8143" spans="1:10">
      <c r="A8143" s="441">
        <v>11311</v>
      </c>
      <c r="B8143" s="441" t="s">
        <v>6555</v>
      </c>
      <c r="C8143" s="545">
        <v>8.6666666666666679</v>
      </c>
      <c r="D8143" s="545">
        <v>5</v>
      </c>
      <c r="E8143" s="545">
        <v>2.3333333333333335</v>
      </c>
      <c r="F8143" s="545">
        <v>7.2380952380952399</v>
      </c>
      <c r="G8143" s="545">
        <v>6.1</v>
      </c>
      <c r="H8143" s="545">
        <v>5</v>
      </c>
      <c r="I8143" s="545">
        <v>3.6666666666666665</v>
      </c>
      <c r="J8143" s="545">
        <v>5.5952380952380949</v>
      </c>
    </row>
    <row r="8144" spans="1:10">
      <c r="A8144" s="441">
        <v>1486</v>
      </c>
      <c r="B8144" s="441" t="s">
        <v>6556</v>
      </c>
      <c r="C8144" s="545">
        <v>4.833333333333333</v>
      </c>
      <c r="D8144" s="545">
        <v>9.6666666666666661</v>
      </c>
      <c r="E8144" s="545">
        <v>2</v>
      </c>
      <c r="F8144" s="545">
        <v>5.1190476190476186</v>
      </c>
      <c r="G8144" s="545">
        <v>4.45</v>
      </c>
      <c r="H8144" s="545">
        <v>3.6666666666666665</v>
      </c>
      <c r="I8144" s="545">
        <v>2.3333333333333335</v>
      </c>
      <c r="J8144" s="545">
        <v>4.0357142857142856</v>
      </c>
    </row>
    <row r="8145" spans="1:10">
      <c r="A8145" s="441">
        <v>1485</v>
      </c>
      <c r="B8145" s="441" t="s">
        <v>6557</v>
      </c>
      <c r="C8145" s="545">
        <v>4.8333333333333339</v>
      </c>
      <c r="D8145" s="545">
        <v>4.333333333333333</v>
      </c>
      <c r="E8145" s="545">
        <v>1.6666666666666665</v>
      </c>
      <c r="F8145" s="545">
        <v>4.3095238095238102</v>
      </c>
      <c r="G8145" s="545">
        <v>4.1500000000000004</v>
      </c>
      <c r="H8145" s="545">
        <v>1.6666666666666667</v>
      </c>
      <c r="I8145" s="545">
        <v>0.33333333333333331</v>
      </c>
      <c r="J8145" s="545">
        <v>3.25</v>
      </c>
    </row>
    <row r="8146" spans="1:10">
      <c r="A8146" s="441">
        <v>1484</v>
      </c>
      <c r="B8146" s="441" t="s">
        <v>6558</v>
      </c>
      <c r="C8146" s="545">
        <v>9.5</v>
      </c>
      <c r="D8146" s="545">
        <v>6</v>
      </c>
      <c r="E8146" s="545">
        <v>3.3333333333333335</v>
      </c>
      <c r="F8146" s="545">
        <v>8.1190476190476186</v>
      </c>
      <c r="G8146" s="545">
        <v>6.5</v>
      </c>
      <c r="H8146" s="545">
        <v>2.6666666666666665</v>
      </c>
      <c r="I8146" s="545">
        <v>1</v>
      </c>
      <c r="J8146" s="545">
        <v>5.1666666666666661</v>
      </c>
    </row>
    <row r="8147" spans="1:10">
      <c r="A8147" s="441">
        <v>9813</v>
      </c>
      <c r="B8147" s="441" t="s">
        <v>6559</v>
      </c>
      <c r="C8147" s="545">
        <v>23.833333333333336</v>
      </c>
      <c r="D8147" s="545">
        <v>18.666666666666664</v>
      </c>
      <c r="E8147" s="545">
        <v>9.6666666666666679</v>
      </c>
      <c r="F8147" s="545">
        <v>21.071428571428573</v>
      </c>
      <c r="G8147" s="545">
        <v>17.350000000000001</v>
      </c>
      <c r="H8147" s="545">
        <v>12</v>
      </c>
      <c r="I8147" s="545">
        <v>8.6666666666666661</v>
      </c>
      <c r="J8147" s="545">
        <v>15.345238095238097</v>
      </c>
    </row>
    <row r="8148" spans="1:10">
      <c r="A8148" s="441">
        <v>819</v>
      </c>
      <c r="B8148" s="441" t="s">
        <v>6560</v>
      </c>
      <c r="C8148" s="545">
        <v>63</v>
      </c>
      <c r="D8148" s="545">
        <v>56.333333333333329</v>
      </c>
      <c r="E8148" s="545">
        <v>40</v>
      </c>
      <c r="F8148" s="545">
        <v>58.761904761904759</v>
      </c>
      <c r="G8148" s="545">
        <v>49.75</v>
      </c>
      <c r="H8148" s="545">
        <v>54.333333333333336</v>
      </c>
      <c r="I8148" s="545">
        <v>32.333333333333336</v>
      </c>
      <c r="J8148" s="545">
        <v>47.916666666666664</v>
      </c>
    </row>
    <row r="8149" spans="1:10">
      <c r="A8149" s="441">
        <v>9819</v>
      </c>
      <c r="B8149" s="441" t="s">
        <v>6560</v>
      </c>
      <c r="C8149" s="545">
        <v>31.833333333333336</v>
      </c>
      <c r="D8149" s="545">
        <v>8</v>
      </c>
      <c r="E8149" s="545">
        <v>11</v>
      </c>
      <c r="F8149" s="545">
        <v>25.452380952380956</v>
      </c>
      <c r="G8149" s="545">
        <v>9.8000000000000007</v>
      </c>
      <c r="H8149" s="545">
        <v>3.6666666666666665</v>
      </c>
      <c r="I8149" s="545">
        <v>3.3333333333333335</v>
      </c>
      <c r="J8149" s="545">
        <v>8</v>
      </c>
    </row>
    <row r="8150" spans="1:10">
      <c r="A8150" s="441">
        <v>818</v>
      </c>
      <c r="B8150" s="441" t="s">
        <v>6561</v>
      </c>
      <c r="C8150" s="545">
        <v>16</v>
      </c>
      <c r="D8150" s="545">
        <v>15</v>
      </c>
      <c r="E8150" s="545">
        <v>9.3333333333333339</v>
      </c>
      <c r="F8150" s="545">
        <v>14.904761904761903</v>
      </c>
      <c r="G8150" s="545">
        <v>11.9</v>
      </c>
      <c r="H8150" s="545">
        <v>3.3333333333333335</v>
      </c>
      <c r="I8150" s="545">
        <v>5.333333333333333</v>
      </c>
      <c r="J8150" s="545">
        <v>9.738095238095239</v>
      </c>
    </row>
    <row r="8151" spans="1:10">
      <c r="A8151" s="441">
        <v>1487</v>
      </c>
      <c r="B8151" s="441" t="s">
        <v>6562</v>
      </c>
      <c r="C8151" s="545">
        <v>12.166666666666668</v>
      </c>
      <c r="D8151" s="545">
        <v>11.333333333333334</v>
      </c>
      <c r="E8151" s="545">
        <v>5.3333333333333339</v>
      </c>
      <c r="F8151" s="545">
        <v>11.071428571428571</v>
      </c>
      <c r="G8151" s="545">
        <v>10.9</v>
      </c>
      <c r="H8151" s="545">
        <v>6.666666666666667</v>
      </c>
      <c r="I8151" s="545">
        <v>2</v>
      </c>
      <c r="J8151" s="545">
        <v>9.0238095238095237</v>
      </c>
    </row>
    <row r="8152" spans="1:10">
      <c r="A8152" s="441">
        <v>9817</v>
      </c>
      <c r="B8152" s="441" t="s">
        <v>6563</v>
      </c>
      <c r="C8152" s="545">
        <v>1.8333333333333333</v>
      </c>
      <c r="D8152" s="545">
        <v>2.666666666666667</v>
      </c>
      <c r="E8152" s="545">
        <v>4</v>
      </c>
      <c r="F8152" s="545">
        <v>2.2619047619047619</v>
      </c>
      <c r="G8152" s="545">
        <v>12.1</v>
      </c>
      <c r="H8152" s="545">
        <v>10.333333333333334</v>
      </c>
      <c r="I8152" s="545">
        <v>10.666666666666666</v>
      </c>
      <c r="J8152" s="545">
        <v>11.642857142857142</v>
      </c>
    </row>
    <row r="8153" spans="1:10">
      <c r="A8153" s="441">
        <v>2618</v>
      </c>
      <c r="B8153" s="441" t="s">
        <v>6564</v>
      </c>
      <c r="C8153" s="545">
        <v>7.333333333333333</v>
      </c>
      <c r="D8153" s="545">
        <v>8</v>
      </c>
      <c r="E8153" s="545">
        <v>6</v>
      </c>
      <c r="F8153" s="545">
        <v>7.2380952380952381</v>
      </c>
      <c r="G8153" s="545">
        <v>9.4</v>
      </c>
      <c r="H8153" s="545">
        <v>4.333333333333333</v>
      </c>
      <c r="I8153" s="545">
        <v>4.333333333333333</v>
      </c>
      <c r="J8153" s="545">
        <v>7.9523809523809534</v>
      </c>
    </row>
    <row r="8154" spans="1:10">
      <c r="A8154" s="441">
        <v>2619</v>
      </c>
      <c r="B8154" s="441" t="s">
        <v>6564</v>
      </c>
      <c r="C8154" s="545">
        <v>6.6666666666666661</v>
      </c>
      <c r="D8154" s="545">
        <v>5</v>
      </c>
      <c r="E8154" s="545">
        <v>7.666666666666667</v>
      </c>
      <c r="F8154" s="545">
        <v>6.5714285714285703</v>
      </c>
      <c r="G8154" s="545">
        <v>9.15</v>
      </c>
      <c r="H8154" s="545">
        <v>3.6666666666666665</v>
      </c>
      <c r="I8154" s="545">
        <v>4.333333333333333</v>
      </c>
      <c r="J8154" s="545">
        <v>7.6785714285714288</v>
      </c>
    </row>
    <row r="8155" spans="1:10">
      <c r="A8155" s="441">
        <v>2595</v>
      </c>
      <c r="B8155" s="441" t="s">
        <v>6565</v>
      </c>
      <c r="C8155" s="545">
        <v>5</v>
      </c>
      <c r="D8155" s="545">
        <v>8.6666666666666679</v>
      </c>
      <c r="E8155" s="545">
        <v>5.6666666666666661</v>
      </c>
      <c r="F8155" s="545">
        <v>5.6190476190476195</v>
      </c>
      <c r="G8155" s="545">
        <v>6.9</v>
      </c>
      <c r="H8155" s="545">
        <v>5</v>
      </c>
      <c r="I8155" s="545">
        <v>5.333333333333333</v>
      </c>
      <c r="J8155" s="545">
        <v>6.4047619047619051</v>
      </c>
    </row>
    <row r="8156" spans="1:10">
      <c r="A8156" s="441">
        <v>2617</v>
      </c>
      <c r="B8156" s="441" t="s">
        <v>6565</v>
      </c>
      <c r="C8156" s="545">
        <v>8.8333333333333339</v>
      </c>
      <c r="D8156" s="545">
        <v>8.3333333333333339</v>
      </c>
      <c r="E8156" s="545">
        <v>4</v>
      </c>
      <c r="F8156" s="545">
        <v>8.071428571428573</v>
      </c>
      <c r="G8156" s="545">
        <v>7.5</v>
      </c>
      <c r="H8156" s="545">
        <v>3.3333333333333335</v>
      </c>
      <c r="I8156" s="545">
        <v>5.666666666666667</v>
      </c>
      <c r="J8156" s="545">
        <v>6.6428571428571432</v>
      </c>
    </row>
    <row r="8157" spans="1:10">
      <c r="A8157" s="441">
        <v>2589</v>
      </c>
      <c r="B8157" s="441" t="s">
        <v>6566</v>
      </c>
      <c r="C8157" s="545">
        <v>8.6666666666666661</v>
      </c>
      <c r="D8157" s="545">
        <v>8.3333333333333321</v>
      </c>
      <c r="E8157" s="545">
        <v>2</v>
      </c>
      <c r="F8157" s="545">
        <v>7.6666666666666652</v>
      </c>
      <c r="G8157" s="545">
        <v>2.4500000000000002</v>
      </c>
      <c r="H8157" s="545">
        <v>2.3333333333333335</v>
      </c>
      <c r="I8157" s="545">
        <v>1.3333333333333333</v>
      </c>
      <c r="J8157" s="545">
        <v>2.2738095238095242</v>
      </c>
    </row>
    <row r="8158" spans="1:10">
      <c r="A8158" s="441">
        <v>2625</v>
      </c>
      <c r="B8158" s="441" t="s">
        <v>6566</v>
      </c>
      <c r="C8158" s="545">
        <v>8.1666666666666661</v>
      </c>
      <c r="D8158" s="545">
        <v>4.333333333333333</v>
      </c>
      <c r="E8158" s="545">
        <v>2.3333333333333335</v>
      </c>
      <c r="F8158" s="545">
        <v>6.7857142857142856</v>
      </c>
      <c r="G8158" s="545">
        <v>4.5999999999999996</v>
      </c>
      <c r="H8158" s="545">
        <v>1</v>
      </c>
      <c r="I8158" s="545">
        <v>1.3333333333333333</v>
      </c>
      <c r="J8158" s="545">
        <v>3.6190476190476191</v>
      </c>
    </row>
    <row r="8159" spans="1:10">
      <c r="A8159" s="441">
        <v>2597</v>
      </c>
      <c r="B8159" s="441" t="s">
        <v>6567</v>
      </c>
      <c r="C8159" s="545">
        <v>7.833333333333333</v>
      </c>
      <c r="D8159" s="545">
        <v>8.6666666666666679</v>
      </c>
      <c r="E8159" s="545">
        <v>4</v>
      </c>
      <c r="F8159" s="545">
        <v>7.4047619047619042</v>
      </c>
      <c r="G8159" s="545">
        <v>9.4499999999999993</v>
      </c>
      <c r="H8159" s="545">
        <v>7.333333333333333</v>
      </c>
      <c r="I8159" s="545">
        <v>5.333333333333333</v>
      </c>
      <c r="J8159" s="545">
        <v>8.5595238095238102</v>
      </c>
    </row>
    <row r="8160" spans="1:10">
      <c r="A8160" s="441">
        <v>2615</v>
      </c>
      <c r="B8160" s="441" t="s">
        <v>6567</v>
      </c>
      <c r="C8160" s="545">
        <v>10.666666666666666</v>
      </c>
      <c r="D8160" s="545">
        <v>8.3333333333333321</v>
      </c>
      <c r="E8160" s="545">
        <v>4.666666666666667</v>
      </c>
      <c r="F8160" s="545">
        <v>9.4761904761904763</v>
      </c>
      <c r="G8160" s="545">
        <v>11.4</v>
      </c>
      <c r="H8160" s="545">
        <v>10</v>
      </c>
      <c r="I8160" s="545">
        <v>7.666666666666667</v>
      </c>
      <c r="J8160" s="545">
        <v>10.666666666666668</v>
      </c>
    </row>
    <row r="8161" spans="1:10">
      <c r="A8161" s="441">
        <v>2588</v>
      </c>
      <c r="B8161" s="441" t="s">
        <v>6568</v>
      </c>
      <c r="C8161" s="545">
        <v>24.833333333333336</v>
      </c>
      <c r="D8161" s="545">
        <v>8</v>
      </c>
      <c r="E8161" s="545">
        <v>9</v>
      </c>
      <c r="F8161" s="545">
        <v>20.166666666666668</v>
      </c>
      <c r="G8161" s="545">
        <v>16.45</v>
      </c>
      <c r="H8161" s="545">
        <v>8</v>
      </c>
      <c r="I8161" s="545">
        <v>10</v>
      </c>
      <c r="J8161" s="545">
        <v>14.321428571428571</v>
      </c>
    </row>
    <row r="8162" spans="1:10">
      <c r="A8162" s="441">
        <v>2626</v>
      </c>
      <c r="B8162" s="441" t="s">
        <v>6568</v>
      </c>
      <c r="C8162" s="545">
        <v>20.833333333333332</v>
      </c>
      <c r="D8162" s="545">
        <v>13.666666666666668</v>
      </c>
      <c r="E8162" s="545">
        <v>10.333333333333332</v>
      </c>
      <c r="F8162" s="545">
        <v>18.309523809523807</v>
      </c>
      <c r="G8162" s="545">
        <v>16.55</v>
      </c>
      <c r="H8162" s="545">
        <v>9.6666666666666661</v>
      </c>
      <c r="I8162" s="545">
        <v>12</v>
      </c>
      <c r="J8162" s="545">
        <v>14.916666666666668</v>
      </c>
    </row>
    <row r="8163" spans="1:10">
      <c r="A8163" s="441">
        <v>2594</v>
      </c>
      <c r="B8163" s="441" t="s">
        <v>6569</v>
      </c>
      <c r="C8163" s="545">
        <v>2.3333333333333335</v>
      </c>
      <c r="D8163" s="545">
        <v>5.333333333333333</v>
      </c>
      <c r="E8163" s="545">
        <v>1.3333333333333333</v>
      </c>
      <c r="F8163" s="545">
        <v>2.6190476190476191</v>
      </c>
      <c r="G8163" s="545">
        <v>3.4</v>
      </c>
      <c r="H8163" s="545">
        <v>5</v>
      </c>
      <c r="I8163" s="545">
        <v>1.6666666666666667</v>
      </c>
      <c r="J8163" s="545">
        <v>3.3809523809523809</v>
      </c>
    </row>
    <row r="8164" spans="1:10">
      <c r="A8164" s="441">
        <v>2620</v>
      </c>
      <c r="B8164" s="441" t="s">
        <v>6569</v>
      </c>
      <c r="C8164" s="545">
        <v>1.5</v>
      </c>
      <c r="D8164" s="545">
        <v>2</v>
      </c>
      <c r="E8164" s="545">
        <v>1</v>
      </c>
      <c r="F8164" s="545">
        <v>1.5</v>
      </c>
      <c r="G8164" s="545">
        <v>3</v>
      </c>
      <c r="H8164" s="545">
        <v>4.666666666666667</v>
      </c>
      <c r="I8164" s="545">
        <v>4</v>
      </c>
      <c r="J8164" s="545">
        <v>3.3809523809523809</v>
      </c>
    </row>
    <row r="8165" spans="1:10">
      <c r="A8165" s="441">
        <v>2598</v>
      </c>
      <c r="B8165" s="441" t="s">
        <v>6570</v>
      </c>
      <c r="C8165" s="545">
        <v>63.666666666666671</v>
      </c>
      <c r="D8165" s="545">
        <v>33.666666666666664</v>
      </c>
      <c r="E8165" s="545">
        <v>30.666666666666668</v>
      </c>
      <c r="F8165" s="545">
        <v>54.666666666666679</v>
      </c>
      <c r="G8165" s="545">
        <v>39.200000000000003</v>
      </c>
      <c r="H8165" s="545">
        <v>23</v>
      </c>
      <c r="I8165" s="545">
        <v>20</v>
      </c>
      <c r="J8165" s="545">
        <v>34.142857142857146</v>
      </c>
    </row>
    <row r="8166" spans="1:10">
      <c r="A8166" s="441">
        <v>2614</v>
      </c>
      <c r="B8166" s="441" t="s">
        <v>6570</v>
      </c>
      <c r="C8166" s="545">
        <v>56.333333333333329</v>
      </c>
      <c r="D8166" s="545">
        <v>36</v>
      </c>
      <c r="E8166" s="545">
        <v>31</v>
      </c>
      <c r="F8166" s="545">
        <v>49.809523809523803</v>
      </c>
      <c r="G8166" s="545">
        <v>33.4</v>
      </c>
      <c r="H8166" s="545">
        <v>21</v>
      </c>
      <c r="I8166" s="545">
        <v>17.666666666666668</v>
      </c>
      <c r="J8166" s="545">
        <v>29.38095238095238</v>
      </c>
    </row>
    <row r="8167" spans="1:10">
      <c r="A8167" s="441">
        <v>2590</v>
      </c>
      <c r="B8167" s="441" t="s">
        <v>6571</v>
      </c>
      <c r="C8167" s="545">
        <v>6.1666666666666661</v>
      </c>
      <c r="D8167" s="545">
        <v>2.3333333333333335</v>
      </c>
      <c r="E8167" s="545">
        <v>3.666666666666667</v>
      </c>
      <c r="F8167" s="545">
        <v>5.261904761904761</v>
      </c>
      <c r="G8167" s="545">
        <v>7.4</v>
      </c>
      <c r="H8167" s="545">
        <v>3</v>
      </c>
      <c r="I8167" s="545">
        <v>10.333333333333334</v>
      </c>
      <c r="J8167" s="545">
        <v>7.1904761904761907</v>
      </c>
    </row>
    <row r="8168" spans="1:10">
      <c r="A8168" s="441">
        <v>2624</v>
      </c>
      <c r="B8168" s="441" t="s">
        <v>6571</v>
      </c>
      <c r="C8168" s="545">
        <v>10.833333333333334</v>
      </c>
      <c r="D8168" s="545">
        <v>7.333333333333333</v>
      </c>
      <c r="E8168" s="545">
        <v>8.6666666666666679</v>
      </c>
      <c r="F8168" s="545">
        <v>10.023809523809524</v>
      </c>
      <c r="G8168" s="545">
        <v>6.15</v>
      </c>
      <c r="H8168" s="545">
        <v>4</v>
      </c>
      <c r="I8168" s="545">
        <v>5.333333333333333</v>
      </c>
      <c r="J8168" s="545">
        <v>5.7261904761904763</v>
      </c>
    </row>
    <row r="8169" spans="1:10">
      <c r="A8169" s="441">
        <v>2591</v>
      </c>
      <c r="B8169" s="441" t="s">
        <v>6572</v>
      </c>
      <c r="C8169" s="545">
        <v>39.166666666666664</v>
      </c>
      <c r="D8169" s="545">
        <v>28.333333333333336</v>
      </c>
      <c r="E8169" s="545">
        <v>19.333333333333336</v>
      </c>
      <c r="F8169" s="545">
        <v>34.785714285714285</v>
      </c>
      <c r="G8169" s="545">
        <v>16.95</v>
      </c>
      <c r="H8169" s="545">
        <v>20.333333333333332</v>
      </c>
      <c r="I8169" s="545">
        <v>9.6666666666666661</v>
      </c>
      <c r="J8169" s="545">
        <v>16.392857142857142</v>
      </c>
    </row>
    <row r="8170" spans="1:10">
      <c r="A8170" s="441">
        <v>2623</v>
      </c>
      <c r="B8170" s="441" t="s">
        <v>6572</v>
      </c>
      <c r="C8170" s="545">
        <v>38</v>
      </c>
      <c r="D8170" s="545">
        <v>27.666666666666664</v>
      </c>
      <c r="E8170" s="545">
        <v>24.666666666666668</v>
      </c>
      <c r="F8170" s="545">
        <v>34.619047619047613</v>
      </c>
      <c r="G8170" s="545">
        <v>24.35</v>
      </c>
      <c r="H8170" s="545">
        <v>18.333333333333332</v>
      </c>
      <c r="I8170" s="545">
        <v>20.333333333333332</v>
      </c>
      <c r="J8170" s="545">
        <v>22.916666666666668</v>
      </c>
    </row>
    <row r="8171" spans="1:10">
      <c r="A8171" s="441">
        <v>2593</v>
      </c>
      <c r="B8171" s="441" t="s">
        <v>6573</v>
      </c>
      <c r="C8171" s="545">
        <v>4.833333333333333</v>
      </c>
      <c r="D8171" s="545">
        <v>5.6666666666666661</v>
      </c>
      <c r="E8171" s="545">
        <v>4</v>
      </c>
      <c r="F8171" s="545">
        <v>4.833333333333333</v>
      </c>
      <c r="G8171" s="545">
        <v>3.85</v>
      </c>
      <c r="H8171" s="545">
        <v>2.3333333333333335</v>
      </c>
      <c r="I8171" s="545">
        <v>1</v>
      </c>
      <c r="J8171" s="545">
        <v>3.2261904761904758</v>
      </c>
    </row>
    <row r="8172" spans="1:10">
      <c r="A8172" s="441">
        <v>2621</v>
      </c>
      <c r="B8172" s="441" t="s">
        <v>6573</v>
      </c>
      <c r="C8172" s="545">
        <v>6.166666666666667</v>
      </c>
      <c r="D8172" s="545">
        <v>8.6666666666666679</v>
      </c>
      <c r="E8172" s="545">
        <v>3</v>
      </c>
      <c r="F8172" s="545">
        <v>6.0714285714285712</v>
      </c>
      <c r="G8172" s="545">
        <v>3.8</v>
      </c>
      <c r="H8172" s="545">
        <v>4</v>
      </c>
      <c r="I8172" s="545">
        <v>3.6666666666666665</v>
      </c>
      <c r="J8172" s="545">
        <v>3.8095238095238098</v>
      </c>
    </row>
    <row r="8173" spans="1:10">
      <c r="A8173" s="441">
        <v>2616</v>
      </c>
      <c r="B8173" s="441" t="s">
        <v>6574</v>
      </c>
      <c r="C8173" s="545">
        <v>4.333333333333333</v>
      </c>
      <c r="D8173" s="545">
        <v>29</v>
      </c>
      <c r="E8173" s="545">
        <v>5.3333333333333339</v>
      </c>
      <c r="F8173" s="545">
        <v>8</v>
      </c>
      <c r="G8173" s="545">
        <v>9.3000000000000007</v>
      </c>
      <c r="H8173" s="545">
        <v>8.3333333333333339</v>
      </c>
      <c r="I8173" s="545">
        <v>13.666666666666666</v>
      </c>
      <c r="J8173" s="545">
        <v>9.7857142857142865</v>
      </c>
    </row>
    <row r="8174" spans="1:10">
      <c r="A8174" s="441">
        <v>2596</v>
      </c>
      <c r="B8174" s="441" t="s">
        <v>6575</v>
      </c>
      <c r="C8174" s="545">
        <v>9.5</v>
      </c>
      <c r="D8174" s="545">
        <v>8.3333333333333339</v>
      </c>
      <c r="E8174" s="545">
        <v>7</v>
      </c>
      <c r="F8174" s="545">
        <v>8.9761904761904763</v>
      </c>
      <c r="G8174" s="545">
        <v>14.5</v>
      </c>
      <c r="H8174" s="545">
        <v>13.666666666666666</v>
      </c>
      <c r="I8174" s="545">
        <v>14</v>
      </c>
      <c r="J8174" s="545">
        <v>14.30952380952381</v>
      </c>
    </row>
    <row r="8175" spans="1:10">
      <c r="A8175" s="441">
        <v>2592</v>
      </c>
      <c r="B8175" s="441" t="s">
        <v>6576</v>
      </c>
      <c r="C8175" s="545">
        <v>5.1666666666666661</v>
      </c>
      <c r="D8175" s="545">
        <v>6.333333333333333</v>
      </c>
      <c r="E8175" s="545">
        <v>4</v>
      </c>
      <c r="F8175" s="545">
        <v>5.1666666666666661</v>
      </c>
      <c r="G8175" s="545">
        <v>8</v>
      </c>
      <c r="H8175" s="545">
        <v>3.3333333333333335</v>
      </c>
      <c r="I8175" s="545">
        <v>6.666666666666667</v>
      </c>
      <c r="J8175" s="545">
        <v>7.1428571428571432</v>
      </c>
    </row>
    <row r="8176" spans="1:10">
      <c r="A8176" s="441">
        <v>2622</v>
      </c>
      <c r="B8176" s="441" t="s">
        <v>6576</v>
      </c>
      <c r="C8176" s="545">
        <v>4.5</v>
      </c>
      <c r="D8176" s="545">
        <v>2</v>
      </c>
      <c r="E8176" s="545">
        <v>3.3333333333333335</v>
      </c>
      <c r="F8176" s="545">
        <v>3.9761904761904758</v>
      </c>
      <c r="G8176" s="545">
        <v>5.0999999999999996</v>
      </c>
      <c r="H8176" s="545">
        <v>2.3333333333333335</v>
      </c>
      <c r="I8176" s="545">
        <v>2.6666666666666665</v>
      </c>
      <c r="J8176" s="545">
        <v>4.3571428571428568</v>
      </c>
    </row>
    <row r="8177" spans="1:10">
      <c r="A8177" s="441">
        <v>3313</v>
      </c>
      <c r="B8177" s="441" t="s">
        <v>6577</v>
      </c>
      <c r="C8177" s="545">
        <v>7</v>
      </c>
      <c r="D8177" s="545">
        <v>4</v>
      </c>
      <c r="E8177" s="545">
        <v>4</v>
      </c>
      <c r="F8177" s="545">
        <v>6.1428571428571432</v>
      </c>
      <c r="G8177" s="545">
        <v>5</v>
      </c>
      <c r="H8177" s="545">
        <v>3</v>
      </c>
      <c r="I8177" s="545">
        <v>2.6666666666666665</v>
      </c>
      <c r="J8177" s="545">
        <v>4.3809523809523814</v>
      </c>
    </row>
    <row r="8178" spans="1:10">
      <c r="A8178" s="441">
        <v>9351</v>
      </c>
      <c r="B8178" s="441" t="s">
        <v>6578</v>
      </c>
      <c r="C8178" s="545">
        <v>3.5</v>
      </c>
      <c r="D8178" s="545">
        <v>6.3333333333333339</v>
      </c>
      <c r="E8178" s="545">
        <v>17</v>
      </c>
      <c r="F8178" s="545">
        <v>5.8333333333333339</v>
      </c>
      <c r="G8178" s="545">
        <v>9.25</v>
      </c>
      <c r="H8178" s="545">
        <v>6</v>
      </c>
      <c r="I8178" s="545">
        <v>7</v>
      </c>
      <c r="J8178" s="545">
        <v>8.4642857142857135</v>
      </c>
    </row>
    <row r="8179" spans="1:10">
      <c r="A8179" s="441">
        <v>3311</v>
      </c>
      <c r="B8179" s="441" t="s">
        <v>6579</v>
      </c>
      <c r="C8179" s="545">
        <v>6.8333333333333339</v>
      </c>
      <c r="D8179" s="545">
        <v>2.3333333333333335</v>
      </c>
      <c r="E8179" s="545">
        <v>3</v>
      </c>
      <c r="F8179" s="545">
        <v>5.6428571428571441</v>
      </c>
      <c r="G8179" s="545">
        <v>2.5499999999999998</v>
      </c>
      <c r="H8179" s="545">
        <v>4.333333333333333</v>
      </c>
      <c r="I8179" s="545">
        <v>0</v>
      </c>
      <c r="J8179" s="545">
        <v>2.4404761904761902</v>
      </c>
    </row>
    <row r="8180" spans="1:10">
      <c r="A8180" s="441">
        <v>3312</v>
      </c>
      <c r="B8180" s="441" t="s">
        <v>6580</v>
      </c>
      <c r="C8180" s="545">
        <v>2.8333333333333335</v>
      </c>
      <c r="D8180" s="545">
        <v>1.3333333333333333</v>
      </c>
      <c r="E8180" s="545">
        <v>1</v>
      </c>
      <c r="F8180" s="545">
        <v>2.3571428571428572</v>
      </c>
      <c r="G8180" s="545">
        <v>1.05</v>
      </c>
      <c r="H8180" s="545">
        <v>0.66666666666666663</v>
      </c>
      <c r="I8180" s="545">
        <v>0.66666666666666663</v>
      </c>
      <c r="J8180" s="545">
        <v>0.94047619047619058</v>
      </c>
    </row>
    <row r="8181" spans="1:10">
      <c r="A8181" s="441">
        <v>5171</v>
      </c>
      <c r="B8181" s="441" t="s">
        <v>6581</v>
      </c>
      <c r="C8181" s="545">
        <v>5.6666666666666661</v>
      </c>
      <c r="D8181" s="545">
        <v>3.3333333333333335</v>
      </c>
      <c r="E8181" s="545">
        <v>0.33333333333333331</v>
      </c>
      <c r="F8181" s="545">
        <v>4.5714285714285703</v>
      </c>
      <c r="G8181" s="545">
        <v>4.8</v>
      </c>
      <c r="H8181" s="545">
        <v>2.3333333333333335</v>
      </c>
      <c r="I8181" s="545">
        <v>3.3333333333333335</v>
      </c>
      <c r="J8181" s="545">
        <v>4.2380952380952381</v>
      </c>
    </row>
    <row r="8182" spans="1:10">
      <c r="A8182" s="441">
        <v>5174</v>
      </c>
      <c r="B8182" s="441" t="s">
        <v>6581</v>
      </c>
      <c r="C8182" s="545">
        <v>4.5</v>
      </c>
      <c r="D8182" s="545">
        <v>3.3333333333333335</v>
      </c>
      <c r="E8182" s="545">
        <v>2.333333333333333</v>
      </c>
      <c r="F8182" s="545">
        <v>4.0238095238095237</v>
      </c>
      <c r="G8182" s="545">
        <v>3.05</v>
      </c>
      <c r="H8182" s="545">
        <v>4</v>
      </c>
      <c r="I8182" s="545">
        <v>1</v>
      </c>
      <c r="J8182" s="545">
        <v>2.8928571428571428</v>
      </c>
    </row>
    <row r="8183" spans="1:10">
      <c r="A8183" s="441">
        <v>5166</v>
      </c>
      <c r="B8183" s="441" t="s">
        <v>6582</v>
      </c>
      <c r="C8183" s="545">
        <v>10.5</v>
      </c>
      <c r="D8183" s="545">
        <v>3.666666666666667</v>
      </c>
      <c r="E8183" s="545">
        <v>1.3333333333333333</v>
      </c>
      <c r="F8183" s="545">
        <v>8.2142857142857135</v>
      </c>
      <c r="G8183" s="545">
        <v>7.9</v>
      </c>
      <c r="H8183" s="545">
        <v>6.333333333333333</v>
      </c>
      <c r="I8183" s="545">
        <v>2</v>
      </c>
      <c r="J8183" s="545">
        <v>6.8333333333333339</v>
      </c>
    </row>
    <row r="8184" spans="1:10">
      <c r="A8184" s="441">
        <v>5169</v>
      </c>
      <c r="B8184" s="441" t="s">
        <v>6582</v>
      </c>
      <c r="C8184" s="545">
        <v>9.5</v>
      </c>
      <c r="D8184" s="545">
        <v>5</v>
      </c>
      <c r="E8184" s="545">
        <v>4.6666666666666661</v>
      </c>
      <c r="F8184" s="545">
        <v>8.1666666666666661</v>
      </c>
      <c r="G8184" s="545">
        <v>7.1</v>
      </c>
      <c r="H8184" s="545">
        <v>3.3333333333333335</v>
      </c>
      <c r="I8184" s="545">
        <v>3</v>
      </c>
      <c r="J8184" s="545">
        <v>5.9761904761904763</v>
      </c>
    </row>
    <row r="8185" spans="1:10">
      <c r="A8185" s="441">
        <v>5170</v>
      </c>
      <c r="B8185" s="441" t="s">
        <v>6583</v>
      </c>
      <c r="C8185" s="545">
        <v>10.166666666666666</v>
      </c>
      <c r="D8185" s="545">
        <v>2.666666666666667</v>
      </c>
      <c r="E8185" s="545">
        <v>2</v>
      </c>
      <c r="F8185" s="545">
        <v>7.9285714285714279</v>
      </c>
      <c r="G8185" s="545">
        <v>3.35</v>
      </c>
      <c r="H8185" s="545">
        <v>3</v>
      </c>
      <c r="I8185" s="545">
        <v>0.33333333333333331</v>
      </c>
      <c r="J8185" s="545">
        <v>2.8690476190476191</v>
      </c>
    </row>
    <row r="8186" spans="1:10">
      <c r="A8186" s="441">
        <v>5175</v>
      </c>
      <c r="B8186" s="441" t="s">
        <v>6583</v>
      </c>
      <c r="C8186" s="545">
        <v>3.333333333333333</v>
      </c>
      <c r="D8186" s="545">
        <v>3</v>
      </c>
      <c r="E8186" s="545">
        <v>0.66666666666666663</v>
      </c>
      <c r="F8186" s="545">
        <v>2.9047619047619047</v>
      </c>
      <c r="G8186" s="545">
        <v>2</v>
      </c>
      <c r="H8186" s="545">
        <v>1.6666666666666667</v>
      </c>
      <c r="I8186" s="545">
        <v>0.66666666666666663</v>
      </c>
      <c r="J8186" s="545">
        <v>1.7619047619047616</v>
      </c>
    </row>
    <row r="8187" spans="1:10">
      <c r="A8187" s="441">
        <v>11969</v>
      </c>
      <c r="B8187" s="441" t="s">
        <v>6584</v>
      </c>
      <c r="C8187" s="545">
        <v>2.5</v>
      </c>
      <c r="D8187" s="545">
        <v>0.66666666666666663</v>
      </c>
      <c r="E8187" s="545">
        <v>0.66666666666666663</v>
      </c>
      <c r="F8187" s="545">
        <v>1.9761904761904761</v>
      </c>
      <c r="G8187" s="545">
        <v>0.9</v>
      </c>
      <c r="H8187" s="545">
        <v>0</v>
      </c>
      <c r="I8187" s="545">
        <v>0.33333333333333331</v>
      </c>
      <c r="J8187" s="545">
        <v>0.69047619047619047</v>
      </c>
    </row>
    <row r="8188" spans="1:10">
      <c r="A8188" s="441">
        <v>5167</v>
      </c>
      <c r="B8188" s="441" t="s">
        <v>6585</v>
      </c>
      <c r="C8188" s="545">
        <v>81</v>
      </c>
      <c r="D8188" s="545">
        <v>42</v>
      </c>
      <c r="E8188" s="545">
        <v>40.333333333333336</v>
      </c>
      <c r="F8188" s="545">
        <v>69.61904761904762</v>
      </c>
      <c r="G8188" s="545">
        <v>29.85</v>
      </c>
      <c r="H8188" s="545">
        <v>19.666666666666668</v>
      </c>
      <c r="I8188" s="545">
        <v>16.666666666666668</v>
      </c>
      <c r="J8188" s="545">
        <v>26.511904761904759</v>
      </c>
    </row>
    <row r="8189" spans="1:10">
      <c r="A8189" s="441">
        <v>5168</v>
      </c>
      <c r="B8189" s="441" t="s">
        <v>6585</v>
      </c>
      <c r="C8189" s="545">
        <v>68.833333333333343</v>
      </c>
      <c r="D8189" s="545">
        <v>46</v>
      </c>
      <c r="E8189" s="545">
        <v>31.666666666666668</v>
      </c>
      <c r="F8189" s="545">
        <v>60.261904761904773</v>
      </c>
      <c r="G8189" s="545">
        <v>32.049999999999997</v>
      </c>
      <c r="H8189" s="545">
        <v>30.666666666666668</v>
      </c>
      <c r="I8189" s="545">
        <v>17</v>
      </c>
      <c r="J8189" s="545">
        <v>29.702380952380953</v>
      </c>
    </row>
    <row r="8190" spans="1:10">
      <c r="A8190" s="441">
        <v>99</v>
      </c>
      <c r="B8190" s="441" t="s">
        <v>6586</v>
      </c>
      <c r="C8190" s="545">
        <v>4182</v>
      </c>
      <c r="D8190" s="545">
        <v>347</v>
      </c>
      <c r="E8190" s="545">
        <v>358</v>
      </c>
      <c r="F8190" s="545">
        <v>3087.8571428571427</v>
      </c>
      <c r="G8190" s="545">
        <v>1322.65</v>
      </c>
      <c r="H8190" s="545">
        <v>254.66666666666666</v>
      </c>
      <c r="I8190" s="545">
        <v>283.66666666666669</v>
      </c>
      <c r="J8190" s="545">
        <v>1021.654761904762</v>
      </c>
    </row>
    <row r="8191" spans="1:10">
      <c r="A8191" s="441">
        <v>93</v>
      </c>
      <c r="B8191" s="441" t="s">
        <v>6587</v>
      </c>
      <c r="C8191" s="545">
        <v>525.33333333333337</v>
      </c>
      <c r="D8191" s="545">
        <v>0</v>
      </c>
      <c r="E8191" s="545">
        <v>0</v>
      </c>
      <c r="F8191" s="545">
        <v>375.2380952380953</v>
      </c>
      <c r="G8191" s="545">
        <v>813.55</v>
      </c>
      <c r="H8191" s="545">
        <v>474</v>
      </c>
      <c r="I8191" s="545">
        <v>461</v>
      </c>
      <c r="J8191" s="545">
        <v>714.67857142857144</v>
      </c>
    </row>
    <row r="8192" spans="1:10">
      <c r="A8192" s="441">
        <v>100</v>
      </c>
      <c r="B8192" s="441" t="s">
        <v>6588</v>
      </c>
      <c r="C8192" s="545">
        <v>1303.6666666666667</v>
      </c>
      <c r="D8192" s="545">
        <v>498.33333333333331</v>
      </c>
      <c r="E8192" s="545">
        <v>395.66666666666663</v>
      </c>
      <c r="F8192" s="545">
        <v>1058.9047619047619</v>
      </c>
      <c r="G8192" s="545">
        <v>492.1</v>
      </c>
      <c r="H8192" s="545">
        <v>357.33333333333331</v>
      </c>
      <c r="I8192" s="545">
        <v>373.66666666666669</v>
      </c>
      <c r="J8192" s="545">
        <v>455.92857142857144</v>
      </c>
    </row>
    <row r="8193" spans="1:10">
      <c r="A8193" s="441">
        <v>12106</v>
      </c>
      <c r="B8193" s="441" t="s">
        <v>6589</v>
      </c>
      <c r="C8193" s="545">
        <v>42.333333333333336</v>
      </c>
      <c r="D8193" s="545">
        <v>27</v>
      </c>
      <c r="E8193" s="545">
        <v>22.666666666666664</v>
      </c>
      <c r="F8193" s="545">
        <v>37.333333333333336</v>
      </c>
      <c r="G8193" s="545">
        <v>26.85</v>
      </c>
      <c r="H8193" s="545">
        <v>14.666666666666666</v>
      </c>
      <c r="I8193" s="545">
        <v>11.666666666666666</v>
      </c>
      <c r="J8193" s="545">
        <v>22.940476190476186</v>
      </c>
    </row>
    <row r="8194" spans="1:10">
      <c r="A8194" s="441">
        <v>12639</v>
      </c>
      <c r="B8194" s="441" t="s">
        <v>6590</v>
      </c>
      <c r="C8194" s="545">
        <v>129.83333333333334</v>
      </c>
      <c r="D8194" s="545">
        <v>65.666666666666657</v>
      </c>
      <c r="E8194" s="545">
        <v>93</v>
      </c>
      <c r="F8194" s="545">
        <v>115.40476190476191</v>
      </c>
      <c r="G8194" s="545">
        <v>98.45</v>
      </c>
      <c r="H8194" s="545">
        <v>73.333333333333329</v>
      </c>
      <c r="I8194" s="545">
        <v>70</v>
      </c>
      <c r="J8194" s="545">
        <v>90.797619047619051</v>
      </c>
    </row>
    <row r="8195" spans="1:10">
      <c r="A8195" s="441">
        <v>7355</v>
      </c>
      <c r="B8195" s="441" t="s">
        <v>6591</v>
      </c>
      <c r="C8195" s="545">
        <v>5.3333333333333339</v>
      </c>
      <c r="D8195" s="545">
        <v>4</v>
      </c>
      <c r="E8195" s="545">
        <v>1.3333333333333333</v>
      </c>
      <c r="F8195" s="545">
        <v>4.5714285714285721</v>
      </c>
      <c r="G8195" s="545">
        <v>4.0999999999999996</v>
      </c>
      <c r="H8195" s="545">
        <v>1</v>
      </c>
      <c r="I8195" s="545">
        <v>0.66666666666666663</v>
      </c>
      <c r="J8195" s="545">
        <v>3.166666666666667</v>
      </c>
    </row>
    <row r="8196" spans="1:10">
      <c r="A8196" s="441">
        <v>10050</v>
      </c>
      <c r="B8196" s="441" t="s">
        <v>6591</v>
      </c>
      <c r="C8196" s="545">
        <v>3</v>
      </c>
      <c r="D8196" s="545">
        <v>2.333333333333333</v>
      </c>
      <c r="E8196" s="545">
        <v>6.333333333333333</v>
      </c>
      <c r="F8196" s="545">
        <v>3.3809523809523805</v>
      </c>
      <c r="G8196" s="545">
        <v>3.55</v>
      </c>
      <c r="H8196" s="545">
        <v>0.33333333333333331</v>
      </c>
      <c r="I8196" s="545">
        <v>1</v>
      </c>
      <c r="J8196" s="545">
        <v>2.7261904761904758</v>
      </c>
    </row>
    <row r="8197" spans="1:10">
      <c r="A8197" s="441">
        <v>7358</v>
      </c>
      <c r="B8197" s="441" t="s">
        <v>6592</v>
      </c>
      <c r="C8197" s="545">
        <v>27.333333333333336</v>
      </c>
      <c r="D8197" s="545">
        <v>33.333333333333336</v>
      </c>
      <c r="E8197" s="545">
        <v>15.666666666666668</v>
      </c>
      <c r="F8197" s="545">
        <v>26.523809523809526</v>
      </c>
      <c r="G8197" s="545">
        <v>24.4</v>
      </c>
      <c r="H8197" s="545">
        <v>18</v>
      </c>
      <c r="I8197" s="545">
        <v>16.666666666666668</v>
      </c>
      <c r="J8197" s="545">
        <v>22.38095238095238</v>
      </c>
    </row>
    <row r="8198" spans="1:10">
      <c r="A8198" s="441">
        <v>11287</v>
      </c>
      <c r="B8198" s="441" t="s">
        <v>6592</v>
      </c>
      <c r="C8198" s="545">
        <v>4.166666666666667</v>
      </c>
      <c r="D8198" s="545">
        <v>4</v>
      </c>
      <c r="E8198" s="545">
        <v>3.3333333333333335</v>
      </c>
      <c r="F8198" s="545">
        <v>4.0238095238095237</v>
      </c>
      <c r="G8198" s="545">
        <v>3.1</v>
      </c>
      <c r="H8198" s="545">
        <v>0.66666666666666663</v>
      </c>
      <c r="I8198" s="545">
        <v>0.33333333333333331</v>
      </c>
      <c r="J8198" s="545">
        <v>2.3571428571428572</v>
      </c>
    </row>
    <row r="8199" spans="1:10">
      <c r="A8199" s="441">
        <v>12103</v>
      </c>
      <c r="B8199" s="441" t="s">
        <v>6592</v>
      </c>
      <c r="C8199" s="545">
        <v>8.8333333333333339</v>
      </c>
      <c r="D8199" s="545">
        <v>3.3333333333333335</v>
      </c>
      <c r="E8199" s="545">
        <v>4.333333333333333</v>
      </c>
      <c r="F8199" s="545">
        <v>7.404761904761906</v>
      </c>
      <c r="G8199" s="545">
        <v>6.15</v>
      </c>
      <c r="H8199" s="545">
        <v>3.3333333333333335</v>
      </c>
      <c r="I8199" s="545">
        <v>2.6666666666666665</v>
      </c>
      <c r="J8199" s="545">
        <v>5.25</v>
      </c>
    </row>
    <row r="8200" spans="1:10">
      <c r="A8200" s="441">
        <v>11286</v>
      </c>
      <c r="B8200" s="441" t="s">
        <v>6593</v>
      </c>
      <c r="C8200" s="545">
        <v>19.166666666666668</v>
      </c>
      <c r="D8200" s="545">
        <v>11.333333333333334</v>
      </c>
      <c r="E8200" s="545">
        <v>4.3333333333333339</v>
      </c>
      <c r="F8200" s="545">
        <v>15.928571428571429</v>
      </c>
      <c r="G8200" s="545">
        <v>8.9499999999999993</v>
      </c>
      <c r="H8200" s="545">
        <v>7.666666666666667</v>
      </c>
      <c r="I8200" s="545">
        <v>5</v>
      </c>
      <c r="J8200" s="545">
        <v>8.2023809523809526</v>
      </c>
    </row>
    <row r="8201" spans="1:10">
      <c r="A8201" s="441">
        <v>12105</v>
      </c>
      <c r="B8201" s="441" t="s">
        <v>6593</v>
      </c>
      <c r="C8201" s="545">
        <v>3.5</v>
      </c>
      <c r="D8201" s="545">
        <v>1</v>
      </c>
      <c r="E8201" s="545">
        <v>2</v>
      </c>
      <c r="F8201" s="545">
        <v>2.9285714285714284</v>
      </c>
      <c r="G8201" s="545">
        <v>2.0499999999999998</v>
      </c>
      <c r="H8201" s="545">
        <v>3.3333333333333335</v>
      </c>
      <c r="I8201" s="545">
        <v>1</v>
      </c>
      <c r="J8201" s="545">
        <v>2.0833333333333335</v>
      </c>
    </row>
    <row r="8202" spans="1:10">
      <c r="A8202" s="441">
        <v>7356</v>
      </c>
      <c r="B8202" s="441" t="s">
        <v>6594</v>
      </c>
      <c r="C8202" s="545">
        <v>18.333333333333332</v>
      </c>
      <c r="D8202" s="545">
        <v>16</v>
      </c>
      <c r="E8202" s="545">
        <v>8.3333333333333321</v>
      </c>
      <c r="F8202" s="545">
        <v>16.571428571428569</v>
      </c>
      <c r="G8202" s="545">
        <v>14.95</v>
      </c>
      <c r="H8202" s="545">
        <v>8.3333333333333339</v>
      </c>
      <c r="I8202" s="545">
        <v>11.666666666666666</v>
      </c>
      <c r="J8202" s="545">
        <v>13.535714285714286</v>
      </c>
    </row>
    <row r="8203" spans="1:10">
      <c r="A8203" s="441">
        <v>7357</v>
      </c>
      <c r="B8203" s="441" t="s">
        <v>6594</v>
      </c>
      <c r="C8203" s="545">
        <v>25</v>
      </c>
      <c r="D8203" s="545">
        <v>24.666666666666668</v>
      </c>
      <c r="E8203" s="545">
        <v>16</v>
      </c>
      <c r="F8203" s="545">
        <v>23.666666666666664</v>
      </c>
      <c r="G8203" s="545">
        <v>17.850000000000001</v>
      </c>
      <c r="H8203" s="545">
        <v>12.666666666666666</v>
      </c>
      <c r="I8203" s="545">
        <v>10.333333333333334</v>
      </c>
      <c r="J8203" s="545">
        <v>16.035714285714285</v>
      </c>
    </row>
    <row r="8204" spans="1:10">
      <c r="A8204" s="441">
        <v>7359</v>
      </c>
      <c r="B8204" s="441" t="s">
        <v>6594</v>
      </c>
      <c r="C8204" s="545">
        <v>3.5</v>
      </c>
      <c r="D8204" s="545">
        <v>2.333333333333333</v>
      </c>
      <c r="E8204" s="545">
        <v>2</v>
      </c>
      <c r="F8204" s="545">
        <v>3.1190476190476191</v>
      </c>
      <c r="G8204" s="545">
        <v>2.35</v>
      </c>
      <c r="H8204" s="545">
        <v>2</v>
      </c>
      <c r="I8204" s="545">
        <v>2.3333333333333335</v>
      </c>
      <c r="J8204" s="545">
        <v>2.2976190476190474</v>
      </c>
    </row>
    <row r="8205" spans="1:10">
      <c r="A8205" s="441">
        <v>11042</v>
      </c>
      <c r="B8205" s="441" t="s">
        <v>6595</v>
      </c>
      <c r="C8205" s="545">
        <v>122.16666666666667</v>
      </c>
      <c r="D8205" s="545">
        <v>0</v>
      </c>
      <c r="E8205" s="545">
        <v>0</v>
      </c>
      <c r="F8205" s="545">
        <v>87.261904761904773</v>
      </c>
      <c r="G8205" s="545">
        <v>19.899999999999999</v>
      </c>
      <c r="H8205" s="545"/>
      <c r="I8205" s="545"/>
      <c r="J8205" s="545">
        <v>14.214285714285714</v>
      </c>
    </row>
    <row r="8206" spans="1:10">
      <c r="A8206" s="441">
        <v>5616</v>
      </c>
      <c r="B8206" s="441" t="s">
        <v>6596</v>
      </c>
      <c r="C8206" s="545">
        <v>13.833333333333332</v>
      </c>
      <c r="D8206" s="545">
        <v>7.3333333333333339</v>
      </c>
      <c r="E8206" s="545">
        <v>4.666666666666667</v>
      </c>
      <c r="F8206" s="545">
        <v>11.595238095238093</v>
      </c>
      <c r="G8206" s="545">
        <v>6.45</v>
      </c>
      <c r="H8206" s="545">
        <v>4.333333333333333</v>
      </c>
      <c r="I8206" s="545">
        <v>4.666666666666667</v>
      </c>
      <c r="J8206" s="545">
        <v>5.8928571428571432</v>
      </c>
    </row>
    <row r="8207" spans="1:10">
      <c r="A8207" s="441">
        <v>5615</v>
      </c>
      <c r="B8207" s="441" t="s">
        <v>6597</v>
      </c>
      <c r="C8207" s="545">
        <v>34.333333333333336</v>
      </c>
      <c r="D8207" s="545">
        <v>29.333333333333336</v>
      </c>
      <c r="E8207" s="545">
        <v>34.666666666666664</v>
      </c>
      <c r="F8207" s="545">
        <v>33.666666666666671</v>
      </c>
      <c r="G8207" s="545">
        <v>22.6</v>
      </c>
      <c r="H8207" s="545">
        <v>23.333333333333332</v>
      </c>
      <c r="I8207" s="545">
        <v>14.333333333333334</v>
      </c>
      <c r="J8207" s="545">
        <v>21.523809523809526</v>
      </c>
    </row>
    <row r="8208" spans="1:10">
      <c r="A8208" s="441">
        <v>7898</v>
      </c>
      <c r="B8208" s="441" t="s">
        <v>6598</v>
      </c>
      <c r="C8208" s="545">
        <v>34</v>
      </c>
      <c r="D8208" s="545">
        <v>32</v>
      </c>
      <c r="E8208" s="545">
        <v>20.333333333333332</v>
      </c>
      <c r="F8208" s="545">
        <v>31.761904761904763</v>
      </c>
      <c r="G8208" s="545">
        <v>24.05</v>
      </c>
      <c r="H8208" s="545">
        <v>21.666666666666668</v>
      </c>
      <c r="I8208" s="545">
        <v>17</v>
      </c>
      <c r="J8208" s="545">
        <v>22.702380952380953</v>
      </c>
    </row>
    <row r="8209" spans="1:10">
      <c r="A8209" s="441">
        <v>8772</v>
      </c>
      <c r="B8209" s="441" t="s">
        <v>6598</v>
      </c>
      <c r="C8209" s="545">
        <v>34</v>
      </c>
      <c r="D8209" s="545">
        <v>30</v>
      </c>
      <c r="E8209" s="545">
        <v>23</v>
      </c>
      <c r="F8209" s="545">
        <v>31.857142857142858</v>
      </c>
      <c r="G8209" s="545">
        <v>26.35</v>
      </c>
      <c r="H8209" s="545">
        <v>23</v>
      </c>
      <c r="I8209" s="545">
        <v>16.333333333333332</v>
      </c>
      <c r="J8209" s="545">
        <v>24.440476190476193</v>
      </c>
    </row>
    <row r="8210" spans="1:10">
      <c r="A8210" s="441">
        <v>7897</v>
      </c>
      <c r="B8210" s="441" t="s">
        <v>6599</v>
      </c>
      <c r="C8210" s="545">
        <v>75.333333333333329</v>
      </c>
      <c r="D8210" s="545">
        <v>57.666666666666664</v>
      </c>
      <c r="E8210" s="545">
        <v>35.333333333333329</v>
      </c>
      <c r="F8210" s="545">
        <v>67.095238095238088</v>
      </c>
      <c r="G8210" s="545">
        <v>47.25</v>
      </c>
      <c r="H8210" s="545">
        <v>29.333333333333332</v>
      </c>
      <c r="I8210" s="545">
        <v>28</v>
      </c>
      <c r="J8210" s="545">
        <v>41.94047619047619</v>
      </c>
    </row>
    <row r="8211" spans="1:10">
      <c r="A8211" s="441">
        <v>7108</v>
      </c>
      <c r="B8211" s="441" t="s">
        <v>6600</v>
      </c>
      <c r="C8211" s="545">
        <v>63.833333333333336</v>
      </c>
      <c r="D8211" s="545">
        <v>49.666666666666671</v>
      </c>
      <c r="E8211" s="545">
        <v>31.666666666666664</v>
      </c>
      <c r="F8211" s="545">
        <v>57.214285714285722</v>
      </c>
      <c r="G8211" s="545">
        <v>38.35</v>
      </c>
      <c r="H8211" s="545">
        <v>28</v>
      </c>
      <c r="I8211" s="545">
        <v>15.333333333333334</v>
      </c>
      <c r="J8211" s="545">
        <v>33.583333333333336</v>
      </c>
    </row>
    <row r="8212" spans="1:10">
      <c r="A8212" s="441">
        <v>7722</v>
      </c>
      <c r="B8212" s="441" t="s">
        <v>6600</v>
      </c>
      <c r="C8212" s="545">
        <v>55.5</v>
      </c>
      <c r="D8212" s="545">
        <v>43.333333333333336</v>
      </c>
      <c r="E8212" s="545">
        <v>25.333333333333336</v>
      </c>
      <c r="F8212" s="545">
        <v>49.452380952380949</v>
      </c>
      <c r="G8212" s="545">
        <v>42.1</v>
      </c>
      <c r="H8212" s="545">
        <v>35.333333333333336</v>
      </c>
      <c r="I8212" s="545">
        <v>24.333333333333332</v>
      </c>
      <c r="J8212" s="545">
        <v>38.595238095238095</v>
      </c>
    </row>
    <row r="8213" spans="1:10">
      <c r="A8213" s="441">
        <v>11406</v>
      </c>
      <c r="B8213" s="441" t="s">
        <v>6601</v>
      </c>
      <c r="C8213" s="545">
        <v>17.833333333333336</v>
      </c>
      <c r="D8213" s="545">
        <v>19.666666666666668</v>
      </c>
      <c r="E8213" s="545">
        <v>8.3333333333333339</v>
      </c>
      <c r="F8213" s="545">
        <v>16.738095238095241</v>
      </c>
      <c r="G8213" s="545">
        <v>9.4</v>
      </c>
      <c r="H8213" s="545">
        <v>6</v>
      </c>
      <c r="I8213" s="545">
        <v>6</v>
      </c>
      <c r="J8213" s="545">
        <v>8.4285714285714288</v>
      </c>
    </row>
    <row r="8214" spans="1:10">
      <c r="A8214" s="441">
        <v>5152</v>
      </c>
      <c r="B8214" s="441" t="s">
        <v>6602</v>
      </c>
      <c r="C8214" s="545">
        <v>58.333333333333336</v>
      </c>
      <c r="D8214" s="545">
        <v>13</v>
      </c>
      <c r="E8214" s="545">
        <v>5</v>
      </c>
      <c r="F8214" s="545">
        <v>44.238095238095241</v>
      </c>
      <c r="G8214" s="545">
        <v>32.700000000000003</v>
      </c>
      <c r="H8214" s="545">
        <v>8.3333333333333339</v>
      </c>
      <c r="I8214" s="545">
        <v>5</v>
      </c>
      <c r="J8214" s="545">
        <v>25.261904761904763</v>
      </c>
    </row>
    <row r="8215" spans="1:10">
      <c r="A8215" s="441">
        <v>5643</v>
      </c>
      <c r="B8215" s="441" t="s">
        <v>6602</v>
      </c>
      <c r="C8215" s="545">
        <v>73.833333333333329</v>
      </c>
      <c r="D8215" s="545">
        <v>8.3333333333333339</v>
      </c>
      <c r="E8215" s="545">
        <v>3.333333333333333</v>
      </c>
      <c r="F8215" s="545">
        <v>54.404761904761891</v>
      </c>
      <c r="G8215" s="545">
        <v>46</v>
      </c>
      <c r="H8215" s="545">
        <v>5.666666666666667</v>
      </c>
      <c r="I8215" s="545">
        <v>2</v>
      </c>
      <c r="J8215" s="545">
        <v>33.952380952380949</v>
      </c>
    </row>
    <row r="8216" spans="1:10">
      <c r="A8216" s="441">
        <v>7107</v>
      </c>
      <c r="B8216" s="441" t="s">
        <v>6603</v>
      </c>
      <c r="C8216" s="545">
        <v>48.666666666666664</v>
      </c>
      <c r="D8216" s="545">
        <v>28.666666666666664</v>
      </c>
      <c r="E8216" s="545">
        <v>23.666666666666668</v>
      </c>
      <c r="F8216" s="545">
        <v>42.238095238095241</v>
      </c>
      <c r="G8216" s="545">
        <v>37</v>
      </c>
      <c r="H8216" s="545">
        <v>20.333333333333332</v>
      </c>
      <c r="I8216" s="545">
        <v>24.333333333333332</v>
      </c>
      <c r="J8216" s="545">
        <v>32.80952380952381</v>
      </c>
    </row>
    <row r="8217" spans="1:10">
      <c r="A8217" s="441">
        <v>7723</v>
      </c>
      <c r="B8217" s="441" t="s">
        <v>6603</v>
      </c>
      <c r="C8217" s="545">
        <v>51.166666666666664</v>
      </c>
      <c r="D8217" s="545">
        <v>29.333333333333332</v>
      </c>
      <c r="E8217" s="545">
        <v>30</v>
      </c>
      <c r="F8217" s="545">
        <v>45.023809523809518</v>
      </c>
      <c r="G8217" s="545">
        <v>31.9</v>
      </c>
      <c r="H8217" s="545">
        <v>19.666666666666668</v>
      </c>
      <c r="I8217" s="545">
        <v>20.333333333333332</v>
      </c>
      <c r="J8217" s="545">
        <v>28.5</v>
      </c>
    </row>
    <row r="8218" spans="1:10">
      <c r="A8218" s="441">
        <v>7910</v>
      </c>
      <c r="B8218" s="441" t="s">
        <v>6604</v>
      </c>
      <c r="C8218" s="545">
        <v>13.166666666666666</v>
      </c>
      <c r="D8218" s="545">
        <v>8</v>
      </c>
      <c r="E8218" s="545">
        <v>11.333333333333332</v>
      </c>
      <c r="F8218" s="545">
        <v>12.166666666666666</v>
      </c>
      <c r="G8218" s="545">
        <v>13.3</v>
      </c>
      <c r="H8218" s="545">
        <v>9.6666666666666661</v>
      </c>
      <c r="I8218" s="545">
        <v>12.666666666666666</v>
      </c>
      <c r="J8218" s="545">
        <v>12.690476190476192</v>
      </c>
    </row>
    <row r="8219" spans="1:10">
      <c r="A8219" s="441">
        <v>7891</v>
      </c>
      <c r="B8219" s="441" t="s">
        <v>6605</v>
      </c>
      <c r="C8219" s="545">
        <v>98.833333333333329</v>
      </c>
      <c r="D8219" s="545">
        <v>91.333333333333329</v>
      </c>
      <c r="E8219" s="545">
        <v>53.666666666666664</v>
      </c>
      <c r="F8219" s="545">
        <v>91.30952380952381</v>
      </c>
      <c r="G8219" s="545">
        <v>64.900000000000006</v>
      </c>
      <c r="H8219" s="545">
        <v>48.666666666666664</v>
      </c>
      <c r="I8219" s="545">
        <v>41.333333333333336</v>
      </c>
      <c r="J8219" s="545">
        <v>59.214285714285715</v>
      </c>
    </row>
    <row r="8220" spans="1:10">
      <c r="A8220" s="441">
        <v>8779</v>
      </c>
      <c r="B8220" s="441" t="s">
        <v>6605</v>
      </c>
      <c r="C8220" s="545">
        <v>136.16666666666666</v>
      </c>
      <c r="D8220" s="545">
        <v>82.666666666666671</v>
      </c>
      <c r="E8220" s="545">
        <v>61.333333333333336</v>
      </c>
      <c r="F8220" s="545">
        <v>117.83333333333333</v>
      </c>
      <c r="G8220" s="545">
        <v>83.25</v>
      </c>
      <c r="H8220" s="545">
        <v>54.666666666666664</v>
      </c>
      <c r="I8220" s="545">
        <v>45.333333333333336</v>
      </c>
      <c r="J8220" s="545">
        <v>73.75</v>
      </c>
    </row>
    <row r="8221" spans="1:10">
      <c r="A8221" s="441">
        <v>7112</v>
      </c>
      <c r="B8221" s="441" t="s">
        <v>6606</v>
      </c>
      <c r="C8221" s="545">
        <v>115.33333333333333</v>
      </c>
      <c r="D8221" s="545">
        <v>90.333333333333329</v>
      </c>
      <c r="E8221" s="545">
        <v>79</v>
      </c>
      <c r="F8221" s="545">
        <v>106.57142857142857</v>
      </c>
      <c r="G8221" s="545">
        <v>119.7</v>
      </c>
      <c r="H8221" s="545">
        <v>93.666666666666671</v>
      </c>
      <c r="I8221" s="545">
        <v>72</v>
      </c>
      <c r="J8221" s="545">
        <v>109.16666666666666</v>
      </c>
    </row>
    <row r="8222" spans="1:10">
      <c r="A8222" s="441">
        <v>7718</v>
      </c>
      <c r="B8222" s="441" t="s">
        <v>6606</v>
      </c>
      <c r="C8222" s="545">
        <v>129.5</v>
      </c>
      <c r="D8222" s="545">
        <v>114.33333333333333</v>
      </c>
      <c r="E8222" s="545">
        <v>85.666666666666671</v>
      </c>
      <c r="F8222" s="545">
        <v>121.07142857142857</v>
      </c>
      <c r="G8222" s="545">
        <v>95.1</v>
      </c>
      <c r="H8222" s="545">
        <v>83.333333333333329</v>
      </c>
      <c r="I8222" s="545">
        <v>58</v>
      </c>
      <c r="J8222" s="545">
        <v>88.11904761904762</v>
      </c>
    </row>
    <row r="8223" spans="1:10">
      <c r="A8223" s="441">
        <v>7129</v>
      </c>
      <c r="B8223" s="441" t="s">
        <v>6607</v>
      </c>
      <c r="C8223" s="545">
        <v>52.833333333333336</v>
      </c>
      <c r="D8223" s="545">
        <v>40.333333333333336</v>
      </c>
      <c r="E8223" s="545">
        <v>32</v>
      </c>
      <c r="F8223" s="545">
        <v>48.071428571428569</v>
      </c>
      <c r="G8223" s="545">
        <v>35.1</v>
      </c>
      <c r="H8223" s="545">
        <v>25.333333333333332</v>
      </c>
      <c r="I8223" s="545">
        <v>20.666666666666668</v>
      </c>
      <c r="J8223" s="545">
        <v>31.642857142857142</v>
      </c>
    </row>
    <row r="8224" spans="1:10">
      <c r="A8224" s="441">
        <v>8802</v>
      </c>
      <c r="B8224" s="441" t="s">
        <v>6607</v>
      </c>
      <c r="C8224" s="545">
        <v>177.5</v>
      </c>
      <c r="D8224" s="545">
        <v>129.33333333333334</v>
      </c>
      <c r="E8224" s="545">
        <v>88.666666666666671</v>
      </c>
      <c r="F8224" s="545">
        <v>157.92857142857142</v>
      </c>
      <c r="G8224" s="545">
        <v>90.65</v>
      </c>
      <c r="H8224" s="545">
        <v>62.666666666666664</v>
      </c>
      <c r="I8224" s="545">
        <v>52</v>
      </c>
      <c r="J8224" s="545">
        <v>81.13095238095238</v>
      </c>
    </row>
    <row r="8225" spans="1:10">
      <c r="A8225" s="441">
        <v>8773</v>
      </c>
      <c r="B8225" s="441" t="s">
        <v>6608</v>
      </c>
      <c r="C8225" s="545">
        <v>77</v>
      </c>
      <c r="D8225" s="545">
        <v>53.666666666666671</v>
      </c>
      <c r="E8225" s="545">
        <v>34.666666666666664</v>
      </c>
      <c r="F8225" s="545">
        <v>67.61904761904762</v>
      </c>
      <c r="G8225" s="545">
        <v>44.75</v>
      </c>
      <c r="H8225" s="545">
        <v>25</v>
      </c>
      <c r="I8225" s="545">
        <v>28</v>
      </c>
      <c r="J8225" s="545">
        <v>39.535714285714285</v>
      </c>
    </row>
    <row r="8226" spans="1:10">
      <c r="A8226" s="441">
        <v>3435</v>
      </c>
      <c r="B8226" s="441" t="s">
        <v>6609</v>
      </c>
      <c r="C8226" s="545">
        <v>44.666666666666671</v>
      </c>
      <c r="D8226" s="545">
        <v>33</v>
      </c>
      <c r="E8226" s="545">
        <v>18.666666666666668</v>
      </c>
      <c r="F8226" s="545">
        <v>39.285714285714292</v>
      </c>
      <c r="G8226" s="545">
        <v>68.25</v>
      </c>
      <c r="H8226" s="545">
        <v>27</v>
      </c>
      <c r="I8226" s="545">
        <v>17.666666666666668</v>
      </c>
      <c r="J8226" s="545">
        <v>55.130952380952387</v>
      </c>
    </row>
    <row r="8227" spans="1:10">
      <c r="A8227" s="441">
        <v>5150</v>
      </c>
      <c r="B8227" s="441" t="s">
        <v>6610</v>
      </c>
      <c r="C8227" s="545">
        <v>19.666666666666664</v>
      </c>
      <c r="D8227" s="545">
        <v>8.6666666666666661</v>
      </c>
      <c r="E8227" s="545">
        <v>2.3333333333333335</v>
      </c>
      <c r="F8227" s="545">
        <v>15.619047619047617</v>
      </c>
      <c r="G8227" s="545">
        <v>13.85</v>
      </c>
      <c r="H8227" s="545">
        <v>2</v>
      </c>
      <c r="I8227" s="545">
        <v>1.3333333333333333</v>
      </c>
      <c r="J8227" s="545">
        <v>10.369047619047619</v>
      </c>
    </row>
    <row r="8228" spans="1:10">
      <c r="A8228" s="441">
        <v>129</v>
      </c>
      <c r="B8228" s="441" t="s">
        <v>6611</v>
      </c>
      <c r="C8228" s="545">
        <v>16</v>
      </c>
      <c r="D8228" s="545">
        <v>8.6666666666666661</v>
      </c>
      <c r="E8228" s="545">
        <v>5.6666666666666661</v>
      </c>
      <c r="F8228" s="545">
        <v>13.476190476190478</v>
      </c>
      <c r="G8228" s="545">
        <v>11.4</v>
      </c>
      <c r="H8228" s="545">
        <v>4</v>
      </c>
      <c r="I8228" s="545">
        <v>1</v>
      </c>
      <c r="J8228" s="545">
        <v>8.8571428571428577</v>
      </c>
    </row>
    <row r="8229" spans="1:10">
      <c r="A8229" s="441">
        <v>5646</v>
      </c>
      <c r="B8229" s="441" t="s">
        <v>6611</v>
      </c>
      <c r="C8229" s="545">
        <v>21.833333333333332</v>
      </c>
      <c r="D8229" s="545">
        <v>10.666666666666666</v>
      </c>
      <c r="E8229" s="545">
        <v>2.6666666666666665</v>
      </c>
      <c r="F8229" s="545">
        <v>17.5</v>
      </c>
      <c r="G8229" s="545">
        <v>14.6</v>
      </c>
      <c r="H8229" s="545">
        <v>16.666666666666668</v>
      </c>
      <c r="I8229" s="545">
        <v>2.3333333333333335</v>
      </c>
      <c r="J8229" s="545">
        <v>13.142857142857142</v>
      </c>
    </row>
    <row r="8230" spans="1:10">
      <c r="A8230" s="441">
        <v>3431</v>
      </c>
      <c r="B8230" s="441" t="s">
        <v>6612</v>
      </c>
      <c r="C8230" s="545">
        <v>21.666666666666664</v>
      </c>
      <c r="D8230" s="545">
        <v>11.666666666666666</v>
      </c>
      <c r="E8230" s="545">
        <v>13</v>
      </c>
      <c r="F8230" s="545">
        <v>19</v>
      </c>
      <c r="G8230" s="545">
        <v>20.65</v>
      </c>
      <c r="H8230" s="545">
        <v>10.333333333333334</v>
      </c>
      <c r="I8230" s="545">
        <v>12</v>
      </c>
      <c r="J8230" s="545">
        <v>17.94047619047619</v>
      </c>
    </row>
    <row r="8231" spans="1:10">
      <c r="A8231" s="441">
        <v>7106</v>
      </c>
      <c r="B8231" s="441" t="s">
        <v>6613</v>
      </c>
      <c r="C8231" s="545">
        <v>346.83333333333331</v>
      </c>
      <c r="D8231" s="545">
        <v>236.33333333333331</v>
      </c>
      <c r="E8231" s="545">
        <v>171</v>
      </c>
      <c r="F8231" s="545">
        <v>305.92857142857144</v>
      </c>
      <c r="G8231" s="545">
        <v>242.6</v>
      </c>
      <c r="H8231" s="545">
        <v>147.66666666666666</v>
      </c>
      <c r="I8231" s="545">
        <v>146.33333333333334</v>
      </c>
      <c r="J8231" s="545">
        <v>215.28571428571428</v>
      </c>
    </row>
    <row r="8232" spans="1:10">
      <c r="A8232" s="441">
        <v>7724</v>
      </c>
      <c r="B8232" s="441" t="s">
        <v>6613</v>
      </c>
      <c r="C8232" s="545">
        <v>326.83333333333337</v>
      </c>
      <c r="D8232" s="545">
        <v>210.66666666666666</v>
      </c>
      <c r="E8232" s="545">
        <v>183.66666666666666</v>
      </c>
      <c r="F8232" s="545">
        <v>289.78571428571433</v>
      </c>
      <c r="G8232" s="545">
        <v>219.55</v>
      </c>
      <c r="H8232" s="545">
        <v>134.66666666666666</v>
      </c>
      <c r="I8232" s="545">
        <v>129.33333333333334</v>
      </c>
      <c r="J8232" s="545">
        <v>194.53571428571428</v>
      </c>
    </row>
    <row r="8233" spans="1:10">
      <c r="A8233" s="441">
        <v>515</v>
      </c>
      <c r="B8233" s="441" t="s">
        <v>6614</v>
      </c>
      <c r="C8233" s="545">
        <v>26.666666666666664</v>
      </c>
      <c r="D8233" s="545">
        <v>16.666666666666668</v>
      </c>
      <c r="E8233" s="545">
        <v>12.333333333333332</v>
      </c>
      <c r="F8233" s="545">
        <v>23.190476190476186</v>
      </c>
      <c r="G8233" s="545">
        <v>30.8</v>
      </c>
      <c r="H8233" s="545">
        <v>18.666666666666668</v>
      </c>
      <c r="I8233" s="545">
        <v>24.666666666666668</v>
      </c>
      <c r="J8233" s="545">
        <v>28.190476190476186</v>
      </c>
    </row>
    <row r="8234" spans="1:10">
      <c r="A8234" s="441">
        <v>2956</v>
      </c>
      <c r="B8234" s="441" t="s">
        <v>6615</v>
      </c>
      <c r="C8234" s="545">
        <v>124</v>
      </c>
      <c r="D8234" s="545">
        <v>65</v>
      </c>
      <c r="E8234" s="545">
        <v>58.666666666666671</v>
      </c>
      <c r="F8234" s="545">
        <v>106.23809523809523</v>
      </c>
      <c r="G8234" s="545">
        <v>79.900000000000006</v>
      </c>
      <c r="H8234" s="545">
        <v>43</v>
      </c>
      <c r="I8234" s="545">
        <v>34.333333333333336</v>
      </c>
      <c r="J8234" s="545">
        <v>68.11904761904762</v>
      </c>
    </row>
    <row r="8235" spans="1:10">
      <c r="A8235" s="441">
        <v>3428</v>
      </c>
      <c r="B8235" s="441" t="s">
        <v>6615</v>
      </c>
      <c r="C8235" s="545">
        <v>149.66666666666669</v>
      </c>
      <c r="D8235" s="545">
        <v>84.333333333333343</v>
      </c>
      <c r="E8235" s="545">
        <v>75</v>
      </c>
      <c r="F8235" s="545">
        <v>129.66666666666669</v>
      </c>
      <c r="G8235" s="545">
        <v>108.1</v>
      </c>
      <c r="H8235" s="545">
        <v>62.666666666666664</v>
      </c>
      <c r="I8235" s="545">
        <v>51.333333333333336</v>
      </c>
      <c r="J8235" s="545">
        <v>93.5</v>
      </c>
    </row>
    <row r="8236" spans="1:10">
      <c r="A8236" s="441">
        <v>138</v>
      </c>
      <c r="B8236" s="441" t="s">
        <v>6616</v>
      </c>
      <c r="C8236" s="545">
        <v>201.83333333333331</v>
      </c>
      <c r="D8236" s="545">
        <v>154.66666666666666</v>
      </c>
      <c r="E8236" s="545">
        <v>122.66666666666667</v>
      </c>
      <c r="F8236" s="545">
        <v>183.78571428571428</v>
      </c>
      <c r="G8236" s="545">
        <v>100.25</v>
      </c>
      <c r="H8236" s="545">
        <v>74.333333333333329</v>
      </c>
      <c r="I8236" s="545">
        <v>90.666666666666671</v>
      </c>
      <c r="J8236" s="545">
        <v>95.178571428571431</v>
      </c>
    </row>
    <row r="8237" spans="1:10">
      <c r="A8237" s="441">
        <v>8167</v>
      </c>
      <c r="B8237" s="441" t="s">
        <v>6616</v>
      </c>
      <c r="C8237" s="545">
        <v>178.16666666666666</v>
      </c>
      <c r="D8237" s="545">
        <v>140.66666666666666</v>
      </c>
      <c r="E8237" s="545">
        <v>111</v>
      </c>
      <c r="F8237" s="545">
        <v>163.21428571428572</v>
      </c>
      <c r="G8237" s="545">
        <v>101.1</v>
      </c>
      <c r="H8237" s="545">
        <v>63</v>
      </c>
      <c r="I8237" s="545">
        <v>77</v>
      </c>
      <c r="J8237" s="545">
        <v>92.214285714285708</v>
      </c>
    </row>
    <row r="8238" spans="1:10">
      <c r="A8238" s="441">
        <v>7120</v>
      </c>
      <c r="B8238" s="441" t="s">
        <v>6617</v>
      </c>
      <c r="C8238" s="545">
        <v>49.333333333333336</v>
      </c>
      <c r="D8238" s="545">
        <v>29</v>
      </c>
      <c r="E8238" s="545">
        <v>32</v>
      </c>
      <c r="F8238" s="545">
        <v>43.952380952380956</v>
      </c>
      <c r="G8238" s="545">
        <v>38.25</v>
      </c>
      <c r="H8238" s="545">
        <v>23</v>
      </c>
      <c r="I8238" s="545">
        <v>27.666666666666668</v>
      </c>
      <c r="J8238" s="545">
        <v>34.55952380952381</v>
      </c>
    </row>
    <row r="8239" spans="1:10">
      <c r="A8239" s="441">
        <v>8814</v>
      </c>
      <c r="B8239" s="441" t="s">
        <v>6617</v>
      </c>
      <c r="C8239" s="545">
        <v>229.16666666666669</v>
      </c>
      <c r="D8239" s="545">
        <v>179.66666666666669</v>
      </c>
      <c r="E8239" s="545">
        <v>156</v>
      </c>
      <c r="F8239" s="545">
        <v>211.64285714285717</v>
      </c>
      <c r="G8239" s="545">
        <v>166.15</v>
      </c>
      <c r="H8239" s="545">
        <v>110.33333333333333</v>
      </c>
      <c r="I8239" s="545">
        <v>106.66666666666667</v>
      </c>
      <c r="J8239" s="545">
        <v>149.67857142857142</v>
      </c>
    </row>
    <row r="8240" spans="1:10">
      <c r="A8240" s="441">
        <v>7899</v>
      </c>
      <c r="B8240" s="441" t="s">
        <v>6618</v>
      </c>
      <c r="C8240" s="545">
        <v>265.66666666666669</v>
      </c>
      <c r="D8240" s="545">
        <v>217</v>
      </c>
      <c r="E8240" s="545">
        <v>166</v>
      </c>
      <c r="F8240" s="545">
        <v>244.47619047619051</v>
      </c>
      <c r="G8240" s="545">
        <v>158.94999999999999</v>
      </c>
      <c r="H8240" s="545">
        <v>143.33333333333334</v>
      </c>
      <c r="I8240" s="545">
        <v>93</v>
      </c>
      <c r="J8240" s="545">
        <v>147.29761904761907</v>
      </c>
    </row>
    <row r="8241" spans="1:10">
      <c r="A8241" s="441">
        <v>8173</v>
      </c>
      <c r="B8241" s="441" t="s">
        <v>6618</v>
      </c>
      <c r="C8241" s="545">
        <v>293.33333333333331</v>
      </c>
      <c r="D8241" s="545">
        <v>253.33333333333331</v>
      </c>
      <c r="E8241" s="545">
        <v>191.66666666666669</v>
      </c>
      <c r="F8241" s="545">
        <v>273.09523809523807</v>
      </c>
      <c r="G8241" s="545">
        <v>184.95</v>
      </c>
      <c r="H8241" s="545">
        <v>154.66666666666666</v>
      </c>
      <c r="I8241" s="545">
        <v>111.33333333333333</v>
      </c>
      <c r="J8241" s="545">
        <v>170.10714285714286</v>
      </c>
    </row>
    <row r="8242" spans="1:10">
      <c r="A8242" s="441">
        <v>5652</v>
      </c>
      <c r="B8242" s="441" t="s">
        <v>6619</v>
      </c>
      <c r="C8242" s="545">
        <v>83.333333333333329</v>
      </c>
      <c r="D8242" s="545">
        <v>54.333333333333329</v>
      </c>
      <c r="E8242" s="545">
        <v>44.666666666666664</v>
      </c>
      <c r="F8242" s="545">
        <v>73.666666666666657</v>
      </c>
      <c r="G8242" s="545">
        <v>75.25</v>
      </c>
      <c r="H8242" s="545">
        <v>43.333333333333336</v>
      </c>
      <c r="I8242" s="545">
        <v>48.666666666666664</v>
      </c>
      <c r="J8242" s="545">
        <v>66.892857142857139</v>
      </c>
    </row>
    <row r="8243" spans="1:10">
      <c r="A8243" s="441">
        <v>5659</v>
      </c>
      <c r="B8243" s="441" t="s">
        <v>6619</v>
      </c>
      <c r="C8243" s="545">
        <v>38</v>
      </c>
      <c r="D8243" s="545">
        <v>36</v>
      </c>
      <c r="E8243" s="545">
        <v>25</v>
      </c>
      <c r="F8243" s="545">
        <v>35.857142857142854</v>
      </c>
      <c r="G8243" s="545">
        <v>27.6</v>
      </c>
      <c r="H8243" s="545">
        <v>28</v>
      </c>
      <c r="I8243" s="545">
        <v>27.666666666666668</v>
      </c>
      <c r="J8243" s="545">
        <v>27.666666666666664</v>
      </c>
    </row>
    <row r="8244" spans="1:10">
      <c r="A8244" s="441">
        <v>5660</v>
      </c>
      <c r="B8244" s="441" t="s">
        <v>6620</v>
      </c>
      <c r="C8244" s="545">
        <v>69.833333333333343</v>
      </c>
      <c r="D8244" s="545">
        <v>55.333333333333329</v>
      </c>
      <c r="E8244" s="545">
        <v>47.666666666666664</v>
      </c>
      <c r="F8244" s="545">
        <v>64.595238095238102</v>
      </c>
      <c r="G8244" s="545">
        <v>57.1</v>
      </c>
      <c r="H8244" s="545">
        <v>38.333333333333336</v>
      </c>
      <c r="I8244" s="545">
        <v>31</v>
      </c>
      <c r="J8244" s="545">
        <v>50.69047619047619</v>
      </c>
    </row>
    <row r="8245" spans="1:10">
      <c r="A8245" s="441">
        <v>2952</v>
      </c>
      <c r="B8245" s="441" t="s">
        <v>6621</v>
      </c>
      <c r="C8245" s="545">
        <v>73.333333333333329</v>
      </c>
      <c r="D8245" s="545">
        <v>52.666666666666664</v>
      </c>
      <c r="E8245" s="545">
        <v>45.666666666666664</v>
      </c>
      <c r="F8245" s="545">
        <v>66.428571428571431</v>
      </c>
      <c r="G8245" s="545">
        <v>43.4</v>
      </c>
      <c r="H8245" s="545">
        <v>27</v>
      </c>
      <c r="I8245" s="545">
        <v>27</v>
      </c>
      <c r="J8245" s="545">
        <v>38.714285714285715</v>
      </c>
    </row>
    <row r="8246" spans="1:10">
      <c r="A8246" s="441">
        <v>3432</v>
      </c>
      <c r="B8246" s="441" t="s">
        <v>6621</v>
      </c>
      <c r="C8246" s="545">
        <v>84.5</v>
      </c>
      <c r="D8246" s="545">
        <v>64.666666666666657</v>
      </c>
      <c r="E8246" s="545">
        <v>47.666666666666671</v>
      </c>
      <c r="F8246" s="545">
        <v>76.404761904761898</v>
      </c>
      <c r="G8246" s="545">
        <v>53.35</v>
      </c>
      <c r="H8246" s="545">
        <v>38.666666666666664</v>
      </c>
      <c r="I8246" s="545">
        <v>29</v>
      </c>
      <c r="J8246" s="545">
        <v>47.773809523809526</v>
      </c>
    </row>
    <row r="8247" spans="1:10">
      <c r="A8247" s="441">
        <v>7118</v>
      </c>
      <c r="B8247" s="441" t="s">
        <v>6622</v>
      </c>
      <c r="C8247" s="545">
        <v>187.83333333333334</v>
      </c>
      <c r="D8247" s="545">
        <v>167.33333333333331</v>
      </c>
      <c r="E8247" s="545">
        <v>113</v>
      </c>
      <c r="F8247" s="545">
        <v>174.21428571428572</v>
      </c>
      <c r="G8247" s="545">
        <v>139.94999999999999</v>
      </c>
      <c r="H8247" s="545">
        <v>106.33333333333333</v>
      </c>
      <c r="I8247" s="545">
        <v>93.333333333333329</v>
      </c>
      <c r="J8247" s="545">
        <v>128.48809523809524</v>
      </c>
    </row>
    <row r="8248" spans="1:10">
      <c r="A8248" s="441">
        <v>8816</v>
      </c>
      <c r="B8248" s="441" t="s">
        <v>6622</v>
      </c>
      <c r="C8248" s="545">
        <v>160.66666666666669</v>
      </c>
      <c r="D8248" s="545">
        <v>135</v>
      </c>
      <c r="E8248" s="545">
        <v>97.333333333333343</v>
      </c>
      <c r="F8248" s="545">
        <v>147.95238095238096</v>
      </c>
      <c r="G8248" s="545">
        <v>110.1</v>
      </c>
      <c r="H8248" s="545">
        <v>91</v>
      </c>
      <c r="I8248" s="545">
        <v>69.666666666666671</v>
      </c>
      <c r="J8248" s="545">
        <v>101.59523809523809</v>
      </c>
    </row>
    <row r="8249" spans="1:10">
      <c r="A8249" s="441">
        <v>8817</v>
      </c>
      <c r="B8249" s="441" t="s">
        <v>6623</v>
      </c>
      <c r="C8249" s="545">
        <v>265.5</v>
      </c>
      <c r="D8249" s="545">
        <v>235.66666666666669</v>
      </c>
      <c r="E8249" s="545">
        <v>216.66666666666669</v>
      </c>
      <c r="F8249" s="545">
        <v>254.26190476190479</v>
      </c>
      <c r="G8249" s="545">
        <v>175.55</v>
      </c>
      <c r="H8249" s="545">
        <v>151.33333333333334</v>
      </c>
      <c r="I8249" s="545">
        <v>142</v>
      </c>
      <c r="J8249" s="545">
        <v>167.29761904761904</v>
      </c>
    </row>
    <row r="8250" spans="1:10">
      <c r="A8250" s="441">
        <v>128</v>
      </c>
      <c r="B8250" s="441" t="s">
        <v>6624</v>
      </c>
      <c r="C8250" s="545">
        <v>7.3333333333333339</v>
      </c>
      <c r="D8250" s="545">
        <v>4.666666666666667</v>
      </c>
      <c r="E8250" s="545">
        <v>4</v>
      </c>
      <c r="F8250" s="545">
        <v>6.4761904761904763</v>
      </c>
      <c r="G8250" s="545">
        <v>2.85</v>
      </c>
      <c r="H8250" s="545">
        <v>2.3333333333333335</v>
      </c>
      <c r="I8250" s="545">
        <v>2.6666666666666665</v>
      </c>
      <c r="J8250" s="545">
        <v>2.75</v>
      </c>
    </row>
    <row r="8251" spans="1:10">
      <c r="A8251" s="441">
        <v>5649</v>
      </c>
      <c r="B8251" s="441" t="s">
        <v>6624</v>
      </c>
      <c r="C8251" s="545">
        <v>7.666666666666667</v>
      </c>
      <c r="D8251" s="545">
        <v>5.6666666666666661</v>
      </c>
      <c r="E8251" s="545">
        <v>1.3333333333333333</v>
      </c>
      <c r="F8251" s="545">
        <v>6.4761904761904763</v>
      </c>
      <c r="G8251" s="545">
        <v>5.8</v>
      </c>
      <c r="H8251" s="545">
        <v>5</v>
      </c>
      <c r="I8251" s="545">
        <v>2.3333333333333335</v>
      </c>
      <c r="J8251" s="545">
        <v>5.1904761904761907</v>
      </c>
    </row>
    <row r="8252" spans="1:10">
      <c r="A8252" s="441">
        <v>5647</v>
      </c>
      <c r="B8252" s="441" t="s">
        <v>6625</v>
      </c>
      <c r="C8252" s="545">
        <v>16</v>
      </c>
      <c r="D8252" s="545">
        <v>7.3333333333333339</v>
      </c>
      <c r="E8252" s="545">
        <v>6.333333333333333</v>
      </c>
      <c r="F8252" s="545">
        <v>13.38095238095238</v>
      </c>
      <c r="G8252" s="545">
        <v>12.75</v>
      </c>
      <c r="H8252" s="545">
        <v>4.666666666666667</v>
      </c>
      <c r="I8252" s="545">
        <v>6.333333333333333</v>
      </c>
      <c r="J8252" s="545">
        <v>10.678571428571429</v>
      </c>
    </row>
    <row r="8253" spans="1:10">
      <c r="A8253" s="441">
        <v>7895</v>
      </c>
      <c r="B8253" s="441" t="s">
        <v>6626</v>
      </c>
      <c r="C8253" s="545">
        <v>212.33333333333334</v>
      </c>
      <c r="D8253" s="545">
        <v>150</v>
      </c>
      <c r="E8253" s="545">
        <v>116.33333333333333</v>
      </c>
      <c r="F8253" s="545">
        <v>189.71428571428572</v>
      </c>
      <c r="G8253" s="545">
        <v>148.4</v>
      </c>
      <c r="H8253" s="545">
        <v>112.33333333333333</v>
      </c>
      <c r="I8253" s="545">
        <v>91</v>
      </c>
      <c r="J8253" s="545">
        <v>135.04761904761907</v>
      </c>
    </row>
    <row r="8254" spans="1:10">
      <c r="A8254" s="441">
        <v>8775</v>
      </c>
      <c r="B8254" s="441" t="s">
        <v>6626</v>
      </c>
      <c r="C8254" s="545">
        <v>177.33333333333331</v>
      </c>
      <c r="D8254" s="545">
        <v>123.66666666666667</v>
      </c>
      <c r="E8254" s="545">
        <v>106</v>
      </c>
      <c r="F8254" s="545">
        <v>159.47619047619042</v>
      </c>
      <c r="G8254" s="545">
        <v>126.45</v>
      </c>
      <c r="H8254" s="545">
        <v>82</v>
      </c>
      <c r="I8254" s="545">
        <v>70.666666666666671</v>
      </c>
      <c r="J8254" s="545">
        <v>112.13095238095238</v>
      </c>
    </row>
    <row r="8255" spans="1:10">
      <c r="A8255" s="441">
        <v>7128</v>
      </c>
      <c r="B8255" s="441" t="s">
        <v>6627</v>
      </c>
      <c r="C8255" s="545">
        <v>105</v>
      </c>
      <c r="D8255" s="545">
        <v>89.333333333333329</v>
      </c>
      <c r="E8255" s="545">
        <v>69</v>
      </c>
      <c r="F8255" s="545">
        <v>97.61904761904762</v>
      </c>
      <c r="G8255" s="545">
        <v>105.05</v>
      </c>
      <c r="H8255" s="545">
        <v>77.666666666666671</v>
      </c>
      <c r="I8255" s="545">
        <v>66</v>
      </c>
      <c r="J8255" s="545">
        <v>95.55952380952381</v>
      </c>
    </row>
    <row r="8256" spans="1:10">
      <c r="A8256" s="441">
        <v>8803</v>
      </c>
      <c r="B8256" s="441" t="s">
        <v>6627</v>
      </c>
      <c r="C8256" s="545">
        <v>141.5</v>
      </c>
      <c r="D8256" s="545">
        <v>116</v>
      </c>
      <c r="E8256" s="545">
        <v>107</v>
      </c>
      <c r="F8256" s="545">
        <v>132.92857142857142</v>
      </c>
      <c r="G8256" s="545">
        <v>129.69999999999999</v>
      </c>
      <c r="H8256" s="545">
        <v>101.66666666666667</v>
      </c>
      <c r="I8256" s="545">
        <v>84</v>
      </c>
      <c r="J8256" s="545">
        <v>119.16666666666666</v>
      </c>
    </row>
    <row r="8257" spans="1:10">
      <c r="A8257" s="441">
        <v>5153</v>
      </c>
      <c r="B8257" s="441" t="s">
        <v>6628</v>
      </c>
      <c r="C8257" s="545">
        <v>29</v>
      </c>
      <c r="D8257" s="545">
        <v>14</v>
      </c>
      <c r="E8257" s="545">
        <v>6</v>
      </c>
      <c r="F8257" s="545">
        <v>23.571428571428573</v>
      </c>
      <c r="G8257" s="545">
        <v>23.55</v>
      </c>
      <c r="H8257" s="545">
        <v>14.666666666666666</v>
      </c>
      <c r="I8257" s="545">
        <v>13.666666666666666</v>
      </c>
      <c r="J8257" s="545">
        <v>20.869047619047617</v>
      </c>
    </row>
    <row r="8258" spans="1:10">
      <c r="A8258" s="441">
        <v>7121</v>
      </c>
      <c r="B8258" s="441" t="s">
        <v>6629</v>
      </c>
      <c r="C8258" s="545">
        <v>210.33333333333331</v>
      </c>
      <c r="D8258" s="545">
        <v>153.33333333333334</v>
      </c>
      <c r="E8258" s="545">
        <v>125.33333333333334</v>
      </c>
      <c r="F8258" s="545">
        <v>190.04761904761901</v>
      </c>
      <c r="G8258" s="545">
        <v>146.25</v>
      </c>
      <c r="H8258" s="545">
        <v>123.33333333333333</v>
      </c>
      <c r="I8258" s="545">
        <v>110</v>
      </c>
      <c r="J8258" s="545">
        <v>137.79761904761907</v>
      </c>
    </row>
    <row r="8259" spans="1:10">
      <c r="A8259" s="441">
        <v>8813</v>
      </c>
      <c r="B8259" s="441" t="s">
        <v>6629</v>
      </c>
      <c r="C8259" s="545">
        <v>143.66666666666669</v>
      </c>
      <c r="D8259" s="545">
        <v>110.33333333333334</v>
      </c>
      <c r="E8259" s="545">
        <v>71.333333333333343</v>
      </c>
      <c r="F8259" s="545">
        <v>128.57142857142861</v>
      </c>
      <c r="G8259" s="545">
        <v>122.1</v>
      </c>
      <c r="H8259" s="545">
        <v>86</v>
      </c>
      <c r="I8259" s="545">
        <v>77.666666666666671</v>
      </c>
      <c r="J8259" s="545">
        <v>110.59523809523809</v>
      </c>
    </row>
    <row r="8260" spans="1:10">
      <c r="A8260" s="441">
        <v>7109</v>
      </c>
      <c r="B8260" s="441" t="s">
        <v>6630</v>
      </c>
      <c r="C8260" s="545">
        <v>233.83333333333331</v>
      </c>
      <c r="D8260" s="545">
        <v>162.33333333333331</v>
      </c>
      <c r="E8260" s="545">
        <v>127.33333333333334</v>
      </c>
      <c r="F8260" s="545">
        <v>208.40476190476187</v>
      </c>
      <c r="G8260" s="545">
        <v>164.35</v>
      </c>
      <c r="H8260" s="545">
        <v>127</v>
      </c>
      <c r="I8260" s="545">
        <v>105.33333333333333</v>
      </c>
      <c r="J8260" s="545">
        <v>150.58333333333331</v>
      </c>
    </row>
    <row r="8261" spans="1:10">
      <c r="A8261" s="441">
        <v>7721</v>
      </c>
      <c r="B8261" s="441" t="s">
        <v>6630</v>
      </c>
      <c r="C8261" s="545">
        <v>247.83333333333334</v>
      </c>
      <c r="D8261" s="545">
        <v>183</v>
      </c>
      <c r="E8261" s="545">
        <v>133.66666666666666</v>
      </c>
      <c r="F8261" s="545">
        <v>222.26190476190479</v>
      </c>
      <c r="G8261" s="545">
        <v>200.35</v>
      </c>
      <c r="H8261" s="545">
        <v>136.66666666666666</v>
      </c>
      <c r="I8261" s="545">
        <v>105</v>
      </c>
      <c r="J8261" s="545">
        <v>177.63095238095238</v>
      </c>
    </row>
    <row r="8262" spans="1:10">
      <c r="A8262" s="441">
        <v>7126</v>
      </c>
      <c r="B8262" s="441" t="s">
        <v>6631</v>
      </c>
      <c r="C8262" s="545">
        <v>531.66666666666663</v>
      </c>
      <c r="D8262" s="545">
        <v>402.33333333333337</v>
      </c>
      <c r="E8262" s="545">
        <v>312.66666666666669</v>
      </c>
      <c r="F8262" s="545">
        <v>481.90476190476187</v>
      </c>
      <c r="G8262" s="545">
        <v>363.2</v>
      </c>
      <c r="H8262" s="545">
        <v>256</v>
      </c>
      <c r="I8262" s="545">
        <v>248</v>
      </c>
      <c r="J8262" s="545">
        <v>331.42857142857144</v>
      </c>
    </row>
    <row r="8263" spans="1:10">
      <c r="A8263" s="441">
        <v>8806</v>
      </c>
      <c r="B8263" s="441" t="s">
        <v>6631</v>
      </c>
      <c r="C8263" s="545">
        <v>196.66666666666666</v>
      </c>
      <c r="D8263" s="545">
        <v>144.33333333333331</v>
      </c>
      <c r="E8263" s="545">
        <v>106.33333333333333</v>
      </c>
      <c r="F8263" s="545">
        <v>176.28571428571425</v>
      </c>
      <c r="G8263" s="545">
        <v>159.19999999999999</v>
      </c>
      <c r="H8263" s="545">
        <v>124.33333333333333</v>
      </c>
      <c r="I8263" s="545">
        <v>100.33333333333333</v>
      </c>
      <c r="J8263" s="545">
        <v>145.80952380952382</v>
      </c>
    </row>
    <row r="8264" spans="1:10">
      <c r="A8264" s="441">
        <v>8169</v>
      </c>
      <c r="B8264" s="441" t="s">
        <v>6632</v>
      </c>
      <c r="C8264" s="545">
        <v>93.166666666666657</v>
      </c>
      <c r="D8264" s="545">
        <v>70.333333333333329</v>
      </c>
      <c r="E8264" s="545">
        <v>59.666666666666671</v>
      </c>
      <c r="F8264" s="545">
        <v>85.119047619047606</v>
      </c>
      <c r="G8264" s="545">
        <v>75.95</v>
      </c>
      <c r="H8264" s="545">
        <v>66.666666666666671</v>
      </c>
      <c r="I8264" s="545">
        <v>50.333333333333336</v>
      </c>
      <c r="J8264" s="545">
        <v>70.964285714285708</v>
      </c>
    </row>
    <row r="8265" spans="1:10">
      <c r="A8265" s="441">
        <v>5156</v>
      </c>
      <c r="B8265" s="441" t="s">
        <v>6633</v>
      </c>
      <c r="C8265" s="545">
        <v>19</v>
      </c>
      <c r="D8265" s="545">
        <v>13</v>
      </c>
      <c r="E8265" s="545">
        <v>16</v>
      </c>
      <c r="F8265" s="545">
        <v>17.714285714285715</v>
      </c>
      <c r="G8265" s="545">
        <v>15.8</v>
      </c>
      <c r="H8265" s="545">
        <v>7.333333333333333</v>
      </c>
      <c r="I8265" s="545">
        <v>12</v>
      </c>
      <c r="J8265" s="545">
        <v>14.047619047619047</v>
      </c>
    </row>
    <row r="8266" spans="1:10">
      <c r="A8266" s="441">
        <v>7111</v>
      </c>
      <c r="B8266" s="441" t="s">
        <v>6634</v>
      </c>
      <c r="C8266" s="545">
        <v>131.16666666666666</v>
      </c>
      <c r="D8266" s="545">
        <v>96.666666666666671</v>
      </c>
      <c r="E8266" s="545">
        <v>75.666666666666657</v>
      </c>
      <c r="F8266" s="545">
        <v>118.30952380952378</v>
      </c>
      <c r="G8266" s="545">
        <v>125.15</v>
      </c>
      <c r="H8266" s="545">
        <v>85.333333333333329</v>
      </c>
      <c r="I8266" s="545">
        <v>88.333333333333329</v>
      </c>
      <c r="J8266" s="545">
        <v>114.20238095238096</v>
      </c>
    </row>
    <row r="8267" spans="1:10">
      <c r="A8267" s="441">
        <v>7719</v>
      </c>
      <c r="B8267" s="441" t="s">
        <v>6634</v>
      </c>
      <c r="C8267" s="545">
        <v>164.5</v>
      </c>
      <c r="D8267" s="545">
        <v>116.66666666666667</v>
      </c>
      <c r="E8267" s="545">
        <v>87.666666666666657</v>
      </c>
      <c r="F8267" s="545">
        <v>146.69047619047618</v>
      </c>
      <c r="G8267" s="545">
        <v>150.4</v>
      </c>
      <c r="H8267" s="545">
        <v>110.33333333333333</v>
      </c>
      <c r="I8267" s="545">
        <v>99.666666666666671</v>
      </c>
      <c r="J8267" s="545">
        <v>137.42857142857142</v>
      </c>
    </row>
    <row r="8268" spans="1:10">
      <c r="A8268" s="441">
        <v>7905</v>
      </c>
      <c r="B8268" s="441" t="s">
        <v>6635</v>
      </c>
      <c r="C8268" s="545">
        <v>286.66666666666663</v>
      </c>
      <c r="D8268" s="545">
        <v>153.66666666666669</v>
      </c>
      <c r="E8268" s="545">
        <v>89</v>
      </c>
      <c r="F8268" s="545">
        <v>239.42857142857139</v>
      </c>
      <c r="G8268" s="545">
        <v>148.44999999999999</v>
      </c>
      <c r="H8268" s="545">
        <v>90.666666666666671</v>
      </c>
      <c r="I8268" s="545">
        <v>77.666666666666671</v>
      </c>
      <c r="J8268" s="545">
        <v>130.08333333333331</v>
      </c>
    </row>
    <row r="8269" spans="1:10">
      <c r="A8269" s="441">
        <v>8165</v>
      </c>
      <c r="B8269" s="441" t="s">
        <v>6635</v>
      </c>
      <c r="C8269" s="545">
        <v>301.5</v>
      </c>
      <c r="D8269" s="545">
        <v>172</v>
      </c>
      <c r="E8269" s="545">
        <v>113</v>
      </c>
      <c r="F8269" s="545">
        <v>256.07142857142856</v>
      </c>
      <c r="G8269" s="545">
        <v>175.95</v>
      </c>
      <c r="H8269" s="545">
        <v>108.66666666666667</v>
      </c>
      <c r="I8269" s="545">
        <v>89.666666666666671</v>
      </c>
      <c r="J8269" s="545">
        <v>154.01190476190476</v>
      </c>
    </row>
    <row r="8270" spans="1:10">
      <c r="A8270" s="441">
        <v>2950</v>
      </c>
      <c r="B8270" s="441" t="s">
        <v>6636</v>
      </c>
      <c r="C8270" s="545">
        <v>38.333333333333336</v>
      </c>
      <c r="D8270" s="545">
        <v>28.666666666666664</v>
      </c>
      <c r="E8270" s="545">
        <v>20</v>
      </c>
      <c r="F8270" s="545">
        <v>34.333333333333336</v>
      </c>
      <c r="G8270" s="545">
        <v>43.1</v>
      </c>
      <c r="H8270" s="545">
        <v>16.333333333333332</v>
      </c>
      <c r="I8270" s="545">
        <v>14.666666666666666</v>
      </c>
      <c r="J8270" s="545">
        <v>35.214285714285715</v>
      </c>
    </row>
    <row r="8271" spans="1:10">
      <c r="A8271" s="441">
        <v>3434</v>
      </c>
      <c r="B8271" s="441" t="s">
        <v>6636</v>
      </c>
      <c r="C8271" s="545">
        <v>46.5</v>
      </c>
      <c r="D8271" s="545">
        <v>28.666666666666668</v>
      </c>
      <c r="E8271" s="545">
        <v>16.333333333333336</v>
      </c>
      <c r="F8271" s="545">
        <v>39.642857142857146</v>
      </c>
      <c r="G8271" s="545">
        <v>24.5</v>
      </c>
      <c r="H8271" s="545">
        <v>11.666666666666666</v>
      </c>
      <c r="I8271" s="545">
        <v>14.666666666666666</v>
      </c>
      <c r="J8271" s="545">
        <v>21.261904761904759</v>
      </c>
    </row>
    <row r="8272" spans="1:10">
      <c r="A8272" s="441">
        <v>2962</v>
      </c>
      <c r="B8272" s="441" t="s">
        <v>6637</v>
      </c>
      <c r="C8272" s="545">
        <v>30</v>
      </c>
      <c r="D8272" s="545">
        <v>19.333333333333336</v>
      </c>
      <c r="E8272" s="545">
        <v>14</v>
      </c>
      <c r="F8272" s="545">
        <v>26.190476190476193</v>
      </c>
      <c r="G8272" s="545">
        <v>16.25</v>
      </c>
      <c r="H8272" s="545">
        <v>21</v>
      </c>
      <c r="I8272" s="545">
        <v>8.6666666666666661</v>
      </c>
      <c r="J8272" s="545">
        <v>15.845238095238097</v>
      </c>
    </row>
    <row r="8273" spans="1:10">
      <c r="A8273" s="441">
        <v>3422</v>
      </c>
      <c r="B8273" s="441" t="s">
        <v>6637</v>
      </c>
      <c r="C8273" s="545">
        <v>25</v>
      </c>
      <c r="D8273" s="545">
        <v>19.666666666666664</v>
      </c>
      <c r="E8273" s="545">
        <v>13.333333333333334</v>
      </c>
      <c r="F8273" s="545">
        <v>22.571428571428573</v>
      </c>
      <c r="G8273" s="545">
        <v>20.399999999999999</v>
      </c>
      <c r="H8273" s="545">
        <v>17</v>
      </c>
      <c r="I8273" s="545">
        <v>12.666666666666666</v>
      </c>
      <c r="J8273" s="545">
        <v>18.809523809523807</v>
      </c>
    </row>
    <row r="8274" spans="1:10">
      <c r="A8274" s="441">
        <v>7114</v>
      </c>
      <c r="B8274" s="441" t="s">
        <v>6638</v>
      </c>
      <c r="C8274" s="545">
        <v>465.33333333333331</v>
      </c>
      <c r="D8274" s="545">
        <v>341.33333333333331</v>
      </c>
      <c r="E8274" s="545">
        <v>266</v>
      </c>
      <c r="F8274" s="545">
        <v>419.14285714285717</v>
      </c>
      <c r="G8274" s="545">
        <v>360.85</v>
      </c>
      <c r="H8274" s="545">
        <v>261.33333333333331</v>
      </c>
      <c r="I8274" s="545">
        <v>241</v>
      </c>
      <c r="J8274" s="545">
        <v>329.51190476190476</v>
      </c>
    </row>
    <row r="8275" spans="1:10">
      <c r="A8275" s="441">
        <v>7716</v>
      </c>
      <c r="B8275" s="441" t="s">
        <v>6638</v>
      </c>
      <c r="C8275" s="545">
        <v>246.33333333333334</v>
      </c>
      <c r="D8275" s="545">
        <v>192.66666666666669</v>
      </c>
      <c r="E8275" s="545">
        <v>189.33333333333331</v>
      </c>
      <c r="F8275" s="545">
        <v>230.52380952380955</v>
      </c>
      <c r="G8275" s="545">
        <v>217.4</v>
      </c>
      <c r="H8275" s="545">
        <v>149.66666666666666</v>
      </c>
      <c r="I8275" s="545">
        <v>162.33333333333334</v>
      </c>
      <c r="J8275" s="545">
        <v>199.85714285714286</v>
      </c>
    </row>
    <row r="8276" spans="1:10">
      <c r="A8276" s="441">
        <v>8820</v>
      </c>
      <c r="B8276" s="441" t="s">
        <v>6638</v>
      </c>
      <c r="C8276" s="545">
        <v>263.83333333333337</v>
      </c>
      <c r="D8276" s="545">
        <v>214.66666666666666</v>
      </c>
      <c r="E8276" s="545">
        <v>173.33333333333331</v>
      </c>
      <c r="F8276" s="545">
        <v>243.88095238095244</v>
      </c>
      <c r="G8276" s="545">
        <v>232.6</v>
      </c>
      <c r="H8276" s="545">
        <v>180.66666666666666</v>
      </c>
      <c r="I8276" s="545">
        <v>144</v>
      </c>
      <c r="J8276" s="545">
        <v>212.52380952380955</v>
      </c>
    </row>
    <row r="8277" spans="1:10">
      <c r="A8277" s="441">
        <v>11656</v>
      </c>
      <c r="B8277" s="441" t="s">
        <v>6639</v>
      </c>
      <c r="C8277" s="545">
        <v>85.166666666666657</v>
      </c>
      <c r="D8277" s="545">
        <v>55.333333333333329</v>
      </c>
      <c r="E8277" s="545">
        <v>38</v>
      </c>
      <c r="F8277" s="545">
        <v>74.166666666666643</v>
      </c>
      <c r="G8277" s="545">
        <v>82.65</v>
      </c>
      <c r="H8277" s="545">
        <v>52.666666666666664</v>
      </c>
      <c r="I8277" s="545">
        <v>45.333333333333336</v>
      </c>
      <c r="J8277" s="545">
        <v>73.035714285714292</v>
      </c>
    </row>
    <row r="8278" spans="1:10">
      <c r="A8278" s="441">
        <v>8818</v>
      </c>
      <c r="B8278" s="441" t="s">
        <v>6640</v>
      </c>
      <c r="C8278" s="545">
        <v>37</v>
      </c>
      <c r="D8278" s="545">
        <v>32</v>
      </c>
      <c r="E8278" s="545">
        <v>36</v>
      </c>
      <c r="F8278" s="545">
        <v>36.142857142857146</v>
      </c>
      <c r="G8278" s="545">
        <v>30.9</v>
      </c>
      <c r="H8278" s="545">
        <v>24</v>
      </c>
      <c r="I8278" s="545">
        <v>25</v>
      </c>
      <c r="J8278" s="545">
        <v>29.071428571428573</v>
      </c>
    </row>
    <row r="8279" spans="1:10">
      <c r="A8279" s="441">
        <v>7122</v>
      </c>
      <c r="B8279" s="441" t="s">
        <v>6641</v>
      </c>
      <c r="C8279" s="545">
        <v>54.166666666666671</v>
      </c>
      <c r="D8279" s="545">
        <v>48.333333333333336</v>
      </c>
      <c r="E8279" s="545">
        <v>34.333333333333329</v>
      </c>
      <c r="F8279" s="545">
        <v>50.5</v>
      </c>
      <c r="G8279" s="545">
        <v>56.6</v>
      </c>
      <c r="H8279" s="545">
        <v>34.333333333333336</v>
      </c>
      <c r="I8279" s="545">
        <v>28.333333333333332</v>
      </c>
      <c r="J8279" s="545">
        <v>49.380952380952372</v>
      </c>
    </row>
    <row r="8280" spans="1:10">
      <c r="A8280" s="441">
        <v>8812</v>
      </c>
      <c r="B8280" s="441" t="s">
        <v>6641</v>
      </c>
      <c r="C8280" s="545">
        <v>66.5</v>
      </c>
      <c r="D8280" s="545">
        <v>45</v>
      </c>
      <c r="E8280" s="545">
        <v>26.666666666666664</v>
      </c>
      <c r="F8280" s="545">
        <v>57.738095238095241</v>
      </c>
      <c r="G8280" s="545">
        <v>48.55</v>
      </c>
      <c r="H8280" s="545">
        <v>33.333333333333336</v>
      </c>
      <c r="I8280" s="545">
        <v>20.666666666666668</v>
      </c>
      <c r="J8280" s="545">
        <v>42.392857142857146</v>
      </c>
    </row>
    <row r="8281" spans="1:10">
      <c r="A8281" s="441">
        <v>5655</v>
      </c>
      <c r="B8281" s="441" t="s">
        <v>6642</v>
      </c>
      <c r="C8281" s="545">
        <v>69.5</v>
      </c>
      <c r="D8281" s="545">
        <v>42.333333333333336</v>
      </c>
      <c r="E8281" s="545">
        <v>39</v>
      </c>
      <c r="F8281" s="545">
        <v>61.261904761904759</v>
      </c>
      <c r="G8281" s="545">
        <v>54.65</v>
      </c>
      <c r="H8281" s="545">
        <v>51</v>
      </c>
      <c r="I8281" s="545">
        <v>45.333333333333336</v>
      </c>
      <c r="J8281" s="545">
        <v>52.797619047619044</v>
      </c>
    </row>
    <row r="8282" spans="1:10">
      <c r="A8282" s="441">
        <v>10089</v>
      </c>
      <c r="B8282" s="441" t="s">
        <v>6642</v>
      </c>
      <c r="C8282" s="545">
        <v>88</v>
      </c>
      <c r="D8282" s="545">
        <v>62.333333333333329</v>
      </c>
      <c r="E8282" s="545">
        <v>53</v>
      </c>
      <c r="F8282" s="545">
        <v>79.333333333333329</v>
      </c>
      <c r="G8282" s="545">
        <v>53.35</v>
      </c>
      <c r="H8282" s="545">
        <v>42</v>
      </c>
      <c r="I8282" s="545">
        <v>39.666666666666664</v>
      </c>
      <c r="J8282" s="545">
        <v>49.773809523809526</v>
      </c>
    </row>
    <row r="8283" spans="1:10">
      <c r="A8283" s="441">
        <v>5154</v>
      </c>
      <c r="B8283" s="441" t="s">
        <v>6643</v>
      </c>
      <c r="C8283" s="545">
        <v>110.33333333333333</v>
      </c>
      <c r="D8283" s="545">
        <v>92.333333333333329</v>
      </c>
      <c r="E8283" s="545">
        <v>69.333333333333329</v>
      </c>
      <c r="F8283" s="545">
        <v>101.90476190476191</v>
      </c>
      <c r="G8283" s="545">
        <v>86.2</v>
      </c>
      <c r="H8283" s="545">
        <v>79.333333333333329</v>
      </c>
      <c r="I8283" s="545">
        <v>76</v>
      </c>
      <c r="J8283" s="545">
        <v>83.761904761904745</v>
      </c>
    </row>
    <row r="8284" spans="1:10">
      <c r="A8284" s="441">
        <v>5641</v>
      </c>
      <c r="B8284" s="441" t="s">
        <v>6643</v>
      </c>
      <c r="C8284" s="545">
        <v>112.5</v>
      </c>
      <c r="D8284" s="545">
        <v>89.333333333333343</v>
      </c>
      <c r="E8284" s="545">
        <v>61.666666666666664</v>
      </c>
      <c r="F8284" s="545">
        <v>101.92857142857143</v>
      </c>
      <c r="G8284" s="545">
        <v>75.45</v>
      </c>
      <c r="H8284" s="545">
        <v>58.666666666666664</v>
      </c>
      <c r="I8284" s="545">
        <v>58</v>
      </c>
      <c r="J8284" s="545">
        <v>70.55952380952381</v>
      </c>
    </row>
    <row r="8285" spans="1:10">
      <c r="A8285" s="441">
        <v>7907</v>
      </c>
      <c r="B8285" s="441" t="s">
        <v>6644</v>
      </c>
      <c r="C8285" s="545">
        <v>285.33333333333331</v>
      </c>
      <c r="D8285" s="545">
        <v>223.66666666666669</v>
      </c>
      <c r="E8285" s="545">
        <v>167</v>
      </c>
      <c r="F8285" s="545">
        <v>259.61904761904759</v>
      </c>
      <c r="G8285" s="545">
        <v>94.9</v>
      </c>
      <c r="H8285" s="545">
        <v>96.666666666666671</v>
      </c>
      <c r="I8285" s="545">
        <v>88</v>
      </c>
      <c r="J8285" s="545">
        <v>94.166666666666657</v>
      </c>
    </row>
    <row r="8286" spans="1:10">
      <c r="A8286" s="441">
        <v>8142</v>
      </c>
      <c r="B8286" s="441" t="s">
        <v>6644</v>
      </c>
      <c r="C8286" s="545">
        <v>93.333333333333343</v>
      </c>
      <c r="D8286" s="545">
        <v>84.666666666666657</v>
      </c>
      <c r="E8286" s="545">
        <v>53.333333333333329</v>
      </c>
      <c r="F8286" s="545">
        <v>86.380952380952394</v>
      </c>
      <c r="G8286" s="545">
        <v>67.55</v>
      </c>
      <c r="H8286" s="545">
        <v>55.333333333333336</v>
      </c>
      <c r="I8286" s="545">
        <v>51</v>
      </c>
      <c r="J8286" s="545">
        <v>63.44047619047619</v>
      </c>
    </row>
    <row r="8287" spans="1:10">
      <c r="A8287" s="441">
        <v>5663</v>
      </c>
      <c r="B8287" s="441" t="s">
        <v>6645</v>
      </c>
      <c r="C8287" s="545">
        <v>19</v>
      </c>
      <c r="D8287" s="545">
        <v>7.6666666666666661</v>
      </c>
      <c r="E8287" s="545">
        <v>2.666666666666667</v>
      </c>
      <c r="F8287" s="545">
        <v>15.047619047619049</v>
      </c>
      <c r="G8287" s="545">
        <v>12.2</v>
      </c>
      <c r="H8287" s="545">
        <v>4.666666666666667</v>
      </c>
      <c r="I8287" s="545">
        <v>5.333333333333333</v>
      </c>
      <c r="J8287" s="545">
        <v>10.142857142857142</v>
      </c>
    </row>
    <row r="8288" spans="1:10">
      <c r="A8288" s="441">
        <v>7119</v>
      </c>
      <c r="B8288" s="441" t="s">
        <v>6646</v>
      </c>
      <c r="C8288" s="545">
        <v>239.5</v>
      </c>
      <c r="D8288" s="545">
        <v>194.66666666666669</v>
      </c>
      <c r="E8288" s="545">
        <v>134.33333333333331</v>
      </c>
      <c r="F8288" s="545">
        <v>218.07142857142858</v>
      </c>
      <c r="G8288" s="545">
        <v>196.05</v>
      </c>
      <c r="H8288" s="545">
        <v>111.66666666666667</v>
      </c>
      <c r="I8288" s="545">
        <v>124</v>
      </c>
      <c r="J8288" s="545">
        <v>173.70238095238096</v>
      </c>
    </row>
    <row r="8289" spans="1:10">
      <c r="A8289" s="441">
        <v>8815</v>
      </c>
      <c r="B8289" s="441" t="s">
        <v>6646</v>
      </c>
      <c r="C8289" s="545">
        <v>241.16666666666669</v>
      </c>
      <c r="D8289" s="545">
        <v>172.66666666666669</v>
      </c>
      <c r="E8289" s="545">
        <v>144</v>
      </c>
      <c r="F8289" s="545">
        <v>217.50000000000003</v>
      </c>
      <c r="G8289" s="545">
        <v>186.85</v>
      </c>
      <c r="H8289" s="545">
        <v>140.33333333333334</v>
      </c>
      <c r="I8289" s="545">
        <v>120.66666666666667</v>
      </c>
      <c r="J8289" s="545">
        <v>170.75</v>
      </c>
    </row>
    <row r="8290" spans="1:10">
      <c r="A8290" s="441">
        <v>7116</v>
      </c>
      <c r="B8290" s="441" t="s">
        <v>6647</v>
      </c>
      <c r="C8290" s="545">
        <v>55.833333333333329</v>
      </c>
      <c r="D8290" s="545">
        <v>54.666666666666664</v>
      </c>
      <c r="E8290" s="545">
        <v>37.333333333333336</v>
      </c>
      <c r="F8290" s="545">
        <v>53.023809523809518</v>
      </c>
      <c r="G8290" s="545">
        <v>59.95</v>
      </c>
      <c r="H8290" s="545">
        <v>33.333333333333336</v>
      </c>
      <c r="I8290" s="545">
        <v>30.333333333333332</v>
      </c>
      <c r="J8290" s="545">
        <v>51.916666666666664</v>
      </c>
    </row>
    <row r="8291" spans="1:10">
      <c r="A8291" s="441">
        <v>2953</v>
      </c>
      <c r="B8291" s="441" t="s">
        <v>6648</v>
      </c>
      <c r="C8291" s="545">
        <v>37.833333333333336</v>
      </c>
      <c r="D8291" s="545">
        <v>24.333333333333332</v>
      </c>
      <c r="E8291" s="545">
        <v>18</v>
      </c>
      <c r="F8291" s="545">
        <v>33.071428571428577</v>
      </c>
      <c r="G8291" s="545">
        <v>24.6</v>
      </c>
      <c r="H8291" s="545">
        <v>22.666666666666668</v>
      </c>
      <c r="I8291" s="545">
        <v>21.333333333333332</v>
      </c>
      <c r="J8291" s="545">
        <v>23.857142857142858</v>
      </c>
    </row>
    <row r="8292" spans="1:10">
      <c r="A8292" s="441">
        <v>5140</v>
      </c>
      <c r="B8292" s="441" t="s">
        <v>6649</v>
      </c>
      <c r="C8292" s="545">
        <v>295</v>
      </c>
      <c r="D8292" s="545">
        <v>324</v>
      </c>
      <c r="E8292" s="545">
        <v>226</v>
      </c>
      <c r="F8292" s="545">
        <v>289.28571428571428</v>
      </c>
      <c r="G8292" s="545">
        <v>220.3</v>
      </c>
      <c r="H8292" s="545">
        <v>176.33333333333334</v>
      </c>
      <c r="I8292" s="545">
        <v>171.33333333333334</v>
      </c>
      <c r="J8292" s="545">
        <v>207.02380952380949</v>
      </c>
    </row>
    <row r="8293" spans="1:10">
      <c r="A8293" s="441">
        <v>7102</v>
      </c>
      <c r="B8293" s="441" t="s">
        <v>6649</v>
      </c>
      <c r="C8293" s="545">
        <v>243.83333333333331</v>
      </c>
      <c r="D8293" s="545">
        <v>241</v>
      </c>
      <c r="E8293" s="545">
        <v>173</v>
      </c>
      <c r="F8293" s="545">
        <v>233.3095238095238</v>
      </c>
      <c r="G8293" s="545">
        <v>169.6</v>
      </c>
      <c r="H8293" s="545">
        <v>151.66666666666666</v>
      </c>
      <c r="I8293" s="545">
        <v>129.66666666666666</v>
      </c>
      <c r="J8293" s="545">
        <v>161.33333333333331</v>
      </c>
    </row>
    <row r="8294" spans="1:10">
      <c r="A8294" s="441">
        <v>5654</v>
      </c>
      <c r="B8294" s="441" t="s">
        <v>6650</v>
      </c>
      <c r="C8294" s="545">
        <v>34.333333333333336</v>
      </c>
      <c r="D8294" s="545">
        <v>21.333333333333332</v>
      </c>
      <c r="E8294" s="545">
        <v>15</v>
      </c>
      <c r="F8294" s="545">
        <v>29.714285714285719</v>
      </c>
      <c r="G8294" s="545">
        <v>35.85</v>
      </c>
      <c r="H8294" s="545">
        <v>16.333333333333332</v>
      </c>
      <c r="I8294" s="545">
        <v>20</v>
      </c>
      <c r="J8294" s="545">
        <v>30.797619047619047</v>
      </c>
    </row>
    <row r="8295" spans="1:10">
      <c r="A8295" s="441">
        <v>5657</v>
      </c>
      <c r="B8295" s="441" t="s">
        <v>6650</v>
      </c>
      <c r="C8295" s="545">
        <v>43.666666666666664</v>
      </c>
      <c r="D8295" s="545">
        <v>26</v>
      </c>
      <c r="E8295" s="545">
        <v>17.333333333333336</v>
      </c>
      <c r="F8295" s="545">
        <v>37.380952380952372</v>
      </c>
      <c r="G8295" s="545">
        <v>39.799999999999997</v>
      </c>
      <c r="H8295" s="545">
        <v>16.333333333333332</v>
      </c>
      <c r="I8295" s="545">
        <v>19.333333333333332</v>
      </c>
      <c r="J8295" s="545">
        <v>33.523809523809526</v>
      </c>
    </row>
    <row r="8296" spans="1:10">
      <c r="A8296" s="441">
        <v>2958</v>
      </c>
      <c r="B8296" s="441" t="s">
        <v>6651</v>
      </c>
      <c r="C8296" s="545">
        <v>303.66666666666663</v>
      </c>
      <c r="D8296" s="545">
        <v>260</v>
      </c>
      <c r="E8296" s="545">
        <v>208</v>
      </c>
      <c r="F8296" s="545">
        <v>283.7619047619047</v>
      </c>
      <c r="G8296" s="545">
        <v>137.65</v>
      </c>
      <c r="H8296" s="545">
        <v>125.33333333333333</v>
      </c>
      <c r="I8296" s="545">
        <v>119.66666666666667</v>
      </c>
      <c r="J8296" s="545">
        <v>133.32142857142858</v>
      </c>
    </row>
    <row r="8297" spans="1:10">
      <c r="A8297" s="441">
        <v>3426</v>
      </c>
      <c r="B8297" s="441" t="s">
        <v>6651</v>
      </c>
      <c r="C8297" s="545">
        <v>263.5</v>
      </c>
      <c r="D8297" s="545">
        <v>206</v>
      </c>
      <c r="E8297" s="545">
        <v>189.33333333333334</v>
      </c>
      <c r="F8297" s="545">
        <v>244.69047619047618</v>
      </c>
      <c r="G8297" s="545">
        <v>125.05</v>
      </c>
      <c r="H8297" s="545">
        <v>86.666666666666671</v>
      </c>
      <c r="I8297" s="545">
        <v>90</v>
      </c>
      <c r="J8297" s="545">
        <v>114.55952380952381</v>
      </c>
    </row>
    <row r="8298" spans="1:10">
      <c r="A8298" s="441">
        <v>2954</v>
      </c>
      <c r="B8298" s="441" t="s">
        <v>6652</v>
      </c>
      <c r="C8298" s="545">
        <v>29.166666666666664</v>
      </c>
      <c r="D8298" s="545">
        <v>16.666666666666664</v>
      </c>
      <c r="E8298" s="545">
        <v>26.666666666666664</v>
      </c>
      <c r="F8298" s="545">
        <v>27.023809523809518</v>
      </c>
      <c r="G8298" s="545">
        <v>15.6</v>
      </c>
      <c r="H8298" s="545">
        <v>11.333333333333334</v>
      </c>
      <c r="I8298" s="545">
        <v>24.666666666666668</v>
      </c>
      <c r="J8298" s="545">
        <v>16.285714285714285</v>
      </c>
    </row>
    <row r="8299" spans="1:10">
      <c r="A8299" s="441">
        <v>7110</v>
      </c>
      <c r="B8299" s="441" t="s">
        <v>6653</v>
      </c>
      <c r="C8299" s="545">
        <v>45.166666666666671</v>
      </c>
      <c r="D8299" s="545">
        <v>32.333333333333329</v>
      </c>
      <c r="E8299" s="545">
        <v>25.666666666666668</v>
      </c>
      <c r="F8299" s="545">
        <v>40.547619047619051</v>
      </c>
      <c r="G8299" s="545">
        <v>26.25</v>
      </c>
      <c r="H8299" s="545">
        <v>15.666666666666666</v>
      </c>
      <c r="I8299" s="545">
        <v>13</v>
      </c>
      <c r="J8299" s="545">
        <v>22.845238095238095</v>
      </c>
    </row>
    <row r="8300" spans="1:10">
      <c r="A8300" s="441">
        <v>7720</v>
      </c>
      <c r="B8300" s="441" t="s">
        <v>6653</v>
      </c>
      <c r="C8300" s="545">
        <v>28</v>
      </c>
      <c r="D8300" s="545">
        <v>16.666666666666668</v>
      </c>
      <c r="E8300" s="545">
        <v>7.333333333333333</v>
      </c>
      <c r="F8300" s="545">
        <v>23.428571428571427</v>
      </c>
      <c r="G8300" s="545">
        <v>14.2</v>
      </c>
      <c r="H8300" s="545">
        <v>14.666666666666666</v>
      </c>
      <c r="I8300" s="545">
        <v>15.333333333333334</v>
      </c>
      <c r="J8300" s="545">
        <v>14.428571428571429</v>
      </c>
    </row>
    <row r="8301" spans="1:10">
      <c r="A8301" s="441">
        <v>160</v>
      </c>
      <c r="B8301" s="441" t="s">
        <v>6654</v>
      </c>
      <c r="C8301" s="545">
        <v>171.5</v>
      </c>
      <c r="D8301" s="545">
        <v>135</v>
      </c>
      <c r="E8301" s="545">
        <v>105</v>
      </c>
      <c r="F8301" s="545">
        <v>156.78571428571428</v>
      </c>
      <c r="G8301" s="545">
        <v>136.75</v>
      </c>
      <c r="H8301" s="545">
        <v>119.66666666666667</v>
      </c>
      <c r="I8301" s="545">
        <v>101.66666666666667</v>
      </c>
      <c r="J8301" s="545">
        <v>129.29761904761904</v>
      </c>
    </row>
    <row r="8302" spans="1:10">
      <c r="A8302" s="441">
        <v>161</v>
      </c>
      <c r="B8302" s="441" t="s">
        <v>6654</v>
      </c>
      <c r="C8302" s="545">
        <v>352.5</v>
      </c>
      <c r="D8302" s="545">
        <v>319.66666666666669</v>
      </c>
      <c r="E8302" s="545">
        <v>283.33333333333337</v>
      </c>
      <c r="F8302" s="545">
        <v>337.92857142857144</v>
      </c>
      <c r="G8302" s="545">
        <v>245.1</v>
      </c>
      <c r="H8302" s="545">
        <v>216</v>
      </c>
      <c r="I8302" s="545">
        <v>174.33333333333334</v>
      </c>
      <c r="J8302" s="545">
        <v>230.83333333333331</v>
      </c>
    </row>
    <row r="8303" spans="1:10">
      <c r="A8303" s="441">
        <v>7117</v>
      </c>
      <c r="B8303" s="441" t="s">
        <v>6654</v>
      </c>
      <c r="C8303" s="545">
        <v>237.33333333333334</v>
      </c>
      <c r="D8303" s="545">
        <v>162</v>
      </c>
      <c r="E8303" s="545">
        <v>124</v>
      </c>
      <c r="F8303" s="545">
        <v>210.38095238095238</v>
      </c>
      <c r="G8303" s="545">
        <v>189.7</v>
      </c>
      <c r="H8303" s="545">
        <v>138.33333333333334</v>
      </c>
      <c r="I8303" s="545">
        <v>107.33333333333333</v>
      </c>
      <c r="J8303" s="545">
        <v>170.59523809523807</v>
      </c>
    </row>
    <row r="8304" spans="1:10">
      <c r="A8304" s="441">
        <v>7893</v>
      </c>
      <c r="B8304" s="441" t="s">
        <v>6655</v>
      </c>
      <c r="C8304" s="545">
        <v>69.5</v>
      </c>
      <c r="D8304" s="545">
        <v>49.666666666666664</v>
      </c>
      <c r="E8304" s="545">
        <v>40.666666666666664</v>
      </c>
      <c r="F8304" s="545">
        <v>62.547619047619051</v>
      </c>
      <c r="G8304" s="545">
        <v>46.6</v>
      </c>
      <c r="H8304" s="545">
        <v>39.333333333333336</v>
      </c>
      <c r="I8304" s="545">
        <v>34.666666666666664</v>
      </c>
      <c r="J8304" s="545">
        <v>43.857142857142854</v>
      </c>
    </row>
    <row r="8305" spans="1:10">
      <c r="A8305" s="441">
        <v>8777</v>
      </c>
      <c r="B8305" s="441" t="s">
        <v>6655</v>
      </c>
      <c r="C8305" s="545">
        <v>63.666666666666664</v>
      </c>
      <c r="D8305" s="545">
        <v>42.666666666666664</v>
      </c>
      <c r="E8305" s="545">
        <v>32.666666666666671</v>
      </c>
      <c r="F8305" s="545">
        <v>56.238095238095241</v>
      </c>
      <c r="G8305" s="545">
        <v>41.15</v>
      </c>
      <c r="H8305" s="545">
        <v>37.333333333333336</v>
      </c>
      <c r="I8305" s="545">
        <v>31.666666666666668</v>
      </c>
      <c r="J8305" s="545">
        <v>39.25</v>
      </c>
    </row>
    <row r="8306" spans="1:10">
      <c r="A8306" s="441">
        <v>5639</v>
      </c>
      <c r="B8306" s="441" t="s">
        <v>6656</v>
      </c>
      <c r="C8306" s="545">
        <v>40.833333333333336</v>
      </c>
      <c r="D8306" s="545">
        <v>25.666666666666664</v>
      </c>
      <c r="E8306" s="545">
        <v>35.333333333333336</v>
      </c>
      <c r="F8306" s="545">
        <v>37.880952380952387</v>
      </c>
      <c r="G8306" s="545">
        <v>27.2</v>
      </c>
      <c r="H8306" s="545">
        <v>14.666666666666666</v>
      </c>
      <c r="I8306" s="545">
        <v>16</v>
      </c>
      <c r="J8306" s="545">
        <v>23.809523809523807</v>
      </c>
    </row>
    <row r="8307" spans="1:10">
      <c r="A8307" s="441">
        <v>5141</v>
      </c>
      <c r="B8307" s="441" t="s">
        <v>6657</v>
      </c>
      <c r="C8307" s="545">
        <v>362.66666666666669</v>
      </c>
      <c r="D8307" s="545">
        <v>304</v>
      </c>
      <c r="E8307" s="545">
        <v>258</v>
      </c>
      <c r="F8307" s="545">
        <v>339.33333333333337</v>
      </c>
      <c r="G8307" s="545">
        <v>248.25</v>
      </c>
      <c r="H8307" s="545">
        <v>198</v>
      </c>
      <c r="I8307" s="545">
        <v>164.66666666666666</v>
      </c>
      <c r="J8307" s="545">
        <v>229.13095238095238</v>
      </c>
    </row>
    <row r="8308" spans="1:10">
      <c r="A8308" s="441">
        <v>7101</v>
      </c>
      <c r="B8308" s="441" t="s">
        <v>6657</v>
      </c>
      <c r="C8308" s="545">
        <v>414.83333333333337</v>
      </c>
      <c r="D8308" s="545">
        <v>364.33333333333337</v>
      </c>
      <c r="E8308" s="545">
        <v>287.33333333333337</v>
      </c>
      <c r="F8308" s="545">
        <v>389.40476190476198</v>
      </c>
      <c r="G8308" s="545">
        <v>295.85000000000002</v>
      </c>
      <c r="H8308" s="545">
        <v>215.33333333333334</v>
      </c>
      <c r="I8308" s="545">
        <v>205.66666666666666</v>
      </c>
      <c r="J8308" s="545">
        <v>271.46428571428572</v>
      </c>
    </row>
    <row r="8309" spans="1:10">
      <c r="A8309" s="441">
        <v>5155</v>
      </c>
      <c r="B8309" s="441" t="s">
        <v>6658</v>
      </c>
      <c r="C8309" s="545">
        <v>45.333333333333329</v>
      </c>
      <c r="D8309" s="545">
        <v>25.333333333333336</v>
      </c>
      <c r="E8309" s="545">
        <v>18.333333333333332</v>
      </c>
      <c r="F8309" s="545">
        <v>38.619047619047613</v>
      </c>
      <c r="G8309" s="545">
        <v>20.8</v>
      </c>
      <c r="H8309" s="545">
        <v>13</v>
      </c>
      <c r="I8309" s="545">
        <v>23.666666666666668</v>
      </c>
      <c r="J8309" s="545">
        <v>20.095238095238095</v>
      </c>
    </row>
    <row r="8310" spans="1:10">
      <c r="A8310" s="441">
        <v>5640</v>
      </c>
      <c r="B8310" s="441" t="s">
        <v>6658</v>
      </c>
      <c r="C8310" s="545">
        <v>35.666666666666664</v>
      </c>
      <c r="D8310" s="545">
        <v>19</v>
      </c>
      <c r="E8310" s="545">
        <v>17.333333333333332</v>
      </c>
      <c r="F8310" s="545">
        <v>30.666666666666664</v>
      </c>
      <c r="G8310" s="545">
        <v>17.649999999999999</v>
      </c>
      <c r="H8310" s="545">
        <v>13.333333333333334</v>
      </c>
      <c r="I8310" s="545">
        <v>12</v>
      </c>
      <c r="J8310" s="545">
        <v>16.226190476190474</v>
      </c>
    </row>
    <row r="8311" spans="1:10">
      <c r="A8311" s="441">
        <v>3430</v>
      </c>
      <c r="B8311" s="441" t="s">
        <v>6659</v>
      </c>
      <c r="C8311" s="545">
        <v>24.166666666666664</v>
      </c>
      <c r="D8311" s="545">
        <v>14.666666666666668</v>
      </c>
      <c r="E8311" s="545">
        <v>11</v>
      </c>
      <c r="F8311" s="545">
        <v>20.928571428571423</v>
      </c>
      <c r="G8311" s="545">
        <v>15.9</v>
      </c>
      <c r="H8311" s="545">
        <v>12</v>
      </c>
      <c r="I8311" s="545">
        <v>12.333333333333334</v>
      </c>
      <c r="J8311" s="545">
        <v>14.833333333333332</v>
      </c>
    </row>
    <row r="8312" spans="1:10">
      <c r="A8312" s="441">
        <v>5151</v>
      </c>
      <c r="B8312" s="441" t="s">
        <v>6660</v>
      </c>
      <c r="C8312" s="545">
        <v>126.5</v>
      </c>
      <c r="D8312" s="545">
        <v>13.666666666666668</v>
      </c>
      <c r="E8312" s="545">
        <v>8</v>
      </c>
      <c r="F8312" s="545">
        <v>93.452380952380949</v>
      </c>
      <c r="G8312" s="545">
        <v>112.45</v>
      </c>
      <c r="H8312" s="545">
        <v>6.333333333333333</v>
      </c>
      <c r="I8312" s="545">
        <v>6</v>
      </c>
      <c r="J8312" s="545">
        <v>82.083333333333343</v>
      </c>
    </row>
    <row r="8313" spans="1:10">
      <c r="A8313" s="441">
        <v>5644</v>
      </c>
      <c r="B8313" s="441" t="s">
        <v>6660</v>
      </c>
      <c r="C8313" s="545">
        <v>111.83333333333333</v>
      </c>
      <c r="D8313" s="545">
        <v>21.666666666666664</v>
      </c>
      <c r="E8313" s="545">
        <v>14.333333333333334</v>
      </c>
      <c r="F8313" s="545">
        <v>85.023809523809518</v>
      </c>
      <c r="G8313" s="545">
        <v>84.35</v>
      </c>
      <c r="H8313" s="545">
        <v>11.666666666666666</v>
      </c>
      <c r="I8313" s="545">
        <v>10.666666666666666</v>
      </c>
      <c r="J8313" s="545">
        <v>63.440476190476197</v>
      </c>
    </row>
    <row r="8314" spans="1:10">
      <c r="A8314" s="441">
        <v>5645</v>
      </c>
      <c r="B8314" s="441" t="s">
        <v>6660</v>
      </c>
      <c r="C8314" s="545">
        <v>5.5</v>
      </c>
      <c r="D8314" s="545">
        <v>2.3333333333333335</v>
      </c>
      <c r="E8314" s="545">
        <v>4.333333333333333</v>
      </c>
      <c r="F8314" s="545">
        <v>4.8809523809523805</v>
      </c>
      <c r="G8314" s="545">
        <v>11</v>
      </c>
      <c r="H8314" s="545">
        <v>0</v>
      </c>
      <c r="I8314" s="545">
        <v>5.333333333333333</v>
      </c>
      <c r="J8314" s="545">
        <v>8.6190476190476186</v>
      </c>
    </row>
    <row r="8315" spans="1:10">
      <c r="A8315" s="441">
        <v>7127</v>
      </c>
      <c r="B8315" s="441" t="s">
        <v>6661</v>
      </c>
      <c r="C8315" s="545">
        <v>17.166666666666664</v>
      </c>
      <c r="D8315" s="545">
        <v>15</v>
      </c>
      <c r="E8315" s="545">
        <v>6.666666666666667</v>
      </c>
      <c r="F8315" s="545">
        <v>15.357142857142856</v>
      </c>
      <c r="G8315" s="545">
        <v>17.05</v>
      </c>
      <c r="H8315" s="545">
        <v>13.666666666666666</v>
      </c>
      <c r="I8315" s="545">
        <v>9</v>
      </c>
      <c r="J8315" s="545">
        <v>15.416666666666668</v>
      </c>
    </row>
    <row r="8316" spans="1:10">
      <c r="A8316" s="441">
        <v>8804</v>
      </c>
      <c r="B8316" s="441" t="s">
        <v>6661</v>
      </c>
      <c r="C8316" s="545">
        <v>13.833333333333332</v>
      </c>
      <c r="D8316" s="545">
        <v>10</v>
      </c>
      <c r="E8316" s="545">
        <v>1</v>
      </c>
      <c r="F8316" s="545">
        <v>11.452380952380951</v>
      </c>
      <c r="G8316" s="545">
        <v>258.2</v>
      </c>
      <c r="H8316" s="545">
        <v>177.66666666666666</v>
      </c>
      <c r="I8316" s="545">
        <v>162</v>
      </c>
      <c r="J8316" s="545">
        <v>232.95238095238096</v>
      </c>
    </row>
    <row r="8317" spans="1:10">
      <c r="A8317" s="441">
        <v>8808</v>
      </c>
      <c r="B8317" s="441" t="s">
        <v>6662</v>
      </c>
      <c r="C8317" s="545">
        <v>70.5</v>
      </c>
      <c r="D8317" s="545">
        <v>45.333333333333336</v>
      </c>
      <c r="E8317" s="545">
        <v>39.333333333333329</v>
      </c>
      <c r="F8317" s="545">
        <v>62.452380952380949</v>
      </c>
      <c r="G8317" s="545">
        <v>33.25</v>
      </c>
      <c r="H8317" s="545">
        <v>21.666666666666668</v>
      </c>
      <c r="I8317" s="545">
        <v>21.666666666666668</v>
      </c>
      <c r="J8317" s="545">
        <v>29.940476190476186</v>
      </c>
    </row>
    <row r="8318" spans="1:10">
      <c r="A8318" s="441">
        <v>7911</v>
      </c>
      <c r="B8318" s="441" t="s">
        <v>6663</v>
      </c>
      <c r="C8318" s="545">
        <v>155.33333333333334</v>
      </c>
      <c r="D8318" s="545">
        <v>126</v>
      </c>
      <c r="E8318" s="545">
        <v>109</v>
      </c>
      <c r="F8318" s="545">
        <v>144.52380952380955</v>
      </c>
      <c r="G8318" s="545">
        <v>132.15</v>
      </c>
      <c r="H8318" s="545">
        <v>86</v>
      </c>
      <c r="I8318" s="545">
        <v>89</v>
      </c>
      <c r="J8318" s="545">
        <v>119.39285714285714</v>
      </c>
    </row>
    <row r="8319" spans="1:10">
      <c r="A8319" s="441">
        <v>8139</v>
      </c>
      <c r="B8319" s="441" t="s">
        <v>6663</v>
      </c>
      <c r="C8319" s="545">
        <v>429.16666666666663</v>
      </c>
      <c r="D8319" s="545">
        <v>276</v>
      </c>
      <c r="E8319" s="545">
        <v>229.66666666666669</v>
      </c>
      <c r="F8319" s="545">
        <v>378.78571428571422</v>
      </c>
      <c r="G8319" s="545">
        <v>197.85</v>
      </c>
      <c r="H8319" s="545">
        <v>119</v>
      </c>
      <c r="I8319" s="545">
        <v>145</v>
      </c>
      <c r="J8319" s="545">
        <v>179.03571428571428</v>
      </c>
    </row>
    <row r="8320" spans="1:10">
      <c r="A8320" s="441">
        <v>7903</v>
      </c>
      <c r="B8320" s="441" t="s">
        <v>6664</v>
      </c>
      <c r="C8320" s="545">
        <v>170.83333333333334</v>
      </c>
      <c r="D8320" s="545">
        <v>174.33333333333334</v>
      </c>
      <c r="E8320" s="545">
        <v>126.33333333333333</v>
      </c>
      <c r="F8320" s="545">
        <v>164.97619047619045</v>
      </c>
      <c r="G8320" s="545">
        <v>144.44999999999999</v>
      </c>
      <c r="H8320" s="545">
        <v>107.66666666666667</v>
      </c>
      <c r="I8320" s="545">
        <v>98</v>
      </c>
      <c r="J8320" s="545">
        <v>132.5595238095238</v>
      </c>
    </row>
    <row r="8321" spans="1:10">
      <c r="A8321" s="441">
        <v>8168</v>
      </c>
      <c r="B8321" s="441" t="s">
        <v>6664</v>
      </c>
      <c r="C8321" s="545">
        <v>161.16666666666669</v>
      </c>
      <c r="D8321" s="545">
        <v>137.66666666666666</v>
      </c>
      <c r="E8321" s="545">
        <v>125.33333333333334</v>
      </c>
      <c r="F8321" s="545">
        <v>152.6904761904762</v>
      </c>
      <c r="G8321" s="545">
        <v>114.65</v>
      </c>
      <c r="H8321" s="545">
        <v>95.333333333333329</v>
      </c>
      <c r="I8321" s="545">
        <v>75.333333333333329</v>
      </c>
      <c r="J8321" s="545">
        <v>106.27380952380953</v>
      </c>
    </row>
    <row r="8322" spans="1:10">
      <c r="A8322" s="441">
        <v>3436</v>
      </c>
      <c r="B8322" s="441" t="s">
        <v>6665</v>
      </c>
      <c r="C8322" s="545">
        <v>240</v>
      </c>
      <c r="D8322" s="545">
        <v>167.33333333333334</v>
      </c>
      <c r="E8322" s="545">
        <v>173.66666666666666</v>
      </c>
      <c r="F8322" s="545">
        <v>220.14285714285714</v>
      </c>
      <c r="G8322" s="545">
        <v>185.05</v>
      </c>
      <c r="H8322" s="545">
        <v>90</v>
      </c>
      <c r="I8322" s="545">
        <v>110.66666666666667</v>
      </c>
      <c r="J8322" s="545">
        <v>160.8452380952381</v>
      </c>
    </row>
    <row r="8323" spans="1:10">
      <c r="A8323" s="441">
        <v>5157</v>
      </c>
      <c r="B8323" s="441" t="s">
        <v>6665</v>
      </c>
      <c r="C8323" s="545">
        <v>217</v>
      </c>
      <c r="D8323" s="545">
        <v>150.33333333333334</v>
      </c>
      <c r="E8323" s="545">
        <v>148.66666666666669</v>
      </c>
      <c r="F8323" s="545">
        <v>197.71428571428572</v>
      </c>
      <c r="G8323" s="545">
        <v>147.44999999999999</v>
      </c>
      <c r="H8323" s="545">
        <v>105.33333333333333</v>
      </c>
      <c r="I8323" s="545">
        <v>93.666666666666671</v>
      </c>
      <c r="J8323" s="545">
        <v>133.75</v>
      </c>
    </row>
    <row r="8324" spans="1:10">
      <c r="A8324" s="441">
        <v>5142</v>
      </c>
      <c r="B8324" s="441" t="s">
        <v>6666</v>
      </c>
      <c r="C8324" s="545">
        <v>172</v>
      </c>
      <c r="D8324" s="545">
        <v>126.66666666666667</v>
      </c>
      <c r="E8324" s="545">
        <v>99.666666666666657</v>
      </c>
      <c r="F8324" s="545">
        <v>155.19047619047618</v>
      </c>
      <c r="G8324" s="545">
        <v>154.55000000000001</v>
      </c>
      <c r="H8324" s="545">
        <v>151.66666666666666</v>
      </c>
      <c r="I8324" s="545">
        <v>108.66666666666667</v>
      </c>
      <c r="J8324" s="545">
        <v>147.58333333333331</v>
      </c>
    </row>
    <row r="8325" spans="1:10">
      <c r="A8325" s="441">
        <v>7103</v>
      </c>
      <c r="B8325" s="441" t="s">
        <v>6666</v>
      </c>
      <c r="C8325" s="545">
        <v>181.33333333333334</v>
      </c>
      <c r="D8325" s="545">
        <v>114</v>
      </c>
      <c r="E8325" s="545">
        <v>106.66666666666667</v>
      </c>
      <c r="F8325" s="545">
        <v>161.04761904761907</v>
      </c>
      <c r="G8325" s="545">
        <v>142.94999999999999</v>
      </c>
      <c r="H8325" s="545">
        <v>91</v>
      </c>
      <c r="I8325" s="545">
        <v>104.33333333333333</v>
      </c>
      <c r="J8325" s="545">
        <v>130.01190476190476</v>
      </c>
    </row>
    <row r="8326" spans="1:10">
      <c r="A8326" s="441">
        <v>5662</v>
      </c>
      <c r="B8326" s="441" t="s">
        <v>6667</v>
      </c>
      <c r="C8326" s="545">
        <v>4.3333333333333339</v>
      </c>
      <c r="D8326" s="545">
        <v>2</v>
      </c>
      <c r="E8326" s="545">
        <v>3.3333333333333335</v>
      </c>
      <c r="F8326" s="545">
        <v>3.8571428571428577</v>
      </c>
      <c r="G8326" s="545">
        <v>4.5</v>
      </c>
      <c r="H8326" s="545">
        <v>5.666666666666667</v>
      </c>
      <c r="I8326" s="545">
        <v>3.6666666666666665</v>
      </c>
      <c r="J8326" s="545">
        <v>4.5476190476190483</v>
      </c>
    </row>
    <row r="8327" spans="1:10">
      <c r="A8327" s="441">
        <v>8800</v>
      </c>
      <c r="B8327" s="441" t="s">
        <v>6668</v>
      </c>
      <c r="C8327" s="545">
        <v>159.66666666666669</v>
      </c>
      <c r="D8327" s="545">
        <v>71</v>
      </c>
      <c r="E8327" s="545">
        <v>45.333333333333329</v>
      </c>
      <c r="F8327" s="545">
        <v>130.66666666666669</v>
      </c>
      <c r="G8327" s="545">
        <v>79.599999999999994</v>
      </c>
      <c r="H8327" s="545">
        <v>42</v>
      </c>
      <c r="I8327" s="545">
        <v>40</v>
      </c>
      <c r="J8327" s="545">
        <v>68.571428571428569</v>
      </c>
    </row>
    <row r="8328" spans="1:10">
      <c r="A8328" s="441">
        <v>7130</v>
      </c>
      <c r="B8328" s="441" t="s">
        <v>6669</v>
      </c>
      <c r="C8328" s="545">
        <v>100.16666666666667</v>
      </c>
      <c r="D8328" s="545">
        <v>66</v>
      </c>
      <c r="E8328" s="545">
        <v>43.333333333333329</v>
      </c>
      <c r="F8328" s="545">
        <v>87.166666666666671</v>
      </c>
      <c r="G8328" s="545">
        <v>83.85</v>
      </c>
      <c r="H8328" s="545">
        <v>46</v>
      </c>
      <c r="I8328" s="545">
        <v>45.333333333333336</v>
      </c>
      <c r="J8328" s="545">
        <v>72.94047619047619</v>
      </c>
    </row>
    <row r="8329" spans="1:10">
      <c r="A8329" s="441">
        <v>7131</v>
      </c>
      <c r="B8329" s="441" t="s">
        <v>6669</v>
      </c>
      <c r="C8329" s="545">
        <v>13.666666666666668</v>
      </c>
      <c r="D8329" s="545">
        <v>11.333333333333334</v>
      </c>
      <c r="E8329" s="545">
        <v>10.666666666666666</v>
      </c>
      <c r="F8329" s="545">
        <v>12.904761904761907</v>
      </c>
      <c r="G8329" s="545">
        <v>39.799999999999997</v>
      </c>
      <c r="H8329" s="545">
        <v>25</v>
      </c>
      <c r="I8329" s="545">
        <v>28.333333333333332</v>
      </c>
      <c r="J8329" s="545">
        <v>36.047619047619051</v>
      </c>
    </row>
    <row r="8330" spans="1:10">
      <c r="A8330" s="441">
        <v>8801</v>
      </c>
      <c r="B8330" s="441" t="s">
        <v>6669</v>
      </c>
      <c r="C8330" s="545">
        <v>72.666666666666671</v>
      </c>
      <c r="D8330" s="545">
        <v>49.666666666666671</v>
      </c>
      <c r="E8330" s="545">
        <v>41</v>
      </c>
      <c r="F8330" s="545">
        <v>64.857142857142861</v>
      </c>
      <c r="G8330" s="545">
        <v>47.3</v>
      </c>
      <c r="H8330" s="545">
        <v>34</v>
      </c>
      <c r="I8330" s="545">
        <v>34</v>
      </c>
      <c r="J8330" s="545">
        <v>43.5</v>
      </c>
    </row>
    <row r="8331" spans="1:10">
      <c r="A8331" s="441">
        <v>7888</v>
      </c>
      <c r="B8331" s="441" t="s">
        <v>6670</v>
      </c>
      <c r="C8331" s="545">
        <v>50</v>
      </c>
      <c r="D8331" s="545">
        <v>42.666666666666664</v>
      </c>
      <c r="E8331" s="545">
        <v>27</v>
      </c>
      <c r="F8331" s="545">
        <v>45.666666666666671</v>
      </c>
      <c r="G8331" s="545">
        <v>31.55</v>
      </c>
      <c r="H8331" s="545">
        <v>20.333333333333332</v>
      </c>
      <c r="I8331" s="545">
        <v>22.333333333333332</v>
      </c>
      <c r="J8331" s="545">
        <v>28.630952380952383</v>
      </c>
    </row>
    <row r="8332" spans="1:10">
      <c r="A8332" s="441">
        <v>7900</v>
      </c>
      <c r="B8332" s="441" t="s">
        <v>6671</v>
      </c>
      <c r="C8332" s="545">
        <v>56</v>
      </c>
      <c r="D8332" s="545">
        <v>59.666666666666664</v>
      </c>
      <c r="E8332" s="545">
        <v>43</v>
      </c>
      <c r="F8332" s="545">
        <v>54.666666666666671</v>
      </c>
      <c r="G8332" s="545">
        <v>37</v>
      </c>
      <c r="H8332" s="545">
        <v>37.666666666666664</v>
      </c>
      <c r="I8332" s="545">
        <v>26.666666666666668</v>
      </c>
      <c r="J8332" s="545">
        <v>35.619047619047613</v>
      </c>
    </row>
    <row r="8333" spans="1:10">
      <c r="A8333" s="441">
        <v>8172</v>
      </c>
      <c r="B8333" s="441" t="s">
        <v>6671</v>
      </c>
      <c r="C8333" s="545">
        <v>35.166666666666671</v>
      </c>
      <c r="D8333" s="545">
        <v>30</v>
      </c>
      <c r="E8333" s="545">
        <v>25.666666666666664</v>
      </c>
      <c r="F8333" s="545">
        <v>33.071428571428577</v>
      </c>
      <c r="G8333" s="545">
        <v>24.05</v>
      </c>
      <c r="H8333" s="545">
        <v>18.333333333333332</v>
      </c>
      <c r="I8333" s="545">
        <v>14.666666666666666</v>
      </c>
      <c r="J8333" s="545">
        <v>21.892857142857142</v>
      </c>
    </row>
    <row r="8334" spans="1:10">
      <c r="A8334" s="441">
        <v>7901</v>
      </c>
      <c r="B8334" s="441" t="s">
        <v>6672</v>
      </c>
      <c r="C8334" s="545">
        <v>79.833333333333329</v>
      </c>
      <c r="D8334" s="545">
        <v>47.666666666666671</v>
      </c>
      <c r="E8334" s="545">
        <v>42</v>
      </c>
      <c r="F8334" s="545">
        <v>69.833333333333329</v>
      </c>
      <c r="G8334" s="545">
        <v>50</v>
      </c>
      <c r="H8334" s="545">
        <v>32.333333333333336</v>
      </c>
      <c r="I8334" s="545">
        <v>31.333333333333332</v>
      </c>
      <c r="J8334" s="545">
        <v>44.809523809523803</v>
      </c>
    </row>
    <row r="8335" spans="1:10">
      <c r="A8335" s="441">
        <v>8171</v>
      </c>
      <c r="B8335" s="441" t="s">
        <v>6672</v>
      </c>
      <c r="C8335" s="545">
        <v>67.666666666666657</v>
      </c>
      <c r="D8335" s="545">
        <v>47</v>
      </c>
      <c r="E8335" s="545">
        <v>33.333333333333329</v>
      </c>
      <c r="F8335" s="545">
        <v>59.809523809523796</v>
      </c>
      <c r="G8335" s="545">
        <v>40.35</v>
      </c>
      <c r="H8335" s="545">
        <v>28</v>
      </c>
      <c r="I8335" s="545">
        <v>25.666666666666668</v>
      </c>
      <c r="J8335" s="545">
        <v>36.488095238095234</v>
      </c>
    </row>
    <row r="8336" spans="1:10">
      <c r="A8336" s="441">
        <v>7123</v>
      </c>
      <c r="B8336" s="441" t="s">
        <v>6673</v>
      </c>
      <c r="C8336" s="545">
        <v>39.666666666666664</v>
      </c>
      <c r="D8336" s="545">
        <v>32.666666666666664</v>
      </c>
      <c r="E8336" s="545">
        <v>29</v>
      </c>
      <c r="F8336" s="545">
        <v>37.142857142857146</v>
      </c>
      <c r="G8336" s="545">
        <v>45.5</v>
      </c>
      <c r="H8336" s="545">
        <v>27.333333333333332</v>
      </c>
      <c r="I8336" s="545">
        <v>24.333333333333332</v>
      </c>
      <c r="J8336" s="545">
        <v>39.880952380952387</v>
      </c>
    </row>
    <row r="8337" spans="1:10">
      <c r="A8337" s="441">
        <v>8810</v>
      </c>
      <c r="B8337" s="441" t="s">
        <v>6673</v>
      </c>
      <c r="C8337" s="545">
        <v>25.5</v>
      </c>
      <c r="D8337" s="545">
        <v>22.666666666666664</v>
      </c>
      <c r="E8337" s="545">
        <v>18</v>
      </c>
      <c r="F8337" s="545">
        <v>24.023809523809522</v>
      </c>
      <c r="G8337" s="545">
        <v>23.7</v>
      </c>
      <c r="H8337" s="545">
        <v>17.333333333333332</v>
      </c>
      <c r="I8337" s="545">
        <v>17</v>
      </c>
      <c r="J8337" s="545">
        <v>21.833333333333336</v>
      </c>
    </row>
    <row r="8338" spans="1:10">
      <c r="A8338" s="441">
        <v>2959</v>
      </c>
      <c r="B8338" s="441" t="s">
        <v>6674</v>
      </c>
      <c r="C8338" s="545">
        <v>52</v>
      </c>
      <c r="D8338" s="545">
        <v>41.333333333333336</v>
      </c>
      <c r="E8338" s="545">
        <v>29.666666666666664</v>
      </c>
      <c r="F8338" s="545">
        <v>47.285714285714285</v>
      </c>
      <c r="G8338" s="545">
        <v>28.3</v>
      </c>
      <c r="H8338" s="545">
        <v>30.333333333333332</v>
      </c>
      <c r="I8338" s="545">
        <v>20.666666666666668</v>
      </c>
      <c r="J8338" s="545">
        <v>27.5</v>
      </c>
    </row>
    <row r="8339" spans="1:10">
      <c r="A8339" s="441">
        <v>3425</v>
      </c>
      <c r="B8339" s="441" t="s">
        <v>6674</v>
      </c>
      <c r="C8339" s="545">
        <v>38.166666666666671</v>
      </c>
      <c r="D8339" s="545">
        <v>34.333333333333336</v>
      </c>
      <c r="E8339" s="545">
        <v>30</v>
      </c>
      <c r="F8339" s="545">
        <v>36.452380952380956</v>
      </c>
      <c r="G8339" s="545">
        <v>26.3</v>
      </c>
      <c r="H8339" s="545">
        <v>17.666666666666668</v>
      </c>
      <c r="I8339" s="545">
        <v>19</v>
      </c>
      <c r="J8339" s="545">
        <v>24.023809523809522</v>
      </c>
    </row>
    <row r="8340" spans="1:10">
      <c r="A8340" s="441">
        <v>7115</v>
      </c>
      <c r="B8340" s="441" t="s">
        <v>6675</v>
      </c>
      <c r="C8340" s="545">
        <v>198.16666666666666</v>
      </c>
      <c r="D8340" s="545">
        <v>178.66666666666666</v>
      </c>
      <c r="E8340" s="545">
        <v>147</v>
      </c>
      <c r="F8340" s="545">
        <v>188.07142857142858</v>
      </c>
      <c r="G8340" s="545">
        <v>156.5</v>
      </c>
      <c r="H8340" s="545">
        <v>125</v>
      </c>
      <c r="I8340" s="545">
        <v>125.33333333333333</v>
      </c>
      <c r="J8340" s="545">
        <v>147.54761904761904</v>
      </c>
    </row>
    <row r="8341" spans="1:10">
      <c r="A8341" s="441">
        <v>8819</v>
      </c>
      <c r="B8341" s="441" t="s">
        <v>6675</v>
      </c>
      <c r="C8341" s="545">
        <v>134.33333333333331</v>
      </c>
      <c r="D8341" s="545">
        <v>128</v>
      </c>
      <c r="E8341" s="545">
        <v>130.33333333333334</v>
      </c>
      <c r="F8341" s="545">
        <v>132.85714285714283</v>
      </c>
      <c r="G8341" s="545">
        <v>109.15</v>
      </c>
      <c r="H8341" s="545">
        <v>98.333333333333329</v>
      </c>
      <c r="I8341" s="545">
        <v>100.66666666666667</v>
      </c>
      <c r="J8341" s="545">
        <v>106.39285714285714</v>
      </c>
    </row>
    <row r="8342" spans="1:10">
      <c r="A8342" s="441">
        <v>7896</v>
      </c>
      <c r="B8342" s="441" t="s">
        <v>6676</v>
      </c>
      <c r="C8342" s="545">
        <v>41.666666666666664</v>
      </c>
      <c r="D8342" s="545">
        <v>27</v>
      </c>
      <c r="E8342" s="545">
        <v>29</v>
      </c>
      <c r="F8342" s="545">
        <v>37.761904761904759</v>
      </c>
      <c r="G8342" s="545">
        <v>34.85</v>
      </c>
      <c r="H8342" s="545">
        <v>23.666666666666668</v>
      </c>
      <c r="I8342" s="545">
        <v>21.333333333333332</v>
      </c>
      <c r="J8342" s="545">
        <v>31.321428571428573</v>
      </c>
    </row>
    <row r="8343" spans="1:10">
      <c r="A8343" s="441">
        <v>8774</v>
      </c>
      <c r="B8343" s="441" t="s">
        <v>6676</v>
      </c>
      <c r="C8343" s="545">
        <v>43.333333333333336</v>
      </c>
      <c r="D8343" s="545">
        <v>29</v>
      </c>
      <c r="E8343" s="545">
        <v>21.333333333333336</v>
      </c>
      <c r="F8343" s="545">
        <v>38.142857142857146</v>
      </c>
      <c r="G8343" s="545">
        <v>37.4</v>
      </c>
      <c r="H8343" s="545">
        <v>17.666666666666668</v>
      </c>
      <c r="I8343" s="545">
        <v>21</v>
      </c>
      <c r="J8343" s="545">
        <v>32.238095238095234</v>
      </c>
    </row>
    <row r="8344" spans="1:10">
      <c r="A8344" s="441">
        <v>2961</v>
      </c>
      <c r="B8344" s="441" t="s">
        <v>6677</v>
      </c>
      <c r="C8344" s="545">
        <v>30.666666666666664</v>
      </c>
      <c r="D8344" s="545">
        <v>21.333333333333336</v>
      </c>
      <c r="E8344" s="545">
        <v>13</v>
      </c>
      <c r="F8344" s="545">
        <v>26.809523809523807</v>
      </c>
      <c r="G8344" s="545">
        <v>24.2</v>
      </c>
      <c r="H8344" s="545">
        <v>18.666666666666668</v>
      </c>
      <c r="I8344" s="545">
        <v>20</v>
      </c>
      <c r="J8344" s="545">
        <v>22.809523809523807</v>
      </c>
    </row>
    <row r="8345" spans="1:10">
      <c r="A8345" s="441">
        <v>3423</v>
      </c>
      <c r="B8345" s="441" t="s">
        <v>6677</v>
      </c>
      <c r="C8345" s="545">
        <v>42</v>
      </c>
      <c r="D8345" s="545">
        <v>25</v>
      </c>
      <c r="E8345" s="545">
        <v>15</v>
      </c>
      <c r="F8345" s="545">
        <v>35.714285714285715</v>
      </c>
      <c r="G8345" s="545">
        <v>20.149999999999999</v>
      </c>
      <c r="H8345" s="545">
        <v>27.333333333333332</v>
      </c>
      <c r="I8345" s="545">
        <v>12.333333333333334</v>
      </c>
      <c r="J8345" s="545">
        <v>20.059523809523814</v>
      </c>
    </row>
    <row r="8346" spans="1:10">
      <c r="A8346" s="441">
        <v>7125</v>
      </c>
      <c r="B8346" s="441" t="s">
        <v>6678</v>
      </c>
      <c r="C8346" s="545">
        <v>112</v>
      </c>
      <c r="D8346" s="545">
        <v>88.666666666666657</v>
      </c>
      <c r="E8346" s="545">
        <v>60.333333333333329</v>
      </c>
      <c r="F8346" s="545">
        <v>101.28571428571429</v>
      </c>
      <c r="G8346" s="545">
        <v>95.35</v>
      </c>
      <c r="H8346" s="545">
        <v>62.666666666666664</v>
      </c>
      <c r="I8346" s="545">
        <v>65.666666666666671</v>
      </c>
      <c r="J8346" s="545">
        <v>86.440476190476176</v>
      </c>
    </row>
    <row r="8347" spans="1:10">
      <c r="A8347" s="441">
        <v>8807</v>
      </c>
      <c r="B8347" s="441" t="s">
        <v>6678</v>
      </c>
      <c r="C8347" s="545">
        <v>91.166666666666657</v>
      </c>
      <c r="D8347" s="545">
        <v>70.666666666666671</v>
      </c>
      <c r="E8347" s="545">
        <v>43.666666666666671</v>
      </c>
      <c r="F8347" s="545">
        <v>81.452380952380935</v>
      </c>
      <c r="G8347" s="545">
        <v>77.2</v>
      </c>
      <c r="H8347" s="545">
        <v>49.333333333333336</v>
      </c>
      <c r="I8347" s="545">
        <v>36.333333333333336</v>
      </c>
      <c r="J8347" s="545">
        <v>67.38095238095238</v>
      </c>
    </row>
    <row r="8348" spans="1:10">
      <c r="A8348" s="441">
        <v>5648</v>
      </c>
      <c r="B8348" s="441" t="s">
        <v>6679</v>
      </c>
      <c r="C8348" s="545">
        <v>47.333333333333336</v>
      </c>
      <c r="D8348" s="545">
        <v>29.666666666666664</v>
      </c>
      <c r="E8348" s="545">
        <v>27.333333333333332</v>
      </c>
      <c r="F8348" s="545">
        <v>41.952380952380956</v>
      </c>
      <c r="G8348" s="545">
        <v>34.5</v>
      </c>
      <c r="H8348" s="545">
        <v>23.333333333333332</v>
      </c>
      <c r="I8348" s="545">
        <v>24.333333333333332</v>
      </c>
      <c r="J8348" s="545">
        <v>31.452380952380956</v>
      </c>
    </row>
    <row r="8349" spans="1:10">
      <c r="A8349" s="441">
        <v>5661</v>
      </c>
      <c r="B8349" s="441" t="s">
        <v>6679</v>
      </c>
      <c r="C8349" s="545">
        <v>73</v>
      </c>
      <c r="D8349" s="545">
        <v>41</v>
      </c>
      <c r="E8349" s="545">
        <v>36</v>
      </c>
      <c r="F8349" s="545">
        <v>63.142857142857146</v>
      </c>
      <c r="G8349" s="545">
        <v>41.45</v>
      </c>
      <c r="H8349" s="545">
        <v>31</v>
      </c>
      <c r="I8349" s="545">
        <v>29.333333333333332</v>
      </c>
      <c r="J8349" s="545">
        <v>38.226190476190474</v>
      </c>
    </row>
    <row r="8350" spans="1:10">
      <c r="A8350" s="441">
        <v>5642</v>
      </c>
      <c r="B8350" s="441" t="s">
        <v>6680</v>
      </c>
      <c r="C8350" s="545">
        <v>44.833333333333329</v>
      </c>
      <c r="D8350" s="545">
        <v>21.666666666666668</v>
      </c>
      <c r="E8350" s="545">
        <v>12.333333333333334</v>
      </c>
      <c r="F8350" s="545">
        <v>36.880952380952372</v>
      </c>
      <c r="G8350" s="545">
        <v>56.55</v>
      </c>
      <c r="H8350" s="545">
        <v>17.666666666666668</v>
      </c>
      <c r="I8350" s="545">
        <v>14.666666666666666</v>
      </c>
      <c r="J8350" s="545">
        <v>45.011904761904766</v>
      </c>
    </row>
    <row r="8351" spans="1:10">
      <c r="A8351" s="441">
        <v>7105</v>
      </c>
      <c r="B8351" s="441" t="s">
        <v>6681</v>
      </c>
      <c r="C8351" s="545">
        <v>28.666666666666668</v>
      </c>
      <c r="D8351" s="545">
        <v>10.666666666666668</v>
      </c>
      <c r="E8351" s="545">
        <v>11.333333333333334</v>
      </c>
      <c r="F8351" s="545">
        <v>23.61904761904762</v>
      </c>
      <c r="G8351" s="545">
        <v>16.2</v>
      </c>
      <c r="H8351" s="545">
        <v>10</v>
      </c>
      <c r="I8351" s="545">
        <v>5.666666666666667</v>
      </c>
      <c r="J8351" s="545">
        <v>13.80952380952381</v>
      </c>
    </row>
    <row r="8352" spans="1:10">
      <c r="A8352" s="441">
        <v>7725</v>
      </c>
      <c r="B8352" s="441" t="s">
        <v>6681</v>
      </c>
      <c r="C8352" s="545">
        <v>30</v>
      </c>
      <c r="D8352" s="545">
        <v>10</v>
      </c>
      <c r="E8352" s="545">
        <v>9</v>
      </c>
      <c r="F8352" s="545">
        <v>24.142857142857142</v>
      </c>
      <c r="G8352" s="545">
        <v>19.45</v>
      </c>
      <c r="H8352" s="545">
        <v>4.666666666666667</v>
      </c>
      <c r="I8352" s="545">
        <v>4</v>
      </c>
      <c r="J8352" s="545">
        <v>15.130952380952381</v>
      </c>
    </row>
    <row r="8353" spans="1:10">
      <c r="A8353" s="441">
        <v>127</v>
      </c>
      <c r="B8353" s="441" t="s">
        <v>6682</v>
      </c>
      <c r="C8353" s="545">
        <v>95.5</v>
      </c>
      <c r="D8353" s="545">
        <v>81</v>
      </c>
      <c r="E8353" s="545">
        <v>66.333333333333343</v>
      </c>
      <c r="F8353" s="545">
        <v>89.261904761904773</v>
      </c>
      <c r="G8353" s="545">
        <v>69.349999999999994</v>
      </c>
      <c r="H8353" s="545">
        <v>54</v>
      </c>
      <c r="I8353" s="545">
        <v>44.666666666666664</v>
      </c>
      <c r="J8353" s="545">
        <v>63.630952380952387</v>
      </c>
    </row>
    <row r="8354" spans="1:10">
      <c r="A8354" s="441">
        <v>5656</v>
      </c>
      <c r="B8354" s="441" t="s">
        <v>6682</v>
      </c>
      <c r="C8354" s="545">
        <v>80.833333333333343</v>
      </c>
      <c r="D8354" s="545">
        <v>57.666666666666664</v>
      </c>
      <c r="E8354" s="545">
        <v>53.333333333333329</v>
      </c>
      <c r="F8354" s="545">
        <v>73.595238095238102</v>
      </c>
      <c r="G8354" s="545">
        <v>72.75</v>
      </c>
      <c r="H8354" s="545">
        <v>53.666666666666664</v>
      </c>
      <c r="I8354" s="545">
        <v>44.333333333333336</v>
      </c>
      <c r="J8354" s="545">
        <v>65.964285714285708</v>
      </c>
    </row>
    <row r="8355" spans="1:10">
      <c r="A8355" s="441">
        <v>7909</v>
      </c>
      <c r="B8355" s="441" t="s">
        <v>6683</v>
      </c>
      <c r="C8355" s="545">
        <v>91.333333333333329</v>
      </c>
      <c r="D8355" s="545">
        <v>64.666666666666671</v>
      </c>
      <c r="E8355" s="545">
        <v>49.333333333333336</v>
      </c>
      <c r="F8355" s="545">
        <v>81.523809523809518</v>
      </c>
      <c r="G8355" s="545">
        <v>69.5</v>
      </c>
      <c r="H8355" s="545">
        <v>47.333333333333336</v>
      </c>
      <c r="I8355" s="545">
        <v>52.333333333333336</v>
      </c>
      <c r="J8355" s="545">
        <v>63.880952380952372</v>
      </c>
    </row>
    <row r="8356" spans="1:10">
      <c r="A8356" s="441">
        <v>8140</v>
      </c>
      <c r="B8356" s="441" t="s">
        <v>6683</v>
      </c>
      <c r="C8356" s="545">
        <v>43</v>
      </c>
      <c r="D8356" s="545">
        <v>36.333333333333336</v>
      </c>
      <c r="E8356" s="545">
        <v>30.666666666666664</v>
      </c>
      <c r="F8356" s="545">
        <v>40.285714285714285</v>
      </c>
      <c r="G8356" s="545">
        <v>61.75</v>
      </c>
      <c r="H8356" s="545">
        <v>38.333333333333336</v>
      </c>
      <c r="I8356" s="545">
        <v>38</v>
      </c>
      <c r="J8356" s="545">
        <v>55.011904761904759</v>
      </c>
    </row>
    <row r="8357" spans="1:10">
      <c r="A8357" s="441">
        <v>7908</v>
      </c>
      <c r="B8357" s="441" t="s">
        <v>6684</v>
      </c>
      <c r="C8357" s="545">
        <v>267.83333333333331</v>
      </c>
      <c r="D8357" s="545">
        <v>206.66666666666666</v>
      </c>
      <c r="E8357" s="545">
        <v>180</v>
      </c>
      <c r="F8357" s="545">
        <v>246.54761904761904</v>
      </c>
      <c r="G8357" s="545">
        <v>280.75</v>
      </c>
      <c r="H8357" s="545">
        <v>184</v>
      </c>
      <c r="I8357" s="545">
        <v>175.33333333333334</v>
      </c>
      <c r="J8357" s="545">
        <v>251.86904761904762</v>
      </c>
    </row>
    <row r="8358" spans="1:10">
      <c r="A8358" s="441">
        <v>8141</v>
      </c>
      <c r="B8358" s="441" t="s">
        <v>6684</v>
      </c>
      <c r="C8358" s="545">
        <v>148.66666666666666</v>
      </c>
      <c r="D8358" s="545">
        <v>111.33333333333333</v>
      </c>
      <c r="E8358" s="545">
        <v>68.666666666666657</v>
      </c>
      <c r="F8358" s="545">
        <v>131.9047619047619</v>
      </c>
      <c r="G8358" s="545">
        <v>94</v>
      </c>
      <c r="H8358" s="545">
        <v>76.333333333333329</v>
      </c>
      <c r="I8358" s="545">
        <v>78.333333333333329</v>
      </c>
      <c r="J8358" s="545">
        <v>89.238095238095255</v>
      </c>
    </row>
    <row r="8359" spans="1:10">
      <c r="A8359" s="441">
        <v>3427</v>
      </c>
      <c r="B8359" s="441" t="s">
        <v>6685</v>
      </c>
      <c r="C8359" s="545">
        <v>94.166666666666657</v>
      </c>
      <c r="D8359" s="545">
        <v>51</v>
      </c>
      <c r="E8359" s="545">
        <v>37.666666666666671</v>
      </c>
      <c r="F8359" s="545">
        <v>79.928571428571416</v>
      </c>
      <c r="G8359" s="545">
        <v>31.35</v>
      </c>
      <c r="H8359" s="545">
        <v>22</v>
      </c>
      <c r="I8359" s="545">
        <v>16.666666666666668</v>
      </c>
      <c r="J8359" s="545">
        <v>27.916666666666664</v>
      </c>
    </row>
    <row r="8360" spans="1:10">
      <c r="A8360" s="441">
        <v>5650</v>
      </c>
      <c r="B8360" s="441" t="s">
        <v>6686</v>
      </c>
      <c r="C8360" s="545">
        <v>153.16666666666666</v>
      </c>
      <c r="D8360" s="545">
        <v>97.333333333333343</v>
      </c>
      <c r="E8360" s="545">
        <v>74.333333333333329</v>
      </c>
      <c r="F8360" s="545">
        <v>133.92857142857142</v>
      </c>
      <c r="G8360" s="545">
        <v>89.1</v>
      </c>
      <c r="H8360" s="545">
        <v>46.333333333333336</v>
      </c>
      <c r="I8360" s="545">
        <v>40.666666666666664</v>
      </c>
      <c r="J8360" s="545">
        <v>76.071428571428569</v>
      </c>
    </row>
    <row r="8361" spans="1:10">
      <c r="A8361" s="441">
        <v>11514</v>
      </c>
      <c r="B8361" s="441" t="s">
        <v>6686</v>
      </c>
      <c r="C8361" s="545">
        <v>108</v>
      </c>
      <c r="D8361" s="545">
        <v>64.666666666666657</v>
      </c>
      <c r="E8361" s="545">
        <v>54</v>
      </c>
      <c r="F8361" s="545">
        <v>94.095238095238088</v>
      </c>
      <c r="G8361" s="545">
        <v>62.65</v>
      </c>
      <c r="H8361" s="545">
        <v>65</v>
      </c>
      <c r="I8361" s="545">
        <v>30.666666666666668</v>
      </c>
      <c r="J8361" s="545">
        <v>58.416666666666671</v>
      </c>
    </row>
    <row r="8362" spans="1:10">
      <c r="A8362" s="441">
        <v>13116</v>
      </c>
      <c r="B8362" s="441" t="s">
        <v>6687</v>
      </c>
      <c r="C8362" s="545">
        <v>12.333333333333332</v>
      </c>
      <c r="D8362" s="545">
        <v>9</v>
      </c>
      <c r="E8362" s="545">
        <v>1</v>
      </c>
      <c r="F8362" s="545">
        <v>10.238095238095237</v>
      </c>
      <c r="G8362" s="545">
        <v>9.8000000000000007</v>
      </c>
      <c r="H8362" s="545">
        <v>4</v>
      </c>
      <c r="I8362" s="545">
        <v>8.6666666666666661</v>
      </c>
      <c r="J8362" s="545">
        <v>8.8095238095238084</v>
      </c>
    </row>
    <row r="8363" spans="1:10">
      <c r="A8363" s="441">
        <v>8991</v>
      </c>
      <c r="B8363" s="441" t="s">
        <v>6688</v>
      </c>
      <c r="C8363" s="545">
        <v>82.666666666666657</v>
      </c>
      <c r="D8363" s="545">
        <v>63</v>
      </c>
      <c r="E8363" s="545">
        <v>59.333333333333329</v>
      </c>
      <c r="F8363" s="545">
        <v>76.523809523809518</v>
      </c>
      <c r="G8363" s="545">
        <v>66.150000000000006</v>
      </c>
      <c r="H8363" s="545">
        <v>44.666666666666664</v>
      </c>
      <c r="I8363" s="545">
        <v>35</v>
      </c>
      <c r="J8363" s="545">
        <v>58.630952380952387</v>
      </c>
    </row>
    <row r="8364" spans="1:10">
      <c r="A8364" s="441">
        <v>7124</v>
      </c>
      <c r="B8364" s="441" t="s">
        <v>6689</v>
      </c>
      <c r="C8364" s="545">
        <v>186.5</v>
      </c>
      <c r="D8364" s="545">
        <v>117.33333333333334</v>
      </c>
      <c r="E8364" s="545">
        <v>100.33333333333333</v>
      </c>
      <c r="F8364" s="545">
        <v>164.3095238095238</v>
      </c>
      <c r="G8364" s="545">
        <v>106</v>
      </c>
      <c r="H8364" s="545">
        <v>87.666666666666671</v>
      </c>
      <c r="I8364" s="545">
        <v>62.333333333333336</v>
      </c>
      <c r="J8364" s="545">
        <v>97.142857142857139</v>
      </c>
    </row>
    <row r="8365" spans="1:10">
      <c r="A8365" s="441">
        <v>8809</v>
      </c>
      <c r="B8365" s="441" t="s">
        <v>6689</v>
      </c>
      <c r="C8365" s="545">
        <v>158.33333333333334</v>
      </c>
      <c r="D8365" s="545">
        <v>115.33333333333333</v>
      </c>
      <c r="E8365" s="545">
        <v>109.33333333333333</v>
      </c>
      <c r="F8365" s="545">
        <v>145.1904761904762</v>
      </c>
      <c r="G8365" s="545">
        <v>97.6</v>
      </c>
      <c r="H8365" s="545">
        <v>74.666666666666671</v>
      </c>
      <c r="I8365" s="545">
        <v>64</v>
      </c>
      <c r="J8365" s="545">
        <v>89.523809523809518</v>
      </c>
    </row>
    <row r="8366" spans="1:10">
      <c r="A8366" s="441">
        <v>7887</v>
      </c>
      <c r="B8366" s="441" t="s">
        <v>6690</v>
      </c>
      <c r="C8366" s="545">
        <v>8</v>
      </c>
      <c r="D8366" s="545">
        <v>9</v>
      </c>
      <c r="E8366" s="545">
        <v>4.333333333333333</v>
      </c>
      <c r="F8366" s="545">
        <v>7.6190476190476195</v>
      </c>
      <c r="G8366" s="545">
        <v>7.5</v>
      </c>
      <c r="H8366" s="545">
        <v>3.6666666666666665</v>
      </c>
      <c r="I8366" s="545">
        <v>3</v>
      </c>
      <c r="J8366" s="545">
        <v>6.3095238095238093</v>
      </c>
    </row>
    <row r="8367" spans="1:10">
      <c r="A8367" s="441">
        <v>7892</v>
      </c>
      <c r="B8367" s="441" t="s">
        <v>6691</v>
      </c>
      <c r="C8367" s="545">
        <v>36.5</v>
      </c>
      <c r="D8367" s="545">
        <v>28.666666666666668</v>
      </c>
      <c r="E8367" s="545">
        <v>17.666666666666668</v>
      </c>
      <c r="F8367" s="545">
        <v>32.69047619047619</v>
      </c>
      <c r="G8367" s="545">
        <v>31.95</v>
      </c>
      <c r="H8367" s="545">
        <v>20</v>
      </c>
      <c r="I8367" s="545">
        <v>18</v>
      </c>
      <c r="J8367" s="545">
        <v>28.25</v>
      </c>
    </row>
    <row r="8368" spans="1:10">
      <c r="A8368" s="441">
        <v>8778</v>
      </c>
      <c r="B8368" s="441" t="s">
        <v>6691</v>
      </c>
      <c r="C8368" s="545">
        <v>42.666666666666664</v>
      </c>
      <c r="D8368" s="545">
        <v>27.666666666666668</v>
      </c>
      <c r="E8368" s="545">
        <v>14</v>
      </c>
      <c r="F8368" s="545">
        <v>36.428571428571423</v>
      </c>
      <c r="G8368" s="545">
        <v>31.1</v>
      </c>
      <c r="H8368" s="545">
        <v>22.333333333333332</v>
      </c>
      <c r="I8368" s="545">
        <v>13.333333333333334</v>
      </c>
      <c r="J8368" s="545">
        <v>27.309523809523814</v>
      </c>
    </row>
    <row r="8369" spans="1:10">
      <c r="A8369" s="441">
        <v>7902</v>
      </c>
      <c r="B8369" s="441" t="s">
        <v>6692</v>
      </c>
      <c r="C8369" s="545">
        <v>19.333333333333332</v>
      </c>
      <c r="D8369" s="545">
        <v>18</v>
      </c>
      <c r="E8369" s="545">
        <v>11.666666666666668</v>
      </c>
      <c r="F8369" s="545">
        <v>18.047619047619047</v>
      </c>
      <c r="G8369" s="545">
        <v>13.7</v>
      </c>
      <c r="H8369" s="545">
        <v>11.666666666666666</v>
      </c>
      <c r="I8369" s="545">
        <v>7.333333333333333</v>
      </c>
      <c r="J8369" s="545">
        <v>12.5</v>
      </c>
    </row>
    <row r="8370" spans="1:10">
      <c r="A8370" s="441">
        <v>8170</v>
      </c>
      <c r="B8370" s="441" t="s">
        <v>6692</v>
      </c>
      <c r="C8370" s="545">
        <v>24</v>
      </c>
      <c r="D8370" s="545">
        <v>27.333333333333336</v>
      </c>
      <c r="E8370" s="545">
        <v>19.333333333333336</v>
      </c>
      <c r="F8370" s="545">
        <v>23.809523809523814</v>
      </c>
      <c r="G8370" s="545">
        <v>21.45</v>
      </c>
      <c r="H8370" s="545">
        <v>15</v>
      </c>
      <c r="I8370" s="545">
        <v>19.666666666666668</v>
      </c>
      <c r="J8370" s="545">
        <v>20.273809523809522</v>
      </c>
    </row>
    <row r="8371" spans="1:10">
      <c r="A8371" s="441">
        <v>2960</v>
      </c>
      <c r="B8371" s="441" t="s">
        <v>6693</v>
      </c>
      <c r="C8371" s="545">
        <v>32</v>
      </c>
      <c r="D8371" s="545">
        <v>22.333333333333336</v>
      </c>
      <c r="E8371" s="545">
        <v>34.333333333333329</v>
      </c>
      <c r="F8371" s="545">
        <v>30.952380952380956</v>
      </c>
      <c r="G8371" s="545">
        <v>10.65</v>
      </c>
      <c r="H8371" s="545">
        <v>8</v>
      </c>
      <c r="I8371" s="545">
        <v>12.666666666666666</v>
      </c>
      <c r="J8371" s="545">
        <v>10.55952380952381</v>
      </c>
    </row>
    <row r="8372" spans="1:10">
      <c r="A8372" s="441">
        <v>3424</v>
      </c>
      <c r="B8372" s="441" t="s">
        <v>6693</v>
      </c>
      <c r="C8372" s="545">
        <v>27.666666666666668</v>
      </c>
      <c r="D8372" s="545">
        <v>23.666666666666664</v>
      </c>
      <c r="E8372" s="545">
        <v>13.333333333333332</v>
      </c>
      <c r="F8372" s="545">
        <v>25.047619047619047</v>
      </c>
      <c r="G8372" s="545">
        <v>15.35</v>
      </c>
      <c r="H8372" s="545">
        <v>9.3333333333333339</v>
      </c>
      <c r="I8372" s="545">
        <v>10.666666666666666</v>
      </c>
      <c r="J8372" s="545">
        <v>13.821428571428571</v>
      </c>
    </row>
    <row r="8373" spans="1:10">
      <c r="A8373" s="441">
        <v>7906</v>
      </c>
      <c r="B8373" s="441" t="s">
        <v>6694</v>
      </c>
      <c r="C8373" s="545">
        <v>163.66666666666666</v>
      </c>
      <c r="D8373" s="545">
        <v>107.33333333333334</v>
      </c>
      <c r="E8373" s="545">
        <v>78.666666666666657</v>
      </c>
      <c r="F8373" s="545">
        <v>143.47619047619045</v>
      </c>
      <c r="G8373" s="545">
        <v>93.85</v>
      </c>
      <c r="H8373" s="545">
        <v>63.666666666666664</v>
      </c>
      <c r="I8373" s="545">
        <v>57.666666666666664</v>
      </c>
      <c r="J8373" s="545">
        <v>84.369047619047606</v>
      </c>
    </row>
    <row r="8374" spans="1:10">
      <c r="A8374" s="441">
        <v>8143</v>
      </c>
      <c r="B8374" s="441" t="s">
        <v>6694</v>
      </c>
      <c r="C8374" s="545">
        <v>383.66666666666663</v>
      </c>
      <c r="D8374" s="545">
        <v>290.66666666666669</v>
      </c>
      <c r="E8374" s="545">
        <v>232.66666666666669</v>
      </c>
      <c r="F8374" s="545">
        <v>348.80952380952374</v>
      </c>
      <c r="G8374" s="545">
        <v>220.35</v>
      </c>
      <c r="H8374" s="545">
        <v>158.66666666666666</v>
      </c>
      <c r="I8374" s="545">
        <v>150</v>
      </c>
      <c r="J8374" s="545">
        <v>201.48809523809524</v>
      </c>
    </row>
    <row r="8375" spans="1:10">
      <c r="A8375" s="441">
        <v>7894</v>
      </c>
      <c r="B8375" s="441" t="s">
        <v>6695</v>
      </c>
      <c r="C8375" s="545">
        <v>20.5</v>
      </c>
      <c r="D8375" s="545">
        <v>20</v>
      </c>
      <c r="E8375" s="545">
        <v>9</v>
      </c>
      <c r="F8375" s="545">
        <v>18.785714285714285</v>
      </c>
      <c r="G8375" s="545">
        <v>17.45</v>
      </c>
      <c r="H8375" s="545">
        <v>12.333333333333334</v>
      </c>
      <c r="I8375" s="545">
        <v>9</v>
      </c>
      <c r="J8375" s="545">
        <v>15.511904761904761</v>
      </c>
    </row>
    <row r="8376" spans="1:10">
      <c r="A8376" s="441">
        <v>8776</v>
      </c>
      <c r="B8376" s="441" t="s">
        <v>6695</v>
      </c>
      <c r="C8376" s="545">
        <v>24.666666666666668</v>
      </c>
      <c r="D8376" s="545">
        <v>25.666666666666664</v>
      </c>
      <c r="E8376" s="545">
        <v>19.333333333333336</v>
      </c>
      <c r="F8376" s="545">
        <v>24.047619047619047</v>
      </c>
      <c r="G8376" s="545">
        <v>24</v>
      </c>
      <c r="H8376" s="545">
        <v>37.333333333333336</v>
      </c>
      <c r="I8376" s="545">
        <v>14</v>
      </c>
      <c r="J8376" s="545">
        <v>24.476190476190478</v>
      </c>
    </row>
    <row r="8377" spans="1:10">
      <c r="A8377" s="441">
        <v>7113</v>
      </c>
      <c r="B8377" s="441" t="s">
        <v>6696</v>
      </c>
      <c r="C8377" s="545">
        <v>352.83333333333337</v>
      </c>
      <c r="D8377" s="545">
        <v>254</v>
      </c>
      <c r="E8377" s="545">
        <v>212</v>
      </c>
      <c r="F8377" s="545">
        <v>318.59523809523813</v>
      </c>
      <c r="G8377" s="545">
        <v>283.3</v>
      </c>
      <c r="H8377" s="545">
        <v>187.66666666666666</v>
      </c>
      <c r="I8377" s="545">
        <v>206.33333333333334</v>
      </c>
      <c r="J8377" s="545">
        <v>258.64285714285717</v>
      </c>
    </row>
    <row r="8378" spans="1:10">
      <c r="A8378" s="441">
        <v>7717</v>
      </c>
      <c r="B8378" s="441" t="s">
        <v>6696</v>
      </c>
      <c r="C8378" s="545">
        <v>371.5</v>
      </c>
      <c r="D8378" s="545">
        <v>309.66666666666669</v>
      </c>
      <c r="E8378" s="545">
        <v>282</v>
      </c>
      <c r="F8378" s="545">
        <v>349.88095238095235</v>
      </c>
      <c r="G8378" s="545">
        <v>334.85</v>
      </c>
      <c r="H8378" s="545">
        <v>245.66666666666666</v>
      </c>
      <c r="I8378" s="545">
        <v>231</v>
      </c>
      <c r="J8378" s="545">
        <v>307.27380952380958</v>
      </c>
    </row>
    <row r="8379" spans="1:10">
      <c r="A8379" s="441">
        <v>2951</v>
      </c>
      <c r="B8379" s="441" t="s">
        <v>6697</v>
      </c>
      <c r="C8379" s="545">
        <v>47.333333333333329</v>
      </c>
      <c r="D8379" s="545">
        <v>20.666666666666668</v>
      </c>
      <c r="E8379" s="545">
        <v>18.333333333333332</v>
      </c>
      <c r="F8379" s="545">
        <v>39.380952380952372</v>
      </c>
      <c r="G8379" s="545">
        <v>33.65</v>
      </c>
      <c r="H8379" s="545">
        <v>22.666666666666668</v>
      </c>
      <c r="I8379" s="545">
        <v>20.333333333333332</v>
      </c>
      <c r="J8379" s="545">
        <v>30.178571428571427</v>
      </c>
    </row>
    <row r="8380" spans="1:10">
      <c r="A8380" s="441">
        <v>3433</v>
      </c>
      <c r="B8380" s="441" t="s">
        <v>6697</v>
      </c>
      <c r="C8380" s="545">
        <v>49.833333333333336</v>
      </c>
      <c r="D8380" s="545">
        <v>19</v>
      </c>
      <c r="E8380" s="545">
        <v>22.666666666666664</v>
      </c>
      <c r="F8380" s="545">
        <v>41.547619047619051</v>
      </c>
      <c r="G8380" s="545">
        <v>32.950000000000003</v>
      </c>
      <c r="H8380" s="545">
        <v>13</v>
      </c>
      <c r="I8380" s="545">
        <v>13.333333333333334</v>
      </c>
      <c r="J8380" s="545">
        <v>27.297619047619047</v>
      </c>
    </row>
    <row r="8381" spans="1:10">
      <c r="A8381" s="441">
        <v>7904</v>
      </c>
      <c r="B8381" s="441" t="s">
        <v>6698</v>
      </c>
      <c r="C8381" s="545">
        <v>88.166666666666657</v>
      </c>
      <c r="D8381" s="545">
        <v>59</v>
      </c>
      <c r="E8381" s="545">
        <v>46.333333333333336</v>
      </c>
      <c r="F8381" s="545">
        <v>78.023809523809518</v>
      </c>
      <c r="G8381" s="545">
        <v>56.9</v>
      </c>
      <c r="H8381" s="545">
        <v>43.333333333333336</v>
      </c>
      <c r="I8381" s="545">
        <v>34.333333333333336</v>
      </c>
      <c r="J8381" s="545">
        <v>51.738095238095234</v>
      </c>
    </row>
    <row r="8382" spans="1:10">
      <c r="A8382" s="441">
        <v>8166</v>
      </c>
      <c r="B8382" s="441" t="s">
        <v>6698</v>
      </c>
      <c r="C8382" s="545">
        <v>79.666666666666671</v>
      </c>
      <c r="D8382" s="545">
        <v>58.333333333333329</v>
      </c>
      <c r="E8382" s="545">
        <v>46</v>
      </c>
      <c r="F8382" s="545">
        <v>71.80952380952381</v>
      </c>
      <c r="G8382" s="545">
        <v>58.85</v>
      </c>
      <c r="H8382" s="545">
        <v>36.666666666666664</v>
      </c>
      <c r="I8382" s="545">
        <v>36</v>
      </c>
      <c r="J8382" s="545">
        <v>52.416666666666671</v>
      </c>
    </row>
    <row r="8383" spans="1:10">
      <c r="A8383" s="441">
        <v>2957</v>
      </c>
      <c r="B8383" s="441" t="s">
        <v>6699</v>
      </c>
      <c r="C8383" s="545">
        <v>63.833333333333336</v>
      </c>
      <c r="D8383" s="545">
        <v>51</v>
      </c>
      <c r="E8383" s="545">
        <v>33.333333333333336</v>
      </c>
      <c r="F8383" s="545">
        <v>57.642857142857146</v>
      </c>
      <c r="G8383" s="545">
        <v>21.5</v>
      </c>
      <c r="H8383" s="545">
        <v>12.666666666666666</v>
      </c>
      <c r="I8383" s="545">
        <v>19.666666666666668</v>
      </c>
      <c r="J8383" s="545">
        <v>19.976190476190478</v>
      </c>
    </row>
    <row r="8384" spans="1:10">
      <c r="A8384" s="441">
        <v>7104</v>
      </c>
      <c r="B8384" s="441" t="s">
        <v>6700</v>
      </c>
      <c r="C8384" s="545">
        <v>77.166666666666657</v>
      </c>
      <c r="D8384" s="545">
        <v>51</v>
      </c>
      <c r="E8384" s="545">
        <v>36.333333333333336</v>
      </c>
      <c r="F8384" s="545">
        <v>67.595238095238088</v>
      </c>
      <c r="G8384" s="545">
        <v>67.95</v>
      </c>
      <c r="H8384" s="545">
        <v>40.333333333333336</v>
      </c>
      <c r="I8384" s="545">
        <v>32.666666666666664</v>
      </c>
      <c r="J8384" s="545">
        <v>58.964285714285715</v>
      </c>
    </row>
    <row r="8385" spans="1:10">
      <c r="A8385" s="441">
        <v>10140</v>
      </c>
      <c r="B8385" s="441" t="s">
        <v>6700</v>
      </c>
      <c r="C8385" s="545">
        <v>80.833333333333329</v>
      </c>
      <c r="D8385" s="545">
        <v>45.666666666666664</v>
      </c>
      <c r="E8385" s="545">
        <v>32.666666666666664</v>
      </c>
      <c r="F8385" s="545">
        <v>68.928571428571431</v>
      </c>
      <c r="G8385" s="545">
        <v>71.5</v>
      </c>
      <c r="H8385" s="545">
        <v>43</v>
      </c>
      <c r="I8385" s="545">
        <v>34</v>
      </c>
      <c r="J8385" s="545">
        <v>62.071428571428569</v>
      </c>
    </row>
    <row r="8386" spans="1:10">
      <c r="A8386" s="441">
        <v>2955</v>
      </c>
      <c r="B8386" s="441" t="s">
        <v>6701</v>
      </c>
      <c r="C8386" s="545">
        <v>26.833333333333336</v>
      </c>
      <c r="D8386" s="545">
        <v>18</v>
      </c>
      <c r="E8386" s="545">
        <v>7.666666666666667</v>
      </c>
      <c r="F8386" s="545">
        <v>22.833333333333336</v>
      </c>
      <c r="G8386" s="545">
        <v>12.2</v>
      </c>
      <c r="H8386" s="545">
        <v>10.666666666666666</v>
      </c>
      <c r="I8386" s="545">
        <v>12.666666666666666</v>
      </c>
      <c r="J8386" s="545">
        <v>12.047619047619049</v>
      </c>
    </row>
    <row r="8387" spans="1:10">
      <c r="A8387" s="441">
        <v>3429</v>
      </c>
      <c r="B8387" s="441" t="s">
        <v>6701</v>
      </c>
      <c r="C8387" s="545">
        <v>40.166666666666671</v>
      </c>
      <c r="D8387" s="545">
        <v>20.333333333333332</v>
      </c>
      <c r="E8387" s="545">
        <v>18</v>
      </c>
      <c r="F8387" s="545">
        <v>34.166666666666671</v>
      </c>
      <c r="G8387" s="545">
        <v>17.600000000000001</v>
      </c>
      <c r="H8387" s="545">
        <v>5.666666666666667</v>
      </c>
      <c r="I8387" s="545">
        <v>11.333333333333334</v>
      </c>
      <c r="J8387" s="545">
        <v>15</v>
      </c>
    </row>
    <row r="8388" spans="1:10">
      <c r="A8388" s="441">
        <v>11840</v>
      </c>
      <c r="B8388" s="441" t="s">
        <v>6702</v>
      </c>
      <c r="C8388" s="545">
        <v>1.1666666666666667</v>
      </c>
      <c r="D8388" s="545">
        <v>0.66666666666666663</v>
      </c>
      <c r="E8388" s="545">
        <v>0.33333333333333331</v>
      </c>
      <c r="F8388" s="545">
        <v>0.97619047619047628</v>
      </c>
      <c r="G8388" s="545">
        <v>0.4</v>
      </c>
      <c r="H8388" s="545">
        <v>0.33333333333333331</v>
      </c>
      <c r="I8388" s="545">
        <v>0</v>
      </c>
      <c r="J8388" s="545">
        <v>0.33333333333333337</v>
      </c>
    </row>
    <row r="8389" spans="1:10">
      <c r="A8389" s="441">
        <v>159</v>
      </c>
      <c r="B8389" s="441" t="s">
        <v>6703</v>
      </c>
      <c r="C8389" s="545">
        <v>3.8333333333333335</v>
      </c>
      <c r="D8389" s="545">
        <v>1</v>
      </c>
      <c r="E8389" s="545">
        <v>0.33333333333333331</v>
      </c>
      <c r="F8389" s="545">
        <v>2.9285714285714284</v>
      </c>
      <c r="G8389" s="545">
        <v>0.65</v>
      </c>
      <c r="H8389" s="545">
        <v>0.66666666666666663</v>
      </c>
      <c r="I8389" s="545">
        <v>0</v>
      </c>
      <c r="J8389" s="545">
        <v>0.55952380952380953</v>
      </c>
    </row>
    <row r="8390" spans="1:10">
      <c r="A8390" s="441">
        <v>13167</v>
      </c>
      <c r="B8390" s="441" t="s">
        <v>6704</v>
      </c>
      <c r="C8390" s="545" t="e">
        <v>#N/A</v>
      </c>
      <c r="D8390" s="545" t="e">
        <v>#N/A</v>
      </c>
      <c r="E8390" s="545" t="e">
        <v>#N/A</v>
      </c>
      <c r="F8390" s="545" t="e">
        <v>#N/A</v>
      </c>
      <c r="G8390" s="545">
        <v>17.899999999999999</v>
      </c>
      <c r="H8390" s="545"/>
      <c r="I8390" s="545"/>
      <c r="J8390" s="545">
        <v>12.785714285714286</v>
      </c>
    </row>
    <row r="8391" spans="1:10">
      <c r="A8391" s="441">
        <v>13169</v>
      </c>
      <c r="B8391" s="441" t="s">
        <v>6704</v>
      </c>
      <c r="C8391" s="545" t="e">
        <v>#N/A</v>
      </c>
      <c r="D8391" s="545" t="e">
        <v>#N/A</v>
      </c>
      <c r="E8391" s="545" t="e">
        <v>#N/A</v>
      </c>
      <c r="F8391" s="545" t="e">
        <v>#N/A</v>
      </c>
      <c r="G8391" s="545">
        <v>416.75</v>
      </c>
      <c r="H8391" s="545">
        <v>395.33333333333331</v>
      </c>
      <c r="I8391" s="545">
        <v>414</v>
      </c>
      <c r="J8391" s="545">
        <v>413.29761904761909</v>
      </c>
    </row>
    <row r="8392" spans="1:10">
      <c r="A8392" s="441">
        <v>12505</v>
      </c>
      <c r="B8392" s="441" t="s">
        <v>6705</v>
      </c>
      <c r="C8392" s="545">
        <v>8</v>
      </c>
      <c r="D8392" s="545">
        <v>0</v>
      </c>
      <c r="E8392" s="545">
        <v>1</v>
      </c>
      <c r="F8392" s="545">
        <v>5.8571428571428568</v>
      </c>
      <c r="G8392" s="545">
        <v>2.6</v>
      </c>
      <c r="H8392" s="545">
        <v>1</v>
      </c>
      <c r="I8392" s="545">
        <v>0.33333333333333331</v>
      </c>
      <c r="J8392" s="545">
        <v>2.0476190476190479</v>
      </c>
    </row>
    <row r="8393" spans="1:10">
      <c r="A8393" s="441">
        <v>7472</v>
      </c>
      <c r="B8393" s="441" t="s">
        <v>6706</v>
      </c>
      <c r="C8393" s="545">
        <v>6.166666666666667</v>
      </c>
      <c r="D8393" s="545">
        <v>0</v>
      </c>
      <c r="E8393" s="545">
        <v>0</v>
      </c>
      <c r="F8393" s="545">
        <v>4.4047619047619051</v>
      </c>
      <c r="G8393" s="545">
        <v>0.8</v>
      </c>
      <c r="H8393" s="545"/>
      <c r="I8393" s="545"/>
      <c r="J8393" s="545">
        <v>0.5714285714285714</v>
      </c>
    </row>
    <row r="8394" spans="1:10">
      <c r="A8394" s="441">
        <v>10225</v>
      </c>
      <c r="B8394" s="441" t="s">
        <v>6707</v>
      </c>
      <c r="C8394" s="545">
        <v>27.333333333333336</v>
      </c>
      <c r="D8394" s="545">
        <v>18.666666666666664</v>
      </c>
      <c r="E8394" s="545">
        <v>13.666666666666668</v>
      </c>
      <c r="F8394" s="545">
        <v>24.142857142857142</v>
      </c>
      <c r="G8394" s="545">
        <v>12.05</v>
      </c>
      <c r="H8394" s="545">
        <v>10</v>
      </c>
      <c r="I8394" s="545">
        <v>15.333333333333334</v>
      </c>
      <c r="J8394" s="545">
        <v>12.226190476190476</v>
      </c>
    </row>
    <row r="8395" spans="1:10">
      <c r="A8395" s="441">
        <v>10560</v>
      </c>
      <c r="B8395" s="441" t="s">
        <v>6707</v>
      </c>
      <c r="C8395" s="545">
        <v>52.333333333333336</v>
      </c>
      <c r="D8395" s="545">
        <v>26</v>
      </c>
      <c r="E8395" s="545">
        <v>18</v>
      </c>
      <c r="F8395" s="545">
        <v>43.666666666666671</v>
      </c>
      <c r="G8395" s="545">
        <v>25.5</v>
      </c>
      <c r="H8395" s="545">
        <v>22.666666666666668</v>
      </c>
      <c r="I8395" s="545">
        <v>10.333333333333334</v>
      </c>
      <c r="J8395" s="545">
        <v>22.928571428571427</v>
      </c>
    </row>
    <row r="8396" spans="1:10">
      <c r="A8396" s="441">
        <v>10561</v>
      </c>
      <c r="B8396" s="441" t="s">
        <v>6707</v>
      </c>
      <c r="C8396" s="545">
        <v>40.833333333333336</v>
      </c>
      <c r="D8396" s="545">
        <v>20</v>
      </c>
      <c r="E8396" s="545">
        <v>18.333333333333332</v>
      </c>
      <c r="F8396" s="545">
        <v>34.642857142857146</v>
      </c>
      <c r="G8396" s="545">
        <v>27.1</v>
      </c>
      <c r="H8396" s="545">
        <v>20.666666666666668</v>
      </c>
      <c r="I8396" s="545">
        <v>12.666666666666666</v>
      </c>
      <c r="J8396" s="545">
        <v>24.119047619047617</v>
      </c>
    </row>
    <row r="8397" spans="1:10">
      <c r="A8397" s="441">
        <v>3619</v>
      </c>
      <c r="B8397" s="441" t="s">
        <v>6708</v>
      </c>
      <c r="C8397" s="545">
        <v>7.333333333333333</v>
      </c>
      <c r="D8397" s="545">
        <v>3.666666666666667</v>
      </c>
      <c r="E8397" s="545">
        <v>4.333333333333333</v>
      </c>
      <c r="F8397" s="545">
        <v>6.3809523809523805</v>
      </c>
      <c r="G8397" s="545">
        <v>5.5</v>
      </c>
      <c r="H8397" s="545">
        <v>4.333333333333333</v>
      </c>
      <c r="I8397" s="545">
        <v>4.333333333333333</v>
      </c>
      <c r="J8397" s="545">
        <v>5.1666666666666661</v>
      </c>
    </row>
    <row r="8398" spans="1:10">
      <c r="A8398" s="441">
        <v>3620</v>
      </c>
      <c r="B8398" s="441" t="s">
        <v>6708</v>
      </c>
      <c r="C8398" s="545">
        <v>6.833333333333333</v>
      </c>
      <c r="D8398" s="545">
        <v>3.3333333333333335</v>
      </c>
      <c r="E8398" s="545">
        <v>5.3333333333333339</v>
      </c>
      <c r="F8398" s="545">
        <v>6.1190476190476195</v>
      </c>
      <c r="G8398" s="545">
        <v>4.8499999999999996</v>
      </c>
      <c r="H8398" s="545">
        <v>3.6666666666666665</v>
      </c>
      <c r="I8398" s="545">
        <v>5</v>
      </c>
      <c r="J8398" s="545">
        <v>4.7023809523809534</v>
      </c>
    </row>
    <row r="8399" spans="1:10">
      <c r="A8399" s="441">
        <v>3621</v>
      </c>
      <c r="B8399" s="441" t="s">
        <v>6708</v>
      </c>
      <c r="C8399" s="545">
        <v>4.5</v>
      </c>
      <c r="D8399" s="545">
        <v>1.6666666666666665</v>
      </c>
      <c r="E8399" s="545">
        <v>4</v>
      </c>
      <c r="F8399" s="545">
        <v>4.0238095238095237</v>
      </c>
      <c r="G8399" s="545">
        <v>7.2</v>
      </c>
      <c r="H8399" s="545">
        <v>7.666666666666667</v>
      </c>
      <c r="I8399" s="545">
        <v>5.666666666666667</v>
      </c>
      <c r="J8399" s="545">
        <v>7.0476190476190466</v>
      </c>
    </row>
    <row r="8400" spans="1:10">
      <c r="A8400" s="441">
        <v>10224</v>
      </c>
      <c r="B8400" s="441" t="s">
        <v>6708</v>
      </c>
      <c r="C8400" s="545">
        <v>26.333333333333336</v>
      </c>
      <c r="D8400" s="545">
        <v>17.333333333333332</v>
      </c>
      <c r="E8400" s="545">
        <v>20.333333333333336</v>
      </c>
      <c r="F8400" s="545">
        <v>24.190476190476197</v>
      </c>
      <c r="G8400" s="545">
        <v>16.45</v>
      </c>
      <c r="H8400" s="545">
        <v>15</v>
      </c>
      <c r="I8400" s="545">
        <v>13.666666666666666</v>
      </c>
      <c r="J8400" s="545">
        <v>15.845238095238097</v>
      </c>
    </row>
    <row r="8401" spans="1:10">
      <c r="A8401" s="441">
        <v>13000</v>
      </c>
      <c r="B8401" s="441" t="s">
        <v>6709</v>
      </c>
      <c r="C8401" s="545">
        <v>37.166666666666664</v>
      </c>
      <c r="D8401" s="545">
        <v>0</v>
      </c>
      <c r="E8401" s="545">
        <v>0</v>
      </c>
      <c r="F8401" s="545">
        <v>26.547619047619044</v>
      </c>
      <c r="G8401" s="545">
        <v>5</v>
      </c>
      <c r="H8401" s="545"/>
      <c r="I8401" s="545"/>
      <c r="J8401" s="545">
        <v>3.5714285714285716</v>
      </c>
    </row>
    <row r="8402" spans="1:10">
      <c r="A8402" s="441">
        <v>13001</v>
      </c>
      <c r="B8402" s="441" t="s">
        <v>6709</v>
      </c>
      <c r="C8402" s="545">
        <v>40.166666666666664</v>
      </c>
      <c r="D8402" s="545">
        <v>0</v>
      </c>
      <c r="E8402" s="545">
        <v>0</v>
      </c>
      <c r="F8402" s="545">
        <v>28.690476190476186</v>
      </c>
      <c r="G8402" s="545">
        <v>6.55</v>
      </c>
      <c r="H8402" s="545"/>
      <c r="I8402" s="545"/>
      <c r="J8402" s="545">
        <v>4.6785714285714288</v>
      </c>
    </row>
    <row r="8403" spans="1:10">
      <c r="A8403" s="441">
        <v>7469</v>
      </c>
      <c r="B8403" s="441" t="s">
        <v>6710</v>
      </c>
      <c r="C8403" s="545">
        <v>7.6666666666666661</v>
      </c>
      <c r="D8403" s="545">
        <v>0</v>
      </c>
      <c r="E8403" s="545">
        <v>0</v>
      </c>
      <c r="F8403" s="545">
        <v>5.4761904761904754</v>
      </c>
      <c r="G8403" s="545">
        <v>1.75</v>
      </c>
      <c r="H8403" s="545"/>
      <c r="I8403" s="545"/>
      <c r="J8403" s="545">
        <v>1.25</v>
      </c>
    </row>
    <row r="8404" spans="1:10">
      <c r="A8404" s="441">
        <v>12506</v>
      </c>
      <c r="B8404" s="441" t="s">
        <v>6711</v>
      </c>
      <c r="C8404" s="545">
        <v>7.8333333333333339</v>
      </c>
      <c r="D8404" s="545">
        <v>2</v>
      </c>
      <c r="E8404" s="545">
        <v>2.666666666666667</v>
      </c>
      <c r="F8404" s="545">
        <v>6.2619047619047619</v>
      </c>
      <c r="G8404" s="545">
        <v>1.55</v>
      </c>
      <c r="H8404" s="545">
        <v>1.3333333333333333</v>
      </c>
      <c r="I8404" s="545">
        <v>0.33333333333333331</v>
      </c>
      <c r="J8404" s="545">
        <v>1.3452380952380953</v>
      </c>
    </row>
    <row r="8405" spans="1:10">
      <c r="A8405" s="441">
        <v>7467</v>
      </c>
      <c r="B8405" s="441" t="s">
        <v>6712</v>
      </c>
      <c r="C8405" s="545">
        <v>35.5</v>
      </c>
      <c r="D8405" s="545">
        <v>0</v>
      </c>
      <c r="E8405" s="545">
        <v>0</v>
      </c>
      <c r="F8405" s="545">
        <v>25.357142857142858</v>
      </c>
      <c r="G8405" s="545">
        <v>6.25</v>
      </c>
      <c r="H8405" s="545"/>
      <c r="I8405" s="545"/>
      <c r="J8405" s="545">
        <v>4.4642857142857144</v>
      </c>
    </row>
    <row r="8406" spans="1:10">
      <c r="A8406" s="441">
        <v>13072</v>
      </c>
      <c r="B8406" s="441" t="s">
        <v>6712</v>
      </c>
      <c r="C8406" s="545">
        <v>32.833333333333336</v>
      </c>
      <c r="D8406" s="545">
        <v>0</v>
      </c>
      <c r="E8406" s="545">
        <v>0</v>
      </c>
      <c r="F8406" s="545">
        <v>23.452380952380956</v>
      </c>
      <c r="G8406" s="545">
        <v>6.15</v>
      </c>
      <c r="H8406" s="545"/>
      <c r="I8406" s="545"/>
      <c r="J8406" s="545">
        <v>4.3928571428571432</v>
      </c>
    </row>
    <row r="8407" spans="1:10">
      <c r="A8407" s="441">
        <v>3614</v>
      </c>
      <c r="B8407" s="441" t="s">
        <v>6713</v>
      </c>
      <c r="C8407" s="545">
        <v>14.666666666666666</v>
      </c>
      <c r="D8407" s="545">
        <v>1.3333333333333333</v>
      </c>
      <c r="E8407" s="545">
        <v>1.6666666666666665</v>
      </c>
      <c r="F8407" s="545">
        <v>10.904761904761903</v>
      </c>
      <c r="G8407" s="545">
        <v>8.1999999999999993</v>
      </c>
      <c r="H8407" s="545">
        <v>1.3333333333333333</v>
      </c>
      <c r="I8407" s="545">
        <v>0</v>
      </c>
      <c r="J8407" s="545">
        <v>6.0476190476190483</v>
      </c>
    </row>
    <row r="8408" spans="1:10">
      <c r="A8408" s="441">
        <v>3625</v>
      </c>
      <c r="B8408" s="441" t="s">
        <v>6713</v>
      </c>
      <c r="C8408" s="545">
        <v>24</v>
      </c>
      <c r="D8408" s="545">
        <v>1.6666666666666665</v>
      </c>
      <c r="E8408" s="545">
        <v>0.66666666666666663</v>
      </c>
      <c r="F8408" s="545">
        <v>17.476190476190478</v>
      </c>
      <c r="G8408" s="545">
        <v>14.15</v>
      </c>
      <c r="H8408" s="545">
        <v>3.6666666666666665</v>
      </c>
      <c r="I8408" s="545">
        <v>5.333333333333333</v>
      </c>
      <c r="J8408" s="545">
        <v>11.392857142857142</v>
      </c>
    </row>
    <row r="8409" spans="1:10">
      <c r="A8409" s="441">
        <v>3626</v>
      </c>
      <c r="B8409" s="441" t="s">
        <v>6713</v>
      </c>
      <c r="C8409" s="545">
        <v>16</v>
      </c>
      <c r="D8409" s="545">
        <v>9.6666666666666679</v>
      </c>
      <c r="E8409" s="545">
        <v>1.3333333333333333</v>
      </c>
      <c r="F8409" s="545">
        <v>13</v>
      </c>
      <c r="G8409" s="545">
        <v>5.35</v>
      </c>
      <c r="H8409" s="545">
        <v>3.6666666666666665</v>
      </c>
      <c r="I8409" s="545">
        <v>4.333333333333333</v>
      </c>
      <c r="J8409" s="545">
        <v>4.9642857142857144</v>
      </c>
    </row>
    <row r="8410" spans="1:10">
      <c r="A8410" s="441">
        <v>3615</v>
      </c>
      <c r="B8410" s="441" t="s">
        <v>6714</v>
      </c>
      <c r="C8410" s="545">
        <v>27.666666666666668</v>
      </c>
      <c r="D8410" s="545">
        <v>9.3333333333333339</v>
      </c>
      <c r="E8410" s="545">
        <v>6</v>
      </c>
      <c r="F8410" s="545">
        <v>21.952380952380956</v>
      </c>
      <c r="G8410" s="545">
        <v>17.149999999999999</v>
      </c>
      <c r="H8410" s="545">
        <v>7.666666666666667</v>
      </c>
      <c r="I8410" s="545">
        <v>9.6666666666666661</v>
      </c>
      <c r="J8410" s="545">
        <v>14.726190476190478</v>
      </c>
    </row>
    <row r="8411" spans="1:10">
      <c r="A8411" s="441">
        <v>3624</v>
      </c>
      <c r="B8411" s="441" t="s">
        <v>6714</v>
      </c>
      <c r="C8411" s="545">
        <v>32</v>
      </c>
      <c r="D8411" s="545">
        <v>14.666666666666666</v>
      </c>
      <c r="E8411" s="545">
        <v>5.3333333333333339</v>
      </c>
      <c r="F8411" s="545">
        <v>25.714285714285715</v>
      </c>
      <c r="G8411" s="545">
        <v>18.149999999999999</v>
      </c>
      <c r="H8411" s="545">
        <v>10.333333333333334</v>
      </c>
      <c r="I8411" s="545">
        <v>9.3333333333333339</v>
      </c>
      <c r="J8411" s="545">
        <v>15.773809523809522</v>
      </c>
    </row>
    <row r="8412" spans="1:10">
      <c r="A8412" s="441">
        <v>3616</v>
      </c>
      <c r="B8412" s="441" t="s">
        <v>6715</v>
      </c>
      <c r="C8412" s="545">
        <v>1.6666666666666667</v>
      </c>
      <c r="D8412" s="545">
        <v>0</v>
      </c>
      <c r="E8412" s="545">
        <v>0.66666666666666663</v>
      </c>
      <c r="F8412" s="545">
        <v>1.2857142857142858</v>
      </c>
      <c r="G8412" s="545">
        <v>0.85</v>
      </c>
      <c r="H8412" s="545">
        <v>0</v>
      </c>
      <c r="I8412" s="545">
        <v>0.33333333333333331</v>
      </c>
      <c r="J8412" s="545">
        <v>0.65476190476190477</v>
      </c>
    </row>
    <row r="8413" spans="1:10">
      <c r="A8413" s="441">
        <v>7468</v>
      </c>
      <c r="B8413" s="441" t="s">
        <v>6716</v>
      </c>
      <c r="C8413" s="545">
        <v>37</v>
      </c>
      <c r="D8413" s="545">
        <v>0</v>
      </c>
      <c r="E8413" s="545">
        <v>0</v>
      </c>
      <c r="F8413" s="545">
        <v>26.428571428571427</v>
      </c>
      <c r="G8413" s="545">
        <v>9.9</v>
      </c>
      <c r="H8413" s="545"/>
      <c r="I8413" s="545"/>
      <c r="J8413" s="545">
        <v>7.0714285714285712</v>
      </c>
    </row>
    <row r="8414" spans="1:10">
      <c r="A8414" s="441">
        <v>7475</v>
      </c>
      <c r="B8414" s="441" t="s">
        <v>6716</v>
      </c>
      <c r="C8414" s="545">
        <v>34.666666666666664</v>
      </c>
      <c r="D8414" s="545">
        <v>0</v>
      </c>
      <c r="E8414" s="545">
        <v>0</v>
      </c>
      <c r="F8414" s="545">
        <v>24.761904761904759</v>
      </c>
      <c r="G8414" s="545">
        <v>8.9499999999999993</v>
      </c>
      <c r="H8414" s="545"/>
      <c r="I8414" s="545"/>
      <c r="J8414" s="545">
        <v>6.3928571428571432</v>
      </c>
    </row>
    <row r="8415" spans="1:10">
      <c r="A8415" s="441">
        <v>3627</v>
      </c>
      <c r="B8415" s="441" t="s">
        <v>6717</v>
      </c>
      <c r="C8415" s="545">
        <v>50.166666666666671</v>
      </c>
      <c r="D8415" s="545">
        <v>14.666666666666666</v>
      </c>
      <c r="E8415" s="545">
        <v>5</v>
      </c>
      <c r="F8415" s="545">
        <v>38.642857142857153</v>
      </c>
      <c r="G8415" s="545">
        <v>9.9</v>
      </c>
      <c r="H8415" s="545">
        <v>6.666666666666667</v>
      </c>
      <c r="I8415" s="545">
        <v>0.66666666666666663</v>
      </c>
      <c r="J8415" s="545">
        <v>8.1190476190476186</v>
      </c>
    </row>
    <row r="8416" spans="1:10">
      <c r="A8416" s="441">
        <v>3613</v>
      </c>
      <c r="B8416" s="441" t="s">
        <v>6718</v>
      </c>
      <c r="C8416" s="545">
        <v>15.333333333333332</v>
      </c>
      <c r="D8416" s="545">
        <v>4.666666666666667</v>
      </c>
      <c r="E8416" s="545">
        <v>1.3333333333333333</v>
      </c>
      <c r="F8416" s="545">
        <v>11.809523809523808</v>
      </c>
      <c r="G8416" s="545">
        <v>4.3</v>
      </c>
      <c r="H8416" s="545">
        <v>8.3333333333333339</v>
      </c>
      <c r="I8416" s="545">
        <v>3.6666666666666665</v>
      </c>
      <c r="J8416" s="545">
        <v>4.7857142857142856</v>
      </c>
    </row>
    <row r="8417" spans="1:10">
      <c r="A8417" s="441">
        <v>10562</v>
      </c>
      <c r="B8417" s="441" t="s">
        <v>6719</v>
      </c>
      <c r="C8417" s="545">
        <v>4.5</v>
      </c>
      <c r="D8417" s="545">
        <v>2.3333333333333335</v>
      </c>
      <c r="E8417" s="545">
        <v>3.3333333333333335</v>
      </c>
      <c r="F8417" s="545">
        <v>4.0238095238095237</v>
      </c>
      <c r="G8417" s="545">
        <v>6.7</v>
      </c>
      <c r="H8417" s="545">
        <v>1.3333333333333333</v>
      </c>
      <c r="I8417" s="545">
        <v>1.6666666666666667</v>
      </c>
      <c r="J8417" s="545">
        <v>5.2142857142857144</v>
      </c>
    </row>
    <row r="8418" spans="1:10">
      <c r="A8418" s="441">
        <v>10563</v>
      </c>
      <c r="B8418" s="441" t="s">
        <v>6719</v>
      </c>
      <c r="C8418" s="545">
        <v>7.5</v>
      </c>
      <c r="D8418" s="545">
        <v>4.333333333333333</v>
      </c>
      <c r="E8418" s="545">
        <v>4.666666666666667</v>
      </c>
      <c r="F8418" s="545">
        <v>6.6428571428571432</v>
      </c>
      <c r="G8418" s="545">
        <v>9.8000000000000007</v>
      </c>
      <c r="H8418" s="545">
        <v>10</v>
      </c>
      <c r="I8418" s="545">
        <v>5</v>
      </c>
      <c r="J8418" s="545">
        <v>9.1428571428571423</v>
      </c>
    </row>
    <row r="8419" spans="1:10">
      <c r="A8419" s="441">
        <v>3617</v>
      </c>
      <c r="B8419" s="441" t="s">
        <v>6720</v>
      </c>
      <c r="C8419" s="545">
        <v>23</v>
      </c>
      <c r="D8419" s="545">
        <v>17</v>
      </c>
      <c r="E8419" s="545">
        <v>13</v>
      </c>
      <c r="F8419" s="545">
        <v>20.714285714285715</v>
      </c>
      <c r="G8419" s="545">
        <v>15.9</v>
      </c>
      <c r="H8419" s="545">
        <v>11.333333333333334</v>
      </c>
      <c r="I8419" s="545">
        <v>7.666666666666667</v>
      </c>
      <c r="J8419" s="545">
        <v>14.071428571428571</v>
      </c>
    </row>
    <row r="8420" spans="1:10">
      <c r="A8420" s="441">
        <v>3622</v>
      </c>
      <c r="B8420" s="441" t="s">
        <v>6720</v>
      </c>
      <c r="C8420" s="545">
        <v>20.166666666666664</v>
      </c>
      <c r="D8420" s="545">
        <v>15.666666666666668</v>
      </c>
      <c r="E8420" s="545">
        <v>14.333333333333334</v>
      </c>
      <c r="F8420" s="545">
        <v>18.690476190476186</v>
      </c>
      <c r="G8420" s="545">
        <v>15.05</v>
      </c>
      <c r="H8420" s="545">
        <v>15.666666666666666</v>
      </c>
      <c r="I8420" s="545">
        <v>8</v>
      </c>
      <c r="J8420" s="545">
        <v>14.130952380952381</v>
      </c>
    </row>
    <row r="8421" spans="1:10">
      <c r="A8421" s="441">
        <v>3623</v>
      </c>
      <c r="B8421" s="441" t="s">
        <v>6720</v>
      </c>
      <c r="C8421" s="545">
        <v>3.6666666666666665</v>
      </c>
      <c r="D8421" s="545">
        <v>1</v>
      </c>
      <c r="E8421" s="545">
        <v>0.33333333333333331</v>
      </c>
      <c r="F8421" s="545">
        <v>2.8095238095238093</v>
      </c>
      <c r="G8421" s="545">
        <v>2.2000000000000002</v>
      </c>
      <c r="H8421" s="545">
        <v>1</v>
      </c>
      <c r="I8421" s="545">
        <v>0</v>
      </c>
      <c r="J8421" s="545">
        <v>1.7142857142857142</v>
      </c>
    </row>
    <row r="8422" spans="1:10">
      <c r="A8422" s="441">
        <v>3618</v>
      </c>
      <c r="B8422" s="441" t="s">
        <v>6721</v>
      </c>
      <c r="C8422" s="545">
        <v>3.833333333333333</v>
      </c>
      <c r="D8422" s="545">
        <v>5.3333333333333339</v>
      </c>
      <c r="E8422" s="545">
        <v>2.6666666666666665</v>
      </c>
      <c r="F8422" s="545">
        <v>3.8809523809523809</v>
      </c>
      <c r="G8422" s="545">
        <v>6.45</v>
      </c>
      <c r="H8422" s="545">
        <v>7.666666666666667</v>
      </c>
      <c r="I8422" s="545">
        <v>2</v>
      </c>
      <c r="J8422" s="545">
        <v>5.9880952380952381</v>
      </c>
    </row>
    <row r="8423" spans="1:10">
      <c r="A8423" s="441">
        <v>7470</v>
      </c>
      <c r="B8423" s="441" t="s">
        <v>6722</v>
      </c>
      <c r="C8423" s="545">
        <v>18.666666666666664</v>
      </c>
      <c r="D8423" s="545">
        <v>0</v>
      </c>
      <c r="E8423" s="545">
        <v>0</v>
      </c>
      <c r="F8423" s="545">
        <v>13.33333333333333</v>
      </c>
      <c r="G8423" s="545">
        <v>7.35</v>
      </c>
      <c r="H8423" s="545"/>
      <c r="I8423" s="545"/>
      <c r="J8423" s="545">
        <v>5.25</v>
      </c>
    </row>
    <row r="8424" spans="1:10">
      <c r="A8424" s="441">
        <v>7473</v>
      </c>
      <c r="B8424" s="441" t="s">
        <v>6722</v>
      </c>
      <c r="C8424" s="545">
        <v>23</v>
      </c>
      <c r="D8424" s="545">
        <v>0</v>
      </c>
      <c r="E8424" s="545">
        <v>0</v>
      </c>
      <c r="F8424" s="545">
        <v>16.428571428571427</v>
      </c>
      <c r="G8424" s="545">
        <v>6.6</v>
      </c>
      <c r="H8424" s="545"/>
      <c r="I8424" s="545"/>
      <c r="J8424" s="545">
        <v>4.7142857142857144</v>
      </c>
    </row>
    <row r="8425" spans="1:10">
      <c r="A8425" s="441">
        <v>7474</v>
      </c>
      <c r="B8425" s="441" t="s">
        <v>6723</v>
      </c>
      <c r="C8425" s="545">
        <v>11.166666666666668</v>
      </c>
      <c r="D8425" s="545">
        <v>0</v>
      </c>
      <c r="E8425" s="545">
        <v>0</v>
      </c>
      <c r="F8425" s="545">
        <v>7.9761904761904772</v>
      </c>
      <c r="G8425" s="545">
        <v>1.65</v>
      </c>
      <c r="H8425" s="545"/>
      <c r="I8425" s="545"/>
      <c r="J8425" s="545">
        <v>1.1785714285714286</v>
      </c>
    </row>
    <row r="8426" spans="1:10">
      <c r="A8426" s="441">
        <v>9865</v>
      </c>
      <c r="B8426" s="441" t="s">
        <v>6724</v>
      </c>
      <c r="C8426" s="545">
        <v>96.833333333333329</v>
      </c>
      <c r="D8426" s="545">
        <v>52</v>
      </c>
      <c r="E8426" s="545">
        <v>35.666666666666664</v>
      </c>
      <c r="F8426" s="545">
        <v>81.690476190476176</v>
      </c>
      <c r="G8426" s="545">
        <v>27.4</v>
      </c>
      <c r="H8426" s="545">
        <v>23.666666666666668</v>
      </c>
      <c r="I8426" s="545">
        <v>17</v>
      </c>
      <c r="J8426" s="545">
        <v>25.38095238095238</v>
      </c>
    </row>
    <row r="8427" spans="1:10">
      <c r="A8427" s="441">
        <v>9863</v>
      </c>
      <c r="B8427" s="441" t="s">
        <v>6725</v>
      </c>
      <c r="C8427" s="545">
        <v>37.166666666666664</v>
      </c>
      <c r="D8427" s="545">
        <v>16</v>
      </c>
      <c r="E8427" s="545">
        <v>12</v>
      </c>
      <c r="F8427" s="545">
        <v>30.547619047619044</v>
      </c>
      <c r="G8427" s="545">
        <v>11.3</v>
      </c>
      <c r="H8427" s="545">
        <v>12.333333333333334</v>
      </c>
      <c r="I8427" s="545">
        <v>5.666666666666667</v>
      </c>
      <c r="J8427" s="545">
        <v>10.642857142857142</v>
      </c>
    </row>
    <row r="8428" spans="1:10">
      <c r="A8428" s="441">
        <v>9866</v>
      </c>
      <c r="B8428" s="441" t="s">
        <v>6725</v>
      </c>
      <c r="C8428" s="545">
        <v>69.5</v>
      </c>
      <c r="D8428" s="545">
        <v>31</v>
      </c>
      <c r="E8428" s="545">
        <v>23</v>
      </c>
      <c r="F8428" s="545">
        <v>57.357142857142854</v>
      </c>
      <c r="G8428" s="545">
        <v>24.55</v>
      </c>
      <c r="H8428" s="545">
        <v>17.333333333333332</v>
      </c>
      <c r="I8428" s="545">
        <v>13.333333333333334</v>
      </c>
      <c r="J8428" s="545">
        <v>21.916666666666668</v>
      </c>
    </row>
    <row r="8429" spans="1:10">
      <c r="A8429" s="441">
        <v>9867</v>
      </c>
      <c r="B8429" s="441" t="s">
        <v>6726</v>
      </c>
      <c r="C8429" s="545">
        <v>65</v>
      </c>
      <c r="D8429" s="545">
        <v>37.666666666666664</v>
      </c>
      <c r="E8429" s="545">
        <v>30.666666666666664</v>
      </c>
      <c r="F8429" s="545">
        <v>56.190476190476197</v>
      </c>
      <c r="G8429" s="545">
        <v>21.95</v>
      </c>
      <c r="H8429" s="545">
        <v>13.333333333333334</v>
      </c>
      <c r="I8429" s="545">
        <v>12.666666666666666</v>
      </c>
      <c r="J8429" s="545">
        <v>19.392857142857142</v>
      </c>
    </row>
    <row r="8430" spans="1:10">
      <c r="A8430" s="441">
        <v>9861</v>
      </c>
      <c r="B8430" s="441" t="s">
        <v>6727</v>
      </c>
      <c r="C8430" s="545">
        <v>63.666666666666664</v>
      </c>
      <c r="D8430" s="545">
        <v>30</v>
      </c>
      <c r="E8430" s="545">
        <v>21</v>
      </c>
      <c r="F8430" s="545">
        <v>52.761904761904759</v>
      </c>
      <c r="G8430" s="545">
        <v>34</v>
      </c>
      <c r="H8430" s="545">
        <v>25</v>
      </c>
      <c r="I8430" s="545">
        <v>22</v>
      </c>
      <c r="J8430" s="545">
        <v>31</v>
      </c>
    </row>
    <row r="8431" spans="1:10">
      <c r="A8431" s="441">
        <v>9862</v>
      </c>
      <c r="B8431" s="441" t="s">
        <v>6727</v>
      </c>
      <c r="C8431" s="545">
        <v>58.833333333333336</v>
      </c>
      <c r="D8431" s="545">
        <v>30.333333333333336</v>
      </c>
      <c r="E8431" s="545">
        <v>28.333333333333336</v>
      </c>
      <c r="F8431" s="545">
        <v>50.404761904761905</v>
      </c>
      <c r="G8431" s="545">
        <v>12.85</v>
      </c>
      <c r="H8431" s="545">
        <v>10</v>
      </c>
      <c r="I8431" s="545">
        <v>13.666666666666666</v>
      </c>
      <c r="J8431" s="545">
        <v>12.55952380952381</v>
      </c>
    </row>
    <row r="8432" spans="1:10">
      <c r="A8432" s="441">
        <v>9868</v>
      </c>
      <c r="B8432" s="441" t="s">
        <v>6727</v>
      </c>
      <c r="C8432" s="545">
        <v>68.833333333333343</v>
      </c>
      <c r="D8432" s="545">
        <v>37.333333333333329</v>
      </c>
      <c r="E8432" s="545">
        <v>24.333333333333332</v>
      </c>
      <c r="F8432" s="545">
        <v>57.976190476190482</v>
      </c>
      <c r="G8432" s="545">
        <v>39.700000000000003</v>
      </c>
      <c r="H8432" s="545">
        <v>35.666666666666664</v>
      </c>
      <c r="I8432" s="545">
        <v>27</v>
      </c>
      <c r="J8432" s="545">
        <v>37.309523809523803</v>
      </c>
    </row>
    <row r="8433" spans="1:10">
      <c r="A8433" s="441">
        <v>9864</v>
      </c>
      <c r="B8433" s="441" t="s">
        <v>6728</v>
      </c>
      <c r="C8433" s="545">
        <v>84.833333333333343</v>
      </c>
      <c r="D8433" s="545">
        <v>52.666666666666664</v>
      </c>
      <c r="E8433" s="545">
        <v>38</v>
      </c>
      <c r="F8433" s="545">
        <v>73.547619047619065</v>
      </c>
      <c r="G8433" s="545">
        <v>29.6</v>
      </c>
      <c r="H8433" s="545">
        <v>30</v>
      </c>
      <c r="I8433" s="545">
        <v>18.333333333333332</v>
      </c>
      <c r="J8433" s="545">
        <v>28.047619047619047</v>
      </c>
    </row>
    <row r="8434" spans="1:10">
      <c r="A8434" s="441">
        <v>11774</v>
      </c>
      <c r="B8434" s="441" t="s">
        <v>6729</v>
      </c>
      <c r="C8434" s="545">
        <v>4.5</v>
      </c>
      <c r="D8434" s="545">
        <v>2</v>
      </c>
      <c r="E8434" s="545">
        <v>1.3333333333333333</v>
      </c>
      <c r="F8434" s="545">
        <v>3.6904761904761902</v>
      </c>
      <c r="G8434" s="545">
        <v>1.25</v>
      </c>
      <c r="H8434" s="545">
        <v>3.3333333333333335</v>
      </c>
      <c r="I8434" s="545">
        <v>1</v>
      </c>
      <c r="J8434" s="545">
        <v>1.5119047619047621</v>
      </c>
    </row>
    <row r="8435" spans="1:10">
      <c r="A8435" s="441">
        <v>8854</v>
      </c>
      <c r="B8435" s="441" t="s">
        <v>6730</v>
      </c>
      <c r="C8435" s="545">
        <v>13.833333333333334</v>
      </c>
      <c r="D8435" s="545">
        <v>7</v>
      </c>
      <c r="E8435" s="545">
        <v>7</v>
      </c>
      <c r="F8435" s="545">
        <v>11.880952380952381</v>
      </c>
      <c r="G8435" s="545">
        <v>11.8</v>
      </c>
      <c r="H8435" s="545">
        <v>10.333333333333334</v>
      </c>
      <c r="I8435" s="545">
        <v>7.333333333333333</v>
      </c>
      <c r="J8435" s="545">
        <v>10.952380952380951</v>
      </c>
    </row>
    <row r="8436" spans="1:10">
      <c r="A8436" s="441">
        <v>8893</v>
      </c>
      <c r="B8436" s="441" t="s">
        <v>6730</v>
      </c>
      <c r="C8436" s="545">
        <v>17.333333333333332</v>
      </c>
      <c r="D8436" s="545">
        <v>7.666666666666667</v>
      </c>
      <c r="E8436" s="545">
        <v>7.333333333333333</v>
      </c>
      <c r="F8436" s="545">
        <v>14.523809523809522</v>
      </c>
      <c r="G8436" s="545">
        <v>14.65</v>
      </c>
      <c r="H8436" s="545">
        <v>13.666666666666666</v>
      </c>
      <c r="I8436" s="545">
        <v>8.3333333333333339</v>
      </c>
      <c r="J8436" s="545">
        <v>13.607142857142858</v>
      </c>
    </row>
    <row r="8437" spans="1:10">
      <c r="A8437" s="441">
        <v>8864</v>
      </c>
      <c r="B8437" s="441" t="s">
        <v>6731</v>
      </c>
      <c r="C8437" s="545">
        <v>2.5</v>
      </c>
      <c r="D8437" s="545">
        <v>2</v>
      </c>
      <c r="E8437" s="545">
        <v>0.33333333333333331</v>
      </c>
      <c r="F8437" s="545">
        <v>2.1190476190476191</v>
      </c>
      <c r="G8437" s="545">
        <v>2.0499999999999998</v>
      </c>
      <c r="H8437" s="545">
        <v>4.666666666666667</v>
      </c>
      <c r="I8437" s="545">
        <v>1</v>
      </c>
      <c r="J8437" s="545">
        <v>2.2738095238095242</v>
      </c>
    </row>
    <row r="8438" spans="1:10">
      <c r="A8438" s="441">
        <v>8880</v>
      </c>
      <c r="B8438" s="441" t="s">
        <v>6731</v>
      </c>
      <c r="C8438" s="545">
        <v>2</v>
      </c>
      <c r="D8438" s="545">
        <v>2</v>
      </c>
      <c r="E8438" s="545">
        <v>0</v>
      </c>
      <c r="F8438" s="545">
        <v>1.7142857142857142</v>
      </c>
      <c r="G8438" s="545">
        <v>1.65</v>
      </c>
      <c r="H8438" s="545">
        <v>1.3333333333333333</v>
      </c>
      <c r="I8438" s="545">
        <v>0.66666666666666663</v>
      </c>
      <c r="J8438" s="545">
        <v>1.4642857142857142</v>
      </c>
    </row>
    <row r="8439" spans="1:10">
      <c r="A8439" s="441">
        <v>8855</v>
      </c>
      <c r="B8439" s="441" t="s">
        <v>6732</v>
      </c>
      <c r="C8439" s="545">
        <v>7.5</v>
      </c>
      <c r="D8439" s="545">
        <v>7.666666666666667</v>
      </c>
      <c r="E8439" s="545">
        <v>3</v>
      </c>
      <c r="F8439" s="545">
        <v>6.8809523809523805</v>
      </c>
      <c r="G8439" s="545">
        <v>3.85</v>
      </c>
      <c r="H8439" s="545">
        <v>1</v>
      </c>
      <c r="I8439" s="545">
        <v>3</v>
      </c>
      <c r="J8439" s="545">
        <v>3.3214285714285716</v>
      </c>
    </row>
    <row r="8440" spans="1:10">
      <c r="A8440" s="441">
        <v>8892</v>
      </c>
      <c r="B8440" s="441" t="s">
        <v>6732</v>
      </c>
      <c r="C8440" s="545">
        <v>6.333333333333333</v>
      </c>
      <c r="D8440" s="545">
        <v>4</v>
      </c>
      <c r="E8440" s="545">
        <v>3.3333333333333335</v>
      </c>
      <c r="F8440" s="545">
        <v>5.5714285714285712</v>
      </c>
      <c r="G8440" s="545">
        <v>3.4</v>
      </c>
      <c r="H8440" s="545">
        <v>3</v>
      </c>
      <c r="I8440" s="545">
        <v>0</v>
      </c>
      <c r="J8440" s="545">
        <v>2.8571428571428572</v>
      </c>
    </row>
    <row r="8441" spans="1:10">
      <c r="A8441" s="441">
        <v>8251</v>
      </c>
      <c r="B8441" s="441" t="s">
        <v>6733</v>
      </c>
      <c r="C8441" s="545">
        <v>0.5</v>
      </c>
      <c r="D8441" s="545">
        <v>0</v>
      </c>
      <c r="E8441" s="545">
        <v>0</v>
      </c>
      <c r="F8441" s="545">
        <v>0.35714285714285715</v>
      </c>
      <c r="G8441" s="545">
        <v>0.2</v>
      </c>
      <c r="H8441" s="545">
        <v>0.33333333333333331</v>
      </c>
      <c r="I8441" s="545">
        <v>0.33333333333333331</v>
      </c>
      <c r="J8441" s="545">
        <v>0.23809523809523808</v>
      </c>
    </row>
    <row r="8442" spans="1:10">
      <c r="A8442" s="441">
        <v>8888</v>
      </c>
      <c r="B8442" s="441" t="s">
        <v>6733</v>
      </c>
      <c r="C8442" s="545">
        <v>1</v>
      </c>
      <c r="D8442" s="545">
        <v>0</v>
      </c>
      <c r="E8442" s="545">
        <v>0</v>
      </c>
      <c r="F8442" s="545">
        <v>0.7142857142857143</v>
      </c>
      <c r="G8442" s="545">
        <v>0.45</v>
      </c>
      <c r="H8442" s="545">
        <v>0.66666666666666663</v>
      </c>
      <c r="I8442" s="545">
        <v>0.33333333333333331</v>
      </c>
      <c r="J8442" s="545">
        <v>0.4642857142857143</v>
      </c>
    </row>
    <row r="8443" spans="1:10">
      <c r="A8443" s="441">
        <v>8881</v>
      </c>
      <c r="B8443" s="441" t="s">
        <v>6734</v>
      </c>
      <c r="C8443" s="545">
        <v>6.333333333333333</v>
      </c>
      <c r="D8443" s="545">
        <v>2.3333333333333335</v>
      </c>
      <c r="E8443" s="545">
        <v>1.3333333333333333</v>
      </c>
      <c r="F8443" s="545">
        <v>5.0476190476190483</v>
      </c>
      <c r="G8443" s="545">
        <v>5.45</v>
      </c>
      <c r="H8443" s="545">
        <v>3.6666666666666665</v>
      </c>
      <c r="I8443" s="545">
        <v>2</v>
      </c>
      <c r="J8443" s="545">
        <v>4.7023809523809534</v>
      </c>
    </row>
    <row r="8444" spans="1:10">
      <c r="A8444" s="441">
        <v>12241</v>
      </c>
      <c r="B8444" s="441" t="s">
        <v>6734</v>
      </c>
      <c r="C8444" s="545">
        <v>9.6666666666666679</v>
      </c>
      <c r="D8444" s="545">
        <v>4.666666666666667</v>
      </c>
      <c r="E8444" s="545">
        <v>1.6666666666666665</v>
      </c>
      <c r="F8444" s="545">
        <v>7.8095238095238102</v>
      </c>
      <c r="G8444" s="545">
        <v>5.55</v>
      </c>
      <c r="H8444" s="545">
        <v>3</v>
      </c>
      <c r="I8444" s="545">
        <v>1.6666666666666667</v>
      </c>
      <c r="J8444" s="545">
        <v>4.6309523809523805</v>
      </c>
    </row>
    <row r="8445" spans="1:10">
      <c r="A8445" s="441">
        <v>11771</v>
      </c>
      <c r="B8445" s="441" t="s">
        <v>6735</v>
      </c>
      <c r="C8445" s="545">
        <v>57.333333333333336</v>
      </c>
      <c r="D8445" s="545">
        <v>43</v>
      </c>
      <c r="E8445" s="545">
        <v>41.333333333333336</v>
      </c>
      <c r="F8445" s="545">
        <v>53</v>
      </c>
      <c r="G8445" s="545">
        <v>26.5</v>
      </c>
      <c r="H8445" s="545">
        <v>24</v>
      </c>
      <c r="I8445" s="545">
        <v>19.666666666666668</v>
      </c>
      <c r="J8445" s="545">
        <v>25.166666666666664</v>
      </c>
    </row>
    <row r="8446" spans="1:10">
      <c r="A8446" s="441">
        <v>11772</v>
      </c>
      <c r="B8446" s="441" t="s">
        <v>6735</v>
      </c>
      <c r="C8446" s="545">
        <v>38.833333333333329</v>
      </c>
      <c r="D8446" s="545">
        <v>34.333333333333336</v>
      </c>
      <c r="E8446" s="545">
        <v>43.333333333333336</v>
      </c>
      <c r="F8446" s="545">
        <v>38.833333333333329</v>
      </c>
      <c r="G8446" s="545">
        <v>23.3</v>
      </c>
      <c r="H8446" s="545">
        <v>27</v>
      </c>
      <c r="I8446" s="545">
        <v>18.333333333333332</v>
      </c>
      <c r="J8446" s="545">
        <v>23.11904761904762</v>
      </c>
    </row>
    <row r="8447" spans="1:10">
      <c r="A8447" s="441">
        <v>11765</v>
      </c>
      <c r="B8447" s="441" t="s">
        <v>6736</v>
      </c>
      <c r="C8447" s="545">
        <v>9.3333333333333339</v>
      </c>
      <c r="D8447" s="545">
        <v>11</v>
      </c>
      <c r="E8447" s="545">
        <v>7</v>
      </c>
      <c r="F8447" s="545">
        <v>9.238095238095239</v>
      </c>
      <c r="G8447" s="545">
        <v>4.7</v>
      </c>
      <c r="H8447" s="545">
        <v>2</v>
      </c>
      <c r="I8447" s="545">
        <v>5</v>
      </c>
      <c r="J8447" s="545">
        <v>4.3571428571428568</v>
      </c>
    </row>
    <row r="8448" spans="1:10">
      <c r="A8448" s="441">
        <v>11766</v>
      </c>
      <c r="B8448" s="441" t="s">
        <v>6736</v>
      </c>
      <c r="C8448" s="545">
        <v>5.166666666666667</v>
      </c>
      <c r="D8448" s="545">
        <v>3.6666666666666665</v>
      </c>
      <c r="E8448" s="545">
        <v>4</v>
      </c>
      <c r="F8448" s="545">
        <v>4.7857142857142856</v>
      </c>
      <c r="G8448" s="545">
        <v>2.2999999999999998</v>
      </c>
      <c r="H8448" s="545">
        <v>1.6666666666666667</v>
      </c>
      <c r="I8448" s="545">
        <v>1.6666666666666667</v>
      </c>
      <c r="J8448" s="545">
        <v>2.1190476190476191</v>
      </c>
    </row>
    <row r="8449" spans="1:10">
      <c r="A8449" s="441">
        <v>11764</v>
      </c>
      <c r="B8449" s="441" t="s">
        <v>6737</v>
      </c>
      <c r="C8449" s="545">
        <v>14.666666666666668</v>
      </c>
      <c r="D8449" s="545">
        <v>14</v>
      </c>
      <c r="E8449" s="545">
        <v>18.666666666666668</v>
      </c>
      <c r="F8449" s="545">
        <v>15.142857142857144</v>
      </c>
      <c r="G8449" s="545">
        <v>1.25</v>
      </c>
      <c r="H8449" s="545">
        <v>4</v>
      </c>
      <c r="I8449" s="545">
        <v>3.3333333333333335</v>
      </c>
      <c r="J8449" s="545">
        <v>1.9404761904761905</v>
      </c>
    </row>
    <row r="8450" spans="1:10">
      <c r="A8450" s="441">
        <v>8887</v>
      </c>
      <c r="B8450" s="441" t="s">
        <v>6738</v>
      </c>
      <c r="C8450" s="545">
        <v>2.8333333333333335</v>
      </c>
      <c r="D8450" s="545">
        <v>0.33333333333333331</v>
      </c>
      <c r="E8450" s="545">
        <v>1.3333333333333333</v>
      </c>
      <c r="F8450" s="545">
        <v>2.2619047619047623</v>
      </c>
      <c r="G8450" s="545">
        <v>1.5</v>
      </c>
      <c r="H8450" s="545">
        <v>0</v>
      </c>
      <c r="I8450" s="545">
        <v>0.33333333333333331</v>
      </c>
      <c r="J8450" s="545">
        <v>1.1190476190476191</v>
      </c>
    </row>
    <row r="8451" spans="1:10">
      <c r="A8451" s="441">
        <v>12939</v>
      </c>
      <c r="B8451" s="441" t="s">
        <v>6739</v>
      </c>
      <c r="C8451" s="545">
        <v>92.333333333333329</v>
      </c>
      <c r="D8451" s="545">
        <v>53</v>
      </c>
      <c r="E8451" s="545">
        <v>43</v>
      </c>
      <c r="F8451" s="545">
        <v>79.666666666666657</v>
      </c>
      <c r="G8451" s="545">
        <v>39.200000000000003</v>
      </c>
      <c r="H8451" s="545">
        <v>31</v>
      </c>
      <c r="I8451" s="545">
        <v>17.666666666666668</v>
      </c>
      <c r="J8451" s="545">
        <v>34.952380952380949</v>
      </c>
    </row>
    <row r="8452" spans="1:10">
      <c r="A8452" s="441">
        <v>12940</v>
      </c>
      <c r="B8452" s="441" t="s">
        <v>6739</v>
      </c>
      <c r="C8452" s="545">
        <v>24.166666666666668</v>
      </c>
      <c r="D8452" s="545">
        <v>10.666666666666668</v>
      </c>
      <c r="E8452" s="545">
        <v>13.666666666666666</v>
      </c>
      <c r="F8452" s="545">
        <v>20.738095238095237</v>
      </c>
      <c r="G8452" s="545">
        <v>14.75</v>
      </c>
      <c r="H8452" s="545">
        <v>11</v>
      </c>
      <c r="I8452" s="545">
        <v>7.333333333333333</v>
      </c>
      <c r="J8452" s="545">
        <v>13.154761904761903</v>
      </c>
    </row>
    <row r="8453" spans="1:10">
      <c r="A8453" s="441">
        <v>90225</v>
      </c>
      <c r="B8453" s="441" t="s">
        <v>6739</v>
      </c>
      <c r="C8453" s="545">
        <v>53.333333333333336</v>
      </c>
      <c r="D8453" s="545">
        <v>30</v>
      </c>
      <c r="E8453" s="545">
        <v>31.333333333333336</v>
      </c>
      <c r="F8453" s="545">
        <v>46.857142857142854</v>
      </c>
      <c r="G8453" s="545">
        <v>28.25</v>
      </c>
      <c r="H8453" s="545">
        <v>18.333333333333332</v>
      </c>
      <c r="I8453" s="545">
        <v>21.333333333333332</v>
      </c>
      <c r="J8453" s="545">
        <v>25.845238095238098</v>
      </c>
    </row>
    <row r="8454" spans="1:10">
      <c r="A8454" s="441">
        <v>8889</v>
      </c>
      <c r="B8454" s="441" t="s">
        <v>6740</v>
      </c>
      <c r="C8454" s="545">
        <v>14.166666666666668</v>
      </c>
      <c r="D8454" s="545">
        <v>10</v>
      </c>
      <c r="E8454" s="545">
        <v>3</v>
      </c>
      <c r="F8454" s="545">
        <v>11.976190476190478</v>
      </c>
      <c r="G8454" s="545">
        <v>6.95</v>
      </c>
      <c r="H8454" s="545">
        <v>8.6666666666666661</v>
      </c>
      <c r="I8454" s="545">
        <v>5</v>
      </c>
      <c r="J8454" s="545">
        <v>6.9166666666666661</v>
      </c>
    </row>
    <row r="8455" spans="1:10">
      <c r="A8455" s="441">
        <v>11769</v>
      </c>
      <c r="B8455" s="441" t="s">
        <v>6741</v>
      </c>
      <c r="C8455" s="545">
        <v>43.833333333333329</v>
      </c>
      <c r="D8455" s="545">
        <v>11.333333333333334</v>
      </c>
      <c r="E8455" s="545">
        <v>9.3333333333333321</v>
      </c>
      <c r="F8455" s="545">
        <v>34.261904761904759</v>
      </c>
      <c r="G8455" s="545">
        <v>12.75</v>
      </c>
      <c r="H8455" s="545">
        <v>6.333333333333333</v>
      </c>
      <c r="I8455" s="545">
        <v>1.6666666666666667</v>
      </c>
      <c r="J8455" s="545">
        <v>10.25</v>
      </c>
    </row>
    <row r="8456" spans="1:10">
      <c r="A8456" s="441">
        <v>11770</v>
      </c>
      <c r="B8456" s="441" t="s">
        <v>6741</v>
      </c>
      <c r="C8456" s="545">
        <v>53.166666666666664</v>
      </c>
      <c r="D8456" s="545">
        <v>13</v>
      </c>
      <c r="E8456" s="545">
        <v>5.333333333333333</v>
      </c>
      <c r="F8456" s="545">
        <v>40.595238095238088</v>
      </c>
      <c r="G8456" s="545">
        <v>17.05</v>
      </c>
      <c r="H8456" s="545">
        <v>5.333333333333333</v>
      </c>
      <c r="I8456" s="545">
        <v>5.333333333333333</v>
      </c>
      <c r="J8456" s="545">
        <v>13.702380952380951</v>
      </c>
    </row>
    <row r="8457" spans="1:10">
      <c r="A8457" s="441">
        <v>8858</v>
      </c>
      <c r="B8457" s="441" t="s">
        <v>6742</v>
      </c>
      <c r="C8457" s="545">
        <v>2.6666666666666665</v>
      </c>
      <c r="D8457" s="545">
        <v>0.66666666666666663</v>
      </c>
      <c r="E8457" s="545">
        <v>0.33333333333333331</v>
      </c>
      <c r="F8457" s="545">
        <v>2.0476190476190474</v>
      </c>
      <c r="G8457" s="545">
        <v>0.9</v>
      </c>
      <c r="H8457" s="545">
        <v>0</v>
      </c>
      <c r="I8457" s="545">
        <v>0</v>
      </c>
      <c r="J8457" s="545">
        <v>0.6428571428571429</v>
      </c>
    </row>
    <row r="8458" spans="1:10">
      <c r="A8458" s="441">
        <v>8252</v>
      </c>
      <c r="B8458" s="441" t="s">
        <v>6743</v>
      </c>
      <c r="C8458" s="545">
        <v>1.8333333333333333</v>
      </c>
      <c r="D8458" s="545">
        <v>3</v>
      </c>
      <c r="E8458" s="545">
        <v>0.33333333333333331</v>
      </c>
      <c r="F8458" s="545">
        <v>1.7857142857142858</v>
      </c>
      <c r="G8458" s="545">
        <v>2.15</v>
      </c>
      <c r="H8458" s="545">
        <v>2.3333333333333335</v>
      </c>
      <c r="I8458" s="545">
        <v>0</v>
      </c>
      <c r="J8458" s="545">
        <v>1.8690476190476191</v>
      </c>
    </row>
    <row r="8459" spans="1:10">
      <c r="A8459" s="441">
        <v>8886</v>
      </c>
      <c r="B8459" s="441" t="s">
        <v>6743</v>
      </c>
      <c r="C8459" s="545">
        <v>5.5</v>
      </c>
      <c r="D8459" s="545">
        <v>1.3333333333333333</v>
      </c>
      <c r="E8459" s="545">
        <v>0</v>
      </c>
      <c r="F8459" s="545">
        <v>4.1190476190476186</v>
      </c>
      <c r="G8459" s="545">
        <v>4.3</v>
      </c>
      <c r="H8459" s="545">
        <v>0.66666666666666663</v>
      </c>
      <c r="I8459" s="545">
        <v>1</v>
      </c>
      <c r="J8459" s="545">
        <v>3.3095238095238098</v>
      </c>
    </row>
    <row r="8460" spans="1:10">
      <c r="A8460" s="441">
        <v>8250</v>
      </c>
      <c r="B8460" s="441" t="s">
        <v>6744</v>
      </c>
      <c r="C8460" s="545">
        <v>3.1666666666666665</v>
      </c>
      <c r="D8460" s="545">
        <v>1</v>
      </c>
      <c r="E8460" s="545">
        <v>2.3333333333333335</v>
      </c>
      <c r="F8460" s="545">
        <v>2.7380952380952377</v>
      </c>
      <c r="G8460" s="545">
        <v>1</v>
      </c>
      <c r="H8460" s="545">
        <v>1.6666666666666667</v>
      </c>
      <c r="I8460" s="545">
        <v>0</v>
      </c>
      <c r="J8460" s="545">
        <v>0.95238095238095244</v>
      </c>
    </row>
    <row r="8461" spans="1:10">
      <c r="A8461" s="441">
        <v>11767</v>
      </c>
      <c r="B8461" s="441" t="s">
        <v>6745</v>
      </c>
      <c r="C8461" s="545">
        <v>8.8333333333333321</v>
      </c>
      <c r="D8461" s="545">
        <v>7.6666666666666661</v>
      </c>
      <c r="E8461" s="545">
        <v>4</v>
      </c>
      <c r="F8461" s="545">
        <v>7.9761904761904745</v>
      </c>
      <c r="G8461" s="545">
        <v>5.4</v>
      </c>
      <c r="H8461" s="545">
        <v>4.333333333333333</v>
      </c>
      <c r="I8461" s="545">
        <v>2.3333333333333335</v>
      </c>
      <c r="J8461" s="545">
        <v>4.8095238095238093</v>
      </c>
    </row>
    <row r="8462" spans="1:10">
      <c r="A8462" s="441">
        <v>11768</v>
      </c>
      <c r="B8462" s="441" t="s">
        <v>6745</v>
      </c>
      <c r="C8462" s="545">
        <v>12.5</v>
      </c>
      <c r="D8462" s="545">
        <v>10</v>
      </c>
      <c r="E8462" s="545">
        <v>9.3333333333333339</v>
      </c>
      <c r="F8462" s="545">
        <v>11.69047619047619</v>
      </c>
      <c r="G8462" s="545">
        <v>6.5</v>
      </c>
      <c r="H8462" s="545">
        <v>6</v>
      </c>
      <c r="I8462" s="545">
        <v>6.333333333333333</v>
      </c>
      <c r="J8462" s="545">
        <v>6.4047619047619051</v>
      </c>
    </row>
    <row r="8463" spans="1:10">
      <c r="A8463" s="441">
        <v>8853</v>
      </c>
      <c r="B8463" s="441" t="s">
        <v>6746</v>
      </c>
      <c r="C8463" s="545">
        <v>4.666666666666667</v>
      </c>
      <c r="D8463" s="545">
        <v>2.333333333333333</v>
      </c>
      <c r="E8463" s="545">
        <v>3.666666666666667</v>
      </c>
      <c r="F8463" s="545">
        <v>4.1904761904761907</v>
      </c>
      <c r="G8463" s="545">
        <v>1.9</v>
      </c>
      <c r="H8463" s="545">
        <v>3.3333333333333335</v>
      </c>
      <c r="I8463" s="545">
        <v>1.6666666666666667</v>
      </c>
      <c r="J8463" s="545">
        <v>2.0714285714285716</v>
      </c>
    </row>
    <row r="8464" spans="1:10">
      <c r="A8464" s="441">
        <v>8894</v>
      </c>
      <c r="B8464" s="441" t="s">
        <v>6746</v>
      </c>
      <c r="C8464" s="545">
        <v>4.1666666666666661</v>
      </c>
      <c r="D8464" s="545">
        <v>3</v>
      </c>
      <c r="E8464" s="545">
        <v>3</v>
      </c>
      <c r="F8464" s="545">
        <v>3.8333333333333326</v>
      </c>
      <c r="G8464" s="545">
        <v>1.6</v>
      </c>
      <c r="H8464" s="545">
        <v>1.3333333333333333</v>
      </c>
      <c r="I8464" s="545">
        <v>3</v>
      </c>
      <c r="J8464" s="545">
        <v>1.7619047619047621</v>
      </c>
    </row>
    <row r="8465" spans="1:10">
      <c r="A8465" s="441">
        <v>8857</v>
      </c>
      <c r="B8465" s="441" t="s">
        <v>6747</v>
      </c>
      <c r="C8465" s="545">
        <v>5.6666666666666661</v>
      </c>
      <c r="D8465" s="545">
        <v>3.333333333333333</v>
      </c>
      <c r="E8465" s="545">
        <v>1</v>
      </c>
      <c r="F8465" s="545">
        <v>4.6666666666666652</v>
      </c>
      <c r="G8465" s="545">
        <v>3.4</v>
      </c>
      <c r="H8465" s="545">
        <v>0.66666666666666663</v>
      </c>
      <c r="I8465" s="545">
        <v>0.66666666666666663</v>
      </c>
      <c r="J8465" s="545">
        <v>2.6190476190476195</v>
      </c>
    </row>
    <row r="8466" spans="1:10">
      <c r="A8466" s="441">
        <v>8890</v>
      </c>
      <c r="B8466" s="441" t="s">
        <v>6747</v>
      </c>
      <c r="C8466" s="545">
        <v>3</v>
      </c>
      <c r="D8466" s="545">
        <v>1.3333333333333333</v>
      </c>
      <c r="E8466" s="545">
        <v>1.3333333333333333</v>
      </c>
      <c r="F8466" s="545">
        <v>2.5238095238095233</v>
      </c>
      <c r="G8466" s="545">
        <v>0.35</v>
      </c>
      <c r="H8466" s="545">
        <v>0.33333333333333331</v>
      </c>
      <c r="I8466" s="545">
        <v>0</v>
      </c>
      <c r="J8466" s="545">
        <v>0.29761904761904762</v>
      </c>
    </row>
    <row r="8467" spans="1:10">
      <c r="A8467" s="441">
        <v>11051</v>
      </c>
      <c r="B8467" s="441" t="s">
        <v>6747</v>
      </c>
      <c r="C8467" s="545">
        <v>4</v>
      </c>
      <c r="D8467" s="545">
        <v>1.6666666666666665</v>
      </c>
      <c r="E8467" s="545">
        <v>0.66666666666666663</v>
      </c>
      <c r="F8467" s="545">
        <v>3.1904761904761907</v>
      </c>
      <c r="G8467" s="545">
        <v>2.15</v>
      </c>
      <c r="H8467" s="545">
        <v>2</v>
      </c>
      <c r="I8467" s="545">
        <v>1.6666666666666667</v>
      </c>
      <c r="J8467" s="545">
        <v>2.0595238095238093</v>
      </c>
    </row>
    <row r="8468" spans="1:10">
      <c r="A8468" s="441">
        <v>11548</v>
      </c>
      <c r="B8468" s="441" t="s">
        <v>6747</v>
      </c>
      <c r="C8468" s="545">
        <v>14.666666666666668</v>
      </c>
      <c r="D8468" s="545">
        <v>10.333333333333332</v>
      </c>
      <c r="E8468" s="545">
        <v>2.666666666666667</v>
      </c>
      <c r="F8468" s="545">
        <v>12.333333333333334</v>
      </c>
      <c r="G8468" s="545">
        <v>6.35</v>
      </c>
      <c r="H8468" s="545">
        <v>7.333333333333333</v>
      </c>
      <c r="I8468" s="545">
        <v>6.333333333333333</v>
      </c>
      <c r="J8468" s="545">
        <v>6.488095238095239</v>
      </c>
    </row>
    <row r="8469" spans="1:10">
      <c r="A8469" s="441">
        <v>8856</v>
      </c>
      <c r="B8469" s="441" t="s">
        <v>6748</v>
      </c>
      <c r="C8469" s="545">
        <v>2.3333333333333335</v>
      </c>
      <c r="D8469" s="545">
        <v>2</v>
      </c>
      <c r="E8469" s="545">
        <v>2.3333333333333335</v>
      </c>
      <c r="F8469" s="545">
        <v>2.2857142857142856</v>
      </c>
      <c r="G8469" s="545">
        <v>1.35</v>
      </c>
      <c r="H8469" s="545">
        <v>1</v>
      </c>
      <c r="I8469" s="545">
        <v>1</v>
      </c>
      <c r="J8469" s="545">
        <v>1.25</v>
      </c>
    </row>
    <row r="8470" spans="1:10">
      <c r="A8470" s="441">
        <v>8891</v>
      </c>
      <c r="B8470" s="441" t="s">
        <v>6748</v>
      </c>
      <c r="C8470" s="545">
        <v>2.666666666666667</v>
      </c>
      <c r="D8470" s="545">
        <v>1.3333333333333333</v>
      </c>
      <c r="E8470" s="545">
        <v>1.3333333333333333</v>
      </c>
      <c r="F8470" s="545">
        <v>2.285714285714286</v>
      </c>
      <c r="G8470" s="545">
        <v>0.85</v>
      </c>
      <c r="H8470" s="545">
        <v>1.3333333333333333</v>
      </c>
      <c r="I8470" s="545">
        <v>3</v>
      </c>
      <c r="J8470" s="545">
        <v>1.2261904761904761</v>
      </c>
    </row>
    <row r="8471" spans="1:10">
      <c r="A8471" s="441">
        <v>13183</v>
      </c>
      <c r="B8471" s="441" t="s">
        <v>6749</v>
      </c>
      <c r="C8471" s="545" t="e">
        <v>#N/A</v>
      </c>
      <c r="D8471" s="545" t="e">
        <v>#N/A</v>
      </c>
      <c r="E8471" s="545" t="e">
        <v>#N/A</v>
      </c>
      <c r="F8471" s="545" t="e">
        <v>#N/A</v>
      </c>
      <c r="G8471" s="545">
        <v>11.35</v>
      </c>
      <c r="H8471" s="545">
        <v>10.666666666666666</v>
      </c>
      <c r="I8471" s="545">
        <v>9.3333333333333339</v>
      </c>
      <c r="J8471" s="545">
        <v>10.964285714285714</v>
      </c>
    </row>
    <row r="8472" spans="1:10">
      <c r="A8472" s="441">
        <v>6141</v>
      </c>
      <c r="B8472" s="441" t="s">
        <v>6750</v>
      </c>
      <c r="C8472" s="545" t="e">
        <v>#N/A</v>
      </c>
      <c r="D8472" s="545" t="e">
        <v>#N/A</v>
      </c>
      <c r="E8472" s="545" t="e">
        <v>#N/A</v>
      </c>
      <c r="F8472" s="545" t="e">
        <v>#N/A</v>
      </c>
      <c r="G8472" s="545">
        <v>4.7</v>
      </c>
      <c r="H8472" s="545">
        <v>1.6666666666666667</v>
      </c>
      <c r="I8472" s="545">
        <v>4.666666666666667</v>
      </c>
      <c r="J8472" s="545">
        <v>4.2619047619047619</v>
      </c>
    </row>
    <row r="8473" spans="1:10">
      <c r="A8473" s="441">
        <v>13179</v>
      </c>
      <c r="B8473" s="441" t="s">
        <v>6751</v>
      </c>
      <c r="C8473" s="545" t="e">
        <v>#N/A</v>
      </c>
      <c r="D8473" s="545" t="e">
        <v>#N/A</v>
      </c>
      <c r="E8473" s="545" t="e">
        <v>#N/A</v>
      </c>
      <c r="F8473" s="545" t="e">
        <v>#N/A</v>
      </c>
      <c r="G8473" s="545">
        <v>12.25</v>
      </c>
      <c r="H8473" s="545">
        <v>3.3333333333333335</v>
      </c>
      <c r="I8473" s="545">
        <v>3</v>
      </c>
      <c r="J8473" s="545">
        <v>9.6547619047619033</v>
      </c>
    </row>
    <row r="8474" spans="1:10">
      <c r="A8474" s="441">
        <v>12979</v>
      </c>
      <c r="B8474" s="441" t="s">
        <v>6752</v>
      </c>
      <c r="C8474" s="545">
        <v>146.16666666666669</v>
      </c>
      <c r="D8474" s="545">
        <v>95.333333333333343</v>
      </c>
      <c r="E8474" s="545">
        <v>79.666666666666657</v>
      </c>
      <c r="F8474" s="545">
        <v>129.40476190476193</v>
      </c>
      <c r="G8474" s="545">
        <v>94.05</v>
      </c>
      <c r="H8474" s="545">
        <v>113</v>
      </c>
      <c r="I8474" s="545">
        <v>117</v>
      </c>
      <c r="J8474" s="545">
        <v>100.03571428571429</v>
      </c>
    </row>
    <row r="8475" spans="1:10">
      <c r="A8475" s="441">
        <v>12428</v>
      </c>
      <c r="B8475" s="441" t="s">
        <v>6753</v>
      </c>
      <c r="C8475" s="545">
        <v>8.5</v>
      </c>
      <c r="D8475" s="545">
        <v>4</v>
      </c>
      <c r="E8475" s="545">
        <v>1</v>
      </c>
      <c r="F8475" s="545">
        <v>6.7857142857142856</v>
      </c>
      <c r="G8475" s="545">
        <v>19.5</v>
      </c>
      <c r="H8475" s="545">
        <v>4.666666666666667</v>
      </c>
      <c r="I8475" s="545">
        <v>1.6666666666666667</v>
      </c>
      <c r="J8475" s="545">
        <v>14.833333333333334</v>
      </c>
    </row>
    <row r="8476" spans="1:10">
      <c r="A8476" s="441">
        <v>66</v>
      </c>
      <c r="B8476" s="441" t="s">
        <v>6754</v>
      </c>
      <c r="C8476" s="545">
        <v>838</v>
      </c>
      <c r="D8476" s="545">
        <v>69.333333333333343</v>
      </c>
      <c r="E8476" s="545">
        <v>92</v>
      </c>
      <c r="F8476" s="545">
        <v>621.61904761904759</v>
      </c>
      <c r="G8476" s="545">
        <v>318.5</v>
      </c>
      <c r="H8476" s="545">
        <v>116.66666666666667</v>
      </c>
      <c r="I8476" s="545">
        <v>68.333333333333329</v>
      </c>
      <c r="J8476" s="545">
        <v>253.92857142857142</v>
      </c>
    </row>
    <row r="8477" spans="1:10">
      <c r="A8477" s="441">
        <v>7061</v>
      </c>
      <c r="B8477" s="441" t="s">
        <v>6755</v>
      </c>
      <c r="C8477" s="545">
        <v>0.66666666666666663</v>
      </c>
      <c r="D8477" s="545">
        <v>0.66666666666666663</v>
      </c>
      <c r="E8477" s="545">
        <v>0.66666666666666663</v>
      </c>
      <c r="F8477" s="545">
        <v>0.66666666666666663</v>
      </c>
      <c r="G8477" s="545">
        <v>1.2</v>
      </c>
      <c r="H8477" s="545">
        <v>1.3333333333333333</v>
      </c>
      <c r="I8477" s="545">
        <v>0.66666666666666663</v>
      </c>
      <c r="J8477" s="545">
        <v>1.1428571428571428</v>
      </c>
    </row>
    <row r="8478" spans="1:10">
      <c r="A8478" s="441">
        <v>7741</v>
      </c>
      <c r="B8478" s="441" t="s">
        <v>6755</v>
      </c>
      <c r="C8478" s="545">
        <v>1.6666666666666667</v>
      </c>
      <c r="D8478" s="545">
        <v>0.33333333333333331</v>
      </c>
      <c r="E8478" s="545">
        <v>0.33333333333333331</v>
      </c>
      <c r="F8478" s="545">
        <v>1.285714285714286</v>
      </c>
      <c r="G8478" s="545">
        <v>0.9</v>
      </c>
      <c r="H8478" s="545">
        <v>1.6666666666666667</v>
      </c>
      <c r="I8478" s="545">
        <v>1.6666666666666667</v>
      </c>
      <c r="J8478" s="545">
        <v>1.1190476190476191</v>
      </c>
    </row>
    <row r="8479" spans="1:10">
      <c r="A8479" s="441">
        <v>7064</v>
      </c>
      <c r="B8479" s="441" t="s">
        <v>6756</v>
      </c>
      <c r="C8479" s="545">
        <v>3.833333333333333</v>
      </c>
      <c r="D8479" s="545">
        <v>2.3333333333333335</v>
      </c>
      <c r="E8479" s="545">
        <v>2</v>
      </c>
      <c r="F8479" s="545">
        <v>3.3571428571428568</v>
      </c>
      <c r="G8479" s="545">
        <v>1.9</v>
      </c>
      <c r="H8479" s="545">
        <v>1</v>
      </c>
      <c r="I8479" s="545">
        <v>1.6666666666666667</v>
      </c>
      <c r="J8479" s="545">
        <v>1.7380952380952379</v>
      </c>
    </row>
    <row r="8480" spans="1:10">
      <c r="A8480" s="441">
        <v>7060</v>
      </c>
      <c r="B8480" s="441" t="s">
        <v>6757</v>
      </c>
      <c r="C8480" s="545">
        <v>5.3333333333333339</v>
      </c>
      <c r="D8480" s="545">
        <v>1.6666666666666665</v>
      </c>
      <c r="E8480" s="545">
        <v>1.6666666666666665</v>
      </c>
      <c r="F8480" s="545">
        <v>4.2857142857142865</v>
      </c>
      <c r="G8480" s="545">
        <v>3.9</v>
      </c>
      <c r="H8480" s="545">
        <v>1</v>
      </c>
      <c r="I8480" s="545">
        <v>1.6666666666666667</v>
      </c>
      <c r="J8480" s="545">
        <v>3.166666666666667</v>
      </c>
    </row>
    <row r="8481" spans="1:10">
      <c r="A8481" s="441">
        <v>7742</v>
      </c>
      <c r="B8481" s="441" t="s">
        <v>6757</v>
      </c>
      <c r="C8481" s="545">
        <v>3.666666666666667</v>
      </c>
      <c r="D8481" s="545">
        <v>2.3333333333333335</v>
      </c>
      <c r="E8481" s="545">
        <v>0.66666666666666663</v>
      </c>
      <c r="F8481" s="545">
        <v>3.0476190476190479</v>
      </c>
      <c r="G8481" s="545">
        <v>2.5499999999999998</v>
      </c>
      <c r="H8481" s="545">
        <v>0.33333333333333331</v>
      </c>
      <c r="I8481" s="545">
        <v>1</v>
      </c>
      <c r="J8481" s="545">
        <v>2.0119047619047619</v>
      </c>
    </row>
    <row r="8482" spans="1:10">
      <c r="A8482" s="441">
        <v>7063</v>
      </c>
      <c r="B8482" s="441" t="s">
        <v>6758</v>
      </c>
      <c r="C8482" s="545">
        <v>3</v>
      </c>
      <c r="D8482" s="545">
        <v>2.6666666666666665</v>
      </c>
      <c r="E8482" s="545">
        <v>1.3333333333333333</v>
      </c>
      <c r="F8482" s="545">
        <v>2.7142857142857144</v>
      </c>
      <c r="G8482" s="545">
        <v>2.0499999999999998</v>
      </c>
      <c r="H8482" s="545">
        <v>1</v>
      </c>
      <c r="I8482" s="545">
        <v>2.3333333333333335</v>
      </c>
      <c r="J8482" s="545">
        <v>1.9404761904761905</v>
      </c>
    </row>
    <row r="8483" spans="1:10">
      <c r="A8483" s="441">
        <v>7739</v>
      </c>
      <c r="B8483" s="441" t="s">
        <v>6758</v>
      </c>
      <c r="C8483" s="545">
        <v>7.833333333333333</v>
      </c>
      <c r="D8483" s="545">
        <v>0</v>
      </c>
      <c r="E8483" s="545">
        <v>2.333333333333333</v>
      </c>
      <c r="F8483" s="545">
        <v>5.9285714285714288</v>
      </c>
      <c r="G8483" s="545">
        <v>1.9</v>
      </c>
      <c r="H8483" s="545">
        <v>0.66666666666666663</v>
      </c>
      <c r="I8483" s="545">
        <v>1.6666666666666667</v>
      </c>
      <c r="J8483" s="545">
        <v>1.6904761904761902</v>
      </c>
    </row>
    <row r="8484" spans="1:10">
      <c r="A8484" s="441">
        <v>11403</v>
      </c>
      <c r="B8484" s="441" t="s">
        <v>6759</v>
      </c>
      <c r="C8484" s="545">
        <v>1.6666666666666665</v>
      </c>
      <c r="D8484" s="545">
        <v>1.3333333333333333</v>
      </c>
      <c r="E8484" s="545">
        <v>0.66666666666666663</v>
      </c>
      <c r="F8484" s="545">
        <v>1.4761904761904761</v>
      </c>
      <c r="G8484" s="545">
        <v>0.6</v>
      </c>
      <c r="H8484" s="545">
        <v>0.66666666666666663</v>
      </c>
      <c r="I8484" s="545">
        <v>0.33333333333333331</v>
      </c>
      <c r="J8484" s="545">
        <v>0.5714285714285714</v>
      </c>
    </row>
    <row r="8485" spans="1:10">
      <c r="A8485" s="441">
        <v>11404</v>
      </c>
      <c r="B8485" s="441" t="s">
        <v>6759</v>
      </c>
      <c r="C8485" s="545">
        <v>2.333333333333333</v>
      </c>
      <c r="D8485" s="545">
        <v>1</v>
      </c>
      <c r="E8485" s="545">
        <v>1</v>
      </c>
      <c r="F8485" s="545">
        <v>1.9523809523809521</v>
      </c>
      <c r="G8485" s="545">
        <v>0.8</v>
      </c>
      <c r="H8485" s="545">
        <v>0.33333333333333331</v>
      </c>
      <c r="I8485" s="545">
        <v>0</v>
      </c>
      <c r="J8485" s="545">
        <v>0.61904761904761896</v>
      </c>
    </row>
    <row r="8486" spans="1:10">
      <c r="A8486" s="441">
        <v>7057</v>
      </c>
      <c r="B8486" s="441" t="s">
        <v>6760</v>
      </c>
      <c r="C8486" s="545">
        <v>17.5</v>
      </c>
      <c r="D8486" s="545">
        <v>6.6666666666666661</v>
      </c>
      <c r="E8486" s="545">
        <v>6</v>
      </c>
      <c r="F8486" s="545">
        <v>14.30952380952381</v>
      </c>
      <c r="G8486" s="545">
        <v>12.4</v>
      </c>
      <c r="H8486" s="545">
        <v>6.666666666666667</v>
      </c>
      <c r="I8486" s="545">
        <v>8</v>
      </c>
      <c r="J8486" s="545">
        <v>10.952380952380953</v>
      </c>
    </row>
    <row r="8487" spans="1:10">
      <c r="A8487" s="441">
        <v>7745</v>
      </c>
      <c r="B8487" s="441" t="s">
        <v>6760</v>
      </c>
      <c r="C8487" s="545">
        <v>19.333333333333336</v>
      </c>
      <c r="D8487" s="545">
        <v>5.6666666666666661</v>
      </c>
      <c r="E8487" s="545">
        <v>11</v>
      </c>
      <c r="F8487" s="545">
        <v>16.190476190476193</v>
      </c>
      <c r="G8487" s="545">
        <v>11.1</v>
      </c>
      <c r="H8487" s="545">
        <v>12</v>
      </c>
      <c r="I8487" s="545">
        <v>6</v>
      </c>
      <c r="J8487" s="545">
        <v>10.5</v>
      </c>
    </row>
    <row r="8488" spans="1:10">
      <c r="A8488" s="441">
        <v>7058</v>
      </c>
      <c r="B8488" s="441" t="s">
        <v>6761</v>
      </c>
      <c r="C8488" s="545">
        <v>0.5</v>
      </c>
      <c r="D8488" s="545">
        <v>6.3333333333333339</v>
      </c>
      <c r="E8488" s="545">
        <v>0.66666666666666663</v>
      </c>
      <c r="F8488" s="545">
        <v>1.3571428571428572</v>
      </c>
      <c r="G8488" s="545">
        <v>1.25</v>
      </c>
      <c r="H8488" s="545">
        <v>0.66666666666666663</v>
      </c>
      <c r="I8488" s="545">
        <v>0.33333333333333331</v>
      </c>
      <c r="J8488" s="545">
        <v>1.0357142857142858</v>
      </c>
    </row>
    <row r="8489" spans="1:10">
      <c r="A8489" s="441">
        <v>7744</v>
      </c>
      <c r="B8489" s="441" t="s">
        <v>6761</v>
      </c>
      <c r="C8489" s="545">
        <v>1.5</v>
      </c>
      <c r="D8489" s="545">
        <v>0.33333333333333331</v>
      </c>
      <c r="E8489" s="545">
        <v>0.66666666666666663</v>
      </c>
      <c r="F8489" s="545">
        <v>1.2142857142857142</v>
      </c>
      <c r="G8489" s="545">
        <v>1.25</v>
      </c>
      <c r="H8489" s="545">
        <v>0</v>
      </c>
      <c r="I8489" s="545">
        <v>0</v>
      </c>
      <c r="J8489" s="545">
        <v>0.8928571428571429</v>
      </c>
    </row>
    <row r="8490" spans="1:10">
      <c r="A8490" s="441">
        <v>7059</v>
      </c>
      <c r="B8490" s="441" t="s">
        <v>6762</v>
      </c>
      <c r="C8490" s="545">
        <v>12</v>
      </c>
      <c r="D8490" s="545">
        <v>5</v>
      </c>
      <c r="E8490" s="545">
        <v>4.333333333333333</v>
      </c>
      <c r="F8490" s="545">
        <v>9.9047619047619033</v>
      </c>
      <c r="G8490" s="545">
        <v>4.5</v>
      </c>
      <c r="H8490" s="545">
        <v>5</v>
      </c>
      <c r="I8490" s="545">
        <v>3.6666666666666665</v>
      </c>
      <c r="J8490" s="545">
        <v>4.4523809523809526</v>
      </c>
    </row>
    <row r="8491" spans="1:10">
      <c r="A8491" s="441">
        <v>7743</v>
      </c>
      <c r="B8491" s="441" t="s">
        <v>6762</v>
      </c>
      <c r="C8491" s="545">
        <v>15.333333333333334</v>
      </c>
      <c r="D8491" s="545">
        <v>6</v>
      </c>
      <c r="E8491" s="545">
        <v>6</v>
      </c>
      <c r="F8491" s="545">
        <v>12.666666666666668</v>
      </c>
      <c r="G8491" s="545">
        <v>10.050000000000001</v>
      </c>
      <c r="H8491" s="545">
        <v>4.333333333333333</v>
      </c>
      <c r="I8491" s="545">
        <v>5</v>
      </c>
      <c r="J8491" s="545">
        <v>8.5119047619047628</v>
      </c>
    </row>
    <row r="8492" spans="1:10">
      <c r="A8492" s="441">
        <v>7062</v>
      </c>
      <c r="B8492" s="441" t="s">
        <v>6763</v>
      </c>
      <c r="C8492" s="545">
        <v>2.333333333333333</v>
      </c>
      <c r="D8492" s="545">
        <v>0</v>
      </c>
      <c r="E8492" s="545">
        <v>1</v>
      </c>
      <c r="F8492" s="545">
        <v>1.8095238095238091</v>
      </c>
      <c r="G8492" s="545">
        <v>2</v>
      </c>
      <c r="H8492" s="545">
        <v>1.6666666666666667</v>
      </c>
      <c r="I8492" s="545">
        <v>1.6666666666666667</v>
      </c>
      <c r="J8492" s="545">
        <v>1.9047619047619047</v>
      </c>
    </row>
    <row r="8493" spans="1:10">
      <c r="A8493" s="441">
        <v>7740</v>
      </c>
      <c r="B8493" s="441" t="s">
        <v>6763</v>
      </c>
      <c r="C8493" s="545">
        <v>4.333333333333333</v>
      </c>
      <c r="D8493" s="545">
        <v>0.33333333333333331</v>
      </c>
      <c r="E8493" s="545">
        <v>1</v>
      </c>
      <c r="F8493" s="545">
        <v>3.2857142857142851</v>
      </c>
      <c r="G8493" s="545">
        <v>1.95</v>
      </c>
      <c r="H8493" s="545">
        <v>0</v>
      </c>
      <c r="I8493" s="545">
        <v>0.33333333333333331</v>
      </c>
      <c r="J8493" s="545">
        <v>1.4404761904761905</v>
      </c>
    </row>
    <row r="8494" spans="1:10">
      <c r="A8494" s="441">
        <v>12335</v>
      </c>
      <c r="B8494" s="441" t="s">
        <v>6764</v>
      </c>
      <c r="C8494" s="545">
        <v>69.666666666666657</v>
      </c>
      <c r="D8494" s="545">
        <v>35.666666666666664</v>
      </c>
      <c r="E8494" s="545">
        <v>31</v>
      </c>
      <c r="F8494" s="545">
        <v>59.285714285714278</v>
      </c>
      <c r="G8494" s="545">
        <v>54.55</v>
      </c>
      <c r="H8494" s="545">
        <v>38</v>
      </c>
      <c r="I8494" s="545">
        <v>27</v>
      </c>
      <c r="J8494" s="545">
        <v>48.25</v>
      </c>
    </row>
    <row r="8495" spans="1:10">
      <c r="A8495" s="441">
        <v>12336</v>
      </c>
      <c r="B8495" s="441" t="s">
        <v>6764</v>
      </c>
      <c r="C8495" s="545">
        <v>91.833333333333329</v>
      </c>
      <c r="D8495" s="545">
        <v>44</v>
      </c>
      <c r="E8495" s="545">
        <v>32</v>
      </c>
      <c r="F8495" s="545">
        <v>76.452380952380949</v>
      </c>
      <c r="G8495" s="545">
        <v>53.65</v>
      </c>
      <c r="H8495" s="545">
        <v>38.666666666666664</v>
      </c>
      <c r="I8495" s="545">
        <v>22.333333333333332</v>
      </c>
      <c r="J8495" s="545">
        <v>47.035714285714285</v>
      </c>
    </row>
    <row r="8496" spans="1:10">
      <c r="A8496" s="441">
        <v>13088</v>
      </c>
      <c r="B8496" s="441" t="s">
        <v>6765</v>
      </c>
      <c r="C8496" s="545">
        <v>18.833333333333332</v>
      </c>
      <c r="D8496" s="545">
        <v>13.666666666666668</v>
      </c>
      <c r="E8496" s="545">
        <v>10.333333333333332</v>
      </c>
      <c r="F8496" s="545">
        <v>16.88095238095238</v>
      </c>
      <c r="G8496" s="545">
        <v>18.05</v>
      </c>
      <c r="H8496" s="545">
        <v>14</v>
      </c>
      <c r="I8496" s="545">
        <v>7.666666666666667</v>
      </c>
      <c r="J8496" s="545">
        <v>15.988095238095239</v>
      </c>
    </row>
    <row r="8497" spans="1:10">
      <c r="A8497" s="441">
        <v>13089</v>
      </c>
      <c r="B8497" s="441" t="s">
        <v>6765</v>
      </c>
      <c r="C8497" s="545">
        <v>10.5</v>
      </c>
      <c r="D8497" s="545">
        <v>8.3333333333333339</v>
      </c>
      <c r="E8497" s="545">
        <v>5.666666666666667</v>
      </c>
      <c r="F8497" s="545">
        <v>9.5</v>
      </c>
      <c r="G8497" s="545">
        <v>13.2</v>
      </c>
      <c r="H8497" s="545">
        <v>11</v>
      </c>
      <c r="I8497" s="545">
        <v>5</v>
      </c>
      <c r="J8497" s="545">
        <v>11.714285714285714</v>
      </c>
    </row>
    <row r="8498" spans="1:10">
      <c r="A8498" s="441">
        <v>12337</v>
      </c>
      <c r="B8498" s="441" t="s">
        <v>6766</v>
      </c>
      <c r="C8498" s="545">
        <v>45.833333333333336</v>
      </c>
      <c r="D8498" s="545">
        <v>40.333333333333336</v>
      </c>
      <c r="E8498" s="545">
        <v>27.333333333333332</v>
      </c>
      <c r="F8498" s="545">
        <v>42.404761904761905</v>
      </c>
      <c r="G8498" s="545">
        <v>22.9</v>
      </c>
      <c r="H8498" s="545">
        <v>27</v>
      </c>
      <c r="I8498" s="545">
        <v>17.333333333333332</v>
      </c>
      <c r="J8498" s="545">
        <v>22.690476190476193</v>
      </c>
    </row>
    <row r="8499" spans="1:10">
      <c r="A8499" s="441">
        <v>12338</v>
      </c>
      <c r="B8499" s="441" t="s">
        <v>6766</v>
      </c>
      <c r="C8499" s="545">
        <v>47.833333333333336</v>
      </c>
      <c r="D8499" s="545">
        <v>37.333333333333336</v>
      </c>
      <c r="E8499" s="545">
        <v>35.666666666666671</v>
      </c>
      <c r="F8499" s="545">
        <v>44.595238095238095</v>
      </c>
      <c r="G8499" s="545">
        <v>25.15</v>
      </c>
      <c r="H8499" s="545">
        <v>27.666666666666668</v>
      </c>
      <c r="I8499" s="545">
        <v>14.666666666666666</v>
      </c>
      <c r="J8499" s="545">
        <v>24.011904761904759</v>
      </c>
    </row>
    <row r="8500" spans="1:10">
      <c r="A8500" s="441">
        <v>11211</v>
      </c>
      <c r="B8500" s="441" t="s">
        <v>6767</v>
      </c>
      <c r="C8500" s="545">
        <v>718.16666666666674</v>
      </c>
      <c r="D8500" s="545">
        <v>333</v>
      </c>
      <c r="E8500" s="545">
        <v>342.33333333333337</v>
      </c>
      <c r="F8500" s="545">
        <v>609.45238095238096</v>
      </c>
      <c r="G8500" s="545">
        <v>490.2</v>
      </c>
      <c r="H8500" s="545">
        <v>312.66666666666669</v>
      </c>
      <c r="I8500" s="545">
        <v>296.66666666666669</v>
      </c>
      <c r="J8500" s="545">
        <v>437.19047619047615</v>
      </c>
    </row>
    <row r="8501" spans="1:10">
      <c r="A8501" s="441">
        <v>12333</v>
      </c>
      <c r="B8501" s="441" t="s">
        <v>6768</v>
      </c>
      <c r="C8501" s="545">
        <v>39.166666666666671</v>
      </c>
      <c r="D8501" s="545">
        <v>19</v>
      </c>
      <c r="E8501" s="545">
        <v>14</v>
      </c>
      <c r="F8501" s="545">
        <v>32.690476190476197</v>
      </c>
      <c r="G8501" s="545">
        <v>24.55</v>
      </c>
      <c r="H8501" s="545">
        <v>11.333333333333334</v>
      </c>
      <c r="I8501" s="545">
        <v>9.6666666666666661</v>
      </c>
      <c r="J8501" s="545">
        <v>20.535714285714285</v>
      </c>
    </row>
    <row r="8502" spans="1:10">
      <c r="A8502" s="441">
        <v>12334</v>
      </c>
      <c r="B8502" s="441" t="s">
        <v>6768</v>
      </c>
      <c r="C8502" s="545">
        <v>22.833333333333336</v>
      </c>
      <c r="D8502" s="545">
        <v>11</v>
      </c>
      <c r="E8502" s="545">
        <v>9.3333333333333339</v>
      </c>
      <c r="F8502" s="545">
        <v>19.214285714285719</v>
      </c>
      <c r="G8502" s="545">
        <v>26.75</v>
      </c>
      <c r="H8502" s="545">
        <v>18</v>
      </c>
      <c r="I8502" s="545">
        <v>9</v>
      </c>
      <c r="J8502" s="545">
        <v>22.964285714285715</v>
      </c>
    </row>
    <row r="8503" spans="1:10">
      <c r="A8503" s="441">
        <v>11250</v>
      </c>
      <c r="B8503" s="441" t="s">
        <v>6769</v>
      </c>
      <c r="C8503" s="545">
        <v>69.5</v>
      </c>
      <c r="D8503" s="545">
        <v>49</v>
      </c>
      <c r="E8503" s="545">
        <v>38.666666666666664</v>
      </c>
      <c r="F8503" s="545">
        <v>62.166666666666671</v>
      </c>
      <c r="G8503" s="545">
        <v>21.85</v>
      </c>
      <c r="H8503" s="545">
        <v>14</v>
      </c>
      <c r="I8503" s="545">
        <v>15.666666666666666</v>
      </c>
      <c r="J8503" s="545">
        <v>19.845238095238095</v>
      </c>
    </row>
    <row r="8504" spans="1:10">
      <c r="A8504" s="441">
        <v>11251</v>
      </c>
      <c r="B8504" s="441" t="s">
        <v>6769</v>
      </c>
      <c r="C8504" s="545">
        <v>130</v>
      </c>
      <c r="D8504" s="545">
        <v>94.333333333333343</v>
      </c>
      <c r="E8504" s="545">
        <v>68.666666666666671</v>
      </c>
      <c r="F8504" s="545">
        <v>116.14285714285714</v>
      </c>
      <c r="G8504" s="545">
        <v>31.55</v>
      </c>
      <c r="H8504" s="545">
        <v>16</v>
      </c>
      <c r="I8504" s="545">
        <v>14.333333333333334</v>
      </c>
      <c r="J8504" s="545">
        <v>26.86904761904762</v>
      </c>
    </row>
    <row r="8505" spans="1:10">
      <c r="A8505" s="441">
        <v>11502</v>
      </c>
      <c r="B8505" s="441" t="s">
        <v>6770</v>
      </c>
      <c r="C8505" s="545">
        <v>101.5</v>
      </c>
      <c r="D8505" s="545">
        <v>42.333333333333329</v>
      </c>
      <c r="E8505" s="545">
        <v>18</v>
      </c>
      <c r="F8505" s="545">
        <v>81.11904761904762</v>
      </c>
      <c r="G8505" s="545">
        <v>75.45</v>
      </c>
      <c r="H8505" s="545">
        <v>24</v>
      </c>
      <c r="I8505" s="545">
        <v>22</v>
      </c>
      <c r="J8505" s="545">
        <v>60.464285714285715</v>
      </c>
    </row>
    <row r="8506" spans="1:10">
      <c r="A8506" s="441">
        <v>11641</v>
      </c>
      <c r="B8506" s="441" t="s">
        <v>6770</v>
      </c>
      <c r="C8506" s="545">
        <v>80.166666666666657</v>
      </c>
      <c r="D8506" s="545">
        <v>35.666666666666664</v>
      </c>
      <c r="E8506" s="545">
        <v>19.666666666666668</v>
      </c>
      <c r="F8506" s="545">
        <v>65.166666666666657</v>
      </c>
      <c r="G8506" s="545">
        <v>58.95</v>
      </c>
      <c r="H8506" s="545">
        <v>31</v>
      </c>
      <c r="I8506" s="545">
        <v>22</v>
      </c>
      <c r="J8506" s="545">
        <v>49.678571428571431</v>
      </c>
    </row>
    <row r="8507" spans="1:10">
      <c r="A8507" s="441">
        <v>1930</v>
      </c>
      <c r="B8507" s="441" t="s">
        <v>6771</v>
      </c>
      <c r="C8507" s="545">
        <v>11.166666666666666</v>
      </c>
      <c r="D8507" s="545">
        <v>5.333333333333333</v>
      </c>
      <c r="E8507" s="545">
        <v>7</v>
      </c>
      <c r="F8507" s="545">
        <v>9.7380952380952372</v>
      </c>
      <c r="G8507" s="545">
        <v>8.65</v>
      </c>
      <c r="H8507" s="545">
        <v>8</v>
      </c>
      <c r="I8507" s="545">
        <v>6</v>
      </c>
      <c r="J8507" s="545">
        <v>8.1785714285714288</v>
      </c>
    </row>
    <row r="8508" spans="1:10">
      <c r="A8508" s="441">
        <v>1899</v>
      </c>
      <c r="B8508" s="441" t="s">
        <v>6772</v>
      </c>
      <c r="C8508" s="545">
        <v>22</v>
      </c>
      <c r="D8508" s="545">
        <v>9.6666666666666661</v>
      </c>
      <c r="E8508" s="545">
        <v>8.6666666666666679</v>
      </c>
      <c r="F8508" s="545">
        <v>18.333333333333336</v>
      </c>
      <c r="G8508" s="545">
        <v>15</v>
      </c>
      <c r="H8508" s="545">
        <v>12.333333333333334</v>
      </c>
      <c r="I8508" s="545">
        <v>5.333333333333333</v>
      </c>
      <c r="J8508" s="545">
        <v>13.238095238095237</v>
      </c>
    </row>
    <row r="8509" spans="1:10">
      <c r="A8509" s="441">
        <v>1928</v>
      </c>
      <c r="B8509" s="441" t="s">
        <v>6772</v>
      </c>
      <c r="C8509" s="545">
        <v>18.333333333333336</v>
      </c>
      <c r="D8509" s="545">
        <v>8.6666666666666661</v>
      </c>
      <c r="E8509" s="545">
        <v>11.333333333333334</v>
      </c>
      <c r="F8509" s="545">
        <v>15.952380952380954</v>
      </c>
      <c r="G8509" s="545">
        <v>16.3</v>
      </c>
      <c r="H8509" s="545">
        <v>11.666666666666666</v>
      </c>
      <c r="I8509" s="545">
        <v>6.333333333333333</v>
      </c>
      <c r="J8509" s="545">
        <v>14.214285714285714</v>
      </c>
    </row>
    <row r="8510" spans="1:10">
      <c r="A8510" s="441">
        <v>1898</v>
      </c>
      <c r="B8510" s="441" t="s">
        <v>6773</v>
      </c>
      <c r="C8510" s="545">
        <v>16.833333333333332</v>
      </c>
      <c r="D8510" s="545">
        <v>12.666666666666668</v>
      </c>
      <c r="E8510" s="545">
        <v>10.666666666666666</v>
      </c>
      <c r="F8510" s="545">
        <v>15.357142857142858</v>
      </c>
      <c r="G8510" s="545">
        <v>13.05</v>
      </c>
      <c r="H8510" s="545">
        <v>8</v>
      </c>
      <c r="I8510" s="545">
        <v>8.6666666666666661</v>
      </c>
      <c r="J8510" s="545">
        <v>11.702380952380953</v>
      </c>
    </row>
    <row r="8511" spans="1:10">
      <c r="A8511" s="441">
        <v>1929</v>
      </c>
      <c r="B8511" s="441" t="s">
        <v>6773</v>
      </c>
      <c r="C8511" s="545">
        <v>26</v>
      </c>
      <c r="D8511" s="545">
        <v>16</v>
      </c>
      <c r="E8511" s="545">
        <v>20</v>
      </c>
      <c r="F8511" s="545">
        <v>23.714285714285715</v>
      </c>
      <c r="G8511" s="545">
        <v>16.399999999999999</v>
      </c>
      <c r="H8511" s="545">
        <v>15</v>
      </c>
      <c r="I8511" s="545">
        <v>13.666666666666666</v>
      </c>
      <c r="J8511" s="545">
        <v>15.80952380952381</v>
      </c>
    </row>
    <row r="8512" spans="1:10">
      <c r="A8512" s="441">
        <v>11030</v>
      </c>
      <c r="B8512" s="441" t="s">
        <v>6774</v>
      </c>
      <c r="C8512" s="545">
        <v>3420.6666666666665</v>
      </c>
      <c r="D8512" s="545">
        <v>1901.6666666666665</v>
      </c>
      <c r="E8512" s="545">
        <v>1663.3333333333333</v>
      </c>
      <c r="F8512" s="545">
        <v>2952.6190476190473</v>
      </c>
      <c r="G8512" s="545">
        <v>2200.8000000000002</v>
      </c>
      <c r="H8512" s="545">
        <v>1372.6666666666667</v>
      </c>
      <c r="I8512" s="545">
        <v>1304.6666666666667</v>
      </c>
      <c r="J8512" s="545">
        <v>1954.4761904761904</v>
      </c>
    </row>
    <row r="8513" spans="1:10">
      <c r="A8513" s="441">
        <v>1397</v>
      </c>
      <c r="B8513" s="441" t="s">
        <v>6775</v>
      </c>
      <c r="C8513" s="545">
        <v>10.333333333333334</v>
      </c>
      <c r="D8513" s="545">
        <v>2.666666666666667</v>
      </c>
      <c r="E8513" s="545">
        <v>1</v>
      </c>
      <c r="F8513" s="545">
        <v>7.9047619047619051</v>
      </c>
      <c r="G8513" s="545">
        <v>4.8</v>
      </c>
      <c r="H8513" s="545">
        <v>2.3333333333333335</v>
      </c>
      <c r="I8513" s="545">
        <v>2.6666666666666665</v>
      </c>
      <c r="J8513" s="545">
        <v>4.1428571428571432</v>
      </c>
    </row>
    <row r="8514" spans="1:10">
      <c r="A8514" s="441">
        <v>5284</v>
      </c>
      <c r="B8514" s="441" t="s">
        <v>6776</v>
      </c>
      <c r="C8514" s="545">
        <v>6.166666666666667</v>
      </c>
      <c r="D8514" s="545">
        <v>1.6666666666666665</v>
      </c>
      <c r="E8514" s="545">
        <v>0.66666666666666663</v>
      </c>
      <c r="F8514" s="545">
        <v>4.7380952380952381</v>
      </c>
      <c r="G8514" s="545">
        <v>6.45</v>
      </c>
      <c r="H8514" s="545">
        <v>0.66666666666666663</v>
      </c>
      <c r="I8514" s="545">
        <v>0.66666666666666663</v>
      </c>
      <c r="J8514" s="545">
        <v>4.7976190476190466</v>
      </c>
    </row>
    <row r="8515" spans="1:10">
      <c r="A8515" s="441">
        <v>5281</v>
      </c>
      <c r="B8515" s="441" t="s">
        <v>6777</v>
      </c>
      <c r="C8515" s="545">
        <v>7.1666666666666661</v>
      </c>
      <c r="D8515" s="545">
        <v>3.6666666666666665</v>
      </c>
      <c r="E8515" s="545">
        <v>4.666666666666667</v>
      </c>
      <c r="F8515" s="545">
        <v>6.3095238095238084</v>
      </c>
      <c r="G8515" s="545">
        <v>2.25</v>
      </c>
      <c r="H8515" s="545">
        <v>2</v>
      </c>
      <c r="I8515" s="545">
        <v>0.66666666666666663</v>
      </c>
      <c r="J8515" s="545">
        <v>1.9880952380952379</v>
      </c>
    </row>
    <row r="8516" spans="1:10">
      <c r="A8516" s="441">
        <v>12877</v>
      </c>
      <c r="B8516" s="441" t="s">
        <v>6777</v>
      </c>
      <c r="C8516" s="545">
        <v>9.3333333333333339</v>
      </c>
      <c r="D8516" s="545">
        <v>4.333333333333333</v>
      </c>
      <c r="E8516" s="545">
        <v>3.3333333333333335</v>
      </c>
      <c r="F8516" s="545">
        <v>7.7619047619047636</v>
      </c>
      <c r="G8516" s="545">
        <v>3.05</v>
      </c>
      <c r="H8516" s="545">
        <v>0.66666666666666663</v>
      </c>
      <c r="I8516" s="545">
        <v>0.66666666666666663</v>
      </c>
      <c r="J8516" s="545">
        <v>2.3690476190476191</v>
      </c>
    </row>
    <row r="8517" spans="1:10">
      <c r="A8517" s="441">
        <v>5286</v>
      </c>
      <c r="B8517" s="441" t="s">
        <v>6778</v>
      </c>
      <c r="C8517" s="545">
        <v>4.1666666666666661</v>
      </c>
      <c r="D8517" s="545">
        <v>2</v>
      </c>
      <c r="E8517" s="545">
        <v>3.6666666666666665</v>
      </c>
      <c r="F8517" s="545">
        <v>3.7857142857142851</v>
      </c>
      <c r="G8517" s="545">
        <v>1.75</v>
      </c>
      <c r="H8517" s="545">
        <v>1</v>
      </c>
      <c r="I8517" s="545">
        <v>0.33333333333333331</v>
      </c>
      <c r="J8517" s="545">
        <v>1.4404761904761905</v>
      </c>
    </row>
    <row r="8518" spans="1:10">
      <c r="A8518" s="441">
        <v>5282</v>
      </c>
      <c r="B8518" s="441" t="s">
        <v>6779</v>
      </c>
      <c r="C8518" s="545">
        <v>3</v>
      </c>
      <c r="D8518" s="545">
        <v>2</v>
      </c>
      <c r="E8518" s="545">
        <v>1.3333333333333333</v>
      </c>
      <c r="F8518" s="545">
        <v>2.6190476190476191</v>
      </c>
      <c r="G8518" s="545">
        <v>3.55</v>
      </c>
      <c r="H8518" s="545">
        <v>0.66666666666666663</v>
      </c>
      <c r="I8518" s="545">
        <v>1.6666666666666667</v>
      </c>
      <c r="J8518" s="545">
        <v>2.8690476190476195</v>
      </c>
    </row>
    <row r="8519" spans="1:10">
      <c r="A8519" s="441">
        <v>12876</v>
      </c>
      <c r="B8519" s="441" t="s">
        <v>6779</v>
      </c>
      <c r="C8519" s="545">
        <v>8.8333333333333321</v>
      </c>
      <c r="D8519" s="545">
        <v>5</v>
      </c>
      <c r="E8519" s="545">
        <v>2.6666666666666665</v>
      </c>
      <c r="F8519" s="545">
        <v>7.4047619047619033</v>
      </c>
      <c r="G8519" s="545">
        <v>4.75</v>
      </c>
      <c r="H8519" s="545">
        <v>1</v>
      </c>
      <c r="I8519" s="545">
        <v>1.3333333333333333</v>
      </c>
      <c r="J8519" s="545">
        <v>3.7261904761904758</v>
      </c>
    </row>
    <row r="8520" spans="1:10">
      <c r="A8520" s="441">
        <v>5280</v>
      </c>
      <c r="B8520" s="441" t="s">
        <v>6780</v>
      </c>
      <c r="C8520" s="545">
        <v>6.6666666666666661</v>
      </c>
      <c r="D8520" s="545">
        <v>5.6666666666666661</v>
      </c>
      <c r="E8520" s="545">
        <v>1.6666666666666665</v>
      </c>
      <c r="F8520" s="545">
        <v>5.8095238095238084</v>
      </c>
      <c r="G8520" s="545">
        <v>7.35</v>
      </c>
      <c r="H8520" s="545">
        <v>2.6666666666666665</v>
      </c>
      <c r="I8520" s="545">
        <v>1</v>
      </c>
      <c r="J8520" s="545">
        <v>5.7738095238095237</v>
      </c>
    </row>
    <row r="8521" spans="1:10">
      <c r="A8521" s="441">
        <v>12878</v>
      </c>
      <c r="B8521" s="441" t="s">
        <v>6780</v>
      </c>
      <c r="C8521" s="545">
        <v>6.833333333333333</v>
      </c>
      <c r="D8521" s="545">
        <v>0.66666666666666663</v>
      </c>
      <c r="E8521" s="545">
        <v>2.6666666666666665</v>
      </c>
      <c r="F8521" s="545">
        <v>5.3571428571428559</v>
      </c>
      <c r="G8521" s="545">
        <v>7.85</v>
      </c>
      <c r="H8521" s="545">
        <v>1</v>
      </c>
      <c r="I8521" s="545">
        <v>1</v>
      </c>
      <c r="J8521" s="545">
        <v>5.8928571428571432</v>
      </c>
    </row>
    <row r="8522" spans="1:10">
      <c r="A8522" s="441">
        <v>5279</v>
      </c>
      <c r="B8522" s="441" t="s">
        <v>6781</v>
      </c>
      <c r="C8522" s="545">
        <v>10.666666666666666</v>
      </c>
      <c r="D8522" s="545">
        <v>6</v>
      </c>
      <c r="E8522" s="545">
        <v>2.3333333333333335</v>
      </c>
      <c r="F8522" s="545">
        <v>8.8095238095238084</v>
      </c>
      <c r="G8522" s="545">
        <v>6.75</v>
      </c>
      <c r="H8522" s="545">
        <v>0</v>
      </c>
      <c r="I8522" s="545">
        <v>1</v>
      </c>
      <c r="J8522" s="545">
        <v>4.9642857142857144</v>
      </c>
    </row>
    <row r="8523" spans="1:10">
      <c r="A8523" s="441">
        <v>12879</v>
      </c>
      <c r="B8523" s="441" t="s">
        <v>6781</v>
      </c>
      <c r="C8523" s="545">
        <v>45.166666666666671</v>
      </c>
      <c r="D8523" s="545">
        <v>7</v>
      </c>
      <c r="E8523" s="545">
        <v>3</v>
      </c>
      <c r="F8523" s="545">
        <v>33.690476190476197</v>
      </c>
      <c r="G8523" s="545">
        <v>21.15</v>
      </c>
      <c r="H8523" s="545">
        <v>1.6666666666666667</v>
      </c>
      <c r="I8523" s="545">
        <v>2</v>
      </c>
      <c r="J8523" s="545">
        <v>15.630952380952381</v>
      </c>
    </row>
    <row r="8524" spans="1:10">
      <c r="A8524" s="441">
        <v>5283</v>
      </c>
      <c r="B8524" s="441" t="s">
        <v>6782</v>
      </c>
      <c r="C8524" s="545">
        <v>14</v>
      </c>
      <c r="D8524" s="545">
        <v>3.666666666666667</v>
      </c>
      <c r="E8524" s="545">
        <v>2.3333333333333335</v>
      </c>
      <c r="F8524" s="545">
        <v>10.857142857142858</v>
      </c>
      <c r="G8524" s="545">
        <v>5.55</v>
      </c>
      <c r="H8524" s="545">
        <v>0.33333333333333331</v>
      </c>
      <c r="I8524" s="545">
        <v>1.3333333333333333</v>
      </c>
      <c r="J8524" s="545">
        <v>4.2023809523809517</v>
      </c>
    </row>
    <row r="8525" spans="1:10">
      <c r="A8525" s="441">
        <v>12875</v>
      </c>
      <c r="B8525" s="441" t="s">
        <v>6782</v>
      </c>
      <c r="C8525" s="545">
        <v>12.166666666666666</v>
      </c>
      <c r="D8525" s="545">
        <v>0.66666666666666663</v>
      </c>
      <c r="E8525" s="545">
        <v>0.66666666666666663</v>
      </c>
      <c r="F8525" s="545">
        <v>8.8809523809523796</v>
      </c>
      <c r="G8525" s="545">
        <v>9.3000000000000007</v>
      </c>
      <c r="H8525" s="545">
        <v>0.66666666666666663</v>
      </c>
      <c r="I8525" s="545">
        <v>1.6666666666666667</v>
      </c>
      <c r="J8525" s="545">
        <v>6.9761904761904754</v>
      </c>
    </row>
    <row r="8526" spans="1:10">
      <c r="A8526" s="441">
        <v>5285</v>
      </c>
      <c r="B8526" s="441" t="s">
        <v>6783</v>
      </c>
      <c r="C8526" s="545">
        <v>5.5</v>
      </c>
      <c r="D8526" s="545">
        <v>6.333333333333333</v>
      </c>
      <c r="E8526" s="545">
        <v>3.3333333333333335</v>
      </c>
      <c r="F8526" s="545">
        <v>5.3095238095238102</v>
      </c>
      <c r="G8526" s="545">
        <v>7.5</v>
      </c>
      <c r="H8526" s="545">
        <v>2.3333333333333335</v>
      </c>
      <c r="I8526" s="545">
        <v>5</v>
      </c>
      <c r="J8526" s="545">
        <v>6.4047619047619051</v>
      </c>
    </row>
    <row r="8527" spans="1:10">
      <c r="A8527" s="441">
        <v>12874</v>
      </c>
      <c r="B8527" s="441" t="s">
        <v>6783</v>
      </c>
      <c r="C8527" s="545">
        <v>14</v>
      </c>
      <c r="D8527" s="545">
        <v>6.6666666666666661</v>
      </c>
      <c r="E8527" s="545">
        <v>3</v>
      </c>
      <c r="F8527" s="545">
        <v>11.380952380952381</v>
      </c>
      <c r="G8527" s="545">
        <v>8.3000000000000007</v>
      </c>
      <c r="H8527" s="545">
        <v>2.6666666666666665</v>
      </c>
      <c r="I8527" s="545">
        <v>2</v>
      </c>
      <c r="J8527" s="545">
        <v>6.5952380952380949</v>
      </c>
    </row>
    <row r="8528" spans="1:10">
      <c r="A8528" s="441">
        <v>5287</v>
      </c>
      <c r="B8528" s="441" t="s">
        <v>6784</v>
      </c>
      <c r="C8528" s="545">
        <v>78.666666666666657</v>
      </c>
      <c r="D8528" s="545">
        <v>37.333333333333336</v>
      </c>
      <c r="E8528" s="545">
        <v>40.333333333333329</v>
      </c>
      <c r="F8528" s="545">
        <v>67.285714285714263</v>
      </c>
      <c r="G8528" s="545">
        <v>42.75</v>
      </c>
      <c r="H8528" s="545">
        <v>13</v>
      </c>
      <c r="I8528" s="545">
        <v>16</v>
      </c>
      <c r="J8528" s="545">
        <v>34.678571428571431</v>
      </c>
    </row>
    <row r="8529" spans="1:10">
      <c r="A8529" s="441">
        <v>6474</v>
      </c>
      <c r="B8529" s="441" t="s">
        <v>6785</v>
      </c>
      <c r="C8529" s="545">
        <v>0.66666666666666663</v>
      </c>
      <c r="D8529" s="545">
        <v>0.33333333333333331</v>
      </c>
      <c r="E8529" s="545">
        <v>0</v>
      </c>
      <c r="F8529" s="545">
        <v>0.52380952380952384</v>
      </c>
      <c r="G8529" s="545">
        <v>0.2</v>
      </c>
      <c r="H8529" s="545">
        <v>0</v>
      </c>
      <c r="I8529" s="545">
        <v>0.66666666666666663</v>
      </c>
      <c r="J8529" s="545">
        <v>0.23809523809523808</v>
      </c>
    </row>
    <row r="8530" spans="1:10">
      <c r="A8530" s="441">
        <v>6477</v>
      </c>
      <c r="B8530" s="441" t="s">
        <v>6785</v>
      </c>
      <c r="C8530" s="545">
        <v>0.16666666666666666</v>
      </c>
      <c r="D8530" s="545">
        <v>0</v>
      </c>
      <c r="E8530" s="545">
        <v>0.33333333333333331</v>
      </c>
      <c r="F8530" s="545">
        <v>0.16666666666666666</v>
      </c>
      <c r="G8530" s="545">
        <v>0.15</v>
      </c>
      <c r="H8530" s="545">
        <v>0</v>
      </c>
      <c r="I8530" s="545">
        <v>0</v>
      </c>
      <c r="J8530" s="545">
        <v>0.10714285714285714</v>
      </c>
    </row>
    <row r="8531" spans="1:10">
      <c r="A8531" s="441">
        <v>6472</v>
      </c>
      <c r="B8531" s="441" t="s">
        <v>6786</v>
      </c>
      <c r="C8531" s="545">
        <v>1.6666666666666665</v>
      </c>
      <c r="D8531" s="545">
        <v>2</v>
      </c>
      <c r="E8531" s="545">
        <v>2</v>
      </c>
      <c r="F8531" s="545">
        <v>1.7619047619047616</v>
      </c>
      <c r="G8531" s="545">
        <v>0.65</v>
      </c>
      <c r="H8531" s="545">
        <v>0</v>
      </c>
      <c r="I8531" s="545">
        <v>0.33333333333333331</v>
      </c>
      <c r="J8531" s="545">
        <v>0.51190476190476197</v>
      </c>
    </row>
    <row r="8532" spans="1:10">
      <c r="A8532" s="441">
        <v>6479</v>
      </c>
      <c r="B8532" s="441" t="s">
        <v>6786</v>
      </c>
      <c r="C8532" s="545">
        <v>0.5</v>
      </c>
      <c r="D8532" s="545">
        <v>0</v>
      </c>
      <c r="E8532" s="545">
        <v>0.33333333333333331</v>
      </c>
      <c r="F8532" s="545">
        <v>0.40476190476190477</v>
      </c>
      <c r="G8532" s="545">
        <v>0.45</v>
      </c>
      <c r="H8532" s="545">
        <v>0.33333333333333331</v>
      </c>
      <c r="I8532" s="545">
        <v>1</v>
      </c>
      <c r="J8532" s="545">
        <v>0.51190476190476197</v>
      </c>
    </row>
    <row r="8533" spans="1:10">
      <c r="A8533" s="441">
        <v>6475</v>
      </c>
      <c r="B8533" s="441" t="s">
        <v>6787</v>
      </c>
      <c r="C8533" s="545">
        <v>2.1666666666666665</v>
      </c>
      <c r="D8533" s="545">
        <v>2.3333333333333335</v>
      </c>
      <c r="E8533" s="545">
        <v>0.33333333333333331</v>
      </c>
      <c r="F8533" s="545">
        <v>1.9285714285714286</v>
      </c>
      <c r="G8533" s="545">
        <v>1.7</v>
      </c>
      <c r="H8533" s="545">
        <v>0</v>
      </c>
      <c r="I8533" s="545">
        <v>1</v>
      </c>
      <c r="J8533" s="545">
        <v>1.3571428571428572</v>
      </c>
    </row>
    <row r="8534" spans="1:10">
      <c r="A8534" s="441">
        <v>6476</v>
      </c>
      <c r="B8534" s="441" t="s">
        <v>6787</v>
      </c>
      <c r="C8534" s="545">
        <v>2.833333333333333</v>
      </c>
      <c r="D8534" s="545">
        <v>2.333333333333333</v>
      </c>
      <c r="E8534" s="545">
        <v>1</v>
      </c>
      <c r="F8534" s="545">
        <v>2.4999999999999996</v>
      </c>
      <c r="G8534" s="545">
        <v>0.65</v>
      </c>
      <c r="H8534" s="545">
        <v>0.66666666666666663</v>
      </c>
      <c r="I8534" s="545">
        <v>0.33333333333333331</v>
      </c>
      <c r="J8534" s="545">
        <v>0.6071428571428571</v>
      </c>
    </row>
    <row r="8535" spans="1:10">
      <c r="A8535" s="441">
        <v>12392</v>
      </c>
      <c r="B8535" s="441" t="s">
        <v>6788</v>
      </c>
      <c r="C8535" s="545">
        <v>10.833333333333334</v>
      </c>
      <c r="D8535" s="545">
        <v>3.3333333333333335</v>
      </c>
      <c r="E8535" s="545">
        <v>4.666666666666667</v>
      </c>
      <c r="F8535" s="545">
        <v>8.8809523809523814</v>
      </c>
      <c r="G8535" s="545">
        <v>4.8499999999999996</v>
      </c>
      <c r="H8535" s="545">
        <v>1.6666666666666667</v>
      </c>
      <c r="I8535" s="545">
        <v>2.6666666666666665</v>
      </c>
      <c r="J8535" s="545">
        <v>4.0833333333333339</v>
      </c>
    </row>
    <row r="8536" spans="1:10">
      <c r="A8536" s="441">
        <v>13030</v>
      </c>
      <c r="B8536" s="441" t="s">
        <v>6788</v>
      </c>
      <c r="C8536" s="545">
        <v>7.166666666666667</v>
      </c>
      <c r="D8536" s="545">
        <v>2</v>
      </c>
      <c r="E8536" s="545">
        <v>2.3333333333333335</v>
      </c>
      <c r="F8536" s="545">
        <v>5.738095238095239</v>
      </c>
      <c r="G8536" s="545">
        <v>2.9</v>
      </c>
      <c r="H8536" s="545">
        <v>2.3333333333333335</v>
      </c>
      <c r="I8536" s="545">
        <v>1</v>
      </c>
      <c r="J8536" s="545">
        <v>2.5476190476190474</v>
      </c>
    </row>
    <row r="8537" spans="1:10">
      <c r="A8537" s="441">
        <v>6470</v>
      </c>
      <c r="B8537" s="441" t="s">
        <v>6789</v>
      </c>
      <c r="C8537" s="545">
        <v>0.33333333333333331</v>
      </c>
      <c r="D8537" s="545">
        <v>0.66666666666666663</v>
      </c>
      <c r="E8537" s="545">
        <v>0.66666666666666663</v>
      </c>
      <c r="F8537" s="545">
        <v>0.42857142857142849</v>
      </c>
      <c r="G8537" s="545">
        <v>0.65</v>
      </c>
      <c r="H8537" s="545">
        <v>1</v>
      </c>
      <c r="I8537" s="545">
        <v>0.66666666666666663</v>
      </c>
      <c r="J8537" s="545">
        <v>0.70238095238095244</v>
      </c>
    </row>
    <row r="8538" spans="1:10">
      <c r="A8538" s="441">
        <v>6482</v>
      </c>
      <c r="B8538" s="441" t="s">
        <v>6789</v>
      </c>
      <c r="C8538" s="545">
        <v>0</v>
      </c>
      <c r="D8538" s="545">
        <v>0</v>
      </c>
      <c r="E8538" s="545">
        <v>0</v>
      </c>
      <c r="F8538" s="545">
        <v>0</v>
      </c>
      <c r="G8538" s="545">
        <v>0.05</v>
      </c>
      <c r="H8538" s="545">
        <v>0</v>
      </c>
      <c r="I8538" s="545">
        <v>0</v>
      </c>
      <c r="J8538" s="545">
        <v>3.5714285714285712E-2</v>
      </c>
    </row>
    <row r="8539" spans="1:10">
      <c r="A8539" s="441">
        <v>6471</v>
      </c>
      <c r="B8539" s="441" t="s">
        <v>6790</v>
      </c>
      <c r="C8539" s="545">
        <v>0.5</v>
      </c>
      <c r="D8539" s="545">
        <v>0.33333333333333331</v>
      </c>
      <c r="E8539" s="545">
        <v>0</v>
      </c>
      <c r="F8539" s="545">
        <v>0.40476190476190477</v>
      </c>
      <c r="G8539" s="545">
        <v>0.05</v>
      </c>
      <c r="H8539" s="545">
        <v>0</v>
      </c>
      <c r="I8539" s="545">
        <v>0</v>
      </c>
      <c r="J8539" s="545">
        <v>3.5714285714285712E-2</v>
      </c>
    </row>
    <row r="8540" spans="1:10">
      <c r="A8540" s="441">
        <v>6481</v>
      </c>
      <c r="B8540" s="441" t="s">
        <v>6790</v>
      </c>
      <c r="C8540" s="545">
        <v>0.16666666666666666</v>
      </c>
      <c r="D8540" s="545">
        <v>0</v>
      </c>
      <c r="E8540" s="545">
        <v>0</v>
      </c>
      <c r="F8540" s="545">
        <v>0.11904761904761904</v>
      </c>
      <c r="G8540" s="545">
        <v>0.1</v>
      </c>
      <c r="H8540" s="545">
        <v>0</v>
      </c>
      <c r="I8540" s="545">
        <v>0</v>
      </c>
      <c r="J8540" s="545">
        <v>7.1428571428571425E-2</v>
      </c>
    </row>
    <row r="8541" spans="1:10">
      <c r="A8541" s="441">
        <v>6473</v>
      </c>
      <c r="B8541" s="441" t="s">
        <v>6791</v>
      </c>
      <c r="C8541" s="545">
        <v>1.1666666666666667</v>
      </c>
      <c r="D8541" s="545">
        <v>0.33333333333333331</v>
      </c>
      <c r="E8541" s="545">
        <v>0</v>
      </c>
      <c r="F8541" s="545">
        <v>0.88095238095238104</v>
      </c>
      <c r="G8541" s="545">
        <v>2.15</v>
      </c>
      <c r="H8541" s="545">
        <v>0.66666666666666663</v>
      </c>
      <c r="I8541" s="545">
        <v>0</v>
      </c>
      <c r="J8541" s="545">
        <v>1.6309523809523809</v>
      </c>
    </row>
    <row r="8542" spans="1:10">
      <c r="A8542" s="441">
        <v>6478</v>
      </c>
      <c r="B8542" s="441" t="s">
        <v>6791</v>
      </c>
      <c r="C8542" s="545">
        <v>3.1666666666666665</v>
      </c>
      <c r="D8542" s="545">
        <v>1</v>
      </c>
      <c r="E8542" s="545">
        <v>1</v>
      </c>
      <c r="F8542" s="545">
        <v>2.5476190476190474</v>
      </c>
      <c r="G8542" s="545">
        <v>2.6</v>
      </c>
      <c r="H8542" s="545">
        <v>0.66666666666666663</v>
      </c>
      <c r="I8542" s="545">
        <v>0.33333333333333331</v>
      </c>
      <c r="J8542" s="545">
        <v>2</v>
      </c>
    </row>
    <row r="8543" spans="1:10">
      <c r="A8543" s="441">
        <v>12387</v>
      </c>
      <c r="B8543" s="441" t="s">
        <v>6792</v>
      </c>
      <c r="C8543" s="545">
        <v>1.6666666666666667</v>
      </c>
      <c r="D8543" s="545">
        <v>0.66666666666666663</v>
      </c>
      <c r="E8543" s="545">
        <v>2</v>
      </c>
      <c r="F8543" s="545">
        <v>1.5714285714285714</v>
      </c>
      <c r="G8543" s="545">
        <v>1.05</v>
      </c>
      <c r="H8543" s="545">
        <v>0</v>
      </c>
      <c r="I8543" s="545">
        <v>0</v>
      </c>
      <c r="J8543" s="545">
        <v>0.75</v>
      </c>
    </row>
    <row r="8544" spans="1:10">
      <c r="A8544" s="441">
        <v>12388</v>
      </c>
      <c r="B8544" s="441" t="s">
        <v>6792</v>
      </c>
      <c r="C8544" s="545">
        <v>3.833333333333333</v>
      </c>
      <c r="D8544" s="545">
        <v>1</v>
      </c>
      <c r="E8544" s="545">
        <v>1</v>
      </c>
      <c r="F8544" s="545">
        <v>3.0238095238095233</v>
      </c>
      <c r="G8544" s="545">
        <v>1.4</v>
      </c>
      <c r="H8544" s="545">
        <v>1.6666666666666667</v>
      </c>
      <c r="I8544" s="545">
        <v>1.3333333333333333</v>
      </c>
      <c r="J8544" s="545">
        <v>1.4285714285714286</v>
      </c>
    </row>
    <row r="8545" spans="1:10">
      <c r="A8545" s="441">
        <v>6480</v>
      </c>
      <c r="B8545" s="441" t="s">
        <v>6793</v>
      </c>
      <c r="C8545" s="545">
        <v>5.8333333333333339</v>
      </c>
      <c r="D8545" s="545">
        <v>4.333333333333333</v>
      </c>
      <c r="E8545" s="545">
        <v>2</v>
      </c>
      <c r="F8545" s="545">
        <v>5.0714285714285721</v>
      </c>
      <c r="G8545" s="545">
        <v>3.35</v>
      </c>
      <c r="H8545" s="545">
        <v>1</v>
      </c>
      <c r="I8545" s="545">
        <v>0.66666666666666663</v>
      </c>
      <c r="J8545" s="545">
        <v>2.6309523809523809</v>
      </c>
    </row>
    <row r="8546" spans="1:10">
      <c r="A8546" s="441">
        <v>12936</v>
      </c>
      <c r="B8546" s="441" t="s">
        <v>6793</v>
      </c>
      <c r="C8546" s="545">
        <v>4.5</v>
      </c>
      <c r="D8546" s="545">
        <v>2.6666666666666665</v>
      </c>
      <c r="E8546" s="545">
        <v>2.333333333333333</v>
      </c>
      <c r="F8546" s="545">
        <v>3.9285714285714284</v>
      </c>
      <c r="G8546" s="545">
        <v>2.95</v>
      </c>
      <c r="H8546" s="545">
        <v>2.3333333333333335</v>
      </c>
      <c r="I8546" s="545">
        <v>0.66666666666666663</v>
      </c>
      <c r="J8546" s="545">
        <v>2.5357142857142856</v>
      </c>
    </row>
    <row r="8547" spans="1:10">
      <c r="A8547" s="441">
        <v>6483</v>
      </c>
      <c r="B8547" s="441" t="s">
        <v>6794</v>
      </c>
      <c r="C8547" s="545">
        <v>0.33333333333333331</v>
      </c>
      <c r="D8547" s="545">
        <v>0</v>
      </c>
      <c r="E8547" s="545">
        <v>0</v>
      </c>
      <c r="F8547" s="545">
        <v>0.23809523809523808</v>
      </c>
      <c r="G8547" s="545">
        <v>0.15</v>
      </c>
      <c r="H8547" s="545">
        <v>0</v>
      </c>
      <c r="I8547" s="545">
        <v>0</v>
      </c>
      <c r="J8547" s="545">
        <v>0.10714285714285714</v>
      </c>
    </row>
    <row r="8548" spans="1:10">
      <c r="A8548" s="441">
        <v>12384</v>
      </c>
      <c r="B8548" s="441" t="s">
        <v>6795</v>
      </c>
      <c r="C8548" s="545">
        <v>4.166666666666667</v>
      </c>
      <c r="D8548" s="545">
        <v>2.3333333333333335</v>
      </c>
      <c r="E8548" s="545">
        <v>1.3333333333333333</v>
      </c>
      <c r="F8548" s="545">
        <v>3.5</v>
      </c>
      <c r="G8548" s="545">
        <v>1.1000000000000001</v>
      </c>
      <c r="H8548" s="545">
        <v>2.6666666666666665</v>
      </c>
      <c r="I8548" s="545">
        <v>0.33333333333333331</v>
      </c>
      <c r="J8548" s="545">
        <v>1.2142857142857142</v>
      </c>
    </row>
    <row r="8549" spans="1:10">
      <c r="A8549" s="441">
        <v>12385</v>
      </c>
      <c r="B8549" s="441" t="s">
        <v>6795</v>
      </c>
      <c r="C8549" s="545">
        <v>2</v>
      </c>
      <c r="D8549" s="545">
        <v>1</v>
      </c>
      <c r="E8549" s="545">
        <v>1</v>
      </c>
      <c r="F8549" s="545">
        <v>1.7142857142857142</v>
      </c>
      <c r="G8549" s="545">
        <v>1.35</v>
      </c>
      <c r="H8549" s="545">
        <v>2</v>
      </c>
      <c r="I8549" s="545">
        <v>1.3333333333333333</v>
      </c>
      <c r="J8549" s="545">
        <v>1.4404761904761905</v>
      </c>
    </row>
    <row r="8550" spans="1:10">
      <c r="A8550" s="441">
        <v>8961</v>
      </c>
      <c r="B8550" s="441" t="s">
        <v>6796</v>
      </c>
      <c r="C8550" s="545">
        <v>16.166666666666668</v>
      </c>
      <c r="D8550" s="545">
        <v>6.666666666666667</v>
      </c>
      <c r="E8550" s="545">
        <v>7</v>
      </c>
      <c r="F8550" s="545">
        <v>13.500000000000002</v>
      </c>
      <c r="G8550" s="545">
        <v>6.9</v>
      </c>
      <c r="H8550" s="545">
        <v>4.666666666666667</v>
      </c>
      <c r="I8550" s="545">
        <v>7.666666666666667</v>
      </c>
      <c r="J8550" s="545">
        <v>6.6904761904761898</v>
      </c>
    </row>
    <row r="8551" spans="1:10">
      <c r="A8551" s="441">
        <v>8962</v>
      </c>
      <c r="B8551" s="441" t="s">
        <v>6797</v>
      </c>
      <c r="C8551" s="545">
        <v>11</v>
      </c>
      <c r="D8551" s="545">
        <v>5.333333333333333</v>
      </c>
      <c r="E8551" s="545">
        <v>3.666666666666667</v>
      </c>
      <c r="F8551" s="545">
        <v>9.1428571428571423</v>
      </c>
      <c r="G8551" s="545">
        <v>14</v>
      </c>
      <c r="H8551" s="545">
        <v>3.3333333333333335</v>
      </c>
      <c r="I8551" s="545">
        <v>4.666666666666667</v>
      </c>
      <c r="J8551" s="545">
        <v>11.142857142857142</v>
      </c>
    </row>
    <row r="8552" spans="1:10">
      <c r="A8552" s="441">
        <v>8742</v>
      </c>
      <c r="B8552" s="441" t="s">
        <v>6798</v>
      </c>
      <c r="C8552" s="545">
        <v>24.333333333333336</v>
      </c>
      <c r="D8552" s="545">
        <v>9.3333333333333339</v>
      </c>
      <c r="E8552" s="545">
        <v>6.3333333333333339</v>
      </c>
      <c r="F8552" s="545">
        <v>19.619047619047624</v>
      </c>
      <c r="G8552" s="545">
        <v>12</v>
      </c>
      <c r="H8552" s="545">
        <v>3.6666666666666665</v>
      </c>
      <c r="I8552" s="545">
        <v>3.6666666666666665</v>
      </c>
      <c r="J8552" s="545">
        <v>9.6190476190476186</v>
      </c>
    </row>
    <row r="8553" spans="1:10">
      <c r="A8553" s="441">
        <v>8964</v>
      </c>
      <c r="B8553" s="441" t="s">
        <v>6799</v>
      </c>
      <c r="C8553" s="545">
        <v>18.833333333333336</v>
      </c>
      <c r="D8553" s="545">
        <v>8</v>
      </c>
      <c r="E8553" s="545">
        <v>9.3333333333333321</v>
      </c>
      <c r="F8553" s="545">
        <v>15.928571428571431</v>
      </c>
      <c r="G8553" s="545">
        <v>7.55</v>
      </c>
      <c r="H8553" s="545">
        <v>3.3333333333333335</v>
      </c>
      <c r="I8553" s="545">
        <v>5.333333333333333</v>
      </c>
      <c r="J8553" s="545">
        <v>6.6309523809523814</v>
      </c>
    </row>
    <row r="8554" spans="1:10">
      <c r="A8554" s="441">
        <v>8743</v>
      </c>
      <c r="B8554" s="441" t="s">
        <v>6800</v>
      </c>
      <c r="C8554" s="545">
        <v>52.833333333333329</v>
      </c>
      <c r="D8554" s="545">
        <v>25.333333333333336</v>
      </c>
      <c r="E8554" s="545">
        <v>23.333333333333332</v>
      </c>
      <c r="F8554" s="545">
        <v>44.690476190476183</v>
      </c>
      <c r="G8554" s="545">
        <v>32.85</v>
      </c>
      <c r="H8554" s="545">
        <v>15.666666666666666</v>
      </c>
      <c r="I8554" s="545">
        <v>13</v>
      </c>
      <c r="J8554" s="545">
        <v>27.559523809523807</v>
      </c>
    </row>
    <row r="8555" spans="1:10">
      <c r="A8555" s="441">
        <v>8744</v>
      </c>
      <c r="B8555" s="441" t="s">
        <v>6800</v>
      </c>
      <c r="C8555" s="545">
        <v>8</v>
      </c>
      <c r="D8555" s="545">
        <v>4</v>
      </c>
      <c r="E8555" s="545">
        <v>5.6666666666666661</v>
      </c>
      <c r="F8555" s="545">
        <v>7.0952380952380949</v>
      </c>
      <c r="G8555" s="545">
        <v>9.85</v>
      </c>
      <c r="H8555" s="545">
        <v>5</v>
      </c>
      <c r="I8555" s="545">
        <v>5.666666666666667</v>
      </c>
      <c r="J8555" s="545">
        <v>8.5595238095238084</v>
      </c>
    </row>
    <row r="8556" spans="1:10">
      <c r="A8556" s="441">
        <v>8963</v>
      </c>
      <c r="B8556" s="441" t="s">
        <v>6800</v>
      </c>
      <c r="C8556" s="545">
        <v>44.5</v>
      </c>
      <c r="D8556" s="545">
        <v>20</v>
      </c>
      <c r="E8556" s="545">
        <v>12.666666666666666</v>
      </c>
      <c r="F8556" s="545">
        <v>36.452380952380949</v>
      </c>
      <c r="G8556" s="545">
        <v>34.299999999999997</v>
      </c>
      <c r="H8556" s="545">
        <v>20.333333333333332</v>
      </c>
      <c r="I8556" s="545">
        <v>13.666666666666666</v>
      </c>
      <c r="J8556" s="545">
        <v>29.357142857142858</v>
      </c>
    </row>
    <row r="8557" spans="1:10">
      <c r="A8557" s="441">
        <v>8745</v>
      </c>
      <c r="B8557" s="441" t="s">
        <v>6801</v>
      </c>
      <c r="C8557" s="545">
        <v>25.333333333333336</v>
      </c>
      <c r="D8557" s="545">
        <v>9.6666666666666679</v>
      </c>
      <c r="E8557" s="545">
        <v>6.3333333333333339</v>
      </c>
      <c r="F8557" s="545">
        <v>20.380952380952383</v>
      </c>
      <c r="G8557" s="545">
        <v>10.4</v>
      </c>
      <c r="H8557" s="545">
        <v>9.6666666666666661</v>
      </c>
      <c r="I8557" s="545">
        <v>14.333333333333334</v>
      </c>
      <c r="J8557" s="545">
        <v>10.857142857142858</v>
      </c>
    </row>
    <row r="8558" spans="1:10">
      <c r="A8558" s="441">
        <v>8</v>
      </c>
      <c r="B8558" s="441" t="s">
        <v>6802</v>
      </c>
      <c r="C8558" s="545">
        <v>2</v>
      </c>
      <c r="D8558" s="545">
        <v>2.333333333333333</v>
      </c>
      <c r="E8558" s="545">
        <v>0.33333333333333331</v>
      </c>
      <c r="F8558" s="545">
        <v>1.8095238095238095</v>
      </c>
      <c r="G8558" s="545">
        <v>0.45</v>
      </c>
      <c r="H8558" s="545">
        <v>0</v>
      </c>
      <c r="I8558" s="545">
        <v>0.66666666666666663</v>
      </c>
      <c r="J8558" s="545">
        <v>0.41666666666666663</v>
      </c>
    </row>
    <row r="8559" spans="1:10">
      <c r="A8559" s="441">
        <v>11573</v>
      </c>
      <c r="B8559" s="441" t="s">
        <v>6803</v>
      </c>
      <c r="C8559" s="545">
        <v>3.166666666666667</v>
      </c>
      <c r="D8559" s="545">
        <v>1</v>
      </c>
      <c r="E8559" s="545">
        <v>2</v>
      </c>
      <c r="F8559" s="545">
        <v>2.6904761904761907</v>
      </c>
      <c r="G8559" s="545">
        <v>1.1499999999999999</v>
      </c>
      <c r="H8559" s="545">
        <v>0.33333333333333331</v>
      </c>
      <c r="I8559" s="545">
        <v>0.66666666666666663</v>
      </c>
      <c r="J8559" s="545">
        <v>0.9642857142857143</v>
      </c>
    </row>
    <row r="8560" spans="1:10">
      <c r="A8560" s="441">
        <v>519</v>
      </c>
      <c r="B8560" s="441" t="s">
        <v>6804</v>
      </c>
      <c r="C8560" s="545">
        <v>2.5</v>
      </c>
      <c r="D8560" s="545">
        <v>0</v>
      </c>
      <c r="E8560" s="545">
        <v>1</v>
      </c>
      <c r="F8560" s="545">
        <v>1.9285714285714286</v>
      </c>
      <c r="G8560" s="545">
        <v>2.5333333333333332</v>
      </c>
      <c r="H8560" s="545">
        <v>0</v>
      </c>
      <c r="I8560" s="545">
        <v>0</v>
      </c>
      <c r="J8560" s="545">
        <v>1.8095238095238095</v>
      </c>
    </row>
    <row r="8561" spans="1:10">
      <c r="A8561" s="441">
        <v>8153</v>
      </c>
      <c r="B8561" s="441" t="s">
        <v>6804</v>
      </c>
      <c r="C8561" s="545">
        <v>10.666666666666666</v>
      </c>
      <c r="D8561" s="545">
        <v>4.3333333333333339</v>
      </c>
      <c r="E8561" s="545">
        <v>4.666666666666667</v>
      </c>
      <c r="F8561" s="545">
        <v>8.9047619047619033</v>
      </c>
      <c r="G8561" s="545">
        <v>10.133333333333333</v>
      </c>
      <c r="H8561" s="545">
        <v>4.666666666666667</v>
      </c>
      <c r="I8561" s="545">
        <v>4.666666666666667</v>
      </c>
      <c r="J8561" s="545">
        <v>8.5714285714285712</v>
      </c>
    </row>
    <row r="8562" spans="1:10">
      <c r="A8562" s="441">
        <v>7977</v>
      </c>
      <c r="B8562" s="441" t="s">
        <v>6805</v>
      </c>
      <c r="C8562" s="545">
        <v>12.833333333333332</v>
      </c>
      <c r="D8562" s="545">
        <v>11.333333333333332</v>
      </c>
      <c r="E8562" s="545">
        <v>8</v>
      </c>
      <c r="F8562" s="545">
        <v>11.928571428571427</v>
      </c>
      <c r="G8562" s="545">
        <v>13.05</v>
      </c>
      <c r="H8562" s="545">
        <v>9</v>
      </c>
      <c r="I8562" s="545">
        <v>6.666666666666667</v>
      </c>
      <c r="J8562" s="545">
        <v>11.55952380952381</v>
      </c>
    </row>
    <row r="8563" spans="1:10">
      <c r="A8563" s="441">
        <v>8119</v>
      </c>
      <c r="B8563" s="441" t="s">
        <v>6805</v>
      </c>
      <c r="C8563" s="545">
        <v>9.6666666666666661</v>
      </c>
      <c r="D8563" s="545">
        <v>12.333333333333332</v>
      </c>
      <c r="E8563" s="545">
        <v>9</v>
      </c>
      <c r="F8563" s="545">
        <v>9.9523809523809508</v>
      </c>
      <c r="G8563" s="545">
        <v>16</v>
      </c>
      <c r="H8563" s="545">
        <v>11.333333333333334</v>
      </c>
      <c r="I8563" s="545">
        <v>6</v>
      </c>
      <c r="J8563" s="545">
        <v>13.904761904761903</v>
      </c>
    </row>
    <row r="8564" spans="1:10">
      <c r="A8564" s="441">
        <v>7984</v>
      </c>
      <c r="B8564" s="441" t="s">
        <v>6806</v>
      </c>
      <c r="C8564" s="545">
        <v>204.16666666666669</v>
      </c>
      <c r="D8564" s="545">
        <v>140</v>
      </c>
      <c r="E8564" s="545">
        <v>112.66666666666666</v>
      </c>
      <c r="F8564" s="545">
        <v>181.92857142857147</v>
      </c>
      <c r="G8564" s="545">
        <v>153</v>
      </c>
      <c r="H8564" s="545">
        <v>114.66666666666667</v>
      </c>
      <c r="I8564" s="545">
        <v>101.66666666666667</v>
      </c>
      <c r="J8564" s="545">
        <v>140.19047619047618</v>
      </c>
    </row>
    <row r="8565" spans="1:10">
      <c r="A8565" s="441">
        <v>8112</v>
      </c>
      <c r="B8565" s="441" t="s">
        <v>6806</v>
      </c>
      <c r="C8565" s="545">
        <v>194.33333333333331</v>
      </c>
      <c r="D8565" s="545">
        <v>161</v>
      </c>
      <c r="E8565" s="545">
        <v>129</v>
      </c>
      <c r="F8565" s="545">
        <v>180.23809523809521</v>
      </c>
      <c r="G8565" s="545">
        <v>162.19999999999999</v>
      </c>
      <c r="H8565" s="545">
        <v>160.66666666666666</v>
      </c>
      <c r="I8565" s="545">
        <v>149.33333333333334</v>
      </c>
      <c r="J8565" s="545">
        <v>160.14285714285714</v>
      </c>
    </row>
    <row r="8566" spans="1:10">
      <c r="A8566" s="441">
        <v>7978</v>
      </c>
      <c r="B8566" s="441" t="s">
        <v>6807</v>
      </c>
      <c r="C8566" s="545">
        <v>156.16666666666669</v>
      </c>
      <c r="D8566" s="545">
        <v>110</v>
      </c>
      <c r="E8566" s="545">
        <v>77.666666666666657</v>
      </c>
      <c r="F8566" s="545">
        <v>138.35714285714286</v>
      </c>
      <c r="G8566" s="545">
        <v>117</v>
      </c>
      <c r="H8566" s="545">
        <v>92</v>
      </c>
      <c r="I8566" s="545">
        <v>75</v>
      </c>
      <c r="J8566" s="545">
        <v>107.42857142857143</v>
      </c>
    </row>
    <row r="8567" spans="1:10">
      <c r="A8567" s="441">
        <v>8118</v>
      </c>
      <c r="B8567" s="441" t="s">
        <v>6807</v>
      </c>
      <c r="C8567" s="545">
        <v>155.83333333333331</v>
      </c>
      <c r="D8567" s="545">
        <v>104.33333333333334</v>
      </c>
      <c r="E8567" s="545">
        <v>85</v>
      </c>
      <c r="F8567" s="545">
        <v>138.35714285714283</v>
      </c>
      <c r="G8567" s="545">
        <v>117.55</v>
      </c>
      <c r="H8567" s="545">
        <v>88.333333333333329</v>
      </c>
      <c r="I8567" s="545">
        <v>67.333333333333329</v>
      </c>
      <c r="J8567" s="545">
        <v>106.20238095238096</v>
      </c>
    </row>
    <row r="8568" spans="1:10">
      <c r="A8568" s="441">
        <v>7986</v>
      </c>
      <c r="B8568" s="441" t="s">
        <v>6808</v>
      </c>
      <c r="C8568" s="545">
        <v>8</v>
      </c>
      <c r="D8568" s="545">
        <v>6</v>
      </c>
      <c r="E8568" s="545">
        <v>4</v>
      </c>
      <c r="F8568" s="545">
        <v>7.1428571428571432</v>
      </c>
      <c r="G8568" s="545">
        <v>9.15</v>
      </c>
      <c r="H8568" s="545">
        <v>5.333333333333333</v>
      </c>
      <c r="I8568" s="545">
        <v>4</v>
      </c>
      <c r="J8568" s="545">
        <v>7.8690476190476195</v>
      </c>
    </row>
    <row r="8569" spans="1:10">
      <c r="A8569" s="441">
        <v>8110</v>
      </c>
      <c r="B8569" s="441" t="s">
        <v>6808</v>
      </c>
      <c r="C8569" s="545">
        <v>13</v>
      </c>
      <c r="D8569" s="545">
        <v>9.3333333333333321</v>
      </c>
      <c r="E8569" s="545">
        <v>6</v>
      </c>
      <c r="F8569" s="545">
        <v>11.476190476190476</v>
      </c>
      <c r="G8569" s="545">
        <v>10.55</v>
      </c>
      <c r="H8569" s="545">
        <v>6.333333333333333</v>
      </c>
      <c r="I8569" s="545">
        <v>3.6666666666666665</v>
      </c>
      <c r="J8569" s="545">
        <v>8.9642857142857135</v>
      </c>
    </row>
    <row r="8570" spans="1:10">
      <c r="A8570" s="441">
        <v>7989</v>
      </c>
      <c r="B8570" s="441" t="s">
        <v>6809</v>
      </c>
      <c r="C8570" s="545">
        <v>165.16666666666666</v>
      </c>
      <c r="D8570" s="545">
        <v>122</v>
      </c>
      <c r="E8570" s="545">
        <v>91.666666666666671</v>
      </c>
      <c r="F8570" s="545">
        <v>148.5</v>
      </c>
      <c r="G8570" s="545">
        <v>106.7</v>
      </c>
      <c r="H8570" s="545">
        <v>77</v>
      </c>
      <c r="I8570" s="545">
        <v>53</v>
      </c>
      <c r="J8570" s="545">
        <v>94.785714285714292</v>
      </c>
    </row>
    <row r="8571" spans="1:10">
      <c r="A8571" s="441">
        <v>8107</v>
      </c>
      <c r="B8571" s="441" t="s">
        <v>6809</v>
      </c>
      <c r="C8571" s="545">
        <v>158.5</v>
      </c>
      <c r="D8571" s="545">
        <v>103.33333333333333</v>
      </c>
      <c r="E8571" s="545">
        <v>78.666666666666671</v>
      </c>
      <c r="F8571" s="545">
        <v>139.21428571428572</v>
      </c>
      <c r="G8571" s="545">
        <v>90.5</v>
      </c>
      <c r="H8571" s="545">
        <v>56</v>
      </c>
      <c r="I8571" s="545">
        <v>44.333333333333336</v>
      </c>
      <c r="J8571" s="545">
        <v>78.976190476190482</v>
      </c>
    </row>
    <row r="8572" spans="1:10">
      <c r="A8572" s="441">
        <v>7988</v>
      </c>
      <c r="B8572" s="441" t="s">
        <v>6810</v>
      </c>
      <c r="C8572" s="545">
        <v>8</v>
      </c>
      <c r="D8572" s="545">
        <v>4.666666666666667</v>
      </c>
      <c r="E8572" s="545">
        <v>6</v>
      </c>
      <c r="F8572" s="545">
        <v>7.2380952380952381</v>
      </c>
      <c r="G8572" s="545">
        <v>6.95</v>
      </c>
      <c r="H8572" s="545">
        <v>4.666666666666667</v>
      </c>
      <c r="I8572" s="545">
        <v>5</v>
      </c>
      <c r="J8572" s="545">
        <v>6.3452380952380949</v>
      </c>
    </row>
    <row r="8573" spans="1:10">
      <c r="A8573" s="441">
        <v>8108</v>
      </c>
      <c r="B8573" s="441" t="s">
        <v>6810</v>
      </c>
      <c r="C8573" s="545">
        <v>27.5</v>
      </c>
      <c r="D8573" s="545">
        <v>12.666666666666666</v>
      </c>
      <c r="E8573" s="545">
        <v>11.666666666666668</v>
      </c>
      <c r="F8573" s="545">
        <v>23.119047619047617</v>
      </c>
      <c r="G8573" s="545">
        <v>19.95</v>
      </c>
      <c r="H8573" s="545">
        <v>11</v>
      </c>
      <c r="I8573" s="545">
        <v>9.6666666666666661</v>
      </c>
      <c r="J8573" s="545">
        <v>17.202380952380953</v>
      </c>
    </row>
    <row r="8574" spans="1:10">
      <c r="A8574" s="441">
        <v>518</v>
      </c>
      <c r="B8574" s="441" t="s">
        <v>6811</v>
      </c>
      <c r="C8574" s="545">
        <v>135.5</v>
      </c>
      <c r="D8574" s="545">
        <v>96</v>
      </c>
      <c r="E8574" s="545">
        <v>79</v>
      </c>
      <c r="F8574" s="545">
        <v>121.78571428571429</v>
      </c>
      <c r="G8574" s="545">
        <v>101.5</v>
      </c>
      <c r="H8574" s="545">
        <v>81.333333333333329</v>
      </c>
      <c r="I8574" s="545">
        <v>58.333333333333336</v>
      </c>
      <c r="J8574" s="545">
        <v>92.452380952380963</v>
      </c>
    </row>
    <row r="8575" spans="1:10">
      <c r="A8575" s="441">
        <v>8145</v>
      </c>
      <c r="B8575" s="441" t="s">
        <v>6811</v>
      </c>
      <c r="C8575" s="545">
        <v>48.666666666666671</v>
      </c>
      <c r="D8575" s="545">
        <v>29</v>
      </c>
      <c r="E8575" s="545">
        <v>25</v>
      </c>
      <c r="F8575" s="545">
        <v>42.476190476190482</v>
      </c>
      <c r="G8575" s="545">
        <v>51.55</v>
      </c>
      <c r="H8575" s="545">
        <v>37.333333333333336</v>
      </c>
      <c r="I8575" s="545">
        <v>36</v>
      </c>
      <c r="J8575" s="545">
        <v>47.297619047619044</v>
      </c>
    </row>
    <row r="8576" spans="1:10">
      <c r="A8576" s="441">
        <v>8146</v>
      </c>
      <c r="B8576" s="441" t="s">
        <v>6811</v>
      </c>
      <c r="C8576" s="545">
        <v>13.666666666666668</v>
      </c>
      <c r="D8576" s="545">
        <v>8.6666666666666661</v>
      </c>
      <c r="E8576" s="545">
        <v>6</v>
      </c>
      <c r="F8576" s="545">
        <v>11.857142857142859</v>
      </c>
      <c r="G8576" s="545">
        <v>12.1</v>
      </c>
      <c r="H8576" s="545">
        <v>5</v>
      </c>
      <c r="I8576" s="545">
        <v>4.666666666666667</v>
      </c>
      <c r="J8576" s="545">
        <v>10.023809523809524</v>
      </c>
    </row>
    <row r="8577" spans="1:10">
      <c r="A8577" s="441">
        <v>8160</v>
      </c>
      <c r="B8577" s="441" t="s">
        <v>6811</v>
      </c>
      <c r="C8577" s="545">
        <v>143.33333333333334</v>
      </c>
      <c r="D8577" s="545">
        <v>83.333333333333329</v>
      </c>
      <c r="E8577" s="545">
        <v>79.666666666666671</v>
      </c>
      <c r="F8577" s="545">
        <v>125.66666666666667</v>
      </c>
      <c r="G8577" s="545">
        <v>102.65</v>
      </c>
      <c r="H8577" s="545">
        <v>70.333333333333329</v>
      </c>
      <c r="I8577" s="545">
        <v>61.333333333333336</v>
      </c>
      <c r="J8577" s="545">
        <v>92.130952380952394</v>
      </c>
    </row>
    <row r="8578" spans="1:10">
      <c r="A8578" s="441">
        <v>7980</v>
      </c>
      <c r="B8578" s="441" t="s">
        <v>6812</v>
      </c>
      <c r="C8578" s="545">
        <v>8.1666666666666679</v>
      </c>
      <c r="D8578" s="545">
        <v>3.666666666666667</v>
      </c>
      <c r="E8578" s="545">
        <v>1</v>
      </c>
      <c r="F8578" s="545">
        <v>6.5000000000000009</v>
      </c>
      <c r="G8578" s="545">
        <v>8.1</v>
      </c>
      <c r="H8578" s="545">
        <v>2.3333333333333335</v>
      </c>
      <c r="I8578" s="545">
        <v>2.6666666666666665</v>
      </c>
      <c r="J8578" s="545">
        <v>6.5</v>
      </c>
    </row>
    <row r="8579" spans="1:10">
      <c r="A8579" s="441">
        <v>8115</v>
      </c>
      <c r="B8579" s="441" t="s">
        <v>6812</v>
      </c>
      <c r="C8579" s="545">
        <v>8</v>
      </c>
      <c r="D8579" s="545">
        <v>3.3333333333333335</v>
      </c>
      <c r="E8579" s="545">
        <v>5.3333333333333339</v>
      </c>
      <c r="F8579" s="545">
        <v>6.9523809523809534</v>
      </c>
      <c r="G8579" s="545">
        <v>8.6</v>
      </c>
      <c r="H8579" s="545">
        <v>4.666666666666667</v>
      </c>
      <c r="I8579" s="545">
        <v>2</v>
      </c>
      <c r="J8579" s="545">
        <v>7.0952380952380949</v>
      </c>
    </row>
    <row r="8580" spans="1:10">
      <c r="A8580" s="441">
        <v>513</v>
      </c>
      <c r="B8580" s="441" t="s">
        <v>6813</v>
      </c>
      <c r="C8580" s="545">
        <v>4.833333333333333</v>
      </c>
      <c r="D8580" s="545">
        <v>4</v>
      </c>
      <c r="E8580" s="545">
        <v>4</v>
      </c>
      <c r="F8580" s="545">
        <v>4.5952380952380949</v>
      </c>
      <c r="G8580" s="545">
        <v>7.75</v>
      </c>
      <c r="H8580" s="545">
        <v>9.3333333333333339</v>
      </c>
      <c r="I8580" s="545">
        <v>3.6666666666666665</v>
      </c>
      <c r="J8580" s="545">
        <v>7.3928571428571432</v>
      </c>
    </row>
    <row r="8581" spans="1:10">
      <c r="A8581" s="441">
        <v>7982</v>
      </c>
      <c r="B8581" s="441" t="s">
        <v>6813</v>
      </c>
      <c r="C8581" s="545">
        <v>3.833333333333333</v>
      </c>
      <c r="D8581" s="545">
        <v>3.3333333333333335</v>
      </c>
      <c r="E8581" s="545">
        <v>2.666666666666667</v>
      </c>
      <c r="F8581" s="545">
        <v>3.5952380952380949</v>
      </c>
      <c r="G8581" s="545">
        <v>5.4</v>
      </c>
      <c r="H8581" s="545">
        <v>2.3333333333333335</v>
      </c>
      <c r="I8581" s="545">
        <v>2.3333333333333335</v>
      </c>
      <c r="J8581" s="545">
        <v>4.5238095238095237</v>
      </c>
    </row>
    <row r="8582" spans="1:10">
      <c r="A8582" s="441">
        <v>7981</v>
      </c>
      <c r="B8582" s="441" t="s">
        <v>6814</v>
      </c>
      <c r="C8582" s="545">
        <v>6</v>
      </c>
      <c r="D8582" s="545">
        <v>5.6666666666666661</v>
      </c>
      <c r="E8582" s="545">
        <v>5.666666666666667</v>
      </c>
      <c r="F8582" s="545">
        <v>5.9047619047619042</v>
      </c>
      <c r="G8582" s="545">
        <v>4.9000000000000004</v>
      </c>
      <c r="H8582" s="545">
        <v>4.666666666666667</v>
      </c>
      <c r="I8582" s="545">
        <v>2.3333333333333335</v>
      </c>
      <c r="J8582" s="545">
        <v>4.5</v>
      </c>
    </row>
    <row r="8583" spans="1:10">
      <c r="A8583" s="441">
        <v>8114</v>
      </c>
      <c r="B8583" s="441" t="s">
        <v>6814</v>
      </c>
      <c r="C8583" s="545">
        <v>6.333333333333333</v>
      </c>
      <c r="D8583" s="545">
        <v>3</v>
      </c>
      <c r="E8583" s="545">
        <v>4.666666666666667</v>
      </c>
      <c r="F8583" s="545">
        <v>5.6190476190476186</v>
      </c>
      <c r="G8583" s="545">
        <v>5.5</v>
      </c>
      <c r="H8583" s="545">
        <v>6.333333333333333</v>
      </c>
      <c r="I8583" s="545">
        <v>2.6666666666666665</v>
      </c>
      <c r="J8583" s="545">
        <v>5.2142857142857144</v>
      </c>
    </row>
    <row r="8584" spans="1:10">
      <c r="A8584" s="441">
        <v>8163</v>
      </c>
      <c r="B8584" s="441" t="s">
        <v>6815</v>
      </c>
      <c r="C8584" s="545">
        <v>12.333333333333334</v>
      </c>
      <c r="D8584" s="545">
        <v>8.6666666666666661</v>
      </c>
      <c r="E8584" s="545">
        <v>5</v>
      </c>
      <c r="F8584" s="545">
        <v>10.761904761904763</v>
      </c>
      <c r="G8584" s="545">
        <v>10.15</v>
      </c>
      <c r="H8584" s="545">
        <v>9.3333333333333339</v>
      </c>
      <c r="I8584" s="545">
        <v>8.3333333333333339</v>
      </c>
      <c r="J8584" s="545">
        <v>9.7738095238095237</v>
      </c>
    </row>
    <row r="8585" spans="1:10">
      <c r="A8585" s="441">
        <v>9066</v>
      </c>
      <c r="B8585" s="441" t="s">
        <v>6815</v>
      </c>
      <c r="C8585" s="545">
        <v>5.333333333333333</v>
      </c>
      <c r="D8585" s="545">
        <v>4.6666666666666661</v>
      </c>
      <c r="E8585" s="545">
        <v>5.3333333333333339</v>
      </c>
      <c r="F8585" s="545">
        <v>5.2380952380952381</v>
      </c>
      <c r="G8585" s="545">
        <v>7.85</v>
      </c>
      <c r="H8585" s="545">
        <v>7.333333333333333</v>
      </c>
      <c r="I8585" s="545">
        <v>5</v>
      </c>
      <c r="J8585" s="545">
        <v>7.3690476190476195</v>
      </c>
    </row>
    <row r="8586" spans="1:10">
      <c r="A8586" s="441">
        <v>7993</v>
      </c>
      <c r="B8586" s="441" t="s">
        <v>6816</v>
      </c>
      <c r="C8586" s="545">
        <v>13.666666666666668</v>
      </c>
      <c r="D8586" s="545">
        <v>8.3333333333333321</v>
      </c>
      <c r="E8586" s="545">
        <v>4.333333333333333</v>
      </c>
      <c r="F8586" s="545">
        <v>11.571428571428571</v>
      </c>
      <c r="G8586" s="545">
        <v>13.4</v>
      </c>
      <c r="H8586" s="545">
        <v>8.6666666666666661</v>
      </c>
      <c r="I8586" s="545">
        <v>5.666666666666667</v>
      </c>
      <c r="J8586" s="545">
        <v>11.61904761904762</v>
      </c>
    </row>
    <row r="8587" spans="1:10">
      <c r="A8587" s="441">
        <v>8105</v>
      </c>
      <c r="B8587" s="441" t="s">
        <v>6816</v>
      </c>
      <c r="C8587" s="545">
        <v>4.8333333333333339</v>
      </c>
      <c r="D8587" s="545">
        <v>2</v>
      </c>
      <c r="E8587" s="545">
        <v>2.3333333333333335</v>
      </c>
      <c r="F8587" s="545">
        <v>4.0714285714285721</v>
      </c>
      <c r="G8587" s="545">
        <v>5.7</v>
      </c>
      <c r="H8587" s="545">
        <v>1.6666666666666667</v>
      </c>
      <c r="I8587" s="545">
        <v>0.33333333333333331</v>
      </c>
      <c r="J8587" s="545">
        <v>4.3571428571428568</v>
      </c>
    </row>
    <row r="8588" spans="1:10">
      <c r="A8588" s="441">
        <v>517</v>
      </c>
      <c r="B8588" s="441" t="s">
        <v>6817</v>
      </c>
      <c r="C8588" s="545">
        <v>5.5</v>
      </c>
      <c r="D8588" s="545">
        <v>4.666666666666667</v>
      </c>
      <c r="E8588" s="545">
        <v>3.666666666666667</v>
      </c>
      <c r="F8588" s="545">
        <v>5.1190476190476186</v>
      </c>
      <c r="G8588" s="545">
        <v>3.15</v>
      </c>
      <c r="H8588" s="545">
        <v>4.333333333333333</v>
      </c>
      <c r="I8588" s="545">
        <v>4</v>
      </c>
      <c r="J8588" s="545">
        <v>3.4404761904761902</v>
      </c>
    </row>
    <row r="8589" spans="1:10">
      <c r="A8589" s="441">
        <v>8161</v>
      </c>
      <c r="B8589" s="441" t="s">
        <v>6817</v>
      </c>
      <c r="C8589" s="545">
        <v>9.3333333333333321</v>
      </c>
      <c r="D8589" s="545">
        <v>8.3333333333333321</v>
      </c>
      <c r="E8589" s="545">
        <v>6.6666666666666661</v>
      </c>
      <c r="F8589" s="545">
        <v>8.8095238095238066</v>
      </c>
      <c r="G8589" s="545">
        <v>9.15</v>
      </c>
      <c r="H8589" s="545">
        <v>6.333333333333333</v>
      </c>
      <c r="I8589" s="545">
        <v>5.666666666666667</v>
      </c>
      <c r="J8589" s="545">
        <v>8.25</v>
      </c>
    </row>
    <row r="8590" spans="1:10">
      <c r="A8590" s="441">
        <v>11791</v>
      </c>
      <c r="B8590" s="441" t="s">
        <v>6818</v>
      </c>
      <c r="C8590" s="545">
        <v>6.3333333333333339</v>
      </c>
      <c r="D8590" s="545">
        <v>0.66666666666666663</v>
      </c>
      <c r="E8590" s="545">
        <v>1.3333333333333333</v>
      </c>
      <c r="F8590" s="545">
        <v>4.8095238095238102</v>
      </c>
      <c r="G8590" s="545">
        <v>5.5</v>
      </c>
      <c r="H8590" s="545">
        <v>2.3333333333333335</v>
      </c>
      <c r="I8590" s="545">
        <v>2</v>
      </c>
      <c r="J8590" s="545">
        <v>4.5476190476190474</v>
      </c>
    </row>
    <row r="8591" spans="1:10">
      <c r="A8591" s="441">
        <v>11792</v>
      </c>
      <c r="B8591" s="441" t="s">
        <v>6818</v>
      </c>
      <c r="C8591" s="545">
        <v>7.5</v>
      </c>
      <c r="D8591" s="545">
        <v>2.3333333333333335</v>
      </c>
      <c r="E8591" s="545">
        <v>2.333333333333333</v>
      </c>
      <c r="F8591" s="545">
        <v>6.0238095238095246</v>
      </c>
      <c r="G8591" s="545">
        <v>3.5</v>
      </c>
      <c r="H8591" s="545">
        <v>3.6666666666666665</v>
      </c>
      <c r="I8591" s="545">
        <v>3.6666666666666665</v>
      </c>
      <c r="J8591" s="545">
        <v>3.5476190476190479</v>
      </c>
    </row>
    <row r="8592" spans="1:10">
      <c r="A8592" s="441">
        <v>7975</v>
      </c>
      <c r="B8592" s="441" t="s">
        <v>6819</v>
      </c>
      <c r="C8592" s="545">
        <v>56.833333333333336</v>
      </c>
      <c r="D8592" s="545">
        <v>39.666666666666671</v>
      </c>
      <c r="E8592" s="545">
        <v>27.666666666666664</v>
      </c>
      <c r="F8592" s="545">
        <v>50.214285714285722</v>
      </c>
      <c r="G8592" s="545">
        <v>38</v>
      </c>
      <c r="H8592" s="545">
        <v>23</v>
      </c>
      <c r="I8592" s="545">
        <v>23.333333333333332</v>
      </c>
      <c r="J8592" s="545">
        <v>33.761904761904766</v>
      </c>
    </row>
    <row r="8593" spans="1:10">
      <c r="A8593" s="441">
        <v>8121</v>
      </c>
      <c r="B8593" s="441" t="s">
        <v>6819</v>
      </c>
      <c r="C8593" s="545">
        <v>61.833333333333336</v>
      </c>
      <c r="D8593" s="545">
        <v>44.666666666666671</v>
      </c>
      <c r="E8593" s="545">
        <v>37</v>
      </c>
      <c r="F8593" s="545">
        <v>55.833333333333336</v>
      </c>
      <c r="G8593" s="545">
        <v>43.35</v>
      </c>
      <c r="H8593" s="545">
        <v>35</v>
      </c>
      <c r="I8593" s="545">
        <v>35.666666666666664</v>
      </c>
      <c r="J8593" s="545">
        <v>41.05952380952381</v>
      </c>
    </row>
    <row r="8594" spans="1:10">
      <c r="A8594" s="441">
        <v>7976</v>
      </c>
      <c r="B8594" s="441" t="s">
        <v>6820</v>
      </c>
      <c r="C8594" s="545">
        <v>20.5</v>
      </c>
      <c r="D8594" s="545">
        <v>19</v>
      </c>
      <c r="E8594" s="545">
        <v>14.666666666666668</v>
      </c>
      <c r="F8594" s="545">
        <v>19.452380952380953</v>
      </c>
      <c r="G8594" s="545">
        <v>17.55</v>
      </c>
      <c r="H8594" s="545">
        <v>14.666666666666666</v>
      </c>
      <c r="I8594" s="545">
        <v>12.666666666666666</v>
      </c>
      <c r="J8594" s="545">
        <v>16.440476190476193</v>
      </c>
    </row>
    <row r="8595" spans="1:10">
      <c r="A8595" s="441">
        <v>8120</v>
      </c>
      <c r="B8595" s="441" t="s">
        <v>6820</v>
      </c>
      <c r="C8595" s="545">
        <v>20.5</v>
      </c>
      <c r="D8595" s="545">
        <v>16.666666666666664</v>
      </c>
      <c r="E8595" s="545">
        <v>11.333333333333332</v>
      </c>
      <c r="F8595" s="545">
        <v>18.642857142857142</v>
      </c>
      <c r="G8595" s="545">
        <v>13.6</v>
      </c>
      <c r="H8595" s="545">
        <v>15.333333333333334</v>
      </c>
      <c r="I8595" s="545">
        <v>9.3333333333333339</v>
      </c>
      <c r="J8595" s="545">
        <v>13.238095238095237</v>
      </c>
    </row>
    <row r="8596" spans="1:10">
      <c r="A8596" s="441">
        <v>8151</v>
      </c>
      <c r="B8596" s="441" t="s">
        <v>6821</v>
      </c>
      <c r="C8596" s="545">
        <v>3.3333333333333335</v>
      </c>
      <c r="D8596" s="545">
        <v>2.3333333333333335</v>
      </c>
      <c r="E8596" s="545">
        <v>0</v>
      </c>
      <c r="F8596" s="545">
        <v>2.7142857142857144</v>
      </c>
      <c r="G8596" s="545">
        <v>2.25</v>
      </c>
      <c r="H8596" s="545">
        <v>1</v>
      </c>
      <c r="I8596" s="545">
        <v>0.33333333333333331</v>
      </c>
      <c r="J8596" s="545">
        <v>1.7976190476190477</v>
      </c>
    </row>
    <row r="8597" spans="1:10">
      <c r="A8597" s="441">
        <v>8154</v>
      </c>
      <c r="B8597" s="441" t="s">
        <v>6821</v>
      </c>
      <c r="C8597" s="545">
        <v>3.166666666666667</v>
      </c>
      <c r="D8597" s="545">
        <v>1.3333333333333333</v>
      </c>
      <c r="E8597" s="545">
        <v>0</v>
      </c>
      <c r="F8597" s="545">
        <v>2.4523809523809526</v>
      </c>
      <c r="G8597" s="545">
        <v>4.8499999999999996</v>
      </c>
      <c r="H8597" s="545">
        <v>0.66666666666666663</v>
      </c>
      <c r="I8597" s="545">
        <v>0.66666666666666663</v>
      </c>
      <c r="J8597" s="545">
        <v>3.6547619047619051</v>
      </c>
    </row>
    <row r="8598" spans="1:10">
      <c r="A8598" s="441">
        <v>7990</v>
      </c>
      <c r="B8598" s="441" t="s">
        <v>6822</v>
      </c>
      <c r="C8598" s="545">
        <v>27.166666666666668</v>
      </c>
      <c r="D8598" s="545">
        <v>14</v>
      </c>
      <c r="E8598" s="545">
        <v>12.666666666666668</v>
      </c>
      <c r="F8598" s="545">
        <v>23.214285714285715</v>
      </c>
      <c r="G8598" s="545">
        <v>19.649999999999999</v>
      </c>
      <c r="H8598" s="545">
        <v>10.333333333333334</v>
      </c>
      <c r="I8598" s="545">
        <v>10.666666666666666</v>
      </c>
      <c r="J8598" s="545">
        <v>17.035714285714285</v>
      </c>
    </row>
    <row r="8599" spans="1:10">
      <c r="A8599" s="441">
        <v>8106</v>
      </c>
      <c r="B8599" s="441" t="s">
        <v>6822</v>
      </c>
      <c r="C8599" s="545">
        <v>24.166666666666668</v>
      </c>
      <c r="D8599" s="545">
        <v>17.333333333333332</v>
      </c>
      <c r="E8599" s="545">
        <v>16.333333333333332</v>
      </c>
      <c r="F8599" s="545">
        <v>22.071428571428577</v>
      </c>
      <c r="G8599" s="545">
        <v>17.3</v>
      </c>
      <c r="H8599" s="545">
        <v>8.3333333333333339</v>
      </c>
      <c r="I8599" s="545">
        <v>6.333333333333333</v>
      </c>
      <c r="J8599" s="545">
        <v>14.452380952380951</v>
      </c>
    </row>
    <row r="8600" spans="1:10">
      <c r="A8600" s="441">
        <v>8150</v>
      </c>
      <c r="B8600" s="441" t="s">
        <v>6823</v>
      </c>
      <c r="C8600" s="545">
        <v>13.166666666666668</v>
      </c>
      <c r="D8600" s="545">
        <v>6.666666666666667</v>
      </c>
      <c r="E8600" s="545">
        <v>6.333333333333333</v>
      </c>
      <c r="F8600" s="545">
        <v>11.261904761904763</v>
      </c>
      <c r="G8600" s="545">
        <v>11.95</v>
      </c>
      <c r="H8600" s="545">
        <v>8.6666666666666661</v>
      </c>
      <c r="I8600" s="545">
        <v>9.3333333333333339</v>
      </c>
      <c r="J8600" s="545">
        <v>11.107142857142858</v>
      </c>
    </row>
    <row r="8601" spans="1:10">
      <c r="A8601" s="441">
        <v>8155</v>
      </c>
      <c r="B8601" s="441" t="s">
        <v>6823</v>
      </c>
      <c r="C8601" s="545">
        <v>17.666666666666664</v>
      </c>
      <c r="D8601" s="545">
        <v>7.6666666666666661</v>
      </c>
      <c r="E8601" s="545">
        <v>6</v>
      </c>
      <c r="F8601" s="545">
        <v>14.571428571428569</v>
      </c>
      <c r="G8601" s="545">
        <v>12.4</v>
      </c>
      <c r="H8601" s="545">
        <v>7.666666666666667</v>
      </c>
      <c r="I8601" s="545">
        <v>10</v>
      </c>
      <c r="J8601" s="545">
        <v>11.380952380952381</v>
      </c>
    </row>
    <row r="8602" spans="1:10">
      <c r="A8602" s="441">
        <v>8156</v>
      </c>
      <c r="B8602" s="441" t="s">
        <v>6824</v>
      </c>
      <c r="C8602" s="545">
        <v>18</v>
      </c>
      <c r="D8602" s="545">
        <v>8.3333333333333339</v>
      </c>
      <c r="E8602" s="545">
        <v>8</v>
      </c>
      <c r="F8602" s="545">
        <v>15.19047619047619</v>
      </c>
      <c r="G8602" s="545">
        <v>11.65</v>
      </c>
      <c r="H8602" s="545">
        <v>10</v>
      </c>
      <c r="I8602" s="545">
        <v>7.333333333333333</v>
      </c>
      <c r="J8602" s="545">
        <v>10.797619047619047</v>
      </c>
    </row>
    <row r="8603" spans="1:10">
      <c r="A8603" s="441">
        <v>8148</v>
      </c>
      <c r="B8603" s="441" t="s">
        <v>6825</v>
      </c>
      <c r="C8603" s="545">
        <v>5.5</v>
      </c>
      <c r="D8603" s="545">
        <v>4</v>
      </c>
      <c r="E8603" s="545">
        <v>1.3333333333333333</v>
      </c>
      <c r="F8603" s="545">
        <v>4.6904761904761907</v>
      </c>
      <c r="G8603" s="545">
        <v>3.1</v>
      </c>
      <c r="H8603" s="545">
        <v>1.3333333333333333</v>
      </c>
      <c r="I8603" s="545">
        <v>1.3333333333333333</v>
      </c>
      <c r="J8603" s="545">
        <v>2.5952380952380949</v>
      </c>
    </row>
    <row r="8604" spans="1:10">
      <c r="A8604" s="441">
        <v>8157</v>
      </c>
      <c r="B8604" s="441" t="s">
        <v>6825</v>
      </c>
      <c r="C8604" s="545">
        <v>8.1666666666666679</v>
      </c>
      <c r="D8604" s="545">
        <v>4.666666666666667</v>
      </c>
      <c r="E8604" s="545">
        <v>3</v>
      </c>
      <c r="F8604" s="545">
        <v>6.9285714285714297</v>
      </c>
      <c r="G8604" s="545">
        <v>4.4000000000000004</v>
      </c>
      <c r="H8604" s="545">
        <v>0.33333333333333331</v>
      </c>
      <c r="I8604" s="545">
        <v>1.6666666666666667</v>
      </c>
      <c r="J8604" s="545">
        <v>3.4285714285714284</v>
      </c>
    </row>
    <row r="8605" spans="1:10">
      <c r="A8605" s="441">
        <v>8152</v>
      </c>
      <c r="B8605" s="441" t="s">
        <v>6826</v>
      </c>
      <c r="C8605" s="545">
        <v>30</v>
      </c>
      <c r="D8605" s="545">
        <v>24</v>
      </c>
      <c r="E8605" s="545">
        <v>17.666666666666668</v>
      </c>
      <c r="F8605" s="545">
        <v>27.38095238095238</v>
      </c>
      <c r="G8605" s="545">
        <v>15.9</v>
      </c>
      <c r="H8605" s="545">
        <v>12.666666666666666</v>
      </c>
      <c r="I8605" s="545">
        <v>12.333333333333334</v>
      </c>
      <c r="J8605" s="545">
        <v>14.928571428571429</v>
      </c>
    </row>
    <row r="8606" spans="1:10">
      <c r="A8606" s="441">
        <v>516</v>
      </c>
      <c r="B8606" s="441" t="s">
        <v>6827</v>
      </c>
      <c r="C8606" s="545">
        <v>34.333333333333329</v>
      </c>
      <c r="D8606" s="545">
        <v>23</v>
      </c>
      <c r="E8606" s="545">
        <v>18</v>
      </c>
      <c r="F8606" s="545">
        <v>30.380952380952376</v>
      </c>
      <c r="G8606" s="545">
        <v>28.45</v>
      </c>
      <c r="H8606" s="545">
        <v>18.666666666666668</v>
      </c>
      <c r="I8606" s="545">
        <v>17</v>
      </c>
      <c r="J8606" s="545">
        <v>25.416666666666664</v>
      </c>
    </row>
    <row r="8607" spans="1:10">
      <c r="A8607" s="441">
        <v>8162</v>
      </c>
      <c r="B8607" s="441" t="s">
        <v>6827</v>
      </c>
      <c r="C8607" s="545">
        <v>34</v>
      </c>
      <c r="D8607" s="545">
        <v>15</v>
      </c>
      <c r="E8607" s="545">
        <v>16.333333333333332</v>
      </c>
      <c r="F8607" s="545">
        <v>28.761904761904763</v>
      </c>
      <c r="G8607" s="545">
        <v>29.3</v>
      </c>
      <c r="H8607" s="545">
        <v>15.666666666666666</v>
      </c>
      <c r="I8607" s="545">
        <v>14.666666666666666</v>
      </c>
      <c r="J8607" s="545">
        <v>25.261904761904759</v>
      </c>
    </row>
    <row r="8608" spans="1:10">
      <c r="A8608" s="441">
        <v>8149</v>
      </c>
      <c r="B8608" s="441" t="s">
        <v>6828</v>
      </c>
      <c r="C8608" s="545">
        <v>18.833333333333336</v>
      </c>
      <c r="D8608" s="545">
        <v>12</v>
      </c>
      <c r="E8608" s="545">
        <v>12</v>
      </c>
      <c r="F8608" s="545">
        <v>16.880952380952383</v>
      </c>
      <c r="G8608" s="545">
        <v>16.649999999999999</v>
      </c>
      <c r="H8608" s="545">
        <v>11</v>
      </c>
      <c r="I8608" s="545">
        <v>9.6666666666666661</v>
      </c>
      <c r="J8608" s="545">
        <v>14.845238095238097</v>
      </c>
    </row>
    <row r="8609" spans="1:10">
      <c r="A8609" s="441">
        <v>511</v>
      </c>
      <c r="B8609" s="441" t="s">
        <v>6829</v>
      </c>
      <c r="C8609" s="545">
        <v>16.166666666666668</v>
      </c>
      <c r="D8609" s="545">
        <v>10.333333333333332</v>
      </c>
      <c r="E8609" s="545">
        <v>10.333333333333332</v>
      </c>
      <c r="F8609" s="545">
        <v>14.5</v>
      </c>
      <c r="G8609" s="545">
        <v>9.5</v>
      </c>
      <c r="H8609" s="545">
        <v>5.333333333333333</v>
      </c>
      <c r="I8609" s="545">
        <v>4.333333333333333</v>
      </c>
      <c r="J8609" s="545">
        <v>8.1666666666666679</v>
      </c>
    </row>
    <row r="8610" spans="1:10">
      <c r="A8610" s="441">
        <v>7992</v>
      </c>
      <c r="B8610" s="441" t="s">
        <v>6829</v>
      </c>
      <c r="C8610" s="545">
        <v>17.333333333333336</v>
      </c>
      <c r="D8610" s="545">
        <v>14</v>
      </c>
      <c r="E8610" s="545">
        <v>10.666666666666668</v>
      </c>
      <c r="F8610" s="545">
        <v>15.904761904761909</v>
      </c>
      <c r="G8610" s="545">
        <v>7.65</v>
      </c>
      <c r="H8610" s="545">
        <v>4.333333333333333</v>
      </c>
      <c r="I8610" s="545">
        <v>1.3333333333333333</v>
      </c>
      <c r="J8610" s="545">
        <v>6.2738095238095246</v>
      </c>
    </row>
    <row r="8611" spans="1:10">
      <c r="A8611" s="441">
        <v>7979</v>
      </c>
      <c r="B8611" s="441" t="s">
        <v>6830</v>
      </c>
      <c r="C8611" s="545">
        <v>3.6666666666666665</v>
      </c>
      <c r="D8611" s="545">
        <v>2</v>
      </c>
      <c r="E8611" s="545">
        <v>1.6666666666666665</v>
      </c>
      <c r="F8611" s="545">
        <v>3.1428571428571428</v>
      </c>
      <c r="G8611" s="545">
        <v>3.15</v>
      </c>
      <c r="H8611" s="545">
        <v>3.6666666666666665</v>
      </c>
      <c r="I8611" s="545">
        <v>1.3333333333333333</v>
      </c>
      <c r="J8611" s="545">
        <v>2.9642857142857144</v>
      </c>
    </row>
    <row r="8612" spans="1:10">
      <c r="A8612" s="441">
        <v>8116</v>
      </c>
      <c r="B8612" s="441" t="s">
        <v>6830</v>
      </c>
      <c r="C8612" s="545">
        <v>3.5</v>
      </c>
      <c r="D8612" s="545">
        <v>3.3333333333333335</v>
      </c>
      <c r="E8612" s="545">
        <v>1</v>
      </c>
      <c r="F8612" s="545">
        <v>3.1190476190476191</v>
      </c>
      <c r="G8612" s="545">
        <v>4.8</v>
      </c>
      <c r="H8612" s="545">
        <v>3.6666666666666665</v>
      </c>
      <c r="I8612" s="545">
        <v>1.6666666666666667</v>
      </c>
      <c r="J8612" s="545">
        <v>4.1904761904761907</v>
      </c>
    </row>
    <row r="8613" spans="1:10">
      <c r="A8613" s="441">
        <v>520</v>
      </c>
      <c r="B8613" s="441" t="s">
        <v>6831</v>
      </c>
      <c r="C8613" s="545">
        <v>6</v>
      </c>
      <c r="D8613" s="545">
        <v>4</v>
      </c>
      <c r="E8613" s="545">
        <v>3</v>
      </c>
      <c r="F8613" s="545">
        <v>5.2857142857142856</v>
      </c>
      <c r="G8613" s="545">
        <v>3.25</v>
      </c>
      <c r="H8613" s="545">
        <v>1.6666666666666667</v>
      </c>
      <c r="I8613" s="545">
        <v>1.6666666666666667</v>
      </c>
      <c r="J8613" s="545">
        <v>2.7976190476190479</v>
      </c>
    </row>
    <row r="8614" spans="1:10">
      <c r="A8614" s="441">
        <v>8147</v>
      </c>
      <c r="B8614" s="441" t="s">
        <v>6831</v>
      </c>
      <c r="C8614" s="545">
        <v>6.666666666666667</v>
      </c>
      <c r="D8614" s="545">
        <v>3.3333333333333335</v>
      </c>
      <c r="E8614" s="545">
        <v>5</v>
      </c>
      <c r="F8614" s="545">
        <v>5.9523809523809534</v>
      </c>
      <c r="G8614" s="545">
        <v>2.85</v>
      </c>
      <c r="H8614" s="545">
        <v>0.66666666666666663</v>
      </c>
      <c r="I8614" s="545">
        <v>1.6666666666666667</v>
      </c>
      <c r="J8614" s="545">
        <v>2.3690476190476191</v>
      </c>
    </row>
    <row r="8615" spans="1:10">
      <c r="A8615" s="441">
        <v>8158</v>
      </c>
      <c r="B8615" s="441" t="s">
        <v>6831</v>
      </c>
      <c r="C8615" s="545">
        <v>13.166666666666666</v>
      </c>
      <c r="D8615" s="545">
        <v>5</v>
      </c>
      <c r="E8615" s="545">
        <v>8</v>
      </c>
      <c r="F8615" s="545">
        <v>11.261904761904761</v>
      </c>
      <c r="G8615" s="545">
        <v>13.2</v>
      </c>
      <c r="H8615" s="545">
        <v>10</v>
      </c>
      <c r="I8615" s="545">
        <v>3.6666666666666665</v>
      </c>
      <c r="J8615" s="545">
        <v>11.380952380952381</v>
      </c>
    </row>
    <row r="8616" spans="1:10">
      <c r="A8616" s="441">
        <v>8159</v>
      </c>
      <c r="B8616" s="441" t="s">
        <v>6832</v>
      </c>
      <c r="C8616" s="545">
        <v>30.5</v>
      </c>
      <c r="D8616" s="545">
        <v>24</v>
      </c>
      <c r="E8616" s="545">
        <v>17.666666666666664</v>
      </c>
      <c r="F8616" s="545">
        <v>27.738095238095237</v>
      </c>
      <c r="G8616" s="545">
        <v>38.6</v>
      </c>
      <c r="H8616" s="545">
        <v>25.333333333333332</v>
      </c>
      <c r="I8616" s="545">
        <v>27.333333333333332</v>
      </c>
      <c r="J8616" s="545">
        <v>35.095238095238095</v>
      </c>
    </row>
    <row r="8617" spans="1:10">
      <c r="A8617" s="441">
        <v>512</v>
      </c>
      <c r="B8617" s="441" t="s">
        <v>6833</v>
      </c>
      <c r="C8617" s="545">
        <v>52.333333333333336</v>
      </c>
      <c r="D8617" s="545">
        <v>38.666666666666671</v>
      </c>
      <c r="E8617" s="545">
        <v>28</v>
      </c>
      <c r="F8617" s="545">
        <v>46.904761904761912</v>
      </c>
      <c r="G8617" s="545">
        <v>45.15</v>
      </c>
      <c r="H8617" s="545">
        <v>30.333333333333332</v>
      </c>
      <c r="I8617" s="545">
        <v>30.333333333333332</v>
      </c>
      <c r="J8617" s="545">
        <v>40.916666666666664</v>
      </c>
    </row>
    <row r="8618" spans="1:10">
      <c r="A8618" s="441">
        <v>7991</v>
      </c>
      <c r="B8618" s="441" t="s">
        <v>6833</v>
      </c>
      <c r="C8618" s="545">
        <v>41.333333333333329</v>
      </c>
      <c r="D8618" s="545">
        <v>26.333333333333336</v>
      </c>
      <c r="E8618" s="545">
        <v>26.333333333333336</v>
      </c>
      <c r="F8618" s="545">
        <v>37.047619047619044</v>
      </c>
      <c r="G8618" s="545">
        <v>33.75</v>
      </c>
      <c r="H8618" s="545">
        <v>29.666666666666668</v>
      </c>
      <c r="I8618" s="545">
        <v>24</v>
      </c>
      <c r="J8618" s="545">
        <v>31.773809523809522</v>
      </c>
    </row>
    <row r="8619" spans="1:10">
      <c r="A8619" s="441">
        <v>7985</v>
      </c>
      <c r="B8619" s="441" t="s">
        <v>6834</v>
      </c>
      <c r="C8619" s="545">
        <v>25.666666666666664</v>
      </c>
      <c r="D8619" s="545">
        <v>25.666666666666664</v>
      </c>
      <c r="E8619" s="545">
        <v>18</v>
      </c>
      <c r="F8619" s="545">
        <v>24.571428571428566</v>
      </c>
      <c r="G8619" s="545">
        <v>19.7</v>
      </c>
      <c r="H8619" s="545">
        <v>15.333333333333334</v>
      </c>
      <c r="I8619" s="545">
        <v>9</v>
      </c>
      <c r="J8619" s="545">
        <v>17.547619047619047</v>
      </c>
    </row>
    <row r="8620" spans="1:10">
      <c r="A8620" s="441">
        <v>8111</v>
      </c>
      <c r="B8620" s="441" t="s">
        <v>6834</v>
      </c>
      <c r="C8620" s="545">
        <v>30</v>
      </c>
      <c r="D8620" s="545">
        <v>23.333333333333332</v>
      </c>
      <c r="E8620" s="545">
        <v>20.666666666666668</v>
      </c>
      <c r="F8620" s="545">
        <v>27.714285714285715</v>
      </c>
      <c r="G8620" s="545">
        <v>20.6</v>
      </c>
      <c r="H8620" s="545">
        <v>22.333333333333332</v>
      </c>
      <c r="I8620" s="545">
        <v>7.666666666666667</v>
      </c>
      <c r="J8620" s="545">
        <v>19</v>
      </c>
    </row>
    <row r="8621" spans="1:10">
      <c r="A8621" s="441">
        <v>510</v>
      </c>
      <c r="B8621" s="441" t="s">
        <v>6835</v>
      </c>
      <c r="C8621" s="545">
        <v>68</v>
      </c>
      <c r="D8621" s="545">
        <v>30.666666666666664</v>
      </c>
      <c r="E8621" s="545">
        <v>22.666666666666668</v>
      </c>
      <c r="F8621" s="545">
        <v>56.190476190476197</v>
      </c>
      <c r="G8621" s="545">
        <v>58.25</v>
      </c>
      <c r="H8621" s="545">
        <v>33.333333333333336</v>
      </c>
      <c r="I8621" s="545">
        <v>18.333333333333332</v>
      </c>
      <c r="J8621" s="545">
        <v>48.988095238095234</v>
      </c>
    </row>
    <row r="8622" spans="1:10">
      <c r="A8622" s="441">
        <v>7994</v>
      </c>
      <c r="B8622" s="441" t="s">
        <v>6835</v>
      </c>
      <c r="C8622" s="545">
        <v>66.666666666666671</v>
      </c>
      <c r="D8622" s="545">
        <v>27</v>
      </c>
      <c r="E8622" s="545">
        <v>17.333333333333336</v>
      </c>
      <c r="F8622" s="545">
        <v>53.952380952380956</v>
      </c>
      <c r="G8622" s="545">
        <v>42.6</v>
      </c>
      <c r="H8622" s="545">
        <v>26</v>
      </c>
      <c r="I8622" s="545">
        <v>19.666666666666668</v>
      </c>
      <c r="J8622" s="545">
        <v>36.952380952380956</v>
      </c>
    </row>
    <row r="8623" spans="1:10">
      <c r="A8623" s="441">
        <v>8117</v>
      </c>
      <c r="B8623" s="441" t="s">
        <v>6836</v>
      </c>
      <c r="C8623" s="545">
        <v>4.5</v>
      </c>
      <c r="D8623" s="545">
        <v>1.6666666666666667</v>
      </c>
      <c r="E8623" s="545">
        <v>3.333333333333333</v>
      </c>
      <c r="F8623" s="545">
        <v>3.9285714285714284</v>
      </c>
      <c r="G8623" s="545">
        <v>5.85</v>
      </c>
      <c r="H8623" s="545">
        <v>4.333333333333333</v>
      </c>
      <c r="I8623" s="545">
        <v>2</v>
      </c>
      <c r="J8623" s="545">
        <v>5.0833333333333339</v>
      </c>
    </row>
    <row r="8624" spans="1:10">
      <c r="A8624" s="441">
        <v>8979</v>
      </c>
      <c r="B8624" s="441" t="s">
        <v>6836</v>
      </c>
      <c r="C8624" s="545">
        <v>3.5</v>
      </c>
      <c r="D8624" s="545">
        <v>3</v>
      </c>
      <c r="E8624" s="545">
        <v>4.333333333333333</v>
      </c>
      <c r="F8624" s="545">
        <v>3.5476190476190474</v>
      </c>
      <c r="G8624" s="545">
        <v>4</v>
      </c>
      <c r="H8624" s="545">
        <v>2.3333333333333335</v>
      </c>
      <c r="I8624" s="545">
        <v>3.3333333333333335</v>
      </c>
      <c r="J8624" s="545">
        <v>3.6666666666666665</v>
      </c>
    </row>
    <row r="8625" spans="1:10">
      <c r="A8625" s="441">
        <v>7983</v>
      </c>
      <c r="B8625" s="441" t="s">
        <v>6837</v>
      </c>
      <c r="C8625" s="545">
        <v>19.5</v>
      </c>
      <c r="D8625" s="545">
        <v>18.666666666666668</v>
      </c>
      <c r="E8625" s="545">
        <v>16.333333333333332</v>
      </c>
      <c r="F8625" s="545">
        <v>18.928571428571427</v>
      </c>
      <c r="G8625" s="545">
        <v>23.45</v>
      </c>
      <c r="H8625" s="545">
        <v>15.333333333333334</v>
      </c>
      <c r="I8625" s="545">
        <v>14.333333333333334</v>
      </c>
      <c r="J8625" s="545">
        <v>20.988095238095241</v>
      </c>
    </row>
    <row r="8626" spans="1:10">
      <c r="A8626" s="441">
        <v>8113</v>
      </c>
      <c r="B8626" s="441" t="s">
        <v>6837</v>
      </c>
      <c r="C8626" s="545">
        <v>45.5</v>
      </c>
      <c r="D8626" s="545">
        <v>32.333333333333329</v>
      </c>
      <c r="E8626" s="545">
        <v>36</v>
      </c>
      <c r="F8626" s="545">
        <v>42.261904761904759</v>
      </c>
      <c r="G8626" s="545">
        <v>27.35</v>
      </c>
      <c r="H8626" s="545">
        <v>17.333333333333332</v>
      </c>
      <c r="I8626" s="545">
        <v>18</v>
      </c>
      <c r="J8626" s="545">
        <v>24.583333333333336</v>
      </c>
    </row>
    <row r="8627" spans="1:10">
      <c r="A8627" s="441">
        <v>90972</v>
      </c>
      <c r="B8627" s="441" t="s">
        <v>6838</v>
      </c>
      <c r="C8627" s="545">
        <v>5</v>
      </c>
      <c r="D8627" s="545">
        <v>1.6666666666666665</v>
      </c>
      <c r="E8627" s="545">
        <v>0</v>
      </c>
      <c r="F8627" s="545">
        <v>3.8095238095238098</v>
      </c>
      <c r="G8627" s="545">
        <v>1.05</v>
      </c>
      <c r="H8627" s="545">
        <v>0</v>
      </c>
      <c r="I8627" s="545">
        <v>0.33333333333333331</v>
      </c>
      <c r="J8627" s="545">
        <v>0.79761904761904756</v>
      </c>
    </row>
    <row r="8628" spans="1:10">
      <c r="A8628" s="441">
        <v>8122</v>
      </c>
      <c r="B8628" s="441" t="s">
        <v>6839</v>
      </c>
      <c r="C8628" s="545">
        <v>19.666666666666664</v>
      </c>
      <c r="D8628" s="545">
        <v>15.666666666666668</v>
      </c>
      <c r="E8628" s="545">
        <v>8.6666666666666661</v>
      </c>
      <c r="F8628" s="545">
        <v>17.523809523809522</v>
      </c>
      <c r="G8628" s="545">
        <v>15.95</v>
      </c>
      <c r="H8628" s="545">
        <v>11.333333333333334</v>
      </c>
      <c r="I8628" s="545">
        <v>13</v>
      </c>
      <c r="J8628" s="545">
        <v>14.869047619047619</v>
      </c>
    </row>
    <row r="8629" spans="1:10">
      <c r="A8629" s="441">
        <v>12096</v>
      </c>
      <c r="B8629" s="441" t="s">
        <v>6839</v>
      </c>
      <c r="C8629" s="545">
        <v>43.833333333333329</v>
      </c>
      <c r="D8629" s="545">
        <v>45.666666666666664</v>
      </c>
      <c r="E8629" s="545">
        <v>40.333333333333336</v>
      </c>
      <c r="F8629" s="545">
        <v>43.595238095238088</v>
      </c>
      <c r="G8629" s="545">
        <v>44.1</v>
      </c>
      <c r="H8629" s="545">
        <v>37.333333333333336</v>
      </c>
      <c r="I8629" s="545">
        <v>31.333333333333332</v>
      </c>
      <c r="J8629" s="545">
        <v>41.309523809523803</v>
      </c>
    </row>
    <row r="8630" spans="1:10">
      <c r="A8630" s="441">
        <v>8144</v>
      </c>
      <c r="B8630" s="441" t="s">
        <v>6840</v>
      </c>
      <c r="C8630" s="545">
        <v>41.833333333333329</v>
      </c>
      <c r="D8630" s="545">
        <v>23</v>
      </c>
      <c r="E8630" s="545">
        <v>21</v>
      </c>
      <c r="F8630" s="545">
        <v>36.166666666666664</v>
      </c>
      <c r="G8630" s="545">
        <v>31.25</v>
      </c>
      <c r="H8630" s="545">
        <v>29.333333333333332</v>
      </c>
      <c r="I8630" s="545">
        <v>23.333333333333332</v>
      </c>
      <c r="J8630" s="545">
        <v>29.845238095238098</v>
      </c>
    </row>
    <row r="8631" spans="1:10">
      <c r="A8631" s="441">
        <v>8164</v>
      </c>
      <c r="B8631" s="441" t="s">
        <v>6840</v>
      </c>
      <c r="C8631" s="545">
        <v>73.5</v>
      </c>
      <c r="D8631" s="545">
        <v>42.333333333333329</v>
      </c>
      <c r="E8631" s="545">
        <v>42</v>
      </c>
      <c r="F8631" s="545">
        <v>64.547619047619051</v>
      </c>
      <c r="G8631" s="545">
        <v>43.05</v>
      </c>
      <c r="H8631" s="545">
        <v>26</v>
      </c>
      <c r="I8631" s="545">
        <v>33</v>
      </c>
      <c r="J8631" s="545">
        <v>39.178571428571431</v>
      </c>
    </row>
    <row r="8632" spans="1:10">
      <c r="A8632" s="441">
        <v>6805</v>
      </c>
      <c r="B8632" s="441" t="s">
        <v>6841</v>
      </c>
      <c r="C8632" s="545">
        <v>56.666666666666671</v>
      </c>
      <c r="D8632" s="545">
        <v>26.333333333333332</v>
      </c>
      <c r="E8632" s="545">
        <v>24.333333333333332</v>
      </c>
      <c r="F8632" s="545">
        <v>47.714285714285715</v>
      </c>
      <c r="G8632" s="545">
        <v>27.05</v>
      </c>
      <c r="H8632" s="545">
        <v>19.333333333333332</v>
      </c>
      <c r="I8632" s="545">
        <v>17</v>
      </c>
      <c r="J8632" s="545">
        <v>24.511904761904763</v>
      </c>
    </row>
    <row r="8633" spans="1:10">
      <c r="A8633" s="441">
        <v>11697</v>
      </c>
      <c r="B8633" s="441" t="s">
        <v>6842</v>
      </c>
      <c r="C8633" s="545">
        <v>5.333333333333333</v>
      </c>
      <c r="D8633" s="545">
        <v>1.6666666666666665</v>
      </c>
      <c r="E8633" s="545">
        <v>2.333333333333333</v>
      </c>
      <c r="F8633" s="545">
        <v>4.3809523809523805</v>
      </c>
      <c r="G8633" s="545">
        <v>4.9000000000000004</v>
      </c>
      <c r="H8633" s="545">
        <v>4</v>
      </c>
      <c r="I8633" s="545">
        <v>1.6666666666666667</v>
      </c>
      <c r="J8633" s="545">
        <v>4.3095238095238093</v>
      </c>
    </row>
    <row r="8634" spans="1:10">
      <c r="A8634" s="441">
        <v>6804</v>
      </c>
      <c r="B8634" s="441" t="s">
        <v>6843</v>
      </c>
      <c r="C8634" s="545">
        <v>9.1666666666666661</v>
      </c>
      <c r="D8634" s="545">
        <v>5.666666666666667</v>
      </c>
      <c r="E8634" s="545">
        <v>2.6666666666666665</v>
      </c>
      <c r="F8634" s="545">
        <v>7.7380952380952364</v>
      </c>
      <c r="G8634" s="545">
        <v>7.7</v>
      </c>
      <c r="H8634" s="545">
        <v>3.6666666666666665</v>
      </c>
      <c r="I8634" s="545">
        <v>7.666666666666667</v>
      </c>
      <c r="J8634" s="545">
        <v>7.1190476190476186</v>
      </c>
    </row>
    <row r="8635" spans="1:10">
      <c r="A8635" s="441">
        <v>5688</v>
      </c>
      <c r="B8635" s="441" t="s">
        <v>6844</v>
      </c>
      <c r="C8635" s="545">
        <v>6.5</v>
      </c>
      <c r="D8635" s="545">
        <v>1.6666666666666665</v>
      </c>
      <c r="E8635" s="545">
        <v>4</v>
      </c>
      <c r="F8635" s="545">
        <v>5.4523809523809517</v>
      </c>
      <c r="G8635" s="545">
        <v>2.4500000000000002</v>
      </c>
      <c r="H8635" s="545">
        <v>0.33333333333333331</v>
      </c>
      <c r="I8635" s="545">
        <v>0.66666666666666663</v>
      </c>
      <c r="J8635" s="545">
        <v>1.8928571428571428</v>
      </c>
    </row>
    <row r="8636" spans="1:10">
      <c r="A8636" s="441">
        <v>12094</v>
      </c>
      <c r="B8636" s="441" t="s">
        <v>6844</v>
      </c>
      <c r="C8636" s="545">
        <v>4.666666666666667</v>
      </c>
      <c r="D8636" s="545">
        <v>2.3333333333333335</v>
      </c>
      <c r="E8636" s="545">
        <v>0.66666666666666663</v>
      </c>
      <c r="F8636" s="545">
        <v>3.7619047619047623</v>
      </c>
      <c r="G8636" s="545">
        <v>1.35</v>
      </c>
      <c r="H8636" s="545">
        <v>1</v>
      </c>
      <c r="I8636" s="545">
        <v>1</v>
      </c>
      <c r="J8636" s="545">
        <v>1.25</v>
      </c>
    </row>
    <row r="8637" spans="1:10">
      <c r="A8637" s="441">
        <v>5684</v>
      </c>
      <c r="B8637" s="441" t="s">
        <v>6845</v>
      </c>
      <c r="C8637" s="545">
        <v>2.833333333333333</v>
      </c>
      <c r="D8637" s="545">
        <v>0.33333333333333331</v>
      </c>
      <c r="E8637" s="545">
        <v>0.66666666666666663</v>
      </c>
      <c r="F8637" s="545">
        <v>2.1666666666666665</v>
      </c>
      <c r="G8637" s="545">
        <v>0.8</v>
      </c>
      <c r="H8637" s="545">
        <v>0</v>
      </c>
      <c r="I8637" s="545">
        <v>0</v>
      </c>
      <c r="J8637" s="545">
        <v>0.5714285714285714</v>
      </c>
    </row>
    <row r="8638" spans="1:10">
      <c r="A8638" s="441">
        <v>5689</v>
      </c>
      <c r="B8638" s="441" t="s">
        <v>6846</v>
      </c>
      <c r="C8638" s="545">
        <v>7</v>
      </c>
      <c r="D8638" s="545">
        <v>1</v>
      </c>
      <c r="E8638" s="545">
        <v>0</v>
      </c>
      <c r="F8638" s="545">
        <v>5.1428571428571432</v>
      </c>
      <c r="G8638" s="545">
        <v>1.95</v>
      </c>
      <c r="H8638" s="545">
        <v>0.66666666666666663</v>
      </c>
      <c r="I8638" s="545">
        <v>1</v>
      </c>
      <c r="J8638" s="545">
        <v>1.6309523809523809</v>
      </c>
    </row>
    <row r="8639" spans="1:10">
      <c r="A8639" s="441">
        <v>13104</v>
      </c>
      <c r="B8639" s="441" t="s">
        <v>6847</v>
      </c>
      <c r="C8639" s="545">
        <v>8.1666666666666661</v>
      </c>
      <c r="D8639" s="545">
        <v>1.6666666666666667</v>
      </c>
      <c r="E8639" s="545">
        <v>4.6666666666666661</v>
      </c>
      <c r="F8639" s="545">
        <v>6.7380952380952364</v>
      </c>
      <c r="G8639" s="545">
        <v>2.5499999999999998</v>
      </c>
      <c r="H8639" s="545">
        <v>1</v>
      </c>
      <c r="I8639" s="545">
        <v>1.6666666666666667</v>
      </c>
      <c r="J8639" s="545">
        <v>2.2023809523809521</v>
      </c>
    </row>
    <row r="8640" spans="1:10">
      <c r="A8640" s="441">
        <v>5692</v>
      </c>
      <c r="B8640" s="441" t="s">
        <v>6848</v>
      </c>
      <c r="C8640" s="545">
        <v>7</v>
      </c>
      <c r="D8640" s="545">
        <v>0.66666666666666663</v>
      </c>
      <c r="E8640" s="545">
        <v>0.33333333333333331</v>
      </c>
      <c r="F8640" s="545">
        <v>5.1428571428571432</v>
      </c>
      <c r="G8640" s="545">
        <v>1.9</v>
      </c>
      <c r="H8640" s="545">
        <v>1</v>
      </c>
      <c r="I8640" s="545">
        <v>7</v>
      </c>
      <c r="J8640" s="545">
        <v>2.5</v>
      </c>
    </row>
    <row r="8641" spans="1:10">
      <c r="A8641" s="441">
        <v>5693</v>
      </c>
      <c r="B8641" s="441" t="s">
        <v>6849</v>
      </c>
      <c r="C8641" s="545">
        <v>4.3333333333333339</v>
      </c>
      <c r="D8641" s="545">
        <v>1.3333333333333333</v>
      </c>
      <c r="E8641" s="545">
        <v>2.3333333333333335</v>
      </c>
      <c r="F8641" s="545">
        <v>3.6190476190476195</v>
      </c>
      <c r="G8641" s="545">
        <v>0.95</v>
      </c>
      <c r="H8641" s="545">
        <v>2.6666666666666665</v>
      </c>
      <c r="I8641" s="545">
        <v>1</v>
      </c>
      <c r="J8641" s="545">
        <v>1.2023809523809523</v>
      </c>
    </row>
    <row r="8642" spans="1:10">
      <c r="A8642" s="441">
        <v>5706</v>
      </c>
      <c r="B8642" s="441" t="s">
        <v>6850</v>
      </c>
      <c r="C8642" s="545">
        <v>0.33333333333333331</v>
      </c>
      <c r="D8642" s="545">
        <v>0</v>
      </c>
      <c r="E8642" s="545">
        <v>0</v>
      </c>
      <c r="F8642" s="545">
        <v>0.23809523809523808</v>
      </c>
      <c r="G8642" s="545">
        <v>0.15</v>
      </c>
      <c r="H8642" s="545">
        <v>0</v>
      </c>
      <c r="I8642" s="545">
        <v>0</v>
      </c>
      <c r="J8642" s="545">
        <v>0.10714285714285714</v>
      </c>
    </row>
    <row r="8643" spans="1:10">
      <c r="A8643" s="441">
        <v>5717</v>
      </c>
      <c r="B8643" s="441" t="s">
        <v>6850</v>
      </c>
      <c r="C8643" s="545">
        <v>0.16666666666666666</v>
      </c>
      <c r="D8643" s="545">
        <v>1.3333333333333333</v>
      </c>
      <c r="E8643" s="545">
        <v>0.66666666666666663</v>
      </c>
      <c r="F8643" s="545">
        <v>0.40476190476190471</v>
      </c>
      <c r="G8643" s="545">
        <v>0.7</v>
      </c>
      <c r="H8643" s="545">
        <v>0</v>
      </c>
      <c r="I8643" s="545">
        <v>0</v>
      </c>
      <c r="J8643" s="545">
        <v>0.5</v>
      </c>
    </row>
    <row r="8644" spans="1:10">
      <c r="A8644" s="441">
        <v>5683</v>
      </c>
      <c r="B8644" s="441" t="s">
        <v>6851</v>
      </c>
      <c r="C8644" s="545">
        <v>1.8333333333333333</v>
      </c>
      <c r="D8644" s="545">
        <v>0.66666666666666663</v>
      </c>
      <c r="E8644" s="545">
        <v>0</v>
      </c>
      <c r="F8644" s="545">
        <v>1.4047619047619047</v>
      </c>
      <c r="G8644" s="545">
        <v>1.35</v>
      </c>
      <c r="H8644" s="545">
        <v>0.66666666666666663</v>
      </c>
      <c r="I8644" s="545">
        <v>0.33333333333333331</v>
      </c>
      <c r="J8644" s="545">
        <v>1.1071428571428572</v>
      </c>
    </row>
    <row r="8645" spans="1:10">
      <c r="A8645" s="441">
        <v>5699</v>
      </c>
      <c r="B8645" s="441" t="s">
        <v>6851</v>
      </c>
      <c r="C8645" s="545">
        <v>1.3333333333333333</v>
      </c>
      <c r="D8645" s="545">
        <v>0.33333333333333331</v>
      </c>
      <c r="E8645" s="545">
        <v>0</v>
      </c>
      <c r="F8645" s="545">
        <v>0.99999999999999989</v>
      </c>
      <c r="G8645" s="545">
        <v>0.75</v>
      </c>
      <c r="H8645" s="545">
        <v>0.33333333333333331</v>
      </c>
      <c r="I8645" s="545">
        <v>0</v>
      </c>
      <c r="J8645" s="545">
        <v>0.58333333333333326</v>
      </c>
    </row>
    <row r="8646" spans="1:10">
      <c r="A8646" s="441">
        <v>5682</v>
      </c>
      <c r="B8646" s="441" t="s">
        <v>6852</v>
      </c>
      <c r="C8646" s="545">
        <v>0.66666666666666663</v>
      </c>
      <c r="D8646" s="545">
        <v>0.33333333333333331</v>
      </c>
      <c r="E8646" s="545">
        <v>0.33333333333333331</v>
      </c>
      <c r="F8646" s="545">
        <v>0.5714285714285714</v>
      </c>
      <c r="G8646" s="545">
        <v>1.05</v>
      </c>
      <c r="H8646" s="545">
        <v>0</v>
      </c>
      <c r="I8646" s="545">
        <v>2</v>
      </c>
      <c r="J8646" s="545">
        <v>1.0357142857142858</v>
      </c>
    </row>
    <row r="8647" spans="1:10">
      <c r="A8647" s="441">
        <v>5700</v>
      </c>
      <c r="B8647" s="441" t="s">
        <v>6852</v>
      </c>
      <c r="C8647" s="545">
        <v>1.5</v>
      </c>
      <c r="D8647" s="545">
        <v>0</v>
      </c>
      <c r="E8647" s="545">
        <v>0</v>
      </c>
      <c r="F8647" s="545">
        <v>1.0714285714285714</v>
      </c>
      <c r="G8647" s="545">
        <v>0.8</v>
      </c>
      <c r="H8647" s="545">
        <v>0</v>
      </c>
      <c r="I8647" s="545">
        <v>0.66666666666666663</v>
      </c>
      <c r="J8647" s="545">
        <v>0.66666666666666674</v>
      </c>
    </row>
    <row r="8648" spans="1:10">
      <c r="A8648" s="441">
        <v>5679</v>
      </c>
      <c r="B8648" s="441" t="s">
        <v>6853</v>
      </c>
      <c r="C8648" s="545">
        <v>1.8333333333333333</v>
      </c>
      <c r="D8648" s="545">
        <v>0</v>
      </c>
      <c r="E8648" s="545">
        <v>0</v>
      </c>
      <c r="F8648" s="545">
        <v>1.3095238095238095</v>
      </c>
      <c r="G8648" s="545">
        <v>1.8</v>
      </c>
      <c r="H8648" s="545">
        <v>0.33333333333333331</v>
      </c>
      <c r="I8648" s="545">
        <v>1.3333333333333333</v>
      </c>
      <c r="J8648" s="545">
        <v>1.5238095238095239</v>
      </c>
    </row>
    <row r="8649" spans="1:10">
      <c r="A8649" s="441">
        <v>5703</v>
      </c>
      <c r="B8649" s="441" t="s">
        <v>6853</v>
      </c>
      <c r="C8649" s="545">
        <v>3.3333333333333335</v>
      </c>
      <c r="D8649" s="545">
        <v>0</v>
      </c>
      <c r="E8649" s="545">
        <v>0</v>
      </c>
      <c r="F8649" s="545">
        <v>2.3809523809523809</v>
      </c>
      <c r="G8649" s="545">
        <v>0.6</v>
      </c>
      <c r="H8649" s="545">
        <v>0</v>
      </c>
      <c r="I8649" s="545">
        <v>1.6666666666666667</v>
      </c>
      <c r="J8649" s="545">
        <v>0.66666666666666674</v>
      </c>
    </row>
    <row r="8650" spans="1:10">
      <c r="A8650" s="441">
        <v>5707</v>
      </c>
      <c r="B8650" s="441" t="s">
        <v>6854</v>
      </c>
      <c r="C8650" s="545">
        <v>2.6666666666666665</v>
      </c>
      <c r="D8650" s="545">
        <v>1</v>
      </c>
      <c r="E8650" s="545">
        <v>2</v>
      </c>
      <c r="F8650" s="545">
        <v>2.333333333333333</v>
      </c>
      <c r="G8650" s="545">
        <v>2.0499999999999998</v>
      </c>
      <c r="H8650" s="545">
        <v>1.3333333333333333</v>
      </c>
      <c r="I8650" s="545">
        <v>2</v>
      </c>
      <c r="J8650" s="545">
        <v>1.9404761904761905</v>
      </c>
    </row>
    <row r="8651" spans="1:10">
      <c r="A8651" s="441">
        <v>5716</v>
      </c>
      <c r="B8651" s="441" t="s">
        <v>6854</v>
      </c>
      <c r="C8651" s="545">
        <v>3.333333333333333</v>
      </c>
      <c r="D8651" s="545">
        <v>1.6666666666666667</v>
      </c>
      <c r="E8651" s="545">
        <v>1.6666666666666667</v>
      </c>
      <c r="F8651" s="545">
        <v>2.8571428571428572</v>
      </c>
      <c r="G8651" s="545">
        <v>2.25</v>
      </c>
      <c r="H8651" s="545">
        <v>0.66666666666666663</v>
      </c>
      <c r="I8651" s="545">
        <v>0</v>
      </c>
      <c r="J8651" s="545">
        <v>1.7023809523809523</v>
      </c>
    </row>
    <row r="8652" spans="1:10">
      <c r="A8652" s="441">
        <v>5709</v>
      </c>
      <c r="B8652" s="441" t="s">
        <v>6855</v>
      </c>
      <c r="C8652" s="545">
        <v>3</v>
      </c>
      <c r="D8652" s="545">
        <v>1</v>
      </c>
      <c r="E8652" s="545">
        <v>1</v>
      </c>
      <c r="F8652" s="545">
        <v>2.4285714285714284</v>
      </c>
      <c r="G8652" s="545">
        <v>1</v>
      </c>
      <c r="H8652" s="545">
        <v>1.3333333333333333</v>
      </c>
      <c r="I8652" s="545">
        <v>0</v>
      </c>
      <c r="J8652" s="545">
        <v>0.90476190476190477</v>
      </c>
    </row>
    <row r="8653" spans="1:10">
      <c r="A8653" s="441">
        <v>5710</v>
      </c>
      <c r="B8653" s="441" t="s">
        <v>6855</v>
      </c>
      <c r="C8653" s="545">
        <v>5</v>
      </c>
      <c r="D8653" s="545">
        <v>0.66666666666666663</v>
      </c>
      <c r="E8653" s="545">
        <v>0</v>
      </c>
      <c r="F8653" s="545">
        <v>3.666666666666667</v>
      </c>
      <c r="G8653" s="545">
        <v>1.1499999999999999</v>
      </c>
      <c r="H8653" s="545">
        <v>0.66666666666666663</v>
      </c>
      <c r="I8653" s="545">
        <v>0.66666666666666663</v>
      </c>
      <c r="J8653" s="545">
        <v>1.0119047619047621</v>
      </c>
    </row>
    <row r="8654" spans="1:10">
      <c r="A8654" s="441">
        <v>5713</v>
      </c>
      <c r="B8654" s="441" t="s">
        <v>6855</v>
      </c>
      <c r="C8654" s="545">
        <v>2.6666666666666665</v>
      </c>
      <c r="D8654" s="545">
        <v>3.3333333333333335</v>
      </c>
      <c r="E8654" s="545">
        <v>0.33333333333333331</v>
      </c>
      <c r="F8654" s="545">
        <v>2.4285714285714279</v>
      </c>
      <c r="G8654" s="545">
        <v>1.85</v>
      </c>
      <c r="H8654" s="545">
        <v>0.33333333333333331</v>
      </c>
      <c r="I8654" s="545">
        <v>0</v>
      </c>
      <c r="J8654" s="545">
        <v>1.3690476190476191</v>
      </c>
    </row>
    <row r="8655" spans="1:10">
      <c r="A8655" s="441">
        <v>5714</v>
      </c>
      <c r="B8655" s="441" t="s">
        <v>6856</v>
      </c>
      <c r="C8655" s="545">
        <v>3.1666666666666665</v>
      </c>
      <c r="D8655" s="545">
        <v>2</v>
      </c>
      <c r="E8655" s="545">
        <v>1.3333333333333333</v>
      </c>
      <c r="F8655" s="545">
        <v>2.7380952380952377</v>
      </c>
      <c r="G8655" s="545">
        <v>1.85</v>
      </c>
      <c r="H8655" s="545">
        <v>1</v>
      </c>
      <c r="I8655" s="545">
        <v>0</v>
      </c>
      <c r="J8655" s="545">
        <v>1.4642857142857142</v>
      </c>
    </row>
    <row r="8656" spans="1:10">
      <c r="A8656" s="441">
        <v>9999</v>
      </c>
      <c r="B8656" s="441" t="s">
        <v>6856</v>
      </c>
      <c r="C8656" s="545">
        <v>2.6666666666666665</v>
      </c>
      <c r="D8656" s="545">
        <v>1</v>
      </c>
      <c r="E8656" s="545">
        <v>1</v>
      </c>
      <c r="F8656" s="545">
        <v>2.1904761904761902</v>
      </c>
      <c r="G8656" s="545">
        <v>1.95</v>
      </c>
      <c r="H8656" s="545">
        <v>0.66666666666666663</v>
      </c>
      <c r="I8656" s="545">
        <v>0</v>
      </c>
      <c r="J8656" s="545">
        <v>1.4880952380952379</v>
      </c>
    </row>
    <row r="8657" spans="1:10">
      <c r="A8657" s="441">
        <v>5695</v>
      </c>
      <c r="B8657" s="441" t="s">
        <v>6857</v>
      </c>
      <c r="C8657" s="545">
        <v>8.3333333333333321</v>
      </c>
      <c r="D8657" s="545">
        <v>2</v>
      </c>
      <c r="E8657" s="545">
        <v>5</v>
      </c>
      <c r="F8657" s="545">
        <v>6.9523809523809508</v>
      </c>
      <c r="G8657" s="545">
        <v>5.05</v>
      </c>
      <c r="H8657" s="545">
        <v>2.3333333333333335</v>
      </c>
      <c r="I8657" s="545">
        <v>3</v>
      </c>
      <c r="J8657" s="545">
        <v>4.3690476190476186</v>
      </c>
    </row>
    <row r="8658" spans="1:10">
      <c r="A8658" s="441">
        <v>11899</v>
      </c>
      <c r="B8658" s="441" t="s">
        <v>6857</v>
      </c>
      <c r="C8658" s="545">
        <v>9</v>
      </c>
      <c r="D8658" s="545">
        <v>2.3333333333333335</v>
      </c>
      <c r="E8658" s="545">
        <v>3.6666666666666665</v>
      </c>
      <c r="F8658" s="545">
        <v>7.2857142857142856</v>
      </c>
      <c r="G8658" s="545">
        <v>5.55</v>
      </c>
      <c r="H8658" s="545">
        <v>3.6666666666666665</v>
      </c>
      <c r="I8658" s="545">
        <v>8</v>
      </c>
      <c r="J8658" s="545">
        <v>5.6309523809523814</v>
      </c>
    </row>
    <row r="8659" spans="1:10">
      <c r="A8659" s="441">
        <v>5687</v>
      </c>
      <c r="B8659" s="441" t="s">
        <v>6858</v>
      </c>
      <c r="C8659" s="545">
        <v>8.5</v>
      </c>
      <c r="D8659" s="545">
        <v>0.33333333333333331</v>
      </c>
      <c r="E8659" s="545">
        <v>0</v>
      </c>
      <c r="F8659" s="545">
        <v>6.1190476190476195</v>
      </c>
      <c r="G8659" s="545">
        <v>0.45</v>
      </c>
      <c r="H8659" s="545">
        <v>0</v>
      </c>
      <c r="I8659" s="545">
        <v>0.66666666666666663</v>
      </c>
      <c r="J8659" s="545">
        <v>0.41666666666666663</v>
      </c>
    </row>
    <row r="8660" spans="1:10">
      <c r="A8660" s="441">
        <v>5694</v>
      </c>
      <c r="B8660" s="441" t="s">
        <v>6858</v>
      </c>
      <c r="C8660" s="545">
        <v>2.333333333333333</v>
      </c>
      <c r="D8660" s="545">
        <v>0</v>
      </c>
      <c r="E8660" s="545">
        <v>0</v>
      </c>
      <c r="F8660" s="545">
        <v>1.6666666666666663</v>
      </c>
      <c r="G8660" s="545">
        <v>0.3</v>
      </c>
      <c r="H8660" s="545">
        <v>0</v>
      </c>
      <c r="I8660" s="545">
        <v>0.33333333333333331</v>
      </c>
      <c r="J8660" s="545">
        <v>0.26190476190476192</v>
      </c>
    </row>
    <row r="8661" spans="1:10">
      <c r="A8661" s="441">
        <v>5681</v>
      </c>
      <c r="B8661" s="441" t="s">
        <v>6859</v>
      </c>
      <c r="C8661" s="545">
        <v>10.166666666666666</v>
      </c>
      <c r="D8661" s="545">
        <v>0</v>
      </c>
      <c r="E8661" s="545">
        <v>0</v>
      </c>
      <c r="F8661" s="545">
        <v>7.261904761904761</v>
      </c>
      <c r="G8661" s="545">
        <v>2.85</v>
      </c>
      <c r="H8661" s="545">
        <v>0</v>
      </c>
      <c r="I8661" s="545">
        <v>0</v>
      </c>
      <c r="J8661" s="545">
        <v>2.0357142857142856</v>
      </c>
    </row>
    <row r="8662" spans="1:10">
      <c r="A8662" s="441">
        <v>5701</v>
      </c>
      <c r="B8662" s="441" t="s">
        <v>6859</v>
      </c>
      <c r="C8662" s="545">
        <v>8</v>
      </c>
      <c r="D8662" s="545">
        <v>0</v>
      </c>
      <c r="E8662" s="545">
        <v>0.33333333333333331</v>
      </c>
      <c r="F8662" s="545">
        <v>5.7619047619047619</v>
      </c>
      <c r="G8662" s="545">
        <v>1.95</v>
      </c>
      <c r="H8662" s="545">
        <v>0.33333333333333331</v>
      </c>
      <c r="I8662" s="545">
        <v>0.33333333333333331</v>
      </c>
      <c r="J8662" s="545">
        <v>1.4880952380952384</v>
      </c>
    </row>
    <row r="8663" spans="1:10">
      <c r="A8663" s="441">
        <v>5691</v>
      </c>
      <c r="B8663" s="441" t="s">
        <v>6860</v>
      </c>
      <c r="C8663" s="545">
        <v>10.666666666666668</v>
      </c>
      <c r="D8663" s="545">
        <v>1</v>
      </c>
      <c r="E8663" s="545">
        <v>4.6666666666666661</v>
      </c>
      <c r="F8663" s="545">
        <v>8.4285714285714288</v>
      </c>
      <c r="G8663" s="545">
        <v>2.15</v>
      </c>
      <c r="H8663" s="545">
        <v>0.33333333333333331</v>
      </c>
      <c r="I8663" s="545">
        <v>5.666666666666667</v>
      </c>
      <c r="J8663" s="545">
        <v>2.3928571428571428</v>
      </c>
    </row>
    <row r="8664" spans="1:10">
      <c r="A8664" s="441">
        <v>5685</v>
      </c>
      <c r="B8664" s="441" t="s">
        <v>6861</v>
      </c>
      <c r="C8664" s="545">
        <v>2</v>
      </c>
      <c r="D8664" s="545">
        <v>0.33333333333333331</v>
      </c>
      <c r="E8664" s="545">
        <v>0.33333333333333331</v>
      </c>
      <c r="F8664" s="545">
        <v>1.5238095238095239</v>
      </c>
      <c r="G8664" s="545">
        <v>0.95</v>
      </c>
      <c r="H8664" s="545">
        <v>0.66666666666666663</v>
      </c>
      <c r="I8664" s="545">
        <v>0.33333333333333331</v>
      </c>
      <c r="J8664" s="545">
        <v>0.8214285714285714</v>
      </c>
    </row>
    <row r="8665" spans="1:10">
      <c r="A8665" s="441">
        <v>5697</v>
      </c>
      <c r="B8665" s="441" t="s">
        <v>6861</v>
      </c>
      <c r="C8665" s="545">
        <v>4</v>
      </c>
      <c r="D8665" s="545">
        <v>0</v>
      </c>
      <c r="E8665" s="545">
        <v>0.66666666666666663</v>
      </c>
      <c r="F8665" s="545">
        <v>2.9523809523809526</v>
      </c>
      <c r="G8665" s="545">
        <v>0.75</v>
      </c>
      <c r="H8665" s="545">
        <v>0</v>
      </c>
      <c r="I8665" s="545">
        <v>0.33333333333333331</v>
      </c>
      <c r="J8665" s="545">
        <v>0.58333333333333326</v>
      </c>
    </row>
    <row r="8666" spans="1:10">
      <c r="A8666" s="441">
        <v>5686</v>
      </c>
      <c r="B8666" s="441" t="s">
        <v>6862</v>
      </c>
      <c r="C8666" s="545">
        <v>2.6666666666666665</v>
      </c>
      <c r="D8666" s="545">
        <v>0</v>
      </c>
      <c r="E8666" s="545">
        <v>0.66666666666666663</v>
      </c>
      <c r="F8666" s="545">
        <v>1.9999999999999998</v>
      </c>
      <c r="G8666" s="545">
        <v>0.25</v>
      </c>
      <c r="H8666" s="545">
        <v>0</v>
      </c>
      <c r="I8666" s="545">
        <v>0</v>
      </c>
      <c r="J8666" s="545">
        <v>0.17857142857142858</v>
      </c>
    </row>
    <row r="8667" spans="1:10">
      <c r="A8667" s="441">
        <v>5696</v>
      </c>
      <c r="B8667" s="441" t="s">
        <v>6862</v>
      </c>
      <c r="C8667" s="545">
        <v>1.1666666666666667</v>
      </c>
      <c r="D8667" s="545">
        <v>0</v>
      </c>
      <c r="E8667" s="545">
        <v>0</v>
      </c>
      <c r="F8667" s="545">
        <v>0.83333333333333337</v>
      </c>
      <c r="G8667" s="545">
        <v>1.1000000000000001</v>
      </c>
      <c r="H8667" s="545">
        <v>0</v>
      </c>
      <c r="I8667" s="545">
        <v>0.33333333333333331</v>
      </c>
      <c r="J8667" s="545">
        <v>0.83333333333333326</v>
      </c>
    </row>
    <row r="8668" spans="1:10">
      <c r="A8668" s="441">
        <v>5698</v>
      </c>
      <c r="B8668" s="441" t="s">
        <v>6863</v>
      </c>
      <c r="C8668" s="545">
        <v>7.333333333333333</v>
      </c>
      <c r="D8668" s="545">
        <v>0</v>
      </c>
      <c r="E8668" s="545">
        <v>0.66666666666666663</v>
      </c>
      <c r="F8668" s="545">
        <v>5.333333333333333</v>
      </c>
      <c r="G8668" s="545">
        <v>0.5</v>
      </c>
      <c r="H8668" s="545">
        <v>0</v>
      </c>
      <c r="I8668" s="545">
        <v>0</v>
      </c>
      <c r="J8668" s="545">
        <v>0.35714285714285715</v>
      </c>
    </row>
    <row r="8669" spans="1:10">
      <c r="A8669" s="441">
        <v>5678</v>
      </c>
      <c r="B8669" s="441" t="s">
        <v>6864</v>
      </c>
      <c r="C8669" s="545">
        <v>32.666666666666664</v>
      </c>
      <c r="D8669" s="545">
        <v>14.333333333333332</v>
      </c>
      <c r="E8669" s="545">
        <v>7.6666666666666661</v>
      </c>
      <c r="F8669" s="545">
        <v>26.476190476190474</v>
      </c>
      <c r="G8669" s="545">
        <v>15.6</v>
      </c>
      <c r="H8669" s="545">
        <v>6.666666666666667</v>
      </c>
      <c r="I8669" s="545">
        <v>10.333333333333334</v>
      </c>
      <c r="J8669" s="545">
        <v>13.571428571428571</v>
      </c>
    </row>
    <row r="8670" spans="1:10">
      <c r="A8670" s="441">
        <v>5704</v>
      </c>
      <c r="B8670" s="441" t="s">
        <v>6864</v>
      </c>
      <c r="C8670" s="545">
        <v>18.5</v>
      </c>
      <c r="D8670" s="545">
        <v>9.3333333333333339</v>
      </c>
      <c r="E8670" s="545">
        <v>4.3333333333333339</v>
      </c>
      <c r="F8670" s="545">
        <v>15.166666666666666</v>
      </c>
      <c r="G8670" s="545">
        <v>6.3</v>
      </c>
      <c r="H8670" s="545">
        <v>2.6666666666666665</v>
      </c>
      <c r="I8670" s="545">
        <v>4.333333333333333</v>
      </c>
      <c r="J8670" s="545">
        <v>5.5</v>
      </c>
    </row>
    <row r="8671" spans="1:10">
      <c r="A8671" s="441">
        <v>5690</v>
      </c>
      <c r="B8671" s="441" t="s">
        <v>6865</v>
      </c>
      <c r="C8671" s="545">
        <v>17.333333333333332</v>
      </c>
      <c r="D8671" s="545">
        <v>7.333333333333333</v>
      </c>
      <c r="E8671" s="545">
        <v>4</v>
      </c>
      <c r="F8671" s="545">
        <v>13.999999999999998</v>
      </c>
      <c r="G8671" s="545">
        <v>6.8</v>
      </c>
      <c r="H8671" s="545">
        <v>1.3333333333333333</v>
      </c>
      <c r="I8671" s="545">
        <v>2</v>
      </c>
      <c r="J8671" s="545">
        <v>5.3333333333333339</v>
      </c>
    </row>
    <row r="8672" spans="1:10">
      <c r="A8672" s="441">
        <v>5712</v>
      </c>
      <c r="B8672" s="441" t="s">
        <v>6866</v>
      </c>
      <c r="C8672" s="545">
        <v>1.6666666666666665</v>
      </c>
      <c r="D8672" s="545">
        <v>0.33333333333333331</v>
      </c>
      <c r="E8672" s="545">
        <v>0</v>
      </c>
      <c r="F8672" s="545">
        <v>1.2380952380952379</v>
      </c>
      <c r="G8672" s="545">
        <v>0.85</v>
      </c>
      <c r="H8672" s="545">
        <v>0.33333333333333331</v>
      </c>
      <c r="I8672" s="545">
        <v>0.33333333333333331</v>
      </c>
      <c r="J8672" s="545">
        <v>0.70238095238095233</v>
      </c>
    </row>
    <row r="8673" spans="1:10">
      <c r="A8673" s="441">
        <v>5680</v>
      </c>
      <c r="B8673" s="441" t="s">
        <v>6867</v>
      </c>
      <c r="C8673" s="545">
        <v>4.833333333333333</v>
      </c>
      <c r="D8673" s="545">
        <v>4.3333333333333339</v>
      </c>
      <c r="E8673" s="545">
        <v>2</v>
      </c>
      <c r="F8673" s="545">
        <v>4.3571428571428568</v>
      </c>
      <c r="G8673" s="545">
        <v>2.95</v>
      </c>
      <c r="H8673" s="545">
        <v>2</v>
      </c>
      <c r="I8673" s="545">
        <v>1.3333333333333333</v>
      </c>
      <c r="J8673" s="545">
        <v>2.583333333333333</v>
      </c>
    </row>
    <row r="8674" spans="1:10">
      <c r="A8674" s="441">
        <v>5702</v>
      </c>
      <c r="B8674" s="441" t="s">
        <v>6867</v>
      </c>
      <c r="C8674" s="545">
        <v>4.1666666666666661</v>
      </c>
      <c r="D8674" s="545">
        <v>2.3333333333333335</v>
      </c>
      <c r="E8674" s="545">
        <v>0.33333333333333331</v>
      </c>
      <c r="F8674" s="545">
        <v>3.3571428571428563</v>
      </c>
      <c r="G8674" s="545">
        <v>2.25</v>
      </c>
      <c r="H8674" s="545">
        <v>1</v>
      </c>
      <c r="I8674" s="545">
        <v>0.66666666666666663</v>
      </c>
      <c r="J8674" s="545">
        <v>1.8452380952380951</v>
      </c>
    </row>
    <row r="8675" spans="1:10">
      <c r="A8675" s="441">
        <v>5705</v>
      </c>
      <c r="B8675" s="441" t="s">
        <v>6868</v>
      </c>
      <c r="C8675" s="545">
        <v>0.83333333333333326</v>
      </c>
      <c r="D8675" s="545">
        <v>0</v>
      </c>
      <c r="E8675" s="545">
        <v>0</v>
      </c>
      <c r="F8675" s="545">
        <v>0.59523809523809512</v>
      </c>
      <c r="G8675" s="545">
        <v>0.25</v>
      </c>
      <c r="H8675" s="545">
        <v>0</v>
      </c>
      <c r="I8675" s="545">
        <v>0</v>
      </c>
      <c r="J8675" s="545">
        <v>0.17857142857142858</v>
      </c>
    </row>
    <row r="8676" spans="1:10">
      <c r="A8676" s="441">
        <v>5718</v>
      </c>
      <c r="B8676" s="441" t="s">
        <v>6868</v>
      </c>
      <c r="C8676" s="545">
        <v>0.16666666666666666</v>
      </c>
      <c r="D8676" s="545">
        <v>0</v>
      </c>
      <c r="E8676" s="545">
        <v>0</v>
      </c>
      <c r="F8676" s="545">
        <v>0.11904761904761904</v>
      </c>
      <c r="G8676" s="545">
        <v>0.1</v>
      </c>
      <c r="H8676" s="545">
        <v>0</v>
      </c>
      <c r="I8676" s="545">
        <v>0</v>
      </c>
      <c r="J8676" s="545">
        <v>7.1428571428571425E-2</v>
      </c>
    </row>
    <row r="8677" spans="1:10">
      <c r="A8677" s="441">
        <v>5708</v>
      </c>
      <c r="B8677" s="441" t="s">
        <v>6869</v>
      </c>
      <c r="C8677" s="545">
        <v>3</v>
      </c>
      <c r="D8677" s="545">
        <v>0.66666666666666663</v>
      </c>
      <c r="E8677" s="545">
        <v>0</v>
      </c>
      <c r="F8677" s="545">
        <v>2.2380952380952381</v>
      </c>
      <c r="G8677" s="545">
        <v>2</v>
      </c>
      <c r="H8677" s="545">
        <v>0</v>
      </c>
      <c r="I8677" s="545">
        <v>0</v>
      </c>
      <c r="J8677" s="545">
        <v>1.4285714285714286</v>
      </c>
    </row>
    <row r="8678" spans="1:10">
      <c r="A8678" s="441">
        <v>5715</v>
      </c>
      <c r="B8678" s="441" t="s">
        <v>6869</v>
      </c>
      <c r="C8678" s="545">
        <v>1.1666666666666667</v>
      </c>
      <c r="D8678" s="545">
        <v>3</v>
      </c>
      <c r="E8678" s="545">
        <v>0.66666666666666663</v>
      </c>
      <c r="F8678" s="545">
        <v>1.3571428571428572</v>
      </c>
      <c r="G8678" s="545">
        <v>0.5</v>
      </c>
      <c r="H8678" s="545">
        <v>0</v>
      </c>
      <c r="I8678" s="545">
        <v>0</v>
      </c>
      <c r="J8678" s="545">
        <v>0.35714285714285715</v>
      </c>
    </row>
    <row r="8679" spans="1:10">
      <c r="A8679" s="441">
        <v>5719</v>
      </c>
      <c r="B8679" s="441" t="s">
        <v>6870</v>
      </c>
      <c r="C8679" s="545">
        <v>10.166666666666666</v>
      </c>
      <c r="D8679" s="545">
        <v>5.333333333333333</v>
      </c>
      <c r="E8679" s="545">
        <v>2.6666666666666665</v>
      </c>
      <c r="F8679" s="545">
        <v>8.4047619047619033</v>
      </c>
      <c r="G8679" s="545">
        <v>3.5</v>
      </c>
      <c r="H8679" s="545">
        <v>2.3333333333333335</v>
      </c>
      <c r="I8679" s="545">
        <v>4.333333333333333</v>
      </c>
      <c r="J8679" s="545">
        <v>3.4523809523809521</v>
      </c>
    </row>
    <row r="8680" spans="1:10">
      <c r="A8680" s="441">
        <v>11064</v>
      </c>
      <c r="B8680" s="441" t="s">
        <v>6870</v>
      </c>
      <c r="C8680" s="545">
        <v>26</v>
      </c>
      <c r="D8680" s="545">
        <v>7.333333333333333</v>
      </c>
      <c r="E8680" s="545">
        <v>7</v>
      </c>
      <c r="F8680" s="545">
        <v>20.61904761904762</v>
      </c>
      <c r="G8680" s="545">
        <v>11.65</v>
      </c>
      <c r="H8680" s="545">
        <v>8.3333333333333339</v>
      </c>
      <c r="I8680" s="545">
        <v>8</v>
      </c>
      <c r="J8680" s="545">
        <v>10.654761904761903</v>
      </c>
    </row>
    <row r="8681" spans="1:10">
      <c r="A8681" s="441">
        <v>12644</v>
      </c>
      <c r="B8681" s="441" t="s">
        <v>6871</v>
      </c>
      <c r="C8681" s="545">
        <v>15.833333333333334</v>
      </c>
      <c r="D8681" s="545">
        <v>5.666666666666667</v>
      </c>
      <c r="E8681" s="545">
        <v>2</v>
      </c>
      <c r="F8681" s="545">
        <v>12.404761904761907</v>
      </c>
      <c r="G8681" s="545">
        <v>8.1</v>
      </c>
      <c r="H8681" s="545">
        <v>2</v>
      </c>
      <c r="I8681" s="545">
        <v>1.6666666666666667</v>
      </c>
      <c r="J8681" s="545">
        <v>6.3095238095238093</v>
      </c>
    </row>
    <row r="8682" spans="1:10">
      <c r="A8682" s="441">
        <v>720</v>
      </c>
      <c r="B8682" s="441" t="s">
        <v>6872</v>
      </c>
      <c r="C8682" s="545">
        <v>37.666666666666671</v>
      </c>
      <c r="D8682" s="545">
        <v>29.333333333333332</v>
      </c>
      <c r="E8682" s="545">
        <v>26</v>
      </c>
      <c r="F8682" s="545">
        <v>34.809523809523817</v>
      </c>
      <c r="G8682" s="545">
        <v>20.55</v>
      </c>
      <c r="H8682" s="545">
        <v>19.666666666666668</v>
      </c>
      <c r="I8682" s="545">
        <v>9.6666666666666661</v>
      </c>
      <c r="J8682" s="545">
        <v>18.86904761904762</v>
      </c>
    </row>
    <row r="8683" spans="1:10">
      <c r="A8683" s="441">
        <v>889</v>
      </c>
      <c r="B8683" s="441" t="s">
        <v>6872</v>
      </c>
      <c r="C8683" s="545">
        <v>35.666666666666664</v>
      </c>
      <c r="D8683" s="545">
        <v>21</v>
      </c>
      <c r="E8683" s="545">
        <v>21</v>
      </c>
      <c r="F8683" s="545">
        <v>31.476190476190474</v>
      </c>
      <c r="G8683" s="545">
        <v>20.05</v>
      </c>
      <c r="H8683" s="545">
        <v>16.333333333333332</v>
      </c>
      <c r="I8683" s="545">
        <v>7.666666666666667</v>
      </c>
      <c r="J8683" s="545">
        <v>17.75</v>
      </c>
    </row>
    <row r="8684" spans="1:10">
      <c r="A8684" s="441">
        <v>718</v>
      </c>
      <c r="B8684" s="441" t="s">
        <v>6873</v>
      </c>
      <c r="C8684" s="545">
        <v>8.5</v>
      </c>
      <c r="D8684" s="545">
        <v>4.666666666666667</v>
      </c>
      <c r="E8684" s="545">
        <v>2.3333333333333335</v>
      </c>
      <c r="F8684" s="545">
        <v>7.0714285714285712</v>
      </c>
      <c r="G8684" s="545">
        <v>6.6</v>
      </c>
      <c r="H8684" s="545">
        <v>10</v>
      </c>
      <c r="I8684" s="545">
        <v>2.3333333333333335</v>
      </c>
      <c r="J8684" s="545">
        <v>6.4761904761904763</v>
      </c>
    </row>
    <row r="8685" spans="1:10">
      <c r="A8685" s="441">
        <v>891</v>
      </c>
      <c r="B8685" s="441" t="s">
        <v>6873</v>
      </c>
      <c r="C8685" s="545">
        <v>7.3333333333333339</v>
      </c>
      <c r="D8685" s="545">
        <v>5.666666666666667</v>
      </c>
      <c r="E8685" s="545">
        <v>3</v>
      </c>
      <c r="F8685" s="545">
        <v>6.4761904761904763</v>
      </c>
      <c r="G8685" s="545">
        <v>7.25</v>
      </c>
      <c r="H8685" s="545">
        <v>6.666666666666667</v>
      </c>
      <c r="I8685" s="545">
        <v>1.3333333333333333</v>
      </c>
      <c r="J8685" s="545">
        <v>6.3214285714285712</v>
      </c>
    </row>
    <row r="8686" spans="1:10">
      <c r="A8686" s="441">
        <v>716</v>
      </c>
      <c r="B8686" s="441" t="s">
        <v>6874</v>
      </c>
      <c r="C8686" s="545">
        <v>1.5</v>
      </c>
      <c r="D8686" s="545">
        <v>0</v>
      </c>
      <c r="E8686" s="545">
        <v>1.3333333333333333</v>
      </c>
      <c r="F8686" s="545">
        <v>1.2619047619047621</v>
      </c>
      <c r="G8686" s="545">
        <v>1.5</v>
      </c>
      <c r="H8686" s="545">
        <v>1</v>
      </c>
      <c r="I8686" s="545">
        <v>3</v>
      </c>
      <c r="J8686" s="545">
        <v>1.6428571428571428</v>
      </c>
    </row>
    <row r="8687" spans="1:10">
      <c r="A8687" s="441">
        <v>894</v>
      </c>
      <c r="B8687" s="441" t="s">
        <v>6874</v>
      </c>
      <c r="C8687" s="545">
        <v>3.1666666666666665</v>
      </c>
      <c r="D8687" s="545">
        <v>1.3333333333333333</v>
      </c>
      <c r="E8687" s="545">
        <v>0.66666666666666663</v>
      </c>
      <c r="F8687" s="545">
        <v>2.5476190476190474</v>
      </c>
      <c r="G8687" s="545">
        <v>1.85</v>
      </c>
      <c r="H8687" s="545">
        <v>2</v>
      </c>
      <c r="I8687" s="545">
        <v>1.6666666666666667</v>
      </c>
      <c r="J8687" s="545">
        <v>1.8452380952380951</v>
      </c>
    </row>
    <row r="8688" spans="1:10">
      <c r="A8688" s="441">
        <v>717</v>
      </c>
      <c r="B8688" s="441" t="s">
        <v>6875</v>
      </c>
      <c r="C8688" s="545">
        <v>4.5</v>
      </c>
      <c r="D8688" s="545">
        <v>3.333333333333333</v>
      </c>
      <c r="E8688" s="545">
        <v>4.333333333333333</v>
      </c>
      <c r="F8688" s="545">
        <v>4.3095238095238093</v>
      </c>
      <c r="G8688" s="545">
        <v>4.8</v>
      </c>
      <c r="H8688" s="545">
        <v>3.6666666666666665</v>
      </c>
      <c r="I8688" s="545">
        <v>1.3333333333333333</v>
      </c>
      <c r="J8688" s="545">
        <v>4.1428571428571432</v>
      </c>
    </row>
    <row r="8689" spans="1:10">
      <c r="A8689" s="441">
        <v>893</v>
      </c>
      <c r="B8689" s="441" t="s">
        <v>6875</v>
      </c>
      <c r="C8689" s="545">
        <v>6.166666666666667</v>
      </c>
      <c r="D8689" s="545">
        <v>4.666666666666667</v>
      </c>
      <c r="E8689" s="545">
        <v>5.333333333333333</v>
      </c>
      <c r="F8689" s="545">
        <v>5.8333333333333339</v>
      </c>
      <c r="G8689" s="545">
        <v>9.8000000000000007</v>
      </c>
      <c r="H8689" s="545">
        <v>6.333333333333333</v>
      </c>
      <c r="I8689" s="545">
        <v>3</v>
      </c>
      <c r="J8689" s="545">
        <v>8.3333333333333339</v>
      </c>
    </row>
    <row r="8690" spans="1:10">
      <c r="A8690" s="441">
        <v>719</v>
      </c>
      <c r="B8690" s="441" t="s">
        <v>6876</v>
      </c>
      <c r="C8690" s="545">
        <v>5</v>
      </c>
      <c r="D8690" s="545">
        <v>2.3333333333333335</v>
      </c>
      <c r="E8690" s="545">
        <v>3.666666666666667</v>
      </c>
      <c r="F8690" s="545">
        <v>4.4285714285714288</v>
      </c>
      <c r="G8690" s="545">
        <v>3.7</v>
      </c>
      <c r="H8690" s="545">
        <v>2.3333333333333335</v>
      </c>
      <c r="I8690" s="545">
        <v>0.33333333333333331</v>
      </c>
      <c r="J8690" s="545">
        <v>3.0238095238095233</v>
      </c>
    </row>
    <row r="8691" spans="1:10">
      <c r="A8691" s="441">
        <v>890</v>
      </c>
      <c r="B8691" s="441" t="s">
        <v>6876</v>
      </c>
      <c r="C8691" s="545">
        <v>6.333333333333333</v>
      </c>
      <c r="D8691" s="545">
        <v>6.3333333333333339</v>
      </c>
      <c r="E8691" s="545">
        <v>1.6666666666666667</v>
      </c>
      <c r="F8691" s="545">
        <v>5.6666666666666661</v>
      </c>
      <c r="G8691" s="545">
        <v>2.5</v>
      </c>
      <c r="H8691" s="545">
        <v>4</v>
      </c>
      <c r="I8691" s="545">
        <v>1.3333333333333333</v>
      </c>
      <c r="J8691" s="545">
        <v>2.5476190476190474</v>
      </c>
    </row>
    <row r="8692" spans="1:10">
      <c r="A8692" s="441">
        <v>712</v>
      </c>
      <c r="B8692" s="441" t="s">
        <v>6877</v>
      </c>
      <c r="C8692" s="545">
        <v>7</v>
      </c>
      <c r="D8692" s="545">
        <v>1.6666666666666667</v>
      </c>
      <c r="E8692" s="545">
        <v>3</v>
      </c>
      <c r="F8692" s="545">
        <v>5.6666666666666661</v>
      </c>
      <c r="G8692" s="545">
        <v>4.0999999999999996</v>
      </c>
      <c r="H8692" s="545">
        <v>3</v>
      </c>
      <c r="I8692" s="545">
        <v>1</v>
      </c>
      <c r="J8692" s="545">
        <v>3.5</v>
      </c>
    </row>
    <row r="8693" spans="1:10">
      <c r="A8693" s="441">
        <v>898</v>
      </c>
      <c r="B8693" s="441" t="s">
        <v>6877</v>
      </c>
      <c r="C8693" s="545">
        <v>8.5</v>
      </c>
      <c r="D8693" s="545">
        <v>7.333333333333333</v>
      </c>
      <c r="E8693" s="545">
        <v>5.333333333333333</v>
      </c>
      <c r="F8693" s="545">
        <v>7.8809523809523814</v>
      </c>
      <c r="G8693" s="545">
        <v>4.05</v>
      </c>
      <c r="H8693" s="545">
        <v>2.3333333333333335</v>
      </c>
      <c r="I8693" s="545">
        <v>3</v>
      </c>
      <c r="J8693" s="545">
        <v>3.6547619047619047</v>
      </c>
    </row>
    <row r="8694" spans="1:10">
      <c r="A8694" s="441">
        <v>892</v>
      </c>
      <c r="B8694" s="441" t="s">
        <v>6878</v>
      </c>
      <c r="C8694" s="545">
        <v>68.5</v>
      </c>
      <c r="D8694" s="545">
        <v>41</v>
      </c>
      <c r="E8694" s="545">
        <v>36</v>
      </c>
      <c r="F8694" s="545">
        <v>59.928571428571431</v>
      </c>
      <c r="G8694" s="545">
        <v>33.450000000000003</v>
      </c>
      <c r="H8694" s="545">
        <v>29.666666666666668</v>
      </c>
      <c r="I8694" s="545">
        <v>16.333333333333332</v>
      </c>
      <c r="J8694" s="545">
        <v>30.464285714285715</v>
      </c>
    </row>
    <row r="8695" spans="1:10">
      <c r="A8695" s="441">
        <v>10167</v>
      </c>
      <c r="B8695" s="441" t="s">
        <v>6878</v>
      </c>
      <c r="C8695" s="545">
        <v>73.5</v>
      </c>
      <c r="D8695" s="545">
        <v>38.666666666666664</v>
      </c>
      <c r="E8695" s="545">
        <v>38.666666666666671</v>
      </c>
      <c r="F8695" s="545">
        <v>63.547619047619051</v>
      </c>
      <c r="G8695" s="545">
        <v>38.6</v>
      </c>
      <c r="H8695" s="545">
        <v>31.666666666666668</v>
      </c>
      <c r="I8695" s="545">
        <v>18.666666666666668</v>
      </c>
      <c r="J8695" s="545">
        <v>34.761904761904759</v>
      </c>
    </row>
    <row r="8696" spans="1:10">
      <c r="A8696" s="441">
        <v>3526</v>
      </c>
      <c r="B8696" s="441" t="s">
        <v>6879</v>
      </c>
      <c r="C8696" s="545">
        <v>38</v>
      </c>
      <c r="D8696" s="545">
        <v>36.333333333333336</v>
      </c>
      <c r="E8696" s="545">
        <v>30.666666666666664</v>
      </c>
      <c r="F8696" s="545">
        <v>36.714285714285715</v>
      </c>
      <c r="G8696" s="545">
        <v>27</v>
      </c>
      <c r="H8696" s="545">
        <v>25.333333333333332</v>
      </c>
      <c r="I8696" s="545">
        <v>18.333333333333332</v>
      </c>
      <c r="J8696" s="545">
        <v>25.523809523809526</v>
      </c>
    </row>
    <row r="8697" spans="1:10">
      <c r="A8697" s="441">
        <v>3510</v>
      </c>
      <c r="B8697" s="441" t="s">
        <v>6880</v>
      </c>
      <c r="C8697" s="545">
        <v>38.333333333333336</v>
      </c>
      <c r="D8697" s="545">
        <v>32.333333333333336</v>
      </c>
      <c r="E8697" s="545">
        <v>32</v>
      </c>
      <c r="F8697" s="545">
        <v>36.571428571428569</v>
      </c>
      <c r="G8697" s="545">
        <v>34.35</v>
      </c>
      <c r="H8697" s="545">
        <v>29.333333333333332</v>
      </c>
      <c r="I8697" s="545">
        <v>22.666666666666668</v>
      </c>
      <c r="J8697" s="545">
        <v>31.964285714285715</v>
      </c>
    </row>
    <row r="8698" spans="1:10">
      <c r="A8698" s="441">
        <v>3527</v>
      </c>
      <c r="B8698" s="441" t="s">
        <v>6880</v>
      </c>
      <c r="C8698" s="545">
        <v>20</v>
      </c>
      <c r="D8698" s="545">
        <v>19</v>
      </c>
      <c r="E8698" s="545">
        <v>18.666666666666668</v>
      </c>
      <c r="F8698" s="545">
        <v>19.666666666666664</v>
      </c>
      <c r="G8698" s="545">
        <v>21.8</v>
      </c>
      <c r="H8698" s="545">
        <v>20.666666666666668</v>
      </c>
      <c r="I8698" s="545">
        <v>16</v>
      </c>
      <c r="J8698" s="545">
        <v>20.809523809523807</v>
      </c>
    </row>
    <row r="8699" spans="1:10">
      <c r="A8699" s="441">
        <v>714</v>
      </c>
      <c r="B8699" s="441" t="s">
        <v>6881</v>
      </c>
      <c r="C8699" s="545">
        <v>2.1666666666666665</v>
      </c>
      <c r="D8699" s="545">
        <v>0.66666666666666663</v>
      </c>
      <c r="E8699" s="545">
        <v>0</v>
      </c>
      <c r="F8699" s="545">
        <v>1.6428571428571426</v>
      </c>
      <c r="G8699" s="545">
        <v>0.8</v>
      </c>
      <c r="H8699" s="545">
        <v>0</v>
      </c>
      <c r="I8699" s="545">
        <v>1</v>
      </c>
      <c r="J8699" s="545">
        <v>0.7142857142857143</v>
      </c>
    </row>
    <row r="8700" spans="1:10">
      <c r="A8700" s="441">
        <v>896</v>
      </c>
      <c r="B8700" s="441" t="s">
        <v>6881</v>
      </c>
      <c r="C8700" s="545">
        <v>3.1666666666666665</v>
      </c>
      <c r="D8700" s="545">
        <v>1.3333333333333333</v>
      </c>
      <c r="E8700" s="545">
        <v>2</v>
      </c>
      <c r="F8700" s="545">
        <v>2.7380952380952377</v>
      </c>
      <c r="G8700" s="545">
        <v>3.1</v>
      </c>
      <c r="H8700" s="545">
        <v>1.6666666666666667</v>
      </c>
      <c r="I8700" s="545">
        <v>1</v>
      </c>
      <c r="J8700" s="545">
        <v>2.5952380952380953</v>
      </c>
    </row>
    <row r="8701" spans="1:10">
      <c r="A8701" s="441">
        <v>3509</v>
      </c>
      <c r="B8701" s="441" t="s">
        <v>6882</v>
      </c>
      <c r="C8701" s="545">
        <v>13.5</v>
      </c>
      <c r="D8701" s="545">
        <v>11.666666666666666</v>
      </c>
      <c r="E8701" s="545">
        <v>10</v>
      </c>
      <c r="F8701" s="545">
        <v>12.738095238095239</v>
      </c>
      <c r="G8701" s="545">
        <v>12.5</v>
      </c>
      <c r="H8701" s="545">
        <v>15</v>
      </c>
      <c r="I8701" s="545">
        <v>3.6666666666666665</v>
      </c>
      <c r="J8701" s="545">
        <v>11.595238095238097</v>
      </c>
    </row>
    <row r="8702" spans="1:10">
      <c r="A8702" s="441">
        <v>3528</v>
      </c>
      <c r="B8702" s="441" t="s">
        <v>6882</v>
      </c>
      <c r="C8702" s="545">
        <v>17.666666666666668</v>
      </c>
      <c r="D8702" s="545">
        <v>17</v>
      </c>
      <c r="E8702" s="545">
        <v>9</v>
      </c>
      <c r="F8702" s="545">
        <v>16.333333333333336</v>
      </c>
      <c r="G8702" s="545">
        <v>18.100000000000001</v>
      </c>
      <c r="H8702" s="545">
        <v>13.666666666666666</v>
      </c>
      <c r="I8702" s="545">
        <v>13.333333333333334</v>
      </c>
      <c r="J8702" s="545">
        <v>16.785714285714285</v>
      </c>
    </row>
    <row r="8703" spans="1:10">
      <c r="A8703" s="441">
        <v>713</v>
      </c>
      <c r="B8703" s="441" t="s">
        <v>6883</v>
      </c>
      <c r="C8703" s="545">
        <v>9</v>
      </c>
      <c r="D8703" s="545">
        <v>2.6666666666666665</v>
      </c>
      <c r="E8703" s="545">
        <v>1.3333333333333333</v>
      </c>
      <c r="F8703" s="545">
        <v>7</v>
      </c>
      <c r="G8703" s="545">
        <v>7.95</v>
      </c>
      <c r="H8703" s="545">
        <v>0.33333333333333331</v>
      </c>
      <c r="I8703" s="545">
        <v>0.33333333333333331</v>
      </c>
      <c r="J8703" s="545">
        <v>5.7738095238095246</v>
      </c>
    </row>
    <row r="8704" spans="1:10">
      <c r="A8704" s="441">
        <v>897</v>
      </c>
      <c r="B8704" s="441" t="s">
        <v>6883</v>
      </c>
      <c r="C8704" s="545">
        <v>12.666666666666668</v>
      </c>
      <c r="D8704" s="545">
        <v>2</v>
      </c>
      <c r="E8704" s="545">
        <v>2.333333333333333</v>
      </c>
      <c r="F8704" s="545">
        <v>9.6666666666666679</v>
      </c>
      <c r="G8704" s="545">
        <v>7</v>
      </c>
      <c r="H8704" s="545">
        <v>1.3333333333333333</v>
      </c>
      <c r="I8704" s="545">
        <v>2.6666666666666665</v>
      </c>
      <c r="J8704" s="545">
        <v>5.5714285714285712</v>
      </c>
    </row>
    <row r="8705" spans="1:10">
      <c r="A8705" s="441">
        <v>715</v>
      </c>
      <c r="B8705" s="441" t="s">
        <v>6884</v>
      </c>
      <c r="C8705" s="545">
        <v>2.3333333333333335</v>
      </c>
      <c r="D8705" s="545">
        <v>0.66666666666666663</v>
      </c>
      <c r="E8705" s="545">
        <v>1</v>
      </c>
      <c r="F8705" s="545">
        <v>1.9047619047619049</v>
      </c>
      <c r="G8705" s="545">
        <v>3.05</v>
      </c>
      <c r="H8705" s="545">
        <v>1</v>
      </c>
      <c r="I8705" s="545">
        <v>0</v>
      </c>
      <c r="J8705" s="545">
        <v>2.3214285714285716</v>
      </c>
    </row>
    <row r="8706" spans="1:10">
      <c r="A8706" s="441">
        <v>895</v>
      </c>
      <c r="B8706" s="441" t="s">
        <v>6884</v>
      </c>
      <c r="C8706" s="545">
        <v>4.3333333333333339</v>
      </c>
      <c r="D8706" s="545">
        <v>0.66666666666666663</v>
      </c>
      <c r="E8706" s="545">
        <v>1</v>
      </c>
      <c r="F8706" s="545">
        <v>3.3333333333333344</v>
      </c>
      <c r="G8706" s="545">
        <v>4.75</v>
      </c>
      <c r="H8706" s="545">
        <v>1.6666666666666667</v>
      </c>
      <c r="I8706" s="545">
        <v>0.33333333333333331</v>
      </c>
      <c r="J8706" s="545">
        <v>3.6785714285714284</v>
      </c>
    </row>
    <row r="8707" spans="1:10">
      <c r="A8707" s="441">
        <v>3511</v>
      </c>
      <c r="B8707" s="441" t="s">
        <v>6885</v>
      </c>
      <c r="C8707" s="545">
        <v>35.5</v>
      </c>
      <c r="D8707" s="545">
        <v>31</v>
      </c>
      <c r="E8707" s="545">
        <v>24.666666666666664</v>
      </c>
      <c r="F8707" s="545">
        <v>33.30952380952381</v>
      </c>
      <c r="G8707" s="545">
        <v>29.3</v>
      </c>
      <c r="H8707" s="545">
        <v>25.333333333333332</v>
      </c>
      <c r="I8707" s="545">
        <v>21</v>
      </c>
      <c r="J8707" s="545">
        <v>27.547619047619047</v>
      </c>
    </row>
    <row r="8708" spans="1:10">
      <c r="A8708" s="441">
        <v>3508</v>
      </c>
      <c r="B8708" s="441" t="s">
        <v>6886</v>
      </c>
      <c r="C8708" s="545">
        <v>103.66666666666667</v>
      </c>
      <c r="D8708" s="545">
        <v>82</v>
      </c>
      <c r="E8708" s="545">
        <v>60.333333333333329</v>
      </c>
      <c r="F8708" s="545">
        <v>94.380952380952394</v>
      </c>
      <c r="G8708" s="545">
        <v>71.400000000000006</v>
      </c>
      <c r="H8708" s="545">
        <v>53</v>
      </c>
      <c r="I8708" s="545">
        <v>35.333333333333336</v>
      </c>
      <c r="J8708" s="545">
        <v>63.619047619047613</v>
      </c>
    </row>
    <row r="8709" spans="1:10">
      <c r="A8709" s="441">
        <v>3530</v>
      </c>
      <c r="B8709" s="441" t="s">
        <v>6886</v>
      </c>
      <c r="C8709" s="545">
        <v>112.83333333333334</v>
      </c>
      <c r="D8709" s="545">
        <v>84</v>
      </c>
      <c r="E8709" s="545">
        <v>56.333333333333336</v>
      </c>
      <c r="F8709" s="545">
        <v>100.64285714285715</v>
      </c>
      <c r="G8709" s="545">
        <v>68.7</v>
      </c>
      <c r="H8709" s="545">
        <v>61.666666666666664</v>
      </c>
      <c r="I8709" s="545">
        <v>38</v>
      </c>
      <c r="J8709" s="545">
        <v>63.30952380952381</v>
      </c>
    </row>
    <row r="8710" spans="1:10">
      <c r="A8710" s="441">
        <v>1756</v>
      </c>
      <c r="B8710" s="441" t="s">
        <v>6887</v>
      </c>
      <c r="C8710" s="545">
        <v>8</v>
      </c>
      <c r="D8710" s="545">
        <v>6</v>
      </c>
      <c r="E8710" s="545">
        <v>3.666666666666667</v>
      </c>
      <c r="F8710" s="545">
        <v>7.0952380952380949</v>
      </c>
      <c r="G8710" s="545">
        <v>4.05</v>
      </c>
      <c r="H8710" s="545">
        <v>6</v>
      </c>
      <c r="I8710" s="545">
        <v>3.3333333333333335</v>
      </c>
      <c r="J8710" s="545">
        <v>4.2261904761904763</v>
      </c>
    </row>
    <row r="8711" spans="1:10">
      <c r="A8711" s="441">
        <v>1757</v>
      </c>
      <c r="B8711" s="441" t="s">
        <v>6887</v>
      </c>
      <c r="C8711" s="545">
        <v>1.3333333333333335</v>
      </c>
      <c r="D8711" s="545">
        <v>1.3333333333333333</v>
      </c>
      <c r="E8711" s="545">
        <v>1.3333333333333333</v>
      </c>
      <c r="F8711" s="545">
        <v>1.3333333333333337</v>
      </c>
      <c r="G8711" s="545">
        <v>1.95</v>
      </c>
      <c r="H8711" s="545">
        <v>1.6666666666666667</v>
      </c>
      <c r="I8711" s="545">
        <v>0.66666666666666663</v>
      </c>
      <c r="J8711" s="545">
        <v>1.7261904761904761</v>
      </c>
    </row>
    <row r="8712" spans="1:10">
      <c r="A8712" s="441">
        <v>1765</v>
      </c>
      <c r="B8712" s="441" t="s">
        <v>6887</v>
      </c>
      <c r="C8712" s="545">
        <v>8.6666666666666661</v>
      </c>
      <c r="D8712" s="545">
        <v>5.3333333333333339</v>
      </c>
      <c r="E8712" s="545">
        <v>3</v>
      </c>
      <c r="F8712" s="545">
        <v>7.3809523809523805</v>
      </c>
      <c r="G8712" s="545">
        <v>4.6500000000000004</v>
      </c>
      <c r="H8712" s="545">
        <v>3</v>
      </c>
      <c r="I8712" s="545">
        <v>2</v>
      </c>
      <c r="J8712" s="545">
        <v>4.0357142857142856</v>
      </c>
    </row>
    <row r="8713" spans="1:10">
      <c r="A8713" s="441">
        <v>1766</v>
      </c>
      <c r="B8713" s="441" t="s">
        <v>6887</v>
      </c>
      <c r="C8713" s="545">
        <v>8.6666666666666679</v>
      </c>
      <c r="D8713" s="545">
        <v>6.666666666666667</v>
      </c>
      <c r="E8713" s="545">
        <v>1</v>
      </c>
      <c r="F8713" s="545">
        <v>7.2857142857142865</v>
      </c>
      <c r="G8713" s="545">
        <v>2.8</v>
      </c>
      <c r="H8713" s="545">
        <v>1.6666666666666667</v>
      </c>
      <c r="I8713" s="545">
        <v>1.6666666666666667</v>
      </c>
      <c r="J8713" s="545">
        <v>2.4761904761904758</v>
      </c>
    </row>
    <row r="8714" spans="1:10">
      <c r="A8714" s="441">
        <v>1753</v>
      </c>
      <c r="B8714" s="441" t="s">
        <v>6888</v>
      </c>
      <c r="C8714" s="545">
        <v>14</v>
      </c>
      <c r="D8714" s="545">
        <v>14.333333333333334</v>
      </c>
      <c r="E8714" s="545">
        <v>7.666666666666667</v>
      </c>
      <c r="F8714" s="545">
        <v>13.142857142857142</v>
      </c>
      <c r="G8714" s="545">
        <v>14.15</v>
      </c>
      <c r="H8714" s="545">
        <v>8.3333333333333339</v>
      </c>
      <c r="I8714" s="545">
        <v>4.333333333333333</v>
      </c>
      <c r="J8714" s="545">
        <v>11.916666666666666</v>
      </c>
    </row>
    <row r="8715" spans="1:10">
      <c r="A8715" s="441">
        <v>1768</v>
      </c>
      <c r="B8715" s="441" t="s">
        <v>6888</v>
      </c>
      <c r="C8715" s="545">
        <v>16.333333333333332</v>
      </c>
      <c r="D8715" s="545">
        <v>14.666666666666668</v>
      </c>
      <c r="E8715" s="545">
        <v>10.333333333333334</v>
      </c>
      <c r="F8715" s="545">
        <v>15.238095238095237</v>
      </c>
      <c r="G8715" s="545">
        <v>11.55</v>
      </c>
      <c r="H8715" s="545">
        <v>5.666666666666667</v>
      </c>
      <c r="I8715" s="545">
        <v>4.666666666666667</v>
      </c>
      <c r="J8715" s="545">
        <v>9.7261904761904763</v>
      </c>
    </row>
    <row r="8716" spans="1:10">
      <c r="A8716" s="441">
        <v>1754</v>
      </c>
      <c r="B8716" s="441" t="s">
        <v>6889</v>
      </c>
      <c r="C8716" s="545">
        <v>8.3333333333333339</v>
      </c>
      <c r="D8716" s="545">
        <v>2</v>
      </c>
      <c r="E8716" s="545">
        <v>2</v>
      </c>
      <c r="F8716" s="545">
        <v>6.5238095238095246</v>
      </c>
      <c r="G8716" s="545">
        <v>4.3499999999999996</v>
      </c>
      <c r="H8716" s="545">
        <v>4.333333333333333</v>
      </c>
      <c r="I8716" s="545">
        <v>4.333333333333333</v>
      </c>
      <c r="J8716" s="545">
        <v>4.3452380952380949</v>
      </c>
    </row>
    <row r="8717" spans="1:10">
      <c r="A8717" s="441">
        <v>1755</v>
      </c>
      <c r="B8717" s="441" t="s">
        <v>6889</v>
      </c>
      <c r="C8717" s="545">
        <v>10.666666666666668</v>
      </c>
      <c r="D8717" s="545">
        <v>5.333333333333333</v>
      </c>
      <c r="E8717" s="545">
        <v>3</v>
      </c>
      <c r="F8717" s="545">
        <v>8.809523809523812</v>
      </c>
      <c r="G8717" s="545">
        <v>2.5499999999999998</v>
      </c>
      <c r="H8717" s="545">
        <v>1.6666666666666667</v>
      </c>
      <c r="I8717" s="545">
        <v>4</v>
      </c>
      <c r="J8717" s="545">
        <v>2.6309523809523805</v>
      </c>
    </row>
    <row r="8718" spans="1:10">
      <c r="A8718" s="441">
        <v>1767</v>
      </c>
      <c r="B8718" s="441" t="s">
        <v>6889</v>
      </c>
      <c r="C8718" s="545">
        <v>8.8333333333333339</v>
      </c>
      <c r="D8718" s="545">
        <v>6.333333333333333</v>
      </c>
      <c r="E8718" s="545">
        <v>0.66666666666666663</v>
      </c>
      <c r="F8718" s="545">
        <v>7.3095238095238102</v>
      </c>
      <c r="G8718" s="545">
        <v>5.9</v>
      </c>
      <c r="H8718" s="545">
        <v>3.3333333333333335</v>
      </c>
      <c r="I8718" s="545">
        <v>2.3333333333333335</v>
      </c>
      <c r="J8718" s="545">
        <v>5.0238095238095246</v>
      </c>
    </row>
    <row r="8719" spans="1:10">
      <c r="A8719" s="441">
        <v>1758</v>
      </c>
      <c r="B8719" s="441" t="s">
        <v>6890</v>
      </c>
      <c r="C8719" s="545">
        <v>1</v>
      </c>
      <c r="D8719" s="545">
        <v>0.66666666666666663</v>
      </c>
      <c r="E8719" s="545">
        <v>1.3333333333333333</v>
      </c>
      <c r="F8719" s="545">
        <v>1</v>
      </c>
      <c r="G8719" s="545">
        <v>1.25</v>
      </c>
      <c r="H8719" s="545">
        <v>1</v>
      </c>
      <c r="I8719" s="545">
        <v>1.6666666666666667</v>
      </c>
      <c r="J8719" s="545">
        <v>1.2738095238095237</v>
      </c>
    </row>
    <row r="8720" spans="1:10">
      <c r="A8720" s="441">
        <v>1764</v>
      </c>
      <c r="B8720" s="441" t="s">
        <v>6890</v>
      </c>
      <c r="C8720" s="545">
        <v>4</v>
      </c>
      <c r="D8720" s="545">
        <v>0.33333333333333331</v>
      </c>
      <c r="E8720" s="545">
        <v>4.6666666666666661</v>
      </c>
      <c r="F8720" s="545">
        <v>3.5714285714285716</v>
      </c>
      <c r="G8720" s="545">
        <v>2.4</v>
      </c>
      <c r="H8720" s="545">
        <v>1.3333333333333333</v>
      </c>
      <c r="I8720" s="545">
        <v>1</v>
      </c>
      <c r="J8720" s="545">
        <v>2.0476190476190479</v>
      </c>
    </row>
    <row r="8721" spans="1:10">
      <c r="A8721" s="441">
        <v>863</v>
      </c>
      <c r="B8721" s="441" t="s">
        <v>6891</v>
      </c>
      <c r="C8721" s="545">
        <v>9.6666666666666661</v>
      </c>
      <c r="D8721" s="545">
        <v>6</v>
      </c>
      <c r="E8721" s="545">
        <v>4.6666666666666661</v>
      </c>
      <c r="F8721" s="545">
        <v>8.428571428571427</v>
      </c>
      <c r="G8721" s="545">
        <v>4.4000000000000004</v>
      </c>
      <c r="H8721" s="545">
        <v>1</v>
      </c>
      <c r="I8721" s="545">
        <v>0.33333333333333331</v>
      </c>
      <c r="J8721" s="545">
        <v>3.333333333333333</v>
      </c>
    </row>
    <row r="8722" spans="1:10">
      <c r="A8722" s="441">
        <v>867</v>
      </c>
      <c r="B8722" s="441" t="s">
        <v>6892</v>
      </c>
      <c r="C8722" s="545">
        <v>5.833333333333333</v>
      </c>
      <c r="D8722" s="545">
        <v>4.666666666666667</v>
      </c>
      <c r="E8722" s="545">
        <v>1.6666666666666667</v>
      </c>
      <c r="F8722" s="545">
        <v>5.0714285714285703</v>
      </c>
      <c r="G8722" s="545">
        <v>1.7</v>
      </c>
      <c r="H8722" s="545">
        <v>1</v>
      </c>
      <c r="I8722" s="545">
        <v>0.66666666666666663</v>
      </c>
      <c r="J8722" s="545">
        <v>1.4523809523809523</v>
      </c>
    </row>
    <row r="8723" spans="1:10">
      <c r="A8723" s="441">
        <v>865</v>
      </c>
      <c r="B8723" s="441" t="s">
        <v>6893</v>
      </c>
      <c r="C8723" s="545">
        <v>4</v>
      </c>
      <c r="D8723" s="545">
        <v>0.33333333333333331</v>
      </c>
      <c r="E8723" s="545">
        <v>0.33333333333333331</v>
      </c>
      <c r="F8723" s="545">
        <v>2.9523809523809521</v>
      </c>
      <c r="G8723" s="545">
        <v>1.1000000000000001</v>
      </c>
      <c r="H8723" s="545">
        <v>0.66666666666666663</v>
      </c>
      <c r="I8723" s="545">
        <v>1</v>
      </c>
      <c r="J8723" s="545">
        <v>1.0238095238095239</v>
      </c>
    </row>
    <row r="8724" spans="1:10">
      <c r="A8724" s="441">
        <v>864</v>
      </c>
      <c r="B8724" s="441" t="s">
        <v>6894</v>
      </c>
      <c r="C8724" s="545">
        <v>7.5</v>
      </c>
      <c r="D8724" s="545">
        <v>3.333333333333333</v>
      </c>
      <c r="E8724" s="545">
        <v>0.33333333333333331</v>
      </c>
      <c r="F8724" s="545">
        <v>5.8809523809523814</v>
      </c>
      <c r="G8724" s="545">
        <v>2</v>
      </c>
      <c r="H8724" s="545">
        <v>1</v>
      </c>
      <c r="I8724" s="545">
        <v>1.3333333333333333</v>
      </c>
      <c r="J8724" s="545">
        <v>1.7619047619047621</v>
      </c>
    </row>
    <row r="8725" spans="1:10">
      <c r="A8725" s="441">
        <v>866</v>
      </c>
      <c r="B8725" s="441" t="s">
        <v>6895</v>
      </c>
      <c r="C8725" s="545">
        <v>1.1666666666666667</v>
      </c>
      <c r="D8725" s="545">
        <v>0</v>
      </c>
      <c r="E8725" s="545">
        <v>0</v>
      </c>
      <c r="F8725" s="545">
        <v>0.83333333333333337</v>
      </c>
      <c r="G8725" s="545">
        <v>0.3</v>
      </c>
      <c r="H8725" s="545">
        <v>0.33333333333333331</v>
      </c>
      <c r="I8725" s="545">
        <v>0.33333333333333331</v>
      </c>
      <c r="J8725" s="545">
        <v>0.30952380952380948</v>
      </c>
    </row>
    <row r="8726" spans="1:10">
      <c r="A8726" s="441">
        <v>8660</v>
      </c>
      <c r="B8726" s="441" t="s">
        <v>6896</v>
      </c>
      <c r="C8726" s="545">
        <v>80.666666666666657</v>
      </c>
      <c r="D8726" s="545">
        <v>30</v>
      </c>
      <c r="E8726" s="545">
        <v>27</v>
      </c>
      <c r="F8726" s="545">
        <v>65.761904761904745</v>
      </c>
      <c r="G8726" s="545">
        <v>48.35</v>
      </c>
      <c r="H8726" s="545">
        <v>39.666666666666664</v>
      </c>
      <c r="I8726" s="545">
        <v>18</v>
      </c>
      <c r="J8726" s="545">
        <v>42.773809523809526</v>
      </c>
    </row>
    <row r="8727" spans="1:10">
      <c r="A8727" s="441">
        <v>8663</v>
      </c>
      <c r="B8727" s="441" t="s">
        <v>6897</v>
      </c>
      <c r="C8727" s="545">
        <v>25.666666666666664</v>
      </c>
      <c r="D8727" s="545">
        <v>15.333333333333334</v>
      </c>
      <c r="E8727" s="545">
        <v>12</v>
      </c>
      <c r="F8727" s="545">
        <v>22.238095238095237</v>
      </c>
      <c r="G8727" s="545">
        <v>14.25</v>
      </c>
      <c r="H8727" s="545">
        <v>7</v>
      </c>
      <c r="I8727" s="545">
        <v>6.333333333333333</v>
      </c>
      <c r="J8727" s="545">
        <v>12.083333333333332</v>
      </c>
    </row>
    <row r="8728" spans="1:10">
      <c r="A8728" s="441">
        <v>8658</v>
      </c>
      <c r="B8728" s="441" t="s">
        <v>6898</v>
      </c>
      <c r="C8728" s="545">
        <v>30.166666666666664</v>
      </c>
      <c r="D8728" s="545">
        <v>19.333333333333332</v>
      </c>
      <c r="E8728" s="545">
        <v>20.666666666666664</v>
      </c>
      <c r="F8728" s="545">
        <v>27.261904761904759</v>
      </c>
      <c r="G8728" s="545">
        <v>20.3</v>
      </c>
      <c r="H8728" s="545">
        <v>14</v>
      </c>
      <c r="I8728" s="545">
        <v>7</v>
      </c>
      <c r="J8728" s="545">
        <v>17.5</v>
      </c>
    </row>
    <row r="8729" spans="1:10">
      <c r="A8729" s="441">
        <v>8662</v>
      </c>
      <c r="B8729" s="441" t="s">
        <v>6898</v>
      </c>
      <c r="C8729" s="545">
        <v>30.833333333333332</v>
      </c>
      <c r="D8729" s="545">
        <v>19.666666666666668</v>
      </c>
      <c r="E8729" s="545">
        <v>18.333333333333332</v>
      </c>
      <c r="F8729" s="545">
        <v>27.452380952380953</v>
      </c>
      <c r="G8729" s="545">
        <v>9.15</v>
      </c>
      <c r="H8729" s="545">
        <v>10.333333333333334</v>
      </c>
      <c r="I8729" s="545">
        <v>6.666666666666667</v>
      </c>
      <c r="J8729" s="545">
        <v>8.9642857142857135</v>
      </c>
    </row>
    <row r="8730" spans="1:10">
      <c r="A8730" s="441">
        <v>8659</v>
      </c>
      <c r="B8730" s="441" t="s">
        <v>6899</v>
      </c>
      <c r="C8730" s="545">
        <v>32.5</v>
      </c>
      <c r="D8730" s="545">
        <v>9.6666666666666679</v>
      </c>
      <c r="E8730" s="545">
        <v>18</v>
      </c>
      <c r="F8730" s="545">
        <v>27.166666666666664</v>
      </c>
      <c r="G8730" s="545">
        <v>18.350000000000001</v>
      </c>
      <c r="H8730" s="545">
        <v>8.6666666666666661</v>
      </c>
      <c r="I8730" s="545">
        <v>6</v>
      </c>
      <c r="J8730" s="545">
        <v>15.202380952380953</v>
      </c>
    </row>
    <row r="8731" spans="1:10">
      <c r="A8731" s="441">
        <v>8661</v>
      </c>
      <c r="B8731" s="441" t="s">
        <v>6899</v>
      </c>
      <c r="C8731" s="545">
        <v>45</v>
      </c>
      <c r="D8731" s="545">
        <v>30.333333333333332</v>
      </c>
      <c r="E8731" s="545">
        <v>23</v>
      </c>
      <c r="F8731" s="545">
        <v>39.761904761904766</v>
      </c>
      <c r="G8731" s="545">
        <v>29</v>
      </c>
      <c r="H8731" s="545">
        <v>17.666666666666668</v>
      </c>
      <c r="I8731" s="545">
        <v>17</v>
      </c>
      <c r="J8731" s="545">
        <v>25.666666666666664</v>
      </c>
    </row>
    <row r="8732" spans="1:10">
      <c r="A8732" s="441">
        <v>10621</v>
      </c>
      <c r="B8732" s="441" t="s">
        <v>6900</v>
      </c>
      <c r="C8732" s="545">
        <v>25.333333333333332</v>
      </c>
      <c r="D8732" s="545">
        <v>16.333333333333332</v>
      </c>
      <c r="E8732" s="545">
        <v>16.333333333333336</v>
      </c>
      <c r="F8732" s="545">
        <v>22.761904761904763</v>
      </c>
      <c r="G8732" s="545">
        <v>24.5</v>
      </c>
      <c r="H8732" s="545">
        <v>18.666666666666668</v>
      </c>
      <c r="I8732" s="545">
        <v>20.666666666666668</v>
      </c>
      <c r="J8732" s="545">
        <v>23.119047619047617</v>
      </c>
    </row>
    <row r="8733" spans="1:10">
      <c r="A8733" s="441">
        <v>10624</v>
      </c>
      <c r="B8733" s="441" t="s">
        <v>6900</v>
      </c>
      <c r="C8733" s="545">
        <v>29.333333333333336</v>
      </c>
      <c r="D8733" s="545">
        <v>15.666666666666668</v>
      </c>
      <c r="E8733" s="545">
        <v>10.666666666666666</v>
      </c>
      <c r="F8733" s="545">
        <v>24.714285714285715</v>
      </c>
      <c r="G8733" s="545">
        <v>14.2</v>
      </c>
      <c r="H8733" s="545">
        <v>9</v>
      </c>
      <c r="I8733" s="545">
        <v>3.6666666666666665</v>
      </c>
      <c r="J8733" s="545">
        <v>11.952380952380953</v>
      </c>
    </row>
    <row r="8734" spans="1:10">
      <c r="A8734" s="441">
        <v>10618</v>
      </c>
      <c r="B8734" s="441" t="s">
        <v>6901</v>
      </c>
      <c r="C8734" s="545">
        <v>169.66666666666666</v>
      </c>
      <c r="D8734" s="545">
        <v>92.666666666666671</v>
      </c>
      <c r="E8734" s="545">
        <v>79.666666666666671</v>
      </c>
      <c r="F8734" s="545">
        <v>145.8095238095238</v>
      </c>
      <c r="G8734" s="545">
        <v>83.15</v>
      </c>
      <c r="H8734" s="545">
        <v>65.666666666666671</v>
      </c>
      <c r="I8734" s="545">
        <v>54.333333333333336</v>
      </c>
      <c r="J8734" s="545">
        <v>76.535714285714292</v>
      </c>
    </row>
    <row r="8735" spans="1:10">
      <c r="A8735" s="441">
        <v>10627</v>
      </c>
      <c r="B8735" s="441" t="s">
        <v>6901</v>
      </c>
      <c r="C8735" s="545">
        <v>37.5</v>
      </c>
      <c r="D8735" s="545">
        <v>30.666666666666664</v>
      </c>
      <c r="E8735" s="545">
        <v>28</v>
      </c>
      <c r="F8735" s="545">
        <v>35.166666666666664</v>
      </c>
      <c r="G8735" s="545">
        <v>41.95</v>
      </c>
      <c r="H8735" s="545">
        <v>36</v>
      </c>
      <c r="I8735" s="545">
        <v>37.666666666666664</v>
      </c>
      <c r="J8735" s="545">
        <v>40.488095238095241</v>
      </c>
    </row>
    <row r="8736" spans="1:10">
      <c r="A8736" s="441">
        <v>193</v>
      </c>
      <c r="B8736" s="441" t="s">
        <v>6902</v>
      </c>
      <c r="C8736" s="545">
        <v>13.666666666666666</v>
      </c>
      <c r="D8736" s="545">
        <v>3.333333333333333</v>
      </c>
      <c r="E8736" s="545">
        <v>2.666666666666667</v>
      </c>
      <c r="F8736" s="545">
        <v>10.619047619047619</v>
      </c>
      <c r="G8736" s="545">
        <v>4.55</v>
      </c>
      <c r="H8736" s="545">
        <v>2.3333333333333335</v>
      </c>
      <c r="I8736" s="545">
        <v>4</v>
      </c>
      <c r="J8736" s="545">
        <v>4.1547619047619042</v>
      </c>
    </row>
    <row r="8737" spans="1:10">
      <c r="A8737" s="441">
        <v>10620</v>
      </c>
      <c r="B8737" s="441" t="s">
        <v>6903</v>
      </c>
      <c r="C8737" s="545">
        <v>20.166666666666668</v>
      </c>
      <c r="D8737" s="545">
        <v>14</v>
      </c>
      <c r="E8737" s="545">
        <v>11</v>
      </c>
      <c r="F8737" s="545">
        <v>17.976190476190478</v>
      </c>
      <c r="G8737" s="545">
        <v>10.25</v>
      </c>
      <c r="H8737" s="545">
        <v>10.333333333333334</v>
      </c>
      <c r="I8737" s="545">
        <v>11.333333333333334</v>
      </c>
      <c r="J8737" s="545">
        <v>10.416666666666668</v>
      </c>
    </row>
    <row r="8738" spans="1:10">
      <c r="A8738" s="441">
        <v>10625</v>
      </c>
      <c r="B8738" s="441" t="s">
        <v>6903</v>
      </c>
      <c r="C8738" s="545">
        <v>13.833333333333334</v>
      </c>
      <c r="D8738" s="545">
        <v>9.6666666666666661</v>
      </c>
      <c r="E8738" s="545">
        <v>11.333333333333334</v>
      </c>
      <c r="F8738" s="545">
        <v>12.880952380952381</v>
      </c>
      <c r="G8738" s="545">
        <v>10.050000000000001</v>
      </c>
      <c r="H8738" s="545">
        <v>11</v>
      </c>
      <c r="I8738" s="545">
        <v>8.6666666666666661</v>
      </c>
      <c r="J8738" s="545">
        <v>9.988095238095239</v>
      </c>
    </row>
    <row r="8739" spans="1:10">
      <c r="A8739" s="441">
        <v>10619</v>
      </c>
      <c r="B8739" s="441" t="s">
        <v>6904</v>
      </c>
      <c r="C8739" s="545">
        <v>49.333333333333336</v>
      </c>
      <c r="D8739" s="545">
        <v>35.666666666666664</v>
      </c>
      <c r="E8739" s="545">
        <v>21.666666666666668</v>
      </c>
      <c r="F8739" s="545">
        <v>43.428571428571438</v>
      </c>
      <c r="G8739" s="545">
        <v>23.2</v>
      </c>
      <c r="H8739" s="545">
        <v>19</v>
      </c>
      <c r="I8739" s="545">
        <v>21.666666666666668</v>
      </c>
      <c r="J8739" s="545">
        <v>22.38095238095238</v>
      </c>
    </row>
    <row r="8740" spans="1:10">
      <c r="A8740" s="441">
        <v>10626</v>
      </c>
      <c r="B8740" s="441" t="s">
        <v>6904</v>
      </c>
      <c r="C8740" s="545">
        <v>51.166666666666664</v>
      </c>
      <c r="D8740" s="545">
        <v>34</v>
      </c>
      <c r="E8740" s="545">
        <v>22</v>
      </c>
      <c r="F8740" s="545">
        <v>44.547619047619044</v>
      </c>
      <c r="G8740" s="545">
        <v>23.65</v>
      </c>
      <c r="H8740" s="545">
        <v>19.333333333333332</v>
      </c>
      <c r="I8740" s="545">
        <v>22</v>
      </c>
      <c r="J8740" s="545">
        <v>22.797619047619047</v>
      </c>
    </row>
    <row r="8741" spans="1:10">
      <c r="A8741" s="441">
        <v>10667</v>
      </c>
      <c r="B8741" s="441" t="s">
        <v>6905</v>
      </c>
      <c r="C8741" s="545">
        <v>3.5</v>
      </c>
      <c r="D8741" s="545">
        <v>0.33333333333333331</v>
      </c>
      <c r="E8741" s="545">
        <v>2</v>
      </c>
      <c r="F8741" s="545">
        <v>2.833333333333333</v>
      </c>
      <c r="G8741" s="545">
        <v>4.7</v>
      </c>
      <c r="H8741" s="545">
        <v>2.3333333333333335</v>
      </c>
      <c r="I8741" s="545">
        <v>3.3333333333333335</v>
      </c>
      <c r="J8741" s="545">
        <v>4.1666666666666661</v>
      </c>
    </row>
    <row r="8742" spans="1:10">
      <c r="A8742" s="441">
        <v>10622</v>
      </c>
      <c r="B8742" s="441" t="s">
        <v>6906</v>
      </c>
      <c r="C8742" s="545">
        <v>130.33333333333334</v>
      </c>
      <c r="D8742" s="545">
        <v>80</v>
      </c>
      <c r="E8742" s="545">
        <v>60.666666666666664</v>
      </c>
      <c r="F8742" s="545">
        <v>113.19047619047619</v>
      </c>
      <c r="G8742" s="545">
        <v>55.75</v>
      </c>
      <c r="H8742" s="545">
        <v>53.666666666666664</v>
      </c>
      <c r="I8742" s="545">
        <v>38</v>
      </c>
      <c r="J8742" s="545">
        <v>52.916666666666671</v>
      </c>
    </row>
    <row r="8743" spans="1:10">
      <c r="A8743" s="441">
        <v>11636</v>
      </c>
      <c r="B8743" s="441" t="s">
        <v>6906</v>
      </c>
      <c r="C8743" s="545">
        <v>105</v>
      </c>
      <c r="D8743" s="545">
        <v>70.333333333333329</v>
      </c>
      <c r="E8743" s="545">
        <v>56.666666666666671</v>
      </c>
      <c r="F8743" s="545">
        <v>93.142857142857139</v>
      </c>
      <c r="G8743" s="545">
        <v>55.55</v>
      </c>
      <c r="H8743" s="545">
        <v>44.333333333333336</v>
      </c>
      <c r="I8743" s="545">
        <v>32</v>
      </c>
      <c r="J8743" s="545">
        <v>50.583333333333329</v>
      </c>
    </row>
    <row r="8744" spans="1:10">
      <c r="A8744" s="441">
        <v>1395</v>
      </c>
      <c r="B8744" s="441" t="s">
        <v>6907</v>
      </c>
      <c r="C8744" s="545">
        <v>151.83333333333331</v>
      </c>
      <c r="D8744" s="545">
        <v>85.666666666666671</v>
      </c>
      <c r="E8744" s="545">
        <v>65.333333333333329</v>
      </c>
      <c r="F8744" s="545">
        <v>130.02380952380949</v>
      </c>
      <c r="G8744" s="545">
        <v>63.95</v>
      </c>
      <c r="H8744" s="545">
        <v>40.666666666666664</v>
      </c>
      <c r="I8744" s="545">
        <v>23.333333333333332</v>
      </c>
      <c r="J8744" s="545">
        <v>54.821428571428569</v>
      </c>
    </row>
    <row r="8745" spans="1:10">
      <c r="A8745" s="441">
        <v>10664</v>
      </c>
      <c r="B8745" s="441" t="s">
        <v>6908</v>
      </c>
      <c r="C8745" s="545">
        <v>6</v>
      </c>
      <c r="D8745" s="545">
        <v>2.6666666666666665</v>
      </c>
      <c r="E8745" s="545">
        <v>2.6666666666666665</v>
      </c>
      <c r="F8745" s="545">
        <v>5.0476190476190466</v>
      </c>
      <c r="G8745" s="545">
        <v>9.8000000000000007</v>
      </c>
      <c r="H8745" s="545">
        <v>2.6666666666666665</v>
      </c>
      <c r="I8745" s="545">
        <v>4.666666666666667</v>
      </c>
      <c r="J8745" s="545">
        <v>8.0476190476190474</v>
      </c>
    </row>
    <row r="8746" spans="1:10">
      <c r="A8746" s="441">
        <v>10665</v>
      </c>
      <c r="B8746" s="441" t="s">
        <v>6908</v>
      </c>
      <c r="C8746" s="545">
        <v>7.5</v>
      </c>
      <c r="D8746" s="545">
        <v>5</v>
      </c>
      <c r="E8746" s="545">
        <v>4</v>
      </c>
      <c r="F8746" s="545">
        <v>6.6428571428571432</v>
      </c>
      <c r="G8746" s="545">
        <v>8.3000000000000007</v>
      </c>
      <c r="H8746" s="545">
        <v>3.6666666666666665</v>
      </c>
      <c r="I8746" s="545">
        <v>2</v>
      </c>
      <c r="J8746" s="545">
        <v>6.7380952380952381</v>
      </c>
    </row>
    <row r="8747" spans="1:10">
      <c r="A8747" s="441">
        <v>10666</v>
      </c>
      <c r="B8747" s="441" t="s">
        <v>6908</v>
      </c>
      <c r="C8747" s="545">
        <v>25.166666666666664</v>
      </c>
      <c r="D8747" s="545">
        <v>20</v>
      </c>
      <c r="E8747" s="545">
        <v>13.666666666666666</v>
      </c>
      <c r="F8747" s="545">
        <v>22.785714285714281</v>
      </c>
      <c r="G8747" s="545">
        <v>10.7</v>
      </c>
      <c r="H8747" s="545">
        <v>9.3333333333333339</v>
      </c>
      <c r="I8747" s="545">
        <v>4.333333333333333</v>
      </c>
      <c r="J8747" s="545">
        <v>9.5952380952380967</v>
      </c>
    </row>
    <row r="8748" spans="1:10">
      <c r="A8748" s="441">
        <v>11332</v>
      </c>
      <c r="B8748" s="441" t="s">
        <v>6909</v>
      </c>
      <c r="C8748" s="545">
        <v>2.333333333333333</v>
      </c>
      <c r="D8748" s="545">
        <v>2.333333333333333</v>
      </c>
      <c r="E8748" s="545">
        <v>0.33333333333333331</v>
      </c>
      <c r="F8748" s="545">
        <v>2.047619047619047</v>
      </c>
      <c r="G8748" s="545">
        <v>0.9</v>
      </c>
      <c r="H8748" s="545">
        <v>0</v>
      </c>
      <c r="I8748" s="545">
        <v>1</v>
      </c>
      <c r="J8748" s="545">
        <v>0.7857142857142857</v>
      </c>
    </row>
    <row r="8749" spans="1:10">
      <c r="A8749" s="441">
        <v>10387</v>
      </c>
      <c r="B8749" s="441" t="s">
        <v>6910</v>
      </c>
      <c r="C8749" s="545">
        <v>3.166666666666667</v>
      </c>
      <c r="D8749" s="545">
        <v>8.6666666666666661</v>
      </c>
      <c r="E8749" s="545">
        <v>2.6666666666666665</v>
      </c>
      <c r="F8749" s="545">
        <v>3.8809523809523809</v>
      </c>
      <c r="G8749" s="545">
        <v>2.4500000000000002</v>
      </c>
      <c r="H8749" s="545">
        <v>2.3333333333333335</v>
      </c>
      <c r="I8749" s="545">
        <v>2.6666666666666665</v>
      </c>
      <c r="J8749" s="545">
        <v>2.4642857142857144</v>
      </c>
    </row>
    <row r="8750" spans="1:10">
      <c r="A8750" s="441">
        <v>11331</v>
      </c>
      <c r="B8750" s="441" t="s">
        <v>6911</v>
      </c>
      <c r="C8750" s="545">
        <v>1.3333333333333333</v>
      </c>
      <c r="D8750" s="545">
        <v>0.66666666666666663</v>
      </c>
      <c r="E8750" s="545">
        <v>0.33333333333333331</v>
      </c>
      <c r="F8750" s="545">
        <v>1.0952380952380951</v>
      </c>
      <c r="G8750" s="545">
        <v>1.25</v>
      </c>
      <c r="H8750" s="545">
        <v>0.66666666666666663</v>
      </c>
      <c r="I8750" s="545">
        <v>0.33333333333333331</v>
      </c>
      <c r="J8750" s="545">
        <v>1.0357142857142858</v>
      </c>
    </row>
    <row r="8751" spans="1:10">
      <c r="A8751" s="441">
        <v>10724</v>
      </c>
      <c r="B8751" s="441" t="s">
        <v>6912</v>
      </c>
      <c r="C8751" s="545">
        <v>11.333333333333332</v>
      </c>
      <c r="D8751" s="545">
        <v>3.666666666666667</v>
      </c>
      <c r="E8751" s="545">
        <v>2.333333333333333</v>
      </c>
      <c r="F8751" s="545">
        <v>8.9523809523809508</v>
      </c>
      <c r="G8751" s="545">
        <v>7.9</v>
      </c>
      <c r="H8751" s="545">
        <v>7</v>
      </c>
      <c r="I8751" s="545">
        <v>3</v>
      </c>
      <c r="J8751" s="545">
        <v>7.0714285714285712</v>
      </c>
    </row>
    <row r="8752" spans="1:10">
      <c r="A8752" s="441">
        <v>11333</v>
      </c>
      <c r="B8752" s="441" t="s">
        <v>6913</v>
      </c>
      <c r="C8752" s="545">
        <v>1.8333333333333335</v>
      </c>
      <c r="D8752" s="545">
        <v>20.666666666666664</v>
      </c>
      <c r="E8752" s="545">
        <v>1</v>
      </c>
      <c r="F8752" s="545">
        <v>4.4047619047619042</v>
      </c>
      <c r="G8752" s="545">
        <v>2.15</v>
      </c>
      <c r="H8752" s="545">
        <v>1</v>
      </c>
      <c r="I8752" s="545">
        <v>0</v>
      </c>
      <c r="J8752" s="545">
        <v>1.6785714285714286</v>
      </c>
    </row>
    <row r="8753" spans="1:10">
      <c r="A8753" s="441">
        <v>11335</v>
      </c>
      <c r="B8753" s="441" t="s">
        <v>6914</v>
      </c>
      <c r="C8753" s="545">
        <v>3.833333333333333</v>
      </c>
      <c r="D8753" s="545">
        <v>2.666666666666667</v>
      </c>
      <c r="E8753" s="545">
        <v>2.333333333333333</v>
      </c>
      <c r="F8753" s="545">
        <v>3.4523809523809521</v>
      </c>
      <c r="G8753" s="545">
        <v>2.95</v>
      </c>
      <c r="H8753" s="545">
        <v>0.66666666666666663</v>
      </c>
      <c r="I8753" s="545">
        <v>2.6666666666666665</v>
      </c>
      <c r="J8753" s="545">
        <v>2.583333333333333</v>
      </c>
    </row>
    <row r="8754" spans="1:10">
      <c r="A8754" s="441">
        <v>3506</v>
      </c>
      <c r="B8754" s="441" t="s">
        <v>6915</v>
      </c>
      <c r="C8754" s="545">
        <v>15.833333333333334</v>
      </c>
      <c r="D8754" s="545">
        <v>4.666666666666667</v>
      </c>
      <c r="E8754" s="545">
        <v>4.666666666666667</v>
      </c>
      <c r="F8754" s="545">
        <v>12.642857142857144</v>
      </c>
      <c r="G8754" s="545">
        <v>9.35</v>
      </c>
      <c r="H8754" s="545">
        <v>10</v>
      </c>
      <c r="I8754" s="545">
        <v>3.3333333333333335</v>
      </c>
      <c r="J8754" s="545">
        <v>8.5833333333333339</v>
      </c>
    </row>
    <row r="8755" spans="1:10">
      <c r="A8755" s="441">
        <v>3504</v>
      </c>
      <c r="B8755" s="441" t="s">
        <v>6916</v>
      </c>
      <c r="C8755" s="545">
        <v>51.333333333333329</v>
      </c>
      <c r="D8755" s="545">
        <v>48.666666666666671</v>
      </c>
      <c r="E8755" s="545">
        <v>25.333333333333332</v>
      </c>
      <c r="F8755" s="545">
        <v>47.238095238095234</v>
      </c>
      <c r="G8755" s="545">
        <v>55.3</v>
      </c>
      <c r="H8755" s="545">
        <v>43.666666666666664</v>
      </c>
      <c r="I8755" s="545">
        <v>39.666666666666664</v>
      </c>
      <c r="J8755" s="545">
        <v>51.404761904761912</v>
      </c>
    </row>
    <row r="8756" spans="1:10">
      <c r="A8756" s="441">
        <v>10192</v>
      </c>
      <c r="B8756" s="441" t="s">
        <v>6916</v>
      </c>
      <c r="C8756" s="545">
        <v>162.5</v>
      </c>
      <c r="D8756" s="545">
        <v>124.33333333333333</v>
      </c>
      <c r="E8756" s="545">
        <v>98.666666666666671</v>
      </c>
      <c r="F8756" s="545">
        <v>147.92857142857142</v>
      </c>
      <c r="G8756" s="545">
        <v>103.9</v>
      </c>
      <c r="H8756" s="545">
        <v>106</v>
      </c>
      <c r="I8756" s="545">
        <v>71.666666666666671</v>
      </c>
      <c r="J8756" s="545">
        <v>99.595238095238088</v>
      </c>
    </row>
    <row r="8757" spans="1:10">
      <c r="A8757" s="441">
        <v>12088</v>
      </c>
      <c r="B8757" s="441" t="s">
        <v>6917</v>
      </c>
      <c r="C8757" s="545">
        <v>43.5</v>
      </c>
      <c r="D8757" s="545">
        <v>38.333333333333336</v>
      </c>
      <c r="E8757" s="545">
        <v>28.666666666666668</v>
      </c>
      <c r="F8757" s="545">
        <v>40.642857142857146</v>
      </c>
      <c r="G8757" s="545">
        <v>36.85</v>
      </c>
      <c r="H8757" s="545">
        <v>38.666666666666664</v>
      </c>
      <c r="I8757" s="545">
        <v>17</v>
      </c>
      <c r="J8757" s="545">
        <v>34.273809523809526</v>
      </c>
    </row>
    <row r="8758" spans="1:10">
      <c r="A8758" s="441">
        <v>1081</v>
      </c>
      <c r="B8758" s="441" t="s">
        <v>6918</v>
      </c>
      <c r="C8758" s="545">
        <v>62</v>
      </c>
      <c r="D8758" s="545">
        <v>13.333333333333332</v>
      </c>
      <c r="E8758" s="545">
        <v>17</v>
      </c>
      <c r="F8758" s="545">
        <v>48.619047619047613</v>
      </c>
      <c r="G8758" s="545">
        <v>24.9</v>
      </c>
      <c r="H8758" s="545">
        <v>13</v>
      </c>
      <c r="I8758" s="545">
        <v>7.333333333333333</v>
      </c>
      <c r="J8758" s="545">
        <v>20.690476190476193</v>
      </c>
    </row>
    <row r="8759" spans="1:10">
      <c r="A8759" s="441">
        <v>3503</v>
      </c>
      <c r="B8759" s="441" t="s">
        <v>6919</v>
      </c>
      <c r="C8759" s="545">
        <v>43.833333333333336</v>
      </c>
      <c r="D8759" s="545">
        <v>41.333333333333329</v>
      </c>
      <c r="E8759" s="545">
        <v>20.333333333333336</v>
      </c>
      <c r="F8759" s="545">
        <v>40.119047619047613</v>
      </c>
      <c r="G8759" s="545">
        <v>36.950000000000003</v>
      </c>
      <c r="H8759" s="545">
        <v>39.666666666666664</v>
      </c>
      <c r="I8759" s="545">
        <v>13</v>
      </c>
      <c r="J8759" s="545">
        <v>33.916666666666664</v>
      </c>
    </row>
    <row r="8760" spans="1:10">
      <c r="A8760" s="441">
        <v>9163</v>
      </c>
      <c r="B8760" s="441" t="s">
        <v>6920</v>
      </c>
      <c r="C8760" s="545">
        <v>19.666666666666664</v>
      </c>
      <c r="D8760" s="545">
        <v>17</v>
      </c>
      <c r="E8760" s="545">
        <v>10</v>
      </c>
      <c r="F8760" s="545">
        <v>17.904761904761902</v>
      </c>
      <c r="G8760" s="545">
        <v>12</v>
      </c>
      <c r="H8760" s="545">
        <v>5</v>
      </c>
      <c r="I8760" s="545">
        <v>8</v>
      </c>
      <c r="J8760" s="545">
        <v>10.428571428571429</v>
      </c>
    </row>
    <row r="8761" spans="1:10">
      <c r="A8761" s="441">
        <v>9164</v>
      </c>
      <c r="B8761" s="441" t="s">
        <v>6920</v>
      </c>
      <c r="C8761" s="545">
        <v>17.666666666666668</v>
      </c>
      <c r="D8761" s="545">
        <v>13</v>
      </c>
      <c r="E8761" s="545">
        <v>8.3333333333333339</v>
      </c>
      <c r="F8761" s="545">
        <v>15.666666666666668</v>
      </c>
      <c r="G8761" s="545">
        <v>9.5</v>
      </c>
      <c r="H8761" s="545">
        <v>8.3333333333333339</v>
      </c>
      <c r="I8761" s="545">
        <v>3.3333333333333335</v>
      </c>
      <c r="J8761" s="545">
        <v>8.4523809523809526</v>
      </c>
    </row>
    <row r="8762" spans="1:10">
      <c r="A8762" s="441">
        <v>3505</v>
      </c>
      <c r="B8762" s="441" t="s">
        <v>6921</v>
      </c>
      <c r="C8762" s="545">
        <v>214.33333333333334</v>
      </c>
      <c r="D8762" s="545">
        <v>184.33333333333334</v>
      </c>
      <c r="E8762" s="545">
        <v>150</v>
      </c>
      <c r="F8762" s="545">
        <v>200.85714285714286</v>
      </c>
      <c r="G8762" s="545">
        <v>129.9</v>
      </c>
      <c r="H8762" s="545">
        <v>128.66666666666666</v>
      </c>
      <c r="I8762" s="545">
        <v>82.666666666666671</v>
      </c>
      <c r="J8762" s="545">
        <v>122.97619047619047</v>
      </c>
    </row>
    <row r="8763" spans="1:10">
      <c r="A8763" s="441">
        <v>10191</v>
      </c>
      <c r="B8763" s="441" t="s">
        <v>6921</v>
      </c>
      <c r="C8763" s="545">
        <v>59.333333333333329</v>
      </c>
      <c r="D8763" s="545">
        <v>64.666666666666657</v>
      </c>
      <c r="E8763" s="545">
        <v>40.333333333333336</v>
      </c>
      <c r="F8763" s="545">
        <v>57.380952380952365</v>
      </c>
      <c r="G8763" s="545">
        <v>41.15</v>
      </c>
      <c r="H8763" s="545">
        <v>42</v>
      </c>
      <c r="I8763" s="545">
        <v>33.333333333333336</v>
      </c>
      <c r="J8763" s="545">
        <v>40.154761904761905</v>
      </c>
    </row>
    <row r="8764" spans="1:10">
      <c r="A8764" s="441">
        <v>11339</v>
      </c>
      <c r="B8764" s="441" t="s">
        <v>6922</v>
      </c>
      <c r="C8764" s="545">
        <v>43</v>
      </c>
      <c r="D8764" s="545">
        <v>25.333333333333332</v>
      </c>
      <c r="E8764" s="545">
        <v>24.666666666666668</v>
      </c>
      <c r="F8764" s="545">
        <v>37.857142857142854</v>
      </c>
      <c r="G8764" s="545">
        <v>33.6</v>
      </c>
      <c r="H8764" s="545">
        <v>25.333333333333332</v>
      </c>
      <c r="I8764" s="545">
        <v>8.3333333333333339</v>
      </c>
      <c r="J8764" s="545">
        <v>28.809523809523814</v>
      </c>
    </row>
    <row r="8765" spans="1:10">
      <c r="A8765" s="441">
        <v>11862</v>
      </c>
      <c r="B8765" s="441" t="s">
        <v>6923</v>
      </c>
      <c r="C8765" s="545">
        <v>15.166666666666666</v>
      </c>
      <c r="D8765" s="545">
        <v>6.666666666666667</v>
      </c>
      <c r="E8765" s="545">
        <v>5.666666666666667</v>
      </c>
      <c r="F8765" s="545">
        <v>12.595238095238097</v>
      </c>
      <c r="G8765" s="545">
        <v>13</v>
      </c>
      <c r="H8765" s="545">
        <v>5.333333333333333</v>
      </c>
      <c r="I8765" s="545">
        <v>5.666666666666667</v>
      </c>
      <c r="J8765" s="545">
        <v>10.857142857142858</v>
      </c>
    </row>
    <row r="8766" spans="1:10">
      <c r="A8766" s="441">
        <v>5075</v>
      </c>
      <c r="B8766" s="441" t="s">
        <v>6924</v>
      </c>
      <c r="C8766" s="545">
        <v>8.3333333333333339</v>
      </c>
      <c r="D8766" s="545">
        <v>6.666666666666667</v>
      </c>
      <c r="E8766" s="545">
        <v>5.666666666666667</v>
      </c>
      <c r="F8766" s="545">
        <v>7.7142857142857144</v>
      </c>
      <c r="G8766" s="545">
        <v>5.0999999999999996</v>
      </c>
      <c r="H8766" s="545">
        <v>4</v>
      </c>
      <c r="I8766" s="545">
        <v>4.333333333333333</v>
      </c>
      <c r="J8766" s="545">
        <v>4.8333333333333339</v>
      </c>
    </row>
    <row r="8767" spans="1:10">
      <c r="A8767" s="441">
        <v>12600</v>
      </c>
      <c r="B8767" s="441" t="s">
        <v>6924</v>
      </c>
      <c r="C8767" s="545">
        <v>10.666666666666666</v>
      </c>
      <c r="D8767" s="545">
        <v>9.3333333333333339</v>
      </c>
      <c r="E8767" s="545">
        <v>3</v>
      </c>
      <c r="F8767" s="545">
        <v>9.3809523809523796</v>
      </c>
      <c r="G8767" s="545">
        <v>7.2</v>
      </c>
      <c r="H8767" s="545">
        <v>4</v>
      </c>
      <c r="I8767" s="545">
        <v>2.6666666666666665</v>
      </c>
      <c r="J8767" s="545">
        <v>6.0952380952380949</v>
      </c>
    </row>
    <row r="8768" spans="1:10">
      <c r="A8768" s="441">
        <v>5077</v>
      </c>
      <c r="B8768" s="441" t="s">
        <v>6925</v>
      </c>
      <c r="C8768" s="545">
        <v>16</v>
      </c>
      <c r="D8768" s="545">
        <v>12</v>
      </c>
      <c r="E8768" s="545">
        <v>8.3333333333333321</v>
      </c>
      <c r="F8768" s="545">
        <v>14.333333333333332</v>
      </c>
      <c r="G8768" s="545">
        <v>13.8</v>
      </c>
      <c r="H8768" s="545">
        <v>8.3333333333333339</v>
      </c>
      <c r="I8768" s="545">
        <v>5.333333333333333</v>
      </c>
      <c r="J8768" s="545">
        <v>11.809523809523808</v>
      </c>
    </row>
    <row r="8769" spans="1:10">
      <c r="A8769" s="441">
        <v>12601</v>
      </c>
      <c r="B8769" s="441" t="s">
        <v>6925</v>
      </c>
      <c r="C8769" s="545">
        <v>15.5</v>
      </c>
      <c r="D8769" s="545">
        <v>9</v>
      </c>
      <c r="E8769" s="545">
        <v>9</v>
      </c>
      <c r="F8769" s="545">
        <v>13.642857142857142</v>
      </c>
      <c r="G8769" s="545">
        <v>10.7</v>
      </c>
      <c r="H8769" s="545">
        <v>5</v>
      </c>
      <c r="I8769" s="545">
        <v>5</v>
      </c>
      <c r="J8769" s="545">
        <v>9.0714285714285712</v>
      </c>
    </row>
    <row r="8770" spans="1:10">
      <c r="A8770" s="441">
        <v>5071</v>
      </c>
      <c r="B8770" s="441" t="s">
        <v>6926</v>
      </c>
      <c r="C8770" s="545">
        <v>1.3333333333333333</v>
      </c>
      <c r="D8770" s="545">
        <v>0.33333333333333331</v>
      </c>
      <c r="E8770" s="545">
        <v>0.66666666666666663</v>
      </c>
      <c r="F8770" s="545">
        <v>1.0952380952380951</v>
      </c>
      <c r="G8770" s="545">
        <v>1.2</v>
      </c>
      <c r="H8770" s="545">
        <v>0</v>
      </c>
      <c r="I8770" s="545">
        <v>1.3333333333333333</v>
      </c>
      <c r="J8770" s="545">
        <v>1.0476190476190477</v>
      </c>
    </row>
    <row r="8771" spans="1:10">
      <c r="A8771" s="441">
        <v>12597</v>
      </c>
      <c r="B8771" s="441" t="s">
        <v>6926</v>
      </c>
      <c r="C8771" s="545">
        <v>1.5</v>
      </c>
      <c r="D8771" s="545">
        <v>0.33333333333333331</v>
      </c>
      <c r="E8771" s="545">
        <v>1</v>
      </c>
      <c r="F8771" s="545">
        <v>1.2619047619047616</v>
      </c>
      <c r="G8771" s="545">
        <v>2.85</v>
      </c>
      <c r="H8771" s="545">
        <v>1</v>
      </c>
      <c r="I8771" s="545">
        <v>0.66666666666666663</v>
      </c>
      <c r="J8771" s="545">
        <v>2.2738095238095237</v>
      </c>
    </row>
    <row r="8772" spans="1:10">
      <c r="A8772" s="441">
        <v>5088</v>
      </c>
      <c r="B8772" s="441" t="s">
        <v>6927</v>
      </c>
      <c r="C8772" s="545">
        <v>4.6666666666666661</v>
      </c>
      <c r="D8772" s="545">
        <v>1</v>
      </c>
      <c r="E8772" s="545">
        <v>0</v>
      </c>
      <c r="F8772" s="545">
        <v>3.4761904761904754</v>
      </c>
      <c r="G8772" s="545">
        <v>3.4</v>
      </c>
      <c r="H8772" s="545">
        <v>0</v>
      </c>
      <c r="I8772" s="545">
        <v>3</v>
      </c>
      <c r="J8772" s="545">
        <v>2.8571428571428572</v>
      </c>
    </row>
    <row r="8773" spans="1:10">
      <c r="A8773" s="441">
        <v>9996</v>
      </c>
      <c r="B8773" s="441" t="s">
        <v>6927</v>
      </c>
      <c r="C8773" s="545">
        <v>4.5</v>
      </c>
      <c r="D8773" s="545">
        <v>4.666666666666667</v>
      </c>
      <c r="E8773" s="545">
        <v>1.6666666666666665</v>
      </c>
      <c r="F8773" s="545">
        <v>4.1190476190476195</v>
      </c>
      <c r="G8773" s="545">
        <v>4.1500000000000004</v>
      </c>
      <c r="H8773" s="545">
        <v>1</v>
      </c>
      <c r="I8773" s="545">
        <v>1.3333333333333333</v>
      </c>
      <c r="J8773" s="545">
        <v>3.2976190476190474</v>
      </c>
    </row>
    <row r="8774" spans="1:10">
      <c r="A8774" s="441">
        <v>5070</v>
      </c>
      <c r="B8774" s="441" t="s">
        <v>6928</v>
      </c>
      <c r="C8774" s="545">
        <v>3.6666666666666665</v>
      </c>
      <c r="D8774" s="545">
        <v>0</v>
      </c>
      <c r="E8774" s="545">
        <v>0</v>
      </c>
      <c r="F8774" s="545">
        <v>2.6190476190476191</v>
      </c>
      <c r="G8774" s="545">
        <v>1.8</v>
      </c>
      <c r="H8774" s="545">
        <v>0</v>
      </c>
      <c r="I8774" s="545">
        <v>0.66666666666666663</v>
      </c>
      <c r="J8774" s="545">
        <v>1.3809523809523809</v>
      </c>
    </row>
    <row r="8775" spans="1:10">
      <c r="A8775" s="441">
        <v>12596</v>
      </c>
      <c r="B8775" s="441" t="s">
        <v>6928</v>
      </c>
      <c r="C8775" s="545">
        <v>2.6666666666666665</v>
      </c>
      <c r="D8775" s="545">
        <v>0</v>
      </c>
      <c r="E8775" s="545">
        <v>0.33333333333333331</v>
      </c>
      <c r="F8775" s="545">
        <v>1.9523809523809523</v>
      </c>
      <c r="G8775" s="545">
        <v>6.1</v>
      </c>
      <c r="H8775" s="545">
        <v>0.66666666666666663</v>
      </c>
      <c r="I8775" s="545">
        <v>2.3333333333333335</v>
      </c>
      <c r="J8775" s="545">
        <v>4.7857142857142856</v>
      </c>
    </row>
    <row r="8776" spans="1:10">
      <c r="A8776" s="441">
        <v>5076</v>
      </c>
      <c r="B8776" s="441" t="s">
        <v>6929</v>
      </c>
      <c r="C8776" s="545">
        <v>2.8333333333333335</v>
      </c>
      <c r="D8776" s="545">
        <v>0.33333333333333331</v>
      </c>
      <c r="E8776" s="545">
        <v>0</v>
      </c>
      <c r="F8776" s="545">
        <v>2.0714285714285716</v>
      </c>
      <c r="G8776" s="545">
        <v>7</v>
      </c>
      <c r="H8776" s="545">
        <v>0.66666666666666663</v>
      </c>
      <c r="I8776" s="545">
        <v>0</v>
      </c>
      <c r="J8776" s="545">
        <v>5.0952380952380949</v>
      </c>
    </row>
    <row r="8777" spans="1:10">
      <c r="A8777" s="441">
        <v>5074</v>
      </c>
      <c r="B8777" s="441" t="s">
        <v>6930</v>
      </c>
      <c r="C8777" s="545">
        <v>3</v>
      </c>
      <c r="D8777" s="545">
        <v>0.66666666666666663</v>
      </c>
      <c r="E8777" s="545">
        <v>0</v>
      </c>
      <c r="F8777" s="545">
        <v>2.2380952380952381</v>
      </c>
      <c r="G8777" s="545">
        <v>2.2000000000000002</v>
      </c>
      <c r="H8777" s="545">
        <v>2.3333333333333335</v>
      </c>
      <c r="I8777" s="545">
        <v>4</v>
      </c>
      <c r="J8777" s="545">
        <v>2.4761904761904767</v>
      </c>
    </row>
    <row r="8778" spans="1:10">
      <c r="A8778" s="441">
        <v>12599</v>
      </c>
      <c r="B8778" s="441" t="s">
        <v>6930</v>
      </c>
      <c r="C8778" s="545">
        <v>3.833333333333333</v>
      </c>
      <c r="D8778" s="545">
        <v>0.33333333333333331</v>
      </c>
      <c r="E8778" s="545">
        <v>0.66666666666666663</v>
      </c>
      <c r="F8778" s="545">
        <v>2.8809523809523805</v>
      </c>
      <c r="G8778" s="545">
        <v>8.15</v>
      </c>
      <c r="H8778" s="545">
        <v>2</v>
      </c>
      <c r="I8778" s="545">
        <v>2</v>
      </c>
      <c r="J8778" s="545">
        <v>6.3928571428571432</v>
      </c>
    </row>
    <row r="8779" spans="1:10">
      <c r="A8779" s="441">
        <v>12586</v>
      </c>
      <c r="B8779" s="441" t="s">
        <v>6931</v>
      </c>
      <c r="C8779" s="545">
        <v>52.833333333333329</v>
      </c>
      <c r="D8779" s="545">
        <v>44.333333333333336</v>
      </c>
      <c r="E8779" s="545">
        <v>31.333333333333332</v>
      </c>
      <c r="F8779" s="545">
        <v>48.547619047619037</v>
      </c>
      <c r="G8779" s="545">
        <v>39.4</v>
      </c>
      <c r="H8779" s="545">
        <v>15.333333333333334</v>
      </c>
      <c r="I8779" s="545">
        <v>15</v>
      </c>
      <c r="J8779" s="545">
        <v>32.476190476190474</v>
      </c>
    </row>
    <row r="8780" spans="1:10">
      <c r="A8780" s="441">
        <v>6573</v>
      </c>
      <c r="B8780" s="441" t="s">
        <v>6932</v>
      </c>
      <c r="C8780" s="545">
        <v>2.5</v>
      </c>
      <c r="D8780" s="545">
        <v>2.6666666666666665</v>
      </c>
      <c r="E8780" s="545">
        <v>4</v>
      </c>
      <c r="F8780" s="545">
        <v>2.7380952380952377</v>
      </c>
      <c r="G8780" s="545">
        <v>1.65</v>
      </c>
      <c r="H8780" s="545">
        <v>9.6666666666666661</v>
      </c>
      <c r="I8780" s="545">
        <v>2</v>
      </c>
      <c r="J8780" s="545">
        <v>2.8452380952380949</v>
      </c>
    </row>
    <row r="8781" spans="1:10">
      <c r="A8781" s="441">
        <v>7655</v>
      </c>
      <c r="B8781" s="441" t="s">
        <v>6933</v>
      </c>
      <c r="C8781" s="545">
        <v>12</v>
      </c>
      <c r="D8781" s="545">
        <v>5.333333333333333</v>
      </c>
      <c r="E8781" s="545">
        <v>5.333333333333333</v>
      </c>
      <c r="F8781" s="545">
        <v>10.095238095238093</v>
      </c>
      <c r="G8781" s="545">
        <v>7.15</v>
      </c>
      <c r="H8781" s="545">
        <v>4</v>
      </c>
      <c r="I8781" s="545">
        <v>4.333333333333333</v>
      </c>
      <c r="J8781" s="545">
        <v>6.2976190476190483</v>
      </c>
    </row>
    <row r="8782" spans="1:10">
      <c r="A8782" s="441">
        <v>7662</v>
      </c>
      <c r="B8782" s="441" t="s">
        <v>6933</v>
      </c>
      <c r="C8782" s="545">
        <v>11.666666666666668</v>
      </c>
      <c r="D8782" s="545">
        <v>2.3333333333333335</v>
      </c>
      <c r="E8782" s="545">
        <v>2.666666666666667</v>
      </c>
      <c r="F8782" s="545">
        <v>9.0476190476190492</v>
      </c>
      <c r="G8782" s="545">
        <v>5.65</v>
      </c>
      <c r="H8782" s="545">
        <v>3.6666666666666665</v>
      </c>
      <c r="I8782" s="545">
        <v>3.6666666666666665</v>
      </c>
      <c r="J8782" s="545">
        <v>5.0833333333333339</v>
      </c>
    </row>
    <row r="8783" spans="1:10">
      <c r="A8783" s="441">
        <v>12172</v>
      </c>
      <c r="B8783" s="441" t="s">
        <v>6933</v>
      </c>
      <c r="C8783" s="545">
        <v>2.8333333333333335</v>
      </c>
      <c r="D8783" s="545">
        <v>3</v>
      </c>
      <c r="E8783" s="545">
        <v>2.333333333333333</v>
      </c>
      <c r="F8783" s="545">
        <v>2.7857142857142856</v>
      </c>
      <c r="G8783" s="545">
        <v>12.05</v>
      </c>
      <c r="H8783" s="545">
        <v>1.6666666666666667</v>
      </c>
      <c r="I8783" s="545">
        <v>2</v>
      </c>
      <c r="J8783" s="545">
        <v>9.1309523809523814</v>
      </c>
    </row>
    <row r="8784" spans="1:10">
      <c r="A8784" s="441">
        <v>5073</v>
      </c>
      <c r="B8784" s="441" t="s">
        <v>6934</v>
      </c>
      <c r="C8784" s="545">
        <v>1</v>
      </c>
      <c r="D8784" s="545">
        <v>0.33333333333333331</v>
      </c>
      <c r="E8784" s="545">
        <v>0.66666666666666663</v>
      </c>
      <c r="F8784" s="545">
        <v>0.8571428571428571</v>
      </c>
      <c r="G8784" s="545">
        <v>0.35</v>
      </c>
      <c r="H8784" s="545">
        <v>0</v>
      </c>
      <c r="I8784" s="545">
        <v>0</v>
      </c>
      <c r="J8784" s="545">
        <v>0.25</v>
      </c>
    </row>
    <row r="8785" spans="1:10">
      <c r="A8785" s="441">
        <v>5080</v>
      </c>
      <c r="B8785" s="441" t="s">
        <v>6935</v>
      </c>
      <c r="C8785" s="545">
        <v>4.5</v>
      </c>
      <c r="D8785" s="545">
        <v>0</v>
      </c>
      <c r="E8785" s="545">
        <v>1.6666666666666667</v>
      </c>
      <c r="F8785" s="545">
        <v>3.4523809523809526</v>
      </c>
      <c r="G8785" s="545">
        <v>2.4500000000000002</v>
      </c>
      <c r="H8785" s="545">
        <v>0</v>
      </c>
      <c r="I8785" s="545">
        <v>1</v>
      </c>
      <c r="J8785" s="545">
        <v>1.8928571428571428</v>
      </c>
    </row>
    <row r="8786" spans="1:10">
      <c r="A8786" s="441">
        <v>5086</v>
      </c>
      <c r="B8786" s="441" t="s">
        <v>6935</v>
      </c>
      <c r="C8786" s="545">
        <v>3.8333333333333335</v>
      </c>
      <c r="D8786" s="545">
        <v>0</v>
      </c>
      <c r="E8786" s="545">
        <v>0</v>
      </c>
      <c r="F8786" s="545">
        <v>2.7380952380952381</v>
      </c>
      <c r="G8786" s="545">
        <v>2.4</v>
      </c>
      <c r="H8786" s="545">
        <v>0.66666666666666663</v>
      </c>
      <c r="I8786" s="545">
        <v>0.33333333333333331</v>
      </c>
      <c r="J8786" s="545">
        <v>1.8571428571428572</v>
      </c>
    </row>
    <row r="8787" spans="1:10">
      <c r="A8787" s="441">
        <v>5082</v>
      </c>
      <c r="B8787" s="441" t="s">
        <v>6936</v>
      </c>
      <c r="C8787" s="545">
        <v>81.833333333333329</v>
      </c>
      <c r="D8787" s="545">
        <v>20</v>
      </c>
      <c r="E8787" s="545">
        <v>27.333333333333336</v>
      </c>
      <c r="F8787" s="545">
        <v>65.214285714285708</v>
      </c>
      <c r="G8787" s="545">
        <v>58.45</v>
      </c>
      <c r="H8787" s="545">
        <v>25</v>
      </c>
      <c r="I8787" s="545">
        <v>27</v>
      </c>
      <c r="J8787" s="545">
        <v>49.178571428571431</v>
      </c>
    </row>
    <row r="8788" spans="1:10">
      <c r="A8788" s="441">
        <v>11790</v>
      </c>
      <c r="B8788" s="441" t="s">
        <v>6936</v>
      </c>
      <c r="C8788" s="545">
        <v>58.833333333333329</v>
      </c>
      <c r="D8788" s="545">
        <v>15</v>
      </c>
      <c r="E8788" s="545">
        <v>12</v>
      </c>
      <c r="F8788" s="545">
        <v>45.880952380952372</v>
      </c>
      <c r="G8788" s="545">
        <v>37.1</v>
      </c>
      <c r="H8788" s="545">
        <v>15.666666666666666</v>
      </c>
      <c r="I8788" s="545">
        <v>22.666666666666668</v>
      </c>
      <c r="J8788" s="545">
        <v>31.976190476190474</v>
      </c>
    </row>
    <row r="8789" spans="1:10">
      <c r="A8789" s="441">
        <v>5072</v>
      </c>
      <c r="B8789" s="441" t="s">
        <v>6937</v>
      </c>
      <c r="C8789" s="545">
        <v>11</v>
      </c>
      <c r="D8789" s="545">
        <v>6.666666666666667</v>
      </c>
      <c r="E8789" s="545">
        <v>3.333333333333333</v>
      </c>
      <c r="F8789" s="545">
        <v>9.2857142857142865</v>
      </c>
      <c r="G8789" s="545">
        <v>9.65</v>
      </c>
      <c r="H8789" s="545">
        <v>5</v>
      </c>
      <c r="I8789" s="545">
        <v>3</v>
      </c>
      <c r="J8789" s="545">
        <v>8.0357142857142865</v>
      </c>
    </row>
    <row r="8790" spans="1:10">
      <c r="A8790" s="441">
        <v>12598</v>
      </c>
      <c r="B8790" s="441" t="s">
        <v>6937</v>
      </c>
      <c r="C8790" s="545">
        <v>9.6666666666666661</v>
      </c>
      <c r="D8790" s="545">
        <v>4.3333333333333339</v>
      </c>
      <c r="E8790" s="545">
        <v>3.3333333333333335</v>
      </c>
      <c r="F8790" s="545">
        <v>8</v>
      </c>
      <c r="G8790" s="545">
        <v>10.050000000000001</v>
      </c>
      <c r="H8790" s="545">
        <v>4</v>
      </c>
      <c r="I8790" s="545">
        <v>3.6666666666666665</v>
      </c>
      <c r="J8790" s="545">
        <v>8.2738095238095237</v>
      </c>
    </row>
    <row r="8791" spans="1:10">
      <c r="A8791" s="441">
        <v>5069</v>
      </c>
      <c r="B8791" s="441" t="s">
        <v>6938</v>
      </c>
      <c r="C8791" s="545">
        <v>16.833333333333336</v>
      </c>
      <c r="D8791" s="545">
        <v>9.6666666666666661</v>
      </c>
      <c r="E8791" s="545">
        <v>7.3333333333333339</v>
      </c>
      <c r="F8791" s="545">
        <v>14.452380952380954</v>
      </c>
      <c r="G8791" s="545">
        <v>17.149999999999999</v>
      </c>
      <c r="H8791" s="545">
        <v>13</v>
      </c>
      <c r="I8791" s="545">
        <v>13.666666666666666</v>
      </c>
      <c r="J8791" s="545">
        <v>16.05952380952381</v>
      </c>
    </row>
    <row r="8792" spans="1:10">
      <c r="A8792" s="441">
        <v>5068</v>
      </c>
      <c r="B8792" s="441" t="s">
        <v>6939</v>
      </c>
      <c r="C8792" s="545">
        <v>20.666666666666668</v>
      </c>
      <c r="D8792" s="545">
        <v>13.666666666666668</v>
      </c>
      <c r="E8792" s="545">
        <v>18.333333333333332</v>
      </c>
      <c r="F8792" s="545">
        <v>19.333333333333336</v>
      </c>
      <c r="G8792" s="545">
        <v>14.3</v>
      </c>
      <c r="H8792" s="545">
        <v>9.3333333333333339</v>
      </c>
      <c r="I8792" s="545">
        <v>14.333333333333334</v>
      </c>
      <c r="J8792" s="545">
        <v>13.595238095238093</v>
      </c>
    </row>
    <row r="8793" spans="1:10">
      <c r="A8793" s="441">
        <v>12594</v>
      </c>
      <c r="B8793" s="441" t="s">
        <v>6939</v>
      </c>
      <c r="C8793" s="545">
        <v>16.166666666666668</v>
      </c>
      <c r="D8793" s="545">
        <v>9.3333333333333339</v>
      </c>
      <c r="E8793" s="545">
        <v>11.666666666666666</v>
      </c>
      <c r="F8793" s="545">
        <v>14.547619047619049</v>
      </c>
      <c r="G8793" s="545">
        <v>8.65</v>
      </c>
      <c r="H8793" s="545">
        <v>8.6666666666666661</v>
      </c>
      <c r="I8793" s="545">
        <v>15</v>
      </c>
      <c r="J8793" s="545">
        <v>9.5595238095238084</v>
      </c>
    </row>
    <row r="8794" spans="1:10">
      <c r="A8794" s="441">
        <v>5081</v>
      </c>
      <c r="B8794" s="441" t="s">
        <v>6940</v>
      </c>
      <c r="C8794" s="545">
        <v>15</v>
      </c>
      <c r="D8794" s="545">
        <v>5.333333333333333</v>
      </c>
      <c r="E8794" s="545">
        <v>3</v>
      </c>
      <c r="F8794" s="545">
        <v>11.904761904761903</v>
      </c>
      <c r="G8794" s="545">
        <v>9.15</v>
      </c>
      <c r="H8794" s="545">
        <v>2.3333333333333335</v>
      </c>
      <c r="I8794" s="545">
        <v>0.66666666666666663</v>
      </c>
      <c r="J8794" s="545">
        <v>6.9642857142857144</v>
      </c>
    </row>
    <row r="8795" spans="1:10">
      <c r="A8795" s="441">
        <v>5085</v>
      </c>
      <c r="B8795" s="441" t="s">
        <v>6940</v>
      </c>
      <c r="C8795" s="545">
        <v>17.166666666666664</v>
      </c>
      <c r="D8795" s="545">
        <v>3.333333333333333</v>
      </c>
      <c r="E8795" s="545">
        <v>2.3333333333333335</v>
      </c>
      <c r="F8795" s="545">
        <v>13.071428571428568</v>
      </c>
      <c r="G8795" s="545">
        <v>8.6</v>
      </c>
      <c r="H8795" s="545">
        <v>3</v>
      </c>
      <c r="I8795" s="545">
        <v>2.3333333333333335</v>
      </c>
      <c r="J8795" s="545">
        <v>6.9047619047619051</v>
      </c>
    </row>
    <row r="8796" spans="1:10">
      <c r="A8796" s="441">
        <v>5079</v>
      </c>
      <c r="B8796" s="441" t="s">
        <v>6941</v>
      </c>
      <c r="C8796" s="545">
        <v>2.5</v>
      </c>
      <c r="D8796" s="545">
        <v>0.33333333333333331</v>
      </c>
      <c r="E8796" s="545">
        <v>0</v>
      </c>
      <c r="F8796" s="545">
        <v>1.8333333333333335</v>
      </c>
      <c r="G8796" s="545">
        <v>1.7</v>
      </c>
      <c r="H8796" s="545">
        <v>0.66666666666666663</v>
      </c>
      <c r="I8796" s="545">
        <v>0.66666666666666663</v>
      </c>
      <c r="J8796" s="545">
        <v>1.4047619047619047</v>
      </c>
    </row>
    <row r="8797" spans="1:10">
      <c r="A8797" s="441">
        <v>5087</v>
      </c>
      <c r="B8797" s="441" t="s">
        <v>6941</v>
      </c>
      <c r="C8797" s="545">
        <v>2</v>
      </c>
      <c r="D8797" s="545">
        <v>0</v>
      </c>
      <c r="E8797" s="545">
        <v>0</v>
      </c>
      <c r="F8797" s="545">
        <v>1.4285714285714286</v>
      </c>
      <c r="G8797" s="545">
        <v>4.45</v>
      </c>
      <c r="H8797" s="545">
        <v>0.33333333333333331</v>
      </c>
      <c r="I8797" s="545">
        <v>0.33333333333333331</v>
      </c>
      <c r="J8797" s="545">
        <v>3.2738095238095233</v>
      </c>
    </row>
    <row r="8798" spans="1:10">
      <c r="A8798" s="441">
        <v>6574</v>
      </c>
      <c r="B8798" s="441" t="s">
        <v>6942</v>
      </c>
      <c r="C8798" s="545">
        <v>3.166666666666667</v>
      </c>
      <c r="D8798" s="545">
        <v>1.3333333333333333</v>
      </c>
      <c r="E8798" s="545">
        <v>1.3333333333333333</v>
      </c>
      <c r="F8798" s="545">
        <v>2.6428571428571428</v>
      </c>
      <c r="G8798" s="545">
        <v>1.75</v>
      </c>
      <c r="H8798" s="545">
        <v>1</v>
      </c>
      <c r="I8798" s="545">
        <v>2.3333333333333335</v>
      </c>
      <c r="J8798" s="545">
        <v>1.7261904761904763</v>
      </c>
    </row>
    <row r="8799" spans="1:10">
      <c r="A8799" s="441">
        <v>12595</v>
      </c>
      <c r="B8799" s="441" t="s">
        <v>6943</v>
      </c>
      <c r="C8799" s="545">
        <v>20</v>
      </c>
      <c r="D8799" s="545">
        <v>10.666666666666666</v>
      </c>
      <c r="E8799" s="545">
        <v>13</v>
      </c>
      <c r="F8799" s="545">
        <v>17.666666666666668</v>
      </c>
      <c r="G8799" s="545">
        <v>18.600000000000001</v>
      </c>
      <c r="H8799" s="545">
        <v>8.3333333333333339</v>
      </c>
      <c r="I8799" s="545">
        <v>11.333333333333334</v>
      </c>
      <c r="J8799" s="545">
        <v>16.095238095238095</v>
      </c>
    </row>
    <row r="8800" spans="1:10">
      <c r="A8800" s="441">
        <v>12682</v>
      </c>
      <c r="B8800" s="441" t="s">
        <v>6944</v>
      </c>
      <c r="C8800" s="545">
        <v>0.5</v>
      </c>
      <c r="D8800" s="545">
        <v>0.33333333333333331</v>
      </c>
      <c r="E8800" s="545">
        <v>0.66666666666666663</v>
      </c>
      <c r="F8800" s="545">
        <v>0.5</v>
      </c>
      <c r="G8800" s="545">
        <v>2.1</v>
      </c>
      <c r="H8800" s="545">
        <v>0.66666666666666663</v>
      </c>
      <c r="I8800" s="545">
        <v>1.3333333333333333</v>
      </c>
      <c r="J8800" s="545">
        <v>1.7857142857142858</v>
      </c>
    </row>
    <row r="8801" spans="1:10">
      <c r="A8801" s="441">
        <v>12683</v>
      </c>
      <c r="B8801" s="441" t="s">
        <v>6944</v>
      </c>
      <c r="C8801" s="545">
        <v>1.6666666666666665</v>
      </c>
      <c r="D8801" s="545">
        <v>0.33333333333333331</v>
      </c>
      <c r="E8801" s="545">
        <v>1</v>
      </c>
      <c r="F8801" s="545">
        <v>1.3809523809523809</v>
      </c>
      <c r="G8801" s="545">
        <v>15.65</v>
      </c>
      <c r="H8801" s="545">
        <v>2</v>
      </c>
      <c r="I8801" s="545">
        <v>7.666666666666667</v>
      </c>
      <c r="J8801" s="545">
        <v>12.55952380952381</v>
      </c>
    </row>
    <row r="8802" spans="1:10">
      <c r="A8802" s="441">
        <v>12681</v>
      </c>
      <c r="B8802" s="441" t="s">
        <v>6945</v>
      </c>
      <c r="C8802" s="545">
        <v>30.666666666666668</v>
      </c>
      <c r="D8802" s="545">
        <v>85</v>
      </c>
      <c r="E8802" s="545">
        <v>34</v>
      </c>
      <c r="F8802" s="545">
        <v>38.904761904761912</v>
      </c>
      <c r="G8802" s="545">
        <v>18.850000000000001</v>
      </c>
      <c r="H8802" s="545">
        <v>15.333333333333334</v>
      </c>
      <c r="I8802" s="545">
        <v>16.666666666666668</v>
      </c>
      <c r="J8802" s="545">
        <v>18.035714285714285</v>
      </c>
    </row>
    <row r="8803" spans="1:10">
      <c r="A8803" s="441">
        <v>12680</v>
      </c>
      <c r="B8803" s="441" t="s">
        <v>6946</v>
      </c>
      <c r="C8803" s="545">
        <v>2.5</v>
      </c>
      <c r="D8803" s="545">
        <v>0</v>
      </c>
      <c r="E8803" s="545">
        <v>0.33333333333333331</v>
      </c>
      <c r="F8803" s="545">
        <v>1.8333333333333335</v>
      </c>
      <c r="G8803" s="545">
        <v>2.4</v>
      </c>
      <c r="H8803" s="545">
        <v>1.3333333333333333</v>
      </c>
      <c r="I8803" s="545">
        <v>2.6666666666666665</v>
      </c>
      <c r="J8803" s="545">
        <v>2.2857142857142856</v>
      </c>
    </row>
    <row r="8804" spans="1:10">
      <c r="A8804" s="441">
        <v>12684</v>
      </c>
      <c r="B8804" s="441" t="s">
        <v>6947</v>
      </c>
      <c r="C8804" s="545">
        <v>25.166666666666664</v>
      </c>
      <c r="D8804" s="545">
        <v>10.666666666666666</v>
      </c>
      <c r="E8804" s="545">
        <v>17.333333333333332</v>
      </c>
      <c r="F8804" s="545">
        <v>21.976190476190474</v>
      </c>
      <c r="G8804" s="545">
        <v>22</v>
      </c>
      <c r="H8804" s="545">
        <v>17</v>
      </c>
      <c r="I8804" s="545">
        <v>14.333333333333334</v>
      </c>
      <c r="J8804" s="545">
        <v>20.190476190476193</v>
      </c>
    </row>
    <row r="8805" spans="1:10">
      <c r="A8805" s="441">
        <v>12685</v>
      </c>
      <c r="B8805" s="441" t="s">
        <v>6947</v>
      </c>
      <c r="C8805" s="545">
        <v>6</v>
      </c>
      <c r="D8805" s="545">
        <v>4.666666666666667</v>
      </c>
      <c r="E8805" s="545">
        <v>6</v>
      </c>
      <c r="F8805" s="545">
        <v>5.8095238095238093</v>
      </c>
      <c r="G8805" s="545">
        <v>13.6</v>
      </c>
      <c r="H8805" s="545">
        <v>9.3333333333333339</v>
      </c>
      <c r="I8805" s="545">
        <v>7</v>
      </c>
      <c r="J8805" s="545">
        <v>12.047619047619047</v>
      </c>
    </row>
    <row r="8806" spans="1:10">
      <c r="A8806" s="441">
        <v>800</v>
      </c>
      <c r="B8806" s="441" t="s">
        <v>6948</v>
      </c>
      <c r="C8806" s="545">
        <v>24</v>
      </c>
      <c r="D8806" s="545">
        <v>16.333333333333332</v>
      </c>
      <c r="E8806" s="545">
        <v>9</v>
      </c>
      <c r="F8806" s="545">
        <v>20.761904761904763</v>
      </c>
      <c r="G8806" s="545">
        <v>57.65</v>
      </c>
      <c r="H8806" s="545">
        <v>62.666666666666664</v>
      </c>
      <c r="I8806" s="545">
        <v>55.333333333333336</v>
      </c>
      <c r="J8806" s="545">
        <v>58.035714285714285</v>
      </c>
    </row>
    <row r="8807" spans="1:10">
      <c r="A8807" s="441">
        <v>801</v>
      </c>
      <c r="B8807" s="441" t="s">
        <v>6949</v>
      </c>
      <c r="C8807" s="545">
        <v>157.16666666666669</v>
      </c>
      <c r="D8807" s="545">
        <v>109.66666666666667</v>
      </c>
      <c r="E8807" s="545">
        <v>109.66666666666666</v>
      </c>
      <c r="F8807" s="545">
        <v>143.5952380952381</v>
      </c>
      <c r="G8807" s="545">
        <v>134.6</v>
      </c>
      <c r="H8807" s="545">
        <v>90.666666666666671</v>
      </c>
      <c r="I8807" s="545">
        <v>106</v>
      </c>
      <c r="J8807" s="545">
        <v>124.23809523809523</v>
      </c>
    </row>
    <row r="8808" spans="1:10">
      <c r="A8808" s="441">
        <v>803</v>
      </c>
      <c r="B8808" s="441" t="s">
        <v>6950</v>
      </c>
      <c r="C8808" s="545">
        <v>10.5</v>
      </c>
      <c r="D8808" s="545">
        <v>7.3333333333333339</v>
      </c>
      <c r="E8808" s="545">
        <v>6.666666666666667</v>
      </c>
      <c r="F8808" s="545">
        <v>9.5</v>
      </c>
      <c r="G8808" s="545">
        <v>7.5</v>
      </c>
      <c r="H8808" s="545">
        <v>5.666666666666667</v>
      </c>
      <c r="I8808" s="545">
        <v>1.3333333333333333</v>
      </c>
      <c r="J8808" s="545">
        <v>6.3571428571428568</v>
      </c>
    </row>
    <row r="8809" spans="1:10">
      <c r="A8809" s="441">
        <v>2355</v>
      </c>
      <c r="B8809" s="441" t="s">
        <v>6951</v>
      </c>
      <c r="C8809" s="545">
        <v>1.1666666666666667</v>
      </c>
      <c r="D8809" s="545">
        <v>0.33333333333333331</v>
      </c>
      <c r="E8809" s="545">
        <v>1</v>
      </c>
      <c r="F8809" s="545">
        <v>1.0238095238095239</v>
      </c>
      <c r="G8809" s="545">
        <v>1.1000000000000001</v>
      </c>
      <c r="H8809" s="545">
        <v>1.3333333333333333</v>
      </c>
      <c r="I8809" s="545">
        <v>4</v>
      </c>
      <c r="J8809" s="545">
        <v>1.5476190476190474</v>
      </c>
    </row>
    <row r="8810" spans="1:10">
      <c r="A8810" s="441">
        <v>7244</v>
      </c>
      <c r="B8810" s="441" t="s">
        <v>6952</v>
      </c>
      <c r="C8810" s="545">
        <v>22.166666666666668</v>
      </c>
      <c r="D8810" s="545">
        <v>17.333333333333332</v>
      </c>
      <c r="E8810" s="545">
        <v>16.666666666666664</v>
      </c>
      <c r="F8810" s="545">
        <v>20.690476190476193</v>
      </c>
      <c r="G8810" s="545">
        <v>21.8</v>
      </c>
      <c r="H8810" s="545">
        <v>20</v>
      </c>
      <c r="I8810" s="545">
        <v>12.333333333333334</v>
      </c>
      <c r="J8810" s="545">
        <v>20.190476190476193</v>
      </c>
    </row>
    <row r="8811" spans="1:10">
      <c r="A8811" s="441">
        <v>7236</v>
      </c>
      <c r="B8811" s="441" t="s">
        <v>6953</v>
      </c>
      <c r="C8811" s="545">
        <v>8.5</v>
      </c>
      <c r="D8811" s="545">
        <v>5.333333333333333</v>
      </c>
      <c r="E8811" s="545">
        <v>3.6666666666666665</v>
      </c>
      <c r="F8811" s="545">
        <v>7.3571428571428568</v>
      </c>
      <c r="G8811" s="545">
        <v>10.65</v>
      </c>
      <c r="H8811" s="545">
        <v>2.3333333333333335</v>
      </c>
      <c r="I8811" s="545">
        <v>2.6666666666666665</v>
      </c>
      <c r="J8811" s="545">
        <v>8.3214285714285712</v>
      </c>
    </row>
    <row r="8812" spans="1:10">
      <c r="A8812" s="441">
        <v>7271</v>
      </c>
      <c r="B8812" s="441" t="s">
        <v>6953</v>
      </c>
      <c r="C8812" s="545">
        <v>4.5</v>
      </c>
      <c r="D8812" s="545">
        <v>4</v>
      </c>
      <c r="E8812" s="545">
        <v>3</v>
      </c>
      <c r="F8812" s="545">
        <v>4.2142857142857144</v>
      </c>
      <c r="G8812" s="545">
        <v>4</v>
      </c>
      <c r="H8812" s="545">
        <v>0.66666666666666663</v>
      </c>
      <c r="I8812" s="545">
        <v>1</v>
      </c>
      <c r="J8812" s="545">
        <v>3.0952380952380953</v>
      </c>
    </row>
    <row r="8813" spans="1:10">
      <c r="A8813" s="441">
        <v>7268</v>
      </c>
      <c r="B8813" s="441" t="s">
        <v>6954</v>
      </c>
      <c r="C8813" s="545">
        <v>77.333333333333329</v>
      </c>
      <c r="D8813" s="545">
        <v>73.666666666666671</v>
      </c>
      <c r="E8813" s="545">
        <v>49.666666666666671</v>
      </c>
      <c r="F8813" s="545">
        <v>72.857142857142861</v>
      </c>
      <c r="G8813" s="545">
        <v>51.05</v>
      </c>
      <c r="H8813" s="545">
        <v>49</v>
      </c>
      <c r="I8813" s="545">
        <v>31.333333333333332</v>
      </c>
      <c r="J8813" s="545">
        <v>47.94047619047619</v>
      </c>
    </row>
    <row r="8814" spans="1:10">
      <c r="A8814" s="441">
        <v>7263</v>
      </c>
      <c r="B8814" s="441" t="s">
        <v>6955</v>
      </c>
      <c r="C8814" s="545">
        <v>26.833333333333332</v>
      </c>
      <c r="D8814" s="545">
        <v>24</v>
      </c>
      <c r="E8814" s="545">
        <v>22</v>
      </c>
      <c r="F8814" s="545">
        <v>25.738095238095237</v>
      </c>
      <c r="G8814" s="545">
        <v>19.7</v>
      </c>
      <c r="H8814" s="545">
        <v>20.666666666666668</v>
      </c>
      <c r="I8814" s="545">
        <v>13.333333333333334</v>
      </c>
      <c r="J8814" s="545">
        <v>18.928571428571427</v>
      </c>
    </row>
    <row r="8815" spans="1:10">
      <c r="A8815" s="441">
        <v>10115</v>
      </c>
      <c r="B8815" s="441" t="s">
        <v>6956</v>
      </c>
      <c r="C8815" s="545">
        <v>14.5</v>
      </c>
      <c r="D8815" s="545">
        <v>5.3333333333333339</v>
      </c>
      <c r="E8815" s="545">
        <v>2</v>
      </c>
      <c r="F8815" s="545">
        <v>11.404761904761903</v>
      </c>
      <c r="G8815" s="545">
        <v>11.3</v>
      </c>
      <c r="H8815" s="545">
        <v>9.3333333333333339</v>
      </c>
      <c r="I8815" s="545">
        <v>8.3333333333333339</v>
      </c>
      <c r="J8815" s="545">
        <v>10.595238095238093</v>
      </c>
    </row>
    <row r="8816" spans="1:10">
      <c r="A8816" s="441">
        <v>6232</v>
      </c>
      <c r="B8816" s="441" t="s">
        <v>6957</v>
      </c>
      <c r="C8816" s="545">
        <v>3.333333333333333</v>
      </c>
      <c r="D8816" s="545">
        <v>1.6666666666666665</v>
      </c>
      <c r="E8816" s="545">
        <v>1.3333333333333333</v>
      </c>
      <c r="F8816" s="545">
        <v>2.8095238095238093</v>
      </c>
      <c r="G8816" s="545">
        <v>3.05</v>
      </c>
      <c r="H8816" s="545">
        <v>1.6666666666666667</v>
      </c>
      <c r="I8816" s="545">
        <v>0.33333333333333331</v>
      </c>
      <c r="J8816" s="545">
        <v>2.4642857142857144</v>
      </c>
    </row>
    <row r="8817" spans="1:10">
      <c r="A8817" s="441">
        <v>6233</v>
      </c>
      <c r="B8817" s="441" t="s">
        <v>6958</v>
      </c>
      <c r="C8817" s="545">
        <v>2.5</v>
      </c>
      <c r="D8817" s="545">
        <v>2</v>
      </c>
      <c r="E8817" s="545">
        <v>2.666666666666667</v>
      </c>
      <c r="F8817" s="545">
        <v>2.4523809523809526</v>
      </c>
      <c r="G8817" s="545">
        <v>5.55</v>
      </c>
      <c r="H8817" s="545">
        <v>3.3333333333333335</v>
      </c>
      <c r="I8817" s="545">
        <v>3</v>
      </c>
      <c r="J8817" s="545">
        <v>4.8690476190476186</v>
      </c>
    </row>
    <row r="8818" spans="1:10">
      <c r="A8818" s="441">
        <v>6234</v>
      </c>
      <c r="B8818" s="441" t="s">
        <v>6959</v>
      </c>
      <c r="C8818" s="545">
        <v>8.3333333333333339</v>
      </c>
      <c r="D8818" s="545">
        <v>6</v>
      </c>
      <c r="E8818" s="545">
        <v>4.666666666666667</v>
      </c>
      <c r="F8818" s="545">
        <v>7.4761904761904763</v>
      </c>
      <c r="G8818" s="545">
        <v>10.15</v>
      </c>
      <c r="H8818" s="545">
        <v>5.333333333333333</v>
      </c>
      <c r="I8818" s="545">
        <v>5</v>
      </c>
      <c r="J8818" s="545">
        <v>8.7261904761904763</v>
      </c>
    </row>
    <row r="8819" spans="1:10">
      <c r="A8819" s="441">
        <v>7215</v>
      </c>
      <c r="B8819" s="441" t="s">
        <v>6960</v>
      </c>
      <c r="C8819" s="545">
        <v>9.5</v>
      </c>
      <c r="D8819" s="545">
        <v>7.3333333333333339</v>
      </c>
      <c r="E8819" s="545">
        <v>6.666666666666667</v>
      </c>
      <c r="F8819" s="545">
        <v>8.7857142857142865</v>
      </c>
      <c r="G8819" s="545">
        <v>5.5</v>
      </c>
      <c r="H8819" s="545">
        <v>5</v>
      </c>
      <c r="I8819" s="545">
        <v>2.3333333333333335</v>
      </c>
      <c r="J8819" s="545">
        <v>4.9761904761904763</v>
      </c>
    </row>
    <row r="8820" spans="1:10">
      <c r="A8820" s="441">
        <v>7274</v>
      </c>
      <c r="B8820" s="441" t="s">
        <v>6961</v>
      </c>
      <c r="C8820" s="545">
        <v>10.666666666666666</v>
      </c>
      <c r="D8820" s="545">
        <v>10.333333333333334</v>
      </c>
      <c r="E8820" s="545">
        <v>4.333333333333333</v>
      </c>
      <c r="F8820" s="545">
        <v>9.7142857142857135</v>
      </c>
      <c r="G8820" s="545">
        <v>4.1500000000000004</v>
      </c>
      <c r="H8820" s="545">
        <v>4</v>
      </c>
      <c r="I8820" s="545">
        <v>2</v>
      </c>
      <c r="J8820" s="545">
        <v>3.8214285714285716</v>
      </c>
    </row>
    <row r="8821" spans="1:10">
      <c r="A8821" s="441">
        <v>7234</v>
      </c>
      <c r="B8821" s="441" t="s">
        <v>6962</v>
      </c>
      <c r="C8821" s="545">
        <v>11</v>
      </c>
      <c r="D8821" s="545">
        <v>3.333333333333333</v>
      </c>
      <c r="E8821" s="545">
        <v>2</v>
      </c>
      <c r="F8821" s="545">
        <v>8.6190476190476186</v>
      </c>
      <c r="G8821" s="545">
        <v>9.5500000000000007</v>
      </c>
      <c r="H8821" s="545">
        <v>2.3333333333333335</v>
      </c>
      <c r="I8821" s="545">
        <v>3.3333333333333335</v>
      </c>
      <c r="J8821" s="545">
        <v>7.6309523809523814</v>
      </c>
    </row>
    <row r="8822" spans="1:10">
      <c r="A8822" s="441">
        <v>7235</v>
      </c>
      <c r="B8822" s="441" t="s">
        <v>6963</v>
      </c>
      <c r="C8822" s="545">
        <v>8.8333333333333339</v>
      </c>
      <c r="D8822" s="545">
        <v>6.6666666666666661</v>
      </c>
      <c r="E8822" s="545">
        <v>6</v>
      </c>
      <c r="F8822" s="545">
        <v>8.1190476190476186</v>
      </c>
      <c r="G8822" s="545">
        <v>8.1</v>
      </c>
      <c r="H8822" s="545">
        <v>2.6666666666666665</v>
      </c>
      <c r="I8822" s="545">
        <v>1.6666666666666667</v>
      </c>
      <c r="J8822" s="545">
        <v>6.4047619047619042</v>
      </c>
    </row>
    <row r="8823" spans="1:10">
      <c r="A8823" s="441">
        <v>7237</v>
      </c>
      <c r="B8823" s="441" t="s">
        <v>6964</v>
      </c>
      <c r="C8823" s="545">
        <v>24.333333333333336</v>
      </c>
      <c r="D8823" s="545">
        <v>5.333333333333333</v>
      </c>
      <c r="E8823" s="545">
        <v>1.6666666666666665</v>
      </c>
      <c r="F8823" s="545">
        <v>18.380952380952383</v>
      </c>
      <c r="G8823" s="545">
        <v>27.55</v>
      </c>
      <c r="H8823" s="545">
        <v>4</v>
      </c>
      <c r="I8823" s="545">
        <v>3</v>
      </c>
      <c r="J8823" s="545">
        <v>20.678571428571427</v>
      </c>
    </row>
    <row r="8824" spans="1:10">
      <c r="A8824" s="441">
        <v>7270</v>
      </c>
      <c r="B8824" s="441" t="s">
        <v>6964</v>
      </c>
      <c r="C8824" s="545">
        <v>40.833333333333336</v>
      </c>
      <c r="D8824" s="545">
        <v>8.6666666666666679</v>
      </c>
      <c r="E8824" s="545">
        <v>3.3333333333333335</v>
      </c>
      <c r="F8824" s="545">
        <v>30.880952380952383</v>
      </c>
      <c r="G8824" s="545">
        <v>57.75</v>
      </c>
      <c r="H8824" s="545">
        <v>5.333333333333333</v>
      </c>
      <c r="I8824" s="545">
        <v>4.333333333333333</v>
      </c>
      <c r="J8824" s="545">
        <v>42.630952380952372</v>
      </c>
    </row>
    <row r="8825" spans="1:10">
      <c r="A8825" s="441">
        <v>7238</v>
      </c>
      <c r="B8825" s="441" t="s">
        <v>6965</v>
      </c>
      <c r="C8825" s="545">
        <v>6.666666666666667</v>
      </c>
      <c r="D8825" s="545">
        <v>4</v>
      </c>
      <c r="E8825" s="545">
        <v>5.333333333333333</v>
      </c>
      <c r="F8825" s="545">
        <v>6.0952380952380958</v>
      </c>
      <c r="G8825" s="545">
        <v>4.3499999999999996</v>
      </c>
      <c r="H8825" s="545">
        <v>4.333333333333333</v>
      </c>
      <c r="I8825" s="545">
        <v>1.6666666666666667</v>
      </c>
      <c r="J8825" s="545">
        <v>3.9642857142857144</v>
      </c>
    </row>
    <row r="8826" spans="1:10">
      <c r="A8826" s="441">
        <v>7245</v>
      </c>
      <c r="B8826" s="441" t="s">
        <v>6966</v>
      </c>
      <c r="C8826" s="545">
        <v>5.833333333333333</v>
      </c>
      <c r="D8826" s="545">
        <v>3</v>
      </c>
      <c r="E8826" s="545">
        <v>7.6666666666666661</v>
      </c>
      <c r="F8826" s="545">
        <v>5.6904761904761898</v>
      </c>
      <c r="G8826" s="545">
        <v>3.65</v>
      </c>
      <c r="H8826" s="545">
        <v>2</v>
      </c>
      <c r="I8826" s="545">
        <v>2.3333333333333335</v>
      </c>
      <c r="J8826" s="545">
        <v>3.2261904761904758</v>
      </c>
    </row>
    <row r="8827" spans="1:10">
      <c r="A8827" s="441">
        <v>7262</v>
      </c>
      <c r="B8827" s="441" t="s">
        <v>6966</v>
      </c>
      <c r="C8827" s="545">
        <v>6.166666666666667</v>
      </c>
      <c r="D8827" s="545">
        <v>5</v>
      </c>
      <c r="E8827" s="545">
        <v>6</v>
      </c>
      <c r="F8827" s="545">
        <v>5.9761904761904763</v>
      </c>
      <c r="G8827" s="545">
        <v>3.95</v>
      </c>
      <c r="H8827" s="545">
        <v>2.3333333333333335</v>
      </c>
      <c r="I8827" s="545">
        <v>3.6666666666666665</v>
      </c>
      <c r="J8827" s="545">
        <v>3.6785714285714284</v>
      </c>
    </row>
    <row r="8828" spans="1:10">
      <c r="A8828" s="441">
        <v>7269</v>
      </c>
      <c r="B8828" s="441" t="s">
        <v>6967</v>
      </c>
      <c r="C8828" s="545">
        <v>10.833333333333332</v>
      </c>
      <c r="D8828" s="545">
        <v>3</v>
      </c>
      <c r="E8828" s="545">
        <v>2.3333333333333335</v>
      </c>
      <c r="F8828" s="545">
        <v>8.4999999999999982</v>
      </c>
      <c r="G8828" s="545">
        <v>8.0500000000000007</v>
      </c>
      <c r="H8828" s="545">
        <v>2.3333333333333335</v>
      </c>
      <c r="I8828" s="545">
        <v>1.6666666666666667</v>
      </c>
      <c r="J8828" s="545">
        <v>6.3214285714285712</v>
      </c>
    </row>
    <row r="8829" spans="1:10">
      <c r="A8829" s="441">
        <v>7243</v>
      </c>
      <c r="B8829" s="441" t="s">
        <v>6968</v>
      </c>
      <c r="C8829" s="545">
        <v>9.3333333333333321</v>
      </c>
      <c r="D8829" s="545">
        <v>8</v>
      </c>
      <c r="E8829" s="545">
        <v>4</v>
      </c>
      <c r="F8829" s="545">
        <v>8.3809523809523796</v>
      </c>
      <c r="G8829" s="545">
        <v>6.25</v>
      </c>
      <c r="H8829" s="545">
        <v>1.3333333333333333</v>
      </c>
      <c r="I8829" s="545">
        <v>2</v>
      </c>
      <c r="J8829" s="545">
        <v>4.9404761904761907</v>
      </c>
    </row>
    <row r="8830" spans="1:10">
      <c r="A8830" s="441">
        <v>7264</v>
      </c>
      <c r="B8830" s="441" t="s">
        <v>6968</v>
      </c>
      <c r="C8830" s="545">
        <v>8.8333333333333321</v>
      </c>
      <c r="D8830" s="545">
        <v>3.6666666666666665</v>
      </c>
      <c r="E8830" s="545">
        <v>4.6666666666666661</v>
      </c>
      <c r="F8830" s="545">
        <v>7.4999999999999982</v>
      </c>
      <c r="G8830" s="545">
        <v>7.8</v>
      </c>
      <c r="H8830" s="545">
        <v>5.333333333333333</v>
      </c>
      <c r="I8830" s="545">
        <v>3</v>
      </c>
      <c r="J8830" s="545">
        <v>6.7619047619047619</v>
      </c>
    </row>
    <row r="8831" spans="1:10">
      <c r="A8831" s="441">
        <v>7249</v>
      </c>
      <c r="B8831" s="441" t="s">
        <v>6969</v>
      </c>
      <c r="C8831" s="545">
        <v>25</v>
      </c>
      <c r="D8831" s="545">
        <v>20.666666666666668</v>
      </c>
      <c r="E8831" s="545">
        <v>18</v>
      </c>
      <c r="F8831" s="545">
        <v>23.38095238095238</v>
      </c>
      <c r="G8831" s="545">
        <v>26.05</v>
      </c>
      <c r="H8831" s="545">
        <v>19.666666666666668</v>
      </c>
      <c r="I8831" s="545">
        <v>16</v>
      </c>
      <c r="J8831" s="545">
        <v>23.702380952380953</v>
      </c>
    </row>
    <row r="8832" spans="1:10">
      <c r="A8832" s="441">
        <v>7259</v>
      </c>
      <c r="B8832" s="441" t="s">
        <v>6969</v>
      </c>
      <c r="C8832" s="545">
        <v>35</v>
      </c>
      <c r="D8832" s="545">
        <v>25.333333333333332</v>
      </c>
      <c r="E8832" s="545">
        <v>26.333333333333336</v>
      </c>
      <c r="F8832" s="545">
        <v>32.380952380952387</v>
      </c>
      <c r="G8832" s="545">
        <v>37.5</v>
      </c>
      <c r="H8832" s="545">
        <v>27.333333333333332</v>
      </c>
      <c r="I8832" s="545">
        <v>13</v>
      </c>
      <c r="J8832" s="545">
        <v>32.547619047619051</v>
      </c>
    </row>
    <row r="8833" spans="1:10">
      <c r="A8833" s="441">
        <v>7253</v>
      </c>
      <c r="B8833" s="441" t="s">
        <v>6970</v>
      </c>
      <c r="C8833" s="545">
        <v>1.1666666666666665</v>
      </c>
      <c r="D8833" s="545">
        <v>0.66666666666666663</v>
      </c>
      <c r="E8833" s="545">
        <v>0</v>
      </c>
      <c r="F8833" s="545">
        <v>0.92857142857142849</v>
      </c>
      <c r="G8833" s="545">
        <v>1.6</v>
      </c>
      <c r="H8833" s="545">
        <v>2.6666666666666665</v>
      </c>
      <c r="I8833" s="545">
        <v>1</v>
      </c>
      <c r="J8833" s="545">
        <v>1.6666666666666665</v>
      </c>
    </row>
    <row r="8834" spans="1:10">
      <c r="A8834" s="441">
        <v>7255</v>
      </c>
      <c r="B8834" s="441" t="s">
        <v>6970</v>
      </c>
      <c r="C8834" s="545">
        <v>2.8333333333333335</v>
      </c>
      <c r="D8834" s="545">
        <v>3</v>
      </c>
      <c r="E8834" s="545">
        <v>2</v>
      </c>
      <c r="F8834" s="545">
        <v>2.7380952380952381</v>
      </c>
      <c r="G8834" s="545">
        <v>3.5</v>
      </c>
      <c r="H8834" s="545">
        <v>2</v>
      </c>
      <c r="I8834" s="545">
        <v>2</v>
      </c>
      <c r="J8834" s="545">
        <v>3.0714285714285716</v>
      </c>
    </row>
    <row r="8835" spans="1:10">
      <c r="A8835" s="441">
        <v>7250</v>
      </c>
      <c r="B8835" s="441" t="s">
        <v>6971</v>
      </c>
      <c r="C8835" s="545">
        <v>9.8333333333333321</v>
      </c>
      <c r="D8835" s="545">
        <v>5.6666666666666661</v>
      </c>
      <c r="E8835" s="545">
        <v>3.6666666666666665</v>
      </c>
      <c r="F8835" s="545">
        <v>8.3571428571428559</v>
      </c>
      <c r="G8835" s="545">
        <v>7.55</v>
      </c>
      <c r="H8835" s="545">
        <v>7</v>
      </c>
      <c r="I8835" s="545">
        <v>3.3333333333333335</v>
      </c>
      <c r="J8835" s="545">
        <v>6.8690476190476195</v>
      </c>
    </row>
    <row r="8836" spans="1:10">
      <c r="A8836" s="441">
        <v>7258</v>
      </c>
      <c r="B8836" s="441" t="s">
        <v>6971</v>
      </c>
      <c r="C8836" s="545">
        <v>12.166666666666666</v>
      </c>
      <c r="D8836" s="545">
        <v>7.666666666666667</v>
      </c>
      <c r="E8836" s="545">
        <v>7</v>
      </c>
      <c r="F8836" s="545">
        <v>10.785714285714286</v>
      </c>
      <c r="G8836" s="545">
        <v>5.65</v>
      </c>
      <c r="H8836" s="545">
        <v>5</v>
      </c>
      <c r="I8836" s="545">
        <v>2</v>
      </c>
      <c r="J8836" s="545">
        <v>5.0357142857142856</v>
      </c>
    </row>
    <row r="8837" spans="1:10">
      <c r="A8837" s="441">
        <v>7241</v>
      </c>
      <c r="B8837" s="441" t="s">
        <v>6972</v>
      </c>
      <c r="C8837" s="545">
        <v>12</v>
      </c>
      <c r="D8837" s="545">
        <v>5.6666666666666661</v>
      </c>
      <c r="E8837" s="545">
        <v>6</v>
      </c>
      <c r="F8837" s="545">
        <v>10.238095238095239</v>
      </c>
      <c r="G8837" s="545">
        <v>8.0500000000000007</v>
      </c>
      <c r="H8837" s="545">
        <v>5</v>
      </c>
      <c r="I8837" s="545">
        <v>3</v>
      </c>
      <c r="J8837" s="545">
        <v>6.8928571428571432</v>
      </c>
    </row>
    <row r="8838" spans="1:10">
      <c r="A8838" s="441">
        <v>7266</v>
      </c>
      <c r="B8838" s="441" t="s">
        <v>6972</v>
      </c>
      <c r="C8838" s="545">
        <v>10.666666666666668</v>
      </c>
      <c r="D8838" s="545">
        <v>5.6666666666666661</v>
      </c>
      <c r="E8838" s="545">
        <v>6</v>
      </c>
      <c r="F8838" s="545">
        <v>9.2857142857142865</v>
      </c>
      <c r="G8838" s="545">
        <v>16.05</v>
      </c>
      <c r="H8838" s="545">
        <v>7.333333333333333</v>
      </c>
      <c r="I8838" s="545">
        <v>3.3333333333333335</v>
      </c>
      <c r="J8838" s="545">
        <v>12.988095238095237</v>
      </c>
    </row>
    <row r="8839" spans="1:10">
      <c r="A8839" s="441">
        <v>7242</v>
      </c>
      <c r="B8839" s="441" t="s">
        <v>6973</v>
      </c>
      <c r="C8839" s="545">
        <v>7.8333333333333339</v>
      </c>
      <c r="D8839" s="545">
        <v>11</v>
      </c>
      <c r="E8839" s="545">
        <v>5</v>
      </c>
      <c r="F8839" s="545">
        <v>7.8809523809523814</v>
      </c>
      <c r="G8839" s="545">
        <v>12.15</v>
      </c>
      <c r="H8839" s="545">
        <v>8.6666666666666661</v>
      </c>
      <c r="I8839" s="545">
        <v>7.666666666666667</v>
      </c>
      <c r="J8839" s="545">
        <v>11.011904761904763</v>
      </c>
    </row>
    <row r="8840" spans="1:10">
      <c r="A8840" s="441">
        <v>7265</v>
      </c>
      <c r="B8840" s="441" t="s">
        <v>6973</v>
      </c>
      <c r="C8840" s="545">
        <v>14.166666666666666</v>
      </c>
      <c r="D8840" s="545">
        <v>11.333333333333334</v>
      </c>
      <c r="E8840" s="545">
        <v>6.333333333333333</v>
      </c>
      <c r="F8840" s="545">
        <v>12.642857142857141</v>
      </c>
      <c r="G8840" s="545">
        <v>25.75</v>
      </c>
      <c r="H8840" s="545">
        <v>9</v>
      </c>
      <c r="I8840" s="545">
        <v>6.333333333333333</v>
      </c>
      <c r="J8840" s="545">
        <v>20.583333333333336</v>
      </c>
    </row>
    <row r="8841" spans="1:10">
      <c r="A8841" s="441">
        <v>6231</v>
      </c>
      <c r="B8841" s="441" t="s">
        <v>6974</v>
      </c>
      <c r="C8841" s="545">
        <v>35.5</v>
      </c>
      <c r="D8841" s="545">
        <v>16.666666666666668</v>
      </c>
      <c r="E8841" s="545">
        <v>15.666666666666666</v>
      </c>
      <c r="F8841" s="545">
        <v>29.976190476190474</v>
      </c>
      <c r="G8841" s="545">
        <v>15</v>
      </c>
      <c r="H8841" s="545">
        <v>11.666666666666666</v>
      </c>
      <c r="I8841" s="545">
        <v>8.6666666666666661</v>
      </c>
      <c r="J8841" s="545">
        <v>13.61904761904762</v>
      </c>
    </row>
    <row r="8842" spans="1:10">
      <c r="A8842" s="441">
        <v>6230</v>
      </c>
      <c r="B8842" s="441" t="s">
        <v>6975</v>
      </c>
      <c r="C8842" s="545">
        <v>3.333333333333333</v>
      </c>
      <c r="D8842" s="545">
        <v>1</v>
      </c>
      <c r="E8842" s="545">
        <v>2.666666666666667</v>
      </c>
      <c r="F8842" s="545">
        <v>2.9047619047619047</v>
      </c>
      <c r="G8842" s="545">
        <v>3</v>
      </c>
      <c r="H8842" s="545">
        <v>3</v>
      </c>
      <c r="I8842" s="545">
        <v>2.6666666666666665</v>
      </c>
      <c r="J8842" s="545">
        <v>2.9523809523809526</v>
      </c>
    </row>
    <row r="8843" spans="1:10">
      <c r="A8843" s="441">
        <v>6229</v>
      </c>
      <c r="B8843" s="441" t="s">
        <v>6976</v>
      </c>
      <c r="C8843" s="545">
        <v>3.5</v>
      </c>
      <c r="D8843" s="545">
        <v>1.6666666666666665</v>
      </c>
      <c r="E8843" s="545">
        <v>2.6666666666666665</v>
      </c>
      <c r="F8843" s="545">
        <v>3.1190476190476195</v>
      </c>
      <c r="G8843" s="545">
        <v>6.25</v>
      </c>
      <c r="H8843" s="545">
        <v>5.333333333333333</v>
      </c>
      <c r="I8843" s="545">
        <v>3.6666666666666665</v>
      </c>
      <c r="J8843" s="545">
        <v>5.75</v>
      </c>
    </row>
    <row r="8844" spans="1:10">
      <c r="A8844" s="441">
        <v>6228</v>
      </c>
      <c r="B8844" s="441" t="s">
        <v>6977</v>
      </c>
      <c r="C8844" s="545">
        <v>9.1666666666666679</v>
      </c>
      <c r="D8844" s="545">
        <v>8</v>
      </c>
      <c r="E8844" s="545">
        <v>2.3333333333333335</v>
      </c>
      <c r="F8844" s="545">
        <v>8.0238095238095255</v>
      </c>
      <c r="G8844" s="545">
        <v>7.25</v>
      </c>
      <c r="H8844" s="545">
        <v>3</v>
      </c>
      <c r="I8844" s="545">
        <v>6</v>
      </c>
      <c r="J8844" s="545">
        <v>6.4642857142857144</v>
      </c>
    </row>
    <row r="8845" spans="1:10">
      <c r="A8845" s="441">
        <v>7214</v>
      </c>
      <c r="B8845" s="441" t="s">
        <v>6978</v>
      </c>
      <c r="C8845" s="545">
        <v>7.5</v>
      </c>
      <c r="D8845" s="545">
        <v>5.666666666666667</v>
      </c>
      <c r="E8845" s="545">
        <v>4.3333333333333339</v>
      </c>
      <c r="F8845" s="545">
        <v>6.7857142857142856</v>
      </c>
      <c r="G8845" s="545">
        <v>4.7</v>
      </c>
      <c r="H8845" s="545">
        <v>2.6666666666666665</v>
      </c>
      <c r="I8845" s="545">
        <v>3.3333333333333335</v>
      </c>
      <c r="J8845" s="545">
        <v>4.2142857142857144</v>
      </c>
    </row>
    <row r="8846" spans="1:10">
      <c r="A8846" s="441">
        <v>7275</v>
      </c>
      <c r="B8846" s="441" t="s">
        <v>6978</v>
      </c>
      <c r="C8846" s="545">
        <v>6.8333333333333339</v>
      </c>
      <c r="D8846" s="545">
        <v>6.6666666666666661</v>
      </c>
      <c r="E8846" s="545">
        <v>4</v>
      </c>
      <c r="F8846" s="545">
        <v>6.4047619047619051</v>
      </c>
      <c r="G8846" s="545">
        <v>5.55</v>
      </c>
      <c r="H8846" s="545">
        <v>3</v>
      </c>
      <c r="I8846" s="545">
        <v>4</v>
      </c>
      <c r="J8846" s="545">
        <v>4.9642857142857144</v>
      </c>
    </row>
    <row r="8847" spans="1:10">
      <c r="A8847" s="441">
        <v>7273</v>
      </c>
      <c r="B8847" s="441" t="s">
        <v>6979</v>
      </c>
      <c r="C8847" s="545">
        <v>4</v>
      </c>
      <c r="D8847" s="545">
        <v>3.6666666666666665</v>
      </c>
      <c r="E8847" s="545">
        <v>1</v>
      </c>
      <c r="F8847" s="545">
        <v>3.5238095238095242</v>
      </c>
      <c r="G8847" s="545">
        <v>4.6500000000000004</v>
      </c>
      <c r="H8847" s="545">
        <v>0.66666666666666663</v>
      </c>
      <c r="I8847" s="545">
        <v>2.3333333333333335</v>
      </c>
      <c r="J8847" s="545">
        <v>3.75</v>
      </c>
    </row>
    <row r="8848" spans="1:10">
      <c r="A8848" s="441">
        <v>7272</v>
      </c>
      <c r="B8848" s="441" t="s">
        <v>6980</v>
      </c>
      <c r="C8848" s="545">
        <v>10.166666666666668</v>
      </c>
      <c r="D8848" s="545">
        <v>4.333333333333333</v>
      </c>
      <c r="E8848" s="545">
        <v>3.6666666666666665</v>
      </c>
      <c r="F8848" s="545">
        <v>8.4047619047619069</v>
      </c>
      <c r="G8848" s="545">
        <v>5.9</v>
      </c>
      <c r="H8848" s="545">
        <v>4.333333333333333</v>
      </c>
      <c r="I8848" s="545">
        <v>4</v>
      </c>
      <c r="J8848" s="545">
        <v>5.4047619047619051</v>
      </c>
    </row>
    <row r="8849" spans="1:10">
      <c r="A8849" s="441">
        <v>7239</v>
      </c>
      <c r="B8849" s="441" t="s">
        <v>6981</v>
      </c>
      <c r="C8849" s="545">
        <v>72.166666666666657</v>
      </c>
      <c r="D8849" s="545">
        <v>57.333333333333329</v>
      </c>
      <c r="E8849" s="545">
        <v>34.333333333333329</v>
      </c>
      <c r="F8849" s="545">
        <v>64.642857142857125</v>
      </c>
      <c r="G8849" s="545">
        <v>51.65</v>
      </c>
      <c r="H8849" s="545">
        <v>38.333333333333336</v>
      </c>
      <c r="I8849" s="545">
        <v>34.333333333333336</v>
      </c>
      <c r="J8849" s="545">
        <v>47.273809523809518</v>
      </c>
    </row>
    <row r="8850" spans="1:10">
      <c r="A8850" s="441">
        <v>7246</v>
      </c>
      <c r="B8850" s="441" t="s">
        <v>6982</v>
      </c>
      <c r="C8850" s="545">
        <v>4.5</v>
      </c>
      <c r="D8850" s="545">
        <v>2.666666666666667</v>
      </c>
      <c r="E8850" s="545">
        <v>2.666666666666667</v>
      </c>
      <c r="F8850" s="545">
        <v>3.9761904761904767</v>
      </c>
      <c r="G8850" s="545">
        <v>8.35</v>
      </c>
      <c r="H8850" s="545">
        <v>3.6666666666666665</v>
      </c>
      <c r="I8850" s="545">
        <v>2.6666666666666665</v>
      </c>
      <c r="J8850" s="545">
        <v>6.8690476190476186</v>
      </c>
    </row>
    <row r="8851" spans="1:10">
      <c r="A8851" s="441">
        <v>7261</v>
      </c>
      <c r="B8851" s="441" t="s">
        <v>6982</v>
      </c>
      <c r="C8851" s="545">
        <v>2.833333333333333</v>
      </c>
      <c r="D8851" s="545">
        <v>4.666666666666667</v>
      </c>
      <c r="E8851" s="545">
        <v>2.3333333333333335</v>
      </c>
      <c r="F8851" s="545">
        <v>3.0238095238095233</v>
      </c>
      <c r="G8851" s="545">
        <v>16.3</v>
      </c>
      <c r="H8851" s="545">
        <v>5.666666666666667</v>
      </c>
      <c r="I8851" s="545">
        <v>3.3333333333333335</v>
      </c>
      <c r="J8851" s="545">
        <v>12.928571428571429</v>
      </c>
    </row>
    <row r="8852" spans="1:10">
      <c r="A8852" s="441">
        <v>7248</v>
      </c>
      <c r="B8852" s="441" t="s">
        <v>6983</v>
      </c>
      <c r="C8852" s="545">
        <v>10.666666666666666</v>
      </c>
      <c r="D8852" s="545">
        <v>8.3333333333333321</v>
      </c>
      <c r="E8852" s="545">
        <v>6</v>
      </c>
      <c r="F8852" s="545">
        <v>9.6666666666666661</v>
      </c>
      <c r="G8852" s="545">
        <v>6.5</v>
      </c>
      <c r="H8852" s="545">
        <v>8</v>
      </c>
      <c r="I8852" s="545">
        <v>6.333333333333333</v>
      </c>
      <c r="J8852" s="545">
        <v>6.6904761904761907</v>
      </c>
    </row>
    <row r="8853" spans="1:10">
      <c r="A8853" s="441">
        <v>7254</v>
      </c>
      <c r="B8853" s="441" t="s">
        <v>6984</v>
      </c>
      <c r="C8853" s="545">
        <v>29</v>
      </c>
      <c r="D8853" s="545">
        <v>22.666666666666668</v>
      </c>
      <c r="E8853" s="545">
        <v>17.333333333333332</v>
      </c>
      <c r="F8853" s="545">
        <v>26.428571428571427</v>
      </c>
      <c r="G8853" s="545">
        <v>21.2</v>
      </c>
      <c r="H8853" s="545">
        <v>17</v>
      </c>
      <c r="I8853" s="545">
        <v>13</v>
      </c>
      <c r="J8853" s="545">
        <v>19.428571428571427</v>
      </c>
    </row>
    <row r="8854" spans="1:10">
      <c r="A8854" s="441">
        <v>7252</v>
      </c>
      <c r="B8854" s="441" t="s">
        <v>6985</v>
      </c>
      <c r="C8854" s="545">
        <v>1</v>
      </c>
      <c r="D8854" s="545">
        <v>0.33333333333333331</v>
      </c>
      <c r="E8854" s="545">
        <v>0.33333333333333331</v>
      </c>
      <c r="F8854" s="545">
        <v>0.80952380952380942</v>
      </c>
      <c r="G8854" s="545">
        <v>0.5</v>
      </c>
      <c r="H8854" s="545">
        <v>0</v>
      </c>
      <c r="I8854" s="545">
        <v>0.66666666666666663</v>
      </c>
      <c r="J8854" s="545">
        <v>0.45238095238095238</v>
      </c>
    </row>
    <row r="8855" spans="1:10">
      <c r="A8855" s="441">
        <v>7256</v>
      </c>
      <c r="B8855" s="441" t="s">
        <v>6985</v>
      </c>
      <c r="C8855" s="545">
        <v>1</v>
      </c>
      <c r="D8855" s="545">
        <v>0.33333333333333331</v>
      </c>
      <c r="E8855" s="545">
        <v>0.66666666666666663</v>
      </c>
      <c r="F8855" s="545">
        <v>0.8571428571428571</v>
      </c>
      <c r="G8855" s="545">
        <v>0.8</v>
      </c>
      <c r="H8855" s="545">
        <v>0.66666666666666663</v>
      </c>
      <c r="I8855" s="545">
        <v>0</v>
      </c>
      <c r="J8855" s="545">
        <v>0.66666666666666674</v>
      </c>
    </row>
    <row r="8856" spans="1:10">
      <c r="A8856" s="441">
        <v>7247</v>
      </c>
      <c r="B8856" s="441" t="s">
        <v>6986</v>
      </c>
      <c r="C8856" s="545">
        <v>35.5</v>
      </c>
      <c r="D8856" s="545">
        <v>22</v>
      </c>
      <c r="E8856" s="545">
        <v>21.666666666666664</v>
      </c>
      <c r="F8856" s="545">
        <v>31.595238095238095</v>
      </c>
      <c r="G8856" s="545">
        <v>32.450000000000003</v>
      </c>
      <c r="H8856" s="545">
        <v>19.333333333333332</v>
      </c>
      <c r="I8856" s="545">
        <v>17.333333333333332</v>
      </c>
      <c r="J8856" s="545">
        <v>28.416666666666668</v>
      </c>
    </row>
    <row r="8857" spans="1:10">
      <c r="A8857" s="441">
        <v>7260</v>
      </c>
      <c r="B8857" s="441" t="s">
        <v>6986</v>
      </c>
      <c r="C8857" s="545">
        <v>54.5</v>
      </c>
      <c r="D8857" s="545">
        <v>35.333333333333329</v>
      </c>
      <c r="E8857" s="545">
        <v>31.333333333333332</v>
      </c>
      <c r="F8857" s="545">
        <v>48.452380952380949</v>
      </c>
      <c r="G8857" s="545">
        <v>27.5</v>
      </c>
      <c r="H8857" s="545">
        <v>23.333333333333332</v>
      </c>
      <c r="I8857" s="545">
        <v>16</v>
      </c>
      <c r="J8857" s="545">
        <v>25.261904761904763</v>
      </c>
    </row>
    <row r="8858" spans="1:10">
      <c r="A8858" s="441">
        <v>7251</v>
      </c>
      <c r="B8858" s="441" t="s">
        <v>6987</v>
      </c>
      <c r="C8858" s="545">
        <v>13.833333333333334</v>
      </c>
      <c r="D8858" s="545">
        <v>6.666666666666667</v>
      </c>
      <c r="E8858" s="545">
        <v>4.6666666666666661</v>
      </c>
      <c r="F8858" s="545">
        <v>11.500000000000002</v>
      </c>
      <c r="G8858" s="545">
        <v>4.8499999999999996</v>
      </c>
      <c r="H8858" s="545">
        <v>5.333333333333333</v>
      </c>
      <c r="I8858" s="545">
        <v>6</v>
      </c>
      <c r="J8858" s="545">
        <v>5.083333333333333</v>
      </c>
    </row>
    <row r="8859" spans="1:10">
      <c r="A8859" s="441">
        <v>7257</v>
      </c>
      <c r="B8859" s="441" t="s">
        <v>6987</v>
      </c>
      <c r="C8859" s="545">
        <v>14</v>
      </c>
      <c r="D8859" s="545">
        <v>5</v>
      </c>
      <c r="E8859" s="545">
        <v>5.666666666666667</v>
      </c>
      <c r="F8859" s="545">
        <v>11.523809523809524</v>
      </c>
      <c r="G8859" s="545">
        <v>6.15</v>
      </c>
      <c r="H8859" s="545">
        <v>12.666666666666666</v>
      </c>
      <c r="I8859" s="545">
        <v>2.6666666666666665</v>
      </c>
      <c r="J8859" s="545">
        <v>6.583333333333333</v>
      </c>
    </row>
    <row r="8860" spans="1:10">
      <c r="A8860" s="441">
        <v>7240</v>
      </c>
      <c r="B8860" s="441" t="s">
        <v>6988</v>
      </c>
      <c r="C8860" s="545">
        <v>7.3333333333333339</v>
      </c>
      <c r="D8860" s="545">
        <v>5</v>
      </c>
      <c r="E8860" s="545">
        <v>4.666666666666667</v>
      </c>
      <c r="F8860" s="545">
        <v>6.6190476190476195</v>
      </c>
      <c r="G8860" s="545">
        <v>5.45</v>
      </c>
      <c r="H8860" s="545">
        <v>2.3333333333333335</v>
      </c>
      <c r="I8860" s="545">
        <v>1.3333333333333333</v>
      </c>
      <c r="J8860" s="545">
        <v>4.4166666666666661</v>
      </c>
    </row>
    <row r="8861" spans="1:10">
      <c r="A8861" s="441">
        <v>7267</v>
      </c>
      <c r="B8861" s="441" t="s">
        <v>6988</v>
      </c>
      <c r="C8861" s="545">
        <v>11.5</v>
      </c>
      <c r="D8861" s="545">
        <v>3.3333333333333335</v>
      </c>
      <c r="E8861" s="545">
        <v>5.333333333333333</v>
      </c>
      <c r="F8861" s="545">
        <v>9.4523809523809526</v>
      </c>
      <c r="G8861" s="545">
        <v>6.95</v>
      </c>
      <c r="H8861" s="545">
        <v>3.3333333333333335</v>
      </c>
      <c r="I8861" s="545">
        <v>2.6666666666666665</v>
      </c>
      <c r="J8861" s="545">
        <v>5.8214285714285712</v>
      </c>
    </row>
    <row r="8862" spans="1:10">
      <c r="A8862" s="441">
        <v>3593</v>
      </c>
      <c r="B8862" s="441" t="s">
        <v>6989</v>
      </c>
      <c r="C8862" s="545">
        <v>10.666666666666666</v>
      </c>
      <c r="D8862" s="545">
        <v>6</v>
      </c>
      <c r="E8862" s="545">
        <v>6.666666666666667</v>
      </c>
      <c r="F8862" s="545">
        <v>9.4285714285714288</v>
      </c>
      <c r="G8862" s="545">
        <v>8.8000000000000007</v>
      </c>
      <c r="H8862" s="545">
        <v>8.6666666666666661</v>
      </c>
      <c r="I8862" s="545">
        <v>7.666666666666667</v>
      </c>
      <c r="J8862" s="545">
        <v>8.6190476190476186</v>
      </c>
    </row>
    <row r="8863" spans="1:10">
      <c r="A8863" s="441">
        <v>3592</v>
      </c>
      <c r="B8863" s="441" t="s">
        <v>6990</v>
      </c>
      <c r="C8863" s="545">
        <v>9</v>
      </c>
      <c r="D8863" s="545">
        <v>7</v>
      </c>
      <c r="E8863" s="545">
        <v>8.3333333333333339</v>
      </c>
      <c r="F8863" s="545">
        <v>8.6190476190476186</v>
      </c>
      <c r="G8863" s="545">
        <v>7.35</v>
      </c>
      <c r="H8863" s="545">
        <v>4.666666666666667</v>
      </c>
      <c r="I8863" s="545">
        <v>3.6666666666666665</v>
      </c>
      <c r="J8863" s="545">
        <v>6.4404761904761898</v>
      </c>
    </row>
    <row r="8864" spans="1:10">
      <c r="A8864" s="441">
        <v>3597</v>
      </c>
      <c r="B8864" s="441" t="s">
        <v>6990</v>
      </c>
      <c r="C8864" s="545">
        <v>5</v>
      </c>
      <c r="D8864" s="545">
        <v>3.666666666666667</v>
      </c>
      <c r="E8864" s="545">
        <v>2</v>
      </c>
      <c r="F8864" s="545">
        <v>4.3809523809523814</v>
      </c>
      <c r="G8864" s="545">
        <v>4.0999999999999996</v>
      </c>
      <c r="H8864" s="545">
        <v>0.66666666666666663</v>
      </c>
      <c r="I8864" s="545">
        <v>0.33333333333333331</v>
      </c>
      <c r="J8864" s="545">
        <v>3.0714285714285716</v>
      </c>
    </row>
    <row r="8865" spans="1:10">
      <c r="A8865" s="441">
        <v>3586</v>
      </c>
      <c r="B8865" s="441" t="s">
        <v>6991</v>
      </c>
      <c r="C8865" s="545">
        <v>4.5</v>
      </c>
      <c r="D8865" s="545">
        <v>2</v>
      </c>
      <c r="E8865" s="545">
        <v>2.3333333333333335</v>
      </c>
      <c r="F8865" s="545">
        <v>3.833333333333333</v>
      </c>
      <c r="G8865" s="545">
        <v>1.05</v>
      </c>
      <c r="H8865" s="545">
        <v>1.3333333333333333</v>
      </c>
      <c r="I8865" s="545">
        <v>1.3333333333333333</v>
      </c>
      <c r="J8865" s="545">
        <v>1.1309523809523809</v>
      </c>
    </row>
    <row r="8866" spans="1:10">
      <c r="A8866" s="441">
        <v>3603</v>
      </c>
      <c r="B8866" s="441" t="s">
        <v>6991</v>
      </c>
      <c r="C8866" s="545">
        <v>3.6666666666666665</v>
      </c>
      <c r="D8866" s="545">
        <v>0.33333333333333331</v>
      </c>
      <c r="E8866" s="545">
        <v>1.3333333333333333</v>
      </c>
      <c r="F8866" s="545">
        <v>2.8571428571428568</v>
      </c>
      <c r="G8866" s="545">
        <v>1.35</v>
      </c>
      <c r="H8866" s="545">
        <v>0.33333333333333331</v>
      </c>
      <c r="I8866" s="545">
        <v>1.3333333333333333</v>
      </c>
      <c r="J8866" s="545">
        <v>1.2023809523809523</v>
      </c>
    </row>
    <row r="8867" spans="1:10">
      <c r="A8867" s="441">
        <v>3583</v>
      </c>
      <c r="B8867" s="441" t="s">
        <v>6992</v>
      </c>
      <c r="C8867" s="545">
        <v>18</v>
      </c>
      <c r="D8867" s="545">
        <v>9.6666666666666679</v>
      </c>
      <c r="E8867" s="545">
        <v>9</v>
      </c>
      <c r="F8867" s="545">
        <v>15.523809523809524</v>
      </c>
      <c r="G8867" s="545">
        <v>7.95</v>
      </c>
      <c r="H8867" s="545">
        <v>7</v>
      </c>
      <c r="I8867" s="545">
        <v>12.333333333333334</v>
      </c>
      <c r="J8867" s="545">
        <v>8.4404761904761916</v>
      </c>
    </row>
    <row r="8868" spans="1:10">
      <c r="A8868" s="441">
        <v>3606</v>
      </c>
      <c r="B8868" s="441" t="s">
        <v>6992</v>
      </c>
      <c r="C8868" s="545">
        <v>14.5</v>
      </c>
      <c r="D8868" s="545">
        <v>13.333333333333332</v>
      </c>
      <c r="E8868" s="545">
        <v>5.333333333333333</v>
      </c>
      <c r="F8868" s="545">
        <v>13.023809523809522</v>
      </c>
      <c r="G8868" s="545">
        <v>8.1</v>
      </c>
      <c r="H8868" s="545">
        <v>4.333333333333333</v>
      </c>
      <c r="I8868" s="545">
        <v>6.333333333333333</v>
      </c>
      <c r="J8868" s="545">
        <v>7.3095238095238102</v>
      </c>
    </row>
    <row r="8869" spans="1:10">
      <c r="A8869" s="441">
        <v>3584</v>
      </c>
      <c r="B8869" s="441" t="s">
        <v>6993</v>
      </c>
      <c r="C8869" s="545">
        <v>9.6666666666666661</v>
      </c>
      <c r="D8869" s="545">
        <v>1.6666666666666665</v>
      </c>
      <c r="E8869" s="545">
        <v>2</v>
      </c>
      <c r="F8869" s="545">
        <v>7.4285714285714279</v>
      </c>
      <c r="G8869" s="545">
        <v>0.15</v>
      </c>
      <c r="H8869" s="545">
        <v>0</v>
      </c>
      <c r="I8869" s="545">
        <v>0</v>
      </c>
      <c r="J8869" s="545">
        <v>0.10714285714285714</v>
      </c>
    </row>
    <row r="8870" spans="1:10">
      <c r="A8870" s="441">
        <v>3605</v>
      </c>
      <c r="B8870" s="441" t="s">
        <v>6993</v>
      </c>
      <c r="C8870" s="545">
        <v>7.3333333333333339</v>
      </c>
      <c r="D8870" s="545">
        <v>2.3333333333333335</v>
      </c>
      <c r="E8870" s="545">
        <v>4.6666666666666661</v>
      </c>
      <c r="F8870" s="545">
        <v>6.238095238095239</v>
      </c>
      <c r="G8870" s="545">
        <v>0</v>
      </c>
      <c r="H8870" s="545">
        <v>0</v>
      </c>
      <c r="I8870" s="545">
        <v>0</v>
      </c>
      <c r="J8870" s="545">
        <v>0</v>
      </c>
    </row>
    <row r="8871" spans="1:10">
      <c r="A8871" s="441">
        <v>3589</v>
      </c>
      <c r="B8871" s="441" t="s">
        <v>6994</v>
      </c>
      <c r="C8871" s="545">
        <v>2.833333333333333</v>
      </c>
      <c r="D8871" s="545">
        <v>0.66666666666666663</v>
      </c>
      <c r="E8871" s="545">
        <v>0.33333333333333331</v>
      </c>
      <c r="F8871" s="545">
        <v>2.1666666666666665</v>
      </c>
      <c r="G8871" s="545">
        <v>0.95</v>
      </c>
      <c r="H8871" s="545">
        <v>1.3333333333333333</v>
      </c>
      <c r="I8871" s="545">
        <v>0.33333333333333331</v>
      </c>
      <c r="J8871" s="545">
        <v>0.91666666666666663</v>
      </c>
    </row>
    <row r="8872" spans="1:10">
      <c r="A8872" s="441">
        <v>3600</v>
      </c>
      <c r="B8872" s="441" t="s">
        <v>6994</v>
      </c>
      <c r="C8872" s="545">
        <v>7.5</v>
      </c>
      <c r="D8872" s="545">
        <v>1.6666666666666665</v>
      </c>
      <c r="E8872" s="545">
        <v>0.33333333333333331</v>
      </c>
      <c r="F8872" s="545">
        <v>5.6428571428571432</v>
      </c>
      <c r="G8872" s="545">
        <v>1.6</v>
      </c>
      <c r="H8872" s="545">
        <v>0.66666666666666663</v>
      </c>
      <c r="I8872" s="545">
        <v>0.33333333333333331</v>
      </c>
      <c r="J8872" s="545">
        <v>1.2857142857142858</v>
      </c>
    </row>
    <row r="8873" spans="1:10">
      <c r="A8873" s="441">
        <v>3581</v>
      </c>
      <c r="B8873" s="441" t="s">
        <v>6995</v>
      </c>
      <c r="C8873" s="545">
        <v>11.666666666666668</v>
      </c>
      <c r="D8873" s="545">
        <v>4.666666666666667</v>
      </c>
      <c r="E8873" s="545">
        <v>5</v>
      </c>
      <c r="F8873" s="545">
        <v>9.7142857142857135</v>
      </c>
      <c r="G8873" s="545">
        <v>1.05</v>
      </c>
      <c r="H8873" s="545">
        <v>0.33333333333333331</v>
      </c>
      <c r="I8873" s="545">
        <v>2</v>
      </c>
      <c r="J8873" s="545">
        <v>1.0833333333333333</v>
      </c>
    </row>
    <row r="8874" spans="1:10">
      <c r="A8874" s="441">
        <v>3608</v>
      </c>
      <c r="B8874" s="441" t="s">
        <v>6995</v>
      </c>
      <c r="C8874" s="545">
        <v>18.5</v>
      </c>
      <c r="D8874" s="545">
        <v>8</v>
      </c>
      <c r="E8874" s="545">
        <v>4</v>
      </c>
      <c r="F8874" s="545">
        <v>14.928571428571429</v>
      </c>
      <c r="G8874" s="545">
        <v>2.5</v>
      </c>
      <c r="H8874" s="545">
        <v>3.3333333333333335</v>
      </c>
      <c r="I8874" s="545">
        <v>1</v>
      </c>
      <c r="J8874" s="545">
        <v>2.4047619047619051</v>
      </c>
    </row>
    <row r="8875" spans="1:10">
      <c r="A8875" s="441">
        <v>3578</v>
      </c>
      <c r="B8875" s="441" t="s">
        <v>6996</v>
      </c>
      <c r="C8875" s="545">
        <v>13.166666666666666</v>
      </c>
      <c r="D8875" s="545">
        <v>6.333333333333333</v>
      </c>
      <c r="E8875" s="545">
        <v>6</v>
      </c>
      <c r="F8875" s="545">
        <v>11.166666666666666</v>
      </c>
      <c r="G8875" s="545">
        <v>6.2</v>
      </c>
      <c r="H8875" s="545">
        <v>7</v>
      </c>
      <c r="I8875" s="545">
        <v>2.6666666666666665</v>
      </c>
      <c r="J8875" s="545">
        <v>5.8095238095238093</v>
      </c>
    </row>
    <row r="8876" spans="1:10">
      <c r="A8876" s="441">
        <v>3611</v>
      </c>
      <c r="B8876" s="441" t="s">
        <v>6996</v>
      </c>
      <c r="C8876" s="545">
        <v>17.5</v>
      </c>
      <c r="D8876" s="545">
        <v>6</v>
      </c>
      <c r="E8876" s="545">
        <v>2</v>
      </c>
      <c r="F8876" s="545">
        <v>13.642857142857142</v>
      </c>
      <c r="G8876" s="545">
        <v>3.55</v>
      </c>
      <c r="H8876" s="545">
        <v>2.6666666666666665</v>
      </c>
      <c r="I8876" s="545">
        <v>2.6666666666666665</v>
      </c>
      <c r="J8876" s="545">
        <v>3.2976190476190479</v>
      </c>
    </row>
    <row r="8877" spans="1:10">
      <c r="A8877" s="441">
        <v>3580</v>
      </c>
      <c r="B8877" s="441" t="s">
        <v>6997</v>
      </c>
      <c r="C8877" s="545">
        <v>23.5</v>
      </c>
      <c r="D8877" s="545">
        <v>15.333333333333332</v>
      </c>
      <c r="E8877" s="545">
        <v>7.666666666666667</v>
      </c>
      <c r="F8877" s="545">
        <v>20.071428571428573</v>
      </c>
      <c r="G8877" s="545">
        <v>8.6</v>
      </c>
      <c r="H8877" s="545">
        <v>5</v>
      </c>
      <c r="I8877" s="545">
        <v>6.666666666666667</v>
      </c>
      <c r="J8877" s="545">
        <v>7.8095238095238093</v>
      </c>
    </row>
    <row r="8878" spans="1:10">
      <c r="A8878" s="441">
        <v>3579</v>
      </c>
      <c r="B8878" s="441" t="s">
        <v>6998</v>
      </c>
      <c r="C8878" s="545">
        <v>7.8333333333333339</v>
      </c>
      <c r="D8878" s="545">
        <v>1.6666666666666665</v>
      </c>
      <c r="E8878" s="545">
        <v>1.3333333333333333</v>
      </c>
      <c r="F8878" s="545">
        <v>6.0238095238095246</v>
      </c>
      <c r="G8878" s="545">
        <v>5.25</v>
      </c>
      <c r="H8878" s="545">
        <v>2.6666666666666665</v>
      </c>
      <c r="I8878" s="545">
        <v>3</v>
      </c>
      <c r="J8878" s="545">
        <v>4.5595238095238093</v>
      </c>
    </row>
    <row r="8879" spans="1:10">
      <c r="A8879" s="441">
        <v>3610</v>
      </c>
      <c r="B8879" s="441" t="s">
        <v>6998</v>
      </c>
      <c r="C8879" s="545">
        <v>5.5</v>
      </c>
      <c r="D8879" s="545">
        <v>6.3333333333333339</v>
      </c>
      <c r="E8879" s="545">
        <v>2.3333333333333335</v>
      </c>
      <c r="F8879" s="545">
        <v>5.166666666666667</v>
      </c>
      <c r="G8879" s="545">
        <v>3.9</v>
      </c>
      <c r="H8879" s="545">
        <v>1.3333333333333333</v>
      </c>
      <c r="I8879" s="545">
        <v>1.3333333333333333</v>
      </c>
      <c r="J8879" s="545">
        <v>3.1666666666666665</v>
      </c>
    </row>
    <row r="8880" spans="1:10">
      <c r="A8880" s="441">
        <v>3582</v>
      </c>
      <c r="B8880" s="441" t="s">
        <v>6999</v>
      </c>
      <c r="C8880" s="545">
        <v>10.333333333333334</v>
      </c>
      <c r="D8880" s="545">
        <v>3.333333333333333</v>
      </c>
      <c r="E8880" s="545">
        <v>6</v>
      </c>
      <c r="F8880" s="545">
        <v>8.7142857142857153</v>
      </c>
      <c r="G8880" s="545">
        <v>3.95</v>
      </c>
      <c r="H8880" s="545">
        <v>5</v>
      </c>
      <c r="I8880" s="545">
        <v>6.666666666666667</v>
      </c>
      <c r="J8880" s="545">
        <v>4.4880952380952381</v>
      </c>
    </row>
    <row r="8881" spans="1:10">
      <c r="A8881" s="441">
        <v>3607</v>
      </c>
      <c r="B8881" s="441" t="s">
        <v>6999</v>
      </c>
      <c r="C8881" s="545">
        <v>9.8333333333333321</v>
      </c>
      <c r="D8881" s="545">
        <v>5</v>
      </c>
      <c r="E8881" s="545">
        <v>5</v>
      </c>
      <c r="F8881" s="545">
        <v>8.4523809523809508</v>
      </c>
      <c r="G8881" s="545">
        <v>3.25</v>
      </c>
      <c r="H8881" s="545">
        <v>2.6666666666666665</v>
      </c>
      <c r="I8881" s="545">
        <v>3.3333333333333335</v>
      </c>
      <c r="J8881" s="545">
        <v>3.1785714285714284</v>
      </c>
    </row>
    <row r="8882" spans="1:10">
      <c r="A8882" s="441">
        <v>3596</v>
      </c>
      <c r="B8882" s="441" t="s">
        <v>7000</v>
      </c>
      <c r="C8882" s="545">
        <v>5</v>
      </c>
      <c r="D8882" s="545">
        <v>1</v>
      </c>
      <c r="E8882" s="545">
        <v>1.3333333333333333</v>
      </c>
      <c r="F8882" s="545">
        <v>3.9047619047619047</v>
      </c>
      <c r="G8882" s="545">
        <v>5.15</v>
      </c>
      <c r="H8882" s="545">
        <v>4</v>
      </c>
      <c r="I8882" s="545">
        <v>2</v>
      </c>
      <c r="J8882" s="545">
        <v>4.5357142857142856</v>
      </c>
    </row>
    <row r="8883" spans="1:10">
      <c r="A8883" s="441">
        <v>3588</v>
      </c>
      <c r="B8883" s="441" t="s">
        <v>7001</v>
      </c>
      <c r="C8883" s="545">
        <v>31.666666666666664</v>
      </c>
      <c r="D8883" s="545">
        <v>11.333333333333332</v>
      </c>
      <c r="E8883" s="545">
        <v>6.6666666666666661</v>
      </c>
      <c r="F8883" s="545">
        <v>25.190476190476186</v>
      </c>
      <c r="G8883" s="545">
        <v>11.75</v>
      </c>
      <c r="H8883" s="545">
        <v>9</v>
      </c>
      <c r="I8883" s="545">
        <v>5.333333333333333</v>
      </c>
      <c r="J8883" s="545">
        <v>10.44047619047619</v>
      </c>
    </row>
    <row r="8884" spans="1:10">
      <c r="A8884" s="441">
        <v>3601</v>
      </c>
      <c r="B8884" s="441" t="s">
        <v>7001</v>
      </c>
      <c r="C8884" s="545">
        <v>28.833333333333332</v>
      </c>
      <c r="D8884" s="545">
        <v>14.333333333333332</v>
      </c>
      <c r="E8884" s="545">
        <v>7.666666666666667</v>
      </c>
      <c r="F8884" s="545">
        <v>23.738095238095237</v>
      </c>
      <c r="G8884" s="545">
        <v>8.85</v>
      </c>
      <c r="H8884" s="545">
        <v>7</v>
      </c>
      <c r="I8884" s="545">
        <v>6.666666666666667</v>
      </c>
      <c r="J8884" s="545">
        <v>8.2738095238095237</v>
      </c>
    </row>
    <row r="8885" spans="1:10">
      <c r="A8885" s="441">
        <v>3587</v>
      </c>
      <c r="B8885" s="441" t="s">
        <v>7002</v>
      </c>
      <c r="C8885" s="545">
        <v>4</v>
      </c>
      <c r="D8885" s="545">
        <v>2</v>
      </c>
      <c r="E8885" s="545">
        <v>0.66666666666666663</v>
      </c>
      <c r="F8885" s="545">
        <v>3.2380952380952381</v>
      </c>
      <c r="G8885" s="545">
        <v>1.3</v>
      </c>
      <c r="H8885" s="545">
        <v>0.33333333333333331</v>
      </c>
      <c r="I8885" s="545">
        <v>0.66666666666666663</v>
      </c>
      <c r="J8885" s="545">
        <v>1.0714285714285714</v>
      </c>
    </row>
    <row r="8886" spans="1:10">
      <c r="A8886" s="441">
        <v>3602</v>
      </c>
      <c r="B8886" s="441" t="s">
        <v>7002</v>
      </c>
      <c r="C8886" s="545">
        <v>4.666666666666667</v>
      </c>
      <c r="D8886" s="545">
        <v>1.3333333333333333</v>
      </c>
      <c r="E8886" s="545">
        <v>1.6666666666666667</v>
      </c>
      <c r="F8886" s="545">
        <v>3.7619047619047623</v>
      </c>
      <c r="G8886" s="545">
        <v>1.85</v>
      </c>
      <c r="H8886" s="545">
        <v>0.33333333333333331</v>
      </c>
      <c r="I8886" s="545">
        <v>1.3333333333333333</v>
      </c>
      <c r="J8886" s="545">
        <v>1.5595238095238098</v>
      </c>
    </row>
    <row r="8887" spans="1:10">
      <c r="A8887" s="441">
        <v>3585</v>
      </c>
      <c r="B8887" s="441" t="s">
        <v>7003</v>
      </c>
      <c r="C8887" s="545">
        <v>2.5</v>
      </c>
      <c r="D8887" s="545">
        <v>2</v>
      </c>
      <c r="E8887" s="545">
        <v>0.66666666666666663</v>
      </c>
      <c r="F8887" s="545">
        <v>2.1666666666666665</v>
      </c>
      <c r="G8887" s="545">
        <v>2.5</v>
      </c>
      <c r="H8887" s="545">
        <v>2.3333333333333335</v>
      </c>
      <c r="I8887" s="545">
        <v>0.33333333333333331</v>
      </c>
      <c r="J8887" s="545">
        <v>2.166666666666667</v>
      </c>
    </row>
    <row r="8888" spans="1:10">
      <c r="A8888" s="441">
        <v>3604</v>
      </c>
      <c r="B8888" s="441" t="s">
        <v>7003</v>
      </c>
      <c r="C8888" s="545">
        <v>3.666666666666667</v>
      </c>
      <c r="D8888" s="545">
        <v>4.6666666666666661</v>
      </c>
      <c r="E8888" s="545">
        <v>2</v>
      </c>
      <c r="F8888" s="545">
        <v>3.5714285714285716</v>
      </c>
      <c r="G8888" s="545">
        <v>1.6</v>
      </c>
      <c r="H8888" s="545">
        <v>2.3333333333333335</v>
      </c>
      <c r="I8888" s="545">
        <v>3.3333333333333335</v>
      </c>
      <c r="J8888" s="545">
        <v>1.9523809523809526</v>
      </c>
    </row>
    <row r="8889" spans="1:10">
      <c r="A8889" s="441">
        <v>3594</v>
      </c>
      <c r="B8889" s="441" t="s">
        <v>7004</v>
      </c>
      <c r="C8889" s="545">
        <v>4.666666666666667</v>
      </c>
      <c r="D8889" s="545">
        <v>4</v>
      </c>
      <c r="E8889" s="545">
        <v>2.666666666666667</v>
      </c>
      <c r="F8889" s="545">
        <v>4.2857142857142865</v>
      </c>
      <c r="G8889" s="545">
        <v>0.8</v>
      </c>
      <c r="H8889" s="545">
        <v>0.33333333333333331</v>
      </c>
      <c r="I8889" s="545">
        <v>0.66666666666666663</v>
      </c>
      <c r="J8889" s="545">
        <v>0.7142857142857143</v>
      </c>
    </row>
    <row r="8890" spans="1:10">
      <c r="A8890" s="441">
        <v>3595</v>
      </c>
      <c r="B8890" s="441" t="s">
        <v>7004</v>
      </c>
      <c r="C8890" s="545">
        <v>13</v>
      </c>
      <c r="D8890" s="545">
        <v>8</v>
      </c>
      <c r="E8890" s="545">
        <v>4</v>
      </c>
      <c r="F8890" s="545">
        <v>11</v>
      </c>
      <c r="G8890" s="545">
        <v>7.15</v>
      </c>
      <c r="H8890" s="545">
        <v>6.666666666666667</v>
      </c>
      <c r="I8890" s="545">
        <v>4</v>
      </c>
      <c r="J8890" s="545">
        <v>6.6309523809523805</v>
      </c>
    </row>
    <row r="8891" spans="1:10">
      <c r="A8891" s="441">
        <v>3591</v>
      </c>
      <c r="B8891" s="441" t="s">
        <v>7005</v>
      </c>
      <c r="C8891" s="545">
        <v>5.3333333333333339</v>
      </c>
      <c r="D8891" s="545">
        <v>3</v>
      </c>
      <c r="E8891" s="545">
        <v>2.333333333333333</v>
      </c>
      <c r="F8891" s="545">
        <v>4.5714285714285721</v>
      </c>
      <c r="G8891" s="545">
        <v>1.75</v>
      </c>
      <c r="H8891" s="545">
        <v>0.33333333333333331</v>
      </c>
      <c r="I8891" s="545">
        <v>1.3333333333333333</v>
      </c>
      <c r="J8891" s="545">
        <v>1.4880952380952384</v>
      </c>
    </row>
    <row r="8892" spans="1:10">
      <c r="A8892" s="441">
        <v>3598</v>
      </c>
      <c r="B8892" s="441" t="s">
        <v>7005</v>
      </c>
      <c r="C8892" s="545">
        <v>1.8333333333333333</v>
      </c>
      <c r="D8892" s="545">
        <v>1</v>
      </c>
      <c r="E8892" s="545">
        <v>1.6666666666666665</v>
      </c>
      <c r="F8892" s="545">
        <v>1.6904761904761902</v>
      </c>
      <c r="G8892" s="545">
        <v>0.75</v>
      </c>
      <c r="H8892" s="545">
        <v>1.6666666666666667</v>
      </c>
      <c r="I8892" s="545">
        <v>0.33333333333333331</v>
      </c>
      <c r="J8892" s="545">
        <v>0.8214285714285714</v>
      </c>
    </row>
    <row r="8893" spans="1:10">
      <c r="A8893" s="441">
        <v>3590</v>
      </c>
      <c r="B8893" s="441" t="s">
        <v>7006</v>
      </c>
      <c r="C8893" s="545">
        <v>2.666666666666667</v>
      </c>
      <c r="D8893" s="545">
        <v>3.6666666666666665</v>
      </c>
      <c r="E8893" s="545">
        <v>1</v>
      </c>
      <c r="F8893" s="545">
        <v>2.5714285714285721</v>
      </c>
      <c r="G8893" s="545">
        <v>0.7</v>
      </c>
      <c r="H8893" s="545">
        <v>0.33333333333333331</v>
      </c>
      <c r="I8893" s="545">
        <v>1</v>
      </c>
      <c r="J8893" s="545">
        <v>0.69047619047619058</v>
      </c>
    </row>
    <row r="8894" spans="1:10">
      <c r="A8894" s="441">
        <v>3609</v>
      </c>
      <c r="B8894" s="441" t="s">
        <v>7007</v>
      </c>
      <c r="C8894" s="545">
        <v>15</v>
      </c>
      <c r="D8894" s="545">
        <v>14.666666666666668</v>
      </c>
      <c r="E8894" s="545">
        <v>7</v>
      </c>
      <c r="F8894" s="545">
        <v>13.80952380952381</v>
      </c>
      <c r="G8894" s="545">
        <v>6.15</v>
      </c>
      <c r="H8894" s="545">
        <v>4.333333333333333</v>
      </c>
      <c r="I8894" s="545">
        <v>7</v>
      </c>
      <c r="J8894" s="545">
        <v>6.0119047619047619</v>
      </c>
    </row>
    <row r="8895" spans="1:10">
      <c r="A8895" s="441">
        <v>3599</v>
      </c>
      <c r="B8895" s="441" t="s">
        <v>7008</v>
      </c>
      <c r="C8895" s="545">
        <v>7</v>
      </c>
      <c r="D8895" s="545">
        <v>4</v>
      </c>
      <c r="E8895" s="545">
        <v>2.6666666666666665</v>
      </c>
      <c r="F8895" s="545">
        <v>5.9523809523809517</v>
      </c>
      <c r="G8895" s="545">
        <v>3.2</v>
      </c>
      <c r="H8895" s="545">
        <v>4</v>
      </c>
      <c r="I8895" s="545">
        <v>1</v>
      </c>
      <c r="J8895" s="545">
        <v>3</v>
      </c>
    </row>
    <row r="8896" spans="1:10">
      <c r="A8896" s="441">
        <v>9753</v>
      </c>
      <c r="B8896" s="441" t="s">
        <v>7009</v>
      </c>
      <c r="C8896" s="545">
        <v>0.66666666666666663</v>
      </c>
      <c r="D8896" s="545">
        <v>0.33333333333333331</v>
      </c>
      <c r="E8896" s="545">
        <v>0.33333333333333331</v>
      </c>
      <c r="F8896" s="545">
        <v>0.5714285714285714</v>
      </c>
      <c r="G8896" s="545">
        <v>3.3</v>
      </c>
      <c r="H8896" s="545">
        <v>0.33333333333333331</v>
      </c>
      <c r="I8896" s="545">
        <v>0.66666666666666663</v>
      </c>
      <c r="J8896" s="545">
        <v>2.5</v>
      </c>
    </row>
    <row r="8897" spans="1:10">
      <c r="A8897" s="441">
        <v>9751</v>
      </c>
      <c r="B8897" s="441" t="s">
        <v>7010</v>
      </c>
      <c r="C8897" s="545">
        <v>10.333333333333334</v>
      </c>
      <c r="D8897" s="545">
        <v>6</v>
      </c>
      <c r="E8897" s="545">
        <v>4</v>
      </c>
      <c r="F8897" s="545">
        <v>8.8095238095238102</v>
      </c>
      <c r="G8897" s="545">
        <v>11.35</v>
      </c>
      <c r="H8897" s="545">
        <v>6.666666666666667</v>
      </c>
      <c r="I8897" s="545">
        <v>7.666666666666667</v>
      </c>
      <c r="J8897" s="545">
        <v>10.154761904761903</v>
      </c>
    </row>
    <row r="8898" spans="1:10">
      <c r="A8898" s="441">
        <v>11353</v>
      </c>
      <c r="B8898" s="441" t="s">
        <v>7011</v>
      </c>
      <c r="C8898" s="545">
        <v>7.166666666666667</v>
      </c>
      <c r="D8898" s="545">
        <v>4</v>
      </c>
      <c r="E8898" s="545">
        <v>3.3333333333333335</v>
      </c>
      <c r="F8898" s="545">
        <v>6.166666666666667</v>
      </c>
      <c r="G8898" s="545">
        <v>5.9</v>
      </c>
      <c r="H8898" s="545">
        <v>2.6666666666666665</v>
      </c>
      <c r="I8898" s="545">
        <v>2.6666666666666665</v>
      </c>
      <c r="J8898" s="545">
        <v>4.9761904761904754</v>
      </c>
    </row>
    <row r="8899" spans="1:10">
      <c r="A8899" s="441">
        <v>9754</v>
      </c>
      <c r="B8899" s="441" t="s">
        <v>7012</v>
      </c>
      <c r="C8899" s="545">
        <v>46.833333333333329</v>
      </c>
      <c r="D8899" s="545">
        <v>25.666666666666664</v>
      </c>
      <c r="E8899" s="545">
        <v>23.666666666666668</v>
      </c>
      <c r="F8899" s="545">
        <v>40.5</v>
      </c>
      <c r="G8899" s="545">
        <v>79.55</v>
      </c>
      <c r="H8899" s="545">
        <v>24</v>
      </c>
      <c r="I8899" s="545">
        <v>36</v>
      </c>
      <c r="J8899" s="545">
        <v>65.392857142857139</v>
      </c>
    </row>
    <row r="8900" spans="1:10">
      <c r="A8900" s="441">
        <v>9752</v>
      </c>
      <c r="B8900" s="441" t="s">
        <v>7013</v>
      </c>
      <c r="C8900" s="545">
        <v>5.666666666666667</v>
      </c>
      <c r="D8900" s="545">
        <v>5.333333333333333</v>
      </c>
      <c r="E8900" s="545">
        <v>1</v>
      </c>
      <c r="F8900" s="545">
        <v>4.9523809523809534</v>
      </c>
      <c r="G8900" s="545">
        <v>4.7</v>
      </c>
      <c r="H8900" s="545">
        <v>0.66666666666666663</v>
      </c>
      <c r="I8900" s="545">
        <v>0.66666666666666663</v>
      </c>
      <c r="J8900" s="545">
        <v>3.5476190476190479</v>
      </c>
    </row>
    <row r="8901" spans="1:10">
      <c r="A8901" s="441">
        <v>9755</v>
      </c>
      <c r="B8901" s="441" t="s">
        <v>7014</v>
      </c>
      <c r="C8901" s="545">
        <v>2.166666666666667</v>
      </c>
      <c r="D8901" s="545">
        <v>1.6666666666666665</v>
      </c>
      <c r="E8901" s="545">
        <v>1.6666666666666667</v>
      </c>
      <c r="F8901" s="545">
        <v>2.0238095238095242</v>
      </c>
      <c r="G8901" s="545">
        <v>2.95</v>
      </c>
      <c r="H8901" s="545">
        <v>0.66666666666666663</v>
      </c>
      <c r="I8901" s="545">
        <v>3</v>
      </c>
      <c r="J8901" s="545">
        <v>2.6309523809523805</v>
      </c>
    </row>
    <row r="8902" spans="1:10">
      <c r="A8902" s="441">
        <v>11562</v>
      </c>
      <c r="B8902" s="441" t="s">
        <v>7015</v>
      </c>
      <c r="C8902" s="545">
        <v>3.3333333333333335</v>
      </c>
      <c r="D8902" s="545">
        <v>0.33333333333333331</v>
      </c>
      <c r="E8902" s="545">
        <v>1</v>
      </c>
      <c r="F8902" s="545">
        <v>2.5714285714285716</v>
      </c>
      <c r="G8902" s="545">
        <v>1.35</v>
      </c>
      <c r="H8902" s="545">
        <v>8</v>
      </c>
      <c r="I8902" s="545">
        <v>11.666666666666666</v>
      </c>
      <c r="J8902" s="545">
        <v>3.7738095238095233</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7016</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heetViews>
  <sheetFormatPr defaultColWidth="8.77734375" defaultRowHeight="14.4"/>
  <cols>
    <col min="1" max="1" width="46.77734375" style="304" customWidth="1"/>
    <col min="2" max="2" width="16.77734375" style="185" customWidth="1"/>
    <col min="3" max="3" width="28.21875" style="185" customWidth="1"/>
    <col min="4" max="4" width="36.5546875" style="185" customWidth="1"/>
    <col min="5" max="5" width="7.5546875" style="185" customWidth="1"/>
    <col min="6" max="6" width="32.21875" style="185" bestFit="1" customWidth="1"/>
    <col min="7" max="7" width="19.77734375" style="185" customWidth="1"/>
    <col min="8" max="8" width="26" style="185" customWidth="1"/>
    <col min="9" max="9" width="22" style="185" customWidth="1"/>
    <col min="10" max="10" width="23.21875" style="185" customWidth="1"/>
    <col min="11" max="11" width="21.44140625" style="185" customWidth="1"/>
    <col min="12" max="13" width="23.21875" style="185" customWidth="1"/>
    <col min="14" max="16" width="19.77734375" style="185" customWidth="1"/>
    <col min="17" max="17" width="13.44140625" style="185" customWidth="1"/>
    <col min="18" max="23" width="24" style="185" customWidth="1"/>
    <col min="24" max="25" width="23.5546875" style="185" customWidth="1"/>
    <col min="26" max="28" width="18.77734375" style="185" customWidth="1"/>
    <col min="29" max="29" width="17.21875" style="185" bestFit="1" customWidth="1"/>
    <col min="30" max="30" width="15.77734375" style="185" bestFit="1" customWidth="1"/>
    <col min="31" max="31" width="22" style="185" bestFit="1" customWidth="1"/>
    <col min="32" max="32" width="8.77734375" style="185"/>
    <col min="33" max="34" width="13.44140625" style="185" bestFit="1" customWidth="1"/>
    <col min="35" max="35" width="11.77734375" style="185" bestFit="1" customWidth="1"/>
    <col min="36" max="36" width="13.21875" style="185" bestFit="1" customWidth="1"/>
    <col min="37" max="16384" width="8.77734375" style="185"/>
  </cols>
  <sheetData>
    <row r="1" spans="1:36">
      <c r="A1" s="299" t="s">
        <v>185</v>
      </c>
      <c r="B1" s="205" t="s">
        <v>7017</v>
      </c>
      <c r="C1" s="204"/>
      <c r="D1" s="270"/>
      <c r="E1" s="270"/>
      <c r="F1" s="33" t="s">
        <v>187</v>
      </c>
      <c r="G1" s="45" t="str">
        <f>HYPERLINK("#'"&amp;INDEX('Master Key'!$B:$B,MATCH("Master Key",'Master Key'!$B:$B,0),1)&amp;"'!A1","Go To Sheet")</f>
        <v>Go To Sheet</v>
      </c>
      <c r="H1" s="45"/>
      <c r="I1" s="45"/>
      <c r="J1" s="45"/>
      <c r="K1" s="45"/>
    </row>
    <row r="2" spans="1:36" ht="15" thickBot="1">
      <c r="A2" s="300"/>
      <c r="B2" s="191"/>
      <c r="C2" s="191"/>
      <c r="D2" s="191"/>
      <c r="E2" s="191"/>
    </row>
    <row r="3" spans="1:36">
      <c r="A3" s="301" t="s">
        <v>482</v>
      </c>
      <c r="B3" s="1884" t="s">
        <v>7018</v>
      </c>
      <c r="C3" s="1884"/>
      <c r="D3" s="1884"/>
      <c r="E3" s="203"/>
      <c r="F3" s="2006" t="s">
        <v>484</v>
      </c>
      <c r="G3" s="2007"/>
      <c r="H3" s="2007"/>
      <c r="I3" s="2007"/>
      <c r="J3" s="2007"/>
      <c r="K3" s="2007"/>
      <c r="L3" s="2007"/>
      <c r="M3" s="2007"/>
      <c r="N3" s="2007"/>
      <c r="O3" s="2007"/>
      <c r="P3" s="2007"/>
      <c r="Q3" s="2007"/>
      <c r="R3" s="2007"/>
      <c r="S3" s="2007"/>
      <c r="T3" s="2007"/>
      <c r="U3" s="2007"/>
      <c r="V3" s="2007"/>
      <c r="W3" s="2007"/>
      <c r="X3" s="2007"/>
      <c r="Y3" s="2007"/>
      <c r="Z3" s="2007"/>
      <c r="AA3" s="2007"/>
      <c r="AB3" s="2007"/>
      <c r="AC3" s="2007"/>
      <c r="AD3" s="2007"/>
      <c r="AE3" s="2008"/>
      <c r="AG3" s="2005" t="s">
        <v>420</v>
      </c>
      <c r="AH3" s="2005"/>
      <c r="AI3" s="2005"/>
      <c r="AJ3" s="2005"/>
    </row>
    <row r="4" spans="1:36">
      <c r="A4" s="302"/>
      <c r="B4" s="2"/>
      <c r="C4" s="767"/>
      <c r="D4" s="767"/>
      <c r="E4" s="203"/>
      <c r="F4" s="202" t="s">
        <v>508</v>
      </c>
      <c r="G4" s="2011" t="s">
        <v>66</v>
      </c>
      <c r="H4" s="2012"/>
      <c r="I4" s="2012"/>
      <c r="J4" s="2012"/>
      <c r="K4" s="2012"/>
      <c r="L4" s="2012"/>
      <c r="M4" s="2012"/>
      <c r="N4" s="2012"/>
      <c r="O4" s="2012"/>
      <c r="P4" s="2013"/>
      <c r="Q4" s="201" t="s">
        <v>66</v>
      </c>
      <c r="R4" s="2011" t="s">
        <v>131</v>
      </c>
      <c r="S4" s="2012"/>
      <c r="T4" s="2012"/>
      <c r="U4" s="2012"/>
      <c r="V4" s="2012"/>
      <c r="W4" s="2012"/>
      <c r="X4" s="2012"/>
      <c r="Y4" s="2012"/>
      <c r="Z4" s="2012"/>
      <c r="AA4" s="2012"/>
      <c r="AB4" s="2013"/>
      <c r="AC4" s="200" t="s">
        <v>131</v>
      </c>
      <c r="AD4" s="2001" t="s">
        <v>7019</v>
      </c>
      <c r="AE4" s="2002"/>
      <c r="AG4" s="201" t="s">
        <v>66</v>
      </c>
      <c r="AH4" s="200" t="s">
        <v>131</v>
      </c>
      <c r="AI4" s="2001" t="s">
        <v>7019</v>
      </c>
      <c r="AJ4" s="2002"/>
    </row>
    <row r="5" spans="1:36" ht="60.75" customHeight="1" thickBot="1">
      <c r="A5" s="303" t="s">
        <v>489</v>
      </c>
      <c r="B5" s="1885" t="s">
        <v>7020</v>
      </c>
      <c r="C5" s="1885"/>
      <c r="D5" s="1885"/>
      <c r="E5" s="191"/>
      <c r="F5" s="199" t="s">
        <v>518</v>
      </c>
      <c r="G5" s="463" t="s">
        <v>1166</v>
      </c>
      <c r="H5" s="463" t="s">
        <v>1167</v>
      </c>
      <c r="I5" s="463" t="s">
        <v>1230</v>
      </c>
      <c r="J5" s="463" t="s">
        <v>1231</v>
      </c>
      <c r="K5" s="463" t="s">
        <v>7021</v>
      </c>
      <c r="L5" s="195" t="s">
        <v>7022</v>
      </c>
      <c r="M5" s="195" t="s">
        <v>1194</v>
      </c>
      <c r="N5" s="195" t="s">
        <v>1195</v>
      </c>
      <c r="O5" s="195" t="s">
        <v>1196</v>
      </c>
      <c r="P5" s="195" t="s">
        <v>1197</v>
      </c>
      <c r="Q5" s="198" t="s">
        <v>512</v>
      </c>
      <c r="R5" s="463" t="s">
        <v>1166</v>
      </c>
      <c r="S5" s="463" t="s">
        <v>1167</v>
      </c>
      <c r="T5" s="463" t="s">
        <v>7023</v>
      </c>
      <c r="U5" s="463" t="s">
        <v>7024</v>
      </c>
      <c r="V5" s="463" t="s">
        <v>1231</v>
      </c>
      <c r="W5" s="463" t="s">
        <v>7021</v>
      </c>
      <c r="X5" s="195" t="s">
        <v>7022</v>
      </c>
      <c r="Y5" s="195" t="s">
        <v>1194</v>
      </c>
      <c r="Z5" s="195" t="s">
        <v>1195</v>
      </c>
      <c r="AA5" s="195" t="s">
        <v>1196</v>
      </c>
      <c r="AB5" s="195" t="s">
        <v>1197</v>
      </c>
      <c r="AC5" s="194" t="s">
        <v>512</v>
      </c>
      <c r="AD5" s="2003"/>
      <c r="AE5" s="2004"/>
      <c r="AG5" s="198" t="s">
        <v>512</v>
      </c>
      <c r="AH5" s="194" t="s">
        <v>512</v>
      </c>
      <c r="AI5" s="2003"/>
      <c r="AJ5" s="2004"/>
    </row>
    <row r="6" spans="1:36" ht="57.6">
      <c r="C6" s="191"/>
      <c r="D6" s="191"/>
      <c r="E6" s="191"/>
      <c r="F6" s="197" t="s">
        <v>510</v>
      </c>
      <c r="G6" s="463" t="s">
        <v>7025</v>
      </c>
      <c r="H6" s="463" t="s">
        <v>7026</v>
      </c>
      <c r="I6" s="463" t="s">
        <v>7027</v>
      </c>
      <c r="J6" s="463" t="s">
        <v>7028</v>
      </c>
      <c r="K6" s="463" t="s">
        <v>7029</v>
      </c>
      <c r="L6" s="195" t="s">
        <v>7030</v>
      </c>
      <c r="M6" s="195" t="s">
        <v>7031</v>
      </c>
      <c r="N6" s="195" t="s">
        <v>7032</v>
      </c>
      <c r="O6" s="195" t="s">
        <v>7033</v>
      </c>
      <c r="P6" s="195" t="s">
        <v>7034</v>
      </c>
      <c r="Q6" s="196" t="s">
        <v>460</v>
      </c>
      <c r="R6" s="463" t="s">
        <v>7025</v>
      </c>
      <c r="S6" s="463" t="s">
        <v>7026</v>
      </c>
      <c r="T6" s="463" t="s">
        <v>7035</v>
      </c>
      <c r="U6" s="463" t="s">
        <v>7036</v>
      </c>
      <c r="V6" s="463" t="s">
        <v>7028</v>
      </c>
      <c r="W6" s="463" t="s">
        <v>7029</v>
      </c>
      <c r="X6" s="195" t="s">
        <v>7030</v>
      </c>
      <c r="Y6" s="195" t="s">
        <v>7031</v>
      </c>
      <c r="Z6" s="195" t="s">
        <v>7032</v>
      </c>
      <c r="AA6" s="195" t="s">
        <v>7033</v>
      </c>
      <c r="AB6" s="195" t="s">
        <v>7034</v>
      </c>
      <c r="AC6" s="194" t="s">
        <v>460</v>
      </c>
      <c r="AD6" s="193" t="s">
        <v>419</v>
      </c>
      <c r="AE6" s="192" t="str">
        <f>"Discounted @ "&amp;TEXT('Major Assumption Key'!$B$8,"0.0%")</f>
        <v>Discounted @ 3.1%</v>
      </c>
      <c r="AF6" s="288"/>
      <c r="AG6" s="196" t="s">
        <v>460</v>
      </c>
      <c r="AH6" s="194" t="s">
        <v>460</v>
      </c>
      <c r="AI6" s="193" t="s">
        <v>419</v>
      </c>
      <c r="AJ6" s="192" t="str">
        <f>"Discounted @ "&amp;TEXT('Major Assumption Key'!$B$8,"0.0%")</f>
        <v>Discounted @ 3.1%</v>
      </c>
    </row>
    <row r="7" spans="1:36">
      <c r="C7" s="191"/>
      <c r="D7" s="191"/>
      <c r="E7" s="191"/>
      <c r="F7" s="190">
        <f>'Major Assumption Key'!A19</f>
        <v>2020</v>
      </c>
      <c r="G7" s="880">
        <f>IFERROR(_xlfn.XLOOKUP(F7,'VOTT Supporting - Auto'!A:A,'VOTT Supporting - Auto'!B:B,,0)*$B$25*$B$26,"N/A")</f>
        <v>0</v>
      </c>
      <c r="H7" s="880">
        <f>IFERROR(_xlfn.XLOOKUP(F7,'VOTT Supporting - Auto'!A:A,'VOTT Supporting - Auto'!B:B,,0)*$B$25*$B$27,"N/A")</f>
        <v>0</v>
      </c>
      <c r="I7" s="880">
        <f>_xlfn.XLOOKUP(F7,'VOTT Supporting - Transit TSP'!A:A,'VOTT Supporting - Transit TSP'!B:B,,0)</f>
        <v>0</v>
      </c>
      <c r="J7" s="880">
        <f>IFERROR($B$25*_xlfn.XLOOKUP(F7,'VOTT Supporting - Walking'!A:A,'VOTT Supporting - Walking'!B:B,,0),"N/A")</f>
        <v>0</v>
      </c>
      <c r="K7" s="880">
        <v>0</v>
      </c>
      <c r="L7" s="785">
        <f>IF($F7&lt;$B$16,0,G7*$B$19*$B$20)</f>
        <v>0</v>
      </c>
      <c r="M7" s="785">
        <f>IF($F7&lt;$B$16,0,H7*$B$24*$B$22)</f>
        <v>0</v>
      </c>
      <c r="N7" s="785">
        <f>IF($F7&lt;$B$16,0,I7*$B$20)</f>
        <v>0</v>
      </c>
      <c r="O7" s="785">
        <f>IF($F7&lt;$B$16,0,$B$21*J7)</f>
        <v>0</v>
      </c>
      <c r="P7" s="785" t="str">
        <f t="shared" ref="P7" si="0">IF(AND($F7&gt;=$B$17,$F7&lt;=$B$18),K7*$B$21,"")</f>
        <v/>
      </c>
      <c r="Q7" s="784">
        <f>IF(AND($F7&gt;=$B$17,$F7&lt;=$B$18),SUM(L7:P7),0)</f>
        <v>0</v>
      </c>
      <c r="R7" s="880">
        <f>IFERROR(_xlfn.XLOOKUP(F7,'VOTT Supporting - Auto'!A:A,'VOTT Supporting - Auto'!C:C,,0)*$B$25*$B$26,"N/A")</f>
        <v>0</v>
      </c>
      <c r="S7" s="880">
        <f>IFERROR(_xlfn.XLOOKUP(F7,'VOTT Supporting - Auto'!A:A,'VOTT Supporting - Auto'!C:C,,0)*$B$25*$B$27,"N/A")</f>
        <v>0</v>
      </c>
      <c r="T7" s="880">
        <f>_xlfn.XLOOKUP(F7,'VOTT Supporting - Transit TSP'!A:A,'VOTT Supporting - Transit TSP'!C:C,,0)</f>
        <v>0</v>
      </c>
      <c r="U7" s="880">
        <f>_xlfn.XLOOKUP(F7,'VOTT Supporting - Transit TSP'!A:A,'VOTT Supporting - Transit TSP'!D:D,,0)</f>
        <v>0</v>
      </c>
      <c r="V7" s="880">
        <f>IFERROR($B$25*_xlfn.XLOOKUP(F7,'VOTT Supporting - Walking'!A:A,'VOTT Supporting - Walking'!C:C,,0),"N/A")</f>
        <v>0</v>
      </c>
      <c r="W7" s="880">
        <v>0</v>
      </c>
      <c r="X7" s="451">
        <f>IF($F7&lt;$B$16,0,R7*$B$19*$B$20)</f>
        <v>0</v>
      </c>
      <c r="Y7" s="451">
        <f>IF($F7&lt;$B$16,0,S7*$B$24*$B$22)</f>
        <v>0</v>
      </c>
      <c r="Z7" s="344">
        <f>IF($F7&lt;$B$16,0,(T7-U7/2)*$B$20)</f>
        <v>0</v>
      </c>
      <c r="AA7" s="344">
        <f>IF($F7&lt;$B$16,0,$B$21*V7)</f>
        <v>0</v>
      </c>
      <c r="AB7" s="344">
        <f>IF($F7&lt;$B$16,0,$B$21*W7)</f>
        <v>0</v>
      </c>
      <c r="AC7" s="848">
        <f>IF(AND($F7&gt;=$B$17,$F7&lt;=$B$18),SUM(X7:AB7),0)</f>
        <v>0</v>
      </c>
      <c r="AD7" s="37">
        <f>(Q7-AC7)</f>
        <v>0</v>
      </c>
      <c r="AE7" s="38">
        <f>AD7/(1+'Major Assumption Key'!$B$8)^($F7-'Major Assumption Key'!$B$7)</f>
        <v>0</v>
      </c>
      <c r="AF7" s="288"/>
      <c r="AG7" s="774">
        <f t="shared" ref="AG7:AG48" si="1">ROUND(Q7,-3)</f>
        <v>0</v>
      </c>
      <c r="AH7" s="848">
        <f t="shared" ref="AH7" si="2">ROUND(AC7,-3)</f>
        <v>0</v>
      </c>
      <c r="AI7" s="37">
        <f t="shared" ref="AI7:AI48" si="3">ROUND(AD7,-3)</f>
        <v>0</v>
      </c>
      <c r="AJ7" s="38">
        <f t="shared" ref="AJ7:AJ48" si="4">ROUND(AE7,-3)</f>
        <v>0</v>
      </c>
    </row>
    <row r="8" spans="1:36">
      <c r="A8" s="300"/>
      <c r="B8" s="191"/>
      <c r="C8" s="191"/>
      <c r="D8" s="191"/>
      <c r="E8" s="191"/>
      <c r="F8" s="190">
        <f>'Major Assumption Key'!A20</f>
        <v>2021</v>
      </c>
      <c r="G8" s="880">
        <f>IFERROR(_xlfn.XLOOKUP(F8,'VOTT Supporting - Auto'!A:A,'VOTT Supporting - Auto'!B:B,,0)*$B$25*$B$26,"N/A")</f>
        <v>0</v>
      </c>
      <c r="H8" s="880">
        <f>IFERROR(_xlfn.XLOOKUP(F8,'VOTT Supporting - Auto'!A:A,'VOTT Supporting - Auto'!B:B,,0)*$B$25*$B$27,"N/A")</f>
        <v>0</v>
      </c>
      <c r="I8" s="880">
        <f>_xlfn.XLOOKUP(F8,'VOTT Supporting - Transit TSP'!A:A,'VOTT Supporting - Transit TSP'!B:B,,0)</f>
        <v>0</v>
      </c>
      <c r="J8" s="880">
        <f>IFERROR($B$25*_xlfn.XLOOKUP(F8,'VOTT Supporting - Walking'!A:A,'VOTT Supporting - Walking'!B:B,,0),"N/A")</f>
        <v>0</v>
      </c>
      <c r="K8" s="880">
        <v>0</v>
      </c>
      <c r="L8" s="785">
        <f t="shared" ref="L8:L47" si="5">IF($F8&lt;$B$16,0,G8*$B$19*$B$20)</f>
        <v>0</v>
      </c>
      <c r="M8" s="785">
        <f t="shared" ref="M8:M47" si="6">IF($F8&lt;$B$16,0,H8*$B$24*$B$22)</f>
        <v>0</v>
      </c>
      <c r="N8" s="785">
        <f t="shared" ref="N8:N47" si="7">IF($F8&lt;$B$16,0,I8*$B$20)</f>
        <v>0</v>
      </c>
      <c r="O8" s="785">
        <f t="shared" ref="O8:O47" si="8">IF($F8&lt;$B$16,0,$B$21*J8)</f>
        <v>0</v>
      </c>
      <c r="P8" s="785" t="str">
        <f t="shared" ref="P8:P47" si="9">IF(AND($F8&gt;=$B$17,$F8&lt;=$B$18),K8*$B$21,"")</f>
        <v/>
      </c>
      <c r="Q8" s="784">
        <f t="shared" ref="Q8:Q47" si="10">IF(AND($F8&gt;=$B$17,$F8&lt;=$B$18),SUM(L8:P8),0)</f>
        <v>0</v>
      </c>
      <c r="R8" s="880">
        <f>IFERROR(_xlfn.XLOOKUP(F8,'VOTT Supporting - Auto'!A:A,'VOTT Supporting - Auto'!C:C,,0)*$B$25*$B$26,"N/A")</f>
        <v>0</v>
      </c>
      <c r="S8" s="880">
        <f>IFERROR(_xlfn.XLOOKUP(F8,'VOTT Supporting - Auto'!A:A,'VOTT Supporting - Auto'!C:C,,0)*$B$25*$B$27,"N/A")</f>
        <v>0</v>
      </c>
      <c r="T8" s="880">
        <f>_xlfn.XLOOKUP(F8,'VOTT Supporting - Transit TSP'!A:A,'VOTT Supporting - Transit TSP'!C:C,,0)</f>
        <v>0</v>
      </c>
      <c r="U8" s="880">
        <f>_xlfn.XLOOKUP(F8,'VOTT Supporting - Transit TSP'!A:A,'VOTT Supporting - Transit TSP'!D:D,,0)</f>
        <v>0</v>
      </c>
      <c r="V8" s="880">
        <f>IFERROR($B$25*_xlfn.XLOOKUP(F8,'VOTT Supporting - Walking'!A:A,'VOTT Supporting - Walking'!C:C,,0),"N/A")</f>
        <v>0</v>
      </c>
      <c r="W8" s="880">
        <v>0</v>
      </c>
      <c r="X8" s="451">
        <f t="shared" ref="X8:X47" si="11">IF($F8&lt;$B$16,0,R8*$B$19*$B$20)</f>
        <v>0</v>
      </c>
      <c r="Y8" s="451">
        <f t="shared" ref="Y8:Y47" si="12">IF($F8&lt;$B$16,0,S8*$B$24*$B$22)</f>
        <v>0</v>
      </c>
      <c r="Z8" s="344">
        <f t="shared" ref="Z8:Z47" si="13">IF($F8&lt;$B$16,0,(T8-U8/2)*$B$20)</f>
        <v>0</v>
      </c>
      <c r="AA8" s="344">
        <f t="shared" ref="AA8:AA47" si="14">IF($F8&lt;$B$16,0,$B$21*V8)</f>
        <v>0</v>
      </c>
      <c r="AB8" s="344">
        <f t="shared" ref="AB8:AB47" si="15">IF($F8&lt;$B$16,0,$B$21*W8)</f>
        <v>0</v>
      </c>
      <c r="AC8" s="848">
        <f t="shared" ref="AC8:AC47" si="16">IF(AND($F8&gt;=$B$17,$F8&lt;=$B$18),SUM(X8:AB8),0)</f>
        <v>0</v>
      </c>
      <c r="AD8" s="37">
        <f t="shared" ref="AD8:AD47" si="17">(Q8-AC8)</f>
        <v>0</v>
      </c>
      <c r="AE8" s="38">
        <f>AD8/(1+'Major Assumption Key'!$B$8)^($F8-'Major Assumption Key'!$B$7)</f>
        <v>0</v>
      </c>
      <c r="AF8" s="288"/>
      <c r="AG8" s="774">
        <f t="shared" ref="AG8:AG47" si="18">ROUND(Q8,-3)</f>
        <v>0</v>
      </c>
      <c r="AH8" s="848">
        <f t="shared" ref="AH8:AH47" si="19">ROUND(AC8,-3)</f>
        <v>0</v>
      </c>
      <c r="AI8" s="37">
        <f t="shared" ref="AI8:AI47" si="20">ROUND(AD8,-3)</f>
        <v>0</v>
      </c>
      <c r="AJ8" s="38">
        <f t="shared" ref="AJ8:AJ47" si="21">ROUND(AE8,-3)</f>
        <v>0</v>
      </c>
    </row>
    <row r="9" spans="1:36" ht="18">
      <c r="A9" s="1888" t="s">
        <v>432</v>
      </c>
      <c r="B9" s="1889"/>
      <c r="C9" s="1889"/>
      <c r="D9" s="1890"/>
      <c r="E9" s="191"/>
      <c r="F9" s="190">
        <f>'Major Assumption Key'!A21</f>
        <v>2022</v>
      </c>
      <c r="G9" s="880">
        <f>IFERROR(_xlfn.XLOOKUP(F9,'VOTT Supporting - Auto'!A:A,'VOTT Supporting - Auto'!B:B,,0)*$B$25*$B$26,"N/A")</f>
        <v>0</v>
      </c>
      <c r="H9" s="880">
        <f>IFERROR(_xlfn.XLOOKUP(F9,'VOTT Supporting - Auto'!A:A,'VOTT Supporting - Auto'!B:B,,0)*$B$25*$B$27,"N/A")</f>
        <v>0</v>
      </c>
      <c r="I9" s="880">
        <f>_xlfn.XLOOKUP(F9,'VOTT Supporting - Transit TSP'!A:A,'VOTT Supporting - Transit TSP'!B:B,,0)</f>
        <v>0</v>
      </c>
      <c r="J9" s="880">
        <f>IFERROR($B$25*_xlfn.XLOOKUP(F9,'VOTT Supporting - Walking'!A:A,'VOTT Supporting - Walking'!B:B,,0),"N/A")</f>
        <v>0</v>
      </c>
      <c r="K9" s="880">
        <v>0</v>
      </c>
      <c r="L9" s="785">
        <f t="shared" si="5"/>
        <v>0</v>
      </c>
      <c r="M9" s="785">
        <f t="shared" si="6"/>
        <v>0</v>
      </c>
      <c r="N9" s="785">
        <f t="shared" si="7"/>
        <v>0</v>
      </c>
      <c r="O9" s="785">
        <f t="shared" si="8"/>
        <v>0</v>
      </c>
      <c r="P9" s="785">
        <f t="shared" si="9"/>
        <v>0</v>
      </c>
      <c r="Q9" s="784">
        <f t="shared" si="10"/>
        <v>0</v>
      </c>
      <c r="R9" s="880">
        <f>IFERROR(_xlfn.XLOOKUP(F9,'VOTT Supporting - Auto'!A:A,'VOTT Supporting - Auto'!C:C,,0)*$B$25*$B$26,"N/A")</f>
        <v>0</v>
      </c>
      <c r="S9" s="880">
        <f>IFERROR(_xlfn.XLOOKUP(F9,'VOTT Supporting - Auto'!A:A,'VOTT Supporting - Auto'!C:C,,0)*$B$25*$B$27,"N/A")</f>
        <v>0</v>
      </c>
      <c r="T9" s="880">
        <f>_xlfn.XLOOKUP(F9,'VOTT Supporting - Transit TSP'!A:A,'VOTT Supporting - Transit TSP'!C:C,,0)</f>
        <v>0</v>
      </c>
      <c r="U9" s="880">
        <f>_xlfn.XLOOKUP(F9,'VOTT Supporting - Transit TSP'!A:A,'VOTT Supporting - Transit TSP'!D:D,,0)</f>
        <v>0</v>
      </c>
      <c r="V9" s="880">
        <f>IFERROR($B$25*_xlfn.XLOOKUP(F9,'VOTT Supporting - Walking'!A:A,'VOTT Supporting - Walking'!C:C,,0),"N/A")</f>
        <v>0</v>
      </c>
      <c r="W9" s="880">
        <v>0</v>
      </c>
      <c r="X9" s="451">
        <f t="shared" si="11"/>
        <v>0</v>
      </c>
      <c r="Y9" s="451">
        <f t="shared" si="12"/>
        <v>0</v>
      </c>
      <c r="Z9" s="344">
        <f t="shared" si="13"/>
        <v>0</v>
      </c>
      <c r="AA9" s="344">
        <f t="shared" si="14"/>
        <v>0</v>
      </c>
      <c r="AB9" s="344">
        <f t="shared" si="15"/>
        <v>0</v>
      </c>
      <c r="AC9" s="848">
        <f t="shared" si="16"/>
        <v>0</v>
      </c>
      <c r="AD9" s="37">
        <f t="shared" si="17"/>
        <v>0</v>
      </c>
      <c r="AE9" s="38">
        <f>AD9/(1+'Major Assumption Key'!$B$8)^($F9-'Major Assumption Key'!$B$7)</f>
        <v>0</v>
      </c>
      <c r="AF9" s="288"/>
      <c r="AG9" s="774">
        <f t="shared" si="18"/>
        <v>0</v>
      </c>
      <c r="AH9" s="848">
        <f t="shared" si="19"/>
        <v>0</v>
      </c>
      <c r="AI9" s="37">
        <f t="shared" si="20"/>
        <v>0</v>
      </c>
      <c r="AJ9" s="38">
        <f t="shared" si="21"/>
        <v>0</v>
      </c>
    </row>
    <row r="10" spans="1:36" ht="18">
      <c r="A10" s="1891" t="s">
        <v>418</v>
      </c>
      <c r="B10" s="1891"/>
      <c r="C10" s="49" t="s">
        <v>419</v>
      </c>
      <c r="D10" s="49" t="str">
        <f>_xlfn.CONCAT("Discounted @",TEXT('Major Assumption Key'!B8,"0.0%"))</f>
        <v>Discounted @3.1%</v>
      </c>
      <c r="E10" s="191"/>
      <c r="F10" s="190">
        <f>'Major Assumption Key'!A22</f>
        <v>2023</v>
      </c>
      <c r="G10" s="880">
        <f>IFERROR(_xlfn.XLOOKUP(F10,'VOTT Supporting - Auto'!A:A,'VOTT Supporting - Auto'!B:B,,0)*$B$25*$B$26,"N/A")</f>
        <v>0</v>
      </c>
      <c r="H10" s="880">
        <f>IFERROR(_xlfn.XLOOKUP(F10,'VOTT Supporting - Auto'!A:A,'VOTT Supporting - Auto'!B:B,,0)*$B$25*$B$27,"N/A")</f>
        <v>0</v>
      </c>
      <c r="I10" s="880">
        <f>_xlfn.XLOOKUP(F10,'VOTT Supporting - Transit TSP'!A:A,'VOTT Supporting - Transit TSP'!B:B,,0)</f>
        <v>0</v>
      </c>
      <c r="J10" s="880">
        <f>IFERROR($B$25*_xlfn.XLOOKUP(F10,'VOTT Supporting - Walking'!A:A,'VOTT Supporting - Walking'!B:B,,0),"N/A")</f>
        <v>0</v>
      </c>
      <c r="K10" s="880">
        <v>0</v>
      </c>
      <c r="L10" s="785">
        <f t="shared" si="5"/>
        <v>0</v>
      </c>
      <c r="M10" s="785">
        <f t="shared" si="6"/>
        <v>0</v>
      </c>
      <c r="N10" s="785">
        <f t="shared" si="7"/>
        <v>0</v>
      </c>
      <c r="O10" s="785">
        <f t="shared" si="8"/>
        <v>0</v>
      </c>
      <c r="P10" s="785">
        <f t="shared" si="9"/>
        <v>0</v>
      </c>
      <c r="Q10" s="784">
        <f t="shared" si="10"/>
        <v>0</v>
      </c>
      <c r="R10" s="880">
        <f>IFERROR(_xlfn.XLOOKUP(F10,'VOTT Supporting - Auto'!A:A,'VOTT Supporting - Auto'!C:C,,0)*$B$25*$B$26,"N/A")</f>
        <v>0</v>
      </c>
      <c r="S10" s="880">
        <f>IFERROR(_xlfn.XLOOKUP(F10,'VOTT Supporting - Auto'!A:A,'VOTT Supporting - Auto'!C:C,,0)*$B$25*$B$27,"N/A")</f>
        <v>0</v>
      </c>
      <c r="T10" s="880">
        <f>_xlfn.XLOOKUP(F10,'VOTT Supporting - Transit TSP'!A:A,'VOTT Supporting - Transit TSP'!C:C,,0)</f>
        <v>0</v>
      </c>
      <c r="U10" s="880">
        <f>_xlfn.XLOOKUP(F10,'VOTT Supporting - Transit TSP'!A:A,'VOTT Supporting - Transit TSP'!D:D,,0)</f>
        <v>0</v>
      </c>
      <c r="V10" s="880">
        <f>IFERROR($B$25*_xlfn.XLOOKUP(F10,'VOTT Supporting - Walking'!A:A,'VOTT Supporting - Walking'!C:C,,0),"N/A")</f>
        <v>0</v>
      </c>
      <c r="W10" s="880">
        <v>0</v>
      </c>
      <c r="X10" s="451">
        <f t="shared" si="11"/>
        <v>0</v>
      </c>
      <c r="Y10" s="451">
        <f t="shared" si="12"/>
        <v>0</v>
      </c>
      <c r="Z10" s="344">
        <f t="shared" si="13"/>
        <v>0</v>
      </c>
      <c r="AA10" s="344">
        <f t="shared" si="14"/>
        <v>0</v>
      </c>
      <c r="AB10" s="344">
        <f t="shared" si="15"/>
        <v>0</v>
      </c>
      <c r="AC10" s="848">
        <f t="shared" si="16"/>
        <v>0</v>
      </c>
      <c r="AD10" s="37">
        <f t="shared" si="17"/>
        <v>0</v>
      </c>
      <c r="AE10" s="38">
        <f>AD10/(1+'Major Assumption Key'!$B$8)^($F10-'Major Assumption Key'!$B$7)</f>
        <v>0</v>
      </c>
      <c r="AF10" s="288"/>
      <c r="AG10" s="774">
        <f t="shared" si="18"/>
        <v>0</v>
      </c>
      <c r="AH10" s="848">
        <f t="shared" si="19"/>
        <v>0</v>
      </c>
      <c r="AI10" s="37">
        <f t="shared" si="20"/>
        <v>0</v>
      </c>
      <c r="AJ10" s="38">
        <f t="shared" si="21"/>
        <v>0</v>
      </c>
    </row>
    <row r="11" spans="1:36" ht="18">
      <c r="A11" s="1892" t="s">
        <v>11</v>
      </c>
      <c r="B11" s="1892"/>
      <c r="C11" s="56">
        <f>'BCA Summary'!$H$7</f>
        <v>1.0111569298276737</v>
      </c>
      <c r="D11" s="56">
        <f>'BCA Summary'!$I$7</f>
        <v>0.6276932096418345</v>
      </c>
      <c r="E11" s="191"/>
      <c r="F11" s="190">
        <f>'Major Assumption Key'!A23</f>
        <v>2024</v>
      </c>
      <c r="G11" s="880">
        <f>IFERROR(_xlfn.XLOOKUP(F11,'VOTT Supporting - Auto'!A:A,'VOTT Supporting - Auto'!B:B,,0)*$B$25*$B$26,"N/A")</f>
        <v>0</v>
      </c>
      <c r="H11" s="880">
        <f>IFERROR(_xlfn.XLOOKUP(F11,'VOTT Supporting - Auto'!A:A,'VOTT Supporting - Auto'!B:B,,0)*$B$25*$B$27,"N/A")</f>
        <v>0</v>
      </c>
      <c r="I11" s="880">
        <f>_xlfn.XLOOKUP(F11,'VOTT Supporting - Transit TSP'!A:A,'VOTT Supporting - Transit TSP'!B:B,,0)</f>
        <v>0</v>
      </c>
      <c r="J11" s="880">
        <f>IFERROR($B$25*_xlfn.XLOOKUP(F11,'VOTT Supporting - Walking'!A:A,'VOTT Supporting - Walking'!B:B,,0),"N/A")</f>
        <v>0</v>
      </c>
      <c r="K11" s="880">
        <v>0</v>
      </c>
      <c r="L11" s="785">
        <f t="shared" si="5"/>
        <v>0</v>
      </c>
      <c r="M11" s="785">
        <f t="shared" si="6"/>
        <v>0</v>
      </c>
      <c r="N11" s="785">
        <f t="shared" si="7"/>
        <v>0</v>
      </c>
      <c r="O11" s="785">
        <f t="shared" si="8"/>
        <v>0</v>
      </c>
      <c r="P11" s="785">
        <f t="shared" si="9"/>
        <v>0</v>
      </c>
      <c r="Q11" s="784">
        <f t="shared" si="10"/>
        <v>0</v>
      </c>
      <c r="R11" s="880">
        <f>IFERROR(_xlfn.XLOOKUP(F11,'VOTT Supporting - Auto'!A:A,'VOTT Supporting - Auto'!C:C,,0)*$B$25*$B$26,"N/A")</f>
        <v>0</v>
      </c>
      <c r="S11" s="880">
        <f>IFERROR(_xlfn.XLOOKUP(F11,'VOTT Supporting - Auto'!A:A,'VOTT Supporting - Auto'!C:C,,0)*$B$25*$B$27,"N/A")</f>
        <v>0</v>
      </c>
      <c r="T11" s="880">
        <f>_xlfn.XLOOKUP(F11,'VOTT Supporting - Transit TSP'!A:A,'VOTT Supporting - Transit TSP'!C:C,,0)</f>
        <v>0</v>
      </c>
      <c r="U11" s="880">
        <f>_xlfn.XLOOKUP(F11,'VOTT Supporting - Transit TSP'!A:A,'VOTT Supporting - Transit TSP'!D:D,,0)</f>
        <v>0</v>
      </c>
      <c r="V11" s="880">
        <f>IFERROR($B$25*_xlfn.XLOOKUP(F11,'VOTT Supporting - Walking'!A:A,'VOTT Supporting - Walking'!C:C,,0),"N/A")</f>
        <v>0</v>
      </c>
      <c r="W11" s="880">
        <v>0</v>
      </c>
      <c r="X11" s="451">
        <f t="shared" si="11"/>
        <v>0</v>
      </c>
      <c r="Y11" s="451">
        <f t="shared" si="12"/>
        <v>0</v>
      </c>
      <c r="Z11" s="344">
        <f t="shared" si="13"/>
        <v>0</v>
      </c>
      <c r="AA11" s="344">
        <f t="shared" si="14"/>
        <v>0</v>
      </c>
      <c r="AB11" s="344">
        <f t="shared" si="15"/>
        <v>0</v>
      </c>
      <c r="AC11" s="848">
        <f t="shared" si="16"/>
        <v>0</v>
      </c>
      <c r="AD11" s="37">
        <f t="shared" si="17"/>
        <v>0</v>
      </c>
      <c r="AE11" s="38">
        <f>AD11/(1+'Major Assumption Key'!$B$8)^($F11-'Major Assumption Key'!$B$7)</f>
        <v>0</v>
      </c>
      <c r="AF11" s="288"/>
      <c r="AG11" s="774">
        <f t="shared" si="18"/>
        <v>0</v>
      </c>
      <c r="AH11" s="848">
        <f t="shared" si="19"/>
        <v>0</v>
      </c>
      <c r="AI11" s="37">
        <f t="shared" si="20"/>
        <v>0</v>
      </c>
      <c r="AJ11" s="38">
        <f t="shared" si="21"/>
        <v>0</v>
      </c>
    </row>
    <row r="12" spans="1:36" ht="18">
      <c r="A12" s="1892" t="s">
        <v>12</v>
      </c>
      <c r="B12" s="1892"/>
      <c r="C12" s="49">
        <f>'BCA Summary'!$H$8</f>
        <v>236636.98382712901</v>
      </c>
      <c r="D12" s="49">
        <f>'BCA Summary'!$I$8</f>
        <v>-6930297.4454113934</v>
      </c>
      <c r="E12" s="191"/>
      <c r="F12" s="190">
        <f>'Major Assumption Key'!A24</f>
        <v>2025</v>
      </c>
      <c r="G12" s="880">
        <f>IFERROR(_xlfn.XLOOKUP(F12,'VOTT Supporting - Auto'!A:A,'VOTT Supporting - Auto'!B:B,,0)*$B$25*$B$26,"N/A")</f>
        <v>0</v>
      </c>
      <c r="H12" s="880">
        <f>IFERROR(_xlfn.XLOOKUP(F12,'VOTT Supporting - Auto'!A:A,'VOTT Supporting - Auto'!B:B,,0)*$B$25*$B$27,"N/A")</f>
        <v>0</v>
      </c>
      <c r="I12" s="880">
        <f>_xlfn.XLOOKUP(F12,'VOTT Supporting - Transit TSP'!A:A,'VOTT Supporting - Transit TSP'!B:B,,0)</f>
        <v>0</v>
      </c>
      <c r="J12" s="880">
        <f>IFERROR($B$25*_xlfn.XLOOKUP(F12,'VOTT Supporting - Walking'!A:A,'VOTT Supporting - Walking'!B:B,,0),"N/A")</f>
        <v>0</v>
      </c>
      <c r="K12" s="880">
        <v>0</v>
      </c>
      <c r="L12" s="785">
        <f t="shared" si="5"/>
        <v>0</v>
      </c>
      <c r="M12" s="785">
        <f t="shared" si="6"/>
        <v>0</v>
      </c>
      <c r="N12" s="785">
        <f t="shared" si="7"/>
        <v>0</v>
      </c>
      <c r="O12" s="785">
        <f t="shared" si="8"/>
        <v>0</v>
      </c>
      <c r="P12" s="785">
        <f t="shared" si="9"/>
        <v>0</v>
      </c>
      <c r="Q12" s="784">
        <f t="shared" si="10"/>
        <v>0</v>
      </c>
      <c r="R12" s="880">
        <f>IFERROR(_xlfn.XLOOKUP(F12,'VOTT Supporting - Auto'!A:A,'VOTT Supporting - Auto'!C:C,,0)*$B$25*$B$26,"N/A")</f>
        <v>0</v>
      </c>
      <c r="S12" s="880">
        <f>IFERROR(_xlfn.XLOOKUP(F12,'VOTT Supporting - Auto'!A:A,'VOTT Supporting - Auto'!C:C,,0)*$B$25*$B$27,"N/A")</f>
        <v>0</v>
      </c>
      <c r="T12" s="880">
        <f>_xlfn.XLOOKUP(F12,'VOTT Supporting - Transit TSP'!A:A,'VOTT Supporting - Transit TSP'!C:C,,0)</f>
        <v>0</v>
      </c>
      <c r="U12" s="880">
        <f>_xlfn.XLOOKUP(F12,'VOTT Supporting - Transit TSP'!A:A,'VOTT Supporting - Transit TSP'!D:D,,0)</f>
        <v>0</v>
      </c>
      <c r="V12" s="880">
        <f>IFERROR($B$25*_xlfn.XLOOKUP(F12,'VOTT Supporting - Walking'!A:A,'VOTT Supporting - Walking'!C:C,,0),"N/A")</f>
        <v>0</v>
      </c>
      <c r="W12" s="880">
        <v>0</v>
      </c>
      <c r="X12" s="451">
        <f t="shared" si="11"/>
        <v>0</v>
      </c>
      <c r="Y12" s="451">
        <f t="shared" si="12"/>
        <v>0</v>
      </c>
      <c r="Z12" s="344">
        <f t="shared" si="13"/>
        <v>0</v>
      </c>
      <c r="AA12" s="344">
        <f t="shared" si="14"/>
        <v>0</v>
      </c>
      <c r="AB12" s="344">
        <f t="shared" si="15"/>
        <v>0</v>
      </c>
      <c r="AC12" s="848">
        <f t="shared" si="16"/>
        <v>0</v>
      </c>
      <c r="AD12" s="37">
        <f t="shared" si="17"/>
        <v>0</v>
      </c>
      <c r="AE12" s="38">
        <f>AD12/(1+'Major Assumption Key'!$B$8)^($F12-'Major Assumption Key'!$B$7)</f>
        <v>0</v>
      </c>
      <c r="AF12" s="288"/>
      <c r="AG12" s="774">
        <f t="shared" si="18"/>
        <v>0</v>
      </c>
      <c r="AH12" s="848">
        <f t="shared" si="19"/>
        <v>0</v>
      </c>
      <c r="AI12" s="37">
        <f t="shared" si="20"/>
        <v>0</v>
      </c>
      <c r="AJ12" s="38">
        <f t="shared" si="21"/>
        <v>0</v>
      </c>
    </row>
    <row r="13" spans="1:36">
      <c r="E13" s="191"/>
      <c r="F13" s="190">
        <f>'Major Assumption Key'!A25</f>
        <v>2026</v>
      </c>
      <c r="G13" s="880">
        <f>IFERROR(_xlfn.XLOOKUP(F13,'VOTT Supporting - Auto'!A:A,'VOTT Supporting - Auto'!B:B,,0)*$B$25*$B$26,"N/A")</f>
        <v>0</v>
      </c>
      <c r="H13" s="880">
        <f>IFERROR(_xlfn.XLOOKUP(F13,'VOTT Supporting - Auto'!A:A,'VOTT Supporting - Auto'!B:B,,0)*$B$25*$B$27,"N/A")</f>
        <v>0</v>
      </c>
      <c r="I13" s="880">
        <f>_xlfn.XLOOKUP(F13,'VOTT Supporting - Transit TSP'!A:A,'VOTT Supporting - Transit TSP'!B:B,,0)</f>
        <v>0</v>
      </c>
      <c r="J13" s="880">
        <f>IFERROR($B$25*_xlfn.XLOOKUP(F13,'VOTT Supporting - Walking'!A:A,'VOTT Supporting - Walking'!B:B,,0),"N/A")</f>
        <v>0</v>
      </c>
      <c r="K13" s="880">
        <v>0</v>
      </c>
      <c r="L13" s="785">
        <f t="shared" si="5"/>
        <v>0</v>
      </c>
      <c r="M13" s="785">
        <f t="shared" si="6"/>
        <v>0</v>
      </c>
      <c r="N13" s="785">
        <f t="shared" si="7"/>
        <v>0</v>
      </c>
      <c r="O13" s="785">
        <f t="shared" si="8"/>
        <v>0</v>
      </c>
      <c r="P13" s="785">
        <f t="shared" si="9"/>
        <v>0</v>
      </c>
      <c r="Q13" s="784">
        <f t="shared" si="10"/>
        <v>0</v>
      </c>
      <c r="R13" s="880">
        <f>IFERROR(_xlfn.XLOOKUP(F13,'VOTT Supporting - Auto'!A:A,'VOTT Supporting - Auto'!C:C,,0)*$B$25*$B$26,"N/A")</f>
        <v>0</v>
      </c>
      <c r="S13" s="880">
        <f>IFERROR(_xlfn.XLOOKUP(F13,'VOTT Supporting - Auto'!A:A,'VOTT Supporting - Auto'!C:C,,0)*$B$25*$B$27,"N/A")</f>
        <v>0</v>
      </c>
      <c r="T13" s="880">
        <f>_xlfn.XLOOKUP(F13,'VOTT Supporting - Transit TSP'!A:A,'VOTT Supporting - Transit TSP'!C:C,,0)</f>
        <v>0</v>
      </c>
      <c r="U13" s="880">
        <f>_xlfn.XLOOKUP(F13,'VOTT Supporting - Transit TSP'!A:A,'VOTT Supporting - Transit TSP'!D:D,,0)</f>
        <v>0</v>
      </c>
      <c r="V13" s="880">
        <f>IFERROR($B$25*_xlfn.XLOOKUP(F13,'VOTT Supporting - Walking'!A:A,'VOTT Supporting - Walking'!C:C,,0),"N/A")</f>
        <v>0</v>
      </c>
      <c r="W13" s="880">
        <v>0</v>
      </c>
      <c r="X13" s="451">
        <f t="shared" si="11"/>
        <v>0</v>
      </c>
      <c r="Y13" s="451">
        <f t="shared" si="12"/>
        <v>0</v>
      </c>
      <c r="Z13" s="344">
        <f t="shared" si="13"/>
        <v>0</v>
      </c>
      <c r="AA13" s="344">
        <f t="shared" si="14"/>
        <v>0</v>
      </c>
      <c r="AB13" s="344">
        <f t="shared" si="15"/>
        <v>0</v>
      </c>
      <c r="AC13" s="848">
        <f t="shared" si="16"/>
        <v>0</v>
      </c>
      <c r="AD13" s="37">
        <f t="shared" si="17"/>
        <v>0</v>
      </c>
      <c r="AE13" s="38">
        <f>AD13/(1+'Major Assumption Key'!$B$8)^($F13-'Major Assumption Key'!$B$7)</f>
        <v>0</v>
      </c>
      <c r="AF13" s="288"/>
      <c r="AG13" s="774">
        <f t="shared" si="18"/>
        <v>0</v>
      </c>
      <c r="AH13" s="848">
        <f t="shared" si="19"/>
        <v>0</v>
      </c>
      <c r="AI13" s="37">
        <f t="shared" si="20"/>
        <v>0</v>
      </c>
      <c r="AJ13" s="38">
        <f t="shared" si="21"/>
        <v>0</v>
      </c>
    </row>
    <row r="14" spans="1:36" ht="15" thickBot="1">
      <c r="E14" s="191"/>
      <c r="F14" s="190">
        <f>'Major Assumption Key'!A26</f>
        <v>2027</v>
      </c>
      <c r="G14" s="880">
        <f>IFERROR(_xlfn.XLOOKUP(F14,'VOTT Supporting - Auto'!A:A,'VOTT Supporting - Auto'!B:B,,0)*$B$25*$B$26,"N/A")</f>
        <v>0</v>
      </c>
      <c r="H14" s="880">
        <f>IFERROR(_xlfn.XLOOKUP(F14,'VOTT Supporting - Auto'!A:A,'VOTT Supporting - Auto'!B:B,,0)*$B$25*$B$27,"N/A")</f>
        <v>0</v>
      </c>
      <c r="I14" s="880">
        <f>_xlfn.XLOOKUP(F14,'VOTT Supporting - Transit TSP'!A:A,'VOTT Supporting - Transit TSP'!B:B,,0)</f>
        <v>0</v>
      </c>
      <c r="J14" s="880">
        <f>IFERROR($B$25*_xlfn.XLOOKUP(F14,'VOTT Supporting - Walking'!A:A,'VOTT Supporting - Walking'!B:B,,0),"N/A")</f>
        <v>0</v>
      </c>
      <c r="K14" s="880">
        <v>0</v>
      </c>
      <c r="L14" s="785">
        <f t="shared" si="5"/>
        <v>0</v>
      </c>
      <c r="M14" s="785">
        <f t="shared" si="6"/>
        <v>0</v>
      </c>
      <c r="N14" s="785">
        <f t="shared" si="7"/>
        <v>0</v>
      </c>
      <c r="O14" s="785">
        <f t="shared" si="8"/>
        <v>0</v>
      </c>
      <c r="P14" s="785">
        <f t="shared" si="9"/>
        <v>0</v>
      </c>
      <c r="Q14" s="784">
        <f t="shared" si="10"/>
        <v>0</v>
      </c>
      <c r="R14" s="880">
        <f>IFERROR(_xlfn.XLOOKUP(F14,'VOTT Supporting - Auto'!A:A,'VOTT Supporting - Auto'!C:C,,0)*$B$25*$B$26,"N/A")</f>
        <v>0</v>
      </c>
      <c r="S14" s="880">
        <f>IFERROR(_xlfn.XLOOKUP(F14,'VOTT Supporting - Auto'!A:A,'VOTT Supporting - Auto'!C:C,,0)*$B$25*$B$27,"N/A")</f>
        <v>0</v>
      </c>
      <c r="T14" s="880">
        <f>_xlfn.XLOOKUP(F14,'VOTT Supporting - Transit TSP'!A:A,'VOTT Supporting - Transit TSP'!C:C,,0)</f>
        <v>0</v>
      </c>
      <c r="U14" s="880">
        <f>_xlfn.XLOOKUP(F14,'VOTT Supporting - Transit TSP'!A:A,'VOTT Supporting - Transit TSP'!D:D,,0)</f>
        <v>0</v>
      </c>
      <c r="V14" s="880">
        <f>IFERROR($B$25*_xlfn.XLOOKUP(F14,'VOTT Supporting - Walking'!A:A,'VOTT Supporting - Walking'!C:C,,0),"N/A")</f>
        <v>0</v>
      </c>
      <c r="W14" s="880">
        <v>0</v>
      </c>
      <c r="X14" s="451">
        <f t="shared" si="11"/>
        <v>0</v>
      </c>
      <c r="Y14" s="451">
        <f t="shared" si="12"/>
        <v>0</v>
      </c>
      <c r="Z14" s="344">
        <f t="shared" si="13"/>
        <v>0</v>
      </c>
      <c r="AA14" s="344">
        <f t="shared" si="14"/>
        <v>0</v>
      </c>
      <c r="AB14" s="344">
        <f t="shared" si="15"/>
        <v>0</v>
      </c>
      <c r="AC14" s="848">
        <f t="shared" si="16"/>
        <v>0</v>
      </c>
      <c r="AD14" s="37">
        <f t="shared" si="17"/>
        <v>0</v>
      </c>
      <c r="AE14" s="38">
        <f>AD14/(1+'Major Assumption Key'!$B$8)^($F14-'Major Assumption Key'!$B$7)</f>
        <v>0</v>
      </c>
      <c r="AF14" s="288"/>
      <c r="AG14" s="774">
        <f t="shared" si="18"/>
        <v>0</v>
      </c>
      <c r="AH14" s="848">
        <f t="shared" si="19"/>
        <v>0</v>
      </c>
      <c r="AI14" s="37">
        <f t="shared" si="20"/>
        <v>0</v>
      </c>
      <c r="AJ14" s="38">
        <f t="shared" si="21"/>
        <v>0</v>
      </c>
    </row>
    <row r="15" spans="1:36">
      <c r="A15" s="552" t="s">
        <v>181</v>
      </c>
      <c r="B15" s="553" t="s">
        <v>434</v>
      </c>
      <c r="C15" s="2009" t="s">
        <v>498</v>
      </c>
      <c r="D15" s="2010"/>
      <c r="E15" s="191"/>
      <c r="F15" s="190">
        <f>'Major Assumption Key'!A27</f>
        <v>2028</v>
      </c>
      <c r="G15" s="880">
        <f>IFERROR(_xlfn.XLOOKUP(F15,'VOTT Supporting - Auto'!A:A,'VOTT Supporting - Auto'!B:B,,0)*$B$25*$B$26,"N/A")</f>
        <v>0</v>
      </c>
      <c r="H15" s="880">
        <f>IFERROR(_xlfn.XLOOKUP(F15,'VOTT Supporting - Auto'!A:A,'VOTT Supporting - Auto'!B:B,,0)*$B$25*$B$27,"N/A")</f>
        <v>0</v>
      </c>
      <c r="I15" s="880">
        <f>_xlfn.XLOOKUP(F15,'VOTT Supporting - Transit TSP'!A:A,'VOTT Supporting - Transit TSP'!B:B,,0)</f>
        <v>0</v>
      </c>
      <c r="J15" s="880">
        <f>IFERROR($B$25*_xlfn.XLOOKUP(F15,'VOTT Supporting - Walking'!A:A,'VOTT Supporting - Walking'!B:B,,0),"N/A")</f>
        <v>0</v>
      </c>
      <c r="K15" s="880">
        <v>0</v>
      </c>
      <c r="L15" s="785">
        <f t="shared" si="5"/>
        <v>0</v>
      </c>
      <c r="M15" s="785">
        <f t="shared" si="6"/>
        <v>0</v>
      </c>
      <c r="N15" s="785">
        <f t="shared" si="7"/>
        <v>0</v>
      </c>
      <c r="O15" s="785">
        <f t="shared" si="8"/>
        <v>0</v>
      </c>
      <c r="P15" s="785">
        <f t="shared" si="9"/>
        <v>0</v>
      </c>
      <c r="Q15" s="784">
        <f t="shared" si="10"/>
        <v>0</v>
      </c>
      <c r="R15" s="880">
        <f>IFERROR(_xlfn.XLOOKUP(F15,'VOTT Supporting - Auto'!A:A,'VOTT Supporting - Auto'!C:C,,0)*$B$25*$B$26,"N/A")</f>
        <v>0</v>
      </c>
      <c r="S15" s="880">
        <f>IFERROR(_xlfn.XLOOKUP(F15,'VOTT Supporting - Auto'!A:A,'VOTT Supporting - Auto'!C:C,,0)*$B$25*$B$27,"N/A")</f>
        <v>0</v>
      </c>
      <c r="T15" s="880">
        <f>_xlfn.XLOOKUP(F15,'VOTT Supporting - Transit TSP'!A:A,'VOTT Supporting - Transit TSP'!C:C,,0)</f>
        <v>0</v>
      </c>
      <c r="U15" s="880">
        <f>_xlfn.XLOOKUP(F15,'VOTT Supporting - Transit TSP'!A:A,'VOTT Supporting - Transit TSP'!D:D,,0)</f>
        <v>0</v>
      </c>
      <c r="V15" s="880">
        <f>IFERROR($B$25*_xlfn.XLOOKUP(F15,'VOTT Supporting - Walking'!A:A,'VOTT Supporting - Walking'!C:C,,0),"N/A")</f>
        <v>0</v>
      </c>
      <c r="W15" s="880">
        <v>0</v>
      </c>
      <c r="X15" s="451">
        <f t="shared" si="11"/>
        <v>0</v>
      </c>
      <c r="Y15" s="451">
        <f t="shared" si="12"/>
        <v>0</v>
      </c>
      <c r="Z15" s="344">
        <f t="shared" si="13"/>
        <v>0</v>
      </c>
      <c r="AA15" s="344">
        <f t="shared" si="14"/>
        <v>0</v>
      </c>
      <c r="AB15" s="344">
        <f t="shared" si="15"/>
        <v>0</v>
      </c>
      <c r="AC15" s="848">
        <f t="shared" si="16"/>
        <v>0</v>
      </c>
      <c r="AD15" s="37">
        <f t="shared" si="17"/>
        <v>0</v>
      </c>
      <c r="AE15" s="38">
        <f>AD15/(1+'Major Assumption Key'!$B$8)^($F15-'Major Assumption Key'!$B$7)</f>
        <v>0</v>
      </c>
      <c r="AF15" s="288"/>
      <c r="AG15" s="774">
        <f t="shared" si="18"/>
        <v>0</v>
      </c>
      <c r="AH15" s="848">
        <f t="shared" si="19"/>
        <v>0</v>
      </c>
      <c r="AI15" s="37">
        <f t="shared" si="20"/>
        <v>0</v>
      </c>
      <c r="AJ15" s="38">
        <f t="shared" si="21"/>
        <v>0</v>
      </c>
    </row>
    <row r="16" spans="1:36">
      <c r="A16" s="768" t="str">
        <f>'Major Assumption Key'!$A$3</f>
        <v>Project Open Year:</v>
      </c>
      <c r="B16" s="777">
        <f>'Major Assumption Key'!$B$3</f>
        <v>2028</v>
      </c>
      <c r="C16" s="767" t="s">
        <v>436</v>
      </c>
      <c r="D16" s="547"/>
      <c r="E16" s="191"/>
      <c r="F16" s="190">
        <f>'Major Assumption Key'!A28</f>
        <v>2029</v>
      </c>
      <c r="G16" s="880">
        <f>IFERROR(_xlfn.XLOOKUP(F16,'VOTT Supporting - Auto'!A:A,'VOTT Supporting - Auto'!B:B,,0)*$B$25*$B$26,"N/A")</f>
        <v>0</v>
      </c>
      <c r="H16" s="880">
        <f>IFERROR(_xlfn.XLOOKUP(F16,'VOTT Supporting - Auto'!A:A,'VOTT Supporting - Auto'!B:B,,0)*$B$25*$B$27,"N/A")</f>
        <v>0</v>
      </c>
      <c r="I16" s="880">
        <f>_xlfn.XLOOKUP(F16,'VOTT Supporting - Transit TSP'!A:A,'VOTT Supporting - Transit TSP'!B:B,,0)</f>
        <v>0</v>
      </c>
      <c r="J16" s="880">
        <f>IFERROR($B$25*_xlfn.XLOOKUP(F16,'VOTT Supporting - Walking'!A:A,'VOTT Supporting - Walking'!B:B,,0),"N/A")</f>
        <v>0</v>
      </c>
      <c r="K16" s="880">
        <v>0</v>
      </c>
      <c r="L16" s="785">
        <f t="shared" si="5"/>
        <v>0</v>
      </c>
      <c r="M16" s="785">
        <f t="shared" si="6"/>
        <v>0</v>
      </c>
      <c r="N16" s="785">
        <f t="shared" si="7"/>
        <v>0</v>
      </c>
      <c r="O16" s="785">
        <f t="shared" si="8"/>
        <v>0</v>
      </c>
      <c r="P16" s="785">
        <f t="shared" si="9"/>
        <v>0</v>
      </c>
      <c r="Q16" s="784">
        <f t="shared" si="10"/>
        <v>0</v>
      </c>
      <c r="R16" s="880">
        <f>IFERROR(_xlfn.XLOOKUP(F16,'VOTT Supporting - Auto'!A:A,'VOTT Supporting - Auto'!C:C,,0)*$B$25*$B$26,"N/A")</f>
        <v>0</v>
      </c>
      <c r="S16" s="880">
        <f>IFERROR(_xlfn.XLOOKUP(F16,'VOTT Supporting - Auto'!A:A,'VOTT Supporting - Auto'!C:C,,0)*$B$25*$B$27,"N/A")</f>
        <v>0</v>
      </c>
      <c r="T16" s="880">
        <f>_xlfn.XLOOKUP(F16,'VOTT Supporting - Transit TSP'!A:A,'VOTT Supporting - Transit TSP'!C:C,,0)</f>
        <v>0</v>
      </c>
      <c r="U16" s="880">
        <f>_xlfn.XLOOKUP(F16,'VOTT Supporting - Transit TSP'!A:A,'VOTT Supporting - Transit TSP'!D:D,,0)</f>
        <v>0</v>
      </c>
      <c r="V16" s="880">
        <f>IFERROR($B$25*_xlfn.XLOOKUP(F16,'VOTT Supporting - Walking'!A:A,'VOTT Supporting - Walking'!C:C,,0),"N/A")</f>
        <v>0</v>
      </c>
      <c r="W16" s="880">
        <v>0</v>
      </c>
      <c r="X16" s="451">
        <f t="shared" si="11"/>
        <v>0</v>
      </c>
      <c r="Y16" s="451">
        <f t="shared" si="12"/>
        <v>0</v>
      </c>
      <c r="Z16" s="344">
        <f t="shared" si="13"/>
        <v>0</v>
      </c>
      <c r="AA16" s="344">
        <f t="shared" si="14"/>
        <v>0</v>
      </c>
      <c r="AB16" s="344">
        <f t="shared" si="15"/>
        <v>0</v>
      </c>
      <c r="AC16" s="848">
        <f t="shared" si="16"/>
        <v>0</v>
      </c>
      <c r="AD16" s="37">
        <f t="shared" si="17"/>
        <v>0</v>
      </c>
      <c r="AE16" s="38">
        <f>AD16/(1+'Major Assumption Key'!$B$8)^($F16-'Major Assumption Key'!$B$7)</f>
        <v>0</v>
      </c>
      <c r="AF16" s="288"/>
      <c r="AG16" s="774">
        <f t="shared" si="18"/>
        <v>0</v>
      </c>
      <c r="AH16" s="848">
        <f t="shared" si="19"/>
        <v>0</v>
      </c>
      <c r="AI16" s="37">
        <f t="shared" si="20"/>
        <v>0</v>
      </c>
      <c r="AJ16" s="38">
        <f t="shared" si="21"/>
        <v>0</v>
      </c>
    </row>
    <row r="17" spans="1:36">
      <c r="A17" s="768" t="str">
        <f>'Major Assumption Key'!$A$4</f>
        <v>Planning Horizon Begin Year:</v>
      </c>
      <c r="B17" s="777">
        <f>'Major Assumption Key'!$B$4</f>
        <v>2022</v>
      </c>
      <c r="C17" s="767" t="s">
        <v>436</v>
      </c>
      <c r="D17" s="770"/>
      <c r="E17" s="191"/>
      <c r="F17" s="190">
        <f>'Major Assumption Key'!A29</f>
        <v>2030</v>
      </c>
      <c r="G17" s="880">
        <f>IFERROR(_xlfn.XLOOKUP(F17,'VOTT Supporting - Auto'!A:A,'VOTT Supporting - Auto'!B:B,,0)*$B$25*$B$26,"N/A")</f>
        <v>0</v>
      </c>
      <c r="H17" s="880">
        <f>IFERROR(_xlfn.XLOOKUP(F17,'VOTT Supporting - Auto'!A:A,'VOTT Supporting - Auto'!B:B,,0)*$B$25*$B$27,"N/A")</f>
        <v>0</v>
      </c>
      <c r="I17" s="880">
        <f>_xlfn.XLOOKUP(F17,'VOTT Supporting - Transit TSP'!A:A,'VOTT Supporting - Transit TSP'!B:B,,0)</f>
        <v>0</v>
      </c>
      <c r="J17" s="880">
        <f>IFERROR($B$25*_xlfn.XLOOKUP(F17,'VOTT Supporting - Walking'!A:A,'VOTT Supporting - Walking'!B:B,,0),"N/A")</f>
        <v>0</v>
      </c>
      <c r="K17" s="880">
        <v>0</v>
      </c>
      <c r="L17" s="785">
        <f t="shared" si="5"/>
        <v>0</v>
      </c>
      <c r="M17" s="785">
        <f t="shared" si="6"/>
        <v>0</v>
      </c>
      <c r="N17" s="785">
        <f t="shared" si="7"/>
        <v>0</v>
      </c>
      <c r="O17" s="785">
        <f t="shared" si="8"/>
        <v>0</v>
      </c>
      <c r="P17" s="785">
        <f t="shared" si="9"/>
        <v>0</v>
      </c>
      <c r="Q17" s="784">
        <f t="shared" si="10"/>
        <v>0</v>
      </c>
      <c r="R17" s="880">
        <f>IFERROR(_xlfn.XLOOKUP(F17,'VOTT Supporting - Auto'!A:A,'VOTT Supporting - Auto'!C:C,,0)*$B$25*$B$26,"N/A")</f>
        <v>0</v>
      </c>
      <c r="S17" s="880">
        <f>IFERROR(_xlfn.XLOOKUP(F17,'VOTT Supporting - Auto'!A:A,'VOTT Supporting - Auto'!C:C,,0)*$B$25*$B$27,"N/A")</f>
        <v>0</v>
      </c>
      <c r="T17" s="880">
        <f>_xlfn.XLOOKUP(F17,'VOTT Supporting - Transit TSP'!A:A,'VOTT Supporting - Transit TSP'!C:C,,0)</f>
        <v>0</v>
      </c>
      <c r="U17" s="880">
        <f>_xlfn.XLOOKUP(F17,'VOTT Supporting - Transit TSP'!A:A,'VOTT Supporting - Transit TSP'!D:D,,0)</f>
        <v>0</v>
      </c>
      <c r="V17" s="880">
        <f>IFERROR($B$25*_xlfn.XLOOKUP(F17,'VOTT Supporting - Walking'!A:A,'VOTT Supporting - Walking'!C:C,,0),"N/A")</f>
        <v>0</v>
      </c>
      <c r="W17" s="880">
        <v>0</v>
      </c>
      <c r="X17" s="451">
        <f t="shared" si="11"/>
        <v>0</v>
      </c>
      <c r="Y17" s="451">
        <f t="shared" si="12"/>
        <v>0</v>
      </c>
      <c r="Z17" s="344">
        <f t="shared" si="13"/>
        <v>0</v>
      </c>
      <c r="AA17" s="344">
        <f t="shared" si="14"/>
        <v>0</v>
      </c>
      <c r="AB17" s="344">
        <f t="shared" si="15"/>
        <v>0</v>
      </c>
      <c r="AC17" s="848">
        <f t="shared" si="16"/>
        <v>0</v>
      </c>
      <c r="AD17" s="37">
        <f t="shared" si="17"/>
        <v>0</v>
      </c>
      <c r="AE17" s="38">
        <f>AD17/(1+'Major Assumption Key'!$B$8)^($F17-'Major Assumption Key'!$B$7)</f>
        <v>0</v>
      </c>
      <c r="AF17" s="288"/>
      <c r="AG17" s="774">
        <f t="shared" si="18"/>
        <v>0</v>
      </c>
      <c r="AH17" s="848">
        <f t="shared" si="19"/>
        <v>0</v>
      </c>
      <c r="AI17" s="37">
        <f t="shared" si="20"/>
        <v>0</v>
      </c>
      <c r="AJ17" s="38">
        <f t="shared" si="21"/>
        <v>0</v>
      </c>
    </row>
    <row r="18" spans="1:36">
      <c r="A18" s="768" t="str">
        <f>'Major Assumption Key'!$A$6</f>
        <v>Planning Horizon End Year:</v>
      </c>
      <c r="B18" s="777">
        <f>'Major Assumption Key'!$B$6</f>
        <v>2047</v>
      </c>
      <c r="C18" s="767" t="s">
        <v>436</v>
      </c>
      <c r="D18" s="770"/>
      <c r="E18" s="191"/>
      <c r="F18" s="190">
        <f>'Major Assumption Key'!A30</f>
        <v>2031</v>
      </c>
      <c r="G18" s="880">
        <f>IFERROR(_xlfn.XLOOKUP(F18,'VOTT Supporting - Auto'!A:A,'VOTT Supporting - Auto'!B:B,,0)*$B$25*$B$26,"N/A")</f>
        <v>0</v>
      </c>
      <c r="H18" s="880">
        <f>IFERROR(_xlfn.XLOOKUP(F18,'VOTT Supporting - Auto'!A:A,'VOTT Supporting - Auto'!B:B,,0)*$B$25*$B$27,"N/A")</f>
        <v>0</v>
      </c>
      <c r="I18" s="880">
        <f>_xlfn.XLOOKUP(F18,'VOTT Supporting - Transit TSP'!A:A,'VOTT Supporting - Transit TSP'!B:B,,0)</f>
        <v>0</v>
      </c>
      <c r="J18" s="880">
        <f>IFERROR($B$25*_xlfn.XLOOKUP(F18,'VOTT Supporting - Walking'!A:A,'VOTT Supporting - Walking'!B:B,,0),"N/A")</f>
        <v>0</v>
      </c>
      <c r="K18" s="880">
        <v>0</v>
      </c>
      <c r="L18" s="785">
        <f t="shared" si="5"/>
        <v>0</v>
      </c>
      <c r="M18" s="785">
        <f t="shared" si="6"/>
        <v>0</v>
      </c>
      <c r="N18" s="785">
        <f t="shared" si="7"/>
        <v>0</v>
      </c>
      <c r="O18" s="785">
        <f t="shared" si="8"/>
        <v>0</v>
      </c>
      <c r="P18" s="785">
        <f t="shared" si="9"/>
        <v>0</v>
      </c>
      <c r="Q18" s="784">
        <f t="shared" si="10"/>
        <v>0</v>
      </c>
      <c r="R18" s="880">
        <f>IFERROR(_xlfn.XLOOKUP(F18,'VOTT Supporting - Auto'!A:A,'VOTT Supporting - Auto'!C:C,,0)*$B$25*$B$26,"N/A")</f>
        <v>0</v>
      </c>
      <c r="S18" s="880">
        <f>IFERROR(_xlfn.XLOOKUP(F18,'VOTT Supporting - Auto'!A:A,'VOTT Supporting - Auto'!C:C,,0)*$B$25*$B$27,"N/A")</f>
        <v>0</v>
      </c>
      <c r="T18" s="880">
        <f>_xlfn.XLOOKUP(F18,'VOTT Supporting - Transit TSP'!A:A,'VOTT Supporting - Transit TSP'!C:C,,0)</f>
        <v>0</v>
      </c>
      <c r="U18" s="880">
        <f>_xlfn.XLOOKUP(F18,'VOTT Supporting - Transit TSP'!A:A,'VOTT Supporting - Transit TSP'!D:D,,0)</f>
        <v>0</v>
      </c>
      <c r="V18" s="880">
        <f>IFERROR($B$25*_xlfn.XLOOKUP(F18,'VOTT Supporting - Walking'!A:A,'VOTT Supporting - Walking'!C:C,,0),"N/A")</f>
        <v>0</v>
      </c>
      <c r="W18" s="880">
        <v>0</v>
      </c>
      <c r="X18" s="451">
        <f t="shared" si="11"/>
        <v>0</v>
      </c>
      <c r="Y18" s="451">
        <f t="shared" si="12"/>
        <v>0</v>
      </c>
      <c r="Z18" s="344">
        <f t="shared" si="13"/>
        <v>0</v>
      </c>
      <c r="AA18" s="344">
        <f t="shared" si="14"/>
        <v>0</v>
      </c>
      <c r="AB18" s="344">
        <f t="shared" si="15"/>
        <v>0</v>
      </c>
      <c r="AC18" s="848">
        <f t="shared" si="16"/>
        <v>0</v>
      </c>
      <c r="AD18" s="37">
        <f t="shared" si="17"/>
        <v>0</v>
      </c>
      <c r="AE18" s="38">
        <f>AD18/(1+'Major Assumption Key'!$B$8)^($F18-'Major Assumption Key'!$B$7)</f>
        <v>0</v>
      </c>
      <c r="AF18" s="288"/>
      <c r="AG18" s="774">
        <f t="shared" si="18"/>
        <v>0</v>
      </c>
      <c r="AH18" s="848">
        <f t="shared" si="19"/>
        <v>0</v>
      </c>
      <c r="AI18" s="37">
        <f t="shared" si="20"/>
        <v>0</v>
      </c>
      <c r="AJ18" s="38">
        <f t="shared" si="21"/>
        <v>0</v>
      </c>
    </row>
    <row r="19" spans="1:36">
      <c r="A19" s="881" t="s">
        <v>7037</v>
      </c>
      <c r="B19" s="551">
        <f>'BCA Guide - Parameter Values'!C46</f>
        <v>1.67</v>
      </c>
      <c r="C19" s="185" t="s">
        <v>211</v>
      </c>
      <c r="D19" s="554"/>
      <c r="E19" s="191"/>
      <c r="F19" s="190">
        <f>'Major Assumption Key'!A31</f>
        <v>2032</v>
      </c>
      <c r="G19" s="880">
        <f>IFERROR(_xlfn.XLOOKUP(F19,'VOTT Supporting - Auto'!A:A,'VOTT Supporting - Auto'!B:B,,0)*$B$25*$B$26,"N/A")</f>
        <v>0</v>
      </c>
      <c r="H19" s="880">
        <f>IFERROR(_xlfn.XLOOKUP(F19,'VOTT Supporting - Auto'!A:A,'VOTT Supporting - Auto'!B:B,,0)*$B$25*$B$27,"N/A")</f>
        <v>0</v>
      </c>
      <c r="I19" s="880">
        <f>_xlfn.XLOOKUP(F19,'VOTT Supporting - Transit TSP'!A:A,'VOTT Supporting - Transit TSP'!B:B,,0)</f>
        <v>0</v>
      </c>
      <c r="J19" s="880">
        <f>IFERROR($B$25*_xlfn.XLOOKUP(F19,'VOTT Supporting - Walking'!A:A,'VOTT Supporting - Walking'!B:B,,0),"N/A")</f>
        <v>0</v>
      </c>
      <c r="K19" s="880">
        <v>0</v>
      </c>
      <c r="L19" s="785">
        <f t="shared" si="5"/>
        <v>0</v>
      </c>
      <c r="M19" s="785">
        <f t="shared" si="6"/>
        <v>0</v>
      </c>
      <c r="N19" s="785">
        <f t="shared" si="7"/>
        <v>0</v>
      </c>
      <c r="O19" s="785">
        <f t="shared" si="8"/>
        <v>0</v>
      </c>
      <c r="P19" s="785">
        <f t="shared" si="9"/>
        <v>0</v>
      </c>
      <c r="Q19" s="784">
        <f t="shared" si="10"/>
        <v>0</v>
      </c>
      <c r="R19" s="880">
        <f>IFERROR(_xlfn.XLOOKUP(F19,'VOTT Supporting - Auto'!A:A,'VOTT Supporting - Auto'!C:C,,0)*$B$25*$B$26,"N/A")</f>
        <v>0</v>
      </c>
      <c r="S19" s="880">
        <f>IFERROR(_xlfn.XLOOKUP(F19,'VOTT Supporting - Auto'!A:A,'VOTT Supporting - Auto'!C:C,,0)*$B$25*$B$27,"N/A")</f>
        <v>0</v>
      </c>
      <c r="T19" s="880">
        <f>_xlfn.XLOOKUP(F19,'VOTT Supporting - Transit TSP'!A:A,'VOTT Supporting - Transit TSP'!C:C,,0)</f>
        <v>0</v>
      </c>
      <c r="U19" s="880">
        <f>_xlfn.XLOOKUP(F19,'VOTT Supporting - Transit TSP'!A:A,'VOTT Supporting - Transit TSP'!D:D,,0)</f>
        <v>0</v>
      </c>
      <c r="V19" s="880">
        <f>IFERROR($B$25*_xlfn.XLOOKUP(F19,'VOTT Supporting - Walking'!A:A,'VOTT Supporting - Walking'!C:C,,0),"N/A")</f>
        <v>0</v>
      </c>
      <c r="W19" s="880">
        <v>0</v>
      </c>
      <c r="X19" s="451">
        <f t="shared" si="11"/>
        <v>0</v>
      </c>
      <c r="Y19" s="451">
        <f t="shared" si="12"/>
        <v>0</v>
      </c>
      <c r="Z19" s="344">
        <f t="shared" si="13"/>
        <v>0</v>
      </c>
      <c r="AA19" s="344">
        <f t="shared" si="14"/>
        <v>0</v>
      </c>
      <c r="AB19" s="344">
        <f t="shared" si="15"/>
        <v>0</v>
      </c>
      <c r="AC19" s="848">
        <f t="shared" si="16"/>
        <v>0</v>
      </c>
      <c r="AD19" s="37">
        <f t="shared" si="17"/>
        <v>0</v>
      </c>
      <c r="AE19" s="38">
        <f>AD19/(1+'Major Assumption Key'!$B$8)^($F19-'Major Assumption Key'!$B$7)</f>
        <v>0</v>
      </c>
      <c r="AF19" s="288"/>
      <c r="AG19" s="774">
        <f t="shared" si="18"/>
        <v>0</v>
      </c>
      <c r="AH19" s="848">
        <f t="shared" si="19"/>
        <v>0</v>
      </c>
      <c r="AI19" s="37">
        <f t="shared" si="20"/>
        <v>0</v>
      </c>
      <c r="AJ19" s="38">
        <f t="shared" si="21"/>
        <v>0</v>
      </c>
    </row>
    <row r="20" spans="1:36" ht="28.8">
      <c r="A20" s="881" t="s">
        <v>7038</v>
      </c>
      <c r="B20" s="555">
        <f>'BCA Guide - Parameter Values'!C24</f>
        <v>19.600000000000001</v>
      </c>
      <c r="C20" s="185" t="s">
        <v>211</v>
      </c>
      <c r="D20" s="554"/>
      <c r="E20" s="191"/>
      <c r="F20" s="190">
        <f>'Major Assumption Key'!A32</f>
        <v>2033</v>
      </c>
      <c r="G20" s="880">
        <f>IFERROR(_xlfn.XLOOKUP(F20,'VOTT Supporting - Auto'!A:A,'VOTT Supporting - Auto'!B:B,,0)*$B$25*$B$26,"N/A")</f>
        <v>0</v>
      </c>
      <c r="H20" s="880">
        <f>IFERROR(_xlfn.XLOOKUP(F20,'VOTT Supporting - Auto'!A:A,'VOTT Supporting - Auto'!B:B,,0)*$B$25*$B$27,"N/A")</f>
        <v>0</v>
      </c>
      <c r="I20" s="880">
        <f>_xlfn.XLOOKUP(F20,'VOTT Supporting - Transit TSP'!A:A,'VOTT Supporting - Transit TSP'!B:B,,0)</f>
        <v>0</v>
      </c>
      <c r="J20" s="880">
        <f>IFERROR($B$25*_xlfn.XLOOKUP(F20,'VOTT Supporting - Walking'!A:A,'VOTT Supporting - Walking'!B:B,,0),"N/A")</f>
        <v>0</v>
      </c>
      <c r="K20" s="880">
        <v>0</v>
      </c>
      <c r="L20" s="785">
        <f t="shared" si="5"/>
        <v>0</v>
      </c>
      <c r="M20" s="785">
        <f t="shared" si="6"/>
        <v>0</v>
      </c>
      <c r="N20" s="785">
        <f t="shared" si="7"/>
        <v>0</v>
      </c>
      <c r="O20" s="785">
        <f t="shared" si="8"/>
        <v>0</v>
      </c>
      <c r="P20" s="785">
        <f t="shared" si="9"/>
        <v>0</v>
      </c>
      <c r="Q20" s="784">
        <f t="shared" si="10"/>
        <v>0</v>
      </c>
      <c r="R20" s="880">
        <f>IFERROR(_xlfn.XLOOKUP(F20,'VOTT Supporting - Auto'!A:A,'VOTT Supporting - Auto'!C:C,,0)*$B$25*$B$26,"N/A")</f>
        <v>0</v>
      </c>
      <c r="S20" s="880">
        <f>IFERROR(_xlfn.XLOOKUP(F20,'VOTT Supporting - Auto'!A:A,'VOTT Supporting - Auto'!C:C,,0)*$B$25*$B$27,"N/A")</f>
        <v>0</v>
      </c>
      <c r="T20" s="880">
        <f>_xlfn.XLOOKUP(F20,'VOTT Supporting - Transit TSP'!A:A,'VOTT Supporting - Transit TSP'!C:C,,0)</f>
        <v>0</v>
      </c>
      <c r="U20" s="880">
        <f>_xlfn.XLOOKUP(F20,'VOTT Supporting - Transit TSP'!A:A,'VOTT Supporting - Transit TSP'!D:D,,0)</f>
        <v>0</v>
      </c>
      <c r="V20" s="880">
        <f>IFERROR($B$25*_xlfn.XLOOKUP(F20,'VOTT Supporting - Walking'!A:A,'VOTT Supporting - Walking'!C:C,,0),"N/A")</f>
        <v>0</v>
      </c>
      <c r="W20" s="880">
        <v>0</v>
      </c>
      <c r="X20" s="451">
        <f t="shared" si="11"/>
        <v>0</v>
      </c>
      <c r="Y20" s="451">
        <f t="shared" si="12"/>
        <v>0</v>
      </c>
      <c r="Z20" s="344">
        <f t="shared" si="13"/>
        <v>0</v>
      </c>
      <c r="AA20" s="344">
        <f t="shared" si="14"/>
        <v>0</v>
      </c>
      <c r="AB20" s="344">
        <f t="shared" si="15"/>
        <v>0</v>
      </c>
      <c r="AC20" s="848">
        <f t="shared" si="16"/>
        <v>0</v>
      </c>
      <c r="AD20" s="37">
        <f t="shared" si="17"/>
        <v>0</v>
      </c>
      <c r="AE20" s="38">
        <f>AD20/(1+'Major Assumption Key'!$B$8)^($F20-'Major Assumption Key'!$B$7)</f>
        <v>0</v>
      </c>
      <c r="AF20" s="288"/>
      <c r="AG20" s="774">
        <f t="shared" si="18"/>
        <v>0</v>
      </c>
      <c r="AH20" s="848">
        <f t="shared" si="19"/>
        <v>0</v>
      </c>
      <c r="AI20" s="37">
        <f t="shared" si="20"/>
        <v>0</v>
      </c>
      <c r="AJ20" s="38">
        <f t="shared" si="21"/>
        <v>0</v>
      </c>
    </row>
    <row r="21" spans="1:36" ht="28.8">
      <c r="A21" s="881" t="s">
        <v>7039</v>
      </c>
      <c r="B21" s="555">
        <f>'BCA Guide - Parameter Values'!C26</f>
        <v>35.799999999999997</v>
      </c>
      <c r="C21" s="185" t="s">
        <v>211</v>
      </c>
      <c r="D21" s="554"/>
      <c r="E21" s="191"/>
      <c r="F21" s="190">
        <f>'Major Assumption Key'!A33</f>
        <v>2034</v>
      </c>
      <c r="G21" s="880">
        <f>IFERROR(_xlfn.XLOOKUP(F21,'VOTT Supporting - Auto'!A:A,'VOTT Supporting - Auto'!B:B,,0)*$B$25*$B$26,"N/A")</f>
        <v>0</v>
      </c>
      <c r="H21" s="880">
        <f>IFERROR(_xlfn.XLOOKUP(F21,'VOTT Supporting - Auto'!A:A,'VOTT Supporting - Auto'!B:B,,0)*$B$25*$B$27,"N/A")</f>
        <v>0</v>
      </c>
      <c r="I21" s="880">
        <f>_xlfn.XLOOKUP(F21,'VOTT Supporting - Transit TSP'!A:A,'VOTT Supporting - Transit TSP'!B:B,,0)</f>
        <v>0</v>
      </c>
      <c r="J21" s="880">
        <f>IFERROR($B$25*_xlfn.XLOOKUP(F21,'VOTT Supporting - Walking'!A:A,'VOTT Supporting - Walking'!B:B,,0),"N/A")</f>
        <v>0</v>
      </c>
      <c r="K21" s="880">
        <v>0</v>
      </c>
      <c r="L21" s="785">
        <f t="shared" si="5"/>
        <v>0</v>
      </c>
      <c r="M21" s="785">
        <f t="shared" si="6"/>
        <v>0</v>
      </c>
      <c r="N21" s="785">
        <f t="shared" si="7"/>
        <v>0</v>
      </c>
      <c r="O21" s="785">
        <f t="shared" si="8"/>
        <v>0</v>
      </c>
      <c r="P21" s="785">
        <f t="shared" si="9"/>
        <v>0</v>
      </c>
      <c r="Q21" s="784">
        <f t="shared" si="10"/>
        <v>0</v>
      </c>
      <c r="R21" s="880">
        <f>IFERROR(_xlfn.XLOOKUP(F21,'VOTT Supporting - Auto'!A:A,'VOTT Supporting - Auto'!C:C,,0)*$B$25*$B$26,"N/A")</f>
        <v>0</v>
      </c>
      <c r="S21" s="880">
        <f>IFERROR(_xlfn.XLOOKUP(F21,'VOTT Supporting - Auto'!A:A,'VOTT Supporting - Auto'!C:C,,0)*$B$25*$B$27,"N/A")</f>
        <v>0</v>
      </c>
      <c r="T21" s="880">
        <f>_xlfn.XLOOKUP(F21,'VOTT Supporting - Transit TSP'!A:A,'VOTT Supporting - Transit TSP'!C:C,,0)</f>
        <v>0</v>
      </c>
      <c r="U21" s="880">
        <f>_xlfn.XLOOKUP(F21,'VOTT Supporting - Transit TSP'!A:A,'VOTT Supporting - Transit TSP'!D:D,,0)</f>
        <v>0</v>
      </c>
      <c r="V21" s="880">
        <f>IFERROR($B$25*_xlfn.XLOOKUP(F21,'VOTT Supporting - Walking'!A:A,'VOTT Supporting - Walking'!C:C,,0),"N/A")</f>
        <v>0</v>
      </c>
      <c r="W21" s="880">
        <v>0</v>
      </c>
      <c r="X21" s="451">
        <f t="shared" si="11"/>
        <v>0</v>
      </c>
      <c r="Y21" s="451">
        <f t="shared" si="12"/>
        <v>0</v>
      </c>
      <c r="Z21" s="344">
        <f t="shared" si="13"/>
        <v>0</v>
      </c>
      <c r="AA21" s="344">
        <f t="shared" si="14"/>
        <v>0</v>
      </c>
      <c r="AB21" s="344">
        <f t="shared" si="15"/>
        <v>0</v>
      </c>
      <c r="AC21" s="848">
        <f t="shared" si="16"/>
        <v>0</v>
      </c>
      <c r="AD21" s="37">
        <f t="shared" si="17"/>
        <v>0</v>
      </c>
      <c r="AE21" s="38">
        <f>AD21/(1+'Major Assumption Key'!$B$8)^($F21-'Major Assumption Key'!$B$7)</f>
        <v>0</v>
      </c>
      <c r="AF21" s="288"/>
      <c r="AG21" s="774">
        <f t="shared" si="18"/>
        <v>0</v>
      </c>
      <c r="AH21" s="848">
        <f t="shared" si="19"/>
        <v>0</v>
      </c>
      <c r="AI21" s="37">
        <f t="shared" si="20"/>
        <v>0</v>
      </c>
      <c r="AJ21" s="38">
        <f t="shared" si="21"/>
        <v>0</v>
      </c>
    </row>
    <row r="22" spans="1:36" ht="31.2">
      <c r="A22" s="556" t="s">
        <v>7040</v>
      </c>
      <c r="B22" s="1998">
        <f>VLOOKUP(A23,'BCA Guide - Parameter Values'!$B$29:$C$32,2,FALSE)</f>
        <v>33.5</v>
      </c>
      <c r="C22" s="1999" t="s">
        <v>211</v>
      </c>
      <c r="D22" s="2000"/>
      <c r="E22" s="191"/>
      <c r="F22" s="190">
        <f>'Major Assumption Key'!A34</f>
        <v>2035</v>
      </c>
      <c r="G22" s="880">
        <f>IFERROR(_xlfn.XLOOKUP(F22,'VOTT Supporting - Auto'!A:A,'VOTT Supporting - Auto'!B:B,,0)*$B$25*$B$26,"N/A")</f>
        <v>0</v>
      </c>
      <c r="H22" s="880">
        <f>IFERROR(_xlfn.XLOOKUP(F22,'VOTT Supporting - Auto'!A:A,'VOTT Supporting - Auto'!B:B,,0)*$B$25*$B$27,"N/A")</f>
        <v>0</v>
      </c>
      <c r="I22" s="880">
        <f>_xlfn.XLOOKUP(F22,'VOTT Supporting - Transit TSP'!A:A,'VOTT Supporting - Transit TSP'!B:B,,0)</f>
        <v>0</v>
      </c>
      <c r="J22" s="880">
        <f>IFERROR($B$25*_xlfn.XLOOKUP(F22,'VOTT Supporting - Walking'!A:A,'VOTT Supporting - Walking'!B:B,,0),"N/A")</f>
        <v>0</v>
      </c>
      <c r="K22" s="880">
        <v>0</v>
      </c>
      <c r="L22" s="785">
        <f t="shared" si="5"/>
        <v>0</v>
      </c>
      <c r="M22" s="785">
        <f t="shared" si="6"/>
        <v>0</v>
      </c>
      <c r="N22" s="785">
        <f t="shared" si="7"/>
        <v>0</v>
      </c>
      <c r="O22" s="785">
        <f t="shared" si="8"/>
        <v>0</v>
      </c>
      <c r="P22" s="785">
        <f t="shared" si="9"/>
        <v>0</v>
      </c>
      <c r="Q22" s="784">
        <f t="shared" si="10"/>
        <v>0</v>
      </c>
      <c r="R22" s="880">
        <f>IFERROR(_xlfn.XLOOKUP(F22,'VOTT Supporting - Auto'!A:A,'VOTT Supporting - Auto'!C:C,,0)*$B$25*$B$26,"N/A")</f>
        <v>0</v>
      </c>
      <c r="S22" s="880">
        <f>IFERROR(_xlfn.XLOOKUP(F22,'VOTT Supporting - Auto'!A:A,'VOTT Supporting - Auto'!C:C,,0)*$B$25*$B$27,"N/A")</f>
        <v>0</v>
      </c>
      <c r="T22" s="880">
        <f>_xlfn.XLOOKUP(F22,'VOTT Supporting - Transit TSP'!A:A,'VOTT Supporting - Transit TSP'!C:C,,0)</f>
        <v>0</v>
      </c>
      <c r="U22" s="880">
        <f>_xlfn.XLOOKUP(F22,'VOTT Supporting - Transit TSP'!A:A,'VOTT Supporting - Transit TSP'!D:D,,0)</f>
        <v>0</v>
      </c>
      <c r="V22" s="880">
        <f>IFERROR($B$25*_xlfn.XLOOKUP(F22,'VOTT Supporting - Walking'!A:A,'VOTT Supporting - Walking'!C:C,,0),"N/A")</f>
        <v>0</v>
      </c>
      <c r="W22" s="880">
        <v>0</v>
      </c>
      <c r="X22" s="451">
        <f t="shared" si="11"/>
        <v>0</v>
      </c>
      <c r="Y22" s="451">
        <f t="shared" si="12"/>
        <v>0</v>
      </c>
      <c r="Z22" s="344">
        <f t="shared" si="13"/>
        <v>0</v>
      </c>
      <c r="AA22" s="344">
        <f t="shared" si="14"/>
        <v>0</v>
      </c>
      <c r="AB22" s="344">
        <f t="shared" si="15"/>
        <v>0</v>
      </c>
      <c r="AC22" s="848">
        <f t="shared" si="16"/>
        <v>0</v>
      </c>
      <c r="AD22" s="37">
        <f t="shared" si="17"/>
        <v>0</v>
      </c>
      <c r="AE22" s="38">
        <f>AD22/(1+'Major Assumption Key'!$B$8)^($F22-'Major Assumption Key'!$B$7)</f>
        <v>0</v>
      </c>
      <c r="AF22" s="288"/>
      <c r="AG22" s="774">
        <f t="shared" si="18"/>
        <v>0</v>
      </c>
      <c r="AH22" s="848">
        <f t="shared" si="19"/>
        <v>0</v>
      </c>
      <c r="AI22" s="37">
        <f t="shared" si="20"/>
        <v>0</v>
      </c>
      <c r="AJ22" s="38">
        <f t="shared" si="21"/>
        <v>0</v>
      </c>
    </row>
    <row r="23" spans="1:36">
      <c r="A23" s="882" t="s">
        <v>238</v>
      </c>
      <c r="B23" s="1998"/>
      <c r="C23" s="1999"/>
      <c r="D23" s="2000"/>
      <c r="E23" s="191"/>
      <c r="F23" s="190">
        <f>'Major Assumption Key'!A35</f>
        <v>2036</v>
      </c>
      <c r="G23" s="880">
        <f>IFERROR(_xlfn.XLOOKUP(F23,'VOTT Supporting - Auto'!A:A,'VOTT Supporting - Auto'!B:B,,0)*$B$25*$B$26,"N/A")</f>
        <v>0</v>
      </c>
      <c r="H23" s="880">
        <f>IFERROR(_xlfn.XLOOKUP(F23,'VOTT Supporting - Auto'!A:A,'VOTT Supporting - Auto'!B:B,,0)*$B$25*$B$27,"N/A")</f>
        <v>0</v>
      </c>
      <c r="I23" s="880">
        <f>_xlfn.XLOOKUP(F23,'VOTT Supporting - Transit TSP'!A:A,'VOTT Supporting - Transit TSP'!B:B,,0)</f>
        <v>0</v>
      </c>
      <c r="J23" s="880">
        <f>IFERROR($B$25*_xlfn.XLOOKUP(F23,'VOTT Supporting - Walking'!A:A,'VOTT Supporting - Walking'!B:B,,0),"N/A")</f>
        <v>0</v>
      </c>
      <c r="K23" s="880">
        <v>0</v>
      </c>
      <c r="L23" s="785">
        <f t="shared" si="5"/>
        <v>0</v>
      </c>
      <c r="M23" s="785">
        <f t="shared" si="6"/>
        <v>0</v>
      </c>
      <c r="N23" s="785">
        <f t="shared" si="7"/>
        <v>0</v>
      </c>
      <c r="O23" s="785">
        <f t="shared" si="8"/>
        <v>0</v>
      </c>
      <c r="P23" s="785">
        <f t="shared" si="9"/>
        <v>0</v>
      </c>
      <c r="Q23" s="784">
        <f t="shared" si="10"/>
        <v>0</v>
      </c>
      <c r="R23" s="880">
        <f>IFERROR(_xlfn.XLOOKUP(F23,'VOTT Supporting - Auto'!A:A,'VOTT Supporting - Auto'!C:C,,0)*$B$25*$B$26,"N/A")</f>
        <v>0</v>
      </c>
      <c r="S23" s="880">
        <f>IFERROR(_xlfn.XLOOKUP(F23,'VOTT Supporting - Auto'!A:A,'VOTT Supporting - Auto'!C:C,,0)*$B$25*$B$27,"N/A")</f>
        <v>0</v>
      </c>
      <c r="T23" s="880">
        <f>_xlfn.XLOOKUP(F23,'VOTT Supporting - Transit TSP'!A:A,'VOTT Supporting - Transit TSP'!C:C,,0)</f>
        <v>0</v>
      </c>
      <c r="U23" s="880">
        <f>_xlfn.XLOOKUP(F23,'VOTT Supporting - Transit TSP'!A:A,'VOTT Supporting - Transit TSP'!D:D,,0)</f>
        <v>0</v>
      </c>
      <c r="V23" s="880">
        <f>IFERROR($B$25*_xlfn.XLOOKUP(F23,'VOTT Supporting - Walking'!A:A,'VOTT Supporting - Walking'!C:C,,0),"N/A")</f>
        <v>0</v>
      </c>
      <c r="W23" s="880">
        <v>0</v>
      </c>
      <c r="X23" s="451">
        <f t="shared" si="11"/>
        <v>0</v>
      </c>
      <c r="Y23" s="451">
        <f t="shared" si="12"/>
        <v>0</v>
      </c>
      <c r="Z23" s="344">
        <f t="shared" si="13"/>
        <v>0</v>
      </c>
      <c r="AA23" s="344">
        <f t="shared" si="14"/>
        <v>0</v>
      </c>
      <c r="AB23" s="344">
        <f t="shared" si="15"/>
        <v>0</v>
      </c>
      <c r="AC23" s="848">
        <f t="shared" si="16"/>
        <v>0</v>
      </c>
      <c r="AD23" s="37">
        <f t="shared" si="17"/>
        <v>0</v>
      </c>
      <c r="AE23" s="38">
        <f>AD23/(1+'Major Assumption Key'!$B$8)^($F23-'Major Assumption Key'!$B$7)</f>
        <v>0</v>
      </c>
      <c r="AF23" s="288"/>
      <c r="AG23" s="774">
        <f t="shared" si="18"/>
        <v>0</v>
      </c>
      <c r="AH23" s="848">
        <f t="shared" si="19"/>
        <v>0</v>
      </c>
      <c r="AI23" s="37">
        <f t="shared" si="20"/>
        <v>0</v>
      </c>
      <c r="AJ23" s="38">
        <f t="shared" si="21"/>
        <v>0</v>
      </c>
    </row>
    <row r="24" spans="1:36">
      <c r="A24" s="881" t="s">
        <v>7041</v>
      </c>
      <c r="B24" s="615">
        <v>1</v>
      </c>
      <c r="C24" s="185" t="s">
        <v>211</v>
      </c>
      <c r="D24" s="557"/>
      <c r="E24" s="191"/>
      <c r="F24" s="190">
        <f>'Major Assumption Key'!A36</f>
        <v>2037</v>
      </c>
      <c r="G24" s="880">
        <f>IFERROR(_xlfn.XLOOKUP(F24,'VOTT Supporting - Auto'!A:A,'VOTT Supporting - Auto'!B:B,,0)*$B$25*$B$26,"N/A")</f>
        <v>0</v>
      </c>
      <c r="H24" s="880">
        <f>IFERROR(_xlfn.XLOOKUP(F24,'VOTT Supporting - Auto'!A:A,'VOTT Supporting - Auto'!B:B,,0)*$B$25*$B$27,"N/A")</f>
        <v>0</v>
      </c>
      <c r="I24" s="880">
        <f>_xlfn.XLOOKUP(F24,'VOTT Supporting - Transit TSP'!A:A,'VOTT Supporting - Transit TSP'!B:B,,0)</f>
        <v>0</v>
      </c>
      <c r="J24" s="880">
        <f>IFERROR($B$25*_xlfn.XLOOKUP(F24,'VOTT Supporting - Walking'!A:A,'VOTT Supporting - Walking'!B:B,,0),"N/A")</f>
        <v>0</v>
      </c>
      <c r="K24" s="880">
        <v>0</v>
      </c>
      <c r="L24" s="785">
        <f t="shared" si="5"/>
        <v>0</v>
      </c>
      <c r="M24" s="785">
        <f t="shared" si="6"/>
        <v>0</v>
      </c>
      <c r="N24" s="785">
        <f t="shared" si="7"/>
        <v>0</v>
      </c>
      <c r="O24" s="785">
        <f t="shared" si="8"/>
        <v>0</v>
      </c>
      <c r="P24" s="785">
        <f t="shared" si="9"/>
        <v>0</v>
      </c>
      <c r="Q24" s="784">
        <f t="shared" si="10"/>
        <v>0</v>
      </c>
      <c r="R24" s="880">
        <f>IFERROR(_xlfn.XLOOKUP(F24,'VOTT Supporting - Auto'!A:A,'VOTT Supporting - Auto'!C:C,,0)*$B$25*$B$26,"N/A")</f>
        <v>0</v>
      </c>
      <c r="S24" s="880">
        <f>IFERROR(_xlfn.XLOOKUP(F24,'VOTT Supporting - Auto'!A:A,'VOTT Supporting - Auto'!C:C,,0)*$B$25*$B$27,"N/A")</f>
        <v>0</v>
      </c>
      <c r="T24" s="880">
        <f>_xlfn.XLOOKUP(F24,'VOTT Supporting - Transit TSP'!A:A,'VOTT Supporting - Transit TSP'!C:C,,0)</f>
        <v>0</v>
      </c>
      <c r="U24" s="880">
        <f>_xlfn.XLOOKUP(F24,'VOTT Supporting - Transit TSP'!A:A,'VOTT Supporting - Transit TSP'!D:D,,0)</f>
        <v>0</v>
      </c>
      <c r="V24" s="880">
        <f>IFERROR($B$25*_xlfn.XLOOKUP(F24,'VOTT Supporting - Walking'!A:A,'VOTT Supporting - Walking'!C:C,,0),"N/A")</f>
        <v>0</v>
      </c>
      <c r="W24" s="880">
        <v>0</v>
      </c>
      <c r="X24" s="451">
        <f t="shared" si="11"/>
        <v>0</v>
      </c>
      <c r="Y24" s="451">
        <f t="shared" si="12"/>
        <v>0</v>
      </c>
      <c r="Z24" s="344">
        <f t="shared" si="13"/>
        <v>0</v>
      </c>
      <c r="AA24" s="344">
        <f t="shared" si="14"/>
        <v>0</v>
      </c>
      <c r="AB24" s="344">
        <f t="shared" si="15"/>
        <v>0</v>
      </c>
      <c r="AC24" s="848">
        <f t="shared" si="16"/>
        <v>0</v>
      </c>
      <c r="AD24" s="37">
        <f t="shared" si="17"/>
        <v>0</v>
      </c>
      <c r="AE24" s="38">
        <f>AD24/(1+'Major Assumption Key'!$B$8)^($F24-'Major Assumption Key'!$B$7)</f>
        <v>0</v>
      </c>
      <c r="AF24" s="288"/>
      <c r="AG24" s="774">
        <f t="shared" si="18"/>
        <v>0</v>
      </c>
      <c r="AH24" s="848">
        <f t="shared" si="19"/>
        <v>0</v>
      </c>
      <c r="AI24" s="37">
        <f t="shared" si="20"/>
        <v>0</v>
      </c>
      <c r="AJ24" s="38">
        <f t="shared" si="21"/>
        <v>0</v>
      </c>
    </row>
    <row r="25" spans="1:36">
      <c r="A25" s="558" t="s">
        <v>1131</v>
      </c>
      <c r="B25" s="551">
        <v>365</v>
      </c>
      <c r="C25" s="185" t="s">
        <v>638</v>
      </c>
      <c r="D25" s="554"/>
      <c r="E25" s="191"/>
      <c r="F25" s="190">
        <f>'Major Assumption Key'!A37</f>
        <v>2038</v>
      </c>
      <c r="G25" s="880">
        <f>IFERROR(_xlfn.XLOOKUP(F25,'VOTT Supporting - Auto'!A:A,'VOTT Supporting - Auto'!B:B,,0)*$B$25*$B$26,"N/A")</f>
        <v>0</v>
      </c>
      <c r="H25" s="880">
        <f>IFERROR(_xlfn.XLOOKUP(F25,'VOTT Supporting - Auto'!A:A,'VOTT Supporting - Auto'!B:B,,0)*$B$25*$B$27,"N/A")</f>
        <v>0</v>
      </c>
      <c r="I25" s="880">
        <f>_xlfn.XLOOKUP(F25,'VOTT Supporting - Transit TSP'!A:A,'VOTT Supporting - Transit TSP'!B:B,,0)</f>
        <v>0</v>
      </c>
      <c r="J25" s="880">
        <f>IFERROR($B$25*_xlfn.XLOOKUP(F25,'VOTT Supporting - Walking'!A:A,'VOTT Supporting - Walking'!B:B,,0),"N/A")</f>
        <v>0</v>
      </c>
      <c r="K25" s="880">
        <v>0</v>
      </c>
      <c r="L25" s="785">
        <f t="shared" si="5"/>
        <v>0</v>
      </c>
      <c r="M25" s="785">
        <f t="shared" si="6"/>
        <v>0</v>
      </c>
      <c r="N25" s="785">
        <f t="shared" si="7"/>
        <v>0</v>
      </c>
      <c r="O25" s="785">
        <f t="shared" si="8"/>
        <v>0</v>
      </c>
      <c r="P25" s="785">
        <f t="shared" si="9"/>
        <v>0</v>
      </c>
      <c r="Q25" s="784">
        <f t="shared" si="10"/>
        <v>0</v>
      </c>
      <c r="R25" s="880">
        <f>IFERROR(_xlfn.XLOOKUP(F25,'VOTT Supporting - Auto'!A:A,'VOTT Supporting - Auto'!C:C,,0)*$B$25*$B$26,"N/A")</f>
        <v>0</v>
      </c>
      <c r="S25" s="880">
        <f>IFERROR(_xlfn.XLOOKUP(F25,'VOTT Supporting - Auto'!A:A,'VOTT Supporting - Auto'!C:C,,0)*$B$25*$B$27,"N/A")</f>
        <v>0</v>
      </c>
      <c r="T25" s="880">
        <f>_xlfn.XLOOKUP(F25,'VOTT Supporting - Transit TSP'!A:A,'VOTT Supporting - Transit TSP'!C:C,,0)</f>
        <v>0</v>
      </c>
      <c r="U25" s="880">
        <f>_xlfn.XLOOKUP(F25,'VOTT Supporting - Transit TSP'!A:A,'VOTT Supporting - Transit TSP'!D:D,,0)</f>
        <v>0</v>
      </c>
      <c r="V25" s="880">
        <f>IFERROR($B$25*_xlfn.XLOOKUP(F25,'VOTT Supporting - Walking'!A:A,'VOTT Supporting - Walking'!C:C,,0),"N/A")</f>
        <v>0</v>
      </c>
      <c r="W25" s="880">
        <v>0</v>
      </c>
      <c r="X25" s="451">
        <f t="shared" si="11"/>
        <v>0</v>
      </c>
      <c r="Y25" s="451">
        <f t="shared" si="12"/>
        <v>0</v>
      </c>
      <c r="Z25" s="344">
        <f t="shared" si="13"/>
        <v>0</v>
      </c>
      <c r="AA25" s="344">
        <f t="shared" si="14"/>
        <v>0</v>
      </c>
      <c r="AB25" s="344">
        <f t="shared" si="15"/>
        <v>0</v>
      </c>
      <c r="AC25" s="848">
        <f t="shared" si="16"/>
        <v>0</v>
      </c>
      <c r="AD25" s="37">
        <f t="shared" si="17"/>
        <v>0</v>
      </c>
      <c r="AE25" s="38">
        <f>AD25/(1+'Major Assumption Key'!$B$8)^($F25-'Major Assumption Key'!$B$7)</f>
        <v>0</v>
      </c>
      <c r="AF25" s="288"/>
      <c r="AG25" s="774">
        <f t="shared" si="18"/>
        <v>0</v>
      </c>
      <c r="AH25" s="848">
        <f t="shared" si="19"/>
        <v>0</v>
      </c>
      <c r="AI25" s="37">
        <f t="shared" si="20"/>
        <v>0</v>
      </c>
      <c r="AJ25" s="38">
        <f t="shared" si="21"/>
        <v>0</v>
      </c>
    </row>
    <row r="26" spans="1:36">
      <c r="A26" s="558" t="s">
        <v>7042</v>
      </c>
      <c r="B26" s="883">
        <f>1-B27</f>
        <v>0.96853086153369172</v>
      </c>
      <c r="C26" s="185" t="s">
        <v>7043</v>
      </c>
      <c r="D26" s="554"/>
      <c r="E26" s="191"/>
      <c r="F26" s="190">
        <f>'Major Assumption Key'!A38</f>
        <v>2039</v>
      </c>
      <c r="G26" s="880">
        <f>IFERROR(_xlfn.XLOOKUP(F26,'VOTT Supporting - Auto'!A:A,'VOTT Supporting - Auto'!B:B,,0)*$B$25*$B$26,"N/A")</f>
        <v>0</v>
      </c>
      <c r="H26" s="880">
        <f>IFERROR(_xlfn.XLOOKUP(F26,'VOTT Supporting - Auto'!A:A,'VOTT Supporting - Auto'!B:B,,0)*$B$25*$B$27,"N/A")</f>
        <v>0</v>
      </c>
      <c r="I26" s="880">
        <f>_xlfn.XLOOKUP(F26,'VOTT Supporting - Transit TSP'!A:A,'VOTT Supporting - Transit TSP'!B:B,,0)</f>
        <v>0</v>
      </c>
      <c r="J26" s="880">
        <f>IFERROR($B$25*_xlfn.XLOOKUP(F26,'VOTT Supporting - Walking'!A:A,'VOTT Supporting - Walking'!B:B,,0),"N/A")</f>
        <v>0</v>
      </c>
      <c r="K26" s="880">
        <v>0</v>
      </c>
      <c r="L26" s="785">
        <f t="shared" si="5"/>
        <v>0</v>
      </c>
      <c r="M26" s="785">
        <f t="shared" si="6"/>
        <v>0</v>
      </c>
      <c r="N26" s="785">
        <f t="shared" si="7"/>
        <v>0</v>
      </c>
      <c r="O26" s="785">
        <f t="shared" si="8"/>
        <v>0</v>
      </c>
      <c r="P26" s="785">
        <f t="shared" si="9"/>
        <v>0</v>
      </c>
      <c r="Q26" s="784">
        <f t="shared" si="10"/>
        <v>0</v>
      </c>
      <c r="R26" s="880">
        <f>IFERROR(_xlfn.XLOOKUP(F26,'VOTT Supporting - Auto'!A:A,'VOTT Supporting - Auto'!C:C,,0)*$B$25*$B$26,"N/A")</f>
        <v>0</v>
      </c>
      <c r="S26" s="880">
        <f>IFERROR(_xlfn.XLOOKUP(F26,'VOTT Supporting - Auto'!A:A,'VOTT Supporting - Auto'!C:C,,0)*$B$25*$B$27,"N/A")</f>
        <v>0</v>
      </c>
      <c r="T26" s="880">
        <f>_xlfn.XLOOKUP(F26,'VOTT Supporting - Transit TSP'!A:A,'VOTT Supporting - Transit TSP'!C:C,,0)</f>
        <v>0</v>
      </c>
      <c r="U26" s="880">
        <f>_xlfn.XLOOKUP(F26,'VOTT Supporting - Transit TSP'!A:A,'VOTT Supporting - Transit TSP'!D:D,,0)</f>
        <v>0</v>
      </c>
      <c r="V26" s="880">
        <f>IFERROR($B$25*_xlfn.XLOOKUP(F26,'VOTT Supporting - Walking'!A:A,'VOTT Supporting - Walking'!C:C,,0),"N/A")</f>
        <v>0</v>
      </c>
      <c r="W26" s="880">
        <v>0</v>
      </c>
      <c r="X26" s="451">
        <f t="shared" si="11"/>
        <v>0</v>
      </c>
      <c r="Y26" s="451">
        <f t="shared" si="12"/>
        <v>0</v>
      </c>
      <c r="Z26" s="344">
        <f t="shared" si="13"/>
        <v>0</v>
      </c>
      <c r="AA26" s="344">
        <f t="shared" si="14"/>
        <v>0</v>
      </c>
      <c r="AB26" s="344">
        <f t="shared" si="15"/>
        <v>0</v>
      </c>
      <c r="AC26" s="848">
        <f t="shared" si="16"/>
        <v>0</v>
      </c>
      <c r="AD26" s="37">
        <f t="shared" si="17"/>
        <v>0</v>
      </c>
      <c r="AE26" s="38">
        <f>AD26/(1+'Major Assumption Key'!$B$8)^($F26-'Major Assumption Key'!$B$7)</f>
        <v>0</v>
      </c>
      <c r="AF26" s="288"/>
      <c r="AG26" s="774">
        <f t="shared" si="18"/>
        <v>0</v>
      </c>
      <c r="AH26" s="848">
        <f t="shared" si="19"/>
        <v>0</v>
      </c>
      <c r="AI26" s="37">
        <f t="shared" si="20"/>
        <v>0</v>
      </c>
      <c r="AJ26" s="38">
        <f t="shared" si="21"/>
        <v>0</v>
      </c>
    </row>
    <row r="27" spans="1:36" ht="15" thickBot="1">
      <c r="A27" s="559" t="s">
        <v>7044</v>
      </c>
      <c r="B27" s="780">
        <f>'Major Assumption Key'!B11</f>
        <v>3.1469138466308312E-2</v>
      </c>
      <c r="C27" s="560" t="s">
        <v>7043</v>
      </c>
      <c r="D27" s="561"/>
      <c r="E27" s="191"/>
      <c r="F27" s="190">
        <f>'Major Assumption Key'!A39</f>
        <v>2040</v>
      </c>
      <c r="G27" s="880">
        <f>IFERROR(_xlfn.XLOOKUP(F27,'VOTT Supporting - Auto'!A:A,'VOTT Supporting - Auto'!B:B,,0)*$B$25*$B$26,"N/A")</f>
        <v>0</v>
      </c>
      <c r="H27" s="880">
        <f>IFERROR(_xlfn.XLOOKUP(F27,'VOTT Supporting - Auto'!A:A,'VOTT Supporting - Auto'!B:B,,0)*$B$25*$B$27,"N/A")</f>
        <v>0</v>
      </c>
      <c r="I27" s="880">
        <f>_xlfn.XLOOKUP(F27,'VOTT Supporting - Transit TSP'!A:A,'VOTT Supporting - Transit TSP'!B:B,,0)</f>
        <v>0</v>
      </c>
      <c r="J27" s="880">
        <f>IFERROR($B$25*_xlfn.XLOOKUP(F27,'VOTT Supporting - Walking'!A:A,'VOTT Supporting - Walking'!B:B,,0),"N/A")</f>
        <v>0</v>
      </c>
      <c r="K27" s="880">
        <v>0</v>
      </c>
      <c r="L27" s="785">
        <f t="shared" si="5"/>
        <v>0</v>
      </c>
      <c r="M27" s="785">
        <f t="shared" si="6"/>
        <v>0</v>
      </c>
      <c r="N27" s="785">
        <f t="shared" si="7"/>
        <v>0</v>
      </c>
      <c r="O27" s="785">
        <f t="shared" si="8"/>
        <v>0</v>
      </c>
      <c r="P27" s="785">
        <f t="shared" si="9"/>
        <v>0</v>
      </c>
      <c r="Q27" s="784">
        <f t="shared" si="10"/>
        <v>0</v>
      </c>
      <c r="R27" s="880">
        <f>IFERROR(_xlfn.XLOOKUP(F27,'VOTT Supporting - Auto'!A:A,'VOTT Supporting - Auto'!C:C,,0)*$B$25*$B$26,"N/A")</f>
        <v>0</v>
      </c>
      <c r="S27" s="880">
        <f>IFERROR(_xlfn.XLOOKUP(F27,'VOTT Supporting - Auto'!A:A,'VOTT Supporting - Auto'!C:C,,0)*$B$25*$B$27,"N/A")</f>
        <v>0</v>
      </c>
      <c r="T27" s="880">
        <f>_xlfn.XLOOKUP(F27,'VOTT Supporting - Transit TSP'!A:A,'VOTT Supporting - Transit TSP'!C:C,,0)</f>
        <v>0</v>
      </c>
      <c r="U27" s="880">
        <f>_xlfn.XLOOKUP(F27,'VOTT Supporting - Transit TSP'!A:A,'VOTT Supporting - Transit TSP'!D:D,,0)</f>
        <v>0</v>
      </c>
      <c r="V27" s="880">
        <f>IFERROR($B$25*_xlfn.XLOOKUP(F27,'VOTT Supporting - Walking'!A:A,'VOTT Supporting - Walking'!C:C,,0),"N/A")</f>
        <v>0</v>
      </c>
      <c r="W27" s="880">
        <v>0</v>
      </c>
      <c r="X27" s="451">
        <f t="shared" si="11"/>
        <v>0</v>
      </c>
      <c r="Y27" s="451">
        <f t="shared" si="12"/>
        <v>0</v>
      </c>
      <c r="Z27" s="344">
        <f t="shared" si="13"/>
        <v>0</v>
      </c>
      <c r="AA27" s="344">
        <f t="shared" si="14"/>
        <v>0</v>
      </c>
      <c r="AB27" s="344">
        <f t="shared" si="15"/>
        <v>0</v>
      </c>
      <c r="AC27" s="848">
        <f t="shared" si="16"/>
        <v>0</v>
      </c>
      <c r="AD27" s="37">
        <f t="shared" si="17"/>
        <v>0</v>
      </c>
      <c r="AE27" s="38">
        <f>AD27/(1+'Major Assumption Key'!$B$8)^($F27-'Major Assumption Key'!$B$7)</f>
        <v>0</v>
      </c>
      <c r="AF27" s="288"/>
      <c r="AG27" s="774">
        <f t="shared" si="18"/>
        <v>0</v>
      </c>
      <c r="AH27" s="848">
        <f t="shared" si="19"/>
        <v>0</v>
      </c>
      <c r="AI27" s="37">
        <f t="shared" si="20"/>
        <v>0</v>
      </c>
      <c r="AJ27" s="38">
        <f t="shared" si="21"/>
        <v>0</v>
      </c>
    </row>
    <row r="28" spans="1:36">
      <c r="E28" s="191"/>
      <c r="F28" s="190">
        <f>'Major Assumption Key'!A40</f>
        <v>2041</v>
      </c>
      <c r="G28" s="880">
        <f>IFERROR(_xlfn.XLOOKUP(F28,'VOTT Supporting - Auto'!A:A,'VOTT Supporting - Auto'!B:B,,0)*$B$25*$B$26,"N/A")</f>
        <v>0</v>
      </c>
      <c r="H28" s="880">
        <f>IFERROR(_xlfn.XLOOKUP(F28,'VOTT Supporting - Auto'!A:A,'VOTT Supporting - Auto'!B:B,,0)*$B$25*$B$27,"N/A")</f>
        <v>0</v>
      </c>
      <c r="I28" s="880">
        <f>_xlfn.XLOOKUP(F28,'VOTT Supporting - Transit TSP'!A:A,'VOTT Supporting - Transit TSP'!B:B,,0)</f>
        <v>0</v>
      </c>
      <c r="J28" s="880">
        <f>IFERROR($B$25*_xlfn.XLOOKUP(F28,'VOTT Supporting - Walking'!A:A,'VOTT Supporting - Walking'!B:B,,0),"N/A")</f>
        <v>0</v>
      </c>
      <c r="K28" s="880">
        <v>0</v>
      </c>
      <c r="L28" s="785">
        <f t="shared" si="5"/>
        <v>0</v>
      </c>
      <c r="M28" s="785">
        <f t="shared" si="6"/>
        <v>0</v>
      </c>
      <c r="N28" s="785">
        <f t="shared" si="7"/>
        <v>0</v>
      </c>
      <c r="O28" s="785">
        <f t="shared" si="8"/>
        <v>0</v>
      </c>
      <c r="P28" s="785">
        <f t="shared" si="9"/>
        <v>0</v>
      </c>
      <c r="Q28" s="784">
        <f t="shared" si="10"/>
        <v>0</v>
      </c>
      <c r="R28" s="880">
        <f>IFERROR(_xlfn.XLOOKUP(F28,'VOTT Supporting - Auto'!A:A,'VOTT Supporting - Auto'!C:C,,0)*$B$25*$B$26,"N/A")</f>
        <v>0</v>
      </c>
      <c r="S28" s="880">
        <f>IFERROR(_xlfn.XLOOKUP(F28,'VOTT Supporting - Auto'!A:A,'VOTT Supporting - Auto'!C:C,,0)*$B$25*$B$27,"N/A")</f>
        <v>0</v>
      </c>
      <c r="T28" s="880">
        <f>_xlfn.XLOOKUP(F28,'VOTT Supporting - Transit TSP'!A:A,'VOTT Supporting - Transit TSP'!C:C,,0)</f>
        <v>0</v>
      </c>
      <c r="U28" s="880">
        <f>_xlfn.XLOOKUP(F28,'VOTT Supporting - Transit TSP'!A:A,'VOTT Supporting - Transit TSP'!D:D,,0)</f>
        <v>0</v>
      </c>
      <c r="V28" s="880">
        <f>IFERROR($B$25*_xlfn.XLOOKUP(F28,'VOTT Supporting - Walking'!A:A,'VOTT Supporting - Walking'!C:C,,0),"N/A")</f>
        <v>0</v>
      </c>
      <c r="W28" s="880">
        <v>0</v>
      </c>
      <c r="X28" s="451">
        <f t="shared" si="11"/>
        <v>0</v>
      </c>
      <c r="Y28" s="451">
        <f t="shared" si="12"/>
        <v>0</v>
      </c>
      <c r="Z28" s="344">
        <f t="shared" si="13"/>
        <v>0</v>
      </c>
      <c r="AA28" s="344">
        <f t="shared" si="14"/>
        <v>0</v>
      </c>
      <c r="AB28" s="344">
        <f t="shared" si="15"/>
        <v>0</v>
      </c>
      <c r="AC28" s="848">
        <f t="shared" si="16"/>
        <v>0</v>
      </c>
      <c r="AD28" s="37">
        <f t="shared" si="17"/>
        <v>0</v>
      </c>
      <c r="AE28" s="38">
        <f>AD28/(1+'Major Assumption Key'!$B$8)^($F28-'Major Assumption Key'!$B$7)</f>
        <v>0</v>
      </c>
      <c r="AF28" s="288"/>
      <c r="AG28" s="774">
        <f t="shared" si="18"/>
        <v>0</v>
      </c>
      <c r="AH28" s="848">
        <f t="shared" si="19"/>
        <v>0</v>
      </c>
      <c r="AI28" s="37">
        <f t="shared" si="20"/>
        <v>0</v>
      </c>
      <c r="AJ28" s="38">
        <f t="shared" si="21"/>
        <v>0</v>
      </c>
    </row>
    <row r="29" spans="1:36">
      <c r="C29" s="191"/>
      <c r="D29" s="191"/>
      <c r="E29" s="191"/>
      <c r="F29" s="190">
        <f>'Major Assumption Key'!A41</f>
        <v>2042</v>
      </c>
      <c r="G29" s="880">
        <f>IFERROR(_xlfn.XLOOKUP(F29,'VOTT Supporting - Auto'!A:A,'VOTT Supporting - Auto'!B:B,,0)*$B$25*$B$26,"N/A")</f>
        <v>0</v>
      </c>
      <c r="H29" s="880">
        <f>IFERROR(_xlfn.XLOOKUP(F29,'VOTT Supporting - Auto'!A:A,'VOTT Supporting - Auto'!B:B,,0)*$B$25*$B$27,"N/A")</f>
        <v>0</v>
      </c>
      <c r="I29" s="880">
        <f>_xlfn.XLOOKUP(F29,'VOTT Supporting - Transit TSP'!A:A,'VOTT Supporting - Transit TSP'!B:B,,0)</f>
        <v>0</v>
      </c>
      <c r="J29" s="880">
        <f>IFERROR($B$25*_xlfn.XLOOKUP(F29,'VOTT Supporting - Walking'!A:A,'VOTT Supporting - Walking'!B:B,,0),"N/A")</f>
        <v>0</v>
      </c>
      <c r="K29" s="880">
        <v>0</v>
      </c>
      <c r="L29" s="785">
        <f t="shared" si="5"/>
        <v>0</v>
      </c>
      <c r="M29" s="785">
        <f t="shared" si="6"/>
        <v>0</v>
      </c>
      <c r="N29" s="785">
        <f t="shared" si="7"/>
        <v>0</v>
      </c>
      <c r="O29" s="785">
        <f t="shared" si="8"/>
        <v>0</v>
      </c>
      <c r="P29" s="785">
        <f t="shared" si="9"/>
        <v>0</v>
      </c>
      <c r="Q29" s="784">
        <f t="shared" si="10"/>
        <v>0</v>
      </c>
      <c r="R29" s="880">
        <f>IFERROR(_xlfn.XLOOKUP(F29,'VOTT Supporting - Auto'!A:A,'VOTT Supporting - Auto'!C:C,,0)*$B$25*$B$26,"N/A")</f>
        <v>0</v>
      </c>
      <c r="S29" s="880">
        <f>IFERROR(_xlfn.XLOOKUP(F29,'VOTT Supporting - Auto'!A:A,'VOTT Supporting - Auto'!C:C,,0)*$B$25*$B$27,"N/A")</f>
        <v>0</v>
      </c>
      <c r="T29" s="880">
        <f>_xlfn.XLOOKUP(F29,'VOTT Supporting - Transit TSP'!A:A,'VOTT Supporting - Transit TSP'!C:C,,0)</f>
        <v>0</v>
      </c>
      <c r="U29" s="880">
        <f>_xlfn.XLOOKUP(F29,'VOTT Supporting - Transit TSP'!A:A,'VOTT Supporting - Transit TSP'!D:D,,0)</f>
        <v>0</v>
      </c>
      <c r="V29" s="880">
        <f>IFERROR($B$25*_xlfn.XLOOKUP(F29,'VOTT Supporting - Walking'!A:A,'VOTT Supporting - Walking'!C:C,,0),"N/A")</f>
        <v>0</v>
      </c>
      <c r="W29" s="880">
        <v>0</v>
      </c>
      <c r="X29" s="451">
        <f t="shared" si="11"/>
        <v>0</v>
      </c>
      <c r="Y29" s="451">
        <f t="shared" si="12"/>
        <v>0</v>
      </c>
      <c r="Z29" s="344">
        <f t="shared" si="13"/>
        <v>0</v>
      </c>
      <c r="AA29" s="344">
        <f t="shared" si="14"/>
        <v>0</v>
      </c>
      <c r="AB29" s="344">
        <f t="shared" si="15"/>
        <v>0</v>
      </c>
      <c r="AC29" s="848">
        <f t="shared" si="16"/>
        <v>0</v>
      </c>
      <c r="AD29" s="37">
        <f t="shared" si="17"/>
        <v>0</v>
      </c>
      <c r="AE29" s="38">
        <f>AD29/(1+'Major Assumption Key'!$B$8)^($F29-'Major Assumption Key'!$B$7)</f>
        <v>0</v>
      </c>
      <c r="AF29" s="288"/>
      <c r="AG29" s="774">
        <f t="shared" si="18"/>
        <v>0</v>
      </c>
      <c r="AH29" s="848">
        <f t="shared" si="19"/>
        <v>0</v>
      </c>
      <c r="AI29" s="37">
        <f t="shared" si="20"/>
        <v>0</v>
      </c>
      <c r="AJ29" s="38">
        <f t="shared" si="21"/>
        <v>0</v>
      </c>
    </row>
    <row r="30" spans="1:36">
      <c r="C30" s="191"/>
      <c r="D30" s="191"/>
      <c r="E30" s="191"/>
      <c r="F30" s="190">
        <f>'Major Assumption Key'!A42</f>
        <v>2043</v>
      </c>
      <c r="G30" s="880">
        <f>IFERROR(_xlfn.XLOOKUP(F30,'VOTT Supporting - Auto'!A:A,'VOTT Supporting - Auto'!B:B,,0)*$B$25*$B$26,"N/A")</f>
        <v>0</v>
      </c>
      <c r="H30" s="880">
        <f>IFERROR(_xlfn.XLOOKUP(F30,'VOTT Supporting - Auto'!A:A,'VOTT Supporting - Auto'!B:B,,0)*$B$25*$B$27,"N/A")</f>
        <v>0</v>
      </c>
      <c r="I30" s="880">
        <f>_xlfn.XLOOKUP(F30,'VOTT Supporting - Transit TSP'!A:A,'VOTT Supporting - Transit TSP'!B:B,,0)</f>
        <v>0</v>
      </c>
      <c r="J30" s="880">
        <f>IFERROR($B$25*_xlfn.XLOOKUP(F30,'VOTT Supporting - Walking'!A:A,'VOTT Supporting - Walking'!B:B,,0),"N/A")</f>
        <v>0</v>
      </c>
      <c r="K30" s="880">
        <v>0</v>
      </c>
      <c r="L30" s="785">
        <f t="shared" si="5"/>
        <v>0</v>
      </c>
      <c r="M30" s="785">
        <f t="shared" si="6"/>
        <v>0</v>
      </c>
      <c r="N30" s="785">
        <f t="shared" si="7"/>
        <v>0</v>
      </c>
      <c r="O30" s="785">
        <f t="shared" si="8"/>
        <v>0</v>
      </c>
      <c r="P30" s="785">
        <f t="shared" si="9"/>
        <v>0</v>
      </c>
      <c r="Q30" s="784">
        <f t="shared" si="10"/>
        <v>0</v>
      </c>
      <c r="R30" s="880">
        <f>IFERROR(_xlfn.XLOOKUP(F30,'VOTT Supporting - Auto'!A:A,'VOTT Supporting - Auto'!C:C,,0)*$B$25*$B$26,"N/A")</f>
        <v>0</v>
      </c>
      <c r="S30" s="880">
        <f>IFERROR(_xlfn.XLOOKUP(F30,'VOTT Supporting - Auto'!A:A,'VOTT Supporting - Auto'!C:C,,0)*$B$25*$B$27,"N/A")</f>
        <v>0</v>
      </c>
      <c r="T30" s="880">
        <f>_xlfn.XLOOKUP(F30,'VOTT Supporting - Transit TSP'!A:A,'VOTT Supporting - Transit TSP'!C:C,,0)</f>
        <v>0</v>
      </c>
      <c r="U30" s="880">
        <f>_xlfn.XLOOKUP(F30,'VOTT Supporting - Transit TSP'!A:A,'VOTT Supporting - Transit TSP'!D:D,,0)</f>
        <v>0</v>
      </c>
      <c r="V30" s="880">
        <f>IFERROR($B$25*_xlfn.XLOOKUP(F30,'VOTT Supporting - Walking'!A:A,'VOTT Supporting - Walking'!C:C,,0),"N/A")</f>
        <v>0</v>
      </c>
      <c r="W30" s="880">
        <v>0</v>
      </c>
      <c r="X30" s="451">
        <f t="shared" si="11"/>
        <v>0</v>
      </c>
      <c r="Y30" s="451">
        <f t="shared" si="12"/>
        <v>0</v>
      </c>
      <c r="Z30" s="344">
        <f t="shared" si="13"/>
        <v>0</v>
      </c>
      <c r="AA30" s="344">
        <f t="shared" si="14"/>
        <v>0</v>
      </c>
      <c r="AB30" s="344">
        <f t="shared" si="15"/>
        <v>0</v>
      </c>
      <c r="AC30" s="848">
        <f t="shared" si="16"/>
        <v>0</v>
      </c>
      <c r="AD30" s="37">
        <f t="shared" si="17"/>
        <v>0</v>
      </c>
      <c r="AE30" s="38">
        <f>AD30/(1+'Major Assumption Key'!$B$8)^($F30-'Major Assumption Key'!$B$7)</f>
        <v>0</v>
      </c>
      <c r="AF30" s="288"/>
      <c r="AG30" s="774">
        <f t="shared" si="18"/>
        <v>0</v>
      </c>
      <c r="AH30" s="848">
        <f t="shared" si="19"/>
        <v>0</v>
      </c>
      <c r="AI30" s="37">
        <f t="shared" si="20"/>
        <v>0</v>
      </c>
      <c r="AJ30" s="38">
        <f t="shared" si="21"/>
        <v>0</v>
      </c>
    </row>
    <row r="31" spans="1:36">
      <c r="C31" s="191"/>
      <c r="D31" s="191"/>
      <c r="F31" s="190">
        <f>'Major Assumption Key'!A43</f>
        <v>2044</v>
      </c>
      <c r="G31" s="880">
        <f>IFERROR(_xlfn.XLOOKUP(F31,'VOTT Supporting - Auto'!A:A,'VOTT Supporting - Auto'!B:B,,0)*$B$25*$B$26,"N/A")</f>
        <v>0</v>
      </c>
      <c r="H31" s="880">
        <f>IFERROR(_xlfn.XLOOKUP(F31,'VOTT Supporting - Auto'!A:A,'VOTT Supporting - Auto'!B:B,,0)*$B$25*$B$27,"N/A")</f>
        <v>0</v>
      </c>
      <c r="I31" s="880">
        <f>_xlfn.XLOOKUP(F31,'VOTT Supporting - Transit TSP'!A:A,'VOTT Supporting - Transit TSP'!B:B,,0)</f>
        <v>0</v>
      </c>
      <c r="J31" s="880">
        <f>IFERROR($B$25*_xlfn.XLOOKUP(F31,'VOTT Supporting - Walking'!A:A,'VOTT Supporting - Walking'!B:B,,0),"N/A")</f>
        <v>0</v>
      </c>
      <c r="K31" s="880">
        <v>0</v>
      </c>
      <c r="L31" s="785">
        <f t="shared" si="5"/>
        <v>0</v>
      </c>
      <c r="M31" s="785">
        <f t="shared" si="6"/>
        <v>0</v>
      </c>
      <c r="N31" s="785">
        <f t="shared" si="7"/>
        <v>0</v>
      </c>
      <c r="O31" s="785">
        <f t="shared" si="8"/>
        <v>0</v>
      </c>
      <c r="P31" s="785">
        <f t="shared" si="9"/>
        <v>0</v>
      </c>
      <c r="Q31" s="784">
        <f t="shared" si="10"/>
        <v>0</v>
      </c>
      <c r="R31" s="880">
        <f>IFERROR(_xlfn.XLOOKUP(F31,'VOTT Supporting - Auto'!A:A,'VOTT Supporting - Auto'!C:C,,0)*$B$25*$B$26,"N/A")</f>
        <v>0</v>
      </c>
      <c r="S31" s="880">
        <f>IFERROR(_xlfn.XLOOKUP(F31,'VOTT Supporting - Auto'!A:A,'VOTT Supporting - Auto'!C:C,,0)*$B$25*$B$27,"N/A")</f>
        <v>0</v>
      </c>
      <c r="T31" s="880">
        <f>_xlfn.XLOOKUP(F31,'VOTT Supporting - Transit TSP'!A:A,'VOTT Supporting - Transit TSP'!C:C,,0)</f>
        <v>0</v>
      </c>
      <c r="U31" s="880">
        <f>_xlfn.XLOOKUP(F31,'VOTT Supporting - Transit TSP'!A:A,'VOTT Supporting - Transit TSP'!D:D,,0)</f>
        <v>0</v>
      </c>
      <c r="V31" s="880">
        <f>IFERROR($B$25*_xlfn.XLOOKUP(F31,'VOTT Supporting - Walking'!A:A,'VOTT Supporting - Walking'!C:C,,0),"N/A")</f>
        <v>0</v>
      </c>
      <c r="W31" s="880">
        <v>0</v>
      </c>
      <c r="X31" s="451">
        <f t="shared" si="11"/>
        <v>0</v>
      </c>
      <c r="Y31" s="451">
        <f t="shared" si="12"/>
        <v>0</v>
      </c>
      <c r="Z31" s="344">
        <f t="shared" si="13"/>
        <v>0</v>
      </c>
      <c r="AA31" s="344">
        <f t="shared" si="14"/>
        <v>0</v>
      </c>
      <c r="AB31" s="344">
        <f t="shared" si="15"/>
        <v>0</v>
      </c>
      <c r="AC31" s="848">
        <f t="shared" si="16"/>
        <v>0</v>
      </c>
      <c r="AD31" s="37">
        <f t="shared" si="17"/>
        <v>0</v>
      </c>
      <c r="AE31" s="38">
        <f>AD31/(1+'Major Assumption Key'!$B$8)^($F31-'Major Assumption Key'!$B$7)</f>
        <v>0</v>
      </c>
      <c r="AF31" s="288"/>
      <c r="AG31" s="774">
        <f t="shared" si="18"/>
        <v>0</v>
      </c>
      <c r="AH31" s="848">
        <f t="shared" si="19"/>
        <v>0</v>
      </c>
      <c r="AI31" s="37">
        <f t="shared" si="20"/>
        <v>0</v>
      </c>
      <c r="AJ31" s="38">
        <f t="shared" si="21"/>
        <v>0</v>
      </c>
    </row>
    <row r="32" spans="1:36">
      <c r="C32" s="191"/>
      <c r="D32" s="191"/>
      <c r="F32" s="190">
        <f>'Major Assumption Key'!A44</f>
        <v>2045</v>
      </c>
      <c r="G32" s="880">
        <f>IFERROR(_xlfn.XLOOKUP(F32,'VOTT Supporting - Auto'!A:A,'VOTT Supporting - Auto'!B:B,,0)*$B$25*$B$26,"N/A")</f>
        <v>0</v>
      </c>
      <c r="H32" s="880">
        <f>IFERROR(_xlfn.XLOOKUP(F32,'VOTT Supporting - Auto'!A:A,'VOTT Supporting - Auto'!B:B,,0)*$B$25*$B$27,"N/A")</f>
        <v>0</v>
      </c>
      <c r="I32" s="880">
        <f>_xlfn.XLOOKUP(F32,'VOTT Supporting - Transit TSP'!A:A,'VOTT Supporting - Transit TSP'!B:B,,0)</f>
        <v>0</v>
      </c>
      <c r="J32" s="880">
        <f>IFERROR($B$25*_xlfn.XLOOKUP(F32,'VOTT Supporting - Walking'!A:A,'VOTT Supporting - Walking'!B:B,,0),"N/A")</f>
        <v>0</v>
      </c>
      <c r="K32" s="880">
        <v>0</v>
      </c>
      <c r="L32" s="785">
        <f t="shared" si="5"/>
        <v>0</v>
      </c>
      <c r="M32" s="785">
        <f t="shared" si="6"/>
        <v>0</v>
      </c>
      <c r="N32" s="785">
        <f t="shared" si="7"/>
        <v>0</v>
      </c>
      <c r="O32" s="785">
        <f t="shared" si="8"/>
        <v>0</v>
      </c>
      <c r="P32" s="785">
        <f t="shared" si="9"/>
        <v>0</v>
      </c>
      <c r="Q32" s="784">
        <f t="shared" si="10"/>
        <v>0</v>
      </c>
      <c r="R32" s="880">
        <f>IFERROR(_xlfn.XLOOKUP(F32,'VOTT Supporting - Auto'!A:A,'VOTT Supporting - Auto'!C:C,,0)*$B$25*$B$26,"N/A")</f>
        <v>0</v>
      </c>
      <c r="S32" s="880">
        <f>IFERROR(_xlfn.XLOOKUP(F32,'VOTT Supporting - Auto'!A:A,'VOTT Supporting - Auto'!C:C,,0)*$B$25*$B$27,"N/A")</f>
        <v>0</v>
      </c>
      <c r="T32" s="880">
        <f>_xlfn.XLOOKUP(F32,'VOTT Supporting - Transit TSP'!A:A,'VOTT Supporting - Transit TSP'!C:C,,0)</f>
        <v>0</v>
      </c>
      <c r="U32" s="880">
        <f>_xlfn.XLOOKUP(F32,'VOTT Supporting - Transit TSP'!A:A,'VOTT Supporting - Transit TSP'!D:D,,0)</f>
        <v>0</v>
      </c>
      <c r="V32" s="880">
        <f>IFERROR($B$25*_xlfn.XLOOKUP(F32,'VOTT Supporting - Walking'!A:A,'VOTT Supporting - Walking'!C:C,,0),"N/A")</f>
        <v>0</v>
      </c>
      <c r="W32" s="880">
        <v>0</v>
      </c>
      <c r="X32" s="451">
        <f t="shared" si="11"/>
        <v>0</v>
      </c>
      <c r="Y32" s="451">
        <f t="shared" si="12"/>
        <v>0</v>
      </c>
      <c r="Z32" s="344">
        <f t="shared" si="13"/>
        <v>0</v>
      </c>
      <c r="AA32" s="344">
        <f t="shared" si="14"/>
        <v>0</v>
      </c>
      <c r="AB32" s="344">
        <f t="shared" si="15"/>
        <v>0</v>
      </c>
      <c r="AC32" s="848">
        <f t="shared" si="16"/>
        <v>0</v>
      </c>
      <c r="AD32" s="37">
        <f t="shared" si="17"/>
        <v>0</v>
      </c>
      <c r="AE32" s="38">
        <f>AD32/(1+'Major Assumption Key'!$B$8)^($F32-'Major Assumption Key'!$B$7)</f>
        <v>0</v>
      </c>
      <c r="AF32" s="288"/>
      <c r="AG32" s="774">
        <f t="shared" si="18"/>
        <v>0</v>
      </c>
      <c r="AH32" s="848">
        <f t="shared" si="19"/>
        <v>0</v>
      </c>
      <c r="AI32" s="37">
        <f t="shared" si="20"/>
        <v>0</v>
      </c>
      <c r="AJ32" s="38">
        <f t="shared" si="21"/>
        <v>0</v>
      </c>
    </row>
    <row r="33" spans="6:36">
      <c r="F33" s="190">
        <f>'Major Assumption Key'!A45</f>
        <v>2046</v>
      </c>
      <c r="G33" s="880">
        <f>IFERROR(_xlfn.XLOOKUP(F33,'VOTT Supporting - Auto'!A:A,'VOTT Supporting - Auto'!B:B,,0)*$B$25*$B$26,"N/A")</f>
        <v>0</v>
      </c>
      <c r="H33" s="880">
        <f>IFERROR(_xlfn.XLOOKUP(F33,'VOTT Supporting - Auto'!A:A,'VOTT Supporting - Auto'!B:B,,0)*$B$25*$B$27,"N/A")</f>
        <v>0</v>
      </c>
      <c r="I33" s="880">
        <f>_xlfn.XLOOKUP(F33,'VOTT Supporting - Transit TSP'!A:A,'VOTT Supporting - Transit TSP'!B:B,,0)</f>
        <v>0</v>
      </c>
      <c r="J33" s="880">
        <f>IFERROR($B$25*_xlfn.XLOOKUP(F33,'VOTT Supporting - Walking'!A:A,'VOTT Supporting - Walking'!B:B,,0),"N/A")</f>
        <v>0</v>
      </c>
      <c r="K33" s="880">
        <v>0</v>
      </c>
      <c r="L33" s="785">
        <f t="shared" si="5"/>
        <v>0</v>
      </c>
      <c r="M33" s="785">
        <f t="shared" si="6"/>
        <v>0</v>
      </c>
      <c r="N33" s="785">
        <f t="shared" si="7"/>
        <v>0</v>
      </c>
      <c r="O33" s="785">
        <f t="shared" si="8"/>
        <v>0</v>
      </c>
      <c r="P33" s="785">
        <f t="shared" si="9"/>
        <v>0</v>
      </c>
      <c r="Q33" s="784">
        <f t="shared" si="10"/>
        <v>0</v>
      </c>
      <c r="R33" s="880">
        <f>IFERROR(_xlfn.XLOOKUP(F33,'VOTT Supporting - Auto'!A:A,'VOTT Supporting - Auto'!C:C,,0)*$B$25*$B$26,"N/A")</f>
        <v>0</v>
      </c>
      <c r="S33" s="880">
        <f>IFERROR(_xlfn.XLOOKUP(F33,'VOTT Supporting - Auto'!A:A,'VOTT Supporting - Auto'!C:C,,0)*$B$25*$B$27,"N/A")</f>
        <v>0</v>
      </c>
      <c r="T33" s="880">
        <f>_xlfn.XLOOKUP(F33,'VOTT Supporting - Transit TSP'!A:A,'VOTT Supporting - Transit TSP'!C:C,,0)</f>
        <v>0</v>
      </c>
      <c r="U33" s="880">
        <f>_xlfn.XLOOKUP(F33,'VOTT Supporting - Transit TSP'!A:A,'VOTT Supporting - Transit TSP'!D:D,,0)</f>
        <v>0</v>
      </c>
      <c r="V33" s="880">
        <f>IFERROR($B$25*_xlfn.XLOOKUP(F33,'VOTT Supporting - Walking'!A:A,'VOTT Supporting - Walking'!C:C,,0),"N/A")</f>
        <v>0</v>
      </c>
      <c r="W33" s="880">
        <v>0</v>
      </c>
      <c r="X33" s="451">
        <f t="shared" si="11"/>
        <v>0</v>
      </c>
      <c r="Y33" s="451">
        <f t="shared" si="12"/>
        <v>0</v>
      </c>
      <c r="Z33" s="344">
        <f t="shared" si="13"/>
        <v>0</v>
      </c>
      <c r="AA33" s="344">
        <f t="shared" si="14"/>
        <v>0</v>
      </c>
      <c r="AB33" s="344">
        <f t="shared" si="15"/>
        <v>0</v>
      </c>
      <c r="AC33" s="848">
        <f t="shared" si="16"/>
        <v>0</v>
      </c>
      <c r="AD33" s="37">
        <f t="shared" si="17"/>
        <v>0</v>
      </c>
      <c r="AE33" s="38">
        <f>AD33/(1+'Major Assumption Key'!$B$8)^($F33-'Major Assumption Key'!$B$7)</f>
        <v>0</v>
      </c>
      <c r="AF33" s="288"/>
      <c r="AG33" s="774">
        <f t="shared" si="18"/>
        <v>0</v>
      </c>
      <c r="AH33" s="848">
        <f t="shared" si="19"/>
        <v>0</v>
      </c>
      <c r="AI33" s="37">
        <f t="shared" si="20"/>
        <v>0</v>
      </c>
      <c r="AJ33" s="38">
        <f t="shared" si="21"/>
        <v>0</v>
      </c>
    </row>
    <row r="34" spans="6:36">
      <c r="F34" s="190">
        <f>'Major Assumption Key'!A46</f>
        <v>2047</v>
      </c>
      <c r="G34" s="880">
        <f>IFERROR(_xlfn.XLOOKUP(F34,'VOTT Supporting - Auto'!A:A,'VOTT Supporting - Auto'!B:B,,0)*$B$25*$B$26,"N/A")</f>
        <v>0</v>
      </c>
      <c r="H34" s="880">
        <f>IFERROR(_xlfn.XLOOKUP(F34,'VOTT Supporting - Auto'!A:A,'VOTT Supporting - Auto'!B:B,,0)*$B$25*$B$27,"N/A")</f>
        <v>0</v>
      </c>
      <c r="I34" s="880">
        <f>_xlfn.XLOOKUP(F34,'VOTT Supporting - Transit TSP'!A:A,'VOTT Supporting - Transit TSP'!B:B,,0)</f>
        <v>0</v>
      </c>
      <c r="J34" s="880">
        <f>IFERROR($B$25*_xlfn.XLOOKUP(F34,'VOTT Supporting - Walking'!A:A,'VOTT Supporting - Walking'!B:B,,0),"N/A")</f>
        <v>0</v>
      </c>
      <c r="K34" s="880">
        <v>0</v>
      </c>
      <c r="L34" s="785">
        <f t="shared" si="5"/>
        <v>0</v>
      </c>
      <c r="M34" s="785">
        <f t="shared" si="6"/>
        <v>0</v>
      </c>
      <c r="N34" s="785">
        <f t="shared" si="7"/>
        <v>0</v>
      </c>
      <c r="O34" s="785">
        <f t="shared" si="8"/>
        <v>0</v>
      </c>
      <c r="P34" s="785">
        <f t="shared" si="9"/>
        <v>0</v>
      </c>
      <c r="Q34" s="784">
        <f t="shared" si="10"/>
        <v>0</v>
      </c>
      <c r="R34" s="880">
        <f>IFERROR(_xlfn.XLOOKUP(F34,'VOTT Supporting - Auto'!A:A,'VOTT Supporting - Auto'!C:C,,0)*$B$25*$B$26,"N/A")</f>
        <v>0</v>
      </c>
      <c r="S34" s="880">
        <f>IFERROR(_xlfn.XLOOKUP(F34,'VOTT Supporting - Auto'!A:A,'VOTT Supporting - Auto'!C:C,,0)*$B$25*$B$27,"N/A")</f>
        <v>0</v>
      </c>
      <c r="T34" s="880">
        <f>_xlfn.XLOOKUP(F34,'VOTT Supporting - Transit TSP'!A:A,'VOTT Supporting - Transit TSP'!C:C,,0)</f>
        <v>0</v>
      </c>
      <c r="U34" s="880">
        <f>_xlfn.XLOOKUP(F34,'VOTT Supporting - Transit TSP'!A:A,'VOTT Supporting - Transit TSP'!D:D,,0)</f>
        <v>0</v>
      </c>
      <c r="V34" s="880">
        <f>IFERROR($B$25*_xlfn.XLOOKUP(F34,'VOTT Supporting - Walking'!A:A,'VOTT Supporting - Walking'!C:C,,0),"N/A")</f>
        <v>0</v>
      </c>
      <c r="W34" s="880">
        <v>0</v>
      </c>
      <c r="X34" s="451">
        <f t="shared" si="11"/>
        <v>0</v>
      </c>
      <c r="Y34" s="451">
        <f t="shared" si="12"/>
        <v>0</v>
      </c>
      <c r="Z34" s="344">
        <f t="shared" si="13"/>
        <v>0</v>
      </c>
      <c r="AA34" s="344">
        <f t="shared" si="14"/>
        <v>0</v>
      </c>
      <c r="AB34" s="344">
        <f t="shared" si="15"/>
        <v>0</v>
      </c>
      <c r="AC34" s="848">
        <f t="shared" si="16"/>
        <v>0</v>
      </c>
      <c r="AD34" s="37">
        <f t="shared" si="17"/>
        <v>0</v>
      </c>
      <c r="AE34" s="38">
        <f>AD34/(1+'Major Assumption Key'!$B$8)^($F34-'Major Assumption Key'!$B$7)</f>
        <v>0</v>
      </c>
      <c r="AF34" s="288"/>
      <c r="AG34" s="774">
        <f t="shared" si="18"/>
        <v>0</v>
      </c>
      <c r="AH34" s="848">
        <f t="shared" si="19"/>
        <v>0</v>
      </c>
      <c r="AI34" s="37">
        <f t="shared" si="20"/>
        <v>0</v>
      </c>
      <c r="AJ34" s="38">
        <f t="shared" si="21"/>
        <v>0</v>
      </c>
    </row>
    <row r="35" spans="6:36">
      <c r="F35" s="190">
        <f>'Major Assumption Key'!A47</f>
        <v>2048</v>
      </c>
      <c r="G35" s="880">
        <f>IFERROR(_xlfn.XLOOKUP(F35,'VOTT Supporting - Auto'!A:A,'VOTT Supporting - Auto'!B:B,,0)*$B$25*$B$26,"N/A")</f>
        <v>0</v>
      </c>
      <c r="H35" s="880">
        <f>IFERROR(_xlfn.XLOOKUP(F35,'VOTT Supporting - Auto'!A:A,'VOTT Supporting - Auto'!B:B,,0)*$B$25*$B$27,"N/A")</f>
        <v>0</v>
      </c>
      <c r="I35" s="880">
        <f>_xlfn.XLOOKUP(F35,'VOTT Supporting - Transit TSP'!A:A,'VOTT Supporting - Transit TSP'!B:B,,0)</f>
        <v>0</v>
      </c>
      <c r="J35" s="880">
        <f>IFERROR($B$25*_xlfn.XLOOKUP(F35,'VOTT Supporting - Walking'!A:A,'VOTT Supporting - Walking'!B:B,,0),"N/A")</f>
        <v>0</v>
      </c>
      <c r="K35" s="880">
        <v>0</v>
      </c>
      <c r="L35" s="785">
        <f t="shared" si="5"/>
        <v>0</v>
      </c>
      <c r="M35" s="785">
        <f t="shared" si="6"/>
        <v>0</v>
      </c>
      <c r="N35" s="785">
        <f t="shared" si="7"/>
        <v>0</v>
      </c>
      <c r="O35" s="785">
        <f t="shared" si="8"/>
        <v>0</v>
      </c>
      <c r="P35" s="785" t="str">
        <f t="shared" si="9"/>
        <v/>
      </c>
      <c r="Q35" s="784">
        <f t="shared" si="10"/>
        <v>0</v>
      </c>
      <c r="R35" s="880">
        <f>IFERROR(_xlfn.XLOOKUP(F35,'VOTT Supporting - Auto'!A:A,'VOTT Supporting - Auto'!C:C,,0)*$B$25*$B$26,"N/A")</f>
        <v>0</v>
      </c>
      <c r="S35" s="880">
        <f>IFERROR(_xlfn.XLOOKUP(F35,'VOTT Supporting - Auto'!A:A,'VOTT Supporting - Auto'!C:C,,0)*$B$25*$B$27,"N/A")</f>
        <v>0</v>
      </c>
      <c r="T35" s="880">
        <f>_xlfn.XLOOKUP(F35,'VOTT Supporting - Transit TSP'!A:A,'VOTT Supporting - Transit TSP'!C:C,,0)</f>
        <v>0</v>
      </c>
      <c r="U35" s="880">
        <f>_xlfn.XLOOKUP(F35,'VOTT Supporting - Transit TSP'!A:A,'VOTT Supporting - Transit TSP'!D:D,,0)</f>
        <v>0</v>
      </c>
      <c r="V35" s="880">
        <f>IFERROR($B$25*_xlfn.XLOOKUP(F35,'VOTT Supporting - Walking'!A:A,'VOTT Supporting - Walking'!C:C,,0),"N/A")</f>
        <v>0</v>
      </c>
      <c r="W35" s="880">
        <v>0</v>
      </c>
      <c r="X35" s="451">
        <f t="shared" si="11"/>
        <v>0</v>
      </c>
      <c r="Y35" s="451">
        <f t="shared" si="12"/>
        <v>0</v>
      </c>
      <c r="Z35" s="344">
        <f t="shared" si="13"/>
        <v>0</v>
      </c>
      <c r="AA35" s="344">
        <f t="shared" si="14"/>
        <v>0</v>
      </c>
      <c r="AB35" s="344">
        <f t="shared" si="15"/>
        <v>0</v>
      </c>
      <c r="AC35" s="848">
        <f t="shared" si="16"/>
        <v>0</v>
      </c>
      <c r="AD35" s="37">
        <f t="shared" si="17"/>
        <v>0</v>
      </c>
      <c r="AE35" s="38">
        <f>AD35/(1+'Major Assumption Key'!$B$8)^($F35-'Major Assumption Key'!$B$7)</f>
        <v>0</v>
      </c>
      <c r="AF35" s="288"/>
      <c r="AG35" s="774">
        <f t="shared" si="18"/>
        <v>0</v>
      </c>
      <c r="AH35" s="848">
        <f t="shared" si="19"/>
        <v>0</v>
      </c>
      <c r="AI35" s="37">
        <f t="shared" si="20"/>
        <v>0</v>
      </c>
      <c r="AJ35" s="38">
        <f t="shared" si="21"/>
        <v>0</v>
      </c>
    </row>
    <row r="36" spans="6:36">
      <c r="F36" s="190">
        <f>'Major Assumption Key'!A48</f>
        <v>2049</v>
      </c>
      <c r="G36" s="880">
        <f>IFERROR(_xlfn.XLOOKUP(F36,'VOTT Supporting - Auto'!A:A,'VOTT Supporting - Auto'!B:B,,0)*$B$25*$B$26,"N/A")</f>
        <v>0</v>
      </c>
      <c r="H36" s="880">
        <f>IFERROR(_xlfn.XLOOKUP(F36,'VOTT Supporting - Auto'!A:A,'VOTT Supporting - Auto'!B:B,,0)*$B$25*$B$27,"N/A")</f>
        <v>0</v>
      </c>
      <c r="I36" s="880">
        <f>_xlfn.XLOOKUP(F36,'VOTT Supporting - Transit TSP'!A:A,'VOTT Supporting - Transit TSP'!B:B,,0)</f>
        <v>0</v>
      </c>
      <c r="J36" s="880">
        <f>IFERROR($B$25*_xlfn.XLOOKUP(F36,'VOTT Supporting - Walking'!A:A,'VOTT Supporting - Walking'!B:B,,0),"N/A")</f>
        <v>0</v>
      </c>
      <c r="K36" s="880">
        <v>0</v>
      </c>
      <c r="L36" s="785">
        <f t="shared" si="5"/>
        <v>0</v>
      </c>
      <c r="M36" s="785">
        <f t="shared" si="6"/>
        <v>0</v>
      </c>
      <c r="N36" s="785">
        <f t="shared" si="7"/>
        <v>0</v>
      </c>
      <c r="O36" s="785">
        <f t="shared" si="8"/>
        <v>0</v>
      </c>
      <c r="P36" s="785" t="str">
        <f t="shared" si="9"/>
        <v/>
      </c>
      <c r="Q36" s="784">
        <f t="shared" si="10"/>
        <v>0</v>
      </c>
      <c r="R36" s="880">
        <f>IFERROR(_xlfn.XLOOKUP(F36,'VOTT Supporting - Auto'!A:A,'VOTT Supporting - Auto'!C:C,,0)*$B$25*$B$26,"N/A")</f>
        <v>0</v>
      </c>
      <c r="S36" s="880">
        <f>IFERROR(_xlfn.XLOOKUP(F36,'VOTT Supporting - Auto'!A:A,'VOTT Supporting - Auto'!C:C,,0)*$B$25*$B$27,"N/A")</f>
        <v>0</v>
      </c>
      <c r="T36" s="880">
        <f>_xlfn.XLOOKUP(F36,'VOTT Supporting - Transit TSP'!A:A,'VOTT Supporting - Transit TSP'!C:C,,0)</f>
        <v>0</v>
      </c>
      <c r="U36" s="880">
        <f>_xlfn.XLOOKUP(F36,'VOTT Supporting - Transit TSP'!A:A,'VOTT Supporting - Transit TSP'!D:D,,0)</f>
        <v>0</v>
      </c>
      <c r="V36" s="880">
        <f>IFERROR($B$25*_xlfn.XLOOKUP(F36,'VOTT Supporting - Walking'!A:A,'VOTT Supporting - Walking'!C:C,,0),"N/A")</f>
        <v>0</v>
      </c>
      <c r="W36" s="880">
        <v>0</v>
      </c>
      <c r="X36" s="451">
        <f t="shared" si="11"/>
        <v>0</v>
      </c>
      <c r="Y36" s="451">
        <f t="shared" si="12"/>
        <v>0</v>
      </c>
      <c r="Z36" s="344">
        <f t="shared" si="13"/>
        <v>0</v>
      </c>
      <c r="AA36" s="344">
        <f t="shared" si="14"/>
        <v>0</v>
      </c>
      <c r="AB36" s="344">
        <f t="shared" si="15"/>
        <v>0</v>
      </c>
      <c r="AC36" s="848">
        <f t="shared" si="16"/>
        <v>0</v>
      </c>
      <c r="AD36" s="37">
        <f t="shared" si="17"/>
        <v>0</v>
      </c>
      <c r="AE36" s="38">
        <f>AD36/(1+'Major Assumption Key'!$B$8)^($F36-'Major Assumption Key'!$B$7)</f>
        <v>0</v>
      </c>
      <c r="AF36" s="288"/>
      <c r="AG36" s="774">
        <f t="shared" si="18"/>
        <v>0</v>
      </c>
      <c r="AH36" s="848">
        <f t="shared" si="19"/>
        <v>0</v>
      </c>
      <c r="AI36" s="37">
        <f t="shared" si="20"/>
        <v>0</v>
      </c>
      <c r="AJ36" s="38">
        <f t="shared" si="21"/>
        <v>0</v>
      </c>
    </row>
    <row r="37" spans="6:36">
      <c r="F37" s="190">
        <f>'Major Assumption Key'!A49</f>
        <v>2050</v>
      </c>
      <c r="G37" s="880">
        <f>IFERROR(_xlfn.XLOOKUP(F37,'VOTT Supporting - Auto'!A:A,'VOTT Supporting - Auto'!B:B,,0)*$B$25*$B$26,"N/A")</f>
        <v>0</v>
      </c>
      <c r="H37" s="880">
        <f>IFERROR(_xlfn.XLOOKUP(F37,'VOTT Supporting - Auto'!A:A,'VOTT Supporting - Auto'!B:B,,0)*$B$25*$B$27,"N/A")</f>
        <v>0</v>
      </c>
      <c r="I37" s="880">
        <f>_xlfn.XLOOKUP(F37,'VOTT Supporting - Transit TSP'!A:A,'VOTT Supporting - Transit TSP'!B:B,,0)</f>
        <v>0</v>
      </c>
      <c r="J37" s="880">
        <f>IFERROR($B$25*_xlfn.XLOOKUP(F37,'VOTT Supporting - Walking'!A:A,'VOTT Supporting - Walking'!B:B,,0),"N/A")</f>
        <v>0</v>
      </c>
      <c r="K37" s="880">
        <v>0</v>
      </c>
      <c r="L37" s="785">
        <f t="shared" si="5"/>
        <v>0</v>
      </c>
      <c r="M37" s="785">
        <f t="shared" si="6"/>
        <v>0</v>
      </c>
      <c r="N37" s="785">
        <f t="shared" si="7"/>
        <v>0</v>
      </c>
      <c r="O37" s="785">
        <f t="shared" si="8"/>
        <v>0</v>
      </c>
      <c r="P37" s="785" t="str">
        <f t="shared" si="9"/>
        <v/>
      </c>
      <c r="Q37" s="784">
        <f t="shared" si="10"/>
        <v>0</v>
      </c>
      <c r="R37" s="880">
        <f>IFERROR(_xlfn.XLOOKUP(F37,'VOTT Supporting - Auto'!A:A,'VOTT Supporting - Auto'!C:C,,0)*$B$25*$B$26,"N/A")</f>
        <v>0</v>
      </c>
      <c r="S37" s="880">
        <f>IFERROR(_xlfn.XLOOKUP(F37,'VOTT Supporting - Auto'!A:A,'VOTT Supporting - Auto'!C:C,,0)*$B$25*$B$27,"N/A")</f>
        <v>0</v>
      </c>
      <c r="T37" s="880">
        <f>_xlfn.XLOOKUP(F37,'VOTT Supporting - Transit TSP'!A:A,'VOTT Supporting - Transit TSP'!C:C,,0)</f>
        <v>0</v>
      </c>
      <c r="U37" s="880">
        <f>_xlfn.XLOOKUP(F37,'VOTT Supporting - Transit TSP'!A:A,'VOTT Supporting - Transit TSP'!D:D,,0)</f>
        <v>0</v>
      </c>
      <c r="V37" s="880">
        <f>IFERROR($B$25*_xlfn.XLOOKUP(F37,'VOTT Supporting - Walking'!A:A,'VOTT Supporting - Walking'!C:C,,0),"N/A")</f>
        <v>0</v>
      </c>
      <c r="W37" s="880">
        <v>0</v>
      </c>
      <c r="X37" s="451">
        <f t="shared" si="11"/>
        <v>0</v>
      </c>
      <c r="Y37" s="451">
        <f t="shared" si="12"/>
        <v>0</v>
      </c>
      <c r="Z37" s="344">
        <f t="shared" si="13"/>
        <v>0</v>
      </c>
      <c r="AA37" s="344">
        <f t="shared" si="14"/>
        <v>0</v>
      </c>
      <c r="AB37" s="344">
        <f t="shared" si="15"/>
        <v>0</v>
      </c>
      <c r="AC37" s="848">
        <f t="shared" si="16"/>
        <v>0</v>
      </c>
      <c r="AD37" s="37">
        <f t="shared" si="17"/>
        <v>0</v>
      </c>
      <c r="AE37" s="38">
        <f>AD37/(1+'Major Assumption Key'!$B$8)^($F37-'Major Assumption Key'!$B$7)</f>
        <v>0</v>
      </c>
      <c r="AF37" s="288"/>
      <c r="AG37" s="774">
        <f t="shared" si="18"/>
        <v>0</v>
      </c>
      <c r="AH37" s="848">
        <f t="shared" si="19"/>
        <v>0</v>
      </c>
      <c r="AI37" s="37">
        <f t="shared" si="20"/>
        <v>0</v>
      </c>
      <c r="AJ37" s="38">
        <f t="shared" si="21"/>
        <v>0</v>
      </c>
    </row>
    <row r="38" spans="6:36">
      <c r="F38" s="190">
        <f>'Major Assumption Key'!A50</f>
        <v>2051</v>
      </c>
      <c r="G38" s="880">
        <f>IFERROR(_xlfn.XLOOKUP(F38,'VOTT Supporting - Auto'!A:A,'VOTT Supporting - Auto'!B:B,,0)*$B$25*$B$26,"N/A")</f>
        <v>0</v>
      </c>
      <c r="H38" s="880">
        <f>IFERROR(_xlfn.XLOOKUP(F38,'VOTT Supporting - Auto'!A:A,'VOTT Supporting - Auto'!B:B,,0)*$B$25*$B$27,"N/A")</f>
        <v>0</v>
      </c>
      <c r="I38" s="880">
        <f>_xlfn.XLOOKUP(F38,'VOTT Supporting - Transit TSP'!A:A,'VOTT Supporting - Transit TSP'!B:B,,0)</f>
        <v>0</v>
      </c>
      <c r="J38" s="880">
        <f>IFERROR($B$25*_xlfn.XLOOKUP(F38,'VOTT Supporting - Walking'!A:A,'VOTT Supporting - Walking'!B:B,,0),"N/A")</f>
        <v>0</v>
      </c>
      <c r="K38" s="880">
        <v>0</v>
      </c>
      <c r="L38" s="785">
        <f t="shared" si="5"/>
        <v>0</v>
      </c>
      <c r="M38" s="785">
        <f t="shared" si="6"/>
        <v>0</v>
      </c>
      <c r="N38" s="785">
        <f t="shared" si="7"/>
        <v>0</v>
      </c>
      <c r="O38" s="785">
        <f t="shared" si="8"/>
        <v>0</v>
      </c>
      <c r="P38" s="785" t="str">
        <f t="shared" si="9"/>
        <v/>
      </c>
      <c r="Q38" s="784">
        <f t="shared" si="10"/>
        <v>0</v>
      </c>
      <c r="R38" s="880">
        <f>IFERROR(_xlfn.XLOOKUP(F38,'VOTT Supporting - Auto'!A:A,'VOTT Supporting - Auto'!C:C,,0)*$B$25*$B$26,"N/A")</f>
        <v>0</v>
      </c>
      <c r="S38" s="880">
        <f>IFERROR(_xlfn.XLOOKUP(F38,'VOTT Supporting - Auto'!A:A,'VOTT Supporting - Auto'!C:C,,0)*$B$25*$B$27,"N/A")</f>
        <v>0</v>
      </c>
      <c r="T38" s="880">
        <f>_xlfn.XLOOKUP(F38,'VOTT Supporting - Transit TSP'!A:A,'VOTT Supporting - Transit TSP'!C:C,,0)</f>
        <v>0</v>
      </c>
      <c r="U38" s="880">
        <f>_xlfn.XLOOKUP(F38,'VOTT Supporting - Transit TSP'!A:A,'VOTT Supporting - Transit TSP'!D:D,,0)</f>
        <v>0</v>
      </c>
      <c r="V38" s="880">
        <f>IFERROR($B$25*_xlfn.XLOOKUP(F38,'VOTT Supporting - Walking'!A:A,'VOTT Supporting - Walking'!C:C,,0),"N/A")</f>
        <v>0</v>
      </c>
      <c r="W38" s="880">
        <v>0</v>
      </c>
      <c r="X38" s="451">
        <f t="shared" si="11"/>
        <v>0</v>
      </c>
      <c r="Y38" s="451">
        <f t="shared" si="12"/>
        <v>0</v>
      </c>
      <c r="Z38" s="344">
        <f t="shared" si="13"/>
        <v>0</v>
      </c>
      <c r="AA38" s="344">
        <f t="shared" si="14"/>
        <v>0</v>
      </c>
      <c r="AB38" s="344">
        <f t="shared" si="15"/>
        <v>0</v>
      </c>
      <c r="AC38" s="848">
        <f t="shared" si="16"/>
        <v>0</v>
      </c>
      <c r="AD38" s="37">
        <f t="shared" si="17"/>
        <v>0</v>
      </c>
      <c r="AE38" s="38">
        <f>AD38/(1+'Major Assumption Key'!$B$8)^($F38-'Major Assumption Key'!$B$7)</f>
        <v>0</v>
      </c>
      <c r="AF38" s="288"/>
      <c r="AG38" s="774">
        <f t="shared" si="18"/>
        <v>0</v>
      </c>
      <c r="AH38" s="848">
        <f t="shared" si="19"/>
        <v>0</v>
      </c>
      <c r="AI38" s="37">
        <f t="shared" si="20"/>
        <v>0</v>
      </c>
      <c r="AJ38" s="38">
        <f t="shared" si="21"/>
        <v>0</v>
      </c>
    </row>
    <row r="39" spans="6:36">
      <c r="F39" s="190">
        <f>'Major Assumption Key'!A51</f>
        <v>2052</v>
      </c>
      <c r="G39" s="880">
        <f>IFERROR(_xlfn.XLOOKUP(F39,'VOTT Supporting - Auto'!A:A,'VOTT Supporting - Auto'!B:B,,0)*$B$25*$B$26,"N/A")</f>
        <v>0</v>
      </c>
      <c r="H39" s="880">
        <f>IFERROR(_xlfn.XLOOKUP(F39,'VOTT Supporting - Auto'!A:A,'VOTT Supporting - Auto'!B:B,,0)*$B$25*$B$27,"N/A")</f>
        <v>0</v>
      </c>
      <c r="I39" s="880">
        <f>_xlfn.XLOOKUP(F39,'VOTT Supporting - Transit TSP'!A:A,'VOTT Supporting - Transit TSP'!B:B,,0)</f>
        <v>0</v>
      </c>
      <c r="J39" s="880">
        <f>IFERROR($B$25*_xlfn.XLOOKUP(F39,'VOTT Supporting - Walking'!A:A,'VOTT Supporting - Walking'!B:B,,0),"N/A")</f>
        <v>0</v>
      </c>
      <c r="K39" s="880">
        <v>0</v>
      </c>
      <c r="L39" s="785">
        <f t="shared" si="5"/>
        <v>0</v>
      </c>
      <c r="M39" s="785">
        <f t="shared" si="6"/>
        <v>0</v>
      </c>
      <c r="N39" s="785">
        <f t="shared" si="7"/>
        <v>0</v>
      </c>
      <c r="O39" s="785">
        <f t="shared" si="8"/>
        <v>0</v>
      </c>
      <c r="P39" s="785" t="str">
        <f t="shared" si="9"/>
        <v/>
      </c>
      <c r="Q39" s="784">
        <f t="shared" si="10"/>
        <v>0</v>
      </c>
      <c r="R39" s="880">
        <f>IFERROR(_xlfn.XLOOKUP(F39,'VOTT Supporting - Auto'!A:A,'VOTT Supporting - Auto'!C:C,,0)*$B$25*$B$26,"N/A")</f>
        <v>0</v>
      </c>
      <c r="S39" s="880">
        <f>IFERROR(_xlfn.XLOOKUP(F39,'VOTT Supporting - Auto'!A:A,'VOTT Supporting - Auto'!C:C,,0)*$B$25*$B$27,"N/A")</f>
        <v>0</v>
      </c>
      <c r="T39" s="880">
        <f>_xlfn.XLOOKUP(F39,'VOTT Supporting - Transit TSP'!A:A,'VOTT Supporting - Transit TSP'!C:C,,0)</f>
        <v>0</v>
      </c>
      <c r="U39" s="880">
        <f>_xlfn.XLOOKUP(F39,'VOTT Supporting - Transit TSP'!A:A,'VOTT Supporting - Transit TSP'!D:D,,0)</f>
        <v>0</v>
      </c>
      <c r="V39" s="880">
        <f>IFERROR($B$25*_xlfn.XLOOKUP(F39,'VOTT Supporting - Walking'!A:A,'VOTT Supporting - Walking'!C:C,,0),"N/A")</f>
        <v>0</v>
      </c>
      <c r="W39" s="880">
        <v>0</v>
      </c>
      <c r="X39" s="451">
        <f t="shared" si="11"/>
        <v>0</v>
      </c>
      <c r="Y39" s="451">
        <f t="shared" si="12"/>
        <v>0</v>
      </c>
      <c r="Z39" s="344">
        <f t="shared" si="13"/>
        <v>0</v>
      </c>
      <c r="AA39" s="344">
        <f t="shared" si="14"/>
        <v>0</v>
      </c>
      <c r="AB39" s="344">
        <f t="shared" si="15"/>
        <v>0</v>
      </c>
      <c r="AC39" s="848">
        <f t="shared" si="16"/>
        <v>0</v>
      </c>
      <c r="AD39" s="37">
        <f t="shared" si="17"/>
        <v>0</v>
      </c>
      <c r="AE39" s="38">
        <f>AD39/(1+'Major Assumption Key'!$B$8)^($F39-'Major Assumption Key'!$B$7)</f>
        <v>0</v>
      </c>
      <c r="AF39" s="288"/>
      <c r="AG39" s="774">
        <f t="shared" si="18"/>
        <v>0</v>
      </c>
      <c r="AH39" s="848">
        <f t="shared" si="19"/>
        <v>0</v>
      </c>
      <c r="AI39" s="37">
        <f t="shared" si="20"/>
        <v>0</v>
      </c>
      <c r="AJ39" s="38">
        <f t="shared" si="21"/>
        <v>0</v>
      </c>
    </row>
    <row r="40" spans="6:36">
      <c r="F40" s="190">
        <f>'Major Assumption Key'!A52</f>
        <v>2053</v>
      </c>
      <c r="G40" s="880">
        <f>IFERROR(_xlfn.XLOOKUP(F40,'VOTT Supporting - Auto'!A:A,'VOTT Supporting - Auto'!B:B,,0)*$B$25*$B$26,"N/A")</f>
        <v>0</v>
      </c>
      <c r="H40" s="880">
        <f>IFERROR(_xlfn.XLOOKUP(F40,'VOTT Supporting - Auto'!A:A,'VOTT Supporting - Auto'!B:B,,0)*$B$25*$B$27,"N/A")</f>
        <v>0</v>
      </c>
      <c r="I40" s="880">
        <f>_xlfn.XLOOKUP(F40,'VOTT Supporting - Transit TSP'!A:A,'VOTT Supporting - Transit TSP'!B:B,,0)</f>
        <v>0</v>
      </c>
      <c r="J40" s="880">
        <f>IFERROR($B$25*_xlfn.XLOOKUP(F40,'VOTT Supporting - Walking'!A:A,'VOTT Supporting - Walking'!B:B,,0),"N/A")</f>
        <v>0</v>
      </c>
      <c r="K40" s="880">
        <v>0</v>
      </c>
      <c r="L40" s="785">
        <f t="shared" si="5"/>
        <v>0</v>
      </c>
      <c r="M40" s="785">
        <f t="shared" si="6"/>
        <v>0</v>
      </c>
      <c r="N40" s="785">
        <f t="shared" si="7"/>
        <v>0</v>
      </c>
      <c r="O40" s="785">
        <f t="shared" si="8"/>
        <v>0</v>
      </c>
      <c r="P40" s="785" t="str">
        <f t="shared" si="9"/>
        <v/>
      </c>
      <c r="Q40" s="784">
        <f t="shared" si="10"/>
        <v>0</v>
      </c>
      <c r="R40" s="880">
        <f>IFERROR(_xlfn.XLOOKUP(F40,'VOTT Supporting - Auto'!A:A,'VOTT Supporting - Auto'!C:C,,0)*$B$25*$B$26,"N/A")</f>
        <v>0</v>
      </c>
      <c r="S40" s="880">
        <f>IFERROR(_xlfn.XLOOKUP(F40,'VOTT Supporting - Auto'!A:A,'VOTT Supporting - Auto'!C:C,,0)*$B$25*$B$27,"N/A")</f>
        <v>0</v>
      </c>
      <c r="T40" s="880">
        <f>_xlfn.XLOOKUP(F40,'VOTT Supporting - Transit TSP'!A:A,'VOTT Supporting - Transit TSP'!C:C,,0)</f>
        <v>0</v>
      </c>
      <c r="U40" s="880">
        <f>_xlfn.XLOOKUP(F40,'VOTT Supporting - Transit TSP'!A:A,'VOTT Supporting - Transit TSP'!D:D,,0)</f>
        <v>0</v>
      </c>
      <c r="V40" s="880">
        <f>IFERROR($B$25*_xlfn.XLOOKUP(F40,'VOTT Supporting - Walking'!A:A,'VOTT Supporting - Walking'!C:C,,0),"N/A")</f>
        <v>0</v>
      </c>
      <c r="W40" s="880">
        <v>0</v>
      </c>
      <c r="X40" s="451">
        <f t="shared" si="11"/>
        <v>0</v>
      </c>
      <c r="Y40" s="451">
        <f t="shared" si="12"/>
        <v>0</v>
      </c>
      <c r="Z40" s="344">
        <f t="shared" si="13"/>
        <v>0</v>
      </c>
      <c r="AA40" s="344">
        <f t="shared" si="14"/>
        <v>0</v>
      </c>
      <c r="AB40" s="344">
        <f t="shared" si="15"/>
        <v>0</v>
      </c>
      <c r="AC40" s="848">
        <f t="shared" si="16"/>
        <v>0</v>
      </c>
      <c r="AD40" s="37">
        <f t="shared" si="17"/>
        <v>0</v>
      </c>
      <c r="AE40" s="38">
        <f>AD40/(1+'Major Assumption Key'!$B$8)^($F40-'Major Assumption Key'!$B$7)</f>
        <v>0</v>
      </c>
      <c r="AF40" s="288"/>
      <c r="AG40" s="774">
        <f t="shared" si="18"/>
        <v>0</v>
      </c>
      <c r="AH40" s="848">
        <f t="shared" si="19"/>
        <v>0</v>
      </c>
      <c r="AI40" s="37">
        <f t="shared" si="20"/>
        <v>0</v>
      </c>
      <c r="AJ40" s="38">
        <f t="shared" si="21"/>
        <v>0</v>
      </c>
    </row>
    <row r="41" spans="6:36">
      <c r="F41" s="190">
        <f>'Major Assumption Key'!A53</f>
        <v>2054</v>
      </c>
      <c r="G41" s="880">
        <f>IFERROR(_xlfn.XLOOKUP(F41,'VOTT Supporting - Auto'!A:A,'VOTT Supporting - Auto'!B:B,,0)*$B$25*$B$26,"N/A")</f>
        <v>0</v>
      </c>
      <c r="H41" s="880">
        <f>IFERROR(_xlfn.XLOOKUP(F41,'VOTT Supporting - Auto'!A:A,'VOTT Supporting - Auto'!B:B,,0)*$B$25*$B$27,"N/A")</f>
        <v>0</v>
      </c>
      <c r="I41" s="880">
        <f>_xlfn.XLOOKUP(F41,'VOTT Supporting - Transit TSP'!A:A,'VOTT Supporting - Transit TSP'!B:B,,0)</f>
        <v>0</v>
      </c>
      <c r="J41" s="880">
        <f>IFERROR($B$25*_xlfn.XLOOKUP(F41,'VOTT Supporting - Walking'!A:A,'VOTT Supporting - Walking'!B:B,,0),"N/A")</f>
        <v>0</v>
      </c>
      <c r="K41" s="880">
        <v>0</v>
      </c>
      <c r="L41" s="785">
        <f t="shared" si="5"/>
        <v>0</v>
      </c>
      <c r="M41" s="785">
        <f t="shared" si="6"/>
        <v>0</v>
      </c>
      <c r="N41" s="785">
        <f t="shared" si="7"/>
        <v>0</v>
      </c>
      <c r="O41" s="785">
        <f t="shared" si="8"/>
        <v>0</v>
      </c>
      <c r="P41" s="785" t="str">
        <f t="shared" si="9"/>
        <v/>
      </c>
      <c r="Q41" s="784">
        <f t="shared" si="10"/>
        <v>0</v>
      </c>
      <c r="R41" s="880">
        <f>IFERROR(_xlfn.XLOOKUP(F41,'VOTT Supporting - Auto'!A:A,'VOTT Supporting - Auto'!C:C,,0)*$B$25*$B$26,"N/A")</f>
        <v>0</v>
      </c>
      <c r="S41" s="880">
        <f>IFERROR(_xlfn.XLOOKUP(F41,'VOTT Supporting - Auto'!A:A,'VOTT Supporting - Auto'!C:C,,0)*$B$25*$B$27,"N/A")</f>
        <v>0</v>
      </c>
      <c r="T41" s="880">
        <f>_xlfn.XLOOKUP(F41,'VOTT Supporting - Transit TSP'!A:A,'VOTT Supporting - Transit TSP'!C:C,,0)</f>
        <v>0</v>
      </c>
      <c r="U41" s="880">
        <f>_xlfn.XLOOKUP(F41,'VOTT Supporting - Transit TSP'!A:A,'VOTT Supporting - Transit TSP'!D:D,,0)</f>
        <v>0</v>
      </c>
      <c r="V41" s="880">
        <f>IFERROR($B$25*_xlfn.XLOOKUP(F41,'VOTT Supporting - Walking'!A:A,'VOTT Supporting - Walking'!C:C,,0),"N/A")</f>
        <v>0</v>
      </c>
      <c r="W41" s="880">
        <v>0</v>
      </c>
      <c r="X41" s="451">
        <f t="shared" si="11"/>
        <v>0</v>
      </c>
      <c r="Y41" s="451">
        <f t="shared" si="12"/>
        <v>0</v>
      </c>
      <c r="Z41" s="344">
        <f t="shared" si="13"/>
        <v>0</v>
      </c>
      <c r="AA41" s="344">
        <f t="shared" si="14"/>
        <v>0</v>
      </c>
      <c r="AB41" s="344">
        <f t="shared" si="15"/>
        <v>0</v>
      </c>
      <c r="AC41" s="848">
        <f t="shared" si="16"/>
        <v>0</v>
      </c>
      <c r="AD41" s="37">
        <f t="shared" si="17"/>
        <v>0</v>
      </c>
      <c r="AE41" s="38">
        <f>AD41/(1+'Major Assumption Key'!$B$8)^($F41-'Major Assumption Key'!$B$7)</f>
        <v>0</v>
      </c>
      <c r="AF41" s="288"/>
      <c r="AG41" s="774">
        <f t="shared" si="18"/>
        <v>0</v>
      </c>
      <c r="AH41" s="848">
        <f t="shared" si="19"/>
        <v>0</v>
      </c>
      <c r="AI41" s="37">
        <f t="shared" si="20"/>
        <v>0</v>
      </c>
      <c r="AJ41" s="38">
        <f t="shared" si="21"/>
        <v>0</v>
      </c>
    </row>
    <row r="42" spans="6:36">
      <c r="F42" s="190">
        <f>'Major Assumption Key'!A54</f>
        <v>2055</v>
      </c>
      <c r="G42" s="880">
        <f>IFERROR(_xlfn.XLOOKUP(F42,'VOTT Supporting - Auto'!A:A,'VOTT Supporting - Auto'!B:B,,0)*$B$25*$B$26,"N/A")</f>
        <v>0</v>
      </c>
      <c r="H42" s="880">
        <f>IFERROR(_xlfn.XLOOKUP(F42,'VOTT Supporting - Auto'!A:A,'VOTT Supporting - Auto'!B:B,,0)*$B$25*$B$27,"N/A")</f>
        <v>0</v>
      </c>
      <c r="I42" s="880">
        <f>_xlfn.XLOOKUP(F42,'VOTT Supporting - Transit TSP'!A:A,'VOTT Supporting - Transit TSP'!B:B,,0)</f>
        <v>0</v>
      </c>
      <c r="J42" s="880">
        <f>IFERROR($B$25*_xlfn.XLOOKUP(F42,'VOTT Supporting - Walking'!A:A,'VOTT Supporting - Walking'!B:B,,0),"N/A")</f>
        <v>0</v>
      </c>
      <c r="K42" s="880">
        <v>0</v>
      </c>
      <c r="L42" s="785">
        <f t="shared" si="5"/>
        <v>0</v>
      </c>
      <c r="M42" s="785">
        <f t="shared" si="6"/>
        <v>0</v>
      </c>
      <c r="N42" s="785">
        <f t="shared" si="7"/>
        <v>0</v>
      </c>
      <c r="O42" s="785">
        <f t="shared" si="8"/>
        <v>0</v>
      </c>
      <c r="P42" s="785" t="str">
        <f t="shared" si="9"/>
        <v/>
      </c>
      <c r="Q42" s="784">
        <f t="shared" si="10"/>
        <v>0</v>
      </c>
      <c r="R42" s="880">
        <f>IFERROR(_xlfn.XLOOKUP(F42,'VOTT Supporting - Auto'!A:A,'VOTT Supporting - Auto'!C:C,,0)*$B$25*$B$26,"N/A")</f>
        <v>0</v>
      </c>
      <c r="S42" s="880">
        <f>IFERROR(_xlfn.XLOOKUP(F42,'VOTT Supporting - Auto'!A:A,'VOTT Supporting - Auto'!C:C,,0)*$B$25*$B$27,"N/A")</f>
        <v>0</v>
      </c>
      <c r="T42" s="880">
        <f>_xlfn.XLOOKUP(F42,'VOTT Supporting - Transit TSP'!A:A,'VOTT Supporting - Transit TSP'!C:C,,0)</f>
        <v>0</v>
      </c>
      <c r="U42" s="880">
        <f>_xlfn.XLOOKUP(F42,'VOTT Supporting - Transit TSP'!A:A,'VOTT Supporting - Transit TSP'!D:D,,0)</f>
        <v>0</v>
      </c>
      <c r="V42" s="880">
        <f>IFERROR($B$25*_xlfn.XLOOKUP(F42,'VOTT Supporting - Walking'!A:A,'VOTT Supporting - Walking'!C:C,,0),"N/A")</f>
        <v>0</v>
      </c>
      <c r="W42" s="880">
        <v>0</v>
      </c>
      <c r="X42" s="451">
        <f t="shared" si="11"/>
        <v>0</v>
      </c>
      <c r="Y42" s="451">
        <f t="shared" si="12"/>
        <v>0</v>
      </c>
      <c r="Z42" s="344">
        <f t="shared" si="13"/>
        <v>0</v>
      </c>
      <c r="AA42" s="344">
        <f t="shared" si="14"/>
        <v>0</v>
      </c>
      <c r="AB42" s="344">
        <f t="shared" si="15"/>
        <v>0</v>
      </c>
      <c r="AC42" s="848">
        <f t="shared" si="16"/>
        <v>0</v>
      </c>
      <c r="AD42" s="37">
        <f t="shared" si="17"/>
        <v>0</v>
      </c>
      <c r="AE42" s="38">
        <f>AD42/(1+'Major Assumption Key'!$B$8)^($F42-'Major Assumption Key'!$B$7)</f>
        <v>0</v>
      </c>
      <c r="AF42" s="288"/>
      <c r="AG42" s="774">
        <f t="shared" si="18"/>
        <v>0</v>
      </c>
      <c r="AH42" s="848">
        <f t="shared" si="19"/>
        <v>0</v>
      </c>
      <c r="AI42" s="37">
        <f t="shared" si="20"/>
        <v>0</v>
      </c>
      <c r="AJ42" s="38">
        <f t="shared" si="21"/>
        <v>0</v>
      </c>
    </row>
    <row r="43" spans="6:36">
      <c r="F43" s="190">
        <f>'Major Assumption Key'!A55</f>
        <v>2056</v>
      </c>
      <c r="G43" s="880">
        <f>IFERROR(_xlfn.XLOOKUP(F43,'VOTT Supporting - Auto'!A:A,'VOTT Supporting - Auto'!B:B,,0)*$B$25*$B$26,"N/A")</f>
        <v>0</v>
      </c>
      <c r="H43" s="880">
        <f>IFERROR(_xlfn.XLOOKUP(F43,'VOTT Supporting - Auto'!A:A,'VOTT Supporting - Auto'!B:B,,0)*$B$25*$B$27,"N/A")</f>
        <v>0</v>
      </c>
      <c r="I43" s="880">
        <f>_xlfn.XLOOKUP(F43,'VOTT Supporting - Transit TSP'!A:A,'VOTT Supporting - Transit TSP'!B:B,,0)</f>
        <v>0</v>
      </c>
      <c r="J43" s="880">
        <f>IFERROR($B$25*_xlfn.XLOOKUP(F43,'VOTT Supporting - Walking'!A:A,'VOTT Supporting - Walking'!B:B,,0),"N/A")</f>
        <v>0</v>
      </c>
      <c r="K43" s="880">
        <v>0</v>
      </c>
      <c r="L43" s="785">
        <f t="shared" si="5"/>
        <v>0</v>
      </c>
      <c r="M43" s="785">
        <f t="shared" si="6"/>
        <v>0</v>
      </c>
      <c r="N43" s="785">
        <f t="shared" si="7"/>
        <v>0</v>
      </c>
      <c r="O43" s="785">
        <f t="shared" si="8"/>
        <v>0</v>
      </c>
      <c r="P43" s="785" t="str">
        <f t="shared" si="9"/>
        <v/>
      </c>
      <c r="Q43" s="784">
        <f t="shared" si="10"/>
        <v>0</v>
      </c>
      <c r="R43" s="880">
        <f>IFERROR(_xlfn.XLOOKUP(F43,'VOTT Supporting - Auto'!A:A,'VOTT Supporting - Auto'!C:C,,0)*$B$25*$B$26,"N/A")</f>
        <v>0</v>
      </c>
      <c r="S43" s="880">
        <f>IFERROR(_xlfn.XLOOKUP(F43,'VOTT Supporting - Auto'!A:A,'VOTT Supporting - Auto'!C:C,,0)*$B$25*$B$27,"N/A")</f>
        <v>0</v>
      </c>
      <c r="T43" s="880">
        <f>_xlfn.XLOOKUP(F43,'VOTT Supporting - Transit TSP'!A:A,'VOTT Supporting - Transit TSP'!C:C,,0)</f>
        <v>0</v>
      </c>
      <c r="U43" s="880">
        <f>_xlfn.XLOOKUP(F43,'VOTT Supporting - Transit TSP'!A:A,'VOTT Supporting - Transit TSP'!D:D,,0)</f>
        <v>0</v>
      </c>
      <c r="V43" s="880">
        <f>IFERROR($B$25*_xlfn.XLOOKUP(F43,'VOTT Supporting - Walking'!A:A,'VOTT Supporting - Walking'!C:C,,0),"N/A")</f>
        <v>0</v>
      </c>
      <c r="W43" s="880">
        <v>0</v>
      </c>
      <c r="X43" s="451">
        <f t="shared" si="11"/>
        <v>0</v>
      </c>
      <c r="Y43" s="451">
        <f t="shared" si="12"/>
        <v>0</v>
      </c>
      <c r="Z43" s="344">
        <f t="shared" si="13"/>
        <v>0</v>
      </c>
      <c r="AA43" s="344">
        <f t="shared" si="14"/>
        <v>0</v>
      </c>
      <c r="AB43" s="344">
        <f t="shared" si="15"/>
        <v>0</v>
      </c>
      <c r="AC43" s="848">
        <f t="shared" si="16"/>
        <v>0</v>
      </c>
      <c r="AD43" s="37">
        <f t="shared" si="17"/>
        <v>0</v>
      </c>
      <c r="AE43" s="38">
        <f>AD43/(1+'Major Assumption Key'!$B$8)^($F43-'Major Assumption Key'!$B$7)</f>
        <v>0</v>
      </c>
      <c r="AF43" s="288"/>
      <c r="AG43" s="774">
        <f t="shared" si="18"/>
        <v>0</v>
      </c>
      <c r="AH43" s="848">
        <f t="shared" si="19"/>
        <v>0</v>
      </c>
      <c r="AI43" s="37">
        <f t="shared" si="20"/>
        <v>0</v>
      </c>
      <c r="AJ43" s="38">
        <f t="shared" si="21"/>
        <v>0</v>
      </c>
    </row>
    <row r="44" spans="6:36">
      <c r="F44" s="190">
        <f>'Major Assumption Key'!A56</f>
        <v>2057</v>
      </c>
      <c r="G44" s="880">
        <f>IFERROR(_xlfn.XLOOKUP(F44,'VOTT Supporting - Auto'!A:A,'VOTT Supporting - Auto'!B:B,,0)*$B$25*$B$26,"N/A")</f>
        <v>0</v>
      </c>
      <c r="H44" s="880">
        <f>IFERROR(_xlfn.XLOOKUP(F44,'VOTT Supporting - Auto'!A:A,'VOTT Supporting - Auto'!B:B,,0)*$B$25*$B$27,"N/A")</f>
        <v>0</v>
      </c>
      <c r="I44" s="880">
        <f>_xlfn.XLOOKUP(F44,'VOTT Supporting - Transit TSP'!A:A,'VOTT Supporting - Transit TSP'!B:B,,0)</f>
        <v>0</v>
      </c>
      <c r="J44" s="880">
        <f>IFERROR($B$25*_xlfn.XLOOKUP(F44,'VOTT Supporting - Walking'!A:A,'VOTT Supporting - Walking'!B:B,,0),"N/A")</f>
        <v>0</v>
      </c>
      <c r="K44" s="880">
        <v>0</v>
      </c>
      <c r="L44" s="785">
        <f t="shared" si="5"/>
        <v>0</v>
      </c>
      <c r="M44" s="785">
        <f t="shared" si="6"/>
        <v>0</v>
      </c>
      <c r="N44" s="785">
        <f t="shared" si="7"/>
        <v>0</v>
      </c>
      <c r="O44" s="785">
        <f t="shared" si="8"/>
        <v>0</v>
      </c>
      <c r="P44" s="785" t="str">
        <f t="shared" si="9"/>
        <v/>
      </c>
      <c r="Q44" s="784">
        <f t="shared" si="10"/>
        <v>0</v>
      </c>
      <c r="R44" s="880">
        <f>IFERROR(_xlfn.XLOOKUP(F44,'VOTT Supporting - Auto'!A:A,'VOTT Supporting - Auto'!C:C,,0)*$B$25*$B$26,"N/A")</f>
        <v>0</v>
      </c>
      <c r="S44" s="880">
        <f>IFERROR(_xlfn.XLOOKUP(F44,'VOTT Supporting - Auto'!A:A,'VOTT Supporting - Auto'!C:C,,0)*$B$25*$B$27,"N/A")</f>
        <v>0</v>
      </c>
      <c r="T44" s="880">
        <f>_xlfn.XLOOKUP(F44,'VOTT Supporting - Transit TSP'!A:A,'VOTT Supporting - Transit TSP'!C:C,,0)</f>
        <v>0</v>
      </c>
      <c r="U44" s="880">
        <f>_xlfn.XLOOKUP(F44,'VOTT Supporting - Transit TSP'!A:A,'VOTT Supporting - Transit TSP'!D:D,,0)</f>
        <v>0</v>
      </c>
      <c r="V44" s="880">
        <f>IFERROR($B$25*_xlfn.XLOOKUP(F44,'VOTT Supporting - Walking'!A:A,'VOTT Supporting - Walking'!C:C,,0),"N/A")</f>
        <v>0</v>
      </c>
      <c r="W44" s="880">
        <v>0</v>
      </c>
      <c r="X44" s="451">
        <f t="shared" si="11"/>
        <v>0</v>
      </c>
      <c r="Y44" s="451">
        <f t="shared" si="12"/>
        <v>0</v>
      </c>
      <c r="Z44" s="344">
        <f t="shared" si="13"/>
        <v>0</v>
      </c>
      <c r="AA44" s="344">
        <f t="shared" si="14"/>
        <v>0</v>
      </c>
      <c r="AB44" s="344">
        <f t="shared" si="15"/>
        <v>0</v>
      </c>
      <c r="AC44" s="848">
        <f t="shared" si="16"/>
        <v>0</v>
      </c>
      <c r="AD44" s="37">
        <f t="shared" si="17"/>
        <v>0</v>
      </c>
      <c r="AE44" s="38">
        <f>AD44/(1+'Major Assumption Key'!$B$8)^($F44-'Major Assumption Key'!$B$7)</f>
        <v>0</v>
      </c>
      <c r="AF44" s="288"/>
      <c r="AG44" s="774">
        <f t="shared" si="18"/>
        <v>0</v>
      </c>
      <c r="AH44" s="848">
        <f t="shared" si="19"/>
        <v>0</v>
      </c>
      <c r="AI44" s="37">
        <f t="shared" si="20"/>
        <v>0</v>
      </c>
      <c r="AJ44" s="38">
        <f t="shared" si="21"/>
        <v>0</v>
      </c>
    </row>
    <row r="45" spans="6:36">
      <c r="F45" s="190">
        <f>'Major Assumption Key'!A57</f>
        <v>2058</v>
      </c>
      <c r="G45" s="880">
        <f>IFERROR(_xlfn.XLOOKUP(F45,'VOTT Supporting - Auto'!A:A,'VOTT Supporting - Auto'!B:B,,0)*$B$25*$B$26,"N/A")</f>
        <v>0</v>
      </c>
      <c r="H45" s="880">
        <f>IFERROR(_xlfn.XLOOKUP(F45,'VOTT Supporting - Auto'!A:A,'VOTT Supporting - Auto'!B:B,,0)*$B$25*$B$27,"N/A")</f>
        <v>0</v>
      </c>
      <c r="I45" s="880">
        <f>_xlfn.XLOOKUP(F45,'VOTT Supporting - Transit TSP'!A:A,'VOTT Supporting - Transit TSP'!B:B,,0)</f>
        <v>0</v>
      </c>
      <c r="J45" s="880">
        <f>IFERROR($B$25*_xlfn.XLOOKUP(F45,'VOTT Supporting - Walking'!A:A,'VOTT Supporting - Walking'!B:B,,0),"N/A")</f>
        <v>0</v>
      </c>
      <c r="K45" s="880">
        <v>0</v>
      </c>
      <c r="L45" s="785">
        <f t="shared" si="5"/>
        <v>0</v>
      </c>
      <c r="M45" s="785">
        <f t="shared" si="6"/>
        <v>0</v>
      </c>
      <c r="N45" s="785">
        <f t="shared" si="7"/>
        <v>0</v>
      </c>
      <c r="O45" s="785">
        <f t="shared" si="8"/>
        <v>0</v>
      </c>
      <c r="P45" s="785" t="str">
        <f t="shared" si="9"/>
        <v/>
      </c>
      <c r="Q45" s="784">
        <f t="shared" si="10"/>
        <v>0</v>
      </c>
      <c r="R45" s="880">
        <f>IFERROR(_xlfn.XLOOKUP(F45,'VOTT Supporting - Auto'!A:A,'VOTT Supporting - Auto'!C:C,,0)*$B$25*$B$26,"N/A")</f>
        <v>0</v>
      </c>
      <c r="S45" s="880">
        <f>IFERROR(_xlfn.XLOOKUP(F45,'VOTT Supporting - Auto'!A:A,'VOTT Supporting - Auto'!C:C,,0)*$B$25*$B$27,"N/A")</f>
        <v>0</v>
      </c>
      <c r="T45" s="880">
        <f>_xlfn.XLOOKUP(F45,'VOTT Supporting - Transit TSP'!A:A,'VOTT Supporting - Transit TSP'!C:C,,0)</f>
        <v>0</v>
      </c>
      <c r="U45" s="880">
        <f>_xlfn.XLOOKUP(F45,'VOTT Supporting - Transit TSP'!A:A,'VOTT Supporting - Transit TSP'!D:D,,0)</f>
        <v>0</v>
      </c>
      <c r="V45" s="880">
        <f>IFERROR($B$25*_xlfn.XLOOKUP(F45,'VOTT Supporting - Walking'!A:A,'VOTT Supporting - Walking'!C:C,,0),"N/A")</f>
        <v>0</v>
      </c>
      <c r="W45" s="880">
        <v>0</v>
      </c>
      <c r="X45" s="451">
        <f t="shared" si="11"/>
        <v>0</v>
      </c>
      <c r="Y45" s="451">
        <f t="shared" si="12"/>
        <v>0</v>
      </c>
      <c r="Z45" s="344">
        <f t="shared" si="13"/>
        <v>0</v>
      </c>
      <c r="AA45" s="344">
        <f t="shared" si="14"/>
        <v>0</v>
      </c>
      <c r="AB45" s="344">
        <f t="shared" si="15"/>
        <v>0</v>
      </c>
      <c r="AC45" s="848">
        <f t="shared" si="16"/>
        <v>0</v>
      </c>
      <c r="AD45" s="37">
        <f t="shared" si="17"/>
        <v>0</v>
      </c>
      <c r="AE45" s="38">
        <f>AD45/(1+'Major Assumption Key'!$B$8)^($F45-'Major Assumption Key'!$B$7)</f>
        <v>0</v>
      </c>
      <c r="AF45" s="288"/>
      <c r="AG45" s="774">
        <f t="shared" si="18"/>
        <v>0</v>
      </c>
      <c r="AH45" s="848">
        <f t="shared" si="19"/>
        <v>0</v>
      </c>
      <c r="AI45" s="37">
        <f t="shared" si="20"/>
        <v>0</v>
      </c>
      <c r="AJ45" s="38">
        <f t="shared" si="21"/>
        <v>0</v>
      </c>
    </row>
    <row r="46" spans="6:36">
      <c r="F46" s="190">
        <f>'Major Assumption Key'!A58</f>
        <v>2059</v>
      </c>
      <c r="G46" s="880">
        <f>IFERROR(_xlfn.XLOOKUP(F46,'VOTT Supporting - Auto'!A:A,'VOTT Supporting - Auto'!B:B,,0)*$B$25*$B$26,"N/A")</f>
        <v>0</v>
      </c>
      <c r="H46" s="880">
        <f>IFERROR(_xlfn.XLOOKUP(F46,'VOTT Supporting - Auto'!A:A,'VOTT Supporting - Auto'!B:B,,0)*$B$25*$B$27,"N/A")</f>
        <v>0</v>
      </c>
      <c r="I46" s="880">
        <f>_xlfn.XLOOKUP(F46,'VOTT Supporting - Transit TSP'!A:A,'VOTT Supporting - Transit TSP'!B:B,,0)</f>
        <v>0</v>
      </c>
      <c r="J46" s="880">
        <f>IFERROR($B$25*_xlfn.XLOOKUP(F46,'VOTT Supporting - Walking'!A:A,'VOTT Supporting - Walking'!B:B,,0),"N/A")</f>
        <v>0</v>
      </c>
      <c r="K46" s="880">
        <v>0</v>
      </c>
      <c r="L46" s="785">
        <f t="shared" si="5"/>
        <v>0</v>
      </c>
      <c r="M46" s="785">
        <f t="shared" si="6"/>
        <v>0</v>
      </c>
      <c r="N46" s="785">
        <f t="shared" si="7"/>
        <v>0</v>
      </c>
      <c r="O46" s="785">
        <f t="shared" si="8"/>
        <v>0</v>
      </c>
      <c r="P46" s="785" t="str">
        <f t="shared" si="9"/>
        <v/>
      </c>
      <c r="Q46" s="784">
        <f t="shared" si="10"/>
        <v>0</v>
      </c>
      <c r="R46" s="880">
        <f>IFERROR(_xlfn.XLOOKUP(F46,'VOTT Supporting - Auto'!A:A,'VOTT Supporting - Auto'!C:C,,0)*$B$25*$B$26,"N/A")</f>
        <v>0</v>
      </c>
      <c r="S46" s="880">
        <f>IFERROR(_xlfn.XLOOKUP(F46,'VOTT Supporting - Auto'!A:A,'VOTT Supporting - Auto'!C:C,,0)*$B$25*$B$27,"N/A")</f>
        <v>0</v>
      </c>
      <c r="T46" s="880">
        <f>_xlfn.XLOOKUP(F46,'VOTT Supporting - Transit TSP'!A:A,'VOTT Supporting - Transit TSP'!C:C,,0)</f>
        <v>0</v>
      </c>
      <c r="U46" s="880">
        <f>_xlfn.XLOOKUP(F46,'VOTT Supporting - Transit TSP'!A:A,'VOTT Supporting - Transit TSP'!D:D,,0)</f>
        <v>0</v>
      </c>
      <c r="V46" s="880">
        <f>IFERROR($B$25*_xlfn.XLOOKUP(F46,'VOTT Supporting - Walking'!A:A,'VOTT Supporting - Walking'!C:C,,0),"N/A")</f>
        <v>0</v>
      </c>
      <c r="W46" s="880">
        <v>0</v>
      </c>
      <c r="X46" s="451">
        <f t="shared" si="11"/>
        <v>0</v>
      </c>
      <c r="Y46" s="451">
        <f t="shared" si="12"/>
        <v>0</v>
      </c>
      <c r="Z46" s="344">
        <f t="shared" si="13"/>
        <v>0</v>
      </c>
      <c r="AA46" s="344">
        <f t="shared" si="14"/>
        <v>0</v>
      </c>
      <c r="AB46" s="344">
        <f t="shared" si="15"/>
        <v>0</v>
      </c>
      <c r="AC46" s="848">
        <f t="shared" si="16"/>
        <v>0</v>
      </c>
      <c r="AD46" s="37">
        <f t="shared" si="17"/>
        <v>0</v>
      </c>
      <c r="AE46" s="38">
        <f>AD46/(1+'Major Assumption Key'!$B$8)^($F46-'Major Assumption Key'!$B$7)</f>
        <v>0</v>
      </c>
      <c r="AF46" s="288"/>
      <c r="AG46" s="774">
        <f t="shared" si="18"/>
        <v>0</v>
      </c>
      <c r="AH46" s="848">
        <f t="shared" si="19"/>
        <v>0</v>
      </c>
      <c r="AI46" s="37">
        <f t="shared" si="20"/>
        <v>0</v>
      </c>
      <c r="AJ46" s="38">
        <f t="shared" si="21"/>
        <v>0</v>
      </c>
    </row>
    <row r="47" spans="6:36">
      <c r="F47" s="190">
        <f>'Major Assumption Key'!A59</f>
        <v>2060</v>
      </c>
      <c r="G47" s="880">
        <f>IFERROR(_xlfn.XLOOKUP(F47,'VOTT Supporting - Auto'!A:A,'VOTT Supporting - Auto'!B:B,,0)*$B$25*$B$26,"N/A")</f>
        <v>0</v>
      </c>
      <c r="H47" s="880">
        <f>IFERROR(_xlfn.XLOOKUP(F47,'VOTT Supporting - Auto'!A:A,'VOTT Supporting - Auto'!B:B,,0)*$B$25*$B$27,"N/A")</f>
        <v>0</v>
      </c>
      <c r="I47" s="880">
        <f>_xlfn.XLOOKUP(F47,'VOTT Supporting - Transit TSP'!A:A,'VOTT Supporting - Transit TSP'!B:B,,0)</f>
        <v>0</v>
      </c>
      <c r="J47" s="880">
        <f>IFERROR($B$25*_xlfn.XLOOKUP(F47,'VOTT Supporting - Walking'!A:A,'VOTT Supporting - Walking'!B:B,,0),"N/A")</f>
        <v>0</v>
      </c>
      <c r="K47" s="880">
        <v>0</v>
      </c>
      <c r="L47" s="785">
        <f t="shared" si="5"/>
        <v>0</v>
      </c>
      <c r="M47" s="785">
        <f t="shared" si="6"/>
        <v>0</v>
      </c>
      <c r="N47" s="785">
        <f t="shared" si="7"/>
        <v>0</v>
      </c>
      <c r="O47" s="785">
        <f t="shared" si="8"/>
        <v>0</v>
      </c>
      <c r="P47" s="785" t="str">
        <f t="shared" si="9"/>
        <v/>
      </c>
      <c r="Q47" s="784">
        <f t="shared" si="10"/>
        <v>0</v>
      </c>
      <c r="R47" s="880">
        <f>IFERROR(_xlfn.XLOOKUP(F47,'VOTT Supporting - Auto'!A:A,'VOTT Supporting - Auto'!C:C,,0)*$B$25*$B$26,"N/A")</f>
        <v>0</v>
      </c>
      <c r="S47" s="880">
        <f>IFERROR(_xlfn.XLOOKUP(F47,'VOTT Supporting - Auto'!A:A,'VOTT Supporting - Auto'!C:C,,0)*$B$25*$B$27,"N/A")</f>
        <v>0</v>
      </c>
      <c r="T47" s="880">
        <f>_xlfn.XLOOKUP(F47,'VOTT Supporting - Transit TSP'!A:A,'VOTT Supporting - Transit TSP'!C:C,,0)</f>
        <v>0</v>
      </c>
      <c r="U47" s="880">
        <f>_xlfn.XLOOKUP(F47,'VOTT Supporting - Transit TSP'!A:A,'VOTT Supporting - Transit TSP'!D:D,,0)</f>
        <v>0</v>
      </c>
      <c r="V47" s="880">
        <f>IFERROR($B$25*_xlfn.XLOOKUP(F47,'VOTT Supporting - Walking'!A:A,'VOTT Supporting - Walking'!C:C,,0),"N/A")</f>
        <v>0</v>
      </c>
      <c r="W47" s="880">
        <v>0</v>
      </c>
      <c r="X47" s="451">
        <f t="shared" si="11"/>
        <v>0</v>
      </c>
      <c r="Y47" s="451">
        <f t="shared" si="12"/>
        <v>0</v>
      </c>
      <c r="Z47" s="344">
        <f t="shared" si="13"/>
        <v>0</v>
      </c>
      <c r="AA47" s="344">
        <f t="shared" si="14"/>
        <v>0</v>
      </c>
      <c r="AB47" s="344">
        <f t="shared" si="15"/>
        <v>0</v>
      </c>
      <c r="AC47" s="848">
        <f t="shared" si="16"/>
        <v>0</v>
      </c>
      <c r="AD47" s="37">
        <f t="shared" si="17"/>
        <v>0</v>
      </c>
      <c r="AE47" s="38">
        <f>AD47/(1+'Major Assumption Key'!$B$8)^($F47-'Major Assumption Key'!$B$7)</f>
        <v>0</v>
      </c>
      <c r="AF47" s="288"/>
      <c r="AG47" s="774">
        <f t="shared" si="18"/>
        <v>0</v>
      </c>
      <c r="AH47" s="848">
        <f t="shared" si="19"/>
        <v>0</v>
      </c>
      <c r="AI47" s="37">
        <f t="shared" si="20"/>
        <v>0</v>
      </c>
      <c r="AJ47" s="38">
        <f t="shared" si="21"/>
        <v>0</v>
      </c>
    </row>
    <row r="48" spans="6:36" ht="15" thickBot="1">
      <c r="F48" s="189" t="s">
        <v>504</v>
      </c>
      <c r="G48" s="188"/>
      <c r="H48" s="188"/>
      <c r="I48" s="188"/>
      <c r="J48" s="188"/>
      <c r="K48" s="188"/>
      <c r="L48" s="188"/>
      <c r="M48" s="188"/>
      <c r="N48" s="188"/>
      <c r="O48" s="188"/>
      <c r="P48" s="188"/>
      <c r="Q48" s="376">
        <f>SUMIFS($Q$7:$Q$47,$F$7:$F$47,"&gt;="&amp;$B$17,$F$7:$F$47,"&lt;="&amp;$B$18)</f>
        <v>0</v>
      </c>
      <c r="R48" s="462"/>
      <c r="S48" s="462"/>
      <c r="T48" s="462"/>
      <c r="U48" s="462"/>
      <c r="V48" s="462"/>
      <c r="W48" s="462"/>
      <c r="X48" s="188"/>
      <c r="Y48" s="188"/>
      <c r="Z48" s="188"/>
      <c r="AA48" s="188"/>
      <c r="AB48" s="188"/>
      <c r="AC48" s="376">
        <f>SUMIFS($AC$7:$AC$47,$F$7:$F$47,"&gt;="&amp;$B$17,$F$7:$F$47,"&lt;="&amp;$B$18)</f>
        <v>0</v>
      </c>
      <c r="AD48" s="376">
        <f>SUMIFS($AD$7:$AD$47,$F$7:$F$47,"&gt;="&amp;$B$17,$F$7:$F$47,"&lt;="&amp;$B$18)</f>
        <v>0</v>
      </c>
      <c r="AE48" s="376">
        <f>SUMIFS($AE$7:$AE$47,$F$7:$F$47,"&gt;="&amp;$B$17,$F$7:$F$47,"&lt;="&amp;$B$18)</f>
        <v>0</v>
      </c>
      <c r="AF48" s="288"/>
      <c r="AG48" s="118">
        <f t="shared" si="1"/>
        <v>0</v>
      </c>
      <c r="AH48" s="119">
        <f>ROUND(AC48,-3)</f>
        <v>0</v>
      </c>
      <c r="AI48" s="187">
        <f t="shared" si="3"/>
        <v>0</v>
      </c>
      <c r="AJ48" s="187">
        <f t="shared" si="4"/>
        <v>0</v>
      </c>
    </row>
    <row r="49" spans="17:32">
      <c r="Q49" s="186"/>
      <c r="R49" s="186"/>
      <c r="S49" s="186"/>
      <c r="T49" s="186"/>
      <c r="U49" s="186"/>
      <c r="V49" s="186"/>
      <c r="W49" s="186"/>
      <c r="AC49" s="186"/>
      <c r="AF49" s="288"/>
    </row>
  </sheetData>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77734375" defaultRowHeight="14.4"/>
  <cols>
    <col min="1" max="1" width="30.21875" style="179" bestFit="1" customWidth="1"/>
    <col min="2" max="2" width="22.21875" style="180" customWidth="1"/>
    <col min="3" max="3" width="21.77734375" style="180" customWidth="1"/>
    <col min="4" max="4" width="17.77734375" style="180" bestFit="1" customWidth="1"/>
    <col min="5" max="5" width="27.77734375" style="180" bestFit="1" customWidth="1"/>
    <col min="6" max="6" width="24.44140625" style="180" bestFit="1" customWidth="1"/>
    <col min="7" max="7" width="19.21875" style="180" bestFit="1" customWidth="1"/>
    <col min="8" max="8" width="15.21875" style="180" bestFit="1" customWidth="1"/>
    <col min="9" max="9" width="27.77734375" style="180" bestFit="1" customWidth="1"/>
    <col min="10" max="10" width="4.21875" style="180" bestFit="1" customWidth="1"/>
    <col min="11" max="11" width="19.21875" style="180" bestFit="1" customWidth="1"/>
    <col min="12" max="12" width="15.21875" style="180" bestFit="1" customWidth="1"/>
    <col min="13" max="13" width="27.77734375" style="180" bestFit="1" customWidth="1"/>
    <col min="14" max="14" width="4.21875" style="180" bestFit="1" customWidth="1"/>
    <col min="15" max="15" width="19.21875" style="180" bestFit="1" customWidth="1"/>
    <col min="16" max="16" width="15.21875" style="179" bestFit="1" customWidth="1"/>
    <col min="17" max="17" width="27.77734375" style="179" bestFit="1" customWidth="1"/>
    <col min="18" max="18" width="16.44140625" style="179" bestFit="1" customWidth="1"/>
    <col min="19" max="19" width="12.77734375" style="179" customWidth="1"/>
    <col min="20" max="20" width="13.21875" style="179" customWidth="1"/>
    <col min="21" max="21" width="12.21875" style="179" customWidth="1"/>
    <col min="22" max="22" width="9" style="179" bestFit="1" customWidth="1"/>
    <col min="23" max="23" width="12" style="179" customWidth="1"/>
    <col min="24" max="24" width="13.77734375" style="179" customWidth="1"/>
    <col min="25" max="26" width="11" style="179" customWidth="1"/>
    <col min="27" max="27" width="9" style="179" bestFit="1" customWidth="1"/>
    <col min="28" max="16384" width="8.77734375" style="179"/>
  </cols>
  <sheetData>
    <row r="1" spans="1:17" ht="25.2" customHeight="1">
      <c r="A1" s="271" t="s">
        <v>7045</v>
      </c>
      <c r="B1" s="42" t="s">
        <v>7046</v>
      </c>
      <c r="C1" s="184"/>
      <c r="D1" s="183"/>
      <c r="E1" s="183"/>
      <c r="F1" s="33" t="s">
        <v>187</v>
      </c>
      <c r="G1" s="45" t="str">
        <f>HYPERLINK("#'"&amp;INDEX('Master Key'!$B:$B,MATCH("Master Key",'Master Key'!$B:$B,0),1)&amp;"'!A1","Go To Sheet")</f>
        <v>Go To Sheet</v>
      </c>
    </row>
    <row r="2" spans="1:17" ht="25.2" customHeight="1">
      <c r="A2" s="445"/>
      <c r="B2" s="446"/>
      <c r="C2" s="447"/>
      <c r="F2" s="33"/>
      <c r="G2" s="45"/>
    </row>
    <row r="3" spans="1:17" ht="15" thickBot="1">
      <c r="A3" s="182" t="s">
        <v>1298</v>
      </c>
      <c r="B3" s="475">
        <f>'Major Assumption Key'!B12</f>
        <v>1.4738604988289711E-2</v>
      </c>
      <c r="C3" s="576" t="str">
        <f>'Major Assumption Key'!C12</f>
        <v>Source: TxDOT State Planning Map, "Future Traffic &amp; Percent Truck"  https://www.txdot.gov/apps/statewide_mapping/StatewidePlanningMap.html</v>
      </c>
    </row>
    <row r="4" spans="1:17" s="448" customFormat="1" ht="15.6">
      <c r="A4" s="2014" t="s">
        <v>7047</v>
      </c>
      <c r="B4" s="2018" t="s">
        <v>66</v>
      </c>
      <c r="C4" s="2018"/>
      <c r="D4" s="2018"/>
      <c r="E4" s="2018"/>
      <c r="F4" s="2018"/>
      <c r="G4" s="2018"/>
      <c r="H4" s="2018"/>
      <c r="I4" s="2018"/>
      <c r="J4" s="2018" t="s">
        <v>131</v>
      </c>
      <c r="K4" s="2018"/>
      <c r="L4" s="2018"/>
      <c r="M4" s="2018"/>
      <c r="N4" s="2018"/>
      <c r="O4" s="2018"/>
      <c r="P4" s="2018"/>
      <c r="Q4" s="2019"/>
    </row>
    <row r="5" spans="1:17" ht="29.25" customHeight="1">
      <c r="A5" s="2015"/>
      <c r="B5" s="2016" t="s">
        <v>7048</v>
      </c>
      <c r="C5" s="2016"/>
      <c r="D5" s="2016"/>
      <c r="E5" s="2016"/>
      <c r="F5" s="2016" t="s">
        <v>7049</v>
      </c>
      <c r="G5" s="2016"/>
      <c r="H5" s="2016"/>
      <c r="I5" s="2016"/>
      <c r="J5" s="2016" t="s">
        <v>7048</v>
      </c>
      <c r="K5" s="2016"/>
      <c r="L5" s="2016"/>
      <c r="M5" s="2016"/>
      <c r="N5" s="2016" t="s">
        <v>7050</v>
      </c>
      <c r="O5" s="2016"/>
      <c r="P5" s="2016"/>
      <c r="Q5" s="2017"/>
    </row>
    <row r="6" spans="1:17" ht="15" customHeight="1">
      <c r="A6" s="452" t="s">
        <v>7051</v>
      </c>
      <c r="B6" s="453" t="s">
        <v>7052</v>
      </c>
      <c r="C6" s="453" t="s">
        <v>7053</v>
      </c>
      <c r="D6" s="884" t="s">
        <v>7054</v>
      </c>
      <c r="E6" s="453" t="s">
        <v>7055</v>
      </c>
      <c r="F6" s="453" t="s">
        <v>7052</v>
      </c>
      <c r="G6" s="453" t="s">
        <v>7053</v>
      </c>
      <c r="H6" s="884" t="s">
        <v>7054</v>
      </c>
      <c r="I6" s="453" t="s">
        <v>7055</v>
      </c>
      <c r="J6" s="453" t="s">
        <v>7052</v>
      </c>
      <c r="K6" s="453" t="s">
        <v>7053</v>
      </c>
      <c r="L6" s="884" t="s">
        <v>7054</v>
      </c>
      <c r="M6" s="453" t="s">
        <v>7055</v>
      </c>
      <c r="N6" s="453" t="s">
        <v>7052</v>
      </c>
      <c r="O6" s="453" t="s">
        <v>7053</v>
      </c>
      <c r="P6" s="884" t="s">
        <v>7054</v>
      </c>
      <c r="Q6" s="454" t="s">
        <v>7055</v>
      </c>
    </row>
    <row r="7" spans="1:17">
      <c r="A7" s="455"/>
      <c r="B7" s="885"/>
      <c r="C7" s="456"/>
      <c r="D7" s="574"/>
      <c r="E7" s="453">
        <f>(C7*D7)/3600</f>
        <v>0</v>
      </c>
      <c r="F7" s="885"/>
      <c r="G7" s="456"/>
      <c r="H7" s="574"/>
      <c r="I7" s="453">
        <f>(G7*H7)/60/60</f>
        <v>0</v>
      </c>
      <c r="J7" s="885"/>
      <c r="K7" s="456"/>
      <c r="L7" s="574"/>
      <c r="M7" s="453">
        <f>(K7*L7)/60/60</f>
        <v>0</v>
      </c>
      <c r="N7" s="885"/>
      <c r="O7" s="456"/>
      <c r="P7" s="574"/>
      <c r="Q7" s="454">
        <f>(O7*P7)/60/60</f>
        <v>0</v>
      </c>
    </row>
    <row r="8" spans="1:17">
      <c r="A8" s="455"/>
      <c r="B8" s="885"/>
      <c r="C8" s="456"/>
      <c r="D8" s="574"/>
      <c r="E8" s="453">
        <f>(C8*D8)/3600</f>
        <v>0</v>
      </c>
      <c r="F8" s="885"/>
      <c r="G8" s="456"/>
      <c r="H8" s="574"/>
      <c r="I8" s="453">
        <f t="shared" ref="I8:I12" si="0">(G8*H8)/60/60</f>
        <v>0</v>
      </c>
      <c r="J8" s="885"/>
      <c r="K8" s="456"/>
      <c r="L8" s="574"/>
      <c r="M8" s="453">
        <f>(K8*L8)/60/60</f>
        <v>0</v>
      </c>
      <c r="N8" s="885"/>
      <c r="O8" s="456"/>
      <c r="P8" s="574"/>
      <c r="Q8" s="454">
        <f t="shared" ref="Q8:Q12" si="1">(O8*P8)/60/60</f>
        <v>0</v>
      </c>
    </row>
    <row r="9" spans="1:17">
      <c r="A9" s="455"/>
      <c r="B9" s="885"/>
      <c r="C9" s="456"/>
      <c r="D9" s="574"/>
      <c r="E9" s="453">
        <f t="shared" ref="E9:E11" si="2">(C9*D9)/3600</f>
        <v>0</v>
      </c>
      <c r="F9" s="885"/>
      <c r="G9" s="456"/>
      <c r="H9" s="574"/>
      <c r="I9" s="453">
        <f t="shared" si="0"/>
        <v>0</v>
      </c>
      <c r="J9" s="885"/>
      <c r="K9" s="456"/>
      <c r="L9" s="574"/>
      <c r="M9" s="453">
        <f t="shared" ref="M9:M12" si="3">(K9*L9)/60/60</f>
        <v>0</v>
      </c>
      <c r="N9" s="885"/>
      <c r="O9" s="456"/>
      <c r="P9" s="574"/>
      <c r="Q9" s="454">
        <f t="shared" si="1"/>
        <v>0</v>
      </c>
    </row>
    <row r="10" spans="1:17">
      <c r="A10" s="455"/>
      <c r="B10" s="885"/>
      <c r="C10" s="456"/>
      <c r="D10" s="574"/>
      <c r="E10" s="453">
        <f t="shared" si="2"/>
        <v>0</v>
      </c>
      <c r="F10" s="885"/>
      <c r="G10" s="456"/>
      <c r="H10" s="574"/>
      <c r="I10" s="453">
        <f t="shared" si="0"/>
        <v>0</v>
      </c>
      <c r="J10" s="885"/>
      <c r="K10" s="456"/>
      <c r="L10" s="574"/>
      <c r="M10" s="453">
        <f t="shared" si="3"/>
        <v>0</v>
      </c>
      <c r="N10" s="885"/>
      <c r="O10" s="456"/>
      <c r="P10" s="574"/>
      <c r="Q10" s="454">
        <f t="shared" si="1"/>
        <v>0</v>
      </c>
    </row>
    <row r="11" spans="1:17">
      <c r="A11" s="455"/>
      <c r="B11" s="885"/>
      <c r="C11" s="456"/>
      <c r="D11" s="574"/>
      <c r="E11" s="453">
        <f t="shared" si="2"/>
        <v>0</v>
      </c>
      <c r="F11" s="885"/>
      <c r="G11" s="456"/>
      <c r="H11" s="574"/>
      <c r="I11" s="453">
        <f t="shared" si="0"/>
        <v>0</v>
      </c>
      <c r="J11" s="885"/>
      <c r="K11" s="456"/>
      <c r="L11" s="574"/>
      <c r="M11" s="453">
        <f t="shared" si="3"/>
        <v>0</v>
      </c>
      <c r="N11" s="885"/>
      <c r="O11" s="456"/>
      <c r="P11" s="574"/>
      <c r="Q11" s="454">
        <f t="shared" si="1"/>
        <v>0</v>
      </c>
    </row>
    <row r="12" spans="1:17" ht="15" thickBot="1">
      <c r="A12" s="457"/>
      <c r="B12" s="886"/>
      <c r="C12" s="458"/>
      <c r="D12" s="575"/>
      <c r="E12" s="459">
        <f>(C12*D12)/3600</f>
        <v>0</v>
      </c>
      <c r="F12" s="886"/>
      <c r="G12" s="458"/>
      <c r="H12" s="575"/>
      <c r="I12" s="459">
        <f t="shared" si="0"/>
        <v>0</v>
      </c>
      <c r="J12" s="886"/>
      <c r="K12" s="458"/>
      <c r="L12" s="575"/>
      <c r="M12" s="459">
        <f t="shared" si="3"/>
        <v>0</v>
      </c>
      <c r="N12" s="886"/>
      <c r="O12" s="458"/>
      <c r="P12" s="575"/>
      <c r="Q12" s="460">
        <f t="shared" si="1"/>
        <v>0</v>
      </c>
    </row>
    <row r="13" spans="1:17">
      <c r="A13" s="461" t="s">
        <v>210</v>
      </c>
      <c r="B13" s="887"/>
    </row>
    <row r="14" spans="1:17">
      <c r="A14" s="461" t="s">
        <v>210</v>
      </c>
      <c r="B14" s="887"/>
    </row>
    <row r="15" spans="1:17">
      <c r="A15" s="182"/>
    </row>
    <row r="16" spans="1:17" ht="15" thickBot="1">
      <c r="A16" s="206" t="s">
        <v>7056</v>
      </c>
    </row>
    <row r="17" spans="1:15" ht="43.2">
      <c r="A17" s="378" t="s">
        <v>510</v>
      </c>
      <c r="B17" s="379" t="s">
        <v>7057</v>
      </c>
      <c r="C17" s="379" t="s">
        <v>7058</v>
      </c>
      <c r="D17" s="577" t="s">
        <v>7059</v>
      </c>
      <c r="O17" s="179"/>
    </row>
    <row r="18" spans="1:15">
      <c r="A18" s="216">
        <f>'Major Assumption Key'!A19</f>
        <v>2020</v>
      </c>
      <c r="B18" s="888">
        <v>0</v>
      </c>
      <c r="C18" s="888">
        <v>0</v>
      </c>
      <c r="D18" s="889">
        <v>0</v>
      </c>
      <c r="H18" s="179"/>
      <c r="I18" s="179"/>
      <c r="J18" s="179"/>
      <c r="K18" s="179"/>
      <c r="O18" s="179"/>
    </row>
    <row r="19" spans="1:15">
      <c r="A19" s="216">
        <f>'Major Assumption Key'!A20</f>
        <v>2021</v>
      </c>
      <c r="B19" s="888">
        <f>SUM($E$7:$E$12)+SUM($I$7:$I$12)</f>
        <v>0</v>
      </c>
      <c r="C19" s="215">
        <f>SUM($M$7:$M$12)+SUM($Q$7:$Q$12)</f>
        <v>0</v>
      </c>
      <c r="D19" s="525">
        <f>B19-C19</f>
        <v>0</v>
      </c>
      <c r="H19" s="179"/>
      <c r="I19" s="179"/>
      <c r="J19" s="179"/>
      <c r="K19" s="179"/>
      <c r="O19" s="179"/>
    </row>
    <row r="20" spans="1:15">
      <c r="A20" s="216">
        <f>'Major Assumption Key'!A21</f>
        <v>2022</v>
      </c>
      <c r="B20" s="215">
        <f>B19*(1+$B$3)</f>
        <v>0</v>
      </c>
      <c r="C20" s="215">
        <f>C19*(1+$B$3)</f>
        <v>0</v>
      </c>
      <c r="D20" s="525">
        <f t="shared" ref="D20:D49" si="4">B20-C20</f>
        <v>0</v>
      </c>
      <c r="H20" s="179"/>
      <c r="I20" s="179"/>
      <c r="J20" s="179"/>
      <c r="K20" s="179"/>
      <c r="O20" s="179"/>
    </row>
    <row r="21" spans="1:15">
      <c r="A21" s="216">
        <f>'Major Assumption Key'!A22</f>
        <v>2023</v>
      </c>
      <c r="B21" s="215">
        <f t="shared" ref="B21:B58" si="5">B20*(1+$B$3)</f>
        <v>0</v>
      </c>
      <c r="C21" s="215">
        <f t="shared" ref="C21:C58" si="6">C20*(1+$B$3)</f>
        <v>0</v>
      </c>
      <c r="D21" s="525">
        <f t="shared" si="4"/>
        <v>0</v>
      </c>
      <c r="H21" s="179"/>
      <c r="I21" s="179"/>
      <c r="J21" s="179"/>
      <c r="K21" s="179"/>
      <c r="O21" s="179"/>
    </row>
    <row r="22" spans="1:15">
      <c r="A22" s="216">
        <f>'Major Assumption Key'!A23</f>
        <v>2024</v>
      </c>
      <c r="B22" s="215">
        <f t="shared" si="5"/>
        <v>0</v>
      </c>
      <c r="C22" s="215">
        <f t="shared" si="6"/>
        <v>0</v>
      </c>
      <c r="D22" s="525">
        <f t="shared" si="4"/>
        <v>0</v>
      </c>
      <c r="H22" s="179"/>
      <c r="I22" s="179"/>
      <c r="J22" s="179"/>
      <c r="K22" s="179"/>
      <c r="O22" s="179"/>
    </row>
    <row r="23" spans="1:15">
      <c r="A23" s="216">
        <f>'Major Assumption Key'!A24</f>
        <v>2025</v>
      </c>
      <c r="B23" s="215">
        <f t="shared" si="5"/>
        <v>0</v>
      </c>
      <c r="C23" s="215">
        <f t="shared" si="6"/>
        <v>0</v>
      </c>
      <c r="D23" s="525">
        <f t="shared" si="4"/>
        <v>0</v>
      </c>
      <c r="H23" s="179"/>
      <c r="I23" s="179"/>
      <c r="J23" s="179"/>
      <c r="K23" s="179"/>
      <c r="O23" s="179"/>
    </row>
    <row r="24" spans="1:15">
      <c r="A24" s="216">
        <f>'Major Assumption Key'!A25</f>
        <v>2026</v>
      </c>
      <c r="B24" s="215">
        <f t="shared" si="5"/>
        <v>0</v>
      </c>
      <c r="C24" s="215">
        <f t="shared" si="6"/>
        <v>0</v>
      </c>
      <c r="D24" s="525">
        <f t="shared" si="4"/>
        <v>0</v>
      </c>
      <c r="H24" s="179"/>
      <c r="I24" s="179"/>
      <c r="J24" s="179"/>
      <c r="K24" s="179"/>
      <c r="O24" s="179"/>
    </row>
    <row r="25" spans="1:15">
      <c r="A25" s="216">
        <f>'Major Assumption Key'!A26</f>
        <v>2027</v>
      </c>
      <c r="B25" s="215">
        <f t="shared" si="5"/>
        <v>0</v>
      </c>
      <c r="C25" s="215">
        <f t="shared" si="6"/>
        <v>0</v>
      </c>
      <c r="D25" s="525">
        <f t="shared" si="4"/>
        <v>0</v>
      </c>
      <c r="H25" s="179"/>
      <c r="I25" s="179"/>
      <c r="J25" s="179"/>
      <c r="K25" s="179"/>
      <c r="O25" s="179"/>
    </row>
    <row r="26" spans="1:15">
      <c r="A26" s="216">
        <f>'Major Assumption Key'!A27</f>
        <v>2028</v>
      </c>
      <c r="B26" s="215">
        <f t="shared" si="5"/>
        <v>0</v>
      </c>
      <c r="C26" s="215">
        <f t="shared" si="6"/>
        <v>0</v>
      </c>
      <c r="D26" s="525">
        <f t="shared" si="4"/>
        <v>0</v>
      </c>
      <c r="H26" s="179"/>
      <c r="I26" s="179"/>
      <c r="J26" s="179"/>
      <c r="K26" s="179"/>
      <c r="O26" s="179"/>
    </row>
    <row r="27" spans="1:15">
      <c r="A27" s="216">
        <f>'Major Assumption Key'!A28</f>
        <v>2029</v>
      </c>
      <c r="B27" s="215">
        <f t="shared" si="5"/>
        <v>0</v>
      </c>
      <c r="C27" s="215">
        <f t="shared" si="6"/>
        <v>0</v>
      </c>
      <c r="D27" s="525">
        <f t="shared" si="4"/>
        <v>0</v>
      </c>
      <c r="H27" s="179"/>
      <c r="I27" s="179"/>
      <c r="J27" s="179"/>
      <c r="K27" s="179"/>
      <c r="O27" s="179"/>
    </row>
    <row r="28" spans="1:15">
      <c r="A28" s="216">
        <f>'Major Assumption Key'!A29</f>
        <v>2030</v>
      </c>
      <c r="B28" s="215">
        <f t="shared" si="5"/>
        <v>0</v>
      </c>
      <c r="C28" s="215">
        <f t="shared" si="6"/>
        <v>0</v>
      </c>
      <c r="D28" s="525">
        <f t="shared" si="4"/>
        <v>0</v>
      </c>
      <c r="H28" s="179"/>
      <c r="I28" s="179"/>
      <c r="J28" s="179"/>
      <c r="K28" s="179"/>
      <c r="O28" s="179"/>
    </row>
    <row r="29" spans="1:15">
      <c r="A29" s="216">
        <f>'Major Assumption Key'!A30</f>
        <v>2031</v>
      </c>
      <c r="B29" s="215">
        <f t="shared" si="5"/>
        <v>0</v>
      </c>
      <c r="C29" s="215">
        <f t="shared" si="6"/>
        <v>0</v>
      </c>
      <c r="D29" s="525">
        <f t="shared" si="4"/>
        <v>0</v>
      </c>
      <c r="H29" s="179"/>
      <c r="I29" s="179"/>
      <c r="J29" s="179"/>
      <c r="K29" s="179"/>
      <c r="O29" s="179"/>
    </row>
    <row r="30" spans="1:15">
      <c r="A30" s="216">
        <f>'Major Assumption Key'!A31</f>
        <v>2032</v>
      </c>
      <c r="B30" s="215">
        <f t="shared" si="5"/>
        <v>0</v>
      </c>
      <c r="C30" s="215">
        <f t="shared" si="6"/>
        <v>0</v>
      </c>
      <c r="D30" s="525">
        <f t="shared" si="4"/>
        <v>0</v>
      </c>
      <c r="H30" s="179"/>
      <c r="I30" s="179"/>
      <c r="J30" s="179"/>
      <c r="K30" s="179"/>
      <c r="O30" s="179"/>
    </row>
    <row r="31" spans="1:15">
      <c r="A31" s="216">
        <f>'Major Assumption Key'!A32</f>
        <v>2033</v>
      </c>
      <c r="B31" s="215">
        <f t="shared" si="5"/>
        <v>0</v>
      </c>
      <c r="C31" s="215">
        <f t="shared" si="6"/>
        <v>0</v>
      </c>
      <c r="D31" s="525">
        <f t="shared" si="4"/>
        <v>0</v>
      </c>
      <c r="H31" s="179"/>
      <c r="I31" s="179"/>
      <c r="J31" s="179"/>
      <c r="K31" s="179"/>
      <c r="O31" s="179"/>
    </row>
    <row r="32" spans="1:15">
      <c r="A32" s="216">
        <f>'Major Assumption Key'!A33</f>
        <v>2034</v>
      </c>
      <c r="B32" s="215">
        <f t="shared" si="5"/>
        <v>0</v>
      </c>
      <c r="C32" s="215">
        <f t="shared" si="6"/>
        <v>0</v>
      </c>
      <c r="D32" s="525">
        <f t="shared" si="4"/>
        <v>0</v>
      </c>
      <c r="H32" s="179"/>
      <c r="I32" s="179"/>
      <c r="J32" s="179"/>
      <c r="K32" s="179"/>
      <c r="O32" s="179"/>
    </row>
    <row r="33" spans="1:15">
      <c r="A33" s="216">
        <f>'Major Assumption Key'!A34</f>
        <v>2035</v>
      </c>
      <c r="B33" s="215">
        <f t="shared" si="5"/>
        <v>0</v>
      </c>
      <c r="C33" s="215">
        <f t="shared" si="6"/>
        <v>0</v>
      </c>
      <c r="D33" s="525">
        <f t="shared" si="4"/>
        <v>0</v>
      </c>
      <c r="H33" s="179"/>
      <c r="I33" s="179"/>
      <c r="J33" s="179"/>
      <c r="K33" s="179"/>
      <c r="O33" s="179"/>
    </row>
    <row r="34" spans="1:15">
      <c r="A34" s="216">
        <f>'Major Assumption Key'!A35</f>
        <v>2036</v>
      </c>
      <c r="B34" s="215">
        <f t="shared" si="5"/>
        <v>0</v>
      </c>
      <c r="C34" s="215">
        <f t="shared" si="6"/>
        <v>0</v>
      </c>
      <c r="D34" s="525">
        <f t="shared" si="4"/>
        <v>0</v>
      </c>
      <c r="H34" s="179"/>
      <c r="I34" s="179"/>
      <c r="J34" s="179"/>
      <c r="K34" s="179"/>
      <c r="O34" s="179"/>
    </row>
    <row r="35" spans="1:15">
      <c r="A35" s="216">
        <f>'Major Assumption Key'!A36</f>
        <v>2037</v>
      </c>
      <c r="B35" s="215">
        <f t="shared" si="5"/>
        <v>0</v>
      </c>
      <c r="C35" s="215">
        <f t="shared" si="6"/>
        <v>0</v>
      </c>
      <c r="D35" s="525">
        <f t="shared" si="4"/>
        <v>0</v>
      </c>
      <c r="H35" s="179"/>
      <c r="I35" s="179"/>
      <c r="J35" s="179"/>
      <c r="K35" s="179"/>
      <c r="O35" s="179"/>
    </row>
    <row r="36" spans="1:15">
      <c r="A36" s="216">
        <f>'Major Assumption Key'!A37</f>
        <v>2038</v>
      </c>
      <c r="B36" s="215">
        <f t="shared" si="5"/>
        <v>0</v>
      </c>
      <c r="C36" s="215">
        <f t="shared" si="6"/>
        <v>0</v>
      </c>
      <c r="D36" s="525">
        <f t="shared" si="4"/>
        <v>0</v>
      </c>
      <c r="H36" s="179"/>
      <c r="I36" s="179"/>
      <c r="J36" s="179"/>
      <c r="K36" s="179"/>
      <c r="O36" s="179"/>
    </row>
    <row r="37" spans="1:15">
      <c r="A37" s="216">
        <f>'Major Assumption Key'!A38</f>
        <v>2039</v>
      </c>
      <c r="B37" s="215">
        <f t="shared" si="5"/>
        <v>0</v>
      </c>
      <c r="C37" s="215">
        <f t="shared" si="6"/>
        <v>0</v>
      </c>
      <c r="D37" s="525">
        <f t="shared" si="4"/>
        <v>0</v>
      </c>
      <c r="H37" s="179"/>
      <c r="I37" s="179"/>
      <c r="J37" s="179"/>
      <c r="K37" s="179"/>
      <c r="O37" s="179"/>
    </row>
    <row r="38" spans="1:15">
      <c r="A38" s="216">
        <f>'Major Assumption Key'!A39</f>
        <v>2040</v>
      </c>
      <c r="B38" s="215">
        <f t="shared" si="5"/>
        <v>0</v>
      </c>
      <c r="C38" s="215">
        <f t="shared" si="6"/>
        <v>0</v>
      </c>
      <c r="D38" s="525">
        <f t="shared" si="4"/>
        <v>0</v>
      </c>
      <c r="H38" s="179"/>
      <c r="I38" s="179"/>
      <c r="J38" s="179"/>
      <c r="K38" s="179"/>
      <c r="O38" s="179"/>
    </row>
    <row r="39" spans="1:15" s="181" customFormat="1">
      <c r="A39" s="216">
        <f>'Major Assumption Key'!A40</f>
        <v>2041</v>
      </c>
      <c r="B39" s="215">
        <f t="shared" si="5"/>
        <v>0</v>
      </c>
      <c r="C39" s="215">
        <f t="shared" si="6"/>
        <v>0</v>
      </c>
      <c r="D39" s="525">
        <f t="shared" si="4"/>
        <v>0</v>
      </c>
    </row>
    <row r="40" spans="1:15" s="181" customFormat="1">
      <c r="A40" s="216">
        <f>'Major Assumption Key'!A41</f>
        <v>2042</v>
      </c>
      <c r="B40" s="215">
        <f t="shared" si="5"/>
        <v>0</v>
      </c>
      <c r="C40" s="215">
        <f t="shared" si="6"/>
        <v>0</v>
      </c>
      <c r="D40" s="525">
        <f t="shared" si="4"/>
        <v>0</v>
      </c>
    </row>
    <row r="41" spans="1:15" s="181" customFormat="1">
      <c r="A41" s="216">
        <f>'Major Assumption Key'!A42</f>
        <v>2043</v>
      </c>
      <c r="B41" s="215">
        <f t="shared" si="5"/>
        <v>0</v>
      </c>
      <c r="C41" s="215">
        <f t="shared" si="6"/>
        <v>0</v>
      </c>
      <c r="D41" s="525">
        <f t="shared" si="4"/>
        <v>0</v>
      </c>
    </row>
    <row r="42" spans="1:15" s="181" customFormat="1">
      <c r="A42" s="216">
        <f>'Major Assumption Key'!A43</f>
        <v>2044</v>
      </c>
      <c r="B42" s="215">
        <f t="shared" si="5"/>
        <v>0</v>
      </c>
      <c r="C42" s="215">
        <f t="shared" si="6"/>
        <v>0</v>
      </c>
      <c r="D42" s="525">
        <f t="shared" si="4"/>
        <v>0</v>
      </c>
    </row>
    <row r="43" spans="1:15" s="181" customFormat="1">
      <c r="A43" s="216">
        <f>'Major Assumption Key'!A44</f>
        <v>2045</v>
      </c>
      <c r="B43" s="215">
        <f t="shared" si="5"/>
        <v>0</v>
      </c>
      <c r="C43" s="215">
        <f t="shared" si="6"/>
        <v>0</v>
      </c>
      <c r="D43" s="525">
        <f t="shared" si="4"/>
        <v>0</v>
      </c>
    </row>
    <row r="44" spans="1:15">
      <c r="A44" s="216">
        <f>'Major Assumption Key'!A45</f>
        <v>2046</v>
      </c>
      <c r="B44" s="215">
        <f t="shared" si="5"/>
        <v>0</v>
      </c>
      <c r="C44" s="215">
        <f t="shared" si="6"/>
        <v>0</v>
      </c>
      <c r="D44" s="525">
        <f t="shared" si="4"/>
        <v>0</v>
      </c>
      <c r="H44" s="179"/>
      <c r="I44" s="179"/>
      <c r="J44" s="179"/>
      <c r="K44" s="179"/>
      <c r="O44" s="179"/>
    </row>
    <row r="45" spans="1:15">
      <c r="A45" s="216">
        <f>'Major Assumption Key'!A46</f>
        <v>2047</v>
      </c>
      <c r="B45" s="215">
        <f t="shared" si="5"/>
        <v>0</v>
      </c>
      <c r="C45" s="215">
        <f t="shared" si="6"/>
        <v>0</v>
      </c>
      <c r="D45" s="525">
        <f t="shared" si="4"/>
        <v>0</v>
      </c>
      <c r="H45" s="179"/>
      <c r="I45" s="179"/>
      <c r="J45" s="179"/>
      <c r="K45" s="179"/>
      <c r="O45" s="179"/>
    </row>
    <row r="46" spans="1:15">
      <c r="A46" s="216">
        <f>'Major Assumption Key'!A47</f>
        <v>2048</v>
      </c>
      <c r="B46" s="215">
        <f t="shared" si="5"/>
        <v>0</v>
      </c>
      <c r="C46" s="215">
        <f t="shared" si="6"/>
        <v>0</v>
      </c>
      <c r="D46" s="525">
        <f t="shared" si="4"/>
        <v>0</v>
      </c>
      <c r="H46" s="179"/>
      <c r="I46" s="179"/>
      <c r="J46" s="179"/>
      <c r="K46" s="179"/>
      <c r="O46" s="179"/>
    </row>
    <row r="47" spans="1:15">
      <c r="A47" s="216">
        <f>'Major Assumption Key'!A48</f>
        <v>2049</v>
      </c>
      <c r="B47" s="215">
        <f t="shared" si="5"/>
        <v>0</v>
      </c>
      <c r="C47" s="215">
        <f t="shared" si="6"/>
        <v>0</v>
      </c>
      <c r="D47" s="525">
        <f t="shared" si="4"/>
        <v>0</v>
      </c>
      <c r="H47" s="179"/>
      <c r="I47" s="179"/>
      <c r="J47" s="179"/>
      <c r="K47" s="179"/>
      <c r="O47" s="179"/>
    </row>
    <row r="48" spans="1:15">
      <c r="A48" s="216">
        <f>'Major Assumption Key'!A49</f>
        <v>2050</v>
      </c>
      <c r="B48" s="215">
        <f t="shared" si="5"/>
        <v>0</v>
      </c>
      <c r="C48" s="215">
        <f t="shared" si="6"/>
        <v>0</v>
      </c>
      <c r="D48" s="525">
        <f t="shared" si="4"/>
        <v>0</v>
      </c>
      <c r="H48" s="179"/>
      <c r="I48" s="179"/>
      <c r="J48" s="179"/>
      <c r="K48" s="179"/>
      <c r="O48" s="179"/>
    </row>
    <row r="49" spans="1:15">
      <c r="A49" s="216">
        <f>'Major Assumption Key'!A50</f>
        <v>2051</v>
      </c>
      <c r="B49" s="215">
        <f t="shared" si="5"/>
        <v>0</v>
      </c>
      <c r="C49" s="215">
        <f t="shared" si="6"/>
        <v>0</v>
      </c>
      <c r="D49" s="525">
        <f t="shared" si="4"/>
        <v>0</v>
      </c>
      <c r="H49" s="179"/>
      <c r="I49" s="179"/>
      <c r="J49" s="179"/>
      <c r="K49" s="179"/>
      <c r="O49" s="179"/>
    </row>
    <row r="50" spans="1:15">
      <c r="A50" s="216">
        <f>'Major Assumption Key'!A51</f>
        <v>2052</v>
      </c>
      <c r="B50" s="215">
        <f t="shared" si="5"/>
        <v>0</v>
      </c>
      <c r="C50" s="215">
        <f t="shared" si="6"/>
        <v>0</v>
      </c>
      <c r="D50" s="525">
        <f t="shared" ref="D50:D56" si="7">B50-C50</f>
        <v>0</v>
      </c>
      <c r="E50" s="179"/>
      <c r="F50" s="179"/>
      <c r="G50" s="179"/>
      <c r="H50" s="179"/>
      <c r="I50" s="179"/>
      <c r="J50" s="179"/>
      <c r="K50" s="179"/>
      <c r="L50" s="179"/>
      <c r="M50" s="179"/>
      <c r="O50" s="179"/>
    </row>
    <row r="51" spans="1:15">
      <c r="A51" s="216">
        <f>'Major Assumption Key'!A52</f>
        <v>2053</v>
      </c>
      <c r="B51" s="215">
        <f t="shared" si="5"/>
        <v>0</v>
      </c>
      <c r="C51" s="215">
        <f t="shared" si="6"/>
        <v>0</v>
      </c>
      <c r="D51" s="525">
        <f t="shared" si="7"/>
        <v>0</v>
      </c>
      <c r="E51" s="179"/>
      <c r="F51" s="179"/>
      <c r="G51" s="179"/>
      <c r="H51" s="179"/>
      <c r="I51" s="179"/>
      <c r="J51" s="179"/>
      <c r="K51" s="179"/>
      <c r="L51" s="179"/>
      <c r="M51" s="179"/>
      <c r="O51" s="179"/>
    </row>
    <row r="52" spans="1:15">
      <c r="A52" s="216">
        <f>'Major Assumption Key'!A53</f>
        <v>2054</v>
      </c>
      <c r="B52" s="215">
        <f t="shared" si="5"/>
        <v>0</v>
      </c>
      <c r="C52" s="215">
        <f t="shared" si="6"/>
        <v>0</v>
      </c>
      <c r="D52" s="525">
        <f t="shared" si="7"/>
        <v>0</v>
      </c>
      <c r="E52" s="179"/>
      <c r="F52" s="179"/>
      <c r="G52" s="179"/>
      <c r="H52" s="179"/>
      <c r="I52" s="179"/>
      <c r="J52" s="179"/>
      <c r="K52" s="179"/>
      <c r="L52" s="179"/>
      <c r="M52" s="179"/>
    </row>
    <row r="53" spans="1:15">
      <c r="A53" s="216">
        <f>'Major Assumption Key'!A54</f>
        <v>2055</v>
      </c>
      <c r="B53" s="215">
        <f t="shared" si="5"/>
        <v>0</v>
      </c>
      <c r="C53" s="215">
        <f t="shared" si="6"/>
        <v>0</v>
      </c>
      <c r="D53" s="525">
        <f t="shared" si="7"/>
        <v>0</v>
      </c>
      <c r="E53" s="179"/>
      <c r="F53" s="179"/>
      <c r="G53" s="179"/>
      <c r="H53" s="179"/>
      <c r="I53" s="179"/>
      <c r="J53" s="179"/>
      <c r="K53" s="179"/>
      <c r="L53" s="179"/>
      <c r="M53" s="179"/>
    </row>
    <row r="54" spans="1:15">
      <c r="A54" s="216">
        <f>'Major Assumption Key'!A55</f>
        <v>2056</v>
      </c>
      <c r="B54" s="215">
        <f t="shared" si="5"/>
        <v>0</v>
      </c>
      <c r="C54" s="215">
        <f t="shared" si="6"/>
        <v>0</v>
      </c>
      <c r="D54" s="525">
        <f t="shared" si="7"/>
        <v>0</v>
      </c>
      <c r="E54" s="179"/>
      <c r="F54" s="179"/>
      <c r="G54" s="179"/>
      <c r="H54" s="179"/>
      <c r="I54" s="179"/>
      <c r="J54" s="179"/>
      <c r="K54" s="179"/>
      <c r="L54" s="179"/>
      <c r="M54" s="179"/>
    </row>
    <row r="55" spans="1:15">
      <c r="A55" s="216">
        <f>'Major Assumption Key'!A56</f>
        <v>2057</v>
      </c>
      <c r="B55" s="215">
        <f t="shared" si="5"/>
        <v>0</v>
      </c>
      <c r="C55" s="215">
        <f t="shared" si="6"/>
        <v>0</v>
      </c>
      <c r="D55" s="525">
        <f t="shared" si="7"/>
        <v>0</v>
      </c>
      <c r="E55" s="179"/>
      <c r="F55" s="179"/>
      <c r="G55" s="179"/>
      <c r="H55" s="179"/>
      <c r="I55" s="179"/>
      <c r="J55" s="179"/>
      <c r="K55" s="179"/>
      <c r="L55" s="179"/>
      <c r="M55" s="179"/>
    </row>
    <row r="56" spans="1:15">
      <c r="A56" s="216">
        <f>'Major Assumption Key'!A57</f>
        <v>2058</v>
      </c>
      <c r="B56" s="215">
        <f t="shared" si="5"/>
        <v>0</v>
      </c>
      <c r="C56" s="215">
        <f t="shared" si="6"/>
        <v>0</v>
      </c>
      <c r="D56" s="525">
        <f t="shared" si="7"/>
        <v>0</v>
      </c>
      <c r="E56" s="179"/>
      <c r="F56" s="179"/>
      <c r="G56" s="179"/>
      <c r="H56" s="179"/>
      <c r="I56" s="179"/>
      <c r="J56" s="179"/>
      <c r="K56" s="179"/>
      <c r="L56" s="179"/>
      <c r="M56" s="179"/>
    </row>
    <row r="57" spans="1:15">
      <c r="A57" s="216">
        <f>'Major Assumption Key'!A58</f>
        <v>2059</v>
      </c>
      <c r="B57" s="215">
        <f t="shared" si="5"/>
        <v>0</v>
      </c>
      <c r="C57" s="215">
        <f t="shared" si="6"/>
        <v>0</v>
      </c>
      <c r="D57" s="525">
        <f t="shared" ref="D57" si="8">B57-C57</f>
        <v>0</v>
      </c>
      <c r="E57" s="179"/>
      <c r="F57" s="179"/>
      <c r="G57" s="179"/>
      <c r="H57" s="179"/>
      <c r="I57" s="179"/>
      <c r="J57" s="179"/>
      <c r="K57" s="179"/>
      <c r="L57" s="179"/>
      <c r="M57" s="179"/>
    </row>
    <row r="58" spans="1:15" ht="15" thickBot="1">
      <c r="A58" s="380">
        <f>'Major Assumption Key'!A59</f>
        <v>2060</v>
      </c>
      <c r="B58" s="578">
        <f t="shared" si="5"/>
        <v>0</v>
      </c>
      <c r="C58" s="578">
        <f t="shared" si="6"/>
        <v>0</v>
      </c>
      <c r="D58" s="579">
        <f t="shared" ref="D58" si="9">B58-C58</f>
        <v>0</v>
      </c>
      <c r="E58" s="179"/>
      <c r="F58" s="179"/>
      <c r="G58" s="179"/>
      <c r="H58" s="179"/>
      <c r="I58" s="179"/>
      <c r="J58" s="179"/>
      <c r="K58" s="179"/>
      <c r="L58" s="179"/>
      <c r="M58" s="179"/>
    </row>
    <row r="59" spans="1:15">
      <c r="B59" s="179"/>
      <c r="C59" s="179"/>
      <c r="D59" s="179"/>
      <c r="E59" s="179"/>
      <c r="F59" s="179"/>
      <c r="G59" s="179"/>
      <c r="H59" s="179"/>
      <c r="I59" s="179"/>
      <c r="J59" s="179"/>
      <c r="K59" s="179"/>
      <c r="L59" s="179"/>
      <c r="M59" s="179"/>
    </row>
    <row r="60" spans="1:15">
      <c r="B60" s="179"/>
      <c r="C60" s="179"/>
      <c r="D60" s="179"/>
      <c r="E60" s="179"/>
      <c r="F60" s="179"/>
      <c r="G60" s="179"/>
      <c r="H60" s="179"/>
      <c r="I60" s="179"/>
      <c r="J60" s="179"/>
      <c r="K60" s="179"/>
      <c r="L60" s="179"/>
      <c r="M60" s="179"/>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77734375" defaultRowHeight="14.4"/>
  <cols>
    <col min="1" max="1" width="38.21875" style="179" bestFit="1" customWidth="1"/>
    <col min="2" max="2" width="22.21875" style="180" customWidth="1"/>
    <col min="3" max="3" width="21.77734375" style="180" customWidth="1"/>
    <col min="4" max="4" width="24.77734375" style="180" bestFit="1" customWidth="1"/>
    <col min="5" max="5" width="24.44140625" style="180" bestFit="1" customWidth="1"/>
    <col min="6" max="6" width="10.44140625" style="180" bestFit="1" customWidth="1"/>
    <col min="7" max="9" width="7.77734375" style="180" bestFit="1" customWidth="1"/>
    <col min="10" max="10" width="16.5546875" style="180" customWidth="1"/>
    <col min="11" max="11" width="12.77734375" style="180" customWidth="1"/>
    <col min="12" max="12" width="6.77734375" style="179" bestFit="1" customWidth="1"/>
    <col min="13" max="13" width="12.77734375" style="179" customWidth="1"/>
    <col min="14" max="14" width="13.21875" style="179" customWidth="1"/>
    <col min="15" max="15" width="12.21875" style="179" customWidth="1"/>
    <col min="16" max="16" width="9" style="179" bestFit="1" customWidth="1"/>
    <col min="17" max="17" width="12" style="179" customWidth="1"/>
    <col min="18" max="18" width="13.77734375" style="179" customWidth="1"/>
    <col min="19" max="20" width="11" style="179" customWidth="1"/>
    <col min="21" max="21" width="9" style="179" bestFit="1" customWidth="1"/>
    <col min="22" max="16384" width="8.77734375" style="179"/>
  </cols>
  <sheetData>
    <row r="1" spans="1:21">
      <c r="A1" s="271" t="s">
        <v>7045</v>
      </c>
      <c r="B1" s="42" t="s">
        <v>7060</v>
      </c>
      <c r="C1" s="184"/>
      <c r="D1" s="183"/>
      <c r="E1" s="33" t="s">
        <v>187</v>
      </c>
      <c r="F1" s="45" t="str">
        <f>HYPERLINK("#'"&amp;INDEX('Master Key'!$B:$B,MATCH("Master Key",'Master Key'!$B:$B,0),1)&amp;"'!A1","Go To Sheet")</f>
        <v>Go To Sheet</v>
      </c>
    </row>
    <row r="2" spans="1:21">
      <c r="A2" s="445"/>
      <c r="B2" s="446"/>
      <c r="C2" s="447"/>
      <c r="E2" s="33"/>
      <c r="F2" s="45"/>
    </row>
    <row r="3" spans="1:21" ht="15.6">
      <c r="A3" s="474" t="s">
        <v>7061</v>
      </c>
      <c r="B3" s="446"/>
      <c r="C3" s="447"/>
      <c r="E3" s="33"/>
      <c r="F3" s="45"/>
    </row>
    <row r="4" spans="1:21" s="478" customFormat="1">
      <c r="A4" s="479" t="s">
        <v>7062</v>
      </c>
      <c r="B4" s="473">
        <v>0.15</v>
      </c>
      <c r="C4" s="55" t="s">
        <v>7063</v>
      </c>
    </row>
    <row r="5" spans="1:21">
      <c r="A5" s="182" t="s">
        <v>1357</v>
      </c>
      <c r="B5" s="475">
        <f>'Transit Demand'!B38</f>
        <v>3.9041267753230358E-3</v>
      </c>
      <c r="C5" s="565" t="s">
        <v>7064</v>
      </c>
      <c r="K5" s="179"/>
    </row>
    <row r="6" spans="1:21">
      <c r="A6" s="182" t="s">
        <v>1353</v>
      </c>
      <c r="B6" s="473">
        <f>'BOOST Pilot Segment'!M33</f>
        <v>0.12540211876753382</v>
      </c>
      <c r="C6" s="54" t="s">
        <v>1354</v>
      </c>
      <c r="K6" s="179"/>
    </row>
    <row r="7" spans="1:21" ht="15" thickBot="1">
      <c r="A7" s="182"/>
      <c r="B7" s="473"/>
      <c r="C7" s="54"/>
      <c r="K7" s="179"/>
    </row>
    <row r="8" spans="1:21" s="448" customFormat="1" ht="15.6">
      <c r="A8" s="2026" t="s">
        <v>7047</v>
      </c>
      <c r="B8" s="2024" t="s">
        <v>66</v>
      </c>
      <c r="C8" s="2018"/>
      <c r="D8" s="2018"/>
      <c r="E8" s="2019"/>
      <c r="F8" s="2032" t="s">
        <v>131</v>
      </c>
      <c r="G8" s="2018"/>
      <c r="H8" s="2018"/>
      <c r="I8" s="2019"/>
      <c r="J8" s="2024" t="s">
        <v>66</v>
      </c>
      <c r="K8" s="2019"/>
      <c r="L8" s="2024" t="s">
        <v>131</v>
      </c>
      <c r="M8" s="2019"/>
      <c r="N8" s="2024" t="s">
        <v>7065</v>
      </c>
      <c r="O8" s="2019"/>
    </row>
    <row r="9" spans="1:21" ht="15.6">
      <c r="A9" s="2027"/>
      <c r="B9" s="2025" t="s">
        <v>7066</v>
      </c>
      <c r="C9" s="2016"/>
      <c r="D9" s="2016" t="s">
        <v>7067</v>
      </c>
      <c r="E9" s="2017"/>
      <c r="F9" s="2028" t="s">
        <v>7066</v>
      </c>
      <c r="G9" s="2016"/>
      <c r="H9" s="2016" t="s">
        <v>7067</v>
      </c>
      <c r="I9" s="2017"/>
      <c r="J9" s="2025" t="s">
        <v>1405</v>
      </c>
      <c r="K9" s="2017" t="s">
        <v>1403</v>
      </c>
      <c r="L9" s="2025" t="s">
        <v>1405</v>
      </c>
      <c r="M9" s="2017" t="s">
        <v>1403</v>
      </c>
      <c r="N9" s="2025" t="s">
        <v>1405</v>
      </c>
      <c r="O9" s="2017" t="s">
        <v>1403</v>
      </c>
    </row>
    <row r="10" spans="1:21" ht="15.6">
      <c r="A10" s="482" t="s">
        <v>7068</v>
      </c>
      <c r="B10" s="486" t="s">
        <v>1405</v>
      </c>
      <c r="C10" s="480" t="s">
        <v>1403</v>
      </c>
      <c r="D10" s="480" t="s">
        <v>1405</v>
      </c>
      <c r="E10" s="481" t="s">
        <v>1403</v>
      </c>
      <c r="F10" s="485" t="s">
        <v>1405</v>
      </c>
      <c r="G10" s="480" t="s">
        <v>1403</v>
      </c>
      <c r="H10" s="480" t="s">
        <v>1405</v>
      </c>
      <c r="I10" s="481" t="s">
        <v>1403</v>
      </c>
      <c r="J10" s="2025"/>
      <c r="K10" s="2017"/>
      <c r="L10" s="2025"/>
      <c r="M10" s="2017"/>
      <c r="N10" s="2025"/>
      <c r="O10" s="2017"/>
    </row>
    <row r="11" spans="1:21" ht="15.6">
      <c r="A11" s="483"/>
      <c r="B11" s="520"/>
      <c r="C11" s="521"/>
      <c r="D11" s="521"/>
      <c r="E11" s="522"/>
      <c r="F11" s="523"/>
      <c r="G11" s="521"/>
      <c r="H11" s="521"/>
      <c r="I11" s="522"/>
      <c r="J11" s="524">
        <f>(B11+D11)</f>
        <v>0</v>
      </c>
      <c r="K11" s="525">
        <f>C11+E11</f>
        <v>0</v>
      </c>
      <c r="L11" s="524">
        <f>(H11+F11)</f>
        <v>0</v>
      </c>
      <c r="M11" s="525">
        <f>G11+I11</f>
        <v>0</v>
      </c>
      <c r="N11" s="524">
        <f>L11*(1-$B$4)</f>
        <v>0</v>
      </c>
      <c r="O11" s="525">
        <f>M11*(1-$B$4)</f>
        <v>0</v>
      </c>
      <c r="Q11" s="890"/>
      <c r="R11" s="536"/>
    </row>
    <row r="12" spans="1:21" ht="15.6">
      <c r="A12" s="483"/>
      <c r="B12" s="520"/>
      <c r="C12" s="521"/>
      <c r="D12" s="521"/>
      <c r="E12" s="522"/>
      <c r="F12" s="523"/>
      <c r="G12" s="521"/>
      <c r="H12" s="521"/>
      <c r="I12" s="522"/>
      <c r="J12" s="524">
        <f t="shared" ref="J12:J25" si="0">(B12+D12)</f>
        <v>0</v>
      </c>
      <c r="K12" s="525">
        <f t="shared" ref="K12:K25" si="1">C12+E12</f>
        <v>0</v>
      </c>
      <c r="L12" s="524">
        <f t="shared" ref="L12:L25" si="2">(H12+F12)</f>
        <v>0</v>
      </c>
      <c r="M12" s="525">
        <f t="shared" ref="M12:M25" si="3">G12+I12</f>
        <v>0</v>
      </c>
      <c r="N12" s="524">
        <f>L12*(1-$B$4)</f>
        <v>0</v>
      </c>
      <c r="O12" s="525">
        <f t="shared" ref="O12:O25" si="4">M12*(1-$B$4)</f>
        <v>0</v>
      </c>
      <c r="Q12" s="890"/>
      <c r="R12" s="536"/>
    </row>
    <row r="13" spans="1:21" ht="15.6">
      <c r="A13" s="483"/>
      <c r="B13" s="520"/>
      <c r="C13" s="521"/>
      <c r="D13" s="521"/>
      <c r="E13" s="522"/>
      <c r="F13" s="523"/>
      <c r="G13" s="521"/>
      <c r="H13" s="521"/>
      <c r="I13" s="522"/>
      <c r="J13" s="524">
        <f t="shared" si="0"/>
        <v>0</v>
      </c>
      <c r="K13" s="525">
        <f t="shared" si="1"/>
        <v>0</v>
      </c>
      <c r="L13" s="524">
        <f t="shared" si="2"/>
        <v>0</v>
      </c>
      <c r="M13" s="525">
        <f t="shared" si="3"/>
        <v>0</v>
      </c>
      <c r="N13" s="524">
        <f t="shared" ref="N13:N25" si="5">L13*(1-$B$4)</f>
        <v>0</v>
      </c>
      <c r="O13" s="525">
        <f t="shared" si="4"/>
        <v>0</v>
      </c>
      <c r="Q13" s="890"/>
    </row>
    <row r="14" spans="1:21" ht="15.6">
      <c r="A14" s="483"/>
      <c r="B14" s="520"/>
      <c r="C14" s="521"/>
      <c r="D14" s="521"/>
      <c r="E14" s="522"/>
      <c r="F14" s="523"/>
      <c r="G14" s="521"/>
      <c r="H14" s="521"/>
      <c r="I14" s="522"/>
      <c r="J14" s="524">
        <f t="shared" si="0"/>
        <v>0</v>
      </c>
      <c r="K14" s="525">
        <f t="shared" si="1"/>
        <v>0</v>
      </c>
      <c r="L14" s="524">
        <f t="shared" si="2"/>
        <v>0</v>
      </c>
      <c r="M14" s="525">
        <f t="shared" si="3"/>
        <v>0</v>
      </c>
      <c r="N14" s="524">
        <f t="shared" si="5"/>
        <v>0</v>
      </c>
      <c r="O14" s="525">
        <f t="shared" si="4"/>
        <v>0</v>
      </c>
      <c r="R14" s="890"/>
      <c r="S14" s="890"/>
      <c r="T14" s="890"/>
      <c r="U14" s="890"/>
    </row>
    <row r="15" spans="1:21" ht="15.6">
      <c r="A15" s="483"/>
      <c r="B15" s="520"/>
      <c r="C15" s="521"/>
      <c r="D15" s="521"/>
      <c r="E15" s="522"/>
      <c r="F15" s="523"/>
      <c r="G15" s="521"/>
      <c r="H15" s="521"/>
      <c r="I15" s="522"/>
      <c r="J15" s="524">
        <f t="shared" si="0"/>
        <v>0</v>
      </c>
      <c r="K15" s="525">
        <f t="shared" si="1"/>
        <v>0</v>
      </c>
      <c r="L15" s="524">
        <f t="shared" si="2"/>
        <v>0</v>
      </c>
      <c r="M15" s="525">
        <f t="shared" si="3"/>
        <v>0</v>
      </c>
      <c r="N15" s="524">
        <f t="shared" si="5"/>
        <v>0</v>
      </c>
      <c r="O15" s="525">
        <f t="shared" si="4"/>
        <v>0</v>
      </c>
      <c r="Q15" s="890"/>
      <c r="R15" s="537"/>
      <c r="S15" s="537"/>
      <c r="T15" s="537"/>
      <c r="U15" s="537"/>
    </row>
    <row r="16" spans="1:21" ht="15.6">
      <c r="A16" s="483"/>
      <c r="B16" s="520"/>
      <c r="C16" s="521"/>
      <c r="D16" s="521"/>
      <c r="E16" s="522"/>
      <c r="F16" s="523"/>
      <c r="G16" s="521"/>
      <c r="H16" s="521"/>
      <c r="I16" s="522"/>
      <c r="J16" s="524">
        <f t="shared" si="0"/>
        <v>0</v>
      </c>
      <c r="K16" s="525">
        <f t="shared" si="1"/>
        <v>0</v>
      </c>
      <c r="L16" s="524">
        <f t="shared" si="2"/>
        <v>0</v>
      </c>
      <c r="M16" s="525">
        <f t="shared" si="3"/>
        <v>0</v>
      </c>
      <c r="N16" s="524">
        <f t="shared" si="5"/>
        <v>0</v>
      </c>
      <c r="O16" s="525">
        <f t="shared" si="4"/>
        <v>0</v>
      </c>
      <c r="Q16" s="890"/>
      <c r="R16" s="891"/>
      <c r="S16" s="537"/>
      <c r="T16" s="891"/>
      <c r="U16" s="537"/>
    </row>
    <row r="17" spans="1:21" ht="15.6">
      <c r="A17" s="483"/>
      <c r="B17" s="892"/>
      <c r="C17" s="521"/>
      <c r="D17" s="893"/>
      <c r="E17" s="522"/>
      <c r="F17" s="894"/>
      <c r="G17" s="521"/>
      <c r="H17" s="893"/>
      <c r="I17" s="522"/>
      <c r="J17" s="524">
        <f t="shared" si="0"/>
        <v>0</v>
      </c>
      <c r="K17" s="525">
        <f t="shared" si="1"/>
        <v>0</v>
      </c>
      <c r="L17" s="524">
        <f t="shared" si="2"/>
        <v>0</v>
      </c>
      <c r="M17" s="525">
        <f t="shared" si="3"/>
        <v>0</v>
      </c>
      <c r="N17" s="524">
        <f t="shared" si="5"/>
        <v>0</v>
      </c>
      <c r="O17" s="525">
        <f t="shared" si="4"/>
        <v>0</v>
      </c>
      <c r="Q17" s="890"/>
      <c r="R17" s="537"/>
      <c r="S17" s="537"/>
      <c r="T17" s="537"/>
      <c r="U17" s="537"/>
    </row>
    <row r="18" spans="1:21" ht="15.6">
      <c r="A18" s="483"/>
      <c r="B18" s="892"/>
      <c r="C18" s="521"/>
      <c r="D18" s="893"/>
      <c r="E18" s="522"/>
      <c r="F18" s="894"/>
      <c r="G18" s="521"/>
      <c r="H18" s="893"/>
      <c r="I18" s="522"/>
      <c r="J18" s="524">
        <f t="shared" si="0"/>
        <v>0</v>
      </c>
      <c r="K18" s="525">
        <f t="shared" si="1"/>
        <v>0</v>
      </c>
      <c r="L18" s="524">
        <f t="shared" si="2"/>
        <v>0</v>
      </c>
      <c r="M18" s="525">
        <f t="shared" si="3"/>
        <v>0</v>
      </c>
      <c r="N18" s="524">
        <f t="shared" si="5"/>
        <v>0</v>
      </c>
      <c r="O18" s="525">
        <f t="shared" si="4"/>
        <v>0</v>
      </c>
      <c r="Q18" s="890"/>
      <c r="R18" s="537"/>
      <c r="S18" s="537"/>
      <c r="T18" s="537"/>
      <c r="U18" s="537"/>
    </row>
    <row r="19" spans="1:21" ht="15.6">
      <c r="A19" s="483"/>
      <c r="B19" s="892"/>
      <c r="C19" s="521"/>
      <c r="D19" s="893"/>
      <c r="E19" s="522"/>
      <c r="F19" s="894"/>
      <c r="G19" s="521"/>
      <c r="H19" s="893"/>
      <c r="I19" s="522"/>
      <c r="J19" s="524">
        <f t="shared" si="0"/>
        <v>0</v>
      </c>
      <c r="K19" s="525">
        <f t="shared" si="1"/>
        <v>0</v>
      </c>
      <c r="L19" s="524">
        <f t="shared" si="2"/>
        <v>0</v>
      </c>
      <c r="M19" s="525">
        <f t="shared" si="3"/>
        <v>0</v>
      </c>
      <c r="N19" s="524">
        <f t="shared" si="5"/>
        <v>0</v>
      </c>
      <c r="O19" s="525">
        <f t="shared" si="4"/>
        <v>0</v>
      </c>
      <c r="R19" s="537"/>
      <c r="S19" s="537"/>
      <c r="T19" s="537"/>
      <c r="U19" s="537"/>
    </row>
    <row r="20" spans="1:21" ht="15.6">
      <c r="A20" s="483"/>
      <c r="B20" s="892"/>
      <c r="C20" s="521"/>
      <c r="D20" s="893"/>
      <c r="E20" s="522"/>
      <c r="F20" s="894"/>
      <c r="G20" s="521"/>
      <c r="H20" s="893"/>
      <c r="I20" s="522"/>
      <c r="J20" s="524">
        <f t="shared" si="0"/>
        <v>0</v>
      </c>
      <c r="K20" s="525">
        <f t="shared" si="1"/>
        <v>0</v>
      </c>
      <c r="L20" s="524">
        <f t="shared" si="2"/>
        <v>0</v>
      </c>
      <c r="M20" s="525">
        <f t="shared" si="3"/>
        <v>0</v>
      </c>
      <c r="N20" s="524">
        <f t="shared" si="5"/>
        <v>0</v>
      </c>
      <c r="O20" s="525">
        <f t="shared" si="4"/>
        <v>0</v>
      </c>
      <c r="R20" s="890"/>
      <c r="S20" s="890"/>
    </row>
    <row r="21" spans="1:21" ht="15.6">
      <c r="A21" s="483"/>
      <c r="B21" s="892"/>
      <c r="C21" s="521"/>
      <c r="D21" s="893"/>
      <c r="E21" s="522"/>
      <c r="F21" s="894"/>
      <c r="G21" s="521"/>
      <c r="H21" s="893"/>
      <c r="I21" s="522"/>
      <c r="J21" s="524">
        <f t="shared" si="0"/>
        <v>0</v>
      </c>
      <c r="K21" s="525">
        <f t="shared" si="1"/>
        <v>0</v>
      </c>
      <c r="L21" s="524">
        <f t="shared" si="2"/>
        <v>0</v>
      </c>
      <c r="M21" s="525">
        <f t="shared" si="3"/>
        <v>0</v>
      </c>
      <c r="N21" s="524">
        <f t="shared" si="5"/>
        <v>0</v>
      </c>
      <c r="O21" s="525">
        <f t="shared" si="4"/>
        <v>0</v>
      </c>
      <c r="Q21" s="890"/>
    </row>
    <row r="22" spans="1:21" ht="15.6">
      <c r="A22" s="483"/>
      <c r="B22" s="892"/>
      <c r="C22" s="521"/>
      <c r="D22" s="893"/>
      <c r="E22" s="522"/>
      <c r="F22" s="894"/>
      <c r="G22" s="521"/>
      <c r="H22" s="893"/>
      <c r="I22" s="522"/>
      <c r="J22" s="524">
        <f t="shared" si="0"/>
        <v>0</v>
      </c>
      <c r="K22" s="525">
        <f t="shared" si="1"/>
        <v>0</v>
      </c>
      <c r="L22" s="524">
        <f t="shared" si="2"/>
        <v>0</v>
      </c>
      <c r="M22" s="525">
        <f t="shared" si="3"/>
        <v>0</v>
      </c>
      <c r="N22" s="524">
        <f t="shared" si="5"/>
        <v>0</v>
      </c>
      <c r="O22" s="525">
        <f t="shared" si="4"/>
        <v>0</v>
      </c>
      <c r="Q22" s="890"/>
    </row>
    <row r="23" spans="1:21" ht="15.6">
      <c r="A23" s="531"/>
      <c r="B23" s="895"/>
      <c r="C23" s="532"/>
      <c r="D23" s="896"/>
      <c r="E23" s="533"/>
      <c r="F23" s="897"/>
      <c r="G23" s="532"/>
      <c r="H23" s="896"/>
      <c r="I23" s="533"/>
      <c r="J23" s="534">
        <f t="shared" si="0"/>
        <v>0</v>
      </c>
      <c r="K23" s="535">
        <f t="shared" si="1"/>
        <v>0</v>
      </c>
      <c r="L23" s="534">
        <f t="shared" si="2"/>
        <v>0</v>
      </c>
      <c r="M23" s="535">
        <f t="shared" si="3"/>
        <v>0</v>
      </c>
      <c r="N23" s="524">
        <f t="shared" si="5"/>
        <v>0</v>
      </c>
      <c r="O23" s="525">
        <f t="shared" si="4"/>
        <v>0</v>
      </c>
      <c r="Q23" s="890"/>
    </row>
    <row r="24" spans="1:21" ht="15.6">
      <c r="A24" s="531"/>
      <c r="B24" s="895"/>
      <c r="C24" s="532"/>
      <c r="D24" s="896"/>
      <c r="E24" s="533"/>
      <c r="F24" s="897"/>
      <c r="G24" s="532"/>
      <c r="H24" s="896"/>
      <c r="I24" s="533"/>
      <c r="J24" s="534">
        <f t="shared" si="0"/>
        <v>0</v>
      </c>
      <c r="K24" s="535">
        <f t="shared" si="1"/>
        <v>0</v>
      </c>
      <c r="L24" s="534">
        <f t="shared" si="2"/>
        <v>0</v>
      </c>
      <c r="M24" s="535">
        <f t="shared" si="3"/>
        <v>0</v>
      </c>
      <c r="N24" s="524">
        <f t="shared" si="5"/>
        <v>0</v>
      </c>
      <c r="O24" s="525">
        <f t="shared" si="4"/>
        <v>0</v>
      </c>
      <c r="Q24" s="890"/>
    </row>
    <row r="25" spans="1:21" ht="15.6">
      <c r="A25" s="531"/>
      <c r="B25" s="895"/>
      <c r="C25" s="532"/>
      <c r="D25" s="896"/>
      <c r="E25" s="533"/>
      <c r="F25" s="897"/>
      <c r="G25" s="532"/>
      <c r="H25" s="896"/>
      <c r="I25" s="533"/>
      <c r="J25" s="534">
        <f t="shared" si="0"/>
        <v>0</v>
      </c>
      <c r="K25" s="535">
        <f t="shared" si="1"/>
        <v>0</v>
      </c>
      <c r="L25" s="534">
        <f t="shared" si="2"/>
        <v>0</v>
      </c>
      <c r="M25" s="535">
        <f t="shared" si="3"/>
        <v>0</v>
      </c>
      <c r="N25" s="524">
        <f t="shared" si="5"/>
        <v>0</v>
      </c>
      <c r="O25" s="525">
        <f t="shared" si="4"/>
        <v>0</v>
      </c>
    </row>
    <row r="26" spans="1:21" s="448" customFormat="1" ht="15" thickBot="1">
      <c r="A26" s="484" t="s">
        <v>63</v>
      </c>
      <c r="B26" s="526">
        <f t="shared" ref="B26:O26" si="6">SUM(B11:B25)</f>
        <v>0</v>
      </c>
      <c r="C26" s="527">
        <f t="shared" si="6"/>
        <v>0</v>
      </c>
      <c r="D26" s="527">
        <f t="shared" si="6"/>
        <v>0</v>
      </c>
      <c r="E26" s="528">
        <f t="shared" si="6"/>
        <v>0</v>
      </c>
      <c r="F26" s="529">
        <f t="shared" si="6"/>
        <v>0</v>
      </c>
      <c r="G26" s="527">
        <f t="shared" si="6"/>
        <v>0</v>
      </c>
      <c r="H26" s="527">
        <f t="shared" si="6"/>
        <v>0</v>
      </c>
      <c r="I26" s="528">
        <f t="shared" si="6"/>
        <v>0</v>
      </c>
      <c r="J26" s="526">
        <f t="shared" si="6"/>
        <v>0</v>
      </c>
      <c r="K26" s="528">
        <f t="shared" si="6"/>
        <v>0</v>
      </c>
      <c r="L26" s="526">
        <f t="shared" si="6"/>
        <v>0</v>
      </c>
      <c r="M26" s="528">
        <f t="shared" si="6"/>
        <v>0</v>
      </c>
      <c r="N26" s="526">
        <f t="shared" si="6"/>
        <v>0</v>
      </c>
      <c r="O26" s="528">
        <f t="shared" si="6"/>
        <v>0</v>
      </c>
    </row>
    <row r="27" spans="1:21">
      <c r="A27" s="461" t="s">
        <v>210</v>
      </c>
      <c r="B27" s="887" t="s">
        <v>7069</v>
      </c>
      <c r="E27" s="530"/>
    </row>
    <row r="28" spans="1:21">
      <c r="A28" s="477"/>
      <c r="B28" s="898"/>
    </row>
    <row r="29" spans="1:21" ht="15" thickBot="1">
      <c r="A29" s="182"/>
      <c r="F29" s="2031" t="s">
        <v>7070</v>
      </c>
      <c r="G29" s="2031"/>
      <c r="H29" s="2031"/>
      <c r="I29" s="2031"/>
      <c r="J29" s="2031"/>
      <c r="K29" s="2031"/>
      <c r="L29" s="2031"/>
    </row>
    <row r="30" spans="1:21" ht="29.4" thickBot="1">
      <c r="A30" s="538" t="s">
        <v>7071</v>
      </c>
      <c r="F30" s="2033" t="s">
        <v>510</v>
      </c>
      <c r="G30" s="2029" t="s">
        <v>66</v>
      </c>
      <c r="H30" s="2029"/>
      <c r="I30" s="2029" t="s">
        <v>131</v>
      </c>
      <c r="J30" s="2029"/>
      <c r="K30" s="2029" t="s">
        <v>1372</v>
      </c>
      <c r="L30" s="2030"/>
    </row>
    <row r="31" spans="1:21">
      <c r="A31" s="2020" t="s">
        <v>510</v>
      </c>
      <c r="B31" s="540" t="s">
        <v>66</v>
      </c>
      <c r="C31" s="2022" t="s">
        <v>131</v>
      </c>
      <c r="D31" s="2023"/>
      <c r="F31" s="2034"/>
      <c r="G31" s="211" t="s">
        <v>1405</v>
      </c>
      <c r="H31" s="661" t="s">
        <v>1403</v>
      </c>
      <c r="I31" s="211" t="s">
        <v>1405</v>
      </c>
      <c r="J31" s="661" t="s">
        <v>1403</v>
      </c>
      <c r="K31" s="211" t="s">
        <v>1405</v>
      </c>
      <c r="L31" s="662" t="s">
        <v>1403</v>
      </c>
    </row>
    <row r="32" spans="1:21">
      <c r="A32" s="2021"/>
      <c r="B32" s="541" t="s">
        <v>7072</v>
      </c>
      <c r="C32" s="542" t="s">
        <v>7072</v>
      </c>
      <c r="D32" s="543" t="s">
        <v>7073</v>
      </c>
      <c r="F32" s="487">
        <v>2019</v>
      </c>
      <c r="G32" s="212">
        <f>SUMIF('Transit Demand'!$C$6:$C$31,"NB",'Transit Demand'!$E$6:$E$31)*'Transit Demand'!$B$42</f>
        <v>0</v>
      </c>
      <c r="H32" s="449">
        <f>SUMIF('Transit Demand'!$C$6:$C$31,"SB",'Transit Demand'!$E$6:$E$31)*'Transit Demand'!$B$42</f>
        <v>0</v>
      </c>
      <c r="I32" s="879">
        <f>IF(F32&lt;'Major Assumption Key'!$B$4,G32,IF(F32='Major Assumption Key'!$B$4,G32*($B$6+1),I31*(1+$B$5)))</f>
        <v>0</v>
      </c>
      <c r="J32" s="879">
        <f>IF(F32&lt;'Major Assumption Key'!$B$4,H32,IF(F32='Major Assumption Key'!$B$4,G32*($B$6+1),J31*(1+$B$5)))</f>
        <v>0</v>
      </c>
      <c r="K32" s="212">
        <f>I32-G32</f>
        <v>0</v>
      </c>
      <c r="L32" s="471">
        <f>J32-H32</f>
        <v>0</v>
      </c>
    </row>
    <row r="33" spans="1:12">
      <c r="A33" s="216">
        <f>'Major Assumption Key'!A19</f>
        <v>2020</v>
      </c>
      <c r="B33" s="888">
        <f>(_xlfn.XLOOKUP(A33,$F$32:$F$73,$G$32:$G$73,,0)*$J$26+_xlfn.XLOOKUP(A33,$F$32:$F$73,$H$32:$H$73,,0)*$K$26)/3600</f>
        <v>0</v>
      </c>
      <c r="C33" s="449">
        <f>IF(A33&lt;'Major Assumption Key'!$B$3,B33,(_xlfn.XLOOKUP(A33,$F$32:$F$73,$G$32:$G$73,,0)*$N$26+_xlfn.XLOOKUP(A33,$F$32:$F$73,$H$32:$H$73,,0)*$O$26)/3600)</f>
        <v>0</v>
      </c>
      <c r="D33" s="539">
        <f>IF(A33&lt;'Major Assumption Key'!$B$3,0,(_xlfn.XLOOKUP(A33,$F$32:$F$73,$K$32:$K$73,,0)*$N$26+_xlfn.XLOOKUP(A33,$F$32:$F$73,$L$32:$L$73,,0)*$O$26)/3600)</f>
        <v>0</v>
      </c>
      <c r="F33" s="487">
        <v>2020</v>
      </c>
      <c r="G33" s="212">
        <f t="shared" ref="G33:G73" si="7">G32*(1+$B$5)</f>
        <v>0</v>
      </c>
      <c r="H33" s="449">
        <f t="shared" ref="H33:H73" si="8">H32*(1+$B$5)</f>
        <v>0</v>
      </c>
      <c r="I33" s="879">
        <f>IF(F33&lt;'Major Assumption Key'!$B$4,G33,IF(F33='Major Assumption Key'!$B$4,G33*($B$6+1),I32*(1+$B$5)))</f>
        <v>0</v>
      </c>
      <c r="J33" s="879">
        <f>IF(F33&lt;'Major Assumption Key'!$B$4,H33,IF(F33='Major Assumption Key'!$B$4,G33*($B$6+1),J32*(1+$B$5)))</f>
        <v>0</v>
      </c>
      <c r="K33" s="212">
        <f t="shared" ref="K33:K64" si="9">I33-G33</f>
        <v>0</v>
      </c>
      <c r="L33" s="471">
        <f t="shared" ref="L33:L64" si="10">J33-H33</f>
        <v>0</v>
      </c>
    </row>
    <row r="34" spans="1:12">
      <c r="A34" s="216">
        <f>'Major Assumption Key'!A20</f>
        <v>2021</v>
      </c>
      <c r="B34" s="888">
        <f t="shared" ref="B34:B73" si="11">(_xlfn.XLOOKUP(A34,$F$32:$F$73,$G$32:$G$73,,0)*$J$26+_xlfn.XLOOKUP(A34,$F$32:$F$73,$H$32:$H$73,,0)*$K$26)/3600</f>
        <v>0</v>
      </c>
      <c r="C34" s="449">
        <f>IF(A34&lt;'Major Assumption Key'!$B$3,B34,(_xlfn.XLOOKUP(A34,$F$32:$F$73,$G$32:$G$73,,0)*$N$26+_xlfn.XLOOKUP(A34,$F$32:$F$73,$H$32:$H$73,,0)*$O$26)/3600)</f>
        <v>0</v>
      </c>
      <c r="D34" s="539">
        <f>IF(A34&lt;'Major Assumption Key'!$B$3,0,(_xlfn.XLOOKUP(A34,$F$32:$F$73,$K$32:$K$73,,0)*$N$26+_xlfn.XLOOKUP(A34,$F$32:$F$73,$L$32:$L$73,,0)*$O$26)/3600)</f>
        <v>0</v>
      </c>
      <c r="F34" s="487">
        <v>2021</v>
      </c>
      <c r="G34" s="212">
        <f t="shared" si="7"/>
        <v>0</v>
      </c>
      <c r="H34" s="449">
        <f t="shared" si="8"/>
        <v>0</v>
      </c>
      <c r="I34" s="879">
        <f>IF(F34&lt;'Major Assumption Key'!$B$4,G34,IF(F34='Major Assumption Key'!$B$4,G34*($B$6+1),I33*(1+$B$5)))</f>
        <v>0</v>
      </c>
      <c r="J34" s="879">
        <f>IF(F34&lt;'Major Assumption Key'!$B$4,H34,IF(F34='Major Assumption Key'!$B$4,G34*($B$6+1),J33*(1+$B$5)))</f>
        <v>0</v>
      </c>
      <c r="K34" s="212">
        <f t="shared" si="9"/>
        <v>0</v>
      </c>
      <c r="L34" s="471">
        <f t="shared" si="10"/>
        <v>0</v>
      </c>
    </row>
    <row r="35" spans="1:12">
      <c r="A35" s="216">
        <f>'Major Assumption Key'!A21</f>
        <v>2022</v>
      </c>
      <c r="B35" s="888">
        <f t="shared" si="11"/>
        <v>0</v>
      </c>
      <c r="C35" s="449">
        <f>IF(A35&lt;'Major Assumption Key'!$B$3,B35,(_xlfn.XLOOKUP(A35,$F$32:$F$73,$G$32:$G$73,,0)*$N$26+_xlfn.XLOOKUP(A35,$F$32:$F$73,$H$32:$H$73,,0)*$O$26)/3600)</f>
        <v>0</v>
      </c>
      <c r="D35" s="539">
        <f>IF(A35&lt;'Major Assumption Key'!$B$3,0,(_xlfn.XLOOKUP(A35,$F$32:$F$73,$K$32:$K$73,,0)*$N$26+_xlfn.XLOOKUP(A35,$F$32:$F$73,$L$32:$L$73,,0)*$O$26)/3600)</f>
        <v>0</v>
      </c>
      <c r="F35" s="487">
        <v>2022</v>
      </c>
      <c r="G35" s="212">
        <f t="shared" si="7"/>
        <v>0</v>
      </c>
      <c r="H35" s="449">
        <f t="shared" si="8"/>
        <v>0</v>
      </c>
      <c r="I35" s="879">
        <f>IF(F35&lt;'Major Assumption Key'!$B$4,G35,IF(F35='Major Assumption Key'!$B$4,G35*($B$6+1),I34*(1+$B$5)))</f>
        <v>0</v>
      </c>
      <c r="J35" s="879">
        <f>IF(F35&lt;'Major Assumption Key'!$B$4,H35,IF(F35='Major Assumption Key'!$B$4,G35*($B$6+1),J34*(1+$B$5)))</f>
        <v>0</v>
      </c>
      <c r="K35" s="212">
        <f t="shared" si="9"/>
        <v>0</v>
      </c>
      <c r="L35" s="471">
        <f t="shared" si="10"/>
        <v>0</v>
      </c>
    </row>
    <row r="36" spans="1:12">
      <c r="A36" s="216">
        <f>'Major Assumption Key'!A22</f>
        <v>2023</v>
      </c>
      <c r="B36" s="888">
        <f t="shared" si="11"/>
        <v>0</v>
      </c>
      <c r="C36" s="449">
        <f>IF(A36&lt;'Major Assumption Key'!$B$3,B36,(_xlfn.XLOOKUP(A36,$F$32:$F$73,$G$32:$G$73,,0)*$N$26+_xlfn.XLOOKUP(A36,$F$32:$F$73,$H$32:$H$73,,0)*$O$26)/3600)</f>
        <v>0</v>
      </c>
      <c r="D36" s="539">
        <f>IF(A36&lt;'Major Assumption Key'!$B$3,0,(_xlfn.XLOOKUP(A36,$F$32:$F$73,$K$32:$K$73,,0)*$N$26+_xlfn.XLOOKUP(A36,$F$32:$F$73,$L$32:$L$73,,0)*$O$26)/3600)</f>
        <v>0</v>
      </c>
      <c r="F36" s="487">
        <v>2023</v>
      </c>
      <c r="G36" s="212">
        <f t="shared" si="7"/>
        <v>0</v>
      </c>
      <c r="H36" s="449">
        <f t="shared" si="8"/>
        <v>0</v>
      </c>
      <c r="I36" s="879">
        <f>IF(F36&lt;'Major Assumption Key'!$B$4,G36,IF(F36='Major Assumption Key'!$B$4,G36*($B$6+1),I35*(1+$B$5)))</f>
        <v>0</v>
      </c>
      <c r="J36" s="879">
        <f>IF(F36&lt;'Major Assumption Key'!$B$4,H36,IF(F36='Major Assumption Key'!$B$4,G36*($B$6+1),J35*(1+$B$5)))</f>
        <v>0</v>
      </c>
      <c r="K36" s="212">
        <f t="shared" si="9"/>
        <v>0</v>
      </c>
      <c r="L36" s="471">
        <f t="shared" si="10"/>
        <v>0</v>
      </c>
    </row>
    <row r="37" spans="1:12">
      <c r="A37" s="216">
        <f>'Major Assumption Key'!A23</f>
        <v>2024</v>
      </c>
      <c r="B37" s="888">
        <f t="shared" si="11"/>
        <v>0</v>
      </c>
      <c r="C37" s="449">
        <f>IF(A37&lt;'Major Assumption Key'!$B$3,B37,(_xlfn.XLOOKUP(A37,$F$32:$F$73,$G$32:$G$73,,0)*$N$26+_xlfn.XLOOKUP(A37,$F$32:$F$73,$H$32:$H$73,,0)*$O$26)/3600)</f>
        <v>0</v>
      </c>
      <c r="D37" s="539">
        <f>IF(A37&lt;'Major Assumption Key'!$B$3,0,(_xlfn.XLOOKUP(A37,$F$32:$F$73,$K$32:$K$73,,0)*$N$26+_xlfn.XLOOKUP(A37,$F$32:$F$73,$L$32:$L$73,,0)*$O$26)/3600)</f>
        <v>0</v>
      </c>
      <c r="F37" s="487">
        <v>2024</v>
      </c>
      <c r="G37" s="212">
        <f t="shared" si="7"/>
        <v>0</v>
      </c>
      <c r="H37" s="449">
        <f t="shared" si="8"/>
        <v>0</v>
      </c>
      <c r="I37" s="879">
        <f>IF(F37&lt;'Major Assumption Key'!$B$4,G37,IF(F37='Major Assumption Key'!$B$4,G37*($B$6+1),I36*(1+$B$5)))</f>
        <v>0</v>
      </c>
      <c r="J37" s="879">
        <f>IF(F37&lt;'Major Assumption Key'!$B$4,H37,IF(F37='Major Assumption Key'!$B$4,G37*($B$6+1),J36*(1+$B$5)))</f>
        <v>0</v>
      </c>
      <c r="K37" s="212">
        <f t="shared" si="9"/>
        <v>0</v>
      </c>
      <c r="L37" s="471">
        <f>J37-H37</f>
        <v>0</v>
      </c>
    </row>
    <row r="38" spans="1:12">
      <c r="A38" s="216">
        <f>'Major Assumption Key'!A24</f>
        <v>2025</v>
      </c>
      <c r="B38" s="888">
        <f t="shared" si="11"/>
        <v>0</v>
      </c>
      <c r="C38" s="449">
        <f>IF(A38&lt;'Major Assumption Key'!$B$3,B38,(_xlfn.XLOOKUP(A38,$F$32:$F$73,$G$32:$G$73,,0)*$N$26+_xlfn.XLOOKUP(A38,$F$32:$F$73,$H$32:$H$73,,0)*$O$26)/3600)</f>
        <v>0</v>
      </c>
      <c r="D38" s="539">
        <f>IF(A38&lt;'Major Assumption Key'!$B$3,0,(_xlfn.XLOOKUP(A38,$F$32:$F$73,$K$32:$K$73,,0)*$N$26+_xlfn.XLOOKUP(A38,$F$32:$F$73,$L$32:$L$73,,0)*$O$26)/3600)</f>
        <v>0</v>
      </c>
      <c r="F38" s="487">
        <v>2025</v>
      </c>
      <c r="G38" s="212">
        <f t="shared" si="7"/>
        <v>0</v>
      </c>
      <c r="H38" s="449">
        <f t="shared" si="8"/>
        <v>0</v>
      </c>
      <c r="I38" s="879">
        <f>IF(F38&lt;'Major Assumption Key'!$B$4,G38,IF(F38='Major Assumption Key'!$B$4,G38*($B$6+1),I37*(1+$B$5)))</f>
        <v>0</v>
      </c>
      <c r="J38" s="879">
        <f>IF(F38&lt;'Major Assumption Key'!$B$4,H38,IF(F38='Major Assumption Key'!$B$4,G38*($B$6+1),J37*(1+$B$5)))</f>
        <v>0</v>
      </c>
      <c r="K38" s="212">
        <f t="shared" si="9"/>
        <v>0</v>
      </c>
      <c r="L38" s="471">
        <f t="shared" si="10"/>
        <v>0</v>
      </c>
    </row>
    <row r="39" spans="1:12">
      <c r="A39" s="216">
        <f>'Major Assumption Key'!A25</f>
        <v>2026</v>
      </c>
      <c r="B39" s="888">
        <f t="shared" si="11"/>
        <v>0</v>
      </c>
      <c r="C39" s="449">
        <f>IF(A39&lt;'Major Assumption Key'!$B$3,B39,(_xlfn.XLOOKUP(A39,$F$32:$F$73,$G$32:$G$73,,0)*$N$26+_xlfn.XLOOKUP(A39,$F$32:$F$73,$H$32:$H$73,,0)*$O$26)/3600)</f>
        <v>0</v>
      </c>
      <c r="D39" s="539">
        <f>IF(A39&lt;'Major Assumption Key'!$B$3,0,(_xlfn.XLOOKUP(A39,$F$32:$F$73,$K$32:$K$73,,0)*$N$26+_xlfn.XLOOKUP(A39,$F$32:$F$73,$L$32:$L$73,,0)*$O$26)/3600)</f>
        <v>0</v>
      </c>
      <c r="F39" s="487">
        <v>2026</v>
      </c>
      <c r="G39" s="212">
        <f t="shared" si="7"/>
        <v>0</v>
      </c>
      <c r="H39" s="449">
        <f t="shared" si="8"/>
        <v>0</v>
      </c>
      <c r="I39" s="879">
        <f>IF(F39&lt;'Major Assumption Key'!$B$4,G39,IF(F39='Major Assumption Key'!$B$4,G39*($B$6+1),I38*(1+$B$5)))</f>
        <v>0</v>
      </c>
      <c r="J39" s="879">
        <f>IF(F39&lt;'Major Assumption Key'!$B$4,H39,IF(F39='Major Assumption Key'!$B$4,G39*($B$6+1),J38*(1+$B$5)))</f>
        <v>0</v>
      </c>
      <c r="K39" s="212">
        <f t="shared" si="9"/>
        <v>0</v>
      </c>
      <c r="L39" s="471">
        <f t="shared" si="10"/>
        <v>0</v>
      </c>
    </row>
    <row r="40" spans="1:12">
      <c r="A40" s="216">
        <f>'Major Assumption Key'!A26</f>
        <v>2027</v>
      </c>
      <c r="B40" s="888">
        <f t="shared" si="11"/>
        <v>0</v>
      </c>
      <c r="C40" s="449">
        <f>IF(A40&lt;'Major Assumption Key'!$B$3,B40,(_xlfn.XLOOKUP(A40,$F$32:$F$73,$G$32:$G$73,,0)*$N$26+_xlfn.XLOOKUP(A40,$F$32:$F$73,$H$32:$H$73,,0)*$O$26)/3600)</f>
        <v>0</v>
      </c>
      <c r="D40" s="539">
        <f>IF(A40&lt;'Major Assumption Key'!$B$3,0,(_xlfn.XLOOKUP(A40,$F$32:$F$73,$K$32:$K$73,,0)*$N$26+_xlfn.XLOOKUP(A40,$F$32:$F$73,$L$32:$L$73,,0)*$O$26)/3600)</f>
        <v>0</v>
      </c>
      <c r="F40" s="487">
        <v>2027</v>
      </c>
      <c r="G40" s="212">
        <f t="shared" si="7"/>
        <v>0</v>
      </c>
      <c r="H40" s="449">
        <f t="shared" si="8"/>
        <v>0</v>
      </c>
      <c r="I40" s="879">
        <f>IF(F40&lt;'Major Assumption Key'!$B$4,G40,IF(F40='Major Assumption Key'!$B$4,G40*($B$6+1),I39*(1+$B$5)))</f>
        <v>0</v>
      </c>
      <c r="J40" s="879">
        <f>IF(F40&lt;'Major Assumption Key'!$B$4,H40,IF(F40='Major Assumption Key'!$B$4,G40*($B$6+1),J39*(1+$B$5)))</f>
        <v>0</v>
      </c>
      <c r="K40" s="212">
        <f t="shared" si="9"/>
        <v>0</v>
      </c>
      <c r="L40" s="471">
        <f t="shared" si="10"/>
        <v>0</v>
      </c>
    </row>
    <row r="41" spans="1:12">
      <c r="A41" s="216">
        <f>'Major Assumption Key'!A27</f>
        <v>2028</v>
      </c>
      <c r="B41" s="888">
        <f t="shared" si="11"/>
        <v>0</v>
      </c>
      <c r="C41" s="449">
        <f>IF(A41&lt;'Major Assumption Key'!$B$3,B41,(_xlfn.XLOOKUP(A41,$F$32:$F$73,$G$32:$G$73,,0)*$N$26+_xlfn.XLOOKUP(A41,$F$32:$F$73,$H$32:$H$73,,0)*$O$26)/3600)</f>
        <v>0</v>
      </c>
      <c r="D41" s="539">
        <f>IF(A41&lt;'Major Assumption Key'!$B$3,0,(_xlfn.XLOOKUP(A41,$F$32:$F$73,$K$32:$K$73,,0)*$N$26+_xlfn.XLOOKUP(A41,$F$32:$F$73,$L$32:$L$73,,0)*$O$26)/3600)</f>
        <v>0</v>
      </c>
      <c r="F41" s="487">
        <v>2028</v>
      </c>
      <c r="G41" s="212">
        <f t="shared" si="7"/>
        <v>0</v>
      </c>
      <c r="H41" s="449">
        <f t="shared" si="8"/>
        <v>0</v>
      </c>
      <c r="I41" s="879">
        <f>IF(F41&lt;'Major Assumption Key'!$B$4,G41,IF(F41='Major Assumption Key'!$B$4,G41*($B$6+1),I40*(1+$B$5)))</f>
        <v>0</v>
      </c>
      <c r="J41" s="879">
        <f>IF(F41&lt;'Major Assumption Key'!$B$4,H41,IF(F41='Major Assumption Key'!$B$4,G41*($B$6+1),J40*(1+$B$5)))</f>
        <v>0</v>
      </c>
      <c r="K41" s="212">
        <f t="shared" si="9"/>
        <v>0</v>
      </c>
      <c r="L41" s="471">
        <f t="shared" si="10"/>
        <v>0</v>
      </c>
    </row>
    <row r="42" spans="1:12">
      <c r="A42" s="216">
        <f>'Major Assumption Key'!A28</f>
        <v>2029</v>
      </c>
      <c r="B42" s="888">
        <f t="shared" si="11"/>
        <v>0</v>
      </c>
      <c r="C42" s="449">
        <f>IF(A42&lt;'Major Assumption Key'!$B$3,B42,(_xlfn.XLOOKUP(A42,$F$32:$F$73,$G$32:$G$73,,0)*$N$26+_xlfn.XLOOKUP(A42,$F$32:$F$73,$H$32:$H$73,,0)*$O$26)/3600)</f>
        <v>0</v>
      </c>
      <c r="D42" s="539">
        <f>IF(A42&lt;'Major Assumption Key'!$B$3,0,(_xlfn.XLOOKUP(A42,$F$32:$F$73,$K$32:$K$73,,0)*$N$26+_xlfn.XLOOKUP(A42,$F$32:$F$73,$L$32:$L$73,,0)*$O$26)/3600)</f>
        <v>0</v>
      </c>
      <c r="E42" s="544"/>
      <c r="F42" s="487">
        <v>2029</v>
      </c>
      <c r="G42" s="212">
        <f t="shared" si="7"/>
        <v>0</v>
      </c>
      <c r="H42" s="449">
        <f t="shared" si="8"/>
        <v>0</v>
      </c>
      <c r="I42" s="879">
        <f>IF(F42&lt;'Major Assumption Key'!$B$4,G42,IF(F42='Major Assumption Key'!$B$4,G42*($B$6+1),I41*(1+$B$5)))</f>
        <v>0</v>
      </c>
      <c r="J42" s="879">
        <f>IF(F42&lt;'Major Assumption Key'!$B$4,H42,IF(F42='Major Assumption Key'!$B$4,G42*($B$6+1),J41*(1+$B$5)))</f>
        <v>0</v>
      </c>
      <c r="K42" s="212">
        <f t="shared" si="9"/>
        <v>0</v>
      </c>
      <c r="L42" s="471">
        <f t="shared" si="10"/>
        <v>0</v>
      </c>
    </row>
    <row r="43" spans="1:12">
      <c r="A43" s="216">
        <f>'Major Assumption Key'!A29</f>
        <v>2030</v>
      </c>
      <c r="B43" s="888">
        <f t="shared" si="11"/>
        <v>0</v>
      </c>
      <c r="C43" s="449">
        <f>IF(A43&lt;'Major Assumption Key'!$B$3,B43,(_xlfn.XLOOKUP(A43,$F$32:$F$73,$G$32:$G$73,,0)*$N$26+_xlfn.XLOOKUP(A43,$F$32:$F$73,$H$32:$H$73,,0)*$O$26)/3600)</f>
        <v>0</v>
      </c>
      <c r="D43" s="539">
        <f>IF(A43&lt;'Major Assumption Key'!$B$3,0,(_xlfn.XLOOKUP(A43,$F$32:$F$73,$K$32:$K$73,,0)*$N$26+_xlfn.XLOOKUP(A43,$F$32:$F$73,$L$32:$L$73,,0)*$O$26)/3600)</f>
        <v>0</v>
      </c>
      <c r="E43" s="544"/>
      <c r="F43" s="487">
        <v>2030</v>
      </c>
      <c r="G43" s="212">
        <f t="shared" si="7"/>
        <v>0</v>
      </c>
      <c r="H43" s="449">
        <f t="shared" si="8"/>
        <v>0</v>
      </c>
      <c r="I43" s="879">
        <f>IF(F43&lt;'Major Assumption Key'!$B$4,G43,IF(F43='Major Assumption Key'!$B$4,G43*($B$6+1),I42*(1+$B$5)))</f>
        <v>0</v>
      </c>
      <c r="J43" s="879">
        <f>IF(F43&lt;'Major Assumption Key'!$B$4,H43,IF(F43='Major Assumption Key'!$B$4,G43*($B$6+1),J42*(1+$B$5)))</f>
        <v>0</v>
      </c>
      <c r="K43" s="212">
        <f t="shared" si="9"/>
        <v>0</v>
      </c>
      <c r="L43" s="471">
        <f t="shared" si="10"/>
        <v>0</v>
      </c>
    </row>
    <row r="44" spans="1:12">
      <c r="A44" s="216">
        <f>'Major Assumption Key'!A30</f>
        <v>2031</v>
      </c>
      <c r="B44" s="888">
        <f t="shared" si="11"/>
        <v>0</v>
      </c>
      <c r="C44" s="449">
        <f>IF(A44&lt;'Major Assumption Key'!$B$3,B44,(_xlfn.XLOOKUP(A44,$F$32:$F$73,$G$32:$G$73,,0)*$N$26+_xlfn.XLOOKUP(A44,$F$32:$F$73,$H$32:$H$73,,0)*$O$26)/3600)</f>
        <v>0</v>
      </c>
      <c r="D44" s="539">
        <f>IF(A44&lt;'Major Assumption Key'!$B$3,0,(_xlfn.XLOOKUP(A44,$F$32:$F$73,$K$32:$K$73,,0)*$N$26+_xlfn.XLOOKUP(A44,$F$32:$F$73,$L$32:$L$73,,0)*$O$26)/3600)</f>
        <v>0</v>
      </c>
      <c r="E44" s="544"/>
      <c r="F44" s="487">
        <v>2031</v>
      </c>
      <c r="G44" s="212">
        <f t="shared" si="7"/>
        <v>0</v>
      </c>
      <c r="H44" s="449">
        <f t="shared" si="8"/>
        <v>0</v>
      </c>
      <c r="I44" s="879">
        <f>IF(F44&lt;'Major Assumption Key'!$B$4,G44,IF(F44='Major Assumption Key'!$B$4,G44*($B$6+1),I43*(1+$B$5)))</f>
        <v>0</v>
      </c>
      <c r="J44" s="879">
        <f>IF(F44&lt;'Major Assumption Key'!$B$4,H44,IF(F44='Major Assumption Key'!$B$4,G44*($B$6+1),J43*(1+$B$5)))</f>
        <v>0</v>
      </c>
      <c r="K44" s="212">
        <f t="shared" si="9"/>
        <v>0</v>
      </c>
      <c r="L44" s="471">
        <f t="shared" si="10"/>
        <v>0</v>
      </c>
    </row>
    <row r="45" spans="1:12">
      <c r="A45" s="216">
        <f>'Major Assumption Key'!A31</f>
        <v>2032</v>
      </c>
      <c r="B45" s="888">
        <f t="shared" si="11"/>
        <v>0</v>
      </c>
      <c r="C45" s="449">
        <f>IF(A45&lt;'Major Assumption Key'!$B$3,B45,(_xlfn.XLOOKUP(A45,$F$32:$F$73,$G$32:$G$73,,0)*$N$26+_xlfn.XLOOKUP(A45,$F$32:$F$73,$H$32:$H$73,,0)*$O$26)/3600)</f>
        <v>0</v>
      </c>
      <c r="D45" s="539">
        <f>IF(A45&lt;'Major Assumption Key'!$B$3,0,(_xlfn.XLOOKUP(A45,$F$32:$F$73,$K$32:$K$73,,0)*$N$26+_xlfn.XLOOKUP(A45,$F$32:$F$73,$L$32:$L$73,,0)*$O$26)/3600)</f>
        <v>0</v>
      </c>
      <c r="E45" s="544"/>
      <c r="F45" s="487">
        <v>2032</v>
      </c>
      <c r="G45" s="212">
        <f t="shared" si="7"/>
        <v>0</v>
      </c>
      <c r="H45" s="449">
        <f t="shared" si="8"/>
        <v>0</v>
      </c>
      <c r="I45" s="879">
        <f>IF(F45&lt;'Major Assumption Key'!$B$4,G45,IF(F45='Major Assumption Key'!$B$4,G45*($B$6+1),I44*(1+$B$5)))</f>
        <v>0</v>
      </c>
      <c r="J45" s="879">
        <f>IF(F45&lt;'Major Assumption Key'!$B$4,H45,IF(F45='Major Assumption Key'!$B$4,G45*($B$6+1),J44*(1+$B$5)))</f>
        <v>0</v>
      </c>
      <c r="K45" s="212">
        <f t="shared" si="9"/>
        <v>0</v>
      </c>
      <c r="L45" s="471">
        <f t="shared" si="10"/>
        <v>0</v>
      </c>
    </row>
    <row r="46" spans="1:12">
      <c r="A46" s="216">
        <f>'Major Assumption Key'!A32</f>
        <v>2033</v>
      </c>
      <c r="B46" s="888">
        <f t="shared" si="11"/>
        <v>0</v>
      </c>
      <c r="C46" s="449">
        <f>IF(A46&lt;'Major Assumption Key'!$B$3,B46,(_xlfn.XLOOKUP(A46,$F$32:$F$73,$G$32:$G$73,,0)*$N$26+_xlfn.XLOOKUP(A46,$F$32:$F$73,$H$32:$H$73,,0)*$O$26)/3600)</f>
        <v>0</v>
      </c>
      <c r="D46" s="539">
        <f>IF(A46&lt;'Major Assumption Key'!$B$3,0,(_xlfn.XLOOKUP(A46,$F$32:$F$73,$K$32:$K$73,,0)*$N$26+_xlfn.XLOOKUP(A46,$F$32:$F$73,$L$32:$L$73,,0)*$O$26)/3600)</f>
        <v>0</v>
      </c>
      <c r="E46" s="544"/>
      <c r="F46" s="487">
        <v>2033</v>
      </c>
      <c r="G46" s="212">
        <f t="shared" si="7"/>
        <v>0</v>
      </c>
      <c r="H46" s="449">
        <f t="shared" si="8"/>
        <v>0</v>
      </c>
      <c r="I46" s="879">
        <f>IF(F46&lt;'Major Assumption Key'!$B$4,G46,IF(F46='Major Assumption Key'!$B$4,G46*($B$6+1),I45*(1+$B$5)))</f>
        <v>0</v>
      </c>
      <c r="J46" s="879">
        <f>IF(F46&lt;'Major Assumption Key'!$B$4,H46,IF(F46='Major Assumption Key'!$B$4,G46*($B$6+1),J45*(1+$B$5)))</f>
        <v>0</v>
      </c>
      <c r="K46" s="212">
        <f t="shared" si="9"/>
        <v>0</v>
      </c>
      <c r="L46" s="471">
        <f t="shared" si="10"/>
        <v>0</v>
      </c>
    </row>
    <row r="47" spans="1:12">
      <c r="A47" s="216">
        <f>'Major Assumption Key'!A33</f>
        <v>2034</v>
      </c>
      <c r="B47" s="888">
        <f t="shared" si="11"/>
        <v>0</v>
      </c>
      <c r="C47" s="449">
        <f>IF(A47&lt;'Major Assumption Key'!$B$3,B47,(_xlfn.XLOOKUP(A47,$F$32:$F$73,$G$32:$G$73,,0)*$N$26+_xlfn.XLOOKUP(A47,$F$32:$F$73,$H$32:$H$73,,0)*$O$26)/3600)</f>
        <v>0</v>
      </c>
      <c r="D47" s="539">
        <f>IF(A47&lt;'Major Assumption Key'!$B$3,0,(_xlfn.XLOOKUP(A47,$F$32:$F$73,$K$32:$K$73,,0)*$N$26+_xlfn.XLOOKUP(A47,$F$32:$F$73,$L$32:$L$73,,0)*$O$26)/3600)</f>
        <v>0</v>
      </c>
      <c r="E47" s="544"/>
      <c r="F47" s="487">
        <v>2034</v>
      </c>
      <c r="G47" s="212">
        <f t="shared" si="7"/>
        <v>0</v>
      </c>
      <c r="H47" s="449">
        <f t="shared" si="8"/>
        <v>0</v>
      </c>
      <c r="I47" s="879">
        <f>IF(F47&lt;'Major Assumption Key'!$B$4,G47,IF(F47='Major Assumption Key'!$B$4,G47*($B$6+1),I46*(1+$B$5)))</f>
        <v>0</v>
      </c>
      <c r="J47" s="879">
        <f>IF(F47&lt;'Major Assumption Key'!$B$4,H47,IF(F47='Major Assumption Key'!$B$4,G47*($B$6+1),J46*(1+$B$5)))</f>
        <v>0</v>
      </c>
      <c r="K47" s="212">
        <f t="shared" si="9"/>
        <v>0</v>
      </c>
      <c r="L47" s="471">
        <f t="shared" si="10"/>
        <v>0</v>
      </c>
    </row>
    <row r="48" spans="1:12">
      <c r="A48" s="216">
        <f>'Major Assumption Key'!A34</f>
        <v>2035</v>
      </c>
      <c r="B48" s="888">
        <f t="shared" si="11"/>
        <v>0</v>
      </c>
      <c r="C48" s="449">
        <f>IF(A48&lt;'Major Assumption Key'!$B$3,B48,(_xlfn.XLOOKUP(A48,$F$32:$F$73,$G$32:$G$73,,0)*$N$26+_xlfn.XLOOKUP(A48,$F$32:$F$73,$H$32:$H$73,,0)*$O$26)/3600)</f>
        <v>0</v>
      </c>
      <c r="D48" s="539">
        <f>IF(A48&lt;'Major Assumption Key'!$B$3,0,(_xlfn.XLOOKUP(A48,$F$32:$F$73,$K$32:$K$73,,0)*$N$26+_xlfn.XLOOKUP(A48,$F$32:$F$73,$L$32:$L$73,,0)*$O$26)/3600)</f>
        <v>0</v>
      </c>
      <c r="E48" s="544"/>
      <c r="F48" s="487">
        <v>2035</v>
      </c>
      <c r="G48" s="212">
        <f t="shared" si="7"/>
        <v>0</v>
      </c>
      <c r="H48" s="449">
        <f t="shared" si="8"/>
        <v>0</v>
      </c>
      <c r="I48" s="879">
        <f>IF(F48&lt;'Major Assumption Key'!$B$4,G48,IF(F48='Major Assumption Key'!$B$4,G48*($B$6+1),I47*(1+$B$5)))</f>
        <v>0</v>
      </c>
      <c r="J48" s="879">
        <f>IF(F48&lt;'Major Assumption Key'!$B$4,H48,IF(F48='Major Assumption Key'!$B$4,G48*($B$6+1),J47*(1+$B$5)))</f>
        <v>0</v>
      </c>
      <c r="K48" s="212">
        <f t="shared" si="9"/>
        <v>0</v>
      </c>
      <c r="L48" s="471">
        <f t="shared" si="10"/>
        <v>0</v>
      </c>
    </row>
    <row r="49" spans="1:12">
      <c r="A49" s="216">
        <f>'Major Assumption Key'!A35</f>
        <v>2036</v>
      </c>
      <c r="B49" s="888">
        <f t="shared" si="11"/>
        <v>0</v>
      </c>
      <c r="C49" s="449">
        <f>IF(A49&lt;'Major Assumption Key'!$B$3,B49,(_xlfn.XLOOKUP(A49,$F$32:$F$73,$G$32:$G$73,,0)*$N$26+_xlfn.XLOOKUP(A49,$F$32:$F$73,$H$32:$H$73,,0)*$O$26)/3600)</f>
        <v>0</v>
      </c>
      <c r="D49" s="539">
        <f>IF(A49&lt;'Major Assumption Key'!$B$3,0,(_xlfn.XLOOKUP(A49,$F$32:$F$73,$K$32:$K$73,,0)*$N$26+_xlfn.XLOOKUP(A49,$F$32:$F$73,$L$32:$L$73,,0)*$O$26)/3600)</f>
        <v>0</v>
      </c>
      <c r="E49" s="544"/>
      <c r="F49" s="487">
        <v>2036</v>
      </c>
      <c r="G49" s="212">
        <f t="shared" si="7"/>
        <v>0</v>
      </c>
      <c r="H49" s="449">
        <f t="shared" si="8"/>
        <v>0</v>
      </c>
      <c r="I49" s="879">
        <f>IF(F49&lt;'Major Assumption Key'!$B$4,G49,IF(F49='Major Assumption Key'!$B$4,G49*($B$6+1),I48*(1+$B$5)))</f>
        <v>0</v>
      </c>
      <c r="J49" s="879">
        <f>IF(F49&lt;'Major Assumption Key'!$B$4,H49,IF(F49='Major Assumption Key'!$B$4,G49*($B$6+1),J48*(1+$B$5)))</f>
        <v>0</v>
      </c>
      <c r="K49" s="212">
        <f t="shared" si="9"/>
        <v>0</v>
      </c>
      <c r="L49" s="471">
        <f t="shared" si="10"/>
        <v>0</v>
      </c>
    </row>
    <row r="50" spans="1:12">
      <c r="A50" s="216">
        <f>'Major Assumption Key'!A36</f>
        <v>2037</v>
      </c>
      <c r="B50" s="888">
        <f t="shared" si="11"/>
        <v>0</v>
      </c>
      <c r="C50" s="449">
        <f>IF(A50&lt;'Major Assumption Key'!$B$3,B50,(_xlfn.XLOOKUP(A50,$F$32:$F$73,$G$32:$G$73,,0)*$N$26+_xlfn.XLOOKUP(A50,$F$32:$F$73,$H$32:$H$73,,0)*$O$26)/3600)</f>
        <v>0</v>
      </c>
      <c r="D50" s="539">
        <f>IF(A50&lt;'Major Assumption Key'!$B$3,0,(_xlfn.XLOOKUP(A50,$F$32:$F$73,$K$32:$K$73,,0)*$N$26+_xlfn.XLOOKUP(A50,$F$32:$F$73,$L$32:$L$73,,0)*$O$26)/3600)</f>
        <v>0</v>
      </c>
      <c r="E50" s="544"/>
      <c r="F50" s="487">
        <v>2037</v>
      </c>
      <c r="G50" s="212">
        <f t="shared" si="7"/>
        <v>0</v>
      </c>
      <c r="H50" s="449">
        <f t="shared" si="8"/>
        <v>0</v>
      </c>
      <c r="I50" s="879">
        <f>IF(F50&lt;'Major Assumption Key'!$B$4,G50,IF(F50='Major Assumption Key'!$B$4,G50*($B$6+1),I49*(1+$B$5)))</f>
        <v>0</v>
      </c>
      <c r="J50" s="879">
        <f>IF(F50&lt;'Major Assumption Key'!$B$4,H50,IF(F50='Major Assumption Key'!$B$4,G50*($B$6+1),J49*(1+$B$5)))</f>
        <v>0</v>
      </c>
      <c r="K50" s="212">
        <f t="shared" si="9"/>
        <v>0</v>
      </c>
      <c r="L50" s="471">
        <f t="shared" si="10"/>
        <v>0</v>
      </c>
    </row>
    <row r="51" spans="1:12">
      <c r="A51" s="216">
        <f>'Major Assumption Key'!A37</f>
        <v>2038</v>
      </c>
      <c r="B51" s="888">
        <f t="shared" si="11"/>
        <v>0</v>
      </c>
      <c r="C51" s="449">
        <f>IF(A51&lt;'Major Assumption Key'!$B$3,B51,(_xlfn.XLOOKUP(A51,$F$32:$F$73,$G$32:$G$73,,0)*$N$26+_xlfn.XLOOKUP(A51,$F$32:$F$73,$H$32:$H$73,,0)*$O$26)/3600)</f>
        <v>0</v>
      </c>
      <c r="D51" s="539">
        <f>IF(A51&lt;'Major Assumption Key'!$B$3,0,(_xlfn.XLOOKUP(A51,$F$32:$F$73,$K$32:$K$73,,0)*$N$26+_xlfn.XLOOKUP(A51,$F$32:$F$73,$L$32:$L$73,,0)*$O$26)/3600)</f>
        <v>0</v>
      </c>
      <c r="E51" s="544"/>
      <c r="F51" s="487">
        <v>2038</v>
      </c>
      <c r="G51" s="212">
        <f t="shared" si="7"/>
        <v>0</v>
      </c>
      <c r="H51" s="449">
        <f t="shared" si="8"/>
        <v>0</v>
      </c>
      <c r="I51" s="879">
        <f>IF(F51&lt;'Major Assumption Key'!$B$4,G51,IF(F51='Major Assumption Key'!$B$4,G51*($B$6+1),I50*(1+$B$5)))</f>
        <v>0</v>
      </c>
      <c r="J51" s="879">
        <f>IF(F51&lt;'Major Assumption Key'!$B$4,H51,IF(F51='Major Assumption Key'!$B$4,G51*($B$6+1),J50*(1+$B$5)))</f>
        <v>0</v>
      </c>
      <c r="K51" s="212">
        <f t="shared" si="9"/>
        <v>0</v>
      </c>
      <c r="L51" s="471">
        <f t="shared" si="10"/>
        <v>0</v>
      </c>
    </row>
    <row r="52" spans="1:12">
      <c r="A52" s="216">
        <f>'Major Assumption Key'!A38</f>
        <v>2039</v>
      </c>
      <c r="B52" s="888">
        <f t="shared" si="11"/>
        <v>0</v>
      </c>
      <c r="C52" s="449">
        <f>IF(A52&lt;'Major Assumption Key'!$B$3,B52,(_xlfn.XLOOKUP(A52,$F$32:$F$73,$G$32:$G$73,,0)*$N$26+_xlfn.XLOOKUP(A52,$F$32:$F$73,$H$32:$H$73,,0)*$O$26)/3600)</f>
        <v>0</v>
      </c>
      <c r="D52" s="539">
        <f>IF(A52&lt;'Major Assumption Key'!$B$3,0,(_xlfn.XLOOKUP(A52,$F$32:$F$73,$K$32:$K$73,,0)*$N$26+_xlfn.XLOOKUP(A52,$F$32:$F$73,$L$32:$L$73,,0)*$O$26)/3600)</f>
        <v>0</v>
      </c>
      <c r="E52" s="544"/>
      <c r="F52" s="487">
        <v>2039</v>
      </c>
      <c r="G52" s="212">
        <f t="shared" si="7"/>
        <v>0</v>
      </c>
      <c r="H52" s="449">
        <f t="shared" si="8"/>
        <v>0</v>
      </c>
      <c r="I52" s="879">
        <f>IF(F52&lt;'Major Assumption Key'!$B$4,G52,IF(F52='Major Assumption Key'!$B$4,G52*($B$6+1),I51*(1+$B$5)))</f>
        <v>0</v>
      </c>
      <c r="J52" s="879">
        <f>IF(F52&lt;'Major Assumption Key'!$B$4,H52,IF(F52='Major Assumption Key'!$B$4,G52*($B$6+1),J51*(1+$B$5)))</f>
        <v>0</v>
      </c>
      <c r="K52" s="212">
        <f t="shared" si="9"/>
        <v>0</v>
      </c>
      <c r="L52" s="471">
        <f t="shared" si="10"/>
        <v>0</v>
      </c>
    </row>
    <row r="53" spans="1:12">
      <c r="A53" s="216">
        <f>'Major Assumption Key'!A39</f>
        <v>2040</v>
      </c>
      <c r="B53" s="888">
        <f t="shared" si="11"/>
        <v>0</v>
      </c>
      <c r="C53" s="449">
        <f>IF(A53&lt;'Major Assumption Key'!$B$3,B53,(_xlfn.XLOOKUP(A53,$F$32:$F$73,$G$32:$G$73,,0)*$N$26+_xlfn.XLOOKUP(A53,$F$32:$F$73,$H$32:$H$73,,0)*$O$26)/3600)</f>
        <v>0</v>
      </c>
      <c r="D53" s="539">
        <f>IF(A53&lt;'Major Assumption Key'!$B$3,0,(_xlfn.XLOOKUP(A53,$F$32:$F$73,$K$32:$K$73,,0)*$N$26+_xlfn.XLOOKUP(A53,$F$32:$F$73,$L$32:$L$73,,0)*$O$26)/3600)</f>
        <v>0</v>
      </c>
      <c r="E53" s="544"/>
      <c r="F53" s="487">
        <v>2040</v>
      </c>
      <c r="G53" s="212">
        <f t="shared" si="7"/>
        <v>0</v>
      </c>
      <c r="H53" s="449">
        <f t="shared" si="8"/>
        <v>0</v>
      </c>
      <c r="I53" s="879">
        <f>IF(F53&lt;'Major Assumption Key'!$B$4,G53,IF(F53='Major Assumption Key'!$B$4,G53*($B$6+1),I52*(1+$B$5)))</f>
        <v>0</v>
      </c>
      <c r="J53" s="879">
        <f>IF(F53&lt;'Major Assumption Key'!$B$4,H53,IF(F53='Major Assumption Key'!$B$4,G53*($B$6+1),J52*(1+$B$5)))</f>
        <v>0</v>
      </c>
      <c r="K53" s="212">
        <f t="shared" si="9"/>
        <v>0</v>
      </c>
      <c r="L53" s="471">
        <f t="shared" si="10"/>
        <v>0</v>
      </c>
    </row>
    <row r="54" spans="1:12" s="181" customFormat="1">
      <c r="A54" s="216">
        <f>'Major Assumption Key'!A40</f>
        <v>2041</v>
      </c>
      <c r="B54" s="888">
        <f t="shared" si="11"/>
        <v>0</v>
      </c>
      <c r="C54" s="449">
        <f>IF(A54&lt;'Major Assumption Key'!$B$3,B54,(_xlfn.XLOOKUP(A54,$F$32:$F$73,$G$32:$G$73,,0)*$N$26+_xlfn.XLOOKUP(A54,$F$32:$F$73,$H$32:$H$73,,0)*$O$26)/3600)</f>
        <v>0</v>
      </c>
      <c r="D54" s="539">
        <f>IF(A54&lt;'Major Assumption Key'!$B$3,0,(_xlfn.XLOOKUP(A54,$F$32:$F$73,$K$32:$K$73,,0)*$N$26+_xlfn.XLOOKUP(A54,$F$32:$F$73,$L$32:$L$73,,0)*$O$26)/3600)</f>
        <v>0</v>
      </c>
      <c r="E54" s="544"/>
      <c r="F54" s="487">
        <v>2041</v>
      </c>
      <c r="G54" s="212">
        <f t="shared" si="7"/>
        <v>0</v>
      </c>
      <c r="H54" s="449">
        <f t="shared" si="8"/>
        <v>0</v>
      </c>
      <c r="I54" s="879">
        <f>IF(F54&lt;'Major Assumption Key'!$B$4,G54,IF(F54='Major Assumption Key'!$B$4,G54*($B$6+1),I53*(1+$B$5)))</f>
        <v>0</v>
      </c>
      <c r="J54" s="879">
        <f>IF(F54&lt;'Major Assumption Key'!$B$4,H54,IF(F54='Major Assumption Key'!$B$4,G54*($B$6+1),J53*(1+$B$5)))</f>
        <v>0</v>
      </c>
      <c r="K54" s="212">
        <f t="shared" si="9"/>
        <v>0</v>
      </c>
      <c r="L54" s="471">
        <f t="shared" si="10"/>
        <v>0</v>
      </c>
    </row>
    <row r="55" spans="1:12" s="181" customFormat="1">
      <c r="A55" s="216">
        <f>'Major Assumption Key'!A41</f>
        <v>2042</v>
      </c>
      <c r="B55" s="888">
        <f t="shared" si="11"/>
        <v>0</v>
      </c>
      <c r="C55" s="449">
        <f>IF(A55&lt;'Major Assumption Key'!$B$3,B55,(_xlfn.XLOOKUP(A55,$F$32:$F$73,$G$32:$G$73,,0)*$N$26+_xlfn.XLOOKUP(A55,$F$32:$F$73,$H$32:$H$73,,0)*$O$26)/3600)</f>
        <v>0</v>
      </c>
      <c r="D55" s="539">
        <f>IF(A55&lt;'Major Assumption Key'!$B$3,0,(_xlfn.XLOOKUP(A55,$F$32:$F$73,$K$32:$K$73,,0)*$N$26+_xlfn.XLOOKUP(A55,$F$32:$F$73,$L$32:$L$73,,0)*$O$26)/3600)</f>
        <v>0</v>
      </c>
      <c r="E55" s="544"/>
      <c r="F55" s="487">
        <v>2042</v>
      </c>
      <c r="G55" s="212">
        <f t="shared" si="7"/>
        <v>0</v>
      </c>
      <c r="H55" s="449">
        <f t="shared" si="8"/>
        <v>0</v>
      </c>
      <c r="I55" s="879">
        <f>IF(F55&lt;'Major Assumption Key'!$B$4,G55,IF(F55='Major Assumption Key'!$B$4,G55*($B$6+1),I54*(1+$B$5)))</f>
        <v>0</v>
      </c>
      <c r="J55" s="879">
        <f>IF(F55&lt;'Major Assumption Key'!$B$4,H55,IF(F55='Major Assumption Key'!$B$4,G55*($B$6+1),J54*(1+$B$5)))</f>
        <v>0</v>
      </c>
      <c r="K55" s="212">
        <f t="shared" si="9"/>
        <v>0</v>
      </c>
      <c r="L55" s="471">
        <f t="shared" si="10"/>
        <v>0</v>
      </c>
    </row>
    <row r="56" spans="1:12" s="181" customFormat="1">
      <c r="A56" s="216">
        <f>'Major Assumption Key'!A42</f>
        <v>2043</v>
      </c>
      <c r="B56" s="888">
        <f t="shared" si="11"/>
        <v>0</v>
      </c>
      <c r="C56" s="449">
        <f>IF(A56&lt;'Major Assumption Key'!$B$3,B56,(_xlfn.XLOOKUP(A56,$F$32:$F$73,$G$32:$G$73,,0)*$N$26+_xlfn.XLOOKUP(A56,$F$32:$F$73,$H$32:$H$73,,0)*$O$26)/3600)</f>
        <v>0</v>
      </c>
      <c r="D56" s="539">
        <f>IF(A56&lt;'Major Assumption Key'!$B$3,0,(_xlfn.XLOOKUP(A56,$F$32:$F$73,$K$32:$K$73,,0)*$N$26+_xlfn.XLOOKUP(A56,$F$32:$F$73,$L$32:$L$73,,0)*$O$26)/3600)</f>
        <v>0</v>
      </c>
      <c r="E56" s="544"/>
      <c r="F56" s="487">
        <v>2043</v>
      </c>
      <c r="G56" s="212">
        <f t="shared" si="7"/>
        <v>0</v>
      </c>
      <c r="H56" s="449">
        <f t="shared" si="8"/>
        <v>0</v>
      </c>
      <c r="I56" s="879">
        <f>IF(F56&lt;'Major Assumption Key'!$B$4,G56,IF(F56='Major Assumption Key'!$B$4,G56*($B$6+1),I55*(1+$B$5)))</f>
        <v>0</v>
      </c>
      <c r="J56" s="879">
        <f>IF(F56&lt;'Major Assumption Key'!$B$4,H56,IF(F56='Major Assumption Key'!$B$4,G56*($B$6+1),J55*(1+$B$5)))</f>
        <v>0</v>
      </c>
      <c r="K56" s="212">
        <f t="shared" si="9"/>
        <v>0</v>
      </c>
      <c r="L56" s="471">
        <f t="shared" si="10"/>
        <v>0</v>
      </c>
    </row>
    <row r="57" spans="1:12" s="181" customFormat="1">
      <c r="A57" s="216">
        <f>'Major Assumption Key'!A43</f>
        <v>2044</v>
      </c>
      <c r="B57" s="888">
        <f t="shared" si="11"/>
        <v>0</v>
      </c>
      <c r="C57" s="449">
        <f>IF(A57&lt;'Major Assumption Key'!$B$3,B57,(_xlfn.XLOOKUP(A57,$F$32:$F$73,$G$32:$G$73,,0)*$N$26+_xlfn.XLOOKUP(A57,$F$32:$F$73,$H$32:$H$73,,0)*$O$26)/3600)</f>
        <v>0</v>
      </c>
      <c r="D57" s="539">
        <f>IF(A57&lt;'Major Assumption Key'!$B$3,0,(_xlfn.XLOOKUP(A57,$F$32:$F$73,$K$32:$K$73,,0)*$N$26+_xlfn.XLOOKUP(A57,$F$32:$F$73,$L$32:$L$73,,0)*$O$26)/3600)</f>
        <v>0</v>
      </c>
      <c r="E57" s="544"/>
      <c r="F57" s="487">
        <v>2044</v>
      </c>
      <c r="G57" s="212">
        <f t="shared" si="7"/>
        <v>0</v>
      </c>
      <c r="H57" s="449">
        <f t="shared" si="8"/>
        <v>0</v>
      </c>
      <c r="I57" s="879">
        <f>IF(F57&lt;'Major Assumption Key'!$B$4,G57,IF(F57='Major Assumption Key'!$B$4,G57*($B$6+1),I56*(1+$B$5)))</f>
        <v>0</v>
      </c>
      <c r="J57" s="879">
        <f>IF(F57&lt;'Major Assumption Key'!$B$4,H57,IF(F57='Major Assumption Key'!$B$4,G57*($B$6+1),J56*(1+$B$5)))</f>
        <v>0</v>
      </c>
      <c r="K57" s="212">
        <f t="shared" si="9"/>
        <v>0</v>
      </c>
      <c r="L57" s="471">
        <f t="shared" si="10"/>
        <v>0</v>
      </c>
    </row>
    <row r="58" spans="1:12" s="181" customFormat="1">
      <c r="A58" s="216">
        <f>'Major Assumption Key'!A44</f>
        <v>2045</v>
      </c>
      <c r="B58" s="888">
        <f t="shared" si="11"/>
        <v>0</v>
      </c>
      <c r="C58" s="449">
        <f>IF(A58&lt;'Major Assumption Key'!$B$3,B58,(_xlfn.XLOOKUP(A58,$F$32:$F$73,$G$32:$G$73,,0)*$N$26+_xlfn.XLOOKUP(A58,$F$32:$F$73,$H$32:$H$73,,0)*$O$26)/3600)</f>
        <v>0</v>
      </c>
      <c r="D58" s="539">
        <f>IF(A58&lt;'Major Assumption Key'!$B$3,0,(_xlfn.XLOOKUP(A58,$F$32:$F$73,$K$32:$K$73,,0)*$N$26+_xlfn.XLOOKUP(A58,$F$32:$F$73,$L$32:$L$73,,0)*$O$26)/3600)</f>
        <v>0</v>
      </c>
      <c r="E58" s="544"/>
      <c r="F58" s="487">
        <v>2045</v>
      </c>
      <c r="G58" s="212">
        <f t="shared" si="7"/>
        <v>0</v>
      </c>
      <c r="H58" s="449">
        <f t="shared" si="8"/>
        <v>0</v>
      </c>
      <c r="I58" s="879">
        <f>IF(F58&lt;'Major Assumption Key'!$B$4,G58,IF(F58='Major Assumption Key'!$B$4,G58*($B$6+1),I57*(1+$B$5)))</f>
        <v>0</v>
      </c>
      <c r="J58" s="879">
        <f>IF(F58&lt;'Major Assumption Key'!$B$4,H58,IF(F58='Major Assumption Key'!$B$4,G58*($B$6+1),J57*(1+$B$5)))</f>
        <v>0</v>
      </c>
      <c r="K58" s="212">
        <f t="shared" si="9"/>
        <v>0</v>
      </c>
      <c r="L58" s="471">
        <f t="shared" si="10"/>
        <v>0</v>
      </c>
    </row>
    <row r="59" spans="1:12">
      <c r="A59" s="216">
        <f>'Major Assumption Key'!A45</f>
        <v>2046</v>
      </c>
      <c r="B59" s="888">
        <f t="shared" si="11"/>
        <v>0</v>
      </c>
      <c r="C59" s="449">
        <f>IF(A59&lt;'Major Assumption Key'!$B$3,B59,(_xlfn.XLOOKUP(A59,$F$32:$F$73,$G$32:$G$73,,0)*$N$26+_xlfn.XLOOKUP(A59,$F$32:$F$73,$H$32:$H$73,,0)*$O$26)/3600)</f>
        <v>0</v>
      </c>
      <c r="D59" s="539">
        <f>IF(A59&lt;'Major Assumption Key'!$B$3,0,(_xlfn.XLOOKUP(A59,$F$32:$F$73,$K$32:$K$73,,0)*$N$26+_xlfn.XLOOKUP(A59,$F$32:$F$73,$L$32:$L$73,,0)*$O$26)/3600)</f>
        <v>0</v>
      </c>
      <c r="E59" s="544"/>
      <c r="F59" s="487">
        <v>2046</v>
      </c>
      <c r="G59" s="212">
        <f t="shared" si="7"/>
        <v>0</v>
      </c>
      <c r="H59" s="449">
        <f t="shared" si="8"/>
        <v>0</v>
      </c>
      <c r="I59" s="879">
        <f>IF(F59&lt;'Major Assumption Key'!$B$4,G59,IF(F59='Major Assumption Key'!$B$4,G59*($B$6+1),I58*(1+$B$5)))</f>
        <v>0</v>
      </c>
      <c r="J59" s="879">
        <f>IF(F59&lt;'Major Assumption Key'!$B$4,H59,IF(F59='Major Assumption Key'!$B$4,G59*($B$6+1),J58*(1+$B$5)))</f>
        <v>0</v>
      </c>
      <c r="K59" s="212">
        <f t="shared" si="9"/>
        <v>0</v>
      </c>
      <c r="L59" s="471">
        <f t="shared" si="10"/>
        <v>0</v>
      </c>
    </row>
    <row r="60" spans="1:12">
      <c r="A60" s="216">
        <f>'Major Assumption Key'!A46</f>
        <v>2047</v>
      </c>
      <c r="B60" s="888">
        <f t="shared" si="11"/>
        <v>0</v>
      </c>
      <c r="C60" s="449">
        <f>IF(A60&lt;'Major Assumption Key'!$B$3,B60,(_xlfn.XLOOKUP(A60,$F$32:$F$73,$G$32:$G$73,,0)*$N$26+_xlfn.XLOOKUP(A60,$F$32:$F$73,$H$32:$H$73,,0)*$O$26)/3600)</f>
        <v>0</v>
      </c>
      <c r="D60" s="539">
        <f>IF(A60&lt;'Major Assumption Key'!$B$3,0,(_xlfn.XLOOKUP(A60,$F$32:$F$73,$K$32:$K$73,,0)*$N$26+_xlfn.XLOOKUP(A60,$F$32:$F$73,$L$32:$L$73,,0)*$O$26)/3600)</f>
        <v>0</v>
      </c>
      <c r="E60" s="544"/>
      <c r="F60" s="487">
        <v>2047</v>
      </c>
      <c r="G60" s="212">
        <f t="shared" si="7"/>
        <v>0</v>
      </c>
      <c r="H60" s="449">
        <f t="shared" si="8"/>
        <v>0</v>
      </c>
      <c r="I60" s="879">
        <f>IF(F60&lt;'Major Assumption Key'!$B$4,G60,IF(F60='Major Assumption Key'!$B$4,G60*($B$6+1),I59*(1+$B$5)))</f>
        <v>0</v>
      </c>
      <c r="J60" s="879">
        <f>IF(F60&lt;'Major Assumption Key'!$B$4,H60,IF(F60='Major Assumption Key'!$B$4,G60*($B$6+1),J59*(1+$B$5)))</f>
        <v>0</v>
      </c>
      <c r="K60" s="212">
        <f t="shared" si="9"/>
        <v>0</v>
      </c>
      <c r="L60" s="471">
        <f t="shared" si="10"/>
        <v>0</v>
      </c>
    </row>
    <row r="61" spans="1:12">
      <c r="A61" s="216">
        <f>'Major Assumption Key'!A47</f>
        <v>2048</v>
      </c>
      <c r="B61" s="888">
        <f t="shared" si="11"/>
        <v>0</v>
      </c>
      <c r="C61" s="449">
        <f>IF(A61&lt;'Major Assumption Key'!$B$3,B61,(_xlfn.XLOOKUP(A61,$F$32:$F$73,$G$32:$G$73,,0)*$N$26+_xlfn.XLOOKUP(A61,$F$32:$F$73,$H$32:$H$73,,0)*$O$26)/3600)</f>
        <v>0</v>
      </c>
      <c r="D61" s="539">
        <f>IF(A61&lt;'Major Assumption Key'!$B$3,0,(_xlfn.XLOOKUP(A61,$F$32:$F$73,$K$32:$K$73,,0)*$N$26+_xlfn.XLOOKUP(A61,$F$32:$F$73,$L$32:$L$73,,0)*$O$26)/3600)</f>
        <v>0</v>
      </c>
      <c r="E61" s="544"/>
      <c r="F61" s="487">
        <v>2048</v>
      </c>
      <c r="G61" s="212">
        <f t="shared" si="7"/>
        <v>0</v>
      </c>
      <c r="H61" s="449">
        <f t="shared" si="8"/>
        <v>0</v>
      </c>
      <c r="I61" s="879">
        <f>IF(F61&lt;'Major Assumption Key'!$B$4,G61,IF(F61='Major Assumption Key'!$B$4,G61*($B$6+1),I60*(1+$B$5)))</f>
        <v>0</v>
      </c>
      <c r="J61" s="879">
        <f>IF(F61&lt;'Major Assumption Key'!$B$4,H61,IF(F61='Major Assumption Key'!$B$4,G61*($B$6+1),J60*(1+$B$5)))</f>
        <v>0</v>
      </c>
      <c r="K61" s="212">
        <f t="shared" si="9"/>
        <v>0</v>
      </c>
      <c r="L61" s="471">
        <f t="shared" si="10"/>
        <v>0</v>
      </c>
    </row>
    <row r="62" spans="1:12">
      <c r="A62" s="216">
        <f>'Major Assumption Key'!A48</f>
        <v>2049</v>
      </c>
      <c r="B62" s="888">
        <f t="shared" si="11"/>
        <v>0</v>
      </c>
      <c r="C62" s="449">
        <f>IF(A62&lt;'Major Assumption Key'!$B$3,B62,(_xlfn.XLOOKUP(A62,$F$32:$F$73,$G$32:$G$73,,0)*$N$26+_xlfn.XLOOKUP(A62,$F$32:$F$73,$H$32:$H$73,,0)*$O$26)/3600)</f>
        <v>0</v>
      </c>
      <c r="D62" s="539">
        <f>IF(A62&lt;'Major Assumption Key'!$B$3,0,(_xlfn.XLOOKUP(A62,$F$32:$F$73,$K$32:$K$73,,0)*$N$26+_xlfn.XLOOKUP(A62,$F$32:$F$73,$L$32:$L$73,,0)*$O$26)/3600)</f>
        <v>0</v>
      </c>
      <c r="E62" s="544"/>
      <c r="F62" s="487">
        <v>2049</v>
      </c>
      <c r="G62" s="212">
        <f t="shared" si="7"/>
        <v>0</v>
      </c>
      <c r="H62" s="449">
        <f t="shared" si="8"/>
        <v>0</v>
      </c>
      <c r="I62" s="879">
        <f>IF(F62&lt;'Major Assumption Key'!$B$4,G62,IF(F62='Major Assumption Key'!$B$4,G62*($B$6+1),I61*(1+$B$5)))</f>
        <v>0</v>
      </c>
      <c r="J62" s="879">
        <f>IF(F62&lt;'Major Assumption Key'!$B$4,H62,IF(F62='Major Assumption Key'!$B$4,G62*($B$6+1),J61*(1+$B$5)))</f>
        <v>0</v>
      </c>
      <c r="K62" s="212">
        <f t="shared" si="9"/>
        <v>0</v>
      </c>
      <c r="L62" s="471">
        <f t="shared" si="10"/>
        <v>0</v>
      </c>
    </row>
    <row r="63" spans="1:12">
      <c r="A63" s="216">
        <f>'Major Assumption Key'!A49</f>
        <v>2050</v>
      </c>
      <c r="B63" s="888">
        <f t="shared" si="11"/>
        <v>0</v>
      </c>
      <c r="C63" s="449">
        <f>IF(A63&lt;'Major Assumption Key'!$B$3,B63,(_xlfn.XLOOKUP(A63,$F$32:$F$73,$G$32:$G$73,,0)*$N$26+_xlfn.XLOOKUP(A63,$F$32:$F$73,$H$32:$H$73,,0)*$O$26)/3600)</f>
        <v>0</v>
      </c>
      <c r="D63" s="539">
        <f>IF(A63&lt;'Major Assumption Key'!$B$3,0,(_xlfn.XLOOKUP(A63,$F$32:$F$73,$K$32:$K$73,,0)*$N$26+_xlfn.XLOOKUP(A63,$F$32:$F$73,$L$32:$L$73,,0)*$O$26)/3600)</f>
        <v>0</v>
      </c>
      <c r="E63" s="544"/>
      <c r="F63" s="487">
        <v>2050</v>
      </c>
      <c r="G63" s="212">
        <f t="shared" si="7"/>
        <v>0</v>
      </c>
      <c r="H63" s="449">
        <f t="shared" si="8"/>
        <v>0</v>
      </c>
      <c r="I63" s="879">
        <f>IF(F63&lt;'Major Assumption Key'!$B$4,G63,IF(F63='Major Assumption Key'!$B$4,G63*($B$6+1),I62*(1+$B$5)))</f>
        <v>0</v>
      </c>
      <c r="J63" s="879">
        <f>IF(F63&lt;'Major Assumption Key'!$B$4,H63,IF(F63='Major Assumption Key'!$B$4,G63*($B$6+1),J62*(1+$B$5)))</f>
        <v>0</v>
      </c>
      <c r="K63" s="212">
        <f t="shared" si="9"/>
        <v>0</v>
      </c>
      <c r="L63" s="471">
        <f t="shared" si="10"/>
        <v>0</v>
      </c>
    </row>
    <row r="64" spans="1:12">
      <c r="A64" s="216">
        <f>'Major Assumption Key'!A50</f>
        <v>2051</v>
      </c>
      <c r="B64" s="888">
        <f t="shared" si="11"/>
        <v>0</v>
      </c>
      <c r="C64" s="449">
        <f>IF(A64&lt;'Major Assumption Key'!$B$3,B64,(_xlfn.XLOOKUP(A64,$F$32:$F$73,$G$32:$G$73,,0)*$N$26+_xlfn.XLOOKUP(A64,$F$32:$F$73,$H$32:$H$73,,0)*$O$26)/3600)</f>
        <v>0</v>
      </c>
      <c r="D64" s="539">
        <f>IF(A64&lt;'Major Assumption Key'!$B$3,0,(_xlfn.XLOOKUP(A64,$F$32:$F$73,$K$32:$K$73,,0)*$N$26+_xlfn.XLOOKUP(A64,$F$32:$F$73,$L$32:$L$73,,0)*$O$26)/3600)</f>
        <v>0</v>
      </c>
      <c r="E64" s="544"/>
      <c r="F64" s="487">
        <v>2051</v>
      </c>
      <c r="G64" s="212">
        <f t="shared" si="7"/>
        <v>0</v>
      </c>
      <c r="H64" s="449">
        <f t="shared" si="8"/>
        <v>0</v>
      </c>
      <c r="I64" s="879">
        <f>IF(F64&lt;'Major Assumption Key'!$B$4,G64,IF(F64='Major Assumption Key'!$B$4,G64*($B$6+1),I63*(1+$B$5)))</f>
        <v>0</v>
      </c>
      <c r="J64" s="879">
        <f>IF(F64&lt;'Major Assumption Key'!$B$4,H64,IF(F64='Major Assumption Key'!$B$4,G64*($B$6+1),J63*(1+$B$5)))</f>
        <v>0</v>
      </c>
      <c r="K64" s="212">
        <f t="shared" si="9"/>
        <v>0</v>
      </c>
      <c r="L64" s="471">
        <f t="shared" si="10"/>
        <v>0</v>
      </c>
    </row>
    <row r="65" spans="1:12">
      <c r="A65" s="216">
        <f>'Major Assumption Key'!A51</f>
        <v>2052</v>
      </c>
      <c r="B65" s="888">
        <f t="shared" si="11"/>
        <v>0</v>
      </c>
      <c r="C65" s="449">
        <f>IF(A65&lt;'Major Assumption Key'!$B$3,B65,(_xlfn.XLOOKUP(A65,$F$32:$F$73,$G$32:$G$73,,0)*$N$26+_xlfn.XLOOKUP(A65,$F$32:$F$73,$H$32:$H$73,,0)*$O$26)/3600)</f>
        <v>0</v>
      </c>
      <c r="D65" s="539">
        <f>IF(A65&lt;'Major Assumption Key'!$B$3,0,(_xlfn.XLOOKUP(A65,$F$32:$F$73,$K$32:$K$73,,0)*$N$26+_xlfn.XLOOKUP(A65,$F$32:$F$73,$L$32:$L$73,,0)*$O$26)/3600)</f>
        <v>0</v>
      </c>
      <c r="F65" s="487">
        <v>2052</v>
      </c>
      <c r="G65" s="212">
        <f t="shared" si="7"/>
        <v>0</v>
      </c>
      <c r="H65" s="449">
        <f t="shared" si="8"/>
        <v>0</v>
      </c>
      <c r="I65" s="879">
        <f>IF(F65&lt;'Major Assumption Key'!$B$4,G65,IF(F65='Major Assumption Key'!$B$4,G65*($B$6+1),I64*(1+$B$5)))</f>
        <v>0</v>
      </c>
      <c r="J65" s="879">
        <f>IF(F65&lt;'Major Assumption Key'!$B$4,H65,IF(F65='Major Assumption Key'!$B$4,G65*($B$6+1),J64*(1+$B$5)))</f>
        <v>0</v>
      </c>
      <c r="K65" s="212">
        <f t="shared" ref="K65:L72" si="12">I65-G65</f>
        <v>0</v>
      </c>
      <c r="L65" s="471">
        <f t="shared" si="12"/>
        <v>0</v>
      </c>
    </row>
    <row r="66" spans="1:12">
      <c r="A66" s="216">
        <f>'Major Assumption Key'!A52</f>
        <v>2053</v>
      </c>
      <c r="B66" s="888">
        <f t="shared" si="11"/>
        <v>0</v>
      </c>
      <c r="C66" s="449">
        <f>IF(A66&lt;'Major Assumption Key'!$B$3,B66,(_xlfn.XLOOKUP(A66,$F$32:$F$73,$G$32:$G$73,,0)*$N$26+_xlfn.XLOOKUP(A66,$F$32:$F$73,$H$32:$H$73,,0)*$O$26)/3600)</f>
        <v>0</v>
      </c>
      <c r="D66" s="539">
        <f>IF(A66&lt;'Major Assumption Key'!$B$3,0,(_xlfn.XLOOKUP(A66,$F$32:$F$73,$K$32:$K$73,,0)*$N$26+_xlfn.XLOOKUP(A66,$F$32:$F$73,$L$32:$L$73,,0)*$O$26)/3600)</f>
        <v>0</v>
      </c>
      <c r="E66" s="179"/>
      <c r="F66" s="487">
        <v>2053</v>
      </c>
      <c r="G66" s="212">
        <f t="shared" si="7"/>
        <v>0</v>
      </c>
      <c r="H66" s="449">
        <f t="shared" si="8"/>
        <v>0</v>
      </c>
      <c r="I66" s="879">
        <f>IF(F66&lt;'Major Assumption Key'!$B$4,G66,IF(F66='Major Assumption Key'!$B$4,G66*($B$6+1),I65*(1+$B$5)))</f>
        <v>0</v>
      </c>
      <c r="J66" s="879">
        <f>IF(F66&lt;'Major Assumption Key'!$B$4,H66,IF(F66='Major Assumption Key'!$B$4,G66*($B$6+1),J65*(1+$B$5)))</f>
        <v>0</v>
      </c>
      <c r="K66" s="212">
        <f t="shared" si="12"/>
        <v>0</v>
      </c>
      <c r="L66" s="471">
        <f t="shared" si="12"/>
        <v>0</v>
      </c>
    </row>
    <row r="67" spans="1:12">
      <c r="A67" s="216">
        <f>'Major Assumption Key'!A53</f>
        <v>2054</v>
      </c>
      <c r="B67" s="888">
        <f t="shared" si="11"/>
        <v>0</v>
      </c>
      <c r="C67" s="449">
        <f>IF(A67&lt;'Major Assumption Key'!$B$3,B67,(_xlfn.XLOOKUP(A67,$F$32:$F$73,$G$32:$G$73,,0)*$N$26+_xlfn.XLOOKUP(A67,$F$32:$F$73,$H$32:$H$73,,0)*$O$26)/3600)</f>
        <v>0</v>
      </c>
      <c r="D67" s="539">
        <f>IF(A67&lt;'Major Assumption Key'!$B$3,0,(_xlfn.XLOOKUP(A67,$F$32:$F$73,$K$32:$K$73,,0)*$N$26+_xlfn.XLOOKUP(A67,$F$32:$F$73,$L$32:$L$73,,0)*$O$26)/3600)</f>
        <v>0</v>
      </c>
      <c r="E67" s="179"/>
      <c r="F67" s="487">
        <v>2054</v>
      </c>
      <c r="G67" s="212">
        <f t="shared" si="7"/>
        <v>0</v>
      </c>
      <c r="H67" s="449">
        <f t="shared" si="8"/>
        <v>0</v>
      </c>
      <c r="I67" s="879">
        <f>IF(F67&lt;'Major Assumption Key'!$B$4,G67,IF(F67='Major Assumption Key'!$B$4,G67*($B$6+1),I66*(1+$B$5)))</f>
        <v>0</v>
      </c>
      <c r="J67" s="879">
        <f>IF(F67&lt;'Major Assumption Key'!$B$4,H67,IF(F67='Major Assumption Key'!$B$4,G67*($B$6+1),J66*(1+$B$5)))</f>
        <v>0</v>
      </c>
      <c r="K67" s="212">
        <f t="shared" si="12"/>
        <v>0</v>
      </c>
      <c r="L67" s="471">
        <f t="shared" si="12"/>
        <v>0</v>
      </c>
    </row>
    <row r="68" spans="1:12">
      <c r="A68" s="216">
        <f>'Major Assumption Key'!A54</f>
        <v>2055</v>
      </c>
      <c r="B68" s="888">
        <f t="shared" si="11"/>
        <v>0</v>
      </c>
      <c r="C68" s="449">
        <f>IF(A68&lt;'Major Assumption Key'!$B$3,B68,(_xlfn.XLOOKUP(A68,$F$32:$F$73,$G$32:$G$73,,0)*$N$26+_xlfn.XLOOKUP(A68,$F$32:$F$73,$H$32:$H$73,,0)*$O$26)/3600)</f>
        <v>0</v>
      </c>
      <c r="D68" s="539">
        <f>IF(A68&lt;'Major Assumption Key'!$B$3,0,(_xlfn.XLOOKUP(A68,$F$32:$F$73,$K$32:$K$73,,0)*$N$26+_xlfn.XLOOKUP(A68,$F$32:$F$73,$L$32:$L$73,,0)*$O$26)/3600)</f>
        <v>0</v>
      </c>
      <c r="E68" s="179"/>
      <c r="F68" s="487">
        <v>2055</v>
      </c>
      <c r="G68" s="212">
        <f t="shared" si="7"/>
        <v>0</v>
      </c>
      <c r="H68" s="449">
        <f t="shared" si="8"/>
        <v>0</v>
      </c>
      <c r="I68" s="879">
        <f>IF(F68&lt;'Major Assumption Key'!$B$4,G68,IF(F68='Major Assumption Key'!$B$4,G68*($B$6+1),I67*(1+$B$5)))</f>
        <v>0</v>
      </c>
      <c r="J68" s="879">
        <f>IF(F68&lt;'Major Assumption Key'!$B$4,H68,IF(F68='Major Assumption Key'!$B$4,G68*($B$6+1),J67*(1+$B$5)))</f>
        <v>0</v>
      </c>
      <c r="K68" s="212">
        <f t="shared" si="12"/>
        <v>0</v>
      </c>
      <c r="L68" s="471">
        <f t="shared" si="12"/>
        <v>0</v>
      </c>
    </row>
    <row r="69" spans="1:12">
      <c r="A69" s="216">
        <f>'Major Assumption Key'!A55</f>
        <v>2056</v>
      </c>
      <c r="B69" s="888">
        <f t="shared" si="11"/>
        <v>0</v>
      </c>
      <c r="C69" s="449">
        <f>IF(A69&lt;'Major Assumption Key'!$B$3,B69,(_xlfn.XLOOKUP(A69,$F$32:$F$73,$G$32:$G$73,,0)*$N$26+_xlfn.XLOOKUP(A69,$F$32:$F$73,$H$32:$H$73,,0)*$O$26)/3600)</f>
        <v>0</v>
      </c>
      <c r="D69" s="539">
        <f>IF(A69&lt;'Major Assumption Key'!$B$3,0,(_xlfn.XLOOKUP(A69,$F$32:$F$73,$K$32:$K$73,,0)*$N$26+_xlfn.XLOOKUP(A69,$F$32:$F$73,$L$32:$L$73,,0)*$O$26)/3600)</f>
        <v>0</v>
      </c>
      <c r="E69" s="179"/>
      <c r="F69" s="487">
        <v>2056</v>
      </c>
      <c r="G69" s="212">
        <f t="shared" si="7"/>
        <v>0</v>
      </c>
      <c r="H69" s="449">
        <f t="shared" si="8"/>
        <v>0</v>
      </c>
      <c r="I69" s="879">
        <f>IF(F69&lt;'Major Assumption Key'!$B$4,G69,IF(F69='Major Assumption Key'!$B$4,G69*($B$6+1),I68*(1+$B$5)))</f>
        <v>0</v>
      </c>
      <c r="J69" s="879">
        <f>IF(F69&lt;'Major Assumption Key'!$B$4,H69,IF(F69='Major Assumption Key'!$B$4,G69*($B$6+1),J68*(1+$B$5)))</f>
        <v>0</v>
      </c>
      <c r="K69" s="212">
        <f t="shared" si="12"/>
        <v>0</v>
      </c>
      <c r="L69" s="471">
        <f t="shared" si="12"/>
        <v>0</v>
      </c>
    </row>
    <row r="70" spans="1:12">
      <c r="A70" s="216">
        <f>'Major Assumption Key'!A56</f>
        <v>2057</v>
      </c>
      <c r="B70" s="888">
        <f t="shared" si="11"/>
        <v>0</v>
      </c>
      <c r="C70" s="449">
        <f>IF(A70&lt;'Major Assumption Key'!$B$3,B70,(_xlfn.XLOOKUP(A70,$F$32:$F$73,$G$32:$G$73,,0)*$N$26+_xlfn.XLOOKUP(A70,$F$32:$F$73,$H$32:$H$73,,0)*$O$26)/3600)</f>
        <v>0</v>
      </c>
      <c r="D70" s="539">
        <f>IF(A70&lt;'Major Assumption Key'!$B$3,0,(_xlfn.XLOOKUP(A70,$F$32:$F$73,$K$32:$K$73,,0)*$N$26+_xlfn.XLOOKUP(A70,$F$32:$F$73,$L$32:$L$73,,0)*$O$26)/3600)</f>
        <v>0</v>
      </c>
      <c r="E70" s="179"/>
      <c r="F70" s="487">
        <v>2057</v>
      </c>
      <c r="G70" s="212">
        <f t="shared" si="7"/>
        <v>0</v>
      </c>
      <c r="H70" s="449">
        <f t="shared" si="8"/>
        <v>0</v>
      </c>
      <c r="I70" s="879">
        <f>IF(F70&lt;'Major Assumption Key'!$B$4,G70,IF(F70='Major Assumption Key'!$B$4,G70*($B$6+1),I69*(1+$B$5)))</f>
        <v>0</v>
      </c>
      <c r="J70" s="879">
        <f>IF(F70&lt;'Major Assumption Key'!$B$4,H70,IF(F70='Major Assumption Key'!$B$4,G70*($B$6+1),J69*(1+$B$5)))</f>
        <v>0</v>
      </c>
      <c r="K70" s="212">
        <f t="shared" si="12"/>
        <v>0</v>
      </c>
      <c r="L70" s="471">
        <f t="shared" si="12"/>
        <v>0</v>
      </c>
    </row>
    <row r="71" spans="1:12">
      <c r="A71" s="216">
        <f>'Major Assumption Key'!A57</f>
        <v>2058</v>
      </c>
      <c r="B71" s="888">
        <f t="shared" si="11"/>
        <v>0</v>
      </c>
      <c r="C71" s="449">
        <f>IF(A71&lt;'Major Assumption Key'!$B$3,B71,(_xlfn.XLOOKUP(A71,$F$32:$F$73,$G$32:$G$73,,0)*$N$26+_xlfn.XLOOKUP(A71,$F$32:$F$73,$H$32:$H$73,,0)*$O$26)/3600)</f>
        <v>0</v>
      </c>
      <c r="D71" s="539">
        <f>IF(A71&lt;'Major Assumption Key'!$B$3,0,(_xlfn.XLOOKUP(A71,$F$32:$F$73,$K$32:$K$73,,0)*$N$26+_xlfn.XLOOKUP(A71,$F$32:$F$73,$L$32:$L$73,,0)*$O$26)/3600)</f>
        <v>0</v>
      </c>
      <c r="E71" s="179"/>
      <c r="F71" s="487">
        <v>2058</v>
      </c>
      <c r="G71" s="212">
        <f t="shared" si="7"/>
        <v>0</v>
      </c>
      <c r="H71" s="449">
        <f t="shared" si="8"/>
        <v>0</v>
      </c>
      <c r="I71" s="879">
        <f>IF(F71&lt;'Major Assumption Key'!$B$4,G71,IF(F71='Major Assumption Key'!$B$4,G71*($B$6+1),I70*(1+$B$5)))</f>
        <v>0</v>
      </c>
      <c r="J71" s="879">
        <f>IF(F71&lt;'Major Assumption Key'!$B$4,H71,IF(F71='Major Assumption Key'!$B$4,G71*($B$6+1),J70*(1+$B$5)))</f>
        <v>0</v>
      </c>
      <c r="K71" s="212">
        <f t="shared" si="12"/>
        <v>0</v>
      </c>
      <c r="L71" s="471">
        <f t="shared" si="12"/>
        <v>0</v>
      </c>
    </row>
    <row r="72" spans="1:12">
      <c r="A72" s="216">
        <f>'Major Assumption Key'!A58</f>
        <v>2059</v>
      </c>
      <c r="B72" s="888">
        <f t="shared" si="11"/>
        <v>0</v>
      </c>
      <c r="C72" s="449">
        <f>IF(A72&lt;'Major Assumption Key'!$B$3,B72,(_xlfn.XLOOKUP(A72,$F$32:$F$73,$G$32:$G$73,,0)*$N$26+_xlfn.XLOOKUP(A72,$F$32:$F$73,$H$32:$H$73,,0)*$O$26)/3600)</f>
        <v>0</v>
      </c>
      <c r="D72" s="539">
        <f>IF(A72&lt;'Major Assumption Key'!$B$3,0,(_xlfn.XLOOKUP(A72,$F$32:$F$73,$K$32:$K$73,,0)*$N$26+_xlfn.XLOOKUP(A72,$F$32:$F$73,$L$32:$L$73,,0)*$O$26)/3600)</f>
        <v>0</v>
      </c>
      <c r="E72" s="179"/>
      <c r="F72" s="487">
        <v>2059</v>
      </c>
      <c r="G72" s="212">
        <f t="shared" si="7"/>
        <v>0</v>
      </c>
      <c r="H72" s="449">
        <f t="shared" si="8"/>
        <v>0</v>
      </c>
      <c r="I72" s="879">
        <f>IF(F72&lt;'Major Assumption Key'!$B$4,G72,IF(F72='Major Assumption Key'!$B$4,G72*($B$6+1),I71*(1+$B$5)))</f>
        <v>0</v>
      </c>
      <c r="J72" s="879">
        <f>IF(F72&lt;'Major Assumption Key'!$B$4,H72,IF(F72='Major Assumption Key'!$B$4,G72*($B$6+1),J71*(1+$B$5)))</f>
        <v>0</v>
      </c>
      <c r="K72" s="212">
        <f t="shared" si="12"/>
        <v>0</v>
      </c>
      <c r="L72" s="471">
        <f t="shared" si="12"/>
        <v>0</v>
      </c>
    </row>
    <row r="73" spans="1:12" ht="15" thickBot="1">
      <c r="A73" s="216">
        <f>'Major Assumption Key'!A59</f>
        <v>2060</v>
      </c>
      <c r="B73" s="899">
        <f t="shared" si="11"/>
        <v>0</v>
      </c>
      <c r="C73" s="449">
        <f>IF(A73&lt;'Major Assumption Key'!$B$3,B73,(_xlfn.XLOOKUP(A73,$F$32:$F$73,$G$32:$G$73,,0)*$N$26+_xlfn.XLOOKUP(A73,$F$32:$F$73,$H$32:$H$73,,0)*$O$26)/3600)</f>
        <v>0</v>
      </c>
      <c r="D73" s="660">
        <f>IF(A73&lt;'Major Assumption Key'!$B$3,0,(_xlfn.XLOOKUP(A73,$F$32:$F$73,$K$32:$K$73,,0)*$N$26+_xlfn.XLOOKUP(A73,$F$32:$F$73,$L$32:$L$73,,0)*$O$26)/3600)</f>
        <v>0</v>
      </c>
      <c r="E73" s="179"/>
      <c r="F73" s="488">
        <v>2060</v>
      </c>
      <c r="G73" s="489">
        <f t="shared" si="7"/>
        <v>0</v>
      </c>
      <c r="H73" s="450">
        <f t="shared" si="8"/>
        <v>0</v>
      </c>
      <c r="I73" s="900">
        <f>IF(F73&lt;'Major Assumption Key'!$B$4,G73,IF(F73='Major Assumption Key'!$B$4,G73*($B$6+1),I72*(1+$B$5)))</f>
        <v>0</v>
      </c>
      <c r="J73" s="900">
        <f>IF(F73&lt;'Major Assumption Key'!$B$4,H73,IF(F73='Major Assumption Key'!$B$4,G73*($B$6+1),J72*(1+$B$5)))</f>
        <v>0</v>
      </c>
      <c r="K73" s="489">
        <f t="shared" ref="K73" si="13">I73-G73</f>
        <v>0</v>
      </c>
      <c r="L73" s="472">
        <f t="shared" ref="L73" si="14">J73-H73</f>
        <v>0</v>
      </c>
    </row>
    <row r="74" spans="1:12">
      <c r="B74" s="179"/>
      <c r="C74" s="179"/>
      <c r="D74" s="179"/>
      <c r="E74" s="179"/>
      <c r="F74" s="179"/>
      <c r="G74" s="179"/>
      <c r="H74" s="179"/>
    </row>
    <row r="75" spans="1:12">
      <c r="B75" s="179"/>
      <c r="C75" s="179"/>
      <c r="D75" s="179"/>
      <c r="E75" s="179"/>
      <c r="F75" s="179"/>
      <c r="G75" s="179"/>
      <c r="H75" s="179"/>
    </row>
    <row r="76" spans="1:12">
      <c r="E76" s="179"/>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308" bestFit="1" customWidth="1"/>
    <col min="2" max="2" width="81.77734375" bestFit="1" customWidth="1"/>
    <col min="5" max="5" width="24.77734375" bestFit="1" customWidth="1"/>
    <col min="6" max="6" width="24.44140625" bestFit="1" customWidth="1"/>
    <col min="7" max="7" width="10.44140625" bestFit="1" customWidth="1"/>
  </cols>
  <sheetData>
    <row r="1" spans="1:15" s="179" customFormat="1" ht="14.4">
      <c r="A1" s="306" t="s">
        <v>7045</v>
      </c>
      <c r="B1" s="42" t="s">
        <v>7074</v>
      </c>
      <c r="C1" s="184"/>
      <c r="D1" s="183"/>
      <c r="E1" s="183"/>
      <c r="F1" s="33" t="s">
        <v>187</v>
      </c>
      <c r="G1" s="45" t="str">
        <f>HYPERLINK("#'"&amp;INDEX('Master Key'!$B:$B,MATCH("Master Key",'Master Key'!$B:$B,0),1)&amp;"'!A1","Go To Sheet")</f>
        <v>Go To Sheet</v>
      </c>
      <c r="H1" s="180"/>
      <c r="I1" s="180"/>
      <c r="J1" s="180"/>
      <c r="K1" s="180"/>
      <c r="L1" s="180"/>
      <c r="M1" s="180"/>
      <c r="N1" s="180"/>
      <c r="O1" s="180"/>
    </row>
    <row r="2" spans="1:15">
      <c r="B2" s="307"/>
      <c r="C2" s="305"/>
    </row>
    <row r="3" spans="1:15" ht="16.2" thickBot="1">
      <c r="A3" s="2041" t="s">
        <v>7075</v>
      </c>
      <c r="B3" s="2041"/>
      <c r="C3" s="2041"/>
    </row>
    <row r="4" spans="1:15" ht="14.4" thickTop="1" thickBot="1">
      <c r="A4" s="338"/>
      <c r="B4" s="339" t="str">
        <f>'Value of Travel Time'!A20</f>
        <v>Auto - Value of Travel Time (VoTT) per person-hour (All Purposes)</v>
      </c>
      <c r="C4" s="340">
        <f>'Value of Travel Time'!B20</f>
        <v>19.600000000000001</v>
      </c>
      <c r="E4" s="663" t="s">
        <v>7076</v>
      </c>
      <c r="F4" s="664">
        <v>2022</v>
      </c>
    </row>
    <row r="5" spans="1:15">
      <c r="A5" s="2038" t="s">
        <v>7077</v>
      </c>
      <c r="B5" s="336" t="s">
        <v>7078</v>
      </c>
      <c r="C5" s="341">
        <v>0</v>
      </c>
      <c r="E5" s="593" t="s">
        <v>1305</v>
      </c>
      <c r="F5" s="665">
        <f>'Transit Demand'!B38</f>
        <v>3.9041267753230358E-3</v>
      </c>
    </row>
    <row r="6" spans="1:15">
      <c r="A6" s="2042"/>
      <c r="B6" s="309" t="s">
        <v>7079</v>
      </c>
      <c r="C6" s="342">
        <v>0</v>
      </c>
      <c r="E6" s="593"/>
      <c r="F6" s="665"/>
    </row>
    <row r="7" spans="1:15" ht="13.8" thickBot="1">
      <c r="A7" s="2043"/>
      <c r="B7" s="337" t="s">
        <v>7080</v>
      </c>
      <c r="C7" s="343">
        <v>0</v>
      </c>
      <c r="E7" s="593" t="s">
        <v>510</v>
      </c>
      <c r="F7" s="356" t="s">
        <v>15</v>
      </c>
    </row>
    <row r="8" spans="1:15">
      <c r="A8" s="2038" t="s">
        <v>7081</v>
      </c>
      <c r="B8" s="336" t="s">
        <v>7078</v>
      </c>
      <c r="C8" s="341">
        <v>0</v>
      </c>
      <c r="E8" s="594">
        <f>'Major Assumption Key'!A19</f>
        <v>2020</v>
      </c>
      <c r="F8" s="354">
        <f>C17+C50</f>
        <v>0</v>
      </c>
    </row>
    <row r="9" spans="1:15">
      <c r="A9" s="2042"/>
      <c r="B9" s="309" t="s">
        <v>7079</v>
      </c>
      <c r="C9" s="342">
        <v>0</v>
      </c>
      <c r="E9" s="594">
        <f>'Major Assumption Key'!A20</f>
        <v>2021</v>
      </c>
      <c r="F9" s="354">
        <f>F8*(1+$F$5)</f>
        <v>0</v>
      </c>
    </row>
    <row r="10" spans="1:15" ht="13.8" thickBot="1">
      <c r="A10" s="2043"/>
      <c r="B10" s="337" t="s">
        <v>7080</v>
      </c>
      <c r="C10" s="343">
        <v>0</v>
      </c>
      <c r="E10" s="594">
        <f>'Major Assumption Key'!A21</f>
        <v>2022</v>
      </c>
      <c r="F10" s="354">
        <f t="shared" ref="F10:F48" si="0">F9*(1+$F$5)</f>
        <v>0</v>
      </c>
    </row>
    <row r="11" spans="1:15">
      <c r="A11" s="2038" t="s">
        <v>7082</v>
      </c>
      <c r="B11" s="336" t="s">
        <v>7078</v>
      </c>
      <c r="C11" s="341">
        <v>0</v>
      </c>
      <c r="E11" s="594">
        <f>'Major Assumption Key'!A22</f>
        <v>2023</v>
      </c>
      <c r="F11" s="354">
        <f t="shared" si="0"/>
        <v>0</v>
      </c>
    </row>
    <row r="12" spans="1:15">
      <c r="A12" s="2042"/>
      <c r="B12" s="309" t="s">
        <v>7079</v>
      </c>
      <c r="C12" s="342">
        <v>0</v>
      </c>
      <c r="E12" s="594">
        <f>'Major Assumption Key'!A23</f>
        <v>2024</v>
      </c>
      <c r="F12" s="354">
        <f t="shared" si="0"/>
        <v>0</v>
      </c>
    </row>
    <row r="13" spans="1:15" ht="13.8" thickBot="1">
      <c r="A13" s="2043"/>
      <c r="B13" s="337" t="s">
        <v>7080</v>
      </c>
      <c r="C13" s="343">
        <v>0</v>
      </c>
      <c r="E13" s="594">
        <f>'Major Assumption Key'!A24</f>
        <v>2025</v>
      </c>
      <c r="F13" s="354">
        <f t="shared" si="0"/>
        <v>0</v>
      </c>
    </row>
    <row r="14" spans="1:15">
      <c r="A14" s="2038" t="s">
        <v>7083</v>
      </c>
      <c r="B14" s="336" t="s">
        <v>7078</v>
      </c>
      <c r="C14" s="341">
        <v>0</v>
      </c>
      <c r="E14" s="594">
        <f>'Major Assumption Key'!A25</f>
        <v>2026</v>
      </c>
      <c r="F14" s="354">
        <f t="shared" si="0"/>
        <v>0</v>
      </c>
    </row>
    <row r="15" spans="1:15">
      <c r="A15" s="2042"/>
      <c r="B15" s="309" t="s">
        <v>7079</v>
      </c>
      <c r="C15" s="342">
        <v>0</v>
      </c>
      <c r="E15" s="594">
        <f>'Major Assumption Key'!A26</f>
        <v>2027</v>
      </c>
      <c r="F15" s="354">
        <f t="shared" si="0"/>
        <v>0</v>
      </c>
    </row>
    <row r="16" spans="1:15" ht="13.8" thickBot="1">
      <c r="A16" s="2043"/>
      <c r="B16" s="337" t="s">
        <v>7080</v>
      </c>
      <c r="C16" s="343">
        <v>0</v>
      </c>
      <c r="E16" s="594">
        <f>'Major Assumption Key'!A27</f>
        <v>2028</v>
      </c>
      <c r="F16" s="354">
        <f t="shared" si="0"/>
        <v>0</v>
      </c>
    </row>
    <row r="17" spans="1:6" ht="16.2" thickBot="1">
      <c r="A17" s="321"/>
      <c r="B17" s="322" t="s">
        <v>7084</v>
      </c>
      <c r="C17" s="315">
        <f>$C$4*C5*C6/60+$C$4*0.5*C5*IF((C7-C6)&lt;0,0,C7-C6)/60+$C$4*C8*C9/60+$C$4*0.5*C8*IF((C10-C9)&lt;0,0,C10-C9)/60+$C$4*C11*C12/60+$C$4*0.5*C11*IF((C13-C12)&lt;0,0,C13-C12)/60+$C$4*C14*C15/60+$C$4*0.5*C14*IF((C16-C15)&lt;0,0,C16-C15)/60</f>
        <v>0</v>
      </c>
      <c r="D17" s="335"/>
      <c r="E17" s="594">
        <f>'Major Assumption Key'!A28</f>
        <v>2029</v>
      </c>
      <c r="F17" s="354">
        <f t="shared" si="0"/>
        <v>0</v>
      </c>
    </row>
    <row r="18" spans="1:6" ht="13.8" thickTop="1">
      <c r="D18" s="305"/>
      <c r="E18" s="594">
        <f>'Major Assumption Key'!A29</f>
        <v>2030</v>
      </c>
      <c r="F18" s="354">
        <f t="shared" si="0"/>
        <v>0</v>
      </c>
    </row>
    <row r="19" spans="1:6" ht="16.5" customHeight="1" thickBot="1">
      <c r="A19" s="2041" t="s">
        <v>7085</v>
      </c>
      <c r="B19" s="2041"/>
      <c r="C19" s="2041"/>
      <c r="E19" s="594">
        <f>'Major Assumption Key'!A30</f>
        <v>2031</v>
      </c>
      <c r="F19" s="354">
        <f t="shared" si="0"/>
        <v>0</v>
      </c>
    </row>
    <row r="20" spans="1:6" ht="13.8" thickTop="1">
      <c r="A20" s="2035"/>
      <c r="B20" s="316" t="str">
        <f>'Value of Travel Time'!A20</f>
        <v>Auto - Value of Travel Time (VoTT) per person-hour (All Purposes)</v>
      </c>
      <c r="C20" s="310">
        <f>'Value of Travel Time'!B20</f>
        <v>19.600000000000001</v>
      </c>
      <c r="E20" s="594">
        <f>'Major Assumption Key'!A31</f>
        <v>2032</v>
      </c>
      <c r="F20" s="354">
        <f t="shared" si="0"/>
        <v>0</v>
      </c>
    </row>
    <row r="21" spans="1:6">
      <c r="A21" s="2036"/>
      <c r="B21" s="317" t="str">
        <f>'Value of Travel Time'!A21</f>
        <v>Walking/Cycling/Waiting/Standing/Transfer Time -  Value of Travel Time (VoTT)  per person-hour</v>
      </c>
      <c r="C21" s="312">
        <f>'Value of Travel Time'!B21</f>
        <v>35.799999999999997</v>
      </c>
      <c r="E21" s="594">
        <f>'Major Assumption Key'!A32</f>
        <v>2033</v>
      </c>
      <c r="F21" s="354">
        <f t="shared" si="0"/>
        <v>0</v>
      </c>
    </row>
    <row r="22" spans="1:6" ht="13.8" thickBot="1">
      <c r="A22" s="2037"/>
      <c r="B22" s="329" t="s">
        <v>7086</v>
      </c>
      <c r="C22" s="332">
        <v>260</v>
      </c>
      <c r="E22" s="594">
        <f>'Major Assumption Key'!A33</f>
        <v>2034</v>
      </c>
      <c r="F22" s="354">
        <f t="shared" si="0"/>
        <v>0</v>
      </c>
    </row>
    <row r="23" spans="1:6">
      <c r="A23" s="2038" t="s">
        <v>7087</v>
      </c>
      <c r="B23" s="330" t="s">
        <v>7088</v>
      </c>
      <c r="C23" s="333">
        <v>0</v>
      </c>
      <c r="E23" s="594">
        <f>'Major Assumption Key'!A34</f>
        <v>2035</v>
      </c>
      <c r="F23" s="354">
        <f t="shared" si="0"/>
        <v>0</v>
      </c>
    </row>
    <row r="24" spans="1:6">
      <c r="A24" s="2039"/>
      <c r="B24" s="318" t="s">
        <v>7089</v>
      </c>
      <c r="C24" s="313">
        <v>0</v>
      </c>
      <c r="E24" s="594">
        <f>'Major Assumption Key'!A35</f>
        <v>2036</v>
      </c>
      <c r="F24" s="354">
        <f t="shared" si="0"/>
        <v>0</v>
      </c>
    </row>
    <row r="25" spans="1:6">
      <c r="A25" s="2039"/>
      <c r="B25" s="320" t="s">
        <v>7090</v>
      </c>
      <c r="C25" s="313">
        <v>0</v>
      </c>
      <c r="E25" s="594">
        <f>'Major Assumption Key'!A36</f>
        <v>2037</v>
      </c>
      <c r="F25" s="354">
        <f t="shared" si="0"/>
        <v>0</v>
      </c>
    </row>
    <row r="26" spans="1:6">
      <c r="A26" s="2039"/>
      <c r="B26" s="319" t="s">
        <v>7091</v>
      </c>
      <c r="C26" s="313">
        <v>0</v>
      </c>
      <c r="E26" s="594">
        <f>'Major Assumption Key'!A37</f>
        <v>2038</v>
      </c>
      <c r="F26" s="354">
        <f t="shared" si="0"/>
        <v>0</v>
      </c>
    </row>
    <row r="27" spans="1:6">
      <c r="A27" s="2039"/>
      <c r="B27" s="319" t="s">
        <v>7092</v>
      </c>
      <c r="C27" s="313">
        <v>0</v>
      </c>
      <c r="E27" s="594">
        <f>'Major Assumption Key'!A38</f>
        <v>2039</v>
      </c>
      <c r="F27" s="354">
        <f t="shared" si="0"/>
        <v>0</v>
      </c>
    </row>
    <row r="28" spans="1:6" ht="13.8" thickBot="1">
      <c r="A28" s="2040"/>
      <c r="B28" s="331" t="s">
        <v>7093</v>
      </c>
      <c r="C28" s="334">
        <v>0</v>
      </c>
      <c r="E28" s="594">
        <f>'Major Assumption Key'!A39</f>
        <v>2040</v>
      </c>
      <c r="F28" s="354">
        <f t="shared" si="0"/>
        <v>0</v>
      </c>
    </row>
    <row r="29" spans="1:6">
      <c r="A29" s="2038" t="s">
        <v>7094</v>
      </c>
      <c r="B29" s="330" t="s">
        <v>7088</v>
      </c>
      <c r="C29" s="333">
        <v>0</v>
      </c>
      <c r="E29" s="594">
        <f>'Major Assumption Key'!A40</f>
        <v>2041</v>
      </c>
      <c r="F29" s="354">
        <f t="shared" si="0"/>
        <v>0</v>
      </c>
    </row>
    <row r="30" spans="1:6">
      <c r="A30" s="2039"/>
      <c r="B30" s="318" t="s">
        <v>7089</v>
      </c>
      <c r="C30" s="313">
        <v>0</v>
      </c>
      <c r="E30" s="594">
        <f>'Major Assumption Key'!A41</f>
        <v>2042</v>
      </c>
      <c r="F30" s="354">
        <f t="shared" si="0"/>
        <v>0</v>
      </c>
    </row>
    <row r="31" spans="1:6">
      <c r="A31" s="2039"/>
      <c r="B31" s="320" t="s">
        <v>7090</v>
      </c>
      <c r="C31" s="313">
        <v>0</v>
      </c>
      <c r="E31" s="594">
        <f>'Major Assumption Key'!A42</f>
        <v>2043</v>
      </c>
      <c r="F31" s="354">
        <f t="shared" si="0"/>
        <v>0</v>
      </c>
    </row>
    <row r="32" spans="1:6">
      <c r="A32" s="2039"/>
      <c r="B32" s="319" t="s">
        <v>7091</v>
      </c>
      <c r="C32" s="313">
        <v>0</v>
      </c>
      <c r="E32" s="594">
        <f>'Major Assumption Key'!A43</f>
        <v>2044</v>
      </c>
      <c r="F32" s="354">
        <f t="shared" si="0"/>
        <v>0</v>
      </c>
    </row>
    <row r="33" spans="1:6">
      <c r="A33" s="2039"/>
      <c r="B33" s="319" t="s">
        <v>7092</v>
      </c>
      <c r="C33" s="313">
        <v>0</v>
      </c>
      <c r="E33" s="594">
        <f>'Major Assumption Key'!A44</f>
        <v>2045</v>
      </c>
      <c r="F33" s="354">
        <f t="shared" si="0"/>
        <v>0</v>
      </c>
    </row>
    <row r="34" spans="1:6" ht="13.8" thickBot="1">
      <c r="A34" s="2040"/>
      <c r="B34" s="331" t="s">
        <v>7093</v>
      </c>
      <c r="C34" s="334">
        <v>0</v>
      </c>
      <c r="E34" s="594">
        <f>'Major Assumption Key'!A45</f>
        <v>2046</v>
      </c>
      <c r="F34" s="354">
        <f t="shared" si="0"/>
        <v>0</v>
      </c>
    </row>
    <row r="35" spans="1:6">
      <c r="A35" s="2038" t="s">
        <v>7095</v>
      </c>
      <c r="B35" s="330" t="s">
        <v>7088</v>
      </c>
      <c r="C35" s="333">
        <v>0</v>
      </c>
      <c r="E35" s="594">
        <f>'Major Assumption Key'!A46</f>
        <v>2047</v>
      </c>
      <c r="F35" s="354">
        <f t="shared" si="0"/>
        <v>0</v>
      </c>
    </row>
    <row r="36" spans="1:6">
      <c r="A36" s="2039"/>
      <c r="B36" s="318" t="s">
        <v>7089</v>
      </c>
      <c r="C36" s="313">
        <v>0</v>
      </c>
      <c r="E36" s="594">
        <f>'Major Assumption Key'!A47</f>
        <v>2048</v>
      </c>
      <c r="F36" s="354">
        <f t="shared" si="0"/>
        <v>0</v>
      </c>
    </row>
    <row r="37" spans="1:6">
      <c r="A37" s="2039"/>
      <c r="B37" s="320" t="s">
        <v>7090</v>
      </c>
      <c r="C37" s="313">
        <v>0</v>
      </c>
      <c r="E37" s="594">
        <f>'Major Assumption Key'!A48</f>
        <v>2049</v>
      </c>
      <c r="F37" s="354">
        <f t="shared" si="0"/>
        <v>0</v>
      </c>
    </row>
    <row r="38" spans="1:6">
      <c r="A38" s="2039"/>
      <c r="B38" s="319" t="s">
        <v>7091</v>
      </c>
      <c r="C38" s="313">
        <v>0</v>
      </c>
      <c r="E38" s="594">
        <f>'Major Assumption Key'!A49</f>
        <v>2050</v>
      </c>
      <c r="F38" s="354">
        <f t="shared" si="0"/>
        <v>0</v>
      </c>
    </row>
    <row r="39" spans="1:6">
      <c r="A39" s="2039"/>
      <c r="B39" s="319" t="s">
        <v>7092</v>
      </c>
      <c r="C39" s="313">
        <v>0</v>
      </c>
      <c r="E39" s="594">
        <f>'Major Assumption Key'!A50</f>
        <v>2051</v>
      </c>
      <c r="F39" s="354">
        <f t="shared" si="0"/>
        <v>0</v>
      </c>
    </row>
    <row r="40" spans="1:6" ht="13.8" thickBot="1">
      <c r="A40" s="2040"/>
      <c r="B40" s="331" t="s">
        <v>7093</v>
      </c>
      <c r="C40" s="334">
        <v>0</v>
      </c>
      <c r="E40" s="594">
        <f>'Major Assumption Key'!A51</f>
        <v>2052</v>
      </c>
      <c r="F40" s="354">
        <f t="shared" si="0"/>
        <v>0</v>
      </c>
    </row>
    <row r="41" spans="1:6">
      <c r="A41" s="2038" t="s">
        <v>7096</v>
      </c>
      <c r="B41" s="330" t="s">
        <v>7088</v>
      </c>
      <c r="C41" s="333">
        <v>0</v>
      </c>
      <c r="E41" s="594">
        <f>'Major Assumption Key'!A52</f>
        <v>2053</v>
      </c>
      <c r="F41" s="354">
        <f t="shared" si="0"/>
        <v>0</v>
      </c>
    </row>
    <row r="42" spans="1:6">
      <c r="A42" s="2039"/>
      <c r="B42" s="318" t="s">
        <v>7089</v>
      </c>
      <c r="C42" s="313">
        <v>0</v>
      </c>
      <c r="E42" s="594">
        <f>'Major Assumption Key'!A53</f>
        <v>2054</v>
      </c>
      <c r="F42" s="354">
        <f t="shared" si="0"/>
        <v>0</v>
      </c>
    </row>
    <row r="43" spans="1:6">
      <c r="A43" s="2039"/>
      <c r="B43" s="320" t="s">
        <v>7090</v>
      </c>
      <c r="C43" s="313">
        <v>0</v>
      </c>
      <c r="E43" s="594">
        <f>'Major Assumption Key'!A54</f>
        <v>2055</v>
      </c>
      <c r="F43" s="354">
        <f t="shared" si="0"/>
        <v>0</v>
      </c>
    </row>
    <row r="44" spans="1:6">
      <c r="A44" s="2039"/>
      <c r="B44" s="319" t="s">
        <v>7091</v>
      </c>
      <c r="C44" s="313">
        <v>0</v>
      </c>
      <c r="E44" s="594">
        <f>'Major Assumption Key'!A55</f>
        <v>2056</v>
      </c>
      <c r="F44" s="354">
        <f t="shared" si="0"/>
        <v>0</v>
      </c>
    </row>
    <row r="45" spans="1:6">
      <c r="A45" s="2039"/>
      <c r="B45" s="319" t="s">
        <v>7092</v>
      </c>
      <c r="C45" s="313">
        <v>0</v>
      </c>
      <c r="E45" s="594">
        <f>'Major Assumption Key'!A56</f>
        <v>2057</v>
      </c>
      <c r="F45" s="354">
        <f t="shared" si="0"/>
        <v>0</v>
      </c>
    </row>
    <row r="46" spans="1:6" ht="13.8" thickBot="1">
      <c r="A46" s="2040"/>
      <c r="B46" s="331" t="s">
        <v>7093</v>
      </c>
      <c r="C46" s="334">
        <v>0</v>
      </c>
      <c r="E46" s="594">
        <f>'Major Assumption Key'!A57</f>
        <v>2058</v>
      </c>
      <c r="F46" s="354">
        <f t="shared" si="0"/>
        <v>0</v>
      </c>
    </row>
    <row r="47" spans="1:6">
      <c r="A47" s="311"/>
      <c r="B47" s="323" t="s">
        <v>7097</v>
      </c>
      <c r="C47" s="324">
        <f>C28/60*IF(C26&lt;C24,0,C25-C24)*C27*C23+C34/60*IF(C32&lt;C30,0,C31-C30)*C33*C29+C40/60*IF(C38&lt;C36,0,C37-C36)*C39*C35+C46/60*IF(C44&lt;C42,0,C43-C42)*C45*C41</f>
        <v>0</v>
      </c>
      <c r="E47" s="594">
        <f>'Major Assumption Key'!A58</f>
        <v>2059</v>
      </c>
      <c r="F47" s="354">
        <f t="shared" si="0"/>
        <v>0</v>
      </c>
    </row>
    <row r="48" spans="1:6" ht="13.8" thickBot="1">
      <c r="A48" s="311"/>
      <c r="B48" s="325" t="s">
        <v>7098</v>
      </c>
      <c r="C48" s="326">
        <f>C21-C20</f>
        <v>16.199999999999996</v>
      </c>
      <c r="E48" s="595">
        <f>'Major Assumption Key'!A59</f>
        <v>2060</v>
      </c>
      <c r="F48" s="355">
        <f t="shared" si="0"/>
        <v>0</v>
      </c>
    </row>
    <row r="49" spans="1:3">
      <c r="A49" s="311"/>
      <c r="B49" s="325" t="s">
        <v>7099</v>
      </c>
      <c r="C49" s="326">
        <f>C47*C48</f>
        <v>0</v>
      </c>
    </row>
    <row r="50" spans="1:3" ht="13.8" thickBot="1">
      <c r="A50" s="314"/>
      <c r="B50" s="327" t="s">
        <v>7100</v>
      </c>
      <c r="C50" s="328">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21875" customWidth="1"/>
    <col min="7" max="7" width="24.77734375" customWidth="1"/>
    <col min="8" max="8" width="34.21875" bestFit="1" customWidth="1"/>
  </cols>
  <sheetData>
    <row r="1" spans="1:8" ht="14.4">
      <c r="A1" s="271" t="s">
        <v>7045</v>
      </c>
      <c r="B1" s="42" t="s">
        <v>7101</v>
      </c>
    </row>
    <row r="2" spans="1:8" ht="13.8" thickBot="1"/>
    <row r="3" spans="1:8">
      <c r="A3" s="2050" t="s">
        <v>7102</v>
      </c>
      <c r="B3" s="2049" t="s">
        <v>7103</v>
      </c>
      <c r="C3" s="2049"/>
      <c r="D3" s="2049" t="s">
        <v>7104</v>
      </c>
      <c r="E3" s="2049"/>
      <c r="F3" s="2046" t="s">
        <v>7105</v>
      </c>
      <c r="G3" s="2046"/>
      <c r="H3" s="2047" t="s">
        <v>7106</v>
      </c>
    </row>
    <row r="4" spans="1:8">
      <c r="A4" s="2051"/>
      <c r="B4" s="437" t="s">
        <v>7107</v>
      </c>
      <c r="C4" s="437" t="s">
        <v>7108</v>
      </c>
      <c r="D4" s="437" t="s">
        <v>7109</v>
      </c>
      <c r="E4" s="437" t="s">
        <v>131</v>
      </c>
      <c r="F4" s="464" t="s">
        <v>7109</v>
      </c>
      <c r="G4" s="464" t="s">
        <v>131</v>
      </c>
      <c r="H4" s="2048"/>
    </row>
    <row r="5" spans="1:8">
      <c r="A5" s="442" t="s">
        <v>7110</v>
      </c>
      <c r="B5" s="369"/>
      <c r="C5" s="369"/>
      <c r="D5" s="369"/>
      <c r="E5" s="369"/>
      <c r="F5" s="616"/>
      <c r="G5" s="616"/>
      <c r="H5" s="465">
        <f>F5-G5</f>
        <v>0</v>
      </c>
    </row>
    <row r="6" spans="1:8">
      <c r="A6" s="442" t="s">
        <v>7111</v>
      </c>
      <c r="B6" s="369"/>
      <c r="C6" s="369"/>
      <c r="D6" s="369"/>
      <c r="E6" s="369"/>
      <c r="F6" s="616"/>
      <c r="G6" s="616"/>
      <c r="H6" s="465">
        <f t="shared" ref="H6:H11" si="0">F6-G6</f>
        <v>0</v>
      </c>
    </row>
    <row r="7" spans="1:8">
      <c r="A7" s="442" t="s">
        <v>7112</v>
      </c>
      <c r="B7" s="617"/>
      <c r="C7" s="617"/>
      <c r="D7" s="369"/>
      <c r="E7" s="369"/>
      <c r="F7" s="616"/>
      <c r="G7" s="616"/>
      <c r="H7" s="465">
        <f t="shared" si="0"/>
        <v>0</v>
      </c>
    </row>
    <row r="8" spans="1:8">
      <c r="A8" s="442" t="s">
        <v>7113</v>
      </c>
      <c r="B8" s="369"/>
      <c r="C8" s="369"/>
      <c r="D8" s="369"/>
      <c r="E8" s="369"/>
      <c r="F8" s="616"/>
      <c r="G8" s="616"/>
      <c r="H8" s="465">
        <f t="shared" si="0"/>
        <v>0</v>
      </c>
    </row>
    <row r="9" spans="1:8">
      <c r="A9" s="442" t="s">
        <v>7114</v>
      </c>
      <c r="B9" s="369"/>
      <c r="C9" s="369"/>
      <c r="D9" s="369"/>
      <c r="E9" s="369"/>
      <c r="F9" s="616"/>
      <c r="G9" s="616"/>
      <c r="H9" s="465">
        <f>F9-G9</f>
        <v>0</v>
      </c>
    </row>
    <row r="10" spans="1:8">
      <c r="A10" s="442" t="s">
        <v>7115</v>
      </c>
      <c r="B10" s="369"/>
      <c r="C10" s="369"/>
      <c r="D10" s="369"/>
      <c r="E10" s="369"/>
      <c r="F10" s="616"/>
      <c r="G10" s="616"/>
      <c r="H10" s="465">
        <f t="shared" si="0"/>
        <v>0</v>
      </c>
    </row>
    <row r="11" spans="1:8">
      <c r="A11" s="442" t="s">
        <v>7116</v>
      </c>
      <c r="B11" s="369"/>
      <c r="C11" s="369"/>
      <c r="D11" s="369"/>
      <c r="E11" s="369"/>
      <c r="F11" s="616"/>
      <c r="G11" s="616"/>
      <c r="H11" s="465">
        <f t="shared" si="0"/>
        <v>0</v>
      </c>
    </row>
    <row r="12" spans="1:8">
      <c r="A12" s="54" t="s">
        <v>7117</v>
      </c>
      <c r="E12" s="110" t="s">
        <v>63</v>
      </c>
      <c r="F12" s="444">
        <f>SUM(F5:F11)</f>
        <v>0</v>
      </c>
      <c r="G12" s="444">
        <f>SUM(G5:G11)</f>
        <v>0</v>
      </c>
      <c r="H12" s="444">
        <f>SUM(H5:H11)</f>
        <v>0</v>
      </c>
    </row>
    <row r="14" spans="1:8" ht="14.4">
      <c r="A14" s="14" t="s">
        <v>7118</v>
      </c>
      <c r="B14" s="618">
        <f>'Major Assumption Key'!B12</f>
        <v>1.4738604988289711E-2</v>
      </c>
      <c r="C14" s="618" t="str">
        <f>'Major Assumption Key'!C12</f>
        <v>Source: TxDOT State Planning Map, "Future Traffic &amp; Percent Truck"  https://www.txdot.gov/apps/statewide_mapping/StatewidePlanningMap.html</v>
      </c>
    </row>
    <row r="15" spans="1:8" ht="14.4">
      <c r="A15" s="54"/>
      <c r="B15" s="767"/>
    </row>
    <row r="17" spans="1:4">
      <c r="A17" s="2044" t="s">
        <v>510</v>
      </c>
      <c r="B17" s="2044" t="s">
        <v>7105</v>
      </c>
      <c r="C17" s="2044"/>
      <c r="D17" s="2045" t="s">
        <v>7119</v>
      </c>
    </row>
    <row r="18" spans="1:4">
      <c r="A18" s="2044"/>
      <c r="B18" s="53" t="s">
        <v>7109</v>
      </c>
      <c r="C18" s="53" t="s">
        <v>131</v>
      </c>
      <c r="D18" s="2045"/>
    </row>
    <row r="19" spans="1:4">
      <c r="A19" s="52">
        <f>'Major Assumption Key'!A19</f>
        <v>2020</v>
      </c>
      <c r="B19" s="443">
        <f>F12</f>
        <v>0</v>
      </c>
      <c r="C19" s="443">
        <f>G12</f>
        <v>0</v>
      </c>
      <c r="D19" s="443">
        <f>B19-C19</f>
        <v>0</v>
      </c>
    </row>
    <row r="20" spans="1:4">
      <c r="A20" s="52">
        <f>'Major Assumption Key'!A20</f>
        <v>2021</v>
      </c>
      <c r="B20" s="443">
        <f>B19*(1+$B$14)</f>
        <v>0</v>
      </c>
      <c r="C20" s="443">
        <f>C19*(1+$B$14)</f>
        <v>0</v>
      </c>
      <c r="D20" s="443">
        <f t="shared" ref="D20:D48" si="1">B20-C20</f>
        <v>0</v>
      </c>
    </row>
    <row r="21" spans="1:4">
      <c r="A21" s="52">
        <f>'Major Assumption Key'!A21</f>
        <v>2022</v>
      </c>
      <c r="B21" s="443">
        <f t="shared" ref="B21:B59" si="2">B20*(1+$B$14)</f>
        <v>0</v>
      </c>
      <c r="C21" s="443">
        <f t="shared" ref="C21:C59" si="3">C20*(1+$B$14)</f>
        <v>0</v>
      </c>
      <c r="D21" s="443">
        <f t="shared" si="1"/>
        <v>0</v>
      </c>
    </row>
    <row r="22" spans="1:4">
      <c r="A22" s="52">
        <f>'Major Assumption Key'!A22</f>
        <v>2023</v>
      </c>
      <c r="B22" s="443">
        <f t="shared" si="2"/>
        <v>0</v>
      </c>
      <c r="C22" s="443">
        <f t="shared" si="3"/>
        <v>0</v>
      </c>
      <c r="D22" s="443">
        <f t="shared" si="1"/>
        <v>0</v>
      </c>
    </row>
    <row r="23" spans="1:4">
      <c r="A23" s="52">
        <f>'Major Assumption Key'!A23</f>
        <v>2024</v>
      </c>
      <c r="B23" s="443">
        <f t="shared" si="2"/>
        <v>0</v>
      </c>
      <c r="C23" s="443">
        <f t="shared" si="3"/>
        <v>0</v>
      </c>
      <c r="D23" s="443">
        <f t="shared" si="1"/>
        <v>0</v>
      </c>
    </row>
    <row r="24" spans="1:4">
      <c r="A24" s="52">
        <f>'Major Assumption Key'!A24</f>
        <v>2025</v>
      </c>
      <c r="B24" s="443">
        <f t="shared" si="2"/>
        <v>0</v>
      </c>
      <c r="C24" s="443">
        <f t="shared" si="3"/>
        <v>0</v>
      </c>
      <c r="D24" s="443">
        <f t="shared" si="1"/>
        <v>0</v>
      </c>
    </row>
    <row r="25" spans="1:4">
      <c r="A25" s="52">
        <f>'Major Assumption Key'!A25</f>
        <v>2026</v>
      </c>
      <c r="B25" s="443">
        <f t="shared" si="2"/>
        <v>0</v>
      </c>
      <c r="C25" s="443">
        <f t="shared" si="3"/>
        <v>0</v>
      </c>
      <c r="D25" s="443">
        <f t="shared" si="1"/>
        <v>0</v>
      </c>
    </row>
    <row r="26" spans="1:4">
      <c r="A26" s="52">
        <f>'Major Assumption Key'!A26</f>
        <v>2027</v>
      </c>
      <c r="B26" s="443">
        <f t="shared" si="2"/>
        <v>0</v>
      </c>
      <c r="C26" s="443">
        <f t="shared" si="3"/>
        <v>0</v>
      </c>
      <c r="D26" s="443">
        <f t="shared" si="1"/>
        <v>0</v>
      </c>
    </row>
    <row r="27" spans="1:4">
      <c r="A27" s="52">
        <f>'Major Assumption Key'!A27</f>
        <v>2028</v>
      </c>
      <c r="B27" s="443">
        <f t="shared" si="2"/>
        <v>0</v>
      </c>
      <c r="C27" s="443">
        <f t="shared" si="3"/>
        <v>0</v>
      </c>
      <c r="D27" s="443">
        <f>B27-C27</f>
        <v>0</v>
      </c>
    </row>
    <row r="28" spans="1:4">
      <c r="A28" s="52">
        <f>'Major Assumption Key'!A28</f>
        <v>2029</v>
      </c>
      <c r="B28" s="443">
        <f t="shared" si="2"/>
        <v>0</v>
      </c>
      <c r="C28" s="443">
        <f t="shared" si="3"/>
        <v>0</v>
      </c>
      <c r="D28" s="443">
        <f t="shared" si="1"/>
        <v>0</v>
      </c>
    </row>
    <row r="29" spans="1:4">
      <c r="A29" s="52">
        <f>'Major Assumption Key'!A29</f>
        <v>2030</v>
      </c>
      <c r="B29" s="443">
        <f t="shared" si="2"/>
        <v>0</v>
      </c>
      <c r="C29" s="443">
        <f t="shared" si="3"/>
        <v>0</v>
      </c>
      <c r="D29" s="443">
        <f t="shared" si="1"/>
        <v>0</v>
      </c>
    </row>
    <row r="30" spans="1:4">
      <c r="A30" s="52">
        <f>'Major Assumption Key'!A30</f>
        <v>2031</v>
      </c>
      <c r="B30" s="443">
        <f t="shared" si="2"/>
        <v>0</v>
      </c>
      <c r="C30" s="443">
        <f t="shared" si="3"/>
        <v>0</v>
      </c>
      <c r="D30" s="443">
        <f t="shared" si="1"/>
        <v>0</v>
      </c>
    </row>
    <row r="31" spans="1:4">
      <c r="A31" s="52">
        <f>'Major Assumption Key'!A31</f>
        <v>2032</v>
      </c>
      <c r="B31" s="443">
        <f t="shared" si="2"/>
        <v>0</v>
      </c>
      <c r="C31" s="443">
        <f t="shared" si="3"/>
        <v>0</v>
      </c>
      <c r="D31" s="443">
        <f t="shared" si="1"/>
        <v>0</v>
      </c>
    </row>
    <row r="32" spans="1:4">
      <c r="A32" s="52">
        <f>'Major Assumption Key'!A32</f>
        <v>2033</v>
      </c>
      <c r="B32" s="443">
        <f t="shared" si="2"/>
        <v>0</v>
      </c>
      <c r="C32" s="443">
        <f t="shared" si="3"/>
        <v>0</v>
      </c>
      <c r="D32" s="443">
        <f t="shared" si="1"/>
        <v>0</v>
      </c>
    </row>
    <row r="33" spans="1:4">
      <c r="A33" s="52">
        <f>'Major Assumption Key'!A33</f>
        <v>2034</v>
      </c>
      <c r="B33" s="443">
        <f t="shared" si="2"/>
        <v>0</v>
      </c>
      <c r="C33" s="443">
        <f t="shared" si="3"/>
        <v>0</v>
      </c>
      <c r="D33" s="443">
        <f t="shared" si="1"/>
        <v>0</v>
      </c>
    </row>
    <row r="34" spans="1:4">
      <c r="A34" s="52">
        <f>'Major Assumption Key'!A34</f>
        <v>2035</v>
      </c>
      <c r="B34" s="443">
        <f t="shared" si="2"/>
        <v>0</v>
      </c>
      <c r="C34" s="443">
        <f t="shared" si="3"/>
        <v>0</v>
      </c>
      <c r="D34" s="443">
        <f t="shared" si="1"/>
        <v>0</v>
      </c>
    </row>
    <row r="35" spans="1:4">
      <c r="A35" s="52">
        <f>'Major Assumption Key'!A35</f>
        <v>2036</v>
      </c>
      <c r="B35" s="443">
        <f t="shared" si="2"/>
        <v>0</v>
      </c>
      <c r="C35" s="443">
        <f t="shared" si="3"/>
        <v>0</v>
      </c>
      <c r="D35" s="443">
        <f t="shared" si="1"/>
        <v>0</v>
      </c>
    </row>
    <row r="36" spans="1:4">
      <c r="A36" s="52">
        <f>'Major Assumption Key'!A36</f>
        <v>2037</v>
      </c>
      <c r="B36" s="443">
        <f t="shared" si="2"/>
        <v>0</v>
      </c>
      <c r="C36" s="443">
        <f t="shared" si="3"/>
        <v>0</v>
      </c>
      <c r="D36" s="443">
        <f t="shared" si="1"/>
        <v>0</v>
      </c>
    </row>
    <row r="37" spans="1:4">
      <c r="A37" s="52">
        <f>'Major Assumption Key'!A37</f>
        <v>2038</v>
      </c>
      <c r="B37" s="443">
        <f t="shared" si="2"/>
        <v>0</v>
      </c>
      <c r="C37" s="443">
        <f t="shared" si="3"/>
        <v>0</v>
      </c>
      <c r="D37" s="443">
        <f t="shared" si="1"/>
        <v>0</v>
      </c>
    </row>
    <row r="38" spans="1:4">
      <c r="A38" s="52">
        <f>'Major Assumption Key'!A38</f>
        <v>2039</v>
      </c>
      <c r="B38" s="443">
        <f t="shared" si="2"/>
        <v>0</v>
      </c>
      <c r="C38" s="443">
        <f t="shared" si="3"/>
        <v>0</v>
      </c>
      <c r="D38" s="443">
        <f t="shared" si="1"/>
        <v>0</v>
      </c>
    </row>
    <row r="39" spans="1:4">
      <c r="A39" s="52">
        <f>'Major Assumption Key'!A39</f>
        <v>2040</v>
      </c>
      <c r="B39" s="443">
        <f t="shared" si="2"/>
        <v>0</v>
      </c>
      <c r="C39" s="443">
        <f t="shared" si="3"/>
        <v>0</v>
      </c>
      <c r="D39" s="443">
        <f t="shared" si="1"/>
        <v>0</v>
      </c>
    </row>
    <row r="40" spans="1:4">
      <c r="A40" s="52">
        <f>'Major Assumption Key'!A40</f>
        <v>2041</v>
      </c>
      <c r="B40" s="443">
        <f t="shared" si="2"/>
        <v>0</v>
      </c>
      <c r="C40" s="443">
        <f t="shared" si="3"/>
        <v>0</v>
      </c>
      <c r="D40" s="443">
        <f t="shared" si="1"/>
        <v>0</v>
      </c>
    </row>
    <row r="41" spans="1:4">
      <c r="A41" s="52">
        <f>'Major Assumption Key'!A41</f>
        <v>2042</v>
      </c>
      <c r="B41" s="443">
        <f t="shared" si="2"/>
        <v>0</v>
      </c>
      <c r="C41" s="443">
        <f t="shared" si="3"/>
        <v>0</v>
      </c>
      <c r="D41" s="443">
        <f t="shared" si="1"/>
        <v>0</v>
      </c>
    </row>
    <row r="42" spans="1:4">
      <c r="A42" s="52">
        <f>'Major Assumption Key'!A42</f>
        <v>2043</v>
      </c>
      <c r="B42" s="443">
        <f t="shared" si="2"/>
        <v>0</v>
      </c>
      <c r="C42" s="443">
        <f t="shared" si="3"/>
        <v>0</v>
      </c>
      <c r="D42" s="443">
        <f t="shared" si="1"/>
        <v>0</v>
      </c>
    </row>
    <row r="43" spans="1:4">
      <c r="A43" s="52">
        <f>'Major Assumption Key'!A43</f>
        <v>2044</v>
      </c>
      <c r="B43" s="443">
        <f t="shared" si="2"/>
        <v>0</v>
      </c>
      <c r="C43" s="443">
        <f t="shared" si="3"/>
        <v>0</v>
      </c>
      <c r="D43" s="443">
        <f t="shared" si="1"/>
        <v>0</v>
      </c>
    </row>
    <row r="44" spans="1:4">
      <c r="A44" s="52">
        <f>'Major Assumption Key'!A44</f>
        <v>2045</v>
      </c>
      <c r="B44" s="443">
        <f t="shared" si="2"/>
        <v>0</v>
      </c>
      <c r="C44" s="443">
        <f t="shared" si="3"/>
        <v>0</v>
      </c>
      <c r="D44" s="443">
        <f t="shared" si="1"/>
        <v>0</v>
      </c>
    </row>
    <row r="45" spans="1:4">
      <c r="A45" s="52">
        <f>'Major Assumption Key'!A45</f>
        <v>2046</v>
      </c>
      <c r="B45" s="443">
        <f t="shared" si="2"/>
        <v>0</v>
      </c>
      <c r="C45" s="443">
        <f t="shared" si="3"/>
        <v>0</v>
      </c>
      <c r="D45" s="443">
        <f t="shared" si="1"/>
        <v>0</v>
      </c>
    </row>
    <row r="46" spans="1:4">
      <c r="A46" s="52">
        <f>'Major Assumption Key'!A46</f>
        <v>2047</v>
      </c>
      <c r="B46" s="443">
        <f t="shared" si="2"/>
        <v>0</v>
      </c>
      <c r="C46" s="443">
        <f t="shared" si="3"/>
        <v>0</v>
      </c>
      <c r="D46" s="443">
        <f t="shared" si="1"/>
        <v>0</v>
      </c>
    </row>
    <row r="47" spans="1:4">
      <c r="A47" s="52">
        <f>'Major Assumption Key'!A47</f>
        <v>2048</v>
      </c>
      <c r="B47" s="443">
        <f t="shared" si="2"/>
        <v>0</v>
      </c>
      <c r="C47" s="443">
        <f t="shared" si="3"/>
        <v>0</v>
      </c>
      <c r="D47" s="443">
        <f t="shared" si="1"/>
        <v>0</v>
      </c>
    </row>
    <row r="48" spans="1:4">
      <c r="A48" s="52">
        <f>'Major Assumption Key'!A48</f>
        <v>2049</v>
      </c>
      <c r="B48" s="443">
        <f t="shared" si="2"/>
        <v>0</v>
      </c>
      <c r="C48" s="443">
        <f t="shared" si="3"/>
        <v>0</v>
      </c>
      <c r="D48" s="443">
        <f t="shared" si="1"/>
        <v>0</v>
      </c>
    </row>
    <row r="49" spans="1:4">
      <c r="A49" s="52">
        <f>'Major Assumption Key'!A49</f>
        <v>2050</v>
      </c>
      <c r="B49" s="443">
        <f t="shared" si="2"/>
        <v>0</v>
      </c>
      <c r="C49" s="443">
        <f t="shared" si="3"/>
        <v>0</v>
      </c>
      <c r="D49" s="443">
        <f t="shared" ref="D49:D56" si="4">B49-C49</f>
        <v>0</v>
      </c>
    </row>
    <row r="50" spans="1:4">
      <c r="A50" s="52">
        <f>'Major Assumption Key'!A50</f>
        <v>2051</v>
      </c>
      <c r="B50" s="443">
        <f t="shared" si="2"/>
        <v>0</v>
      </c>
      <c r="C50" s="443">
        <f t="shared" si="3"/>
        <v>0</v>
      </c>
      <c r="D50" s="443">
        <f t="shared" si="4"/>
        <v>0</v>
      </c>
    </row>
    <row r="51" spans="1:4">
      <c r="A51" s="52">
        <f>'Major Assumption Key'!A51</f>
        <v>2052</v>
      </c>
      <c r="B51" s="443">
        <f t="shared" si="2"/>
        <v>0</v>
      </c>
      <c r="C51" s="443">
        <f t="shared" si="3"/>
        <v>0</v>
      </c>
      <c r="D51" s="443">
        <f t="shared" si="4"/>
        <v>0</v>
      </c>
    </row>
    <row r="52" spans="1:4">
      <c r="A52" s="52">
        <f>'Major Assumption Key'!A52</f>
        <v>2053</v>
      </c>
      <c r="B52" s="443">
        <f t="shared" si="2"/>
        <v>0</v>
      </c>
      <c r="C52" s="443">
        <f t="shared" si="3"/>
        <v>0</v>
      </c>
      <c r="D52" s="443">
        <f t="shared" si="4"/>
        <v>0</v>
      </c>
    </row>
    <row r="53" spans="1:4">
      <c r="A53" s="52">
        <f>'Major Assumption Key'!A53</f>
        <v>2054</v>
      </c>
      <c r="B53" s="443">
        <f t="shared" si="2"/>
        <v>0</v>
      </c>
      <c r="C53" s="443">
        <f t="shared" si="3"/>
        <v>0</v>
      </c>
      <c r="D53" s="443">
        <f t="shared" si="4"/>
        <v>0</v>
      </c>
    </row>
    <row r="54" spans="1:4">
      <c r="A54" s="52">
        <f>'Major Assumption Key'!A54</f>
        <v>2055</v>
      </c>
      <c r="B54" s="443">
        <f t="shared" si="2"/>
        <v>0</v>
      </c>
      <c r="C54" s="443">
        <f t="shared" si="3"/>
        <v>0</v>
      </c>
      <c r="D54" s="443">
        <f t="shared" si="4"/>
        <v>0</v>
      </c>
    </row>
    <row r="55" spans="1:4">
      <c r="A55" s="52">
        <f>'Major Assumption Key'!A55</f>
        <v>2056</v>
      </c>
      <c r="B55" s="443">
        <f t="shared" si="2"/>
        <v>0</v>
      </c>
      <c r="C55" s="443">
        <f t="shared" si="3"/>
        <v>0</v>
      </c>
      <c r="D55" s="443">
        <f t="shared" si="4"/>
        <v>0</v>
      </c>
    </row>
    <row r="56" spans="1:4">
      <c r="A56" s="52">
        <f>'Major Assumption Key'!A56</f>
        <v>2057</v>
      </c>
      <c r="B56" s="443">
        <f t="shared" si="2"/>
        <v>0</v>
      </c>
      <c r="C56" s="443">
        <f t="shared" si="3"/>
        <v>0</v>
      </c>
      <c r="D56" s="443">
        <f t="shared" si="4"/>
        <v>0</v>
      </c>
    </row>
    <row r="57" spans="1:4">
      <c r="A57" s="52">
        <f>'Major Assumption Key'!A57</f>
        <v>2058</v>
      </c>
      <c r="B57" s="443">
        <f t="shared" si="2"/>
        <v>0</v>
      </c>
      <c r="C57" s="443">
        <f t="shared" si="3"/>
        <v>0</v>
      </c>
      <c r="D57" s="443">
        <f t="shared" ref="D57:D59" si="5">B57-C57</f>
        <v>0</v>
      </c>
    </row>
    <row r="58" spans="1:4">
      <c r="A58" s="52">
        <f>'Major Assumption Key'!A58</f>
        <v>2059</v>
      </c>
      <c r="B58" s="443">
        <f t="shared" si="2"/>
        <v>0</v>
      </c>
      <c r="C58" s="443">
        <f t="shared" si="3"/>
        <v>0</v>
      </c>
      <c r="D58" s="443">
        <f t="shared" si="5"/>
        <v>0</v>
      </c>
    </row>
    <row r="59" spans="1:4">
      <c r="A59" s="52">
        <f>'Major Assumption Key'!A59</f>
        <v>2060</v>
      </c>
      <c r="B59" s="443">
        <f t="shared" si="2"/>
        <v>0</v>
      </c>
      <c r="C59" s="443">
        <f t="shared" si="3"/>
        <v>0</v>
      </c>
      <c r="D59" s="443">
        <f t="shared" si="5"/>
        <v>0</v>
      </c>
    </row>
    <row r="60" spans="1:4">
      <c r="A60" s="52"/>
      <c r="B60" s="443"/>
      <c r="C60" s="443"/>
      <c r="D60" s="443"/>
    </row>
    <row r="61" spans="1:4">
      <c r="A61" s="52"/>
      <c r="B61" s="443"/>
      <c r="C61" s="443"/>
      <c r="D61" s="443"/>
    </row>
    <row r="62" spans="1:4">
      <c r="A62" s="52"/>
      <c r="B62" s="443"/>
      <c r="C62" s="443"/>
      <c r="D62" s="443"/>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71" t="s">
        <v>7045</v>
      </c>
      <c r="B1" s="42" t="s">
        <v>7120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A80" workbookViewId="0">
      <selection activeCell="C98" sqref="C98"/>
    </sheetView>
  </sheetViews>
  <sheetFormatPr defaultColWidth="8.77734375" defaultRowHeight="13.2"/>
  <cols>
    <col min="1" max="1" width="11.5546875" style="1013" bestFit="1" customWidth="1"/>
    <col min="2" max="2" width="78.5546875" style="1344" customWidth="1"/>
    <col min="3" max="3" width="52.77734375" style="1013" bestFit="1" customWidth="1"/>
    <col min="4" max="4" width="37.77734375" style="1013" bestFit="1" customWidth="1"/>
    <col min="5" max="5" width="27.77734375" style="1013" bestFit="1" customWidth="1"/>
    <col min="6" max="6" width="43.77734375" style="1013" bestFit="1" customWidth="1"/>
    <col min="7" max="7" width="53.21875" style="1013" bestFit="1" customWidth="1"/>
    <col min="8" max="16384" width="8.77734375" style="1013"/>
  </cols>
  <sheetData>
    <row r="1" spans="1:5">
      <c r="A1" s="1342" t="s">
        <v>210</v>
      </c>
      <c r="B1" s="1049" t="s">
        <v>211</v>
      </c>
    </row>
    <row r="2" spans="1:5">
      <c r="A2" s="1342" t="s">
        <v>212</v>
      </c>
      <c r="B2" s="1343">
        <f>'Major Assumption Key'!B7</f>
        <v>2022</v>
      </c>
    </row>
    <row r="4" spans="1:5" ht="15" thickBot="1">
      <c r="A4" s="1342" t="s">
        <v>213</v>
      </c>
      <c r="B4" s="1345" t="s">
        <v>214</v>
      </c>
      <c r="C4" s="1259"/>
    </row>
    <row r="5" spans="1:5" ht="14.4">
      <c r="B5" s="1746" t="s">
        <v>215</v>
      </c>
      <c r="C5" s="1747" t="s">
        <v>65</v>
      </c>
    </row>
    <row r="6" spans="1:5" ht="14.4">
      <c r="B6" s="1748" t="s">
        <v>216</v>
      </c>
      <c r="C6" s="1749">
        <v>5000</v>
      </c>
    </row>
    <row r="7" spans="1:5" ht="14.4">
      <c r="B7" s="1748" t="s">
        <v>217</v>
      </c>
      <c r="C7" s="1749">
        <v>111700</v>
      </c>
    </row>
    <row r="8" spans="1:5" ht="14.4">
      <c r="B8" s="1748" t="s">
        <v>218</v>
      </c>
      <c r="C8" s="1749">
        <v>233800</v>
      </c>
    </row>
    <row r="9" spans="1:5" ht="14.4">
      <c r="B9" s="1748" t="s">
        <v>219</v>
      </c>
      <c r="C9" s="1749">
        <v>1188200</v>
      </c>
    </row>
    <row r="10" spans="1:5" ht="14.4">
      <c r="B10" s="1748" t="s">
        <v>220</v>
      </c>
      <c r="C10" s="1749">
        <v>12500000</v>
      </c>
    </row>
    <row r="11" spans="1:5" ht="15" thickBot="1">
      <c r="B11" s="1750" t="s">
        <v>221</v>
      </c>
      <c r="C11" s="1751">
        <v>217600</v>
      </c>
    </row>
    <row r="12" spans="1:5" s="1342" customFormat="1" ht="15" thickBot="1">
      <c r="A12" s="1342" t="s">
        <v>222</v>
      </c>
      <c r="B12" s="1345" t="s">
        <v>223</v>
      </c>
      <c r="C12" s="1752"/>
    </row>
    <row r="13" spans="1:5" ht="14.4">
      <c r="B13" s="1746" t="s">
        <v>224</v>
      </c>
      <c r="C13" s="1747" t="s">
        <v>65</v>
      </c>
      <c r="E13" s="1753"/>
    </row>
    <row r="14" spans="1:5" ht="14.4">
      <c r="B14" s="1748" t="s">
        <v>225</v>
      </c>
      <c r="C14" s="1749">
        <v>9100</v>
      </c>
    </row>
    <row r="15" spans="1:5" ht="14.4">
      <c r="B15" s="1748" t="s">
        <v>226</v>
      </c>
      <c r="C15" s="1749">
        <v>313000</v>
      </c>
    </row>
    <row r="16" spans="1:5" ht="15" thickBot="1">
      <c r="B16" s="1750" t="s">
        <v>227</v>
      </c>
      <c r="C16" s="1751">
        <v>14022900</v>
      </c>
    </row>
    <row r="17" spans="1:5" ht="14.4">
      <c r="B17" s="1345"/>
      <c r="C17" s="1754"/>
    </row>
    <row r="19" spans="1:5" ht="13.8" thickBot="1">
      <c r="A19" s="1342" t="s">
        <v>228</v>
      </c>
      <c r="B19" s="1357" t="s">
        <v>229</v>
      </c>
    </row>
    <row r="20" spans="1:5">
      <c r="B20" s="1755" t="s">
        <v>230</v>
      </c>
      <c r="C20" s="1388" t="s">
        <v>231</v>
      </c>
    </row>
    <row r="21" spans="1:5">
      <c r="B21" s="1346" t="s">
        <v>232</v>
      </c>
      <c r="C21" s="1347"/>
      <c r="D21" s="1348"/>
    </row>
    <row r="22" spans="1:5" ht="15.6">
      <c r="B22" s="1346" t="s">
        <v>233</v>
      </c>
      <c r="C22" s="1756">
        <v>17.899999999999999</v>
      </c>
      <c r="D22" s="1348"/>
    </row>
    <row r="23" spans="1:5" ht="15.6">
      <c r="B23" s="1346" t="s">
        <v>234</v>
      </c>
      <c r="C23" s="1756">
        <v>32.299999999999997</v>
      </c>
      <c r="D23" s="1348"/>
    </row>
    <row r="24" spans="1:5" ht="15.6">
      <c r="B24" s="1346" t="s">
        <v>235</v>
      </c>
      <c r="C24" s="1756">
        <v>19.600000000000001</v>
      </c>
      <c r="D24" s="1348"/>
      <c r="E24" s="1049"/>
    </row>
    <row r="25" spans="1:5">
      <c r="B25" s="1346"/>
      <c r="C25" s="1756"/>
    </row>
    <row r="26" spans="1:5" ht="15.6">
      <c r="B26" s="1346" t="s">
        <v>236</v>
      </c>
      <c r="C26" s="1756">
        <v>35.799999999999997</v>
      </c>
      <c r="D26" s="1348"/>
    </row>
    <row r="27" spans="1:5">
      <c r="B27" s="1349"/>
      <c r="C27" s="1347"/>
    </row>
    <row r="28" spans="1:5" ht="15.6">
      <c r="B28" s="1346" t="s">
        <v>237</v>
      </c>
      <c r="C28" s="1347"/>
      <c r="D28" s="1348"/>
      <c r="E28" s="1049"/>
    </row>
    <row r="29" spans="1:5">
      <c r="B29" s="1346" t="s">
        <v>238</v>
      </c>
      <c r="C29" s="1756">
        <v>33.5</v>
      </c>
    </row>
    <row r="30" spans="1:5">
      <c r="B30" s="1346" t="s">
        <v>239</v>
      </c>
      <c r="C30" s="1756">
        <v>36.5</v>
      </c>
    </row>
    <row r="31" spans="1:5">
      <c r="B31" s="1346" t="s">
        <v>240</v>
      </c>
      <c r="C31" s="1756">
        <v>63.3</v>
      </c>
    </row>
    <row r="32" spans="1:5" ht="13.8" thickBot="1">
      <c r="B32" s="1757" t="s">
        <v>241</v>
      </c>
      <c r="C32" s="1758">
        <v>53.5</v>
      </c>
    </row>
    <row r="33" spans="1:5">
      <c r="C33" s="1351"/>
    </row>
    <row r="34" spans="1:5">
      <c r="B34" s="1350" t="s">
        <v>242</v>
      </c>
      <c r="C34" s="1351"/>
    </row>
    <row r="35" spans="1:5">
      <c r="B35" s="1350" t="s">
        <v>243</v>
      </c>
      <c r="C35" s="1351"/>
    </row>
    <row r="36" spans="1:5">
      <c r="B36" s="1350" t="s">
        <v>244</v>
      </c>
      <c r="C36" s="1351"/>
    </row>
    <row r="37" spans="1:5">
      <c r="B37" s="1350" t="s">
        <v>245</v>
      </c>
      <c r="C37" s="1351"/>
    </row>
    <row r="38" spans="1:5">
      <c r="B38" s="1350" t="s">
        <v>246</v>
      </c>
      <c r="C38" s="1351"/>
    </row>
    <row r="39" spans="1:5">
      <c r="B39" s="1350"/>
      <c r="C39" s="1351"/>
    </row>
    <row r="40" spans="1:5">
      <c r="C40" s="1351"/>
    </row>
    <row r="41" spans="1:5" ht="13.8" thickBot="1">
      <c r="A41" s="1342" t="s">
        <v>247</v>
      </c>
      <c r="B41" s="1357" t="s">
        <v>248</v>
      </c>
    </row>
    <row r="42" spans="1:5">
      <c r="B42" s="1352" t="s">
        <v>249</v>
      </c>
      <c r="C42" s="1353" t="s">
        <v>250</v>
      </c>
    </row>
    <row r="43" spans="1:5" ht="16.8">
      <c r="B43" s="1362" t="s">
        <v>251</v>
      </c>
      <c r="C43" s="1759">
        <v>1.48</v>
      </c>
      <c r="D43" s="1348"/>
      <c r="E43" s="1049"/>
    </row>
    <row r="44" spans="1:5">
      <c r="B44" s="1362" t="s">
        <v>252</v>
      </c>
      <c r="C44" s="1759">
        <v>1.58</v>
      </c>
    </row>
    <row r="45" spans="1:5">
      <c r="B45" s="1362" t="s">
        <v>253</v>
      </c>
      <c r="C45" s="1759">
        <v>2.02</v>
      </c>
    </row>
    <row r="46" spans="1:5" ht="13.8" thickBot="1">
      <c r="B46" s="1366" t="s">
        <v>254</v>
      </c>
      <c r="C46" s="1760">
        <v>1.67</v>
      </c>
    </row>
    <row r="48" spans="1:5">
      <c r="B48" s="1350" t="s">
        <v>255</v>
      </c>
    </row>
    <row r="49" spans="1:5">
      <c r="B49" s="1343"/>
    </row>
    <row r="51" spans="1:5" ht="13.8" thickBot="1">
      <c r="A51" s="1342" t="s">
        <v>256</v>
      </c>
      <c r="B51" s="1357" t="s">
        <v>257</v>
      </c>
    </row>
    <row r="52" spans="1:5">
      <c r="B52" s="1352" t="s">
        <v>249</v>
      </c>
      <c r="C52" s="1353" t="s">
        <v>258</v>
      </c>
    </row>
    <row r="53" spans="1:5" ht="16.8">
      <c r="B53" s="1362" t="s">
        <v>259</v>
      </c>
      <c r="C53" s="1761">
        <v>0.52</v>
      </c>
      <c r="D53" s="1348"/>
    </row>
    <row r="54" spans="1:5" ht="17.399999999999999" thickBot="1">
      <c r="B54" s="1366" t="s">
        <v>260</v>
      </c>
      <c r="C54" s="1762">
        <v>1.32</v>
      </c>
      <c r="D54" s="1348"/>
    </row>
    <row r="55" spans="1:5">
      <c r="B55" s="1343"/>
      <c r="C55" s="1351"/>
      <c r="D55" s="1348"/>
    </row>
    <row r="56" spans="1:5">
      <c r="B56" s="1350" t="s">
        <v>261</v>
      </c>
      <c r="C56" s="1763"/>
      <c r="D56" s="1348"/>
    </row>
    <row r="57" spans="1:5">
      <c r="B57" s="1350" t="s">
        <v>262</v>
      </c>
      <c r="C57" s="1415"/>
    </row>
    <row r="58" spans="1:5">
      <c r="B58" s="1350"/>
      <c r="C58" s="1415"/>
    </row>
    <row r="60" spans="1:5" ht="13.8" thickBot="1">
      <c r="A60" s="1342" t="s">
        <v>263</v>
      </c>
      <c r="B60" s="1357" t="s">
        <v>264</v>
      </c>
      <c r="C60" s="1764"/>
    </row>
    <row r="61" spans="1:5" s="1342" customFormat="1" ht="13.8" thickTop="1">
      <c r="B61" s="1765"/>
      <c r="C61" s="1850" t="s">
        <v>265</v>
      </c>
      <c r="D61" s="1850"/>
      <c r="E61" s="1851"/>
    </row>
    <row r="62" spans="1:5" ht="16.2" thickBot="1">
      <c r="B62" s="1766" t="s">
        <v>266</v>
      </c>
      <c r="C62" s="1767" t="s">
        <v>267</v>
      </c>
      <c r="D62" s="1767" t="s">
        <v>268</v>
      </c>
      <c r="E62" s="1768" t="s">
        <v>269</v>
      </c>
    </row>
    <row r="63" spans="1:5" ht="13.8" thickTop="1">
      <c r="B63" s="1852" t="s">
        <v>270</v>
      </c>
      <c r="C63" s="1853"/>
      <c r="D63" s="1853"/>
      <c r="E63" s="1854"/>
    </row>
    <row r="64" spans="1:5">
      <c r="B64" s="1769" t="s">
        <v>271</v>
      </c>
      <c r="C64" s="1355">
        <v>273</v>
      </c>
      <c r="D64" s="1355">
        <v>749</v>
      </c>
      <c r="E64" s="1770">
        <v>28</v>
      </c>
    </row>
    <row r="65" spans="1:6">
      <c r="B65" s="1771" t="s">
        <v>272</v>
      </c>
      <c r="C65" s="1355">
        <v>299</v>
      </c>
      <c r="D65" s="1355">
        <v>102</v>
      </c>
      <c r="E65" s="1770">
        <v>26</v>
      </c>
    </row>
    <row r="66" spans="1:6">
      <c r="B66" s="1771" t="s">
        <v>273</v>
      </c>
      <c r="C66" s="1355">
        <v>747</v>
      </c>
      <c r="D66" s="1355">
        <v>102</v>
      </c>
      <c r="E66" s="1770">
        <v>26</v>
      </c>
    </row>
    <row r="67" spans="1:6" ht="13.8" thickBot="1">
      <c r="B67" s="1772" t="s">
        <v>274</v>
      </c>
      <c r="C67" s="1773">
        <v>331</v>
      </c>
      <c r="D67" s="1773">
        <v>102</v>
      </c>
      <c r="E67" s="1774">
        <v>26</v>
      </c>
    </row>
    <row r="68" spans="1:6">
      <c r="B68" s="1855" t="s">
        <v>275</v>
      </c>
      <c r="C68" s="1856"/>
      <c r="D68" s="1856"/>
      <c r="E68" s="1857"/>
    </row>
    <row r="69" spans="1:6">
      <c r="B69" s="1769" t="s">
        <v>271</v>
      </c>
      <c r="C69" s="1355">
        <v>799</v>
      </c>
      <c r="D69" s="1355">
        <v>2202</v>
      </c>
      <c r="E69" s="1770">
        <v>280</v>
      </c>
    </row>
    <row r="70" spans="1:6">
      <c r="B70" s="1771" t="s">
        <v>272</v>
      </c>
      <c r="C70" s="1355">
        <v>778</v>
      </c>
      <c r="D70" s="1355">
        <v>727</v>
      </c>
      <c r="E70" s="1770">
        <v>218</v>
      </c>
    </row>
    <row r="71" spans="1:6">
      <c r="B71" s="1771" t="s">
        <v>273</v>
      </c>
      <c r="C71" s="1355">
        <v>1226</v>
      </c>
      <c r="D71" s="1355">
        <v>727</v>
      </c>
      <c r="E71" s="1770">
        <v>218</v>
      </c>
    </row>
    <row r="72" spans="1:6" ht="13.8" thickBot="1">
      <c r="B72" s="1772" t="s">
        <v>274</v>
      </c>
      <c r="C72" s="1773">
        <v>810</v>
      </c>
      <c r="D72" s="1773">
        <v>727</v>
      </c>
      <c r="E72" s="1774">
        <v>218</v>
      </c>
    </row>
    <row r="73" spans="1:6">
      <c r="B73" s="1852" t="s">
        <v>276</v>
      </c>
      <c r="C73" s="1853"/>
      <c r="D73" s="1853"/>
      <c r="E73" s="1854"/>
    </row>
    <row r="74" spans="1:6" ht="13.8" thickBot="1">
      <c r="B74" s="1775" t="s">
        <v>277</v>
      </c>
      <c r="C74" s="1776">
        <v>1.03</v>
      </c>
      <c r="D74" s="1777" t="s">
        <v>278</v>
      </c>
      <c r="E74" s="1778" t="s">
        <v>278</v>
      </c>
    </row>
    <row r="75" spans="1:6" ht="13.8" thickTop="1">
      <c r="B75" s="1343"/>
      <c r="C75" s="1351"/>
      <c r="D75" s="1086"/>
      <c r="E75" s="1086"/>
    </row>
    <row r="76" spans="1:6">
      <c r="B76" s="1350" t="s">
        <v>279</v>
      </c>
      <c r="C76" s="1351"/>
      <c r="D76" s="1086"/>
      <c r="E76" s="1086"/>
    </row>
    <row r="77" spans="1:6">
      <c r="B77" s="1350" t="s">
        <v>280</v>
      </c>
    </row>
    <row r="80" spans="1:6" ht="13.8" thickBot="1">
      <c r="A80" s="1342" t="s">
        <v>281</v>
      </c>
      <c r="B80" s="1357" t="s">
        <v>282</v>
      </c>
      <c r="C80" s="1764"/>
      <c r="E80" s="1049"/>
      <c r="F80" s="1014"/>
    </row>
    <row r="81" spans="2:6">
      <c r="B81" s="1352" t="s">
        <v>283</v>
      </c>
      <c r="C81" s="1779" t="s">
        <v>284</v>
      </c>
      <c r="D81" s="1779" t="s">
        <v>285</v>
      </c>
      <c r="E81" s="1779" t="s">
        <v>286</v>
      </c>
      <c r="F81" s="1780" t="s">
        <v>287</v>
      </c>
    </row>
    <row r="82" spans="2:6">
      <c r="B82" s="1354">
        <v>2023</v>
      </c>
      <c r="C82" s="1355">
        <v>19800</v>
      </c>
      <c r="D82" s="1355">
        <v>52900</v>
      </c>
      <c r="E82" s="1355">
        <v>951000</v>
      </c>
      <c r="F82" s="1356">
        <v>228.37600706009624</v>
      </c>
    </row>
    <row r="83" spans="2:6">
      <c r="B83" s="1354">
        <v>2024</v>
      </c>
      <c r="C83" s="1355">
        <v>20100</v>
      </c>
      <c r="D83" s="1355">
        <v>53800</v>
      </c>
      <c r="E83" s="1355">
        <v>963200</v>
      </c>
      <c r="F83" s="1356">
        <v>232.85396798284322</v>
      </c>
    </row>
    <row r="84" spans="2:6">
      <c r="B84" s="1354">
        <v>2025</v>
      </c>
      <c r="C84" s="1355">
        <v>20300</v>
      </c>
      <c r="D84" s="1355">
        <v>54800</v>
      </c>
      <c r="E84" s="1355">
        <v>975500</v>
      </c>
      <c r="F84" s="1356">
        <v>237.33192890559022</v>
      </c>
    </row>
    <row r="85" spans="2:6">
      <c r="B85" s="1354">
        <v>2026</v>
      </c>
      <c r="C85" s="1355">
        <v>20600</v>
      </c>
      <c r="D85" s="1355">
        <v>56100</v>
      </c>
      <c r="E85" s="1355">
        <v>993500</v>
      </c>
      <c r="F85" s="1356">
        <v>240.69039959765044</v>
      </c>
    </row>
    <row r="86" spans="2:6">
      <c r="B86" s="1354">
        <v>2027</v>
      </c>
      <c r="C86" s="1355">
        <v>21000</v>
      </c>
      <c r="D86" s="1355">
        <v>57400</v>
      </c>
      <c r="E86" s="1355">
        <v>1011900</v>
      </c>
      <c r="F86" s="1356">
        <v>245.16836052039741</v>
      </c>
    </row>
    <row r="87" spans="2:6">
      <c r="B87" s="1354">
        <v>2028</v>
      </c>
      <c r="C87" s="1355">
        <v>21300</v>
      </c>
      <c r="D87" s="1355">
        <v>58700</v>
      </c>
      <c r="E87" s="1355">
        <v>1030600</v>
      </c>
      <c r="F87" s="1356">
        <v>249.64632144314442</v>
      </c>
    </row>
    <row r="88" spans="2:6">
      <c r="B88" s="1354">
        <v>2029</v>
      </c>
      <c r="C88" s="1355">
        <v>21700</v>
      </c>
      <c r="D88" s="1355">
        <v>60100</v>
      </c>
      <c r="E88" s="1355">
        <v>1049600</v>
      </c>
      <c r="F88" s="1356">
        <v>253.00479213520464</v>
      </c>
    </row>
    <row r="89" spans="2:6">
      <c r="B89" s="1354">
        <v>2030</v>
      </c>
      <c r="C89" s="1355">
        <v>22000</v>
      </c>
      <c r="D89" s="1355">
        <v>61500</v>
      </c>
      <c r="E89" s="1355">
        <v>1069000</v>
      </c>
      <c r="F89" s="1356">
        <v>257.48275305795164</v>
      </c>
    </row>
    <row r="90" spans="2:6">
      <c r="B90" s="1354">
        <v>2031</v>
      </c>
      <c r="C90" s="1355">
        <v>22000</v>
      </c>
      <c r="D90" s="1355">
        <v>61500</v>
      </c>
      <c r="E90" s="1355">
        <v>1069000</v>
      </c>
      <c r="F90" s="1356">
        <v>261.96071398069864</v>
      </c>
    </row>
    <row r="91" spans="2:6">
      <c r="B91" s="1354">
        <v>2032</v>
      </c>
      <c r="C91" s="1355">
        <v>22000</v>
      </c>
      <c r="D91" s="1355">
        <v>61500</v>
      </c>
      <c r="E91" s="1355">
        <v>1069000</v>
      </c>
      <c r="F91" s="1356">
        <v>265.31918467275887</v>
      </c>
    </row>
    <row r="92" spans="2:6">
      <c r="B92" s="1354">
        <v>2033</v>
      </c>
      <c r="C92" s="1355">
        <v>22000</v>
      </c>
      <c r="D92" s="1355">
        <v>61500</v>
      </c>
      <c r="E92" s="1355">
        <v>1069000</v>
      </c>
      <c r="F92" s="1356">
        <v>269.79714559550587</v>
      </c>
    </row>
    <row r="93" spans="2:6">
      <c r="B93" s="1354">
        <v>2034</v>
      </c>
      <c r="C93" s="1355">
        <v>22000</v>
      </c>
      <c r="D93" s="1355">
        <v>61500</v>
      </c>
      <c r="E93" s="1355">
        <v>1069000</v>
      </c>
      <c r="F93" s="1356">
        <v>274.27510651825281</v>
      </c>
    </row>
    <row r="94" spans="2:6">
      <c r="B94" s="1354">
        <v>2035</v>
      </c>
      <c r="C94" s="1355">
        <v>22000</v>
      </c>
      <c r="D94" s="1355">
        <v>61500</v>
      </c>
      <c r="E94" s="1355">
        <v>1069000</v>
      </c>
      <c r="F94" s="1356">
        <v>277.63357721031309</v>
      </c>
    </row>
    <row r="95" spans="2:6">
      <c r="B95" s="1354">
        <v>2036</v>
      </c>
      <c r="C95" s="1355">
        <v>22000</v>
      </c>
      <c r="D95" s="1355">
        <v>61500</v>
      </c>
      <c r="E95" s="1355">
        <v>1069000</v>
      </c>
      <c r="F95" s="1356">
        <v>282.11153813306004</v>
      </c>
    </row>
    <row r="96" spans="2:6">
      <c r="B96" s="1354">
        <v>2037</v>
      </c>
      <c r="C96" s="1355">
        <v>22000</v>
      </c>
      <c r="D96" s="1355">
        <v>61500</v>
      </c>
      <c r="E96" s="1355">
        <v>1069000</v>
      </c>
      <c r="F96" s="1356">
        <v>286.58949905580704</v>
      </c>
    </row>
    <row r="97" spans="2:6">
      <c r="B97" s="1354">
        <v>2038</v>
      </c>
      <c r="C97" s="1355">
        <v>22000</v>
      </c>
      <c r="D97" s="1355">
        <v>61500</v>
      </c>
      <c r="E97" s="1355">
        <v>1069000</v>
      </c>
      <c r="F97" s="1356">
        <v>289.94796974786726</v>
      </c>
    </row>
    <row r="98" spans="2:6">
      <c r="B98" s="1354">
        <v>2039</v>
      </c>
      <c r="C98" s="1355">
        <v>22000</v>
      </c>
      <c r="D98" s="1355">
        <v>61500</v>
      </c>
      <c r="E98" s="1355">
        <v>1069000</v>
      </c>
      <c r="F98" s="1356">
        <v>294.42593067061426</v>
      </c>
    </row>
    <row r="99" spans="2:6">
      <c r="B99" s="1354">
        <v>2040</v>
      </c>
      <c r="C99" s="1355">
        <v>22000</v>
      </c>
      <c r="D99" s="1355">
        <v>61500</v>
      </c>
      <c r="E99" s="1355">
        <v>1069000</v>
      </c>
      <c r="F99" s="1356">
        <v>298.90389159336127</v>
      </c>
    </row>
    <row r="100" spans="2:6">
      <c r="B100" s="1354">
        <v>2041</v>
      </c>
      <c r="C100" s="1355">
        <v>22000</v>
      </c>
      <c r="D100" s="1355">
        <v>61500</v>
      </c>
      <c r="E100" s="1355">
        <v>1069000</v>
      </c>
      <c r="F100" s="1356">
        <v>303.38185251610821</v>
      </c>
    </row>
    <row r="101" spans="2:6">
      <c r="B101" s="1354">
        <v>2042</v>
      </c>
      <c r="C101" s="1355">
        <v>22000</v>
      </c>
      <c r="D101" s="1355">
        <v>61500</v>
      </c>
      <c r="E101" s="1355">
        <v>1069000</v>
      </c>
      <c r="F101" s="1356">
        <v>307.85981343885521</v>
      </c>
    </row>
    <row r="102" spans="2:6">
      <c r="B102" s="1354">
        <v>2043</v>
      </c>
      <c r="C102" s="1355">
        <v>22000</v>
      </c>
      <c r="D102" s="1355">
        <v>61500</v>
      </c>
      <c r="E102" s="1355">
        <v>1069000</v>
      </c>
      <c r="F102" s="1356">
        <v>312.33777436160221</v>
      </c>
    </row>
    <row r="103" spans="2:6">
      <c r="B103" s="1354">
        <v>2044</v>
      </c>
      <c r="C103" s="1355">
        <v>22000</v>
      </c>
      <c r="D103" s="1355">
        <v>61500</v>
      </c>
      <c r="E103" s="1355">
        <v>1069000</v>
      </c>
      <c r="F103" s="1356">
        <v>316.81573528434916</v>
      </c>
    </row>
    <row r="104" spans="2:6">
      <c r="B104" s="1354">
        <v>2045</v>
      </c>
      <c r="C104" s="1355">
        <v>22000</v>
      </c>
      <c r="D104" s="1355">
        <v>61500</v>
      </c>
      <c r="E104" s="1355">
        <v>1069000</v>
      </c>
      <c r="F104" s="1356">
        <v>321.29369620709616</v>
      </c>
    </row>
    <row r="105" spans="2:6">
      <c r="B105" s="1354">
        <v>2046</v>
      </c>
      <c r="C105" s="1355">
        <v>22000</v>
      </c>
      <c r="D105" s="1355">
        <v>61500</v>
      </c>
      <c r="E105" s="1355">
        <v>1069000</v>
      </c>
      <c r="F105" s="1356">
        <v>325.77165712984316</v>
      </c>
    </row>
    <row r="106" spans="2:6">
      <c r="B106" s="1354">
        <v>2047</v>
      </c>
      <c r="C106" s="1355">
        <v>22000</v>
      </c>
      <c r="D106" s="1355">
        <v>61500</v>
      </c>
      <c r="E106" s="1355">
        <v>1069000</v>
      </c>
      <c r="F106" s="1356">
        <v>331.36910828327689</v>
      </c>
    </row>
    <row r="107" spans="2:6">
      <c r="B107" s="1354">
        <v>2048</v>
      </c>
      <c r="C107" s="1355">
        <v>22000</v>
      </c>
      <c r="D107" s="1355">
        <v>61500</v>
      </c>
      <c r="E107" s="1355">
        <v>1069000</v>
      </c>
      <c r="F107" s="1356">
        <v>335.84706920602389</v>
      </c>
    </row>
    <row r="108" spans="2:6">
      <c r="B108" s="1354">
        <v>2049</v>
      </c>
      <c r="C108" s="1355">
        <v>22000</v>
      </c>
      <c r="D108" s="1355">
        <v>61500</v>
      </c>
      <c r="E108" s="1355">
        <v>1069000</v>
      </c>
      <c r="F108" s="1356">
        <v>340.32503012877083</v>
      </c>
    </row>
    <row r="109" spans="2:6">
      <c r="B109" s="1354">
        <v>2050</v>
      </c>
      <c r="C109" s="1355">
        <v>22000</v>
      </c>
      <c r="D109" s="1355">
        <v>61500</v>
      </c>
      <c r="E109" s="1355">
        <v>1069000</v>
      </c>
      <c r="F109" s="1356">
        <v>344.80299105151784</v>
      </c>
    </row>
    <row r="110" spans="2:6">
      <c r="B110" s="1354">
        <v>2051</v>
      </c>
      <c r="C110" s="1355">
        <v>22000</v>
      </c>
      <c r="D110" s="1355">
        <v>61500</v>
      </c>
      <c r="E110" s="1355">
        <v>1069000</v>
      </c>
      <c r="F110" s="1356">
        <v>349.28095197426484</v>
      </c>
    </row>
    <row r="111" spans="2:6">
      <c r="B111" s="1354">
        <v>2052</v>
      </c>
      <c r="C111" s="1355">
        <v>22000</v>
      </c>
      <c r="D111" s="1355">
        <v>61500</v>
      </c>
      <c r="E111" s="1355">
        <v>1069000</v>
      </c>
      <c r="F111" s="1356">
        <v>352.63942266632506</v>
      </c>
    </row>
    <row r="112" spans="2:6" ht="13.8" thickBot="1">
      <c r="B112" s="1781">
        <v>2053</v>
      </c>
      <c r="C112" s="1773">
        <v>22000</v>
      </c>
      <c r="D112" s="1773">
        <v>61500</v>
      </c>
      <c r="E112" s="1773">
        <v>1069000</v>
      </c>
      <c r="F112" s="1782">
        <v>357.11738358907206</v>
      </c>
    </row>
    <row r="113" spans="1:6">
      <c r="B113" s="1783"/>
      <c r="C113" s="1355"/>
      <c r="D113" s="1355"/>
      <c r="E113" s="1355"/>
      <c r="F113" s="1355"/>
    </row>
    <row r="114" spans="1:6">
      <c r="B114" s="1784" t="s">
        <v>288</v>
      </c>
      <c r="C114" s="1785"/>
      <c r="D114" s="1785"/>
      <c r="E114" s="1785"/>
      <c r="F114" s="1785"/>
    </row>
    <row r="115" spans="1:6">
      <c r="B115" s="1350" t="s">
        <v>289</v>
      </c>
      <c r="C115" s="1415"/>
      <c r="D115" s="1415"/>
      <c r="E115" s="1415"/>
      <c r="F115" s="1415"/>
    </row>
    <row r="116" spans="1:6">
      <c r="B116" s="1350"/>
      <c r="C116" s="1415"/>
      <c r="D116" s="1415"/>
      <c r="E116" s="1415"/>
      <c r="F116" s="1415"/>
    </row>
    <row r="118" spans="1:6" ht="13.8" thickBot="1">
      <c r="A118" s="1342" t="s">
        <v>290</v>
      </c>
      <c r="B118" s="1357" t="s">
        <v>291</v>
      </c>
    </row>
    <row r="119" spans="1:6">
      <c r="B119" s="1352" t="s">
        <v>209</v>
      </c>
      <c r="C119" s="1353" t="s">
        <v>292</v>
      </c>
    </row>
    <row r="120" spans="1:6">
      <c r="B120" s="1786">
        <v>2003</v>
      </c>
      <c r="C120" s="1787">
        <v>1.53</v>
      </c>
    </row>
    <row r="121" spans="1:6">
      <c r="B121" s="1786">
        <v>2004</v>
      </c>
      <c r="C121" s="1787">
        <v>1.49</v>
      </c>
    </row>
    <row r="122" spans="1:6">
      <c r="B122" s="1786">
        <v>2005</v>
      </c>
      <c r="C122" s="1787">
        <v>1.45</v>
      </c>
    </row>
    <row r="123" spans="1:6">
      <c r="B123" s="1786">
        <v>2006</v>
      </c>
      <c r="C123" s="1787">
        <v>1.4</v>
      </c>
    </row>
    <row r="124" spans="1:6">
      <c r="B124" s="1786">
        <v>2007</v>
      </c>
      <c r="C124" s="1787">
        <v>1.37</v>
      </c>
    </row>
    <row r="125" spans="1:6">
      <c r="B125" s="1786">
        <v>2008</v>
      </c>
      <c r="C125" s="1787">
        <v>1.34</v>
      </c>
    </row>
    <row r="126" spans="1:6">
      <c r="B126" s="1786">
        <v>2009</v>
      </c>
      <c r="C126" s="1787">
        <v>1.33</v>
      </c>
    </row>
    <row r="127" spans="1:6">
      <c r="B127" s="1786">
        <v>2010</v>
      </c>
      <c r="C127" s="1787">
        <v>1.32</v>
      </c>
    </row>
    <row r="128" spans="1:6">
      <c r="B128" s="1786">
        <v>2011</v>
      </c>
      <c r="C128" s="1787">
        <v>1.29</v>
      </c>
    </row>
    <row r="129" spans="1:5">
      <c r="B129" s="1786">
        <v>2012</v>
      </c>
      <c r="C129" s="1787">
        <v>1.27</v>
      </c>
    </row>
    <row r="130" spans="1:5">
      <c r="B130" s="1786">
        <v>2013</v>
      </c>
      <c r="C130" s="1787">
        <v>1.24</v>
      </c>
    </row>
    <row r="131" spans="1:5">
      <c r="B131" s="1786">
        <v>2014</v>
      </c>
      <c r="C131" s="1787">
        <v>1.22</v>
      </c>
    </row>
    <row r="132" spans="1:5">
      <c r="B132" s="1786">
        <v>2015</v>
      </c>
      <c r="C132" s="1787">
        <v>1.21</v>
      </c>
    </row>
    <row r="133" spans="1:5">
      <c r="B133" s="1786">
        <v>2016</v>
      </c>
      <c r="C133" s="1787">
        <v>1.2</v>
      </c>
    </row>
    <row r="134" spans="1:5">
      <c r="B134" s="1786">
        <v>2017</v>
      </c>
      <c r="C134" s="1787">
        <v>1.18</v>
      </c>
    </row>
    <row r="135" spans="1:5">
      <c r="B135" s="1786">
        <v>2018</v>
      </c>
      <c r="C135" s="1787">
        <v>1.1499999999999999</v>
      </c>
    </row>
    <row r="136" spans="1:5">
      <c r="B136" s="1786">
        <v>2019</v>
      </c>
      <c r="C136" s="1787">
        <v>1.1299999999999999</v>
      </c>
    </row>
    <row r="137" spans="1:5">
      <c r="B137" s="1786">
        <v>2020</v>
      </c>
      <c r="C137" s="1787">
        <v>1.1200000000000001</v>
      </c>
    </row>
    <row r="138" spans="1:5">
      <c r="B138" s="1786">
        <v>2021</v>
      </c>
      <c r="C138" s="1787">
        <v>1.07</v>
      </c>
    </row>
    <row r="139" spans="1:5" ht="13.8" thickBot="1">
      <c r="B139" s="1788">
        <v>2022</v>
      </c>
      <c r="C139" s="1789">
        <v>1</v>
      </c>
    </row>
    <row r="142" spans="1:5" ht="13.8" thickBot="1">
      <c r="A142" s="1342" t="s">
        <v>293</v>
      </c>
      <c r="B142" s="1357" t="s">
        <v>294</v>
      </c>
      <c r="E142" s="1049"/>
    </row>
    <row r="143" spans="1:5" ht="16.8">
      <c r="B143" s="1352" t="s">
        <v>295</v>
      </c>
      <c r="C143" s="1387" t="s">
        <v>296</v>
      </c>
      <c r="D143" s="1353" t="s">
        <v>297</v>
      </c>
    </row>
    <row r="144" spans="1:5" ht="16.8">
      <c r="B144" s="1362" t="s">
        <v>298</v>
      </c>
      <c r="C144" s="1351">
        <v>0.11</v>
      </c>
      <c r="D144" s="1790">
        <v>31</v>
      </c>
      <c r="E144" s="1049"/>
    </row>
    <row r="145" spans="1:5">
      <c r="B145" s="1362" t="s">
        <v>299</v>
      </c>
      <c r="C145" s="1351">
        <v>1.1100000000000001</v>
      </c>
      <c r="D145" s="1790"/>
      <c r="E145" s="1049"/>
    </row>
    <row r="146" spans="1:5">
      <c r="B146" s="1362" t="s">
        <v>300</v>
      </c>
      <c r="C146" s="1351">
        <v>0.09</v>
      </c>
      <c r="D146" s="1790"/>
      <c r="E146" s="1049"/>
    </row>
    <row r="147" spans="1:5">
      <c r="B147" s="1362" t="s">
        <v>301</v>
      </c>
      <c r="C147" s="1791">
        <v>1E-3</v>
      </c>
      <c r="D147" s="1790"/>
      <c r="E147" s="1049"/>
    </row>
    <row r="148" spans="1:5">
      <c r="B148" s="1362"/>
      <c r="C148" s="1351"/>
      <c r="D148" s="1790"/>
    </row>
    <row r="149" spans="1:5" ht="16.8">
      <c r="B149" s="1792" t="s">
        <v>295</v>
      </c>
      <c r="C149" s="1793" t="s">
        <v>302</v>
      </c>
      <c r="D149" s="1790"/>
    </row>
    <row r="150" spans="1:5">
      <c r="B150" s="1362" t="s">
        <v>303</v>
      </c>
      <c r="C150" s="1351">
        <v>0.19</v>
      </c>
      <c r="D150" s="1790"/>
    </row>
    <row r="151" spans="1:5" ht="13.8" thickBot="1">
      <c r="B151" s="1366" t="s">
        <v>304</v>
      </c>
      <c r="C151" s="1794">
        <v>0.51</v>
      </c>
      <c r="D151" s="1795"/>
    </row>
    <row r="152" spans="1:5">
      <c r="B152" s="1343"/>
      <c r="C152" s="1351"/>
    </row>
    <row r="153" spans="1:5">
      <c r="B153" s="1350" t="s">
        <v>305</v>
      </c>
      <c r="C153" s="1763"/>
    </row>
    <row r="154" spans="1:5">
      <c r="B154" s="1350" t="s">
        <v>306</v>
      </c>
      <c r="C154" s="1763"/>
    </row>
    <row r="155" spans="1:5">
      <c r="C155" s="1351"/>
    </row>
    <row r="156" spans="1:5">
      <c r="C156" s="1351"/>
    </row>
    <row r="157" spans="1:5" ht="13.8" thickBot="1">
      <c r="A157" s="1342" t="s">
        <v>307</v>
      </c>
      <c r="B157" s="1357" t="s">
        <v>308</v>
      </c>
      <c r="C157" s="1351"/>
      <c r="E157" s="1049"/>
    </row>
    <row r="158" spans="1:5" ht="16.8">
      <c r="B158" s="1796" t="s">
        <v>309</v>
      </c>
      <c r="C158" s="1388" t="s">
        <v>310</v>
      </c>
    </row>
    <row r="159" spans="1:5">
      <c r="B159" s="1346" t="s">
        <v>311</v>
      </c>
      <c r="C159" s="1761">
        <v>1.57</v>
      </c>
    </row>
    <row r="160" spans="1:5" ht="15.6">
      <c r="B160" s="1346" t="s">
        <v>312</v>
      </c>
      <c r="C160" s="1761">
        <v>1.97</v>
      </c>
      <c r="E160" s="1049"/>
    </row>
    <row r="161" spans="1:5">
      <c r="B161" s="1346" t="s">
        <v>313</v>
      </c>
      <c r="C161" s="1761">
        <v>1.86</v>
      </c>
    </row>
    <row r="162" spans="1:5">
      <c r="B162" s="1346" t="s">
        <v>314</v>
      </c>
      <c r="C162" s="1761">
        <v>0.28999999999999998</v>
      </c>
    </row>
    <row r="163" spans="1:5" ht="13.8" thickBot="1">
      <c r="B163" s="1757" t="s">
        <v>315</v>
      </c>
      <c r="C163" s="1762">
        <v>1.86</v>
      </c>
    </row>
    <row r="164" spans="1:5">
      <c r="B164" s="1797"/>
      <c r="C164" s="1351"/>
    </row>
    <row r="165" spans="1:5">
      <c r="B165" s="1397" t="s">
        <v>316</v>
      </c>
      <c r="C165" s="1351"/>
    </row>
    <row r="166" spans="1:5">
      <c r="B166" s="1350" t="s">
        <v>317</v>
      </c>
      <c r="C166" s="1351"/>
    </row>
    <row r="167" spans="1:5">
      <c r="C167" s="1351"/>
    </row>
    <row r="168" spans="1:5">
      <c r="C168" s="1351"/>
    </row>
    <row r="169" spans="1:5" ht="13.8" thickBot="1">
      <c r="A169" s="1342" t="s">
        <v>318</v>
      </c>
      <c r="B169" s="1357" t="s">
        <v>319</v>
      </c>
      <c r="C169" s="1798"/>
    </row>
    <row r="170" spans="1:5" s="1342" customFormat="1">
      <c r="B170" s="1796" t="s">
        <v>320</v>
      </c>
      <c r="C170" s="1799" t="s">
        <v>321</v>
      </c>
      <c r="D170" s="1800"/>
      <c r="E170" s="1353"/>
    </row>
    <row r="171" spans="1:5" s="1342" customFormat="1">
      <c r="B171" s="1801"/>
      <c r="C171" s="1802" t="s">
        <v>322</v>
      </c>
      <c r="D171" s="1342" t="s">
        <v>323</v>
      </c>
      <c r="E171" s="1803" t="s">
        <v>324</v>
      </c>
    </row>
    <row r="172" spans="1:5">
      <c r="B172" s="1376" t="s">
        <v>325</v>
      </c>
      <c r="C172" s="1351">
        <v>0.03</v>
      </c>
      <c r="D172" s="1351">
        <v>0.03</v>
      </c>
      <c r="E172" s="1761">
        <v>7.0000000000000007E-2</v>
      </c>
    </row>
    <row r="173" spans="1:5">
      <c r="B173" s="1376" t="s">
        <v>326</v>
      </c>
      <c r="C173" s="1351">
        <v>0.32</v>
      </c>
      <c r="D173" s="1351">
        <v>0.16</v>
      </c>
      <c r="E173" s="1761">
        <v>0.9</v>
      </c>
    </row>
    <row r="174" spans="1:5">
      <c r="B174" s="1376" t="s">
        <v>327</v>
      </c>
      <c r="C174" s="1351">
        <v>0.25</v>
      </c>
      <c r="D174" s="1351">
        <v>0.25</v>
      </c>
      <c r="E174" s="1761">
        <v>0.11</v>
      </c>
    </row>
    <row r="175" spans="1:5">
      <c r="B175" s="1376" t="s">
        <v>328</v>
      </c>
      <c r="C175" s="1351">
        <v>0.32</v>
      </c>
      <c r="D175" s="1351">
        <v>0.05</v>
      </c>
      <c r="E175" s="1761">
        <v>0.1</v>
      </c>
    </row>
    <row r="176" spans="1:5" ht="15.6">
      <c r="B176" s="1376" t="s">
        <v>329</v>
      </c>
      <c r="C176" s="1351">
        <v>0.2</v>
      </c>
      <c r="D176" s="1351">
        <v>0.14000000000000001</v>
      </c>
      <c r="E176" s="1761">
        <v>0.13</v>
      </c>
    </row>
    <row r="177" spans="2:5" ht="15.6">
      <c r="B177" s="1376" t="s">
        <v>330</v>
      </c>
      <c r="C177" s="1351">
        <v>0.26</v>
      </c>
      <c r="D177" s="1351">
        <v>0.17</v>
      </c>
      <c r="E177" s="1761">
        <v>0.13</v>
      </c>
    </row>
    <row r="178" spans="2:5">
      <c r="B178" s="1376" t="s">
        <v>331</v>
      </c>
      <c r="C178" s="1351">
        <v>0.15</v>
      </c>
      <c r="D178" s="1351">
        <v>0.15</v>
      </c>
      <c r="E178" s="1761">
        <v>0.11</v>
      </c>
    </row>
    <row r="179" spans="2:5">
      <c r="B179" s="1376" t="s">
        <v>332</v>
      </c>
      <c r="C179" s="1351">
        <v>0.11</v>
      </c>
      <c r="D179" s="1351">
        <v>0.11</v>
      </c>
      <c r="E179" s="1761">
        <v>0.06</v>
      </c>
    </row>
    <row r="180" spans="2:5">
      <c r="B180" s="1376" t="s">
        <v>333</v>
      </c>
      <c r="C180" s="1351">
        <v>0.08</v>
      </c>
      <c r="D180" s="1351">
        <v>0.03</v>
      </c>
      <c r="E180" s="1761">
        <v>0.19</v>
      </c>
    </row>
    <row r="181" spans="2:5">
      <c r="B181" s="1376" t="s">
        <v>334</v>
      </c>
      <c r="C181" s="1351">
        <v>0.33</v>
      </c>
      <c r="D181" s="1351">
        <v>0.33</v>
      </c>
      <c r="E181" s="1761">
        <v>0.21</v>
      </c>
    </row>
    <row r="182" spans="2:5">
      <c r="B182" s="1376" t="s">
        <v>335</v>
      </c>
      <c r="C182" s="1351">
        <v>0.43</v>
      </c>
      <c r="D182" s="1351">
        <v>0.08</v>
      </c>
      <c r="E182" s="1761">
        <v>7.0000000000000007E-2</v>
      </c>
    </row>
    <row r="183" spans="2:5">
      <c r="B183" s="1376" t="s">
        <v>336</v>
      </c>
      <c r="C183" s="1351">
        <v>0.32</v>
      </c>
      <c r="D183" s="1351">
        <v>0.32</v>
      </c>
      <c r="E183" s="1761">
        <v>0.33</v>
      </c>
    </row>
    <row r="184" spans="2:5" ht="15.6">
      <c r="B184" s="1376" t="s">
        <v>337</v>
      </c>
      <c r="C184" s="1351">
        <v>0.65</v>
      </c>
      <c r="D184" s="1351">
        <v>0.65</v>
      </c>
      <c r="E184" s="1761">
        <v>0.65</v>
      </c>
    </row>
    <row r="185" spans="2:5">
      <c r="B185" s="1376" t="s">
        <v>338</v>
      </c>
      <c r="C185" s="1351">
        <v>0.11</v>
      </c>
      <c r="D185" s="1351">
        <v>0.11</v>
      </c>
      <c r="E185" s="1761">
        <v>7.0000000000000007E-2</v>
      </c>
    </row>
    <row r="186" spans="2:5">
      <c r="B186" s="1376" t="s">
        <v>339</v>
      </c>
      <c r="C186" s="1351">
        <v>0.24</v>
      </c>
      <c r="D186" s="1351">
        <v>0.1</v>
      </c>
      <c r="E186" s="1761">
        <v>0.5</v>
      </c>
    </row>
    <row r="187" spans="2:5">
      <c r="B187" s="1376" t="s">
        <v>340</v>
      </c>
      <c r="C187" s="1351" t="s">
        <v>278</v>
      </c>
      <c r="D187" s="1351" t="s">
        <v>278</v>
      </c>
      <c r="E187" s="1761">
        <v>0.1</v>
      </c>
    </row>
    <row r="188" spans="2:5">
      <c r="B188" s="1376" t="s">
        <v>341</v>
      </c>
      <c r="C188" s="1351" t="s">
        <v>278</v>
      </c>
      <c r="D188" s="1351" t="s">
        <v>278</v>
      </c>
      <c r="E188" s="1761">
        <v>0.12</v>
      </c>
    </row>
    <row r="189" spans="2:5">
      <c r="B189" s="1376" t="s">
        <v>342</v>
      </c>
      <c r="C189" s="1351" t="s">
        <v>278</v>
      </c>
      <c r="D189" s="1351" t="s">
        <v>278</v>
      </c>
      <c r="E189" s="1761">
        <v>7.0000000000000007E-2</v>
      </c>
    </row>
    <row r="190" spans="2:5">
      <c r="B190" s="1376" t="s">
        <v>343</v>
      </c>
      <c r="C190" s="1351" t="s">
        <v>278</v>
      </c>
      <c r="D190" s="1351" t="s">
        <v>278</v>
      </c>
      <c r="E190" s="1761">
        <v>0.04</v>
      </c>
    </row>
    <row r="191" spans="2:5">
      <c r="B191" s="1376" t="s">
        <v>344</v>
      </c>
      <c r="C191" s="1351" t="s">
        <v>278</v>
      </c>
      <c r="D191" s="1351" t="s">
        <v>278</v>
      </c>
      <c r="E191" s="1761">
        <v>0.1</v>
      </c>
    </row>
    <row r="192" spans="2:5">
      <c r="B192" s="1376" t="s">
        <v>345</v>
      </c>
      <c r="C192" s="1351" t="s">
        <v>278</v>
      </c>
      <c r="D192" s="1351" t="s">
        <v>278</v>
      </c>
      <c r="E192" s="1761">
        <v>0.05</v>
      </c>
    </row>
    <row r="193" spans="1:5" ht="16.2" thickBot="1">
      <c r="B193" s="1380" t="s">
        <v>346</v>
      </c>
      <c r="C193" s="1794" t="s">
        <v>278</v>
      </c>
      <c r="D193" s="1794" t="s">
        <v>278</v>
      </c>
      <c r="E193" s="1762">
        <v>0.21</v>
      </c>
    </row>
    <row r="194" spans="1:5" s="1804" customFormat="1">
      <c r="B194" s="1348"/>
    </row>
    <row r="195" spans="1:5" s="1805" customFormat="1">
      <c r="B195" s="1806" t="s">
        <v>347</v>
      </c>
    </row>
    <row r="196" spans="1:5" s="1805" customFormat="1">
      <c r="B196" s="1806"/>
    </row>
    <row r="198" spans="1:5" s="1342" customFormat="1" ht="13.8" thickBot="1">
      <c r="A198" s="1342" t="s">
        <v>348</v>
      </c>
      <c r="B198" s="1357" t="s">
        <v>349</v>
      </c>
    </row>
    <row r="199" spans="1:5">
      <c r="B199" s="1358" t="s">
        <v>350</v>
      </c>
      <c r="C199" s="1848" t="s">
        <v>321</v>
      </c>
      <c r="D199" s="1848"/>
      <c r="E199" s="1849"/>
    </row>
    <row r="200" spans="1:5">
      <c r="B200" s="1359"/>
      <c r="C200" s="1360" t="s">
        <v>351</v>
      </c>
      <c r="D200" s="1360" t="s">
        <v>352</v>
      </c>
      <c r="E200" s="1361" t="s">
        <v>353</v>
      </c>
    </row>
    <row r="201" spans="1:5">
      <c r="B201" s="1362" t="s">
        <v>326</v>
      </c>
      <c r="C201" s="1363">
        <v>0.23</v>
      </c>
      <c r="D201" s="1363">
        <v>0.23</v>
      </c>
      <c r="E201" s="1364">
        <v>0.23</v>
      </c>
    </row>
    <row r="202" spans="1:5">
      <c r="B202" s="1362" t="s">
        <v>354</v>
      </c>
      <c r="C202" s="1363">
        <v>0.13</v>
      </c>
      <c r="D202" s="1363">
        <v>0.13</v>
      </c>
      <c r="E202" s="1364">
        <v>0.32</v>
      </c>
    </row>
    <row r="203" spans="1:5">
      <c r="B203" s="1362" t="s">
        <v>355</v>
      </c>
      <c r="C203" s="1363">
        <v>0.09</v>
      </c>
      <c r="D203" s="1363">
        <v>0.09</v>
      </c>
      <c r="E203" s="1364">
        <v>0.09</v>
      </c>
    </row>
    <row r="204" spans="1:5">
      <c r="B204" s="1362" t="s">
        <v>328</v>
      </c>
      <c r="C204" s="1363">
        <v>0.4</v>
      </c>
      <c r="D204" s="1363">
        <v>0.4</v>
      </c>
      <c r="E204" s="1364">
        <v>0.41</v>
      </c>
    </row>
    <row r="205" spans="1:5">
      <c r="B205" s="1362" t="s">
        <v>336</v>
      </c>
      <c r="C205" s="1363">
        <v>0.23</v>
      </c>
      <c r="D205" s="1363">
        <v>0.23</v>
      </c>
      <c r="E205" s="1364">
        <v>0.65</v>
      </c>
    </row>
    <row r="206" spans="1:5">
      <c r="B206" s="1362" t="s">
        <v>356</v>
      </c>
      <c r="C206" s="1363">
        <v>0.33</v>
      </c>
      <c r="D206" s="1363">
        <v>0.13</v>
      </c>
      <c r="E206" s="1364">
        <v>0.49</v>
      </c>
    </row>
    <row r="207" spans="1:5">
      <c r="B207" s="1362" t="s">
        <v>357</v>
      </c>
      <c r="C207" s="1363">
        <v>0.05</v>
      </c>
      <c r="D207" s="1363">
        <v>0.05</v>
      </c>
      <c r="E207" s="1364">
        <v>0.05</v>
      </c>
    </row>
    <row r="208" spans="1:5">
      <c r="B208" s="1362" t="s">
        <v>358</v>
      </c>
      <c r="C208" s="1365" t="s">
        <v>278</v>
      </c>
      <c r="D208" s="1365" t="s">
        <v>278</v>
      </c>
      <c r="E208" s="1364">
        <v>0.03</v>
      </c>
    </row>
    <row r="209" spans="1:5" ht="13.8" thickBot="1">
      <c r="B209" s="1366" t="s">
        <v>331</v>
      </c>
      <c r="C209" s="1367" t="s">
        <v>278</v>
      </c>
      <c r="D209" s="1367" t="s">
        <v>278</v>
      </c>
      <c r="E209" s="1368">
        <v>0.2</v>
      </c>
    </row>
    <row r="211" spans="1:5" ht="15.6">
      <c r="B211" s="1369"/>
      <c r="C211" s="1370"/>
    </row>
    <row r="212" spans="1:5" ht="13.8" thickBot="1">
      <c r="A212" s="1342" t="s">
        <v>359</v>
      </c>
      <c r="B212" s="1357" t="s">
        <v>360</v>
      </c>
    </row>
    <row r="213" spans="1:5">
      <c r="B213" s="1352" t="s">
        <v>361</v>
      </c>
      <c r="C213" s="1371" t="s">
        <v>362</v>
      </c>
      <c r="D213" s="1372" t="s">
        <v>363</v>
      </c>
    </row>
    <row r="214" spans="1:5">
      <c r="B214" s="1373" t="s">
        <v>364</v>
      </c>
      <c r="C214" s="1374">
        <v>0</v>
      </c>
      <c r="D214" s="1375">
        <v>0</v>
      </c>
      <c r="E214" s="1348" t="s">
        <v>365</v>
      </c>
    </row>
    <row r="215" spans="1:5" ht="15.6">
      <c r="B215" s="1376" t="s">
        <v>366</v>
      </c>
      <c r="C215" s="1377">
        <v>0.33</v>
      </c>
      <c r="D215" s="1378">
        <v>0.39</v>
      </c>
      <c r="E215" s="1379"/>
    </row>
    <row r="216" spans="1:5" ht="15.6">
      <c r="B216" s="1376" t="s">
        <v>367</v>
      </c>
      <c r="C216" s="1377">
        <v>0.65</v>
      </c>
      <c r="D216" s="1378">
        <v>0.78</v>
      </c>
      <c r="E216" s="1379"/>
    </row>
    <row r="217" spans="1:5" ht="15.6">
      <c r="B217" s="1376" t="s">
        <v>368</v>
      </c>
      <c r="C217" s="1377">
        <v>1.63</v>
      </c>
      <c r="D217" s="1378">
        <v>1.57</v>
      </c>
      <c r="E217" s="1379"/>
    </row>
    <row r="218" spans="1:5">
      <c r="B218" s="1376" t="s">
        <v>369</v>
      </c>
      <c r="C218" s="1377">
        <v>1.96</v>
      </c>
      <c r="D218" s="1378">
        <v>1.96</v>
      </c>
    </row>
    <row r="219" spans="1:5">
      <c r="B219" s="1376" t="s">
        <v>370</v>
      </c>
      <c r="C219" s="1377">
        <v>3.27</v>
      </c>
      <c r="D219" s="1378">
        <v>3.53</v>
      </c>
    </row>
    <row r="220" spans="1:5">
      <c r="B220" s="1376" t="s">
        <v>371</v>
      </c>
      <c r="C220" s="1377">
        <v>3.59</v>
      </c>
      <c r="D220" s="1378">
        <v>3.92</v>
      </c>
    </row>
    <row r="221" spans="1:5">
      <c r="B221" s="1376" t="s">
        <v>372</v>
      </c>
      <c r="C221" s="1377">
        <v>5.23</v>
      </c>
      <c r="D221" s="1378">
        <v>3.92</v>
      </c>
    </row>
    <row r="222" spans="1:5" ht="16.2" thickBot="1">
      <c r="B222" s="1380" t="s">
        <v>373</v>
      </c>
      <c r="C222" s="1381">
        <v>3.59</v>
      </c>
      <c r="D222" s="1382">
        <v>3.92</v>
      </c>
    </row>
    <row r="223" spans="1:5">
      <c r="B223" s="1383"/>
      <c r="C223" s="1377"/>
      <c r="D223" s="1377"/>
    </row>
    <row r="224" spans="1:5">
      <c r="B224" s="1384" t="s">
        <v>374</v>
      </c>
      <c r="C224" s="1384"/>
      <c r="D224" s="1384"/>
    </row>
    <row r="225" spans="1:7">
      <c r="B225" s="1384" t="s">
        <v>375</v>
      </c>
      <c r="C225" s="1384"/>
      <c r="D225" s="1384"/>
    </row>
    <row r="226" spans="1:7">
      <c r="B226" s="1384" t="s">
        <v>376</v>
      </c>
      <c r="C226" s="1384"/>
      <c r="D226" s="1384"/>
    </row>
    <row r="229" spans="1:7" ht="13.8" thickBot="1">
      <c r="A229" s="1342" t="s">
        <v>377</v>
      </c>
      <c r="B229" s="1357" t="s">
        <v>378</v>
      </c>
    </row>
    <row r="230" spans="1:7" s="1342" customFormat="1" ht="15.6">
      <c r="B230" s="1385" t="s">
        <v>379</v>
      </c>
      <c r="C230" s="1386" t="s">
        <v>380</v>
      </c>
      <c r="D230" s="1386" t="s">
        <v>381</v>
      </c>
      <c r="E230" s="1387" t="s">
        <v>382</v>
      </c>
      <c r="F230" s="1387" t="s">
        <v>383</v>
      </c>
      <c r="G230" s="1388" t="s">
        <v>384</v>
      </c>
    </row>
    <row r="231" spans="1:7" ht="15.6">
      <c r="B231" s="1376" t="s">
        <v>385</v>
      </c>
      <c r="C231" s="1389" t="s">
        <v>386</v>
      </c>
      <c r="D231" s="1377">
        <v>7.63</v>
      </c>
      <c r="E231" s="1390">
        <v>0.86</v>
      </c>
      <c r="F231" s="1391">
        <v>0.68</v>
      </c>
      <c r="G231" s="1392">
        <v>0.89</v>
      </c>
    </row>
    <row r="232" spans="1:7" ht="16.2" thickBot="1">
      <c r="B232" s="1380" t="s">
        <v>387</v>
      </c>
      <c r="C232" s="1393" t="s">
        <v>388</v>
      </c>
      <c r="D232" s="1381">
        <v>6.8</v>
      </c>
      <c r="E232" s="1394">
        <v>2.38</v>
      </c>
      <c r="F232" s="1395">
        <v>0.59</v>
      </c>
      <c r="G232" s="1396">
        <v>0.89</v>
      </c>
    </row>
    <row r="233" spans="1:7">
      <c r="B233" s="1383"/>
      <c r="C233" s="1389"/>
      <c r="D233" s="1377"/>
      <c r="E233" s="1390"/>
      <c r="F233" s="1391"/>
      <c r="G233" s="1391"/>
    </row>
    <row r="234" spans="1:7">
      <c r="B234" s="1397" t="s">
        <v>389</v>
      </c>
      <c r="C234" s="1389"/>
      <c r="D234" s="1377"/>
      <c r="E234" s="1390"/>
      <c r="F234" s="1391"/>
      <c r="G234" s="1391"/>
    </row>
    <row r="235" spans="1:7">
      <c r="B235" s="1397" t="s">
        <v>390</v>
      </c>
      <c r="C235" s="1389"/>
      <c r="D235" s="1377"/>
      <c r="E235" s="1390"/>
      <c r="F235" s="1391"/>
      <c r="G235" s="1391"/>
    </row>
    <row r="236" spans="1:7">
      <c r="B236" s="1397" t="s">
        <v>391</v>
      </c>
      <c r="C236" s="1389"/>
      <c r="D236" s="1377"/>
      <c r="E236" s="1390"/>
      <c r="F236" s="1391"/>
      <c r="G236" s="1391"/>
    </row>
    <row r="237" spans="1:7">
      <c r="B237" s="1350" t="s">
        <v>392</v>
      </c>
    </row>
    <row r="240" spans="1:7" ht="13.8" thickBot="1">
      <c r="A240" s="1342" t="s">
        <v>393</v>
      </c>
      <c r="B240" s="1357" t="s">
        <v>394</v>
      </c>
    </row>
    <row r="241" spans="2:7" s="1342" customFormat="1">
      <c r="B241" s="1398" t="s">
        <v>395</v>
      </c>
      <c r="C241" s="1845" t="s">
        <v>396</v>
      </c>
      <c r="D241" s="1846"/>
      <c r="E241" s="1846"/>
      <c r="F241" s="1846"/>
      <c r="G241" s="1847"/>
    </row>
    <row r="242" spans="2:7" s="1342" customFormat="1" ht="18">
      <c r="B242" s="1399"/>
      <c r="C242" s="1400" t="s">
        <v>397</v>
      </c>
      <c r="D242" s="1360" t="s">
        <v>398</v>
      </c>
      <c r="E242" s="1360" t="s">
        <v>399</v>
      </c>
      <c r="F242" s="1401" t="s">
        <v>400</v>
      </c>
      <c r="G242" s="1402" t="s">
        <v>401</v>
      </c>
    </row>
    <row r="243" spans="2:7">
      <c r="B243" s="1403" t="s">
        <v>402</v>
      </c>
      <c r="C243" s="1404">
        <v>0.13800000000000001</v>
      </c>
      <c r="D243" s="1405">
        <v>1.9E-3</v>
      </c>
      <c r="E243" s="1406">
        <v>1.7000000000000001E-2</v>
      </c>
      <c r="F243" s="1407" t="s">
        <v>278</v>
      </c>
      <c r="G243" s="1408" t="s">
        <v>278</v>
      </c>
    </row>
    <row r="244" spans="2:7">
      <c r="B244" s="1403" t="s">
        <v>403</v>
      </c>
      <c r="C244" s="1404">
        <v>2.9000000000000001E-2</v>
      </c>
      <c r="D244" s="1405">
        <v>2.0000000000000001E-4</v>
      </c>
      <c r="E244" s="1406">
        <v>9.6000000000000002E-2</v>
      </c>
      <c r="F244" s="1407" t="s">
        <v>278</v>
      </c>
      <c r="G244" s="1408" t="s">
        <v>278</v>
      </c>
    </row>
    <row r="245" spans="2:7">
      <c r="B245" s="1403" t="s">
        <v>404</v>
      </c>
      <c r="C245" s="1404">
        <v>0.11600000000000001</v>
      </c>
      <c r="D245" s="1405">
        <v>1.1000000000000001E-3</v>
      </c>
      <c r="E245" s="1406">
        <v>0.04</v>
      </c>
      <c r="F245" s="1406">
        <v>1.2E-2</v>
      </c>
      <c r="G245" s="1408">
        <v>0.107</v>
      </c>
    </row>
    <row r="246" spans="2:7">
      <c r="B246" s="1403" t="s">
        <v>405</v>
      </c>
      <c r="C246" s="1404">
        <v>0.34499999999999997</v>
      </c>
      <c r="D246" s="1405">
        <v>4.3700000000000003E-2</v>
      </c>
      <c r="E246" s="1406">
        <v>1.6E-2</v>
      </c>
      <c r="F246" s="1407" t="s">
        <v>278</v>
      </c>
      <c r="G246" s="1408" t="s">
        <v>278</v>
      </c>
    </row>
    <row r="247" spans="2:7">
      <c r="B247" s="1403" t="s">
        <v>406</v>
      </c>
      <c r="C247" s="1404">
        <v>7.4999999999999997E-2</v>
      </c>
      <c r="D247" s="1405">
        <v>3.7000000000000002E-3</v>
      </c>
      <c r="E247" s="1406">
        <v>2.7E-2</v>
      </c>
      <c r="F247" s="1407" t="s">
        <v>278</v>
      </c>
      <c r="G247" s="1408" t="s">
        <v>278</v>
      </c>
    </row>
    <row r="248" spans="2:7">
      <c r="B248" s="1403" t="s">
        <v>407</v>
      </c>
      <c r="C248" s="1404">
        <v>0.23599999999999999</v>
      </c>
      <c r="D248" s="1405">
        <v>2.1999999999999999E-2</v>
      </c>
      <c r="E248" s="1406">
        <v>2.1000000000000001E-2</v>
      </c>
      <c r="F248" s="1406">
        <v>3.5000000000000003E-2</v>
      </c>
      <c r="G248" s="1408">
        <v>0.30099999999999999</v>
      </c>
    </row>
    <row r="249" spans="2:7">
      <c r="B249" s="1403" t="s">
        <v>408</v>
      </c>
      <c r="C249" s="1404">
        <v>0.154</v>
      </c>
      <c r="D249" s="1405">
        <v>5.1000000000000004E-3</v>
      </c>
      <c r="E249" s="1406">
        <v>1.7000000000000001E-2</v>
      </c>
      <c r="F249" s="1407" t="s">
        <v>278</v>
      </c>
      <c r="G249" s="1408" t="s">
        <v>278</v>
      </c>
    </row>
    <row r="250" spans="2:7">
      <c r="B250" s="1403" t="s">
        <v>409</v>
      </c>
      <c r="C250" s="1404">
        <v>3.5999999999999997E-2</v>
      </c>
      <c r="D250" s="1405">
        <v>6.9999999999999999E-4</v>
      </c>
      <c r="E250" s="1406">
        <v>8.5999999999999993E-2</v>
      </c>
      <c r="F250" s="1407" t="s">
        <v>278</v>
      </c>
      <c r="G250" s="1408" t="s">
        <v>278</v>
      </c>
    </row>
    <row r="251" spans="2:7" ht="13.8" thickBot="1">
      <c r="B251" s="1409" t="s">
        <v>410</v>
      </c>
      <c r="C251" s="1410">
        <v>0.128</v>
      </c>
      <c r="D251" s="1411">
        <v>3.0999999999999999E-3</v>
      </c>
      <c r="E251" s="1412">
        <v>3.7999999999999999E-2</v>
      </c>
      <c r="F251" s="1412">
        <v>1.4999999999999999E-2</v>
      </c>
      <c r="G251" s="1413">
        <v>0.129</v>
      </c>
    </row>
    <row r="252" spans="2:7">
      <c r="E252" s="1414"/>
      <c r="F252" s="1014"/>
      <c r="G252" s="1414"/>
    </row>
    <row r="253" spans="2:7">
      <c r="B253" s="1350" t="s">
        <v>411</v>
      </c>
      <c r="C253" s="1415"/>
      <c r="D253" s="1415"/>
      <c r="E253" s="1415"/>
      <c r="F253" s="1415"/>
      <c r="G253" s="1415"/>
    </row>
    <row r="254" spans="2:7">
      <c r="B254" s="1350" t="s">
        <v>412</v>
      </c>
      <c r="C254" s="1415"/>
      <c r="D254" s="1415"/>
      <c r="E254" s="1415"/>
      <c r="F254" s="1415"/>
      <c r="G254" s="1415"/>
    </row>
  </sheetData>
  <sheetProtection algorithmName="SHA-512" hashValue="wmt6ufoihw5RTJWwvEiYbIVysyyykXT7zNJLcbq9SDcbOUvpBcgYXLyKfpvpEIwQjh9qS4GZnZ41tRUNh69A8A==" saltValue="s6X1qwdCqwPHgdmmUDEXDw=="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7121</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8" width="31" style="408" customWidth="1"/>
    <col min="9" max="9" width="31" style="404" customWidth="1"/>
    <col min="10" max="10" width="19.77734375" style="3" customWidth="1"/>
    <col min="11" max="12" width="23.21875" style="3" customWidth="1"/>
    <col min="13" max="14" width="36.21875" style="3" bestFit="1" customWidth="1"/>
    <col min="15" max="15" width="19.77734375" style="3" customWidth="1"/>
    <col min="16" max="16" width="20" style="3" bestFit="1" customWidth="1"/>
    <col min="17" max="17" width="18.21875" style="3" bestFit="1" customWidth="1"/>
    <col min="18" max="18" width="9.21875" style="13"/>
    <col min="19" max="19" width="22.44140625" style="13" customWidth="1"/>
    <col min="20" max="20" width="24.5546875" style="13" customWidth="1"/>
    <col min="21" max="22" width="17" style="13" customWidth="1"/>
    <col min="23" max="28" width="9.21875" style="13"/>
    <col min="39" max="39" width="9.21875" style="13"/>
    <col min="40" max="40" width="11.21875" style="13" bestFit="1" customWidth="1"/>
    <col min="41" max="16384" width="9.21875" style="13"/>
  </cols>
  <sheetData>
    <row r="1" spans="1:22" ht="25.2" customHeight="1">
      <c r="A1" s="271" t="s">
        <v>185</v>
      </c>
      <c r="B1" s="42" t="s">
        <v>7122</v>
      </c>
      <c r="C1" s="766"/>
      <c r="D1" s="766"/>
      <c r="E1" s="766"/>
      <c r="F1" s="33" t="s">
        <v>187</v>
      </c>
      <c r="G1" s="45" t="str">
        <f>HYPERLINK("#'"&amp;INDEX('Master Key'!$B:$B,MATCH("Master Key",'Master Key'!$B:$B,0),1)&amp;"'!A1","Go To Sheet")</f>
        <v>Go To Sheet</v>
      </c>
      <c r="H1" s="407"/>
      <c r="I1" s="403"/>
    </row>
    <row r="2" spans="1:22" ht="15" thickBot="1">
      <c r="A2" s="767"/>
      <c r="B2" s="767"/>
      <c r="C2" s="767"/>
      <c r="D2" s="767"/>
      <c r="E2" s="767"/>
    </row>
    <row r="3" spans="1:22" ht="60" customHeight="1">
      <c r="A3" s="155" t="s">
        <v>482</v>
      </c>
      <c r="B3" s="1884" t="s">
        <v>7123</v>
      </c>
      <c r="C3" s="1884"/>
      <c r="D3" s="1884"/>
      <c r="E3" s="769"/>
      <c r="F3" s="1972" t="s">
        <v>484</v>
      </c>
      <c r="G3" s="1973"/>
      <c r="H3" s="1973"/>
      <c r="I3" s="1973"/>
      <c r="J3" s="1973"/>
      <c r="K3" s="1973"/>
      <c r="L3" s="1973"/>
      <c r="M3" s="1973"/>
      <c r="N3" s="1973"/>
      <c r="O3" s="1973"/>
      <c r="P3" s="1973"/>
      <c r="Q3" s="1974"/>
      <c r="S3" s="1975" t="s">
        <v>420</v>
      </c>
      <c r="T3" s="1975"/>
      <c r="U3" s="1975"/>
      <c r="V3" s="1975"/>
    </row>
    <row r="4" spans="1:22" ht="18">
      <c r="A4" s="771"/>
      <c r="B4" s="771"/>
      <c r="C4" s="771"/>
      <c r="D4" s="771"/>
      <c r="E4" s="769"/>
      <c r="F4" s="22" t="s">
        <v>485</v>
      </c>
      <c r="G4" s="409" t="s">
        <v>7124</v>
      </c>
      <c r="H4" s="409" t="s">
        <v>7124</v>
      </c>
      <c r="I4" s="405" t="s">
        <v>7124</v>
      </c>
      <c r="J4" s="28" t="s">
        <v>66</v>
      </c>
      <c r="K4" s="25" t="s">
        <v>131</v>
      </c>
      <c r="L4" s="25" t="s">
        <v>131</v>
      </c>
      <c r="M4" s="21" t="s">
        <v>131</v>
      </c>
      <c r="N4" s="21" t="s">
        <v>131</v>
      </c>
      <c r="O4" s="30" t="s">
        <v>131</v>
      </c>
      <c r="P4" s="1933" t="s">
        <v>488</v>
      </c>
      <c r="Q4" s="1934"/>
      <c r="R4" s="291"/>
      <c r="S4" s="28" t="s">
        <v>66</v>
      </c>
      <c r="T4" s="30" t="s">
        <v>131</v>
      </c>
      <c r="U4" s="1933" t="s">
        <v>488</v>
      </c>
      <c r="V4" s="1934"/>
    </row>
    <row r="5" spans="1:22" ht="60" customHeight="1" thickBot="1">
      <c r="A5" s="210" t="s">
        <v>489</v>
      </c>
      <c r="B5" s="2052" t="s">
        <v>7125</v>
      </c>
      <c r="C5" s="2052"/>
      <c r="D5" s="2052"/>
      <c r="E5" s="767"/>
      <c r="F5" s="32" t="s">
        <v>491</v>
      </c>
      <c r="G5" s="410" t="s">
        <v>493</v>
      </c>
      <c r="H5" s="410" t="s">
        <v>494</v>
      </c>
      <c r="I5" s="391" t="s">
        <v>1168</v>
      </c>
      <c r="J5" s="29" t="s">
        <v>512</v>
      </c>
      <c r="K5" s="15" t="s">
        <v>1166</v>
      </c>
      <c r="L5" s="15" t="s">
        <v>1167</v>
      </c>
      <c r="M5" s="15" t="s">
        <v>494</v>
      </c>
      <c r="N5" s="15" t="s">
        <v>1168</v>
      </c>
      <c r="O5" s="31" t="s">
        <v>512</v>
      </c>
      <c r="P5" s="1935"/>
      <c r="Q5" s="1936"/>
      <c r="R5" s="291"/>
      <c r="S5" s="29" t="s">
        <v>15</v>
      </c>
      <c r="T5" s="31" t="s">
        <v>15</v>
      </c>
      <c r="U5" s="1935"/>
      <c r="V5" s="1936"/>
    </row>
    <row r="6" spans="1:22" ht="28.8">
      <c r="A6" s="854"/>
      <c r="B6" s="854"/>
      <c r="C6" s="854"/>
      <c r="D6" s="854"/>
      <c r="E6" s="767"/>
      <c r="F6" s="32" t="s">
        <v>510</v>
      </c>
      <c r="G6" s="411"/>
      <c r="H6" s="411"/>
      <c r="I6" s="406"/>
      <c r="J6" s="29" t="s">
        <v>7126</v>
      </c>
      <c r="K6" s="411"/>
      <c r="L6" s="411"/>
      <c r="M6" s="280"/>
      <c r="N6" s="381"/>
      <c r="O6" s="31" t="s">
        <v>7126</v>
      </c>
      <c r="P6" s="23" t="s">
        <v>419</v>
      </c>
      <c r="Q6" s="24" t="str">
        <f>"Discounted @ "&amp;TEXT('Major Assumption Key'!$B$8,"0.0%")</f>
        <v>Discounted @ 3.1%</v>
      </c>
      <c r="R6" s="291"/>
      <c r="S6" s="29" t="s">
        <v>7127</v>
      </c>
      <c r="T6" s="31" t="s">
        <v>7127</v>
      </c>
      <c r="U6" s="23" t="s">
        <v>419</v>
      </c>
      <c r="V6" s="24" t="str">
        <f>"Discounted @ "&amp;TEXT('Major Assumption Key'!$B$8,"0.0%")</f>
        <v>Discounted @ 3.1%</v>
      </c>
    </row>
    <row r="7" spans="1:22" ht="19.95" customHeight="1">
      <c r="C7" s="767"/>
      <c r="D7" s="767"/>
      <c r="E7" s="767"/>
      <c r="F7" s="772">
        <f>'Major Assumption Key'!A19</f>
        <v>2020</v>
      </c>
      <c r="G7" s="901"/>
      <c r="H7" s="901"/>
      <c r="I7" s="902"/>
      <c r="J7" s="784">
        <f t="shared" ref="J7" si="0">IF(AND($F7&gt;=$B$17,$F7&lt;=$B$18),I7,0)</f>
        <v>0</v>
      </c>
      <c r="K7" s="903"/>
      <c r="L7" s="859"/>
      <c r="M7" s="864"/>
      <c r="N7" s="773"/>
      <c r="O7" s="855">
        <f>IF(AND($F7&gt;=MIN('Major Assumption Key'!$B$4),$F7&lt;=MAX('Major Assumption Key'!$B$6)),N7,0)</f>
        <v>0</v>
      </c>
      <c r="P7" s="26">
        <f t="shared" ref="P7" si="1">O7-J7</f>
        <v>0</v>
      </c>
      <c r="Q7" s="38">
        <f>P7/(1+'Major Assumption Key'!$B$8)^($F7-'Major Assumption Key'!$B$7)</f>
        <v>0</v>
      </c>
      <c r="R7" s="291"/>
      <c r="S7" s="784">
        <f t="shared" ref="S7" si="2">ROUND(J7,-3)</f>
        <v>0</v>
      </c>
      <c r="T7" s="855">
        <f t="shared" ref="T7:T48" si="3">ROUND(O7,-3)</f>
        <v>0</v>
      </c>
      <c r="U7" s="26">
        <f t="shared" ref="U7:V7" si="4">ROUND(P7,-3)</f>
        <v>0</v>
      </c>
      <c r="V7" s="38">
        <f t="shared" si="4"/>
        <v>0</v>
      </c>
    </row>
    <row r="8" spans="1:22" ht="19.95" customHeight="1">
      <c r="A8" s="767"/>
      <c r="B8" s="767"/>
      <c r="C8" s="767"/>
      <c r="D8" s="767"/>
      <c r="E8" s="767"/>
      <c r="F8" s="772">
        <f>'Major Assumption Key'!A20</f>
        <v>2021</v>
      </c>
      <c r="G8" s="901"/>
      <c r="H8" s="901"/>
      <c r="I8" s="902"/>
      <c r="J8" s="784">
        <f t="shared" ref="J8:J47" si="5">IF(AND($F8&gt;=$B$17,$F8&lt;=$B$18),I8,0)</f>
        <v>0</v>
      </c>
      <c r="K8" s="903"/>
      <c r="L8" s="859"/>
      <c r="M8" s="864"/>
      <c r="N8" s="773"/>
      <c r="O8" s="855">
        <f>IF(AND($F8&gt;=MIN('Major Assumption Key'!$B$4),$F8&lt;=MAX('Major Assumption Key'!$B$6)),N8,0)</f>
        <v>0</v>
      </c>
      <c r="P8" s="26">
        <f t="shared" ref="P8:P47" si="6">O8-J8</f>
        <v>0</v>
      </c>
      <c r="Q8" s="38">
        <f>P8/(1+'Major Assumption Key'!$B$8)^($F8-'Major Assumption Key'!$B$7)</f>
        <v>0</v>
      </c>
      <c r="R8" s="291"/>
      <c r="S8" s="784">
        <f t="shared" ref="S8:S47" si="7">ROUND(J8,-3)</f>
        <v>0</v>
      </c>
      <c r="T8" s="855">
        <f t="shared" ref="T8:T47" si="8">ROUND(O8,-3)</f>
        <v>0</v>
      </c>
      <c r="U8" s="26">
        <f t="shared" ref="U8:U47" si="9">ROUND(P8,-3)</f>
        <v>0</v>
      </c>
      <c r="V8" s="38">
        <f t="shared" ref="V8:V47" si="10">ROUND(Q8,-3)</f>
        <v>0</v>
      </c>
    </row>
    <row r="9" spans="1:22" ht="19.95" customHeight="1">
      <c r="A9" s="1888" t="s">
        <v>432</v>
      </c>
      <c r="B9" s="1889"/>
      <c r="C9" s="1889"/>
      <c r="D9" s="1890"/>
      <c r="E9" s="767"/>
      <c r="F9" s="772">
        <f>'Major Assumption Key'!A21</f>
        <v>2022</v>
      </c>
      <c r="G9" s="901"/>
      <c r="H9" s="901"/>
      <c r="I9" s="902"/>
      <c r="J9" s="784">
        <f t="shared" si="5"/>
        <v>0</v>
      </c>
      <c r="K9" s="903"/>
      <c r="L9" s="859"/>
      <c r="M9" s="864"/>
      <c r="N9" s="773"/>
      <c r="O9" s="855">
        <f>IF(AND($F9&gt;=MIN('Major Assumption Key'!$B$4),$F9&lt;=MAX('Major Assumption Key'!$B$6)),N9,0)</f>
        <v>0</v>
      </c>
      <c r="P9" s="26">
        <f t="shared" si="6"/>
        <v>0</v>
      </c>
      <c r="Q9" s="38">
        <f>P9/(1+'Major Assumption Key'!$B$8)^($F9-'Major Assumption Key'!$B$7)</f>
        <v>0</v>
      </c>
      <c r="R9" s="291"/>
      <c r="S9" s="784">
        <f t="shared" si="7"/>
        <v>0</v>
      </c>
      <c r="T9" s="855">
        <f t="shared" si="8"/>
        <v>0</v>
      </c>
      <c r="U9" s="26">
        <f t="shared" si="9"/>
        <v>0</v>
      </c>
      <c r="V9" s="38">
        <f t="shared" si="10"/>
        <v>0</v>
      </c>
    </row>
    <row r="10" spans="1:22" ht="19.95" customHeight="1">
      <c r="A10" s="1891" t="s">
        <v>418</v>
      </c>
      <c r="B10" s="1891"/>
      <c r="C10" s="49" t="s">
        <v>419</v>
      </c>
      <c r="D10" s="49" t="str">
        <f>_xlfn.CONCAT("Discounted @",TEXT('Major Assumption Key'!B8,"0.0%"))</f>
        <v>Discounted @3.1%</v>
      </c>
      <c r="E10" s="767"/>
      <c r="F10" s="772">
        <f>'Major Assumption Key'!A22</f>
        <v>2023</v>
      </c>
      <c r="G10" s="901"/>
      <c r="H10" s="901"/>
      <c r="I10" s="902"/>
      <c r="J10" s="784">
        <f t="shared" si="5"/>
        <v>0</v>
      </c>
      <c r="K10" s="903"/>
      <c r="L10" s="859"/>
      <c r="M10" s="864"/>
      <c r="N10" s="773"/>
      <c r="O10" s="855">
        <f>IF(AND($F10&gt;=MIN('Major Assumption Key'!$B$4),$F10&lt;=MAX('Major Assumption Key'!$B$6)),N10,0)</f>
        <v>0</v>
      </c>
      <c r="P10" s="26">
        <f t="shared" si="6"/>
        <v>0</v>
      </c>
      <c r="Q10" s="38">
        <f>P10/(1+'Major Assumption Key'!$B$8)^($F10-'Major Assumption Key'!$B$7)</f>
        <v>0</v>
      </c>
      <c r="R10" s="291"/>
      <c r="S10" s="784">
        <f t="shared" si="7"/>
        <v>0</v>
      </c>
      <c r="T10" s="855">
        <f t="shared" si="8"/>
        <v>0</v>
      </c>
      <c r="U10" s="26">
        <f t="shared" si="9"/>
        <v>0</v>
      </c>
      <c r="V10" s="38">
        <f t="shared" si="10"/>
        <v>0</v>
      </c>
    </row>
    <row r="11" spans="1:22" ht="19.95" customHeight="1">
      <c r="A11" s="1892" t="s">
        <v>11</v>
      </c>
      <c r="B11" s="1892"/>
      <c r="C11" s="56">
        <f>'BCA Summary'!$H$7</f>
        <v>1.0111569298276737</v>
      </c>
      <c r="D11" s="56">
        <f>'BCA Summary'!$I$7</f>
        <v>0.6276932096418345</v>
      </c>
      <c r="E11" s="767"/>
      <c r="F11" s="772">
        <f>'Major Assumption Key'!A23</f>
        <v>2024</v>
      </c>
      <c r="G11" s="901"/>
      <c r="H11" s="901"/>
      <c r="I11" s="902"/>
      <c r="J11" s="784">
        <f t="shared" si="5"/>
        <v>0</v>
      </c>
      <c r="K11" s="903"/>
      <c r="L11" s="859"/>
      <c r="M11" s="864"/>
      <c r="N11" s="773"/>
      <c r="O11" s="855">
        <f>IF(AND($F11&gt;=MIN('Major Assumption Key'!$B$4),$F11&lt;=MAX('Major Assumption Key'!$B$6)),N11,0)</f>
        <v>0</v>
      </c>
      <c r="P11" s="26">
        <f t="shared" si="6"/>
        <v>0</v>
      </c>
      <c r="Q11" s="38">
        <f>P11/(1+'Major Assumption Key'!$B$8)^($F11-'Major Assumption Key'!$B$7)</f>
        <v>0</v>
      </c>
      <c r="R11" s="291"/>
      <c r="S11" s="784">
        <f t="shared" si="7"/>
        <v>0</v>
      </c>
      <c r="T11" s="855">
        <f t="shared" si="8"/>
        <v>0</v>
      </c>
      <c r="U11" s="26">
        <f t="shared" si="9"/>
        <v>0</v>
      </c>
      <c r="V11" s="38">
        <f t="shared" si="10"/>
        <v>0</v>
      </c>
    </row>
    <row r="12" spans="1:22" ht="19.95" customHeight="1">
      <c r="A12" s="1892" t="s">
        <v>12</v>
      </c>
      <c r="B12" s="1892"/>
      <c r="C12" s="49">
        <f>'BCA Summary'!$H$8</f>
        <v>236636.98382712901</v>
      </c>
      <c r="D12" s="49">
        <f>'BCA Summary'!$I$8</f>
        <v>-6930297.4454113934</v>
      </c>
      <c r="E12" s="767"/>
      <c r="F12" s="772">
        <f>'Major Assumption Key'!A24</f>
        <v>2025</v>
      </c>
      <c r="G12" s="901"/>
      <c r="H12" s="901"/>
      <c r="I12" s="902"/>
      <c r="J12" s="784">
        <f t="shared" si="5"/>
        <v>0</v>
      </c>
      <c r="K12" s="903"/>
      <c r="L12" s="859"/>
      <c r="M12" s="864"/>
      <c r="N12" s="773"/>
      <c r="O12" s="855">
        <f>IF(AND($F12&gt;=MIN('Major Assumption Key'!$B$4),$F12&lt;=MAX('Major Assumption Key'!$B$6)),N12,0)</f>
        <v>0</v>
      </c>
      <c r="P12" s="26">
        <f t="shared" si="6"/>
        <v>0</v>
      </c>
      <c r="Q12" s="38">
        <f>P12/(1+'Major Assumption Key'!$B$8)^($F12-'Major Assumption Key'!$B$7)</f>
        <v>0</v>
      </c>
      <c r="R12" s="291"/>
      <c r="S12" s="784">
        <f t="shared" si="7"/>
        <v>0</v>
      </c>
      <c r="T12" s="855">
        <f t="shared" si="8"/>
        <v>0</v>
      </c>
      <c r="U12" s="26">
        <f t="shared" si="9"/>
        <v>0</v>
      </c>
      <c r="V12" s="38">
        <f t="shared" si="10"/>
        <v>0</v>
      </c>
    </row>
    <row r="13" spans="1:22" ht="19.95" customHeight="1">
      <c r="C13" s="767"/>
      <c r="D13" s="767"/>
      <c r="E13" s="767"/>
      <c r="F13" s="772">
        <f>'Major Assumption Key'!A25</f>
        <v>2026</v>
      </c>
      <c r="G13" s="901"/>
      <c r="H13" s="901"/>
      <c r="I13" s="902"/>
      <c r="J13" s="784">
        <f t="shared" si="5"/>
        <v>0</v>
      </c>
      <c r="K13" s="903"/>
      <c r="L13" s="859"/>
      <c r="M13" s="864"/>
      <c r="N13" s="773"/>
      <c r="O13" s="855">
        <f>IF(AND($F13&gt;=MIN('Major Assumption Key'!$B$4),$F13&lt;=MAX('Major Assumption Key'!$B$6)),N13,0)</f>
        <v>0</v>
      </c>
      <c r="P13" s="26">
        <f t="shared" si="6"/>
        <v>0</v>
      </c>
      <c r="Q13" s="38">
        <f>P13/(1+'Major Assumption Key'!$B$8)^($F13-'Major Assumption Key'!$B$7)</f>
        <v>0</v>
      </c>
      <c r="R13" s="291"/>
      <c r="S13" s="784">
        <f t="shared" si="7"/>
        <v>0</v>
      </c>
      <c r="T13" s="855">
        <f t="shared" si="8"/>
        <v>0</v>
      </c>
      <c r="U13" s="26">
        <f t="shared" si="9"/>
        <v>0</v>
      </c>
      <c r="V13" s="38">
        <f t="shared" si="10"/>
        <v>0</v>
      </c>
    </row>
    <row r="14" spans="1:22" ht="19.95" customHeight="1" thickBot="1">
      <c r="C14" s="767"/>
      <c r="D14" s="767"/>
      <c r="E14" s="767"/>
      <c r="F14" s="772">
        <f>'Major Assumption Key'!A26</f>
        <v>2027</v>
      </c>
      <c r="G14" s="901"/>
      <c r="H14" s="901"/>
      <c r="I14" s="902"/>
      <c r="J14" s="784">
        <f t="shared" si="5"/>
        <v>0</v>
      </c>
      <c r="K14" s="903"/>
      <c r="L14" s="859"/>
      <c r="M14" s="864"/>
      <c r="N14" s="773"/>
      <c r="O14" s="855">
        <f>IF(AND($F14&gt;=MIN('Major Assumption Key'!$B$4),$F14&lt;=MAX('Major Assumption Key'!$B$6)),N14,0)</f>
        <v>0</v>
      </c>
      <c r="P14" s="26">
        <f t="shared" si="6"/>
        <v>0</v>
      </c>
      <c r="Q14" s="38">
        <f>P14/(1+'Major Assumption Key'!$B$8)^($F14-'Major Assumption Key'!$B$7)</f>
        <v>0</v>
      </c>
      <c r="R14" s="291"/>
      <c r="S14" s="784">
        <f t="shared" si="7"/>
        <v>0</v>
      </c>
      <c r="T14" s="855">
        <f t="shared" si="8"/>
        <v>0</v>
      </c>
      <c r="U14" s="26">
        <f t="shared" si="9"/>
        <v>0</v>
      </c>
      <c r="V14" s="38">
        <f t="shared" si="10"/>
        <v>0</v>
      </c>
    </row>
    <row r="15" spans="1:22" ht="19.95" customHeight="1">
      <c r="A15" s="361" t="s">
        <v>433</v>
      </c>
      <c r="B15" s="362" t="s">
        <v>434</v>
      </c>
      <c r="C15" s="1938" t="s">
        <v>498</v>
      </c>
      <c r="D15" s="1939"/>
      <c r="E15" s="767"/>
      <c r="F15" s="772">
        <f>'Major Assumption Key'!A27</f>
        <v>2028</v>
      </c>
      <c r="G15" s="901"/>
      <c r="H15" s="901"/>
      <c r="I15" s="902"/>
      <c r="J15" s="784">
        <f t="shared" si="5"/>
        <v>0</v>
      </c>
      <c r="K15" s="903"/>
      <c r="L15" s="859"/>
      <c r="M15" s="864"/>
      <c r="N15" s="773"/>
      <c r="O15" s="855">
        <f>IF(AND($F15&gt;=MIN('Major Assumption Key'!$B$4),$F15&lt;=MAX('Major Assumption Key'!$B$6)),N15,0)</f>
        <v>0</v>
      </c>
      <c r="P15" s="26">
        <f t="shared" si="6"/>
        <v>0</v>
      </c>
      <c r="Q15" s="38">
        <f>P15/(1+'Major Assumption Key'!$B$8)^($F15-'Major Assumption Key'!$B$7)</f>
        <v>0</v>
      </c>
      <c r="R15" s="291"/>
      <c r="S15" s="784">
        <f t="shared" si="7"/>
        <v>0</v>
      </c>
      <c r="T15" s="855">
        <f t="shared" si="8"/>
        <v>0</v>
      </c>
      <c r="U15" s="26">
        <f t="shared" si="9"/>
        <v>0</v>
      </c>
      <c r="V15" s="38">
        <f t="shared" si="10"/>
        <v>0</v>
      </c>
    </row>
    <row r="16" spans="1:22" ht="19.95" customHeight="1">
      <c r="A16" s="768" t="str">
        <f>'Major Assumption Key'!$A$3</f>
        <v>Project Open Year:</v>
      </c>
      <c r="B16" s="777">
        <f>'Major Assumption Key'!$B$3</f>
        <v>2028</v>
      </c>
      <c r="C16" s="767" t="s">
        <v>436</v>
      </c>
      <c r="D16" s="547"/>
      <c r="E16" s="767"/>
      <c r="F16" s="772">
        <f>'Major Assumption Key'!A28</f>
        <v>2029</v>
      </c>
      <c r="G16" s="901"/>
      <c r="H16" s="901"/>
      <c r="I16" s="902"/>
      <c r="J16" s="784">
        <f t="shared" si="5"/>
        <v>0</v>
      </c>
      <c r="K16" s="903"/>
      <c r="L16" s="859"/>
      <c r="M16" s="864"/>
      <c r="N16" s="773"/>
      <c r="O16" s="855">
        <f>IF(AND($F16&gt;=MIN('Major Assumption Key'!$B$4),$F16&lt;=MAX('Major Assumption Key'!$B$6)),N16,0)</f>
        <v>0</v>
      </c>
      <c r="P16" s="26">
        <f t="shared" si="6"/>
        <v>0</v>
      </c>
      <c r="Q16" s="38">
        <f>P16/(1+'Major Assumption Key'!$B$8)^($F16-'Major Assumption Key'!$B$7)</f>
        <v>0</v>
      </c>
      <c r="R16" s="291"/>
      <c r="S16" s="784">
        <f t="shared" si="7"/>
        <v>0</v>
      </c>
      <c r="T16" s="855">
        <f t="shared" si="8"/>
        <v>0</v>
      </c>
      <c r="U16" s="26">
        <f t="shared" si="9"/>
        <v>0</v>
      </c>
      <c r="V16" s="38">
        <f t="shared" si="10"/>
        <v>0</v>
      </c>
    </row>
    <row r="17" spans="1:22" ht="19.95" customHeight="1">
      <c r="A17" s="768" t="str">
        <f>'Major Assumption Key'!$A$4</f>
        <v>Planning Horizon Begin Year:</v>
      </c>
      <c r="B17" s="777">
        <f>'Major Assumption Key'!$B$4</f>
        <v>2022</v>
      </c>
      <c r="C17" s="767" t="s">
        <v>436</v>
      </c>
      <c r="D17" s="770"/>
      <c r="E17" s="767"/>
      <c r="F17" s="772">
        <f>'Major Assumption Key'!A29</f>
        <v>2030</v>
      </c>
      <c r="G17" s="901"/>
      <c r="H17" s="901"/>
      <c r="I17" s="902"/>
      <c r="J17" s="784">
        <f t="shared" si="5"/>
        <v>0</v>
      </c>
      <c r="K17" s="903"/>
      <c r="L17" s="859"/>
      <c r="M17" s="864"/>
      <c r="N17" s="773"/>
      <c r="O17" s="855">
        <f>IF(AND($F17&gt;=MIN('Major Assumption Key'!$B$4),$F17&lt;=MAX('Major Assumption Key'!$B$6)),N17,0)</f>
        <v>0</v>
      </c>
      <c r="P17" s="26">
        <f t="shared" si="6"/>
        <v>0</v>
      </c>
      <c r="Q17" s="38">
        <f>P17/(1+'Major Assumption Key'!$B$8)^($F17-'Major Assumption Key'!$B$7)</f>
        <v>0</v>
      </c>
      <c r="R17" s="291"/>
      <c r="S17" s="784">
        <f t="shared" si="7"/>
        <v>0</v>
      </c>
      <c r="T17" s="855">
        <f t="shared" si="8"/>
        <v>0</v>
      </c>
      <c r="U17" s="26">
        <f t="shared" si="9"/>
        <v>0</v>
      </c>
      <c r="V17" s="38">
        <f t="shared" si="10"/>
        <v>0</v>
      </c>
    </row>
    <row r="18" spans="1:22" ht="19.95" customHeight="1">
      <c r="A18" s="768" t="str">
        <f>'Major Assumption Key'!$A$6</f>
        <v>Planning Horizon End Year:</v>
      </c>
      <c r="B18" s="777">
        <f>'Major Assumption Key'!$B$6</f>
        <v>2047</v>
      </c>
      <c r="C18" s="767" t="s">
        <v>436</v>
      </c>
      <c r="D18" s="770"/>
      <c r="E18" s="767"/>
      <c r="F18" s="772">
        <f>'Major Assumption Key'!A30</f>
        <v>2031</v>
      </c>
      <c r="G18" s="901"/>
      <c r="H18" s="901"/>
      <c r="I18" s="902"/>
      <c r="J18" s="784">
        <f t="shared" si="5"/>
        <v>0</v>
      </c>
      <c r="K18" s="903"/>
      <c r="L18" s="859"/>
      <c r="M18" s="864"/>
      <c r="N18" s="773"/>
      <c r="O18" s="855">
        <f>IF(AND($F18&gt;=MIN('Major Assumption Key'!$B$4),$F18&lt;=MAX('Major Assumption Key'!$B$6)),N18,0)</f>
        <v>0</v>
      </c>
      <c r="P18" s="26">
        <f t="shared" si="6"/>
        <v>0</v>
      </c>
      <c r="Q18" s="38">
        <f>P18/(1+'Major Assumption Key'!$B$8)^($F18-'Major Assumption Key'!$B$7)</f>
        <v>0</v>
      </c>
      <c r="R18" s="291"/>
      <c r="S18" s="784">
        <f t="shared" si="7"/>
        <v>0</v>
      </c>
      <c r="T18" s="855">
        <f t="shared" si="8"/>
        <v>0</v>
      </c>
      <c r="U18" s="26">
        <f t="shared" si="9"/>
        <v>0</v>
      </c>
      <c r="V18" s="38">
        <f t="shared" si="10"/>
        <v>0</v>
      </c>
    </row>
    <row r="19" spans="1:22" ht="19.95" customHeight="1">
      <c r="A19" s="768" t="s">
        <v>7128</v>
      </c>
      <c r="B19" s="856">
        <v>260</v>
      </c>
      <c r="C19" s="767"/>
      <c r="D19" s="770"/>
      <c r="E19" s="767"/>
      <c r="F19" s="772">
        <f>'Major Assumption Key'!A31</f>
        <v>2032</v>
      </c>
      <c r="G19" s="901"/>
      <c r="H19" s="901"/>
      <c r="I19" s="902"/>
      <c r="J19" s="784">
        <f t="shared" si="5"/>
        <v>0</v>
      </c>
      <c r="K19" s="903"/>
      <c r="L19" s="859"/>
      <c r="M19" s="864"/>
      <c r="N19" s="773"/>
      <c r="O19" s="855">
        <f>IF(AND($F19&gt;=MIN('Major Assumption Key'!$B$4),$F19&lt;=MAX('Major Assumption Key'!$B$6)),N19,0)</f>
        <v>0</v>
      </c>
      <c r="P19" s="26">
        <f t="shared" si="6"/>
        <v>0</v>
      </c>
      <c r="Q19" s="38">
        <f>P19/(1+'Major Assumption Key'!$B$8)^($F19-'Major Assumption Key'!$B$7)</f>
        <v>0</v>
      </c>
      <c r="R19" s="291"/>
      <c r="S19" s="784">
        <f t="shared" si="7"/>
        <v>0</v>
      </c>
      <c r="T19" s="855">
        <f t="shared" si="8"/>
        <v>0</v>
      </c>
      <c r="U19" s="26">
        <f t="shared" si="9"/>
        <v>0</v>
      </c>
      <c r="V19" s="38">
        <f t="shared" si="10"/>
        <v>0</v>
      </c>
    </row>
    <row r="20" spans="1:22" ht="19.95" customHeight="1">
      <c r="A20" s="768" t="s">
        <v>7129</v>
      </c>
      <c r="B20" s="858">
        <f>'BCA Guide - Parameter Values'!C53</f>
        <v>0.52</v>
      </c>
      <c r="C20" s="2" t="s">
        <v>211</v>
      </c>
      <c r="D20" s="770"/>
      <c r="E20" s="767"/>
      <c r="F20" s="772">
        <f>'Major Assumption Key'!A32</f>
        <v>2033</v>
      </c>
      <c r="G20" s="901"/>
      <c r="H20" s="901"/>
      <c r="I20" s="902"/>
      <c r="J20" s="784">
        <f t="shared" si="5"/>
        <v>0</v>
      </c>
      <c r="K20" s="903"/>
      <c r="L20" s="859"/>
      <c r="M20" s="864"/>
      <c r="N20" s="773"/>
      <c r="O20" s="855">
        <f>IF(AND($F20&gt;=MIN('Major Assumption Key'!$B$4),$F20&lt;=MAX('Major Assumption Key'!$B$6)),N20,0)</f>
        <v>0</v>
      </c>
      <c r="P20" s="26">
        <f t="shared" si="6"/>
        <v>0</v>
      </c>
      <c r="Q20" s="38">
        <f>P20/(1+'Major Assumption Key'!$B$8)^($F20-'Major Assumption Key'!$B$7)</f>
        <v>0</v>
      </c>
      <c r="R20" s="291"/>
      <c r="S20" s="784">
        <f t="shared" si="7"/>
        <v>0</v>
      </c>
      <c r="T20" s="855">
        <f t="shared" si="8"/>
        <v>0</v>
      </c>
      <c r="U20" s="26">
        <f t="shared" si="9"/>
        <v>0</v>
      </c>
      <c r="V20" s="38">
        <f t="shared" si="10"/>
        <v>0</v>
      </c>
    </row>
    <row r="21" spans="1:22" ht="19.95" customHeight="1">
      <c r="A21" s="904"/>
      <c r="B21" s="856"/>
      <c r="C21" s="862"/>
      <c r="D21" s="861"/>
      <c r="E21" s="767"/>
      <c r="F21" s="772">
        <f>'Major Assumption Key'!A33</f>
        <v>2034</v>
      </c>
      <c r="G21" s="901"/>
      <c r="H21" s="901"/>
      <c r="I21" s="902"/>
      <c r="J21" s="784">
        <f t="shared" si="5"/>
        <v>0</v>
      </c>
      <c r="K21" s="903"/>
      <c r="L21" s="859"/>
      <c r="M21" s="864"/>
      <c r="N21" s="773"/>
      <c r="O21" s="855">
        <f>IF(AND($F21&gt;=MIN('Major Assumption Key'!$B$4),$F21&lt;=MAX('Major Assumption Key'!$B$6)),N21,0)</f>
        <v>0</v>
      </c>
      <c r="P21" s="26">
        <f t="shared" si="6"/>
        <v>0</v>
      </c>
      <c r="Q21" s="38">
        <f>P21/(1+'Major Assumption Key'!$B$8)^($F21-'Major Assumption Key'!$B$7)</f>
        <v>0</v>
      </c>
      <c r="R21" s="291"/>
      <c r="S21" s="784">
        <f t="shared" si="7"/>
        <v>0</v>
      </c>
      <c r="T21" s="855">
        <f t="shared" si="8"/>
        <v>0</v>
      </c>
      <c r="U21" s="26">
        <f t="shared" si="9"/>
        <v>0</v>
      </c>
      <c r="V21" s="38">
        <f t="shared" si="10"/>
        <v>0</v>
      </c>
    </row>
    <row r="22" spans="1:22" ht="19.95" customHeight="1">
      <c r="A22" s="904"/>
      <c r="B22" s="857"/>
      <c r="C22" s="862"/>
      <c r="D22" s="562"/>
      <c r="E22" s="767"/>
      <c r="F22" s="772">
        <f>'Major Assumption Key'!A34</f>
        <v>2035</v>
      </c>
      <c r="G22" s="901"/>
      <c r="H22" s="901"/>
      <c r="I22" s="902"/>
      <c r="J22" s="784">
        <f t="shared" si="5"/>
        <v>0</v>
      </c>
      <c r="K22" s="903"/>
      <c r="L22" s="859"/>
      <c r="M22" s="864"/>
      <c r="N22" s="773"/>
      <c r="O22" s="855">
        <f>IF(AND($F22&gt;=MIN('Major Assumption Key'!$B$4),$F22&lt;=MAX('Major Assumption Key'!$B$6)),N22,0)</f>
        <v>0</v>
      </c>
      <c r="P22" s="26">
        <f t="shared" si="6"/>
        <v>0</v>
      </c>
      <c r="Q22" s="38">
        <f>P22/(1+'Major Assumption Key'!$B$8)^($F22-'Major Assumption Key'!$B$7)</f>
        <v>0</v>
      </c>
      <c r="R22" s="291"/>
      <c r="S22" s="784">
        <f t="shared" si="7"/>
        <v>0</v>
      </c>
      <c r="T22" s="855">
        <f t="shared" si="8"/>
        <v>0</v>
      </c>
      <c r="U22" s="26">
        <f t="shared" si="9"/>
        <v>0</v>
      </c>
      <c r="V22" s="38">
        <f t="shared" si="10"/>
        <v>0</v>
      </c>
    </row>
    <row r="23" spans="1:22" ht="19.95" customHeight="1" thickBot="1">
      <c r="A23" s="779"/>
      <c r="B23" s="563"/>
      <c r="C23" s="364"/>
      <c r="D23" s="564"/>
      <c r="E23" s="767"/>
      <c r="F23" s="772">
        <f>'Major Assumption Key'!A35</f>
        <v>2036</v>
      </c>
      <c r="G23" s="901"/>
      <c r="H23" s="901"/>
      <c r="I23" s="902"/>
      <c r="J23" s="784">
        <f t="shared" si="5"/>
        <v>0</v>
      </c>
      <c r="K23" s="903"/>
      <c r="L23" s="859"/>
      <c r="M23" s="864"/>
      <c r="N23" s="773"/>
      <c r="O23" s="855">
        <f>IF(AND($F23&gt;=MIN('Major Assumption Key'!$B$4),$F23&lt;=MAX('Major Assumption Key'!$B$6)),N23,0)</f>
        <v>0</v>
      </c>
      <c r="P23" s="26">
        <f t="shared" si="6"/>
        <v>0</v>
      </c>
      <c r="Q23" s="38">
        <f>P23/(1+'Major Assumption Key'!$B$8)^($F23-'Major Assumption Key'!$B$7)</f>
        <v>0</v>
      </c>
      <c r="R23" s="291"/>
      <c r="S23" s="784">
        <f t="shared" si="7"/>
        <v>0</v>
      </c>
      <c r="T23" s="855">
        <f t="shared" si="8"/>
        <v>0</v>
      </c>
      <c r="U23" s="26">
        <f t="shared" si="9"/>
        <v>0</v>
      </c>
      <c r="V23" s="38">
        <f t="shared" si="10"/>
        <v>0</v>
      </c>
    </row>
    <row r="24" spans="1:22" ht="19.95" customHeight="1">
      <c r="E24" s="767"/>
      <c r="F24" s="772">
        <f>'Major Assumption Key'!A36</f>
        <v>2037</v>
      </c>
      <c r="G24" s="901"/>
      <c r="H24" s="901"/>
      <c r="I24" s="902"/>
      <c r="J24" s="784">
        <f t="shared" si="5"/>
        <v>0</v>
      </c>
      <c r="K24" s="903"/>
      <c r="L24" s="859"/>
      <c r="M24" s="864"/>
      <c r="N24" s="773"/>
      <c r="O24" s="855">
        <f>IF(AND($F24&gt;=MIN('Major Assumption Key'!$B$4),$F24&lt;=MAX('Major Assumption Key'!$B$6)),N24,0)</f>
        <v>0</v>
      </c>
      <c r="P24" s="26">
        <f t="shared" si="6"/>
        <v>0</v>
      </c>
      <c r="Q24" s="38">
        <f>P24/(1+'Major Assumption Key'!$B$8)^($F24-'Major Assumption Key'!$B$7)</f>
        <v>0</v>
      </c>
      <c r="R24" s="291"/>
      <c r="S24" s="784">
        <f t="shared" si="7"/>
        <v>0</v>
      </c>
      <c r="T24" s="855">
        <f t="shared" si="8"/>
        <v>0</v>
      </c>
      <c r="U24" s="26">
        <f t="shared" si="9"/>
        <v>0</v>
      </c>
      <c r="V24" s="38">
        <f t="shared" si="10"/>
        <v>0</v>
      </c>
    </row>
    <row r="25" spans="1:22" ht="19.95" customHeight="1">
      <c r="E25" s="767"/>
      <c r="F25" s="772">
        <f>'Major Assumption Key'!A37</f>
        <v>2038</v>
      </c>
      <c r="G25" s="901"/>
      <c r="H25" s="901"/>
      <c r="I25" s="902"/>
      <c r="J25" s="784">
        <f t="shared" si="5"/>
        <v>0</v>
      </c>
      <c r="K25" s="903"/>
      <c r="L25" s="859"/>
      <c r="M25" s="864"/>
      <c r="N25" s="773"/>
      <c r="O25" s="855">
        <f>IF(AND($F25&gt;=MIN('Major Assumption Key'!$B$4),$F25&lt;=MAX('Major Assumption Key'!$B$6)),N25,0)</f>
        <v>0</v>
      </c>
      <c r="P25" s="26">
        <f t="shared" si="6"/>
        <v>0</v>
      </c>
      <c r="Q25" s="38">
        <f>P25/(1+'Major Assumption Key'!$B$8)^($F25-'Major Assumption Key'!$B$7)</f>
        <v>0</v>
      </c>
      <c r="R25" s="291"/>
      <c r="S25" s="784">
        <f t="shared" si="7"/>
        <v>0</v>
      </c>
      <c r="T25" s="855">
        <f t="shared" si="8"/>
        <v>0</v>
      </c>
      <c r="U25" s="26">
        <f t="shared" si="9"/>
        <v>0</v>
      </c>
      <c r="V25" s="38">
        <f t="shared" si="10"/>
        <v>0</v>
      </c>
    </row>
    <row r="26" spans="1:22" ht="19.95" customHeight="1">
      <c r="E26" s="767"/>
      <c r="F26" s="772">
        <f>'Major Assumption Key'!A38</f>
        <v>2039</v>
      </c>
      <c r="G26" s="901"/>
      <c r="H26" s="901"/>
      <c r="I26" s="902"/>
      <c r="J26" s="784">
        <f t="shared" si="5"/>
        <v>0</v>
      </c>
      <c r="K26" s="903"/>
      <c r="L26" s="859"/>
      <c r="M26" s="864"/>
      <c r="N26" s="773"/>
      <c r="O26" s="855">
        <f>IF(AND($F26&gt;=MIN('Major Assumption Key'!$B$4),$F26&lt;=MAX('Major Assumption Key'!$B$6)),N26,0)</f>
        <v>0</v>
      </c>
      <c r="P26" s="26">
        <f t="shared" si="6"/>
        <v>0</v>
      </c>
      <c r="Q26" s="38">
        <f>P26/(1+'Major Assumption Key'!$B$8)^($F26-'Major Assumption Key'!$B$7)</f>
        <v>0</v>
      </c>
      <c r="R26" s="291"/>
      <c r="S26" s="784">
        <f t="shared" si="7"/>
        <v>0</v>
      </c>
      <c r="T26" s="855">
        <f t="shared" si="8"/>
        <v>0</v>
      </c>
      <c r="U26" s="26">
        <f t="shared" si="9"/>
        <v>0</v>
      </c>
      <c r="V26" s="38">
        <f t="shared" si="10"/>
        <v>0</v>
      </c>
    </row>
    <row r="27" spans="1:22" ht="19.95" customHeight="1">
      <c r="E27" s="767"/>
      <c r="F27" s="772">
        <f>'Major Assumption Key'!A39</f>
        <v>2040</v>
      </c>
      <c r="G27" s="901"/>
      <c r="H27" s="901"/>
      <c r="I27" s="902"/>
      <c r="J27" s="784">
        <f t="shared" si="5"/>
        <v>0</v>
      </c>
      <c r="K27" s="903"/>
      <c r="L27" s="859"/>
      <c r="M27" s="864"/>
      <c r="N27" s="773"/>
      <c r="O27" s="855">
        <f>IF(AND($F27&gt;=MIN('Major Assumption Key'!$B$4),$F27&lt;=MAX('Major Assumption Key'!$B$6)),N27,0)</f>
        <v>0</v>
      </c>
      <c r="P27" s="26">
        <f t="shared" si="6"/>
        <v>0</v>
      </c>
      <c r="Q27" s="38">
        <f>P27/(1+'Major Assumption Key'!$B$8)^($F27-'Major Assumption Key'!$B$7)</f>
        <v>0</v>
      </c>
      <c r="R27" s="291"/>
      <c r="S27" s="784">
        <f t="shared" si="7"/>
        <v>0</v>
      </c>
      <c r="T27" s="855">
        <f t="shared" si="8"/>
        <v>0</v>
      </c>
      <c r="U27" s="26">
        <f t="shared" si="9"/>
        <v>0</v>
      </c>
      <c r="V27" s="38">
        <f t="shared" si="10"/>
        <v>0</v>
      </c>
    </row>
    <row r="28" spans="1:22" ht="19.95" customHeight="1">
      <c r="E28" s="767"/>
      <c r="F28" s="772">
        <f>'Major Assumption Key'!A40</f>
        <v>2041</v>
      </c>
      <c r="G28" s="901"/>
      <c r="H28" s="901"/>
      <c r="I28" s="902"/>
      <c r="J28" s="784">
        <f t="shared" si="5"/>
        <v>0</v>
      </c>
      <c r="K28" s="903"/>
      <c r="L28" s="859"/>
      <c r="M28" s="864"/>
      <c r="N28" s="773"/>
      <c r="O28" s="855">
        <f>IF(AND($F28&gt;=MIN('Major Assumption Key'!$B$4),$F28&lt;=MAX('Major Assumption Key'!$B$6)),N28,0)</f>
        <v>0</v>
      </c>
      <c r="P28" s="26">
        <f t="shared" si="6"/>
        <v>0</v>
      </c>
      <c r="Q28" s="38">
        <f>P28/(1+'Major Assumption Key'!$B$8)^($F28-'Major Assumption Key'!$B$7)</f>
        <v>0</v>
      </c>
      <c r="R28" s="291"/>
      <c r="S28" s="784">
        <f t="shared" si="7"/>
        <v>0</v>
      </c>
      <c r="T28" s="855">
        <f t="shared" si="8"/>
        <v>0</v>
      </c>
      <c r="U28" s="26">
        <f t="shared" si="9"/>
        <v>0</v>
      </c>
      <c r="V28" s="38">
        <f t="shared" si="10"/>
        <v>0</v>
      </c>
    </row>
    <row r="29" spans="1:22" ht="19.95" customHeight="1">
      <c r="E29" s="767"/>
      <c r="F29" s="772">
        <f>'Major Assumption Key'!A41</f>
        <v>2042</v>
      </c>
      <c r="G29" s="901"/>
      <c r="H29" s="901"/>
      <c r="I29" s="902"/>
      <c r="J29" s="784">
        <f t="shared" si="5"/>
        <v>0</v>
      </c>
      <c r="K29" s="903"/>
      <c r="L29" s="859"/>
      <c r="M29" s="864"/>
      <c r="N29" s="773"/>
      <c r="O29" s="855">
        <f>IF(AND($F29&gt;=MIN('Major Assumption Key'!$B$4),$F29&lt;=MAX('Major Assumption Key'!$B$6)),N29,0)</f>
        <v>0</v>
      </c>
      <c r="P29" s="26">
        <f t="shared" si="6"/>
        <v>0</v>
      </c>
      <c r="Q29" s="38">
        <f>P29/(1+'Major Assumption Key'!$B$8)^($F29-'Major Assumption Key'!$B$7)</f>
        <v>0</v>
      </c>
      <c r="R29" s="291"/>
      <c r="S29" s="784">
        <f t="shared" si="7"/>
        <v>0</v>
      </c>
      <c r="T29" s="855">
        <f t="shared" si="8"/>
        <v>0</v>
      </c>
      <c r="U29" s="26">
        <f t="shared" si="9"/>
        <v>0</v>
      </c>
      <c r="V29" s="38">
        <f t="shared" si="10"/>
        <v>0</v>
      </c>
    </row>
    <row r="30" spans="1:22" ht="19.95" customHeight="1">
      <c r="E30" s="767"/>
      <c r="F30" s="772">
        <f>'Major Assumption Key'!A42</f>
        <v>2043</v>
      </c>
      <c r="G30" s="901"/>
      <c r="H30" s="901"/>
      <c r="I30" s="902"/>
      <c r="J30" s="784">
        <f t="shared" si="5"/>
        <v>0</v>
      </c>
      <c r="K30" s="903"/>
      <c r="L30" s="859"/>
      <c r="M30" s="864"/>
      <c r="N30" s="773"/>
      <c r="O30" s="855">
        <f>IF(AND($F30&gt;=MIN('Major Assumption Key'!$B$4),$F30&lt;=MAX('Major Assumption Key'!$B$6)),N30,0)</f>
        <v>0</v>
      </c>
      <c r="P30" s="26">
        <f t="shared" si="6"/>
        <v>0</v>
      </c>
      <c r="Q30" s="38">
        <f>P30/(1+'Major Assumption Key'!$B$8)^($F30-'Major Assumption Key'!$B$7)</f>
        <v>0</v>
      </c>
      <c r="R30" s="291"/>
      <c r="S30" s="784">
        <f t="shared" si="7"/>
        <v>0</v>
      </c>
      <c r="T30" s="855">
        <f t="shared" si="8"/>
        <v>0</v>
      </c>
      <c r="U30" s="26">
        <f t="shared" si="9"/>
        <v>0</v>
      </c>
      <c r="V30" s="38">
        <f t="shared" si="10"/>
        <v>0</v>
      </c>
    </row>
    <row r="31" spans="1:22" ht="19.95" customHeight="1">
      <c r="D31" s="13"/>
      <c r="E31" s="767"/>
      <c r="F31" s="772">
        <f>'Major Assumption Key'!A43</f>
        <v>2044</v>
      </c>
      <c r="G31" s="901"/>
      <c r="H31" s="901"/>
      <c r="I31" s="902"/>
      <c r="J31" s="784">
        <f t="shared" si="5"/>
        <v>0</v>
      </c>
      <c r="K31" s="903"/>
      <c r="L31" s="859"/>
      <c r="M31" s="864"/>
      <c r="N31" s="773"/>
      <c r="O31" s="855">
        <f>IF(AND($F31&gt;=MIN('Major Assumption Key'!$B$4),$F31&lt;=MAX('Major Assumption Key'!$B$6)),N31,0)</f>
        <v>0</v>
      </c>
      <c r="P31" s="26">
        <f t="shared" si="6"/>
        <v>0</v>
      </c>
      <c r="Q31" s="38">
        <f>P31/(1+'Major Assumption Key'!$B$8)^($F31-'Major Assumption Key'!$B$7)</f>
        <v>0</v>
      </c>
      <c r="R31" s="291"/>
      <c r="S31" s="784">
        <f t="shared" si="7"/>
        <v>0</v>
      </c>
      <c r="T31" s="855">
        <f t="shared" si="8"/>
        <v>0</v>
      </c>
      <c r="U31" s="26">
        <f t="shared" si="9"/>
        <v>0</v>
      </c>
      <c r="V31" s="38">
        <f t="shared" si="10"/>
        <v>0</v>
      </c>
    </row>
    <row r="32" spans="1:22" ht="19.95" customHeight="1">
      <c r="A32" s="13"/>
      <c r="B32" s="13"/>
      <c r="C32" s="13"/>
      <c r="D32" s="13"/>
      <c r="F32" s="772">
        <f>'Major Assumption Key'!A44</f>
        <v>2045</v>
      </c>
      <c r="G32" s="901"/>
      <c r="H32" s="901"/>
      <c r="I32" s="902"/>
      <c r="J32" s="784">
        <f t="shared" si="5"/>
        <v>0</v>
      </c>
      <c r="K32" s="903"/>
      <c r="L32" s="859"/>
      <c r="M32" s="864"/>
      <c r="N32" s="773"/>
      <c r="O32" s="855">
        <f>IF(AND($F32&gt;=MIN('Major Assumption Key'!$B$4),$F32&lt;=MAX('Major Assumption Key'!$B$6)),N32,0)</f>
        <v>0</v>
      </c>
      <c r="P32" s="26">
        <f t="shared" si="6"/>
        <v>0</v>
      </c>
      <c r="Q32" s="38">
        <f>P32/(1+'Major Assumption Key'!$B$8)^($F32-'Major Assumption Key'!$B$7)</f>
        <v>0</v>
      </c>
      <c r="R32" s="291"/>
      <c r="S32" s="784">
        <f t="shared" si="7"/>
        <v>0</v>
      </c>
      <c r="T32" s="855">
        <f t="shared" si="8"/>
        <v>0</v>
      </c>
      <c r="U32" s="26">
        <f t="shared" si="9"/>
        <v>0</v>
      </c>
      <c r="V32" s="38">
        <f t="shared" si="10"/>
        <v>0</v>
      </c>
    </row>
    <row r="33" spans="1:22" ht="19.95" customHeight="1">
      <c r="A33" s="13"/>
      <c r="B33" s="13"/>
      <c r="C33" s="13"/>
      <c r="D33" s="13"/>
      <c r="F33" s="772">
        <f>'Major Assumption Key'!A45</f>
        <v>2046</v>
      </c>
      <c r="G33" s="901"/>
      <c r="H33" s="901"/>
      <c r="I33" s="902"/>
      <c r="J33" s="784">
        <f t="shared" si="5"/>
        <v>0</v>
      </c>
      <c r="K33" s="903"/>
      <c r="L33" s="859"/>
      <c r="M33" s="864"/>
      <c r="N33" s="773"/>
      <c r="O33" s="855">
        <f>IF(AND($F33&gt;=MIN('Major Assumption Key'!$B$4),$F33&lt;=MAX('Major Assumption Key'!$B$6)),N33,0)</f>
        <v>0</v>
      </c>
      <c r="P33" s="26">
        <f t="shared" si="6"/>
        <v>0</v>
      </c>
      <c r="Q33" s="38">
        <f>P33/(1+'Major Assumption Key'!$B$8)^($F33-'Major Assumption Key'!$B$7)</f>
        <v>0</v>
      </c>
      <c r="R33" s="291"/>
      <c r="S33" s="784">
        <f t="shared" si="7"/>
        <v>0</v>
      </c>
      <c r="T33" s="855">
        <f t="shared" si="8"/>
        <v>0</v>
      </c>
      <c r="U33" s="26">
        <f t="shared" si="9"/>
        <v>0</v>
      </c>
      <c r="V33" s="38">
        <f t="shared" si="10"/>
        <v>0</v>
      </c>
    </row>
    <row r="34" spans="1:22" ht="19.95" customHeight="1">
      <c r="A34" s="13"/>
      <c r="B34" s="13"/>
      <c r="C34" s="13"/>
      <c r="D34" s="13"/>
      <c r="F34" s="772">
        <f>'Major Assumption Key'!A46</f>
        <v>2047</v>
      </c>
      <c r="G34" s="901"/>
      <c r="H34" s="901"/>
      <c r="I34" s="902"/>
      <c r="J34" s="784">
        <f t="shared" si="5"/>
        <v>0</v>
      </c>
      <c r="K34" s="903"/>
      <c r="L34" s="859"/>
      <c r="M34" s="864"/>
      <c r="N34" s="773"/>
      <c r="O34" s="855">
        <f>IF(AND($F34&gt;=MIN('Major Assumption Key'!$B$4),$F34&lt;=MAX('Major Assumption Key'!$B$6)),N34,0)</f>
        <v>0</v>
      </c>
      <c r="P34" s="26">
        <f t="shared" si="6"/>
        <v>0</v>
      </c>
      <c r="Q34" s="38">
        <f>P34/(1+'Major Assumption Key'!$B$8)^($F34-'Major Assumption Key'!$B$7)</f>
        <v>0</v>
      </c>
      <c r="R34" s="291"/>
      <c r="S34" s="784">
        <f t="shared" si="7"/>
        <v>0</v>
      </c>
      <c r="T34" s="855">
        <f t="shared" si="8"/>
        <v>0</v>
      </c>
      <c r="U34" s="26">
        <f t="shared" si="9"/>
        <v>0</v>
      </c>
      <c r="V34" s="38">
        <f t="shared" si="10"/>
        <v>0</v>
      </c>
    </row>
    <row r="35" spans="1:22" ht="19.95" customHeight="1">
      <c r="A35" s="13"/>
      <c r="B35" s="13"/>
      <c r="C35" s="13"/>
      <c r="D35" s="13"/>
      <c r="F35" s="772">
        <f>'Major Assumption Key'!A47</f>
        <v>2048</v>
      </c>
      <c r="G35" s="901"/>
      <c r="H35" s="901"/>
      <c r="I35" s="902"/>
      <c r="J35" s="784">
        <f t="shared" si="5"/>
        <v>0</v>
      </c>
      <c r="K35" s="903"/>
      <c r="L35" s="859"/>
      <c r="M35" s="864"/>
      <c r="N35" s="773"/>
      <c r="O35" s="855">
        <f>IF(AND($F35&gt;=MIN('Major Assumption Key'!$B$4),$F35&lt;=MAX('Major Assumption Key'!$B$6)),N35,0)</f>
        <v>0</v>
      </c>
      <c r="P35" s="26">
        <f t="shared" si="6"/>
        <v>0</v>
      </c>
      <c r="Q35" s="38">
        <f>P35/(1+'Major Assumption Key'!$B$8)^($F35-'Major Assumption Key'!$B$7)</f>
        <v>0</v>
      </c>
      <c r="R35" s="291"/>
      <c r="S35" s="784">
        <f t="shared" si="7"/>
        <v>0</v>
      </c>
      <c r="T35" s="855">
        <f t="shared" si="8"/>
        <v>0</v>
      </c>
      <c r="U35" s="26">
        <f t="shared" si="9"/>
        <v>0</v>
      </c>
      <c r="V35" s="38">
        <f t="shared" si="10"/>
        <v>0</v>
      </c>
    </row>
    <row r="36" spans="1:22" ht="19.95" customHeight="1">
      <c r="A36" s="13"/>
      <c r="B36" s="13"/>
      <c r="C36" s="13"/>
      <c r="F36" s="772">
        <f>'Major Assumption Key'!A48</f>
        <v>2049</v>
      </c>
      <c r="G36" s="901"/>
      <c r="H36" s="901"/>
      <c r="I36" s="902"/>
      <c r="J36" s="784">
        <f t="shared" si="5"/>
        <v>0</v>
      </c>
      <c r="K36" s="903"/>
      <c r="L36" s="859"/>
      <c r="M36" s="864"/>
      <c r="N36" s="773"/>
      <c r="O36" s="855">
        <f>IF(AND($F36&gt;=MIN('Major Assumption Key'!$B$4),$F36&lt;=MAX('Major Assumption Key'!$B$6)),N36,0)</f>
        <v>0</v>
      </c>
      <c r="P36" s="26">
        <f t="shared" si="6"/>
        <v>0</v>
      </c>
      <c r="Q36" s="38">
        <f>P36/(1+'Major Assumption Key'!$B$8)^($F36-'Major Assumption Key'!$B$7)</f>
        <v>0</v>
      </c>
      <c r="R36" s="291"/>
      <c r="S36" s="784">
        <f t="shared" si="7"/>
        <v>0</v>
      </c>
      <c r="T36" s="855">
        <f t="shared" si="8"/>
        <v>0</v>
      </c>
      <c r="U36" s="26">
        <f t="shared" si="9"/>
        <v>0</v>
      </c>
      <c r="V36" s="38">
        <f t="shared" si="10"/>
        <v>0</v>
      </c>
    </row>
    <row r="37" spans="1:22" ht="19.95" customHeight="1">
      <c r="F37" s="772">
        <f>'Major Assumption Key'!A49</f>
        <v>2050</v>
      </c>
      <c r="G37" s="901"/>
      <c r="H37" s="901"/>
      <c r="I37" s="902"/>
      <c r="J37" s="784">
        <f t="shared" si="5"/>
        <v>0</v>
      </c>
      <c r="K37" s="903"/>
      <c r="L37" s="859"/>
      <c r="M37" s="864"/>
      <c r="N37" s="773"/>
      <c r="O37" s="855">
        <f>IF(AND($F37&gt;=MIN('Major Assumption Key'!$B$4),$F37&lt;=MAX('Major Assumption Key'!$B$6)),N37,0)</f>
        <v>0</v>
      </c>
      <c r="P37" s="26">
        <f t="shared" si="6"/>
        <v>0</v>
      </c>
      <c r="Q37" s="38">
        <f>P37/(1+'Major Assumption Key'!$B$8)^($F37-'Major Assumption Key'!$B$7)</f>
        <v>0</v>
      </c>
      <c r="R37" s="291"/>
      <c r="S37" s="784">
        <f t="shared" si="7"/>
        <v>0</v>
      </c>
      <c r="T37" s="855">
        <f t="shared" si="8"/>
        <v>0</v>
      </c>
      <c r="U37" s="26">
        <f t="shared" si="9"/>
        <v>0</v>
      </c>
      <c r="V37" s="38">
        <f t="shared" si="10"/>
        <v>0</v>
      </c>
    </row>
    <row r="38" spans="1:22" ht="19.95" customHeight="1">
      <c r="F38" s="772">
        <f>'Major Assumption Key'!A50</f>
        <v>2051</v>
      </c>
      <c r="G38" s="901"/>
      <c r="H38" s="901"/>
      <c r="I38" s="902"/>
      <c r="J38" s="784">
        <f t="shared" si="5"/>
        <v>0</v>
      </c>
      <c r="K38" s="903"/>
      <c r="L38" s="859"/>
      <c r="M38" s="864"/>
      <c r="N38" s="773"/>
      <c r="O38" s="855">
        <f>IF(AND($F38&gt;=MIN('Major Assumption Key'!$B$4),$F38&lt;=MAX('Major Assumption Key'!$B$6)),N38,0)</f>
        <v>0</v>
      </c>
      <c r="P38" s="26">
        <f t="shared" si="6"/>
        <v>0</v>
      </c>
      <c r="Q38" s="38">
        <f>P38/(1+'Major Assumption Key'!$B$8)^($F38-'Major Assumption Key'!$B$7)</f>
        <v>0</v>
      </c>
      <c r="R38" s="291"/>
      <c r="S38" s="784">
        <f t="shared" si="7"/>
        <v>0</v>
      </c>
      <c r="T38" s="855">
        <f t="shared" si="8"/>
        <v>0</v>
      </c>
      <c r="U38" s="26">
        <f t="shared" si="9"/>
        <v>0</v>
      </c>
      <c r="V38" s="38">
        <f t="shared" si="10"/>
        <v>0</v>
      </c>
    </row>
    <row r="39" spans="1:22" ht="19.95" customHeight="1">
      <c r="F39" s="772">
        <f>'Major Assumption Key'!A51</f>
        <v>2052</v>
      </c>
      <c r="G39" s="901"/>
      <c r="H39" s="901"/>
      <c r="I39" s="902"/>
      <c r="J39" s="784">
        <f t="shared" si="5"/>
        <v>0</v>
      </c>
      <c r="K39" s="903"/>
      <c r="L39" s="859"/>
      <c r="M39" s="864"/>
      <c r="N39" s="773"/>
      <c r="O39" s="855">
        <f>IF(AND($F39&gt;=MIN('Major Assumption Key'!$B$4),$F39&lt;=MAX('Major Assumption Key'!$B$6)),N39,0)</f>
        <v>0</v>
      </c>
      <c r="P39" s="26">
        <f t="shared" si="6"/>
        <v>0</v>
      </c>
      <c r="Q39" s="38">
        <f>P39/(1+'Major Assumption Key'!$B$8)^($F39-'Major Assumption Key'!$B$7)</f>
        <v>0</v>
      </c>
      <c r="R39" s="291"/>
      <c r="S39" s="784">
        <f t="shared" si="7"/>
        <v>0</v>
      </c>
      <c r="T39" s="855">
        <f t="shared" si="8"/>
        <v>0</v>
      </c>
      <c r="U39" s="26">
        <f t="shared" si="9"/>
        <v>0</v>
      </c>
      <c r="V39" s="38">
        <f t="shared" si="10"/>
        <v>0</v>
      </c>
    </row>
    <row r="40" spans="1:22" ht="19.95" customHeight="1">
      <c r="F40" s="772">
        <f>'Major Assumption Key'!A52</f>
        <v>2053</v>
      </c>
      <c r="G40" s="901"/>
      <c r="H40" s="901"/>
      <c r="I40" s="902"/>
      <c r="J40" s="784">
        <f t="shared" si="5"/>
        <v>0</v>
      </c>
      <c r="K40" s="903"/>
      <c r="L40" s="859"/>
      <c r="M40" s="864"/>
      <c r="N40" s="773"/>
      <c r="O40" s="855">
        <f>IF(AND($F40&gt;=MIN('Major Assumption Key'!$B$4),$F40&lt;=MAX('Major Assumption Key'!$B$6)),N40,0)</f>
        <v>0</v>
      </c>
      <c r="P40" s="26">
        <f t="shared" si="6"/>
        <v>0</v>
      </c>
      <c r="Q40" s="38">
        <f>P40/(1+'Major Assumption Key'!$B$8)^($F40-'Major Assumption Key'!$B$7)</f>
        <v>0</v>
      </c>
      <c r="R40" s="291"/>
      <c r="S40" s="784">
        <f t="shared" si="7"/>
        <v>0</v>
      </c>
      <c r="T40" s="855">
        <f t="shared" si="8"/>
        <v>0</v>
      </c>
      <c r="U40" s="26">
        <f t="shared" si="9"/>
        <v>0</v>
      </c>
      <c r="V40" s="38">
        <f t="shared" si="10"/>
        <v>0</v>
      </c>
    </row>
    <row r="41" spans="1:22" ht="19.95" customHeight="1">
      <c r="F41" s="772">
        <f>'Major Assumption Key'!A53</f>
        <v>2054</v>
      </c>
      <c r="G41" s="901"/>
      <c r="H41" s="901"/>
      <c r="I41" s="902"/>
      <c r="J41" s="784">
        <f t="shared" si="5"/>
        <v>0</v>
      </c>
      <c r="K41" s="903"/>
      <c r="L41" s="859"/>
      <c r="M41" s="864"/>
      <c r="N41" s="773"/>
      <c r="O41" s="855">
        <f>IF(AND($F41&gt;=MIN('Major Assumption Key'!$B$4),$F41&lt;=MAX('Major Assumption Key'!$B$6)),N41,0)</f>
        <v>0</v>
      </c>
      <c r="P41" s="26">
        <f t="shared" si="6"/>
        <v>0</v>
      </c>
      <c r="Q41" s="38">
        <f>P41/(1+'Major Assumption Key'!$B$8)^($F41-'Major Assumption Key'!$B$7)</f>
        <v>0</v>
      </c>
      <c r="R41" s="291"/>
      <c r="S41" s="784">
        <f t="shared" si="7"/>
        <v>0</v>
      </c>
      <c r="T41" s="855">
        <f t="shared" si="8"/>
        <v>0</v>
      </c>
      <c r="U41" s="26">
        <f t="shared" si="9"/>
        <v>0</v>
      </c>
      <c r="V41" s="38">
        <f t="shared" si="10"/>
        <v>0</v>
      </c>
    </row>
    <row r="42" spans="1:22" ht="19.95" customHeight="1">
      <c r="F42" s="772">
        <f>'Major Assumption Key'!A54</f>
        <v>2055</v>
      </c>
      <c r="G42" s="901"/>
      <c r="H42" s="901"/>
      <c r="I42" s="902"/>
      <c r="J42" s="784">
        <f t="shared" si="5"/>
        <v>0</v>
      </c>
      <c r="K42" s="903"/>
      <c r="L42" s="859"/>
      <c r="M42" s="864"/>
      <c r="N42" s="773"/>
      <c r="O42" s="855">
        <f>IF(AND($F42&gt;=MIN('Major Assumption Key'!$B$4),$F42&lt;=MAX('Major Assumption Key'!$B$6)),N42,0)</f>
        <v>0</v>
      </c>
      <c r="P42" s="26">
        <f t="shared" si="6"/>
        <v>0</v>
      </c>
      <c r="Q42" s="38">
        <f>P42/(1+'Major Assumption Key'!$B$8)^($F42-'Major Assumption Key'!$B$7)</f>
        <v>0</v>
      </c>
      <c r="R42" s="291"/>
      <c r="S42" s="784">
        <f t="shared" si="7"/>
        <v>0</v>
      </c>
      <c r="T42" s="855">
        <f t="shared" si="8"/>
        <v>0</v>
      </c>
      <c r="U42" s="26">
        <f t="shared" si="9"/>
        <v>0</v>
      </c>
      <c r="V42" s="38">
        <f t="shared" si="10"/>
        <v>0</v>
      </c>
    </row>
    <row r="43" spans="1:22" ht="19.95" customHeight="1">
      <c r="F43" s="772">
        <f>'Major Assumption Key'!A55</f>
        <v>2056</v>
      </c>
      <c r="G43" s="901"/>
      <c r="H43" s="901"/>
      <c r="I43" s="902"/>
      <c r="J43" s="784">
        <f t="shared" si="5"/>
        <v>0</v>
      </c>
      <c r="K43" s="903"/>
      <c r="L43" s="859"/>
      <c r="M43" s="864"/>
      <c r="N43" s="773"/>
      <c r="O43" s="855">
        <f>IF(AND($F43&gt;=MIN('Major Assumption Key'!$B$4),$F43&lt;=MAX('Major Assumption Key'!$B$6)),N43,0)</f>
        <v>0</v>
      </c>
      <c r="P43" s="26">
        <f t="shared" si="6"/>
        <v>0</v>
      </c>
      <c r="Q43" s="38">
        <f>P43/(1+'Major Assumption Key'!$B$8)^($F43-'Major Assumption Key'!$B$7)</f>
        <v>0</v>
      </c>
      <c r="R43" s="291"/>
      <c r="S43" s="784">
        <f t="shared" si="7"/>
        <v>0</v>
      </c>
      <c r="T43" s="855">
        <f t="shared" si="8"/>
        <v>0</v>
      </c>
      <c r="U43" s="26">
        <f t="shared" si="9"/>
        <v>0</v>
      </c>
      <c r="V43" s="38">
        <f t="shared" si="10"/>
        <v>0</v>
      </c>
    </row>
    <row r="44" spans="1:22" ht="19.95" customHeight="1">
      <c r="F44" s="772">
        <f>'Major Assumption Key'!A56</f>
        <v>2057</v>
      </c>
      <c r="G44" s="901"/>
      <c r="H44" s="901"/>
      <c r="I44" s="902"/>
      <c r="J44" s="784">
        <f t="shared" si="5"/>
        <v>0</v>
      </c>
      <c r="K44" s="903"/>
      <c r="L44" s="859"/>
      <c r="M44" s="864"/>
      <c r="N44" s="773"/>
      <c r="O44" s="855">
        <f>IF(AND($F44&gt;=MIN('Major Assumption Key'!$B$4),$F44&lt;=MAX('Major Assumption Key'!$B$6)),N44,0)</f>
        <v>0</v>
      </c>
      <c r="P44" s="26">
        <f t="shared" si="6"/>
        <v>0</v>
      </c>
      <c r="Q44" s="38">
        <f>P44/(1+'Major Assumption Key'!$B$8)^($F44-'Major Assumption Key'!$B$7)</f>
        <v>0</v>
      </c>
      <c r="R44" s="291"/>
      <c r="S44" s="784">
        <f t="shared" si="7"/>
        <v>0</v>
      </c>
      <c r="T44" s="855">
        <f t="shared" si="8"/>
        <v>0</v>
      </c>
      <c r="U44" s="26">
        <f t="shared" si="9"/>
        <v>0</v>
      </c>
      <c r="V44" s="38">
        <f t="shared" si="10"/>
        <v>0</v>
      </c>
    </row>
    <row r="45" spans="1:22" ht="19.95" customHeight="1">
      <c r="F45" s="772">
        <f>'Major Assumption Key'!A57</f>
        <v>2058</v>
      </c>
      <c r="G45" s="901"/>
      <c r="H45" s="901"/>
      <c r="I45" s="902"/>
      <c r="J45" s="784">
        <f t="shared" si="5"/>
        <v>0</v>
      </c>
      <c r="K45" s="903"/>
      <c r="L45" s="859"/>
      <c r="M45" s="864"/>
      <c r="N45" s="773"/>
      <c r="O45" s="855">
        <f>IF(AND($F45&gt;=MIN('Major Assumption Key'!$B$4),$F45&lt;=MAX('Major Assumption Key'!$B$6)),N45,0)</f>
        <v>0</v>
      </c>
      <c r="P45" s="26">
        <f t="shared" si="6"/>
        <v>0</v>
      </c>
      <c r="Q45" s="38">
        <f>P45/(1+'Major Assumption Key'!$B$8)^($F45-'Major Assumption Key'!$B$7)</f>
        <v>0</v>
      </c>
      <c r="R45" s="291"/>
      <c r="S45" s="784">
        <f t="shared" si="7"/>
        <v>0</v>
      </c>
      <c r="T45" s="855">
        <f t="shared" si="8"/>
        <v>0</v>
      </c>
      <c r="U45" s="26">
        <f t="shared" si="9"/>
        <v>0</v>
      </c>
      <c r="V45" s="38">
        <f t="shared" si="10"/>
        <v>0</v>
      </c>
    </row>
    <row r="46" spans="1:22" ht="19.95" customHeight="1">
      <c r="F46" s="772">
        <f>'Major Assumption Key'!A58</f>
        <v>2059</v>
      </c>
      <c r="G46" s="901"/>
      <c r="H46" s="901"/>
      <c r="I46" s="902"/>
      <c r="J46" s="784">
        <f t="shared" si="5"/>
        <v>0</v>
      </c>
      <c r="K46" s="903"/>
      <c r="L46" s="859"/>
      <c r="M46" s="864"/>
      <c r="N46" s="773"/>
      <c r="O46" s="855">
        <f>IF(AND($F46&gt;=MIN('Major Assumption Key'!$B$4),$F46&lt;=MAX('Major Assumption Key'!$B$6)),N46,0)</f>
        <v>0</v>
      </c>
      <c r="P46" s="26">
        <f t="shared" si="6"/>
        <v>0</v>
      </c>
      <c r="Q46" s="38">
        <f>P46/(1+'Major Assumption Key'!$B$8)^($F46-'Major Assumption Key'!$B$7)</f>
        <v>0</v>
      </c>
      <c r="R46" s="291"/>
      <c r="S46" s="784">
        <f t="shared" si="7"/>
        <v>0</v>
      </c>
      <c r="T46" s="855">
        <f t="shared" si="8"/>
        <v>0</v>
      </c>
      <c r="U46" s="26">
        <f t="shared" si="9"/>
        <v>0</v>
      </c>
      <c r="V46" s="38">
        <f t="shared" si="10"/>
        <v>0</v>
      </c>
    </row>
    <row r="47" spans="1:22" ht="19.95" customHeight="1">
      <c r="F47" s="772">
        <f>'Major Assumption Key'!A59</f>
        <v>2060</v>
      </c>
      <c r="G47" s="901"/>
      <c r="H47" s="901"/>
      <c r="I47" s="902"/>
      <c r="J47" s="784">
        <f t="shared" si="5"/>
        <v>0</v>
      </c>
      <c r="K47" s="903"/>
      <c r="L47" s="859"/>
      <c r="M47" s="864"/>
      <c r="N47" s="773"/>
      <c r="O47" s="855">
        <f>IF(AND($F47&gt;=MIN('Major Assumption Key'!$B$4),$F47&lt;=MAX('Major Assumption Key'!$B$6)),N47,0)</f>
        <v>0</v>
      </c>
      <c r="P47" s="26">
        <f t="shared" si="6"/>
        <v>0</v>
      </c>
      <c r="Q47" s="38">
        <f>P47/(1+'Major Assumption Key'!$B$8)^($F47-'Major Assumption Key'!$B$7)</f>
        <v>0</v>
      </c>
      <c r="R47" s="291"/>
      <c r="S47" s="784">
        <f t="shared" si="7"/>
        <v>0</v>
      </c>
      <c r="T47" s="855">
        <f t="shared" si="8"/>
        <v>0</v>
      </c>
      <c r="U47" s="26">
        <f t="shared" si="9"/>
        <v>0</v>
      </c>
      <c r="V47" s="38">
        <f t="shared" si="10"/>
        <v>0</v>
      </c>
    </row>
    <row r="48" spans="1:22" ht="19.95" customHeight="1" thickBot="1">
      <c r="F48" s="115" t="s">
        <v>504</v>
      </c>
      <c r="G48" s="412"/>
      <c r="H48" s="412"/>
      <c r="I48" s="392"/>
      <c r="J48" s="118">
        <f>SUM(J7:J38)</f>
        <v>0</v>
      </c>
      <c r="K48" s="116"/>
      <c r="L48" s="116"/>
      <c r="M48" s="116"/>
      <c r="N48" s="27"/>
      <c r="O48" s="119">
        <f>SUM(O7:O38)</f>
        <v>0</v>
      </c>
      <c r="P48" s="19">
        <f>SUM(P7:P38)</f>
        <v>0</v>
      </c>
      <c r="Q48" s="20">
        <f>SUM(Q7:Q38)</f>
        <v>0</v>
      </c>
      <c r="R48" s="291"/>
      <c r="S48" s="118">
        <f>ROUND(J48,-3)</f>
        <v>0</v>
      </c>
      <c r="T48" s="119">
        <f t="shared" si="3"/>
        <v>0</v>
      </c>
      <c r="U48" s="19">
        <f t="shared" ref="U48" si="11">ROUND(P48,-3)</f>
        <v>0</v>
      </c>
      <c r="V48" s="20">
        <f t="shared" ref="V48" si="12">ROUND(Q48,-3)</f>
        <v>0</v>
      </c>
    </row>
    <row r="49" spans="10:21" ht="19.95" customHeight="1">
      <c r="J49" s="51"/>
      <c r="O49" s="51"/>
    </row>
    <row r="50" spans="10:21" ht="19.95" customHeight="1"/>
    <row r="51" spans="10:21" ht="19.95" customHeight="1"/>
    <row r="52" spans="10:21" ht="19.95" customHeight="1">
      <c r="U52" s="767"/>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topLeftCell="A12" workbookViewId="0">
      <selection sqref="A1:XFD1048576"/>
    </sheetView>
  </sheetViews>
  <sheetFormatPr defaultColWidth="9.21875" defaultRowHeight="14.4"/>
  <cols>
    <col min="1" max="1" width="64.21875" style="1145" bestFit="1" customWidth="1"/>
    <col min="2" max="2" width="19.44140625" style="1145" customWidth="1"/>
    <col min="3" max="3" width="28.21875" style="1145" customWidth="1"/>
    <col min="4" max="4" width="36.5546875" style="1145" customWidth="1"/>
    <col min="5" max="5" width="7.5546875" style="1145" customWidth="1"/>
    <col min="6" max="6" width="31" style="1145" customWidth="1"/>
    <col min="7" max="7" width="19.77734375" style="1186" customWidth="1"/>
    <col min="8" max="8" width="23.21875" style="1186" customWidth="1"/>
    <col min="9" max="9" width="43.21875" style="1145" bestFit="1" customWidth="1"/>
    <col min="10" max="11" width="19.77734375" style="1145" customWidth="1"/>
    <col min="12" max="12" width="23.21875" style="1186" customWidth="1"/>
    <col min="13" max="13" width="43.21875" style="1145" bestFit="1" customWidth="1"/>
    <col min="14" max="14" width="19.77734375" style="1145" customWidth="1"/>
    <col min="15" max="15" width="20" style="1145" bestFit="1" customWidth="1"/>
    <col min="16" max="16" width="18.21875" style="1145" bestFit="1" customWidth="1"/>
    <col min="17" max="17" width="9.21875" style="1149"/>
    <col min="18" max="21" width="13.21875" style="1149" customWidth="1"/>
    <col min="22" max="27" width="9.21875" style="1149"/>
    <col min="28" max="37" width="9.21875" style="1013"/>
    <col min="38" max="38" width="9.21875" style="1149"/>
    <col min="39" max="39" width="11.21875" style="1149" bestFit="1" customWidth="1"/>
    <col min="40" max="16384" width="9.21875" style="1149"/>
  </cols>
  <sheetData>
    <row r="1" spans="1:21" ht="25.2" customHeight="1">
      <c r="A1" s="1009" t="s">
        <v>185</v>
      </c>
      <c r="B1" s="1143" t="s">
        <v>7130</v>
      </c>
      <c r="C1" s="1172"/>
      <c r="D1" s="1172"/>
      <c r="E1" s="1172"/>
      <c r="F1" s="1011"/>
      <c r="G1" s="1201"/>
    </row>
    <row r="2" spans="1:21" ht="15" thickBot="1">
      <c r="A2" s="1173"/>
      <c r="B2" s="1173"/>
      <c r="C2" s="1173"/>
      <c r="D2" s="1173"/>
      <c r="E2" s="1173"/>
    </row>
    <row r="3" spans="1:21" ht="60" customHeight="1">
      <c r="A3" s="1147" t="s">
        <v>482</v>
      </c>
      <c r="B3" s="1875" t="s">
        <v>7123</v>
      </c>
      <c r="C3" s="1875"/>
      <c r="D3" s="1875"/>
      <c r="E3" s="1174"/>
      <c r="F3" s="1872" t="s">
        <v>484</v>
      </c>
      <c r="G3" s="1873"/>
      <c r="H3" s="1873"/>
      <c r="I3" s="1873"/>
      <c r="J3" s="1873"/>
      <c r="K3" s="1873"/>
      <c r="L3" s="1873"/>
      <c r="M3" s="1873"/>
      <c r="N3" s="1873"/>
      <c r="O3" s="1873"/>
      <c r="P3" s="1874"/>
      <c r="Q3" s="1155"/>
      <c r="R3" s="1961" t="s">
        <v>420</v>
      </c>
      <c r="S3" s="1961"/>
      <c r="T3" s="1961"/>
      <c r="U3" s="1961"/>
    </row>
    <row r="4" spans="1:21" ht="18">
      <c r="A4" s="1175"/>
      <c r="B4" s="1175"/>
      <c r="C4" s="1175"/>
      <c r="D4" s="1175"/>
      <c r="E4" s="1174"/>
      <c r="F4" s="1189" t="s">
        <v>485</v>
      </c>
      <c r="G4" s="1190" t="s">
        <v>66</v>
      </c>
      <c r="H4" s="1190" t="s">
        <v>66</v>
      </c>
      <c r="I4" s="1191" t="s">
        <v>66</v>
      </c>
      <c r="J4" s="1156" t="s">
        <v>66</v>
      </c>
      <c r="K4" s="1191" t="s">
        <v>131</v>
      </c>
      <c r="L4" s="1190" t="s">
        <v>131</v>
      </c>
      <c r="M4" s="1192" t="s">
        <v>131</v>
      </c>
      <c r="N4" s="1157" t="s">
        <v>131</v>
      </c>
      <c r="O4" s="1868" t="s">
        <v>488</v>
      </c>
      <c r="P4" s="1869"/>
      <c r="Q4" s="1155"/>
      <c r="R4" s="1156" t="s">
        <v>66</v>
      </c>
      <c r="S4" s="1157" t="s">
        <v>131</v>
      </c>
      <c r="T4" s="1868" t="s">
        <v>488</v>
      </c>
      <c r="U4" s="1869"/>
    </row>
    <row r="5" spans="1:21" ht="60" customHeight="1" thickBot="1">
      <c r="A5" s="1489" t="s">
        <v>489</v>
      </c>
      <c r="B5" s="2053" t="s">
        <v>7131</v>
      </c>
      <c r="C5" s="2053"/>
      <c r="D5" s="2053"/>
      <c r="E5" s="1173"/>
      <c r="F5" s="1528" t="s">
        <v>491</v>
      </c>
      <c r="G5" s="1541" t="s">
        <v>493</v>
      </c>
      <c r="H5" s="1541" t="s">
        <v>494</v>
      </c>
      <c r="I5" s="1529" t="s">
        <v>1194</v>
      </c>
      <c r="J5" s="1494" t="s">
        <v>15</v>
      </c>
      <c r="K5" s="1529" t="s">
        <v>493</v>
      </c>
      <c r="L5" s="1541" t="s">
        <v>494</v>
      </c>
      <c r="M5" s="1529" t="s">
        <v>1194</v>
      </c>
      <c r="N5" s="1495" t="s">
        <v>15</v>
      </c>
      <c r="O5" s="1870"/>
      <c r="P5" s="1871"/>
      <c r="Q5" s="1155"/>
      <c r="R5" s="1494" t="s">
        <v>15</v>
      </c>
      <c r="S5" s="1495" t="s">
        <v>15</v>
      </c>
      <c r="T5" s="1870"/>
      <c r="U5" s="1871"/>
    </row>
    <row r="6" spans="1:21" ht="60" customHeight="1">
      <c r="A6" s="1237"/>
      <c r="B6" s="1237"/>
      <c r="C6" s="1237"/>
      <c r="D6" s="1237"/>
      <c r="E6" s="1173"/>
      <c r="F6" s="1528"/>
      <c r="G6" s="1541" t="s">
        <v>7132</v>
      </c>
      <c r="H6" s="1541" t="s">
        <v>7133</v>
      </c>
      <c r="I6" s="1529" t="s">
        <v>7134</v>
      </c>
      <c r="J6" s="1494" t="s">
        <v>7135</v>
      </c>
      <c r="K6" s="1529" t="s">
        <v>7132</v>
      </c>
      <c r="L6" s="1541" t="s">
        <v>7133</v>
      </c>
      <c r="M6" s="1529" t="s">
        <v>7134</v>
      </c>
      <c r="N6" s="1495" t="s">
        <v>7135</v>
      </c>
      <c r="O6" s="1500" t="s">
        <v>419</v>
      </c>
      <c r="P6" s="1501" t="str">
        <f>"Discounted @ "&amp;TEXT('Major Assumption Key'!$B$8,"0.0%")</f>
        <v>Discounted @ 3.1%</v>
      </c>
      <c r="Q6" s="1155"/>
      <c r="R6" s="1494" t="s">
        <v>7135</v>
      </c>
      <c r="S6" s="1495" t="s">
        <v>7135</v>
      </c>
      <c r="T6" s="1500" t="s">
        <v>419</v>
      </c>
      <c r="U6" s="1501" t="str">
        <f>"Discounted @ "&amp;TEXT('Major Assumption Key'!$B$8,"0.0%")</f>
        <v>Discounted @ 3.1%</v>
      </c>
    </row>
    <row r="7" spans="1:21" ht="19.95" customHeight="1">
      <c r="C7" s="1173"/>
      <c r="E7" s="1173"/>
      <c r="F7" s="1181">
        <f>'Major Assumption Key'!A19</f>
        <v>2020</v>
      </c>
      <c r="G7" s="1197">
        <v>0</v>
      </c>
      <c r="H7" s="1197">
        <f>G7*$B$19</f>
        <v>0</v>
      </c>
      <c r="I7" s="1198">
        <f t="shared" ref="I7" si="0">IFERROR(H7*$B$21*$B$22,"N/A")</f>
        <v>0</v>
      </c>
      <c r="J7" s="1165">
        <f>IF(AND($F7&gt;=$B$17,$F$7&lt;=$B$18),I7,0)</f>
        <v>0</v>
      </c>
      <c r="K7" s="1202">
        <f>IF(F7&lt;$B$16,0,_xlfn.XLOOKUP(F7,'Pedestrian Demand'!A:A,'Pedestrian Demand'!$D:$D,,0))</f>
        <v>0</v>
      </c>
      <c r="L7" s="1197">
        <f>IF(F7&lt;$B$16,0,K7*$B$19)</f>
        <v>0</v>
      </c>
      <c r="M7" s="1198">
        <f>IFERROR(L7*$B$21*$B$22,"N/A")</f>
        <v>0</v>
      </c>
      <c r="N7" s="1199">
        <f>IF(AND($F7&gt;=$B$17,$F7&lt;=$B$18),M7,0)</f>
        <v>0</v>
      </c>
      <c r="O7" s="1171">
        <f t="shared" ref="O7" si="1">N7-J7</f>
        <v>0</v>
      </c>
      <c r="P7" s="1169">
        <f>O7/(1+'Major Assumption Key'!$B$8)^($F7-'Major Assumption Key'!$B$7)</f>
        <v>0</v>
      </c>
      <c r="Q7" s="1155"/>
      <c r="R7" s="1165">
        <f t="shared" ref="R7" si="2">ROUND(J7,-3)</f>
        <v>0</v>
      </c>
      <c r="S7" s="1199">
        <f t="shared" ref="S7:S48" si="3">ROUND(N7,-3)</f>
        <v>0</v>
      </c>
      <c r="T7" s="1171">
        <f t="shared" ref="T7:T48" si="4">ROUND(O7,-3)</f>
        <v>0</v>
      </c>
      <c r="U7" s="1169">
        <f t="shared" ref="U7:U48" si="5">ROUND(P7,-3)</f>
        <v>0</v>
      </c>
    </row>
    <row r="8" spans="1:21" ht="19.95" customHeight="1">
      <c r="C8" s="1173"/>
      <c r="D8" s="1173"/>
      <c r="E8" s="1173"/>
      <c r="F8" s="1181">
        <f>'Major Assumption Key'!A20</f>
        <v>2021</v>
      </c>
      <c r="G8" s="1197">
        <v>0</v>
      </c>
      <c r="H8" s="1197">
        <f t="shared" ref="H8:H47" si="6">G8*$B$19</f>
        <v>0</v>
      </c>
      <c r="I8" s="1198">
        <f t="shared" ref="I8:I46" si="7">IFERROR(H8*$B$21*$B$22,"N/A")</f>
        <v>0</v>
      </c>
      <c r="J8" s="1165">
        <f t="shared" ref="J8:J47" si="8">IF(AND($F8&gt;=$B$17,$F$7&lt;=$B$18),I8,0)</f>
        <v>0</v>
      </c>
      <c r="K8" s="1202">
        <f>IF(F8&lt;$B$16,0,_xlfn.XLOOKUP(F8,'Pedestrian Demand'!A:A,'Pedestrian Demand'!$D:$D,,0))</f>
        <v>0</v>
      </c>
      <c r="L8" s="1197">
        <f t="shared" ref="L8:L47" si="9">IF(F8&lt;$B$16,0,K8*$B$19)</f>
        <v>0</v>
      </c>
      <c r="M8" s="1198">
        <f t="shared" ref="M8:M47" si="10">IFERROR(L8*$B$21*$B$22,"N/A")</f>
        <v>0</v>
      </c>
      <c r="N8" s="1199">
        <f t="shared" ref="N8:N47" si="11">IF(AND($F8&gt;=$B$17,$F8&lt;=$B$18),M8,0)</f>
        <v>0</v>
      </c>
      <c r="O8" s="1171">
        <f t="shared" ref="O8:O46" si="12">N8-J8</f>
        <v>0</v>
      </c>
      <c r="P8" s="1169">
        <f>O8/(1+'Major Assumption Key'!$B$8)^($F8-'Major Assumption Key'!$B$7)</f>
        <v>0</v>
      </c>
      <c r="Q8" s="1155"/>
      <c r="R8" s="1165">
        <f t="shared" ref="R8:R46" si="13">ROUND(J8,-3)</f>
        <v>0</v>
      </c>
      <c r="S8" s="1199">
        <f t="shared" ref="S8:S46" si="14">ROUND(N8,-3)</f>
        <v>0</v>
      </c>
      <c r="T8" s="1171">
        <f t="shared" ref="T8:T46" si="15">ROUND(O8,-3)</f>
        <v>0</v>
      </c>
      <c r="U8" s="1169">
        <f t="shared" ref="U8:U46" si="16">ROUND(P8,-3)</f>
        <v>0</v>
      </c>
    </row>
    <row r="9" spans="1:21" ht="19.95" customHeight="1">
      <c r="A9" s="1859" t="s">
        <v>432</v>
      </c>
      <c r="B9" s="1860"/>
      <c r="C9" s="1860"/>
      <c r="D9" s="1861"/>
      <c r="E9" s="1173"/>
      <c r="F9" s="1181">
        <f>'Major Assumption Key'!A21</f>
        <v>2022</v>
      </c>
      <c r="G9" s="1197">
        <v>0</v>
      </c>
      <c r="H9" s="1197">
        <f t="shared" si="6"/>
        <v>0</v>
      </c>
      <c r="I9" s="1198">
        <f t="shared" si="7"/>
        <v>0</v>
      </c>
      <c r="J9" s="1165">
        <f t="shared" si="8"/>
        <v>0</v>
      </c>
      <c r="K9" s="1202">
        <f>IF(F9&lt;$B$16,0,_xlfn.XLOOKUP(F9,'Pedestrian Demand'!A:A,'Pedestrian Demand'!$D:$D,,0))</f>
        <v>0</v>
      </c>
      <c r="L9" s="1197">
        <f t="shared" si="9"/>
        <v>0</v>
      </c>
      <c r="M9" s="1198">
        <f t="shared" si="10"/>
        <v>0</v>
      </c>
      <c r="N9" s="1199">
        <f t="shared" si="11"/>
        <v>0</v>
      </c>
      <c r="O9" s="1171">
        <f t="shared" si="12"/>
        <v>0</v>
      </c>
      <c r="P9" s="1169">
        <f>O9/(1+'Major Assumption Key'!$B$8)^($F9-'Major Assumption Key'!$B$7)</f>
        <v>0</v>
      </c>
      <c r="Q9" s="1155"/>
      <c r="R9" s="1165">
        <f t="shared" si="13"/>
        <v>0</v>
      </c>
      <c r="S9" s="1199">
        <f t="shared" si="14"/>
        <v>0</v>
      </c>
      <c r="T9" s="1171">
        <f t="shared" si="15"/>
        <v>0</v>
      </c>
      <c r="U9" s="1169">
        <f t="shared" si="16"/>
        <v>0</v>
      </c>
    </row>
    <row r="10" spans="1:21" ht="19.95" customHeight="1">
      <c r="A10" s="1862" t="s">
        <v>418</v>
      </c>
      <c r="B10" s="1862"/>
      <c r="C10" s="1340" t="s">
        <v>419</v>
      </c>
      <c r="D10" s="1340" t="str">
        <f>_xlfn.CONCAT("Discounted @",TEXT('Major Assumption Key'!B8,"0.0%"))</f>
        <v>Discounted @3.1%</v>
      </c>
      <c r="E10" s="1173"/>
      <c r="F10" s="1181">
        <f>'Major Assumption Key'!A22</f>
        <v>2023</v>
      </c>
      <c r="G10" s="1197">
        <v>0</v>
      </c>
      <c r="H10" s="1197">
        <f t="shared" si="6"/>
        <v>0</v>
      </c>
      <c r="I10" s="1198">
        <f t="shared" si="7"/>
        <v>0</v>
      </c>
      <c r="J10" s="1165">
        <f t="shared" si="8"/>
        <v>0</v>
      </c>
      <c r="K10" s="1202">
        <f>IF(F10&lt;$B$16,0,_xlfn.XLOOKUP(F10,'Pedestrian Demand'!A:A,'Pedestrian Demand'!$D:$D,,0))</f>
        <v>0</v>
      </c>
      <c r="L10" s="1197">
        <f t="shared" si="9"/>
        <v>0</v>
      </c>
      <c r="M10" s="1198">
        <f t="shared" si="10"/>
        <v>0</v>
      </c>
      <c r="N10" s="1199">
        <f t="shared" si="11"/>
        <v>0</v>
      </c>
      <c r="O10" s="1171">
        <f t="shared" si="12"/>
        <v>0</v>
      </c>
      <c r="P10" s="1169">
        <f>O10/(1+'Major Assumption Key'!$B$8)^($F10-'Major Assumption Key'!$B$7)</f>
        <v>0</v>
      </c>
      <c r="Q10" s="1155"/>
      <c r="R10" s="1165">
        <f t="shared" si="13"/>
        <v>0</v>
      </c>
      <c r="S10" s="1199">
        <f t="shared" si="14"/>
        <v>0</v>
      </c>
      <c r="T10" s="1171">
        <f t="shared" si="15"/>
        <v>0</v>
      </c>
      <c r="U10" s="1169">
        <f t="shared" si="16"/>
        <v>0</v>
      </c>
    </row>
    <row r="11" spans="1:21" ht="19.95" customHeight="1">
      <c r="A11" s="1863" t="s">
        <v>11</v>
      </c>
      <c r="B11" s="1863"/>
      <c r="C11" s="1503">
        <f>'BCA Summary'!$H$7</f>
        <v>1.0111569298276737</v>
      </c>
      <c r="D11" s="1503">
        <f>'BCA Summary'!$I$7</f>
        <v>0.6276932096418345</v>
      </c>
      <c r="E11" s="1173"/>
      <c r="F11" s="1181">
        <f>'Major Assumption Key'!A23</f>
        <v>2024</v>
      </c>
      <c r="G11" s="1197">
        <v>0</v>
      </c>
      <c r="H11" s="1197">
        <f t="shared" si="6"/>
        <v>0</v>
      </c>
      <c r="I11" s="1198">
        <f t="shared" si="7"/>
        <v>0</v>
      </c>
      <c r="J11" s="1165">
        <f t="shared" si="8"/>
        <v>0</v>
      </c>
      <c r="K11" s="1202">
        <f>IF(F11&lt;$B$16,0,_xlfn.XLOOKUP(F11,'Pedestrian Demand'!A:A,'Pedestrian Demand'!$D:$D,,0))</f>
        <v>0</v>
      </c>
      <c r="L11" s="1197">
        <f t="shared" si="9"/>
        <v>0</v>
      </c>
      <c r="M11" s="1198">
        <f t="shared" si="10"/>
        <v>0</v>
      </c>
      <c r="N11" s="1199">
        <f t="shared" si="11"/>
        <v>0</v>
      </c>
      <c r="O11" s="1171">
        <f t="shared" si="12"/>
        <v>0</v>
      </c>
      <c r="P11" s="1169">
        <f>O11/(1+'Major Assumption Key'!$B$8)^($F11-'Major Assumption Key'!$B$7)</f>
        <v>0</v>
      </c>
      <c r="Q11" s="1155"/>
      <c r="R11" s="1165">
        <f t="shared" si="13"/>
        <v>0</v>
      </c>
      <c r="S11" s="1199">
        <f t="shared" si="14"/>
        <v>0</v>
      </c>
      <c r="T11" s="1171">
        <f t="shared" si="15"/>
        <v>0</v>
      </c>
      <c r="U11" s="1169">
        <f t="shared" si="16"/>
        <v>0</v>
      </c>
    </row>
    <row r="12" spans="1:21" ht="19.95" customHeight="1">
      <c r="A12" s="1863" t="s">
        <v>12</v>
      </c>
      <c r="B12" s="1863"/>
      <c r="C12" s="1340">
        <f>'BCA Summary'!$H$8</f>
        <v>236636.98382712901</v>
      </c>
      <c r="D12" s="1340">
        <f>'BCA Summary'!$I$8</f>
        <v>-6930297.4454113934</v>
      </c>
      <c r="E12" s="1173"/>
      <c r="F12" s="1181">
        <f>'Major Assumption Key'!A24</f>
        <v>2025</v>
      </c>
      <c r="G12" s="1197">
        <v>0</v>
      </c>
      <c r="H12" s="1197">
        <f t="shared" si="6"/>
        <v>0</v>
      </c>
      <c r="I12" s="1198">
        <f t="shared" si="7"/>
        <v>0</v>
      </c>
      <c r="J12" s="1165">
        <f t="shared" si="8"/>
        <v>0</v>
      </c>
      <c r="K12" s="1202">
        <f>IF(F12&lt;$B$16,0,_xlfn.XLOOKUP(F12,'Pedestrian Demand'!A:A,'Pedestrian Demand'!$D:$D,,0))</f>
        <v>0</v>
      </c>
      <c r="L12" s="1197">
        <f t="shared" si="9"/>
        <v>0</v>
      </c>
      <c r="M12" s="1198">
        <f t="shared" si="10"/>
        <v>0</v>
      </c>
      <c r="N12" s="1199">
        <f t="shared" si="11"/>
        <v>0</v>
      </c>
      <c r="O12" s="1171">
        <f t="shared" si="12"/>
        <v>0</v>
      </c>
      <c r="P12" s="1169">
        <f>O12/(1+'Major Assumption Key'!$B$8)^($F12-'Major Assumption Key'!$B$7)</f>
        <v>0</v>
      </c>
      <c r="Q12" s="1155"/>
      <c r="R12" s="1165">
        <f t="shared" si="13"/>
        <v>0</v>
      </c>
      <c r="S12" s="1199">
        <f t="shared" si="14"/>
        <v>0</v>
      </c>
      <c r="T12" s="1171">
        <f t="shared" si="15"/>
        <v>0</v>
      </c>
      <c r="U12" s="1169">
        <f t="shared" si="16"/>
        <v>0</v>
      </c>
    </row>
    <row r="13" spans="1:21" ht="19.95" customHeight="1">
      <c r="C13" s="1173"/>
      <c r="D13" s="1173"/>
      <c r="E13" s="1173"/>
      <c r="F13" s="1181">
        <f>'Major Assumption Key'!A25</f>
        <v>2026</v>
      </c>
      <c r="G13" s="1197">
        <v>0</v>
      </c>
      <c r="H13" s="1197">
        <f t="shared" si="6"/>
        <v>0</v>
      </c>
      <c r="I13" s="1198">
        <f t="shared" si="7"/>
        <v>0</v>
      </c>
      <c r="J13" s="1165">
        <f t="shared" si="8"/>
        <v>0</v>
      </c>
      <c r="K13" s="1202">
        <f>IF(F13&lt;$B$16,0,_xlfn.XLOOKUP(F13,'Pedestrian Demand'!A:A,'Pedestrian Demand'!$D:$D,,0))</f>
        <v>0</v>
      </c>
      <c r="L13" s="1197">
        <f t="shared" si="9"/>
        <v>0</v>
      </c>
      <c r="M13" s="1198">
        <f t="shared" si="10"/>
        <v>0</v>
      </c>
      <c r="N13" s="1199">
        <f t="shared" si="11"/>
        <v>0</v>
      </c>
      <c r="O13" s="1171">
        <f t="shared" si="12"/>
        <v>0</v>
      </c>
      <c r="P13" s="1169">
        <f>O13/(1+'Major Assumption Key'!$B$8)^($F13-'Major Assumption Key'!$B$7)</f>
        <v>0</v>
      </c>
      <c r="Q13" s="1155"/>
      <c r="R13" s="1165">
        <f t="shared" si="13"/>
        <v>0</v>
      </c>
      <c r="S13" s="1199">
        <f t="shared" si="14"/>
        <v>0</v>
      </c>
      <c r="T13" s="1171">
        <f t="shared" si="15"/>
        <v>0</v>
      </c>
      <c r="U13" s="1169">
        <f t="shared" si="16"/>
        <v>0</v>
      </c>
    </row>
    <row r="14" spans="1:21" ht="19.95" customHeight="1" thickBot="1">
      <c r="C14" s="1173"/>
      <c r="D14" s="1173"/>
      <c r="E14" s="1173"/>
      <c r="F14" s="1181">
        <f>'Major Assumption Key'!A26</f>
        <v>2027</v>
      </c>
      <c r="G14" s="1197">
        <v>0</v>
      </c>
      <c r="H14" s="1197">
        <f t="shared" si="6"/>
        <v>0</v>
      </c>
      <c r="I14" s="1198">
        <f t="shared" si="7"/>
        <v>0</v>
      </c>
      <c r="J14" s="1165">
        <f t="shared" si="8"/>
        <v>0</v>
      </c>
      <c r="K14" s="1202">
        <f>IF(F14&lt;$B$16,0,_xlfn.XLOOKUP(F14,'Pedestrian Demand'!A:A,'Pedestrian Demand'!$D:$D,,0))</f>
        <v>0</v>
      </c>
      <c r="L14" s="1197">
        <f t="shared" si="9"/>
        <v>0</v>
      </c>
      <c r="M14" s="1198">
        <f t="shared" si="10"/>
        <v>0</v>
      </c>
      <c r="N14" s="1199">
        <f t="shared" si="11"/>
        <v>0</v>
      </c>
      <c r="O14" s="1171">
        <f t="shared" si="12"/>
        <v>0</v>
      </c>
      <c r="P14" s="1169">
        <f>O14/(1+'Major Assumption Key'!$B$8)^($F14-'Major Assumption Key'!$B$7)</f>
        <v>0</v>
      </c>
      <c r="Q14" s="1155"/>
      <c r="R14" s="1165">
        <f t="shared" si="13"/>
        <v>0</v>
      </c>
      <c r="S14" s="1199">
        <f t="shared" si="14"/>
        <v>0</v>
      </c>
      <c r="T14" s="1171">
        <f t="shared" si="15"/>
        <v>0</v>
      </c>
      <c r="U14" s="1169">
        <f t="shared" si="16"/>
        <v>0</v>
      </c>
    </row>
    <row r="15" spans="1:21" ht="19.95" customHeight="1">
      <c r="A15" s="1293" t="s">
        <v>433</v>
      </c>
      <c r="B15" s="1294" t="s">
        <v>434</v>
      </c>
      <c r="C15" s="1877" t="s">
        <v>498</v>
      </c>
      <c r="D15" s="1878"/>
      <c r="E15" s="1173"/>
      <c r="F15" s="1181">
        <f>'Major Assumption Key'!A27</f>
        <v>2028</v>
      </c>
      <c r="G15" s="1197">
        <v>0</v>
      </c>
      <c r="H15" s="1197">
        <f t="shared" si="6"/>
        <v>0</v>
      </c>
      <c r="I15" s="1198">
        <f t="shared" si="7"/>
        <v>0</v>
      </c>
      <c r="J15" s="1165">
        <f t="shared" si="8"/>
        <v>0</v>
      </c>
      <c r="K15" s="1202">
        <f>IF(F15&lt;$B$16,0,_xlfn.XLOOKUP(F15,'Pedestrian Demand'!A:A,'Pedestrian Demand'!$D:$D,,0))</f>
        <v>2.9004248688944578</v>
      </c>
      <c r="L15" s="1197">
        <f t="shared" si="9"/>
        <v>754.11046591255899</v>
      </c>
      <c r="M15" s="1198">
        <f t="shared" si="10"/>
        <v>3912.6267413407213</v>
      </c>
      <c r="N15" s="1199">
        <f t="shared" si="11"/>
        <v>3912.6267413407213</v>
      </c>
      <c r="O15" s="1171">
        <f t="shared" si="12"/>
        <v>3912.6267413407213</v>
      </c>
      <c r="P15" s="1169">
        <f>O15/(1+'Major Assumption Key'!$B$8)^($F15-'Major Assumption Key'!$B$7)</f>
        <v>3257.7400509857443</v>
      </c>
      <c r="Q15" s="1155"/>
      <c r="R15" s="1165">
        <f t="shared" si="13"/>
        <v>0</v>
      </c>
      <c r="S15" s="1199">
        <f t="shared" si="14"/>
        <v>4000</v>
      </c>
      <c r="T15" s="1171">
        <f t="shared" si="15"/>
        <v>4000</v>
      </c>
      <c r="U15" s="1169">
        <f t="shared" si="16"/>
        <v>3000</v>
      </c>
    </row>
    <row r="16" spans="1:21" ht="19.95" customHeight="1">
      <c r="A16" s="1506" t="str">
        <f>'Major Assumption Key'!$A$3</f>
        <v>Project Open Year:</v>
      </c>
      <c r="B16" s="1135">
        <f>'Major Assumption Key'!$B$3</f>
        <v>2028</v>
      </c>
      <c r="C16" s="1173" t="s">
        <v>436</v>
      </c>
      <c r="D16" s="1507"/>
      <c r="E16" s="1173"/>
      <c r="F16" s="1181">
        <f>'Major Assumption Key'!A28</f>
        <v>2029</v>
      </c>
      <c r="G16" s="1197">
        <v>0</v>
      </c>
      <c r="H16" s="1197">
        <f t="shared" si="6"/>
        <v>0</v>
      </c>
      <c r="I16" s="1198">
        <f t="shared" si="7"/>
        <v>0</v>
      </c>
      <c r="J16" s="1165">
        <f t="shared" si="8"/>
        <v>0</v>
      </c>
      <c r="K16" s="1202">
        <f>IF(F16&lt;$B$16,0,_xlfn.XLOOKUP(F16,'Pedestrian Demand'!A:A,'Pedestrian Demand'!$D:$D,,0))</f>
        <v>2.903866309146649</v>
      </c>
      <c r="L16" s="1197">
        <f t="shared" si="9"/>
        <v>755.00524037812875</v>
      </c>
      <c r="M16" s="1198">
        <f t="shared" si="10"/>
        <v>3917.2691891778832</v>
      </c>
      <c r="N16" s="1199">
        <f t="shared" si="11"/>
        <v>3917.2691891778832</v>
      </c>
      <c r="O16" s="1171">
        <f t="shared" si="12"/>
        <v>3917.2691891778832</v>
      </c>
      <c r="P16" s="1169">
        <f>O16/(1+'Major Assumption Key'!$B$8)^($F16-'Major Assumption Key'!$B$7)</f>
        <v>3163.5358451154921</v>
      </c>
      <c r="Q16" s="1155"/>
      <c r="R16" s="1165">
        <f t="shared" si="13"/>
        <v>0</v>
      </c>
      <c r="S16" s="1199">
        <f t="shared" si="14"/>
        <v>4000</v>
      </c>
      <c r="T16" s="1171">
        <f t="shared" si="15"/>
        <v>4000</v>
      </c>
      <c r="U16" s="1169">
        <f t="shared" si="16"/>
        <v>3000</v>
      </c>
    </row>
    <row r="17" spans="1:21" ht="19.95" customHeight="1">
      <c r="A17" s="1506" t="str">
        <f>'Major Assumption Key'!$A$4</f>
        <v>Planning Horizon Begin Year:</v>
      </c>
      <c r="B17" s="1135">
        <f>'Major Assumption Key'!$B$4</f>
        <v>2022</v>
      </c>
      <c r="C17" s="1173" t="s">
        <v>436</v>
      </c>
      <c r="D17" s="1289"/>
      <c r="E17" s="1173"/>
      <c r="F17" s="1181">
        <f>'Major Assumption Key'!A29</f>
        <v>2030</v>
      </c>
      <c r="G17" s="1197">
        <v>0</v>
      </c>
      <c r="H17" s="1197">
        <f t="shared" si="6"/>
        <v>0</v>
      </c>
      <c r="I17" s="1198">
        <f t="shared" si="7"/>
        <v>0</v>
      </c>
      <c r="J17" s="1165">
        <f t="shared" si="8"/>
        <v>0</v>
      </c>
      <c r="K17" s="1202">
        <f>IF(F17&lt;$B$16,0,_xlfn.XLOOKUP(F17,'Pedestrian Demand'!A:A,'Pedestrian Demand'!$D:$D,,0))</f>
        <v>2.9073118327699135</v>
      </c>
      <c r="L17" s="1197">
        <f t="shared" si="9"/>
        <v>755.90107652017753</v>
      </c>
      <c r="M17" s="1198">
        <f t="shared" si="10"/>
        <v>3921.9171454172892</v>
      </c>
      <c r="N17" s="1199">
        <f t="shared" si="11"/>
        <v>3921.9171454172892</v>
      </c>
      <c r="O17" s="1171">
        <f t="shared" si="12"/>
        <v>3921.9171454172892</v>
      </c>
      <c r="P17" s="1169">
        <f>O17/(1+'Major Assumption Key'!$B$8)^($F17-'Major Assumption Key'!$B$7)</f>
        <v>3072.0557462227007</v>
      </c>
      <c r="Q17" s="1155"/>
      <c r="R17" s="1165">
        <f t="shared" si="13"/>
        <v>0</v>
      </c>
      <c r="S17" s="1199">
        <f t="shared" si="14"/>
        <v>4000</v>
      </c>
      <c r="T17" s="1171">
        <f t="shared" si="15"/>
        <v>4000</v>
      </c>
      <c r="U17" s="1169">
        <f t="shared" si="16"/>
        <v>3000</v>
      </c>
    </row>
    <row r="18" spans="1:21" ht="19.95" customHeight="1">
      <c r="A18" s="1506" t="str">
        <f>'Major Assumption Key'!$A$6</f>
        <v>Planning Horizon End Year:</v>
      </c>
      <c r="B18" s="1135">
        <f>'Major Assumption Key'!$B$6</f>
        <v>2047</v>
      </c>
      <c r="C18" s="1173" t="s">
        <v>436</v>
      </c>
      <c r="D18" s="1289"/>
      <c r="E18" s="1173"/>
      <c r="F18" s="1181">
        <f>'Major Assumption Key'!A30</f>
        <v>2031</v>
      </c>
      <c r="G18" s="1197">
        <v>0</v>
      </c>
      <c r="H18" s="1197">
        <f t="shared" si="6"/>
        <v>0</v>
      </c>
      <c r="I18" s="1198">
        <f t="shared" si="7"/>
        <v>0</v>
      </c>
      <c r="J18" s="1165">
        <f t="shared" si="8"/>
        <v>0</v>
      </c>
      <c r="K18" s="1202">
        <f>IF(F18&lt;$B$16,0,_xlfn.XLOOKUP(F18,'Pedestrian Demand'!A:A,'Pedestrian Demand'!$D:$D,,0))</f>
        <v>2.9107614446092924</v>
      </c>
      <c r="L18" s="1197">
        <f t="shared" si="9"/>
        <v>756.79797559841609</v>
      </c>
      <c r="M18" s="1198">
        <f t="shared" si="10"/>
        <v>3926.5706165948222</v>
      </c>
      <c r="N18" s="1199">
        <f t="shared" si="11"/>
        <v>3926.5706165948222</v>
      </c>
      <c r="O18" s="1171">
        <f t="shared" si="12"/>
        <v>3926.5706165948222</v>
      </c>
      <c r="P18" s="1169">
        <f>O18/(1+'Major Assumption Key'!$B$8)^($F18-'Major Assumption Key'!$B$7)</f>
        <v>2983.220981191499</v>
      </c>
      <c r="Q18" s="1155"/>
      <c r="R18" s="1165">
        <f t="shared" si="13"/>
        <v>0</v>
      </c>
      <c r="S18" s="1199">
        <f t="shared" si="14"/>
        <v>4000</v>
      </c>
      <c r="T18" s="1171">
        <f t="shared" si="15"/>
        <v>4000</v>
      </c>
      <c r="U18" s="1169">
        <f t="shared" si="16"/>
        <v>3000</v>
      </c>
    </row>
    <row r="19" spans="1:21" ht="19.95" customHeight="1">
      <c r="A19" s="1506" t="s">
        <v>7128</v>
      </c>
      <c r="B19" s="1458">
        <v>260</v>
      </c>
      <c r="C19" s="1173"/>
      <c r="D19" s="1289"/>
      <c r="E19" s="1173"/>
      <c r="F19" s="1181">
        <f>'Major Assumption Key'!A31</f>
        <v>2032</v>
      </c>
      <c r="G19" s="1197">
        <v>0</v>
      </c>
      <c r="H19" s="1197">
        <f t="shared" si="6"/>
        <v>0</v>
      </c>
      <c r="I19" s="1198">
        <f t="shared" si="7"/>
        <v>0</v>
      </c>
      <c r="J19" s="1165">
        <f t="shared" si="8"/>
        <v>0</v>
      </c>
      <c r="K19" s="1202">
        <f>IF(F19&lt;$B$16,0,_xlfn.XLOOKUP(F19,'Pedestrian Demand'!A:A,'Pedestrian Demand'!$D:$D,,0))</f>
        <v>2.914215149515575</v>
      </c>
      <c r="L19" s="1197">
        <f t="shared" si="9"/>
        <v>757.69593887404949</v>
      </c>
      <c r="M19" s="1198">
        <f t="shared" si="10"/>
        <v>3931.2296092541187</v>
      </c>
      <c r="N19" s="1199">
        <f t="shared" si="11"/>
        <v>3931.2296092541187</v>
      </c>
      <c r="O19" s="1171">
        <f t="shared" si="12"/>
        <v>3931.2296092541187</v>
      </c>
      <c r="P19" s="1169">
        <f>O19/(1+'Major Assumption Key'!$B$8)^($F19-'Major Assumption Key'!$B$7)</f>
        <v>2896.9550547915132</v>
      </c>
      <c r="Q19" s="1155"/>
      <c r="R19" s="1165">
        <f t="shared" si="13"/>
        <v>0</v>
      </c>
      <c r="S19" s="1199">
        <f t="shared" si="14"/>
        <v>4000</v>
      </c>
      <c r="T19" s="1171">
        <f t="shared" si="15"/>
        <v>4000</v>
      </c>
      <c r="U19" s="1169">
        <f t="shared" si="16"/>
        <v>3000</v>
      </c>
    </row>
    <row r="20" spans="1:21" ht="19.95" customHeight="1">
      <c r="A20" s="1193" t="s">
        <v>7136</v>
      </c>
      <c r="B20" s="1458">
        <f>_xlfn.XLOOKUP(B$16,'Pedestrian Demand'!$A:$A,'Pedestrian Demand'!$D:$D,,0)</f>
        <v>2.9004248688944578</v>
      </c>
      <c r="C20" s="1531" t="s">
        <v>7137</v>
      </c>
      <c r="D20" s="1196"/>
      <c r="E20" s="1173"/>
      <c r="F20" s="1181">
        <f>'Major Assumption Key'!A32</f>
        <v>2033</v>
      </c>
      <c r="G20" s="1197">
        <v>0</v>
      </c>
      <c r="H20" s="1197">
        <f t="shared" si="6"/>
        <v>0</v>
      </c>
      <c r="I20" s="1198">
        <f t="shared" si="7"/>
        <v>0</v>
      </c>
      <c r="J20" s="1165">
        <f t="shared" si="8"/>
        <v>0</v>
      </c>
      <c r="K20" s="1202">
        <f>IF(F20&lt;$B$16,0,_xlfn.XLOOKUP(F20,'Pedestrian Demand'!A:A,'Pedestrian Demand'!$D:$D,,0))</f>
        <v>2.9176729523453071</v>
      </c>
      <c r="L20" s="1197">
        <f t="shared" si="9"/>
        <v>758.59496760977981</v>
      </c>
      <c r="M20" s="1198">
        <f t="shared" si="10"/>
        <v>3935.8941299465819</v>
      </c>
      <c r="N20" s="1199">
        <f t="shared" si="11"/>
        <v>3935.8941299465819</v>
      </c>
      <c r="O20" s="1171">
        <f t="shared" si="12"/>
        <v>3935.8941299465819</v>
      </c>
      <c r="P20" s="1169">
        <f>O20/(1+'Major Assumption Key'!$B$8)^($F20-'Major Assumption Key'!$B$7)</f>
        <v>2813.1836838081622</v>
      </c>
      <c r="Q20" s="1155"/>
      <c r="R20" s="1165">
        <f t="shared" si="13"/>
        <v>0</v>
      </c>
      <c r="S20" s="1199">
        <f t="shared" si="14"/>
        <v>4000</v>
      </c>
      <c r="T20" s="1171">
        <f t="shared" si="15"/>
        <v>4000</v>
      </c>
      <c r="U20" s="1169">
        <f t="shared" si="16"/>
        <v>3000</v>
      </c>
    </row>
    <row r="21" spans="1:21" ht="19.95" customHeight="1">
      <c r="A21" s="1193" t="s">
        <v>7138</v>
      </c>
      <c r="B21" s="1194">
        <f>'BCA Guide - Parameter Values'!D231</f>
        <v>7.63</v>
      </c>
      <c r="C21" s="1195" t="s">
        <v>211</v>
      </c>
      <c r="D21" s="1196"/>
      <c r="E21" s="1173"/>
      <c r="F21" s="1181">
        <f>'Major Assumption Key'!A33</f>
        <v>2034</v>
      </c>
      <c r="G21" s="1197">
        <v>0</v>
      </c>
      <c r="H21" s="1197">
        <f t="shared" si="6"/>
        <v>0</v>
      </c>
      <c r="I21" s="1198">
        <f t="shared" si="7"/>
        <v>0</v>
      </c>
      <c r="J21" s="1165">
        <f t="shared" si="8"/>
        <v>0</v>
      </c>
      <c r="K21" s="1202">
        <f>IF(F21&lt;$B$16,0,_xlfn.XLOOKUP(F21,'Pedestrian Demand'!A:A,'Pedestrian Demand'!$D:$D,,0))</f>
        <v>2.921134857960797</v>
      </c>
      <c r="L21" s="1197">
        <f t="shared" si="9"/>
        <v>759.4950630698072</v>
      </c>
      <c r="M21" s="1198">
        <f t="shared" si="10"/>
        <v>3940.5641852313879</v>
      </c>
      <c r="N21" s="1199">
        <f t="shared" si="11"/>
        <v>3940.5641852313879</v>
      </c>
      <c r="O21" s="1171">
        <f t="shared" si="12"/>
        <v>3940.5641852313879</v>
      </c>
      <c r="P21" s="1169">
        <f>O21/(1+'Major Assumption Key'!$B$8)^($F21-'Major Assumption Key'!$B$7)</f>
        <v>2731.8347330776978</v>
      </c>
      <c r="Q21" s="1155"/>
      <c r="R21" s="1165">
        <f t="shared" si="13"/>
        <v>0</v>
      </c>
      <c r="S21" s="1199">
        <f t="shared" si="14"/>
        <v>4000</v>
      </c>
      <c r="T21" s="1171">
        <f t="shared" si="15"/>
        <v>4000</v>
      </c>
      <c r="U21" s="1169">
        <f t="shared" si="16"/>
        <v>3000</v>
      </c>
    </row>
    <row r="22" spans="1:21" ht="19.95" customHeight="1">
      <c r="A22" s="1193" t="s">
        <v>7139</v>
      </c>
      <c r="B22" s="1544">
        <f>'BCA Guide - Parameter Values'!F231</f>
        <v>0.68</v>
      </c>
      <c r="C22" s="1195" t="s">
        <v>211</v>
      </c>
      <c r="D22" s="1196"/>
      <c r="E22" s="1173"/>
      <c r="F22" s="1181">
        <f>'Major Assumption Key'!A34</f>
        <v>2035</v>
      </c>
      <c r="G22" s="1197">
        <v>0</v>
      </c>
      <c r="H22" s="1197">
        <f t="shared" si="6"/>
        <v>0</v>
      </c>
      <c r="I22" s="1198">
        <f t="shared" si="7"/>
        <v>0</v>
      </c>
      <c r="J22" s="1165">
        <f t="shared" si="8"/>
        <v>0</v>
      </c>
      <c r="K22" s="1202">
        <f>IF(F22&lt;$B$16,0,_xlfn.XLOOKUP(F22,'Pedestrian Demand'!A:A,'Pedestrian Demand'!$D:$D,,0))</f>
        <v>2.9246008712301212</v>
      </c>
      <c r="L22" s="1197">
        <f t="shared" si="9"/>
        <v>760.39622651983154</v>
      </c>
      <c r="M22" s="1198">
        <f t="shared" si="10"/>
        <v>3945.2397816754942</v>
      </c>
      <c r="N22" s="1199">
        <f t="shared" si="11"/>
        <v>3945.2397816754942</v>
      </c>
      <c r="O22" s="1171">
        <f t="shared" si="12"/>
        <v>3945.2397816754942</v>
      </c>
      <c r="P22" s="1169">
        <f>O22/(1+'Major Assumption Key'!$B$8)^($F22-'Major Assumption Key'!$B$7)</f>
        <v>2652.838153371933</v>
      </c>
      <c r="Q22" s="1155"/>
      <c r="R22" s="1165">
        <f t="shared" si="13"/>
        <v>0</v>
      </c>
      <c r="S22" s="1199">
        <f t="shared" si="14"/>
        <v>4000</v>
      </c>
      <c r="T22" s="1171">
        <f t="shared" si="15"/>
        <v>4000</v>
      </c>
      <c r="U22" s="1169">
        <f t="shared" si="16"/>
        <v>3000</v>
      </c>
    </row>
    <row r="23" spans="1:21" ht="19.95" customHeight="1" thickBot="1">
      <c r="A23" s="1532" t="s">
        <v>7140</v>
      </c>
      <c r="B23" s="1545">
        <f>'BCA Guide - Parameter Values'!G231</f>
        <v>0.89</v>
      </c>
      <c r="C23" s="1516" t="s">
        <v>211</v>
      </c>
      <c r="D23" s="1552"/>
      <c r="E23" s="1173"/>
      <c r="F23" s="1181">
        <f>'Major Assumption Key'!A35</f>
        <v>2036</v>
      </c>
      <c r="G23" s="1197">
        <v>0</v>
      </c>
      <c r="H23" s="1197">
        <f t="shared" si="6"/>
        <v>0</v>
      </c>
      <c r="I23" s="1198">
        <f t="shared" si="7"/>
        <v>0</v>
      </c>
      <c r="J23" s="1165">
        <f t="shared" si="8"/>
        <v>0</v>
      </c>
      <c r="K23" s="1202">
        <f>IF(F23&lt;$B$16,0,_xlfn.XLOOKUP(F23,'Pedestrian Demand'!A:A,'Pedestrian Demand'!$D:$D,,0))</f>
        <v>2.9280709970271328</v>
      </c>
      <c r="L23" s="1197">
        <f t="shared" si="9"/>
        <v>761.29845922705454</v>
      </c>
      <c r="M23" s="1198">
        <f t="shared" si="10"/>
        <v>3949.9209258536498</v>
      </c>
      <c r="N23" s="1199">
        <f t="shared" si="11"/>
        <v>3949.9209258536498</v>
      </c>
      <c r="O23" s="1171">
        <f t="shared" si="12"/>
        <v>3949.9209258536498</v>
      </c>
      <c r="P23" s="1169">
        <f>O23/(1+'Major Assumption Key'!$B$8)^($F23-'Major Assumption Key'!$B$7)</f>
        <v>2576.1259210791536</v>
      </c>
      <c r="Q23" s="1155"/>
      <c r="R23" s="1165">
        <f t="shared" si="13"/>
        <v>0</v>
      </c>
      <c r="S23" s="1199">
        <f t="shared" si="14"/>
        <v>4000</v>
      </c>
      <c r="T23" s="1171">
        <f t="shared" si="15"/>
        <v>4000</v>
      </c>
      <c r="U23" s="1169">
        <f t="shared" si="16"/>
        <v>3000</v>
      </c>
    </row>
    <row r="24" spans="1:21" ht="19.95" customHeight="1">
      <c r="A24" s="1200"/>
      <c r="E24" s="1173"/>
      <c r="F24" s="1181">
        <f>'Major Assumption Key'!A36</f>
        <v>2037</v>
      </c>
      <c r="G24" s="1197">
        <v>0</v>
      </c>
      <c r="H24" s="1197">
        <f t="shared" si="6"/>
        <v>0</v>
      </c>
      <c r="I24" s="1198">
        <f t="shared" si="7"/>
        <v>0</v>
      </c>
      <c r="J24" s="1165">
        <f t="shared" si="8"/>
        <v>0</v>
      </c>
      <c r="K24" s="1202">
        <f>IF(F24&lt;$B$16,0,_xlfn.XLOOKUP(F24,'Pedestrian Demand'!A:A,'Pedestrian Demand'!$D:$D,,0))</f>
        <v>2.9315452402314692</v>
      </c>
      <c r="L24" s="1197">
        <f t="shared" si="9"/>
        <v>762.20176246018195</v>
      </c>
      <c r="M24" s="1198">
        <f t="shared" si="10"/>
        <v>3954.6076243484085</v>
      </c>
      <c r="N24" s="1199">
        <f t="shared" si="11"/>
        <v>3954.6076243484085</v>
      </c>
      <c r="O24" s="1171">
        <f t="shared" si="12"/>
        <v>3954.6076243484085</v>
      </c>
      <c r="P24" s="1169">
        <f>O24/(1+'Major Assumption Key'!$B$8)^($F24-'Major Assumption Key'!$B$7)</f>
        <v>2501.6319796292823</v>
      </c>
      <c r="Q24" s="1155"/>
      <c r="R24" s="1165">
        <f t="shared" si="13"/>
        <v>0</v>
      </c>
      <c r="S24" s="1199">
        <f t="shared" si="14"/>
        <v>4000</v>
      </c>
      <c r="T24" s="1171">
        <f t="shared" si="15"/>
        <v>4000</v>
      </c>
      <c r="U24" s="1169">
        <f t="shared" si="16"/>
        <v>3000</v>
      </c>
    </row>
    <row r="25" spans="1:21" ht="19.95" customHeight="1">
      <c r="A25" s="1200"/>
      <c r="E25" s="1173"/>
      <c r="F25" s="1181">
        <f>'Major Assumption Key'!A37</f>
        <v>2038</v>
      </c>
      <c r="G25" s="1197">
        <v>0</v>
      </c>
      <c r="H25" s="1197">
        <f t="shared" si="6"/>
        <v>0</v>
      </c>
      <c r="I25" s="1198">
        <f t="shared" si="7"/>
        <v>0</v>
      </c>
      <c r="J25" s="1165">
        <f t="shared" si="8"/>
        <v>0</v>
      </c>
      <c r="K25" s="1202">
        <f>IF(F25&lt;$B$16,0,_xlfn.XLOOKUP(F25,'Pedestrian Demand'!A:A,'Pedestrian Demand'!$D:$D,,0))</f>
        <v>2.9350236057285555</v>
      </c>
      <c r="L25" s="1197">
        <f t="shared" si="9"/>
        <v>763.10613748942444</v>
      </c>
      <c r="M25" s="1198">
        <f t="shared" si="10"/>
        <v>3959.29988375013</v>
      </c>
      <c r="N25" s="1199">
        <f t="shared" si="11"/>
        <v>3959.29988375013</v>
      </c>
      <c r="O25" s="1171">
        <f t="shared" si="12"/>
        <v>3959.29988375013</v>
      </c>
      <c r="P25" s="1169">
        <f>O25/(1+'Major Assumption Key'!$B$8)^($F25-'Major Assumption Key'!$B$7)</f>
        <v>2429.2921826128518</v>
      </c>
      <c r="Q25" s="1155"/>
      <c r="R25" s="1165">
        <f t="shared" si="13"/>
        <v>0</v>
      </c>
      <c r="S25" s="1199">
        <f t="shared" si="14"/>
        <v>4000</v>
      </c>
      <c r="T25" s="1171">
        <f t="shared" si="15"/>
        <v>4000</v>
      </c>
      <c r="U25" s="1169">
        <f t="shared" si="16"/>
        <v>2000</v>
      </c>
    </row>
    <row r="26" spans="1:21" ht="19.95" customHeight="1">
      <c r="A26" s="1200"/>
      <c r="E26" s="1173"/>
      <c r="F26" s="1181">
        <f>'Major Assumption Key'!A38</f>
        <v>2039</v>
      </c>
      <c r="G26" s="1197">
        <v>0</v>
      </c>
      <c r="H26" s="1197">
        <f t="shared" si="6"/>
        <v>0</v>
      </c>
      <c r="I26" s="1198">
        <f t="shared" si="7"/>
        <v>0</v>
      </c>
      <c r="J26" s="1165">
        <f t="shared" si="8"/>
        <v>0</v>
      </c>
      <c r="K26" s="1202">
        <f>IF(F26&lt;$B$16,0,_xlfn.XLOOKUP(F26,'Pedestrian Demand'!A:A,'Pedestrian Demand'!$D:$D,,0))</f>
        <v>2.9385060984096145</v>
      </c>
      <c r="L26" s="1197">
        <f t="shared" si="9"/>
        <v>764.01158558649979</v>
      </c>
      <c r="M26" s="1198">
        <f t="shared" si="10"/>
        <v>3963.9977106569959</v>
      </c>
      <c r="N26" s="1199">
        <f t="shared" si="11"/>
        <v>3963.9977106569959</v>
      </c>
      <c r="O26" s="1171">
        <f t="shared" si="12"/>
        <v>3963.9977106569959</v>
      </c>
      <c r="P26" s="1169">
        <f>O26/(1+'Major Assumption Key'!$B$8)^($F26-'Major Assumption Key'!$B$7)</f>
        <v>2359.0442385448132</v>
      </c>
      <c r="Q26" s="1155"/>
      <c r="R26" s="1165">
        <f t="shared" si="13"/>
        <v>0</v>
      </c>
      <c r="S26" s="1199">
        <f t="shared" si="14"/>
        <v>4000</v>
      </c>
      <c r="T26" s="1171">
        <f t="shared" si="15"/>
        <v>4000</v>
      </c>
      <c r="U26" s="1169">
        <f t="shared" si="16"/>
        <v>2000</v>
      </c>
    </row>
    <row r="27" spans="1:21" ht="19.95" customHeight="1">
      <c r="A27" s="1200"/>
      <c r="E27" s="1173"/>
      <c r="F27" s="1181">
        <f>'Major Assumption Key'!A39</f>
        <v>2040</v>
      </c>
      <c r="G27" s="1197">
        <v>0</v>
      </c>
      <c r="H27" s="1197">
        <f t="shared" si="6"/>
        <v>0</v>
      </c>
      <c r="I27" s="1198">
        <f t="shared" si="7"/>
        <v>0</v>
      </c>
      <c r="J27" s="1165">
        <f t="shared" si="8"/>
        <v>0</v>
      </c>
      <c r="K27" s="1202">
        <f>IF(F27&lt;$B$16,0,_xlfn.XLOOKUP(F27,'Pedestrian Demand'!A:A,'Pedestrian Demand'!$D:$D,,0))</f>
        <v>2.9419927231716727</v>
      </c>
      <c r="L27" s="1197">
        <f t="shared" si="9"/>
        <v>764.91810802463488</v>
      </c>
      <c r="M27" s="1198">
        <f t="shared" si="10"/>
        <v>3968.7011116750155</v>
      </c>
      <c r="N27" s="1199">
        <f t="shared" si="11"/>
        <v>3968.7011116750155</v>
      </c>
      <c r="O27" s="1171">
        <f t="shared" si="12"/>
        <v>3968.7011116750155</v>
      </c>
      <c r="P27" s="1169">
        <f>O27/(1+'Major Assumption Key'!$B$8)^($F27-'Major Assumption Key'!$B$7)</f>
        <v>2290.8276572256054</v>
      </c>
      <c r="Q27" s="1155"/>
      <c r="R27" s="1165">
        <f t="shared" si="13"/>
        <v>0</v>
      </c>
      <c r="S27" s="1199">
        <f t="shared" si="14"/>
        <v>4000</v>
      </c>
      <c r="T27" s="1171">
        <f t="shared" si="15"/>
        <v>4000</v>
      </c>
      <c r="U27" s="1169">
        <f t="shared" si="16"/>
        <v>2000</v>
      </c>
    </row>
    <row r="28" spans="1:21" ht="19.95" customHeight="1">
      <c r="E28" s="1173"/>
      <c r="F28" s="1181">
        <f>'Major Assumption Key'!A40</f>
        <v>2041</v>
      </c>
      <c r="G28" s="1197">
        <v>0</v>
      </c>
      <c r="H28" s="1197">
        <f t="shared" si="6"/>
        <v>0</v>
      </c>
      <c r="I28" s="1198">
        <f t="shared" si="7"/>
        <v>0</v>
      </c>
      <c r="J28" s="1165">
        <f t="shared" si="8"/>
        <v>0</v>
      </c>
      <c r="K28" s="1202">
        <f>IF(F28&lt;$B$16,0,_xlfn.XLOOKUP(F28,'Pedestrian Demand'!A:A,'Pedestrian Demand'!$D:$D,,0))</f>
        <v>2.9454834849175668</v>
      </c>
      <c r="L28" s="1197">
        <f t="shared" si="9"/>
        <v>765.82570607856735</v>
      </c>
      <c r="M28" s="1198">
        <f t="shared" si="10"/>
        <v>3973.4100934180387</v>
      </c>
      <c r="N28" s="1199">
        <f t="shared" si="11"/>
        <v>3973.4100934180387</v>
      </c>
      <c r="O28" s="1171">
        <f t="shared" si="12"/>
        <v>3973.4100934180387</v>
      </c>
      <c r="P28" s="1169">
        <f>O28/(1+'Major Assumption Key'!$B$8)^($F28-'Major Assumption Key'!$B$7)</f>
        <v>2224.5836976533096</v>
      </c>
      <c r="Q28" s="1155"/>
      <c r="R28" s="1165">
        <f t="shared" si="13"/>
        <v>0</v>
      </c>
      <c r="S28" s="1199">
        <f t="shared" si="14"/>
        <v>4000</v>
      </c>
      <c r="T28" s="1171">
        <f t="shared" si="15"/>
        <v>4000</v>
      </c>
      <c r="U28" s="1169">
        <f t="shared" si="16"/>
        <v>2000</v>
      </c>
    </row>
    <row r="29" spans="1:21" ht="19.95" customHeight="1">
      <c r="E29" s="1173"/>
      <c r="F29" s="1181">
        <f>'Major Assumption Key'!A41</f>
        <v>2042</v>
      </c>
      <c r="G29" s="1197">
        <v>0</v>
      </c>
      <c r="H29" s="1197">
        <f t="shared" si="6"/>
        <v>0</v>
      </c>
      <c r="I29" s="1198">
        <f t="shared" si="7"/>
        <v>0</v>
      </c>
      <c r="J29" s="1165">
        <f t="shared" si="8"/>
        <v>0</v>
      </c>
      <c r="K29" s="1202">
        <f>IF(F29&lt;$B$16,0,_xlfn.XLOOKUP(F29,'Pedestrian Demand'!A:A,'Pedestrian Demand'!$D:$D,,0))</f>
        <v>2.9489783885559517</v>
      </c>
      <c r="L29" s="1197">
        <f t="shared" si="9"/>
        <v>766.73438102454747</v>
      </c>
      <c r="M29" s="1198">
        <f t="shared" si="10"/>
        <v>3978.1246625077624</v>
      </c>
      <c r="N29" s="1199">
        <f t="shared" si="11"/>
        <v>3978.1246625077624</v>
      </c>
      <c r="O29" s="1171">
        <f t="shared" si="12"/>
        <v>3978.1246625077624</v>
      </c>
      <c r="P29" s="1169">
        <f>O29/(1+'Major Assumption Key'!$B$8)^($F29-'Major Assumption Key'!$B$7)</f>
        <v>2160.2553174420254</v>
      </c>
      <c r="Q29" s="1155"/>
      <c r="R29" s="1165">
        <f t="shared" si="13"/>
        <v>0</v>
      </c>
      <c r="S29" s="1199">
        <f t="shared" si="14"/>
        <v>4000</v>
      </c>
      <c r="T29" s="1171">
        <f t="shared" si="15"/>
        <v>4000</v>
      </c>
      <c r="U29" s="1169">
        <f t="shared" si="16"/>
        <v>2000</v>
      </c>
    </row>
    <row r="30" spans="1:21" ht="19.95" customHeight="1">
      <c r="E30" s="1173"/>
      <c r="F30" s="1181">
        <f>'Major Assumption Key'!A42</f>
        <v>2043</v>
      </c>
      <c r="G30" s="1197">
        <v>0</v>
      </c>
      <c r="H30" s="1197">
        <f t="shared" si="6"/>
        <v>0</v>
      </c>
      <c r="I30" s="1198">
        <f t="shared" si="7"/>
        <v>0</v>
      </c>
      <c r="J30" s="1165">
        <f t="shared" si="8"/>
        <v>0</v>
      </c>
      <c r="K30" s="1202">
        <f>IF(F30&lt;$B$16,0,_xlfn.XLOOKUP(F30,'Pedestrian Demand'!A:A,'Pedestrian Demand'!$D:$D,,0))</f>
        <v>2.9524774390013047</v>
      </c>
      <c r="L30" s="1197">
        <f t="shared" si="9"/>
        <v>767.64413414033925</v>
      </c>
      <c r="M30" s="1198">
        <f t="shared" si="10"/>
        <v>3982.8448255737362</v>
      </c>
      <c r="N30" s="1199">
        <f t="shared" si="11"/>
        <v>3982.8448255737362</v>
      </c>
      <c r="O30" s="1171">
        <f t="shared" si="12"/>
        <v>3982.8448255737362</v>
      </c>
      <c r="P30" s="1169">
        <f>O30/(1+'Major Assumption Key'!$B$8)^($F30-'Major Assumption Key'!$B$7)</f>
        <v>2097.7871237029212</v>
      </c>
      <c r="Q30" s="1155"/>
      <c r="R30" s="1165">
        <f t="shared" si="13"/>
        <v>0</v>
      </c>
      <c r="S30" s="1199">
        <f t="shared" si="14"/>
        <v>4000</v>
      </c>
      <c r="T30" s="1171">
        <f t="shared" si="15"/>
        <v>4000</v>
      </c>
      <c r="U30" s="1169">
        <f t="shared" si="16"/>
        <v>2000</v>
      </c>
    </row>
    <row r="31" spans="1:21" ht="19.95" customHeight="1">
      <c r="E31" s="1173"/>
      <c r="F31" s="1181">
        <f>'Major Assumption Key'!A43</f>
        <v>2044</v>
      </c>
      <c r="G31" s="1197">
        <v>0</v>
      </c>
      <c r="H31" s="1197">
        <f t="shared" si="6"/>
        <v>0</v>
      </c>
      <c r="I31" s="1198">
        <f t="shared" si="7"/>
        <v>0</v>
      </c>
      <c r="J31" s="1165">
        <f t="shared" si="8"/>
        <v>0</v>
      </c>
      <c r="K31" s="1202">
        <f>IF(F31&lt;$B$16,0,_xlfn.XLOOKUP(F31,'Pedestrian Demand'!A:A,'Pedestrian Demand'!$D:$D,,0))</f>
        <v>2.9559806411739364</v>
      </c>
      <c r="L31" s="1197">
        <f t="shared" si="9"/>
        <v>768.55496670522348</v>
      </c>
      <c r="M31" s="1198">
        <f t="shared" si="10"/>
        <v>3987.570589253382</v>
      </c>
      <c r="N31" s="1199">
        <f t="shared" si="11"/>
        <v>3987.570589253382</v>
      </c>
      <c r="O31" s="1171">
        <f t="shared" si="12"/>
        <v>3987.570589253382</v>
      </c>
      <c r="P31" s="1169">
        <f>O31/(1+'Major Assumption Key'!$B$8)^($F31-'Major Assumption Key'!$B$7)</f>
        <v>2037.1253253456589</v>
      </c>
      <c r="Q31" s="1155"/>
      <c r="R31" s="1165">
        <f t="shared" si="13"/>
        <v>0</v>
      </c>
      <c r="S31" s="1199">
        <f t="shared" si="14"/>
        <v>4000</v>
      </c>
      <c r="T31" s="1171">
        <f t="shared" si="15"/>
        <v>4000</v>
      </c>
      <c r="U31" s="1169">
        <f t="shared" si="16"/>
        <v>2000</v>
      </c>
    </row>
    <row r="32" spans="1:21" ht="19.95" customHeight="1">
      <c r="F32" s="1181">
        <f>'Major Assumption Key'!A44</f>
        <v>2045</v>
      </c>
      <c r="G32" s="1197">
        <v>0</v>
      </c>
      <c r="H32" s="1197">
        <f t="shared" si="6"/>
        <v>0</v>
      </c>
      <c r="I32" s="1198">
        <f t="shared" si="7"/>
        <v>0</v>
      </c>
      <c r="J32" s="1165">
        <f t="shared" si="8"/>
        <v>0</v>
      </c>
      <c r="K32" s="1202">
        <f>IF(F32&lt;$B$16,0,_xlfn.XLOOKUP(F32,'Pedestrian Demand'!A:A,'Pedestrian Demand'!$D:$D,,0))</f>
        <v>2.9594879999999995</v>
      </c>
      <c r="L32" s="1197">
        <f t="shared" si="9"/>
        <v>769.46687999999983</v>
      </c>
      <c r="M32" s="1198">
        <f t="shared" si="10"/>
        <v>3992.3019601919996</v>
      </c>
      <c r="N32" s="1199">
        <f t="shared" si="11"/>
        <v>3992.3019601919996</v>
      </c>
      <c r="O32" s="1171">
        <f t="shared" si="12"/>
        <v>3992.3019601919996</v>
      </c>
      <c r="P32" s="1169">
        <f>O32/(1+'Major Assumption Key'!$B$8)^($F32-'Major Assumption Key'!$B$7)</f>
        <v>1978.2176867591213</v>
      </c>
      <c r="Q32" s="1155"/>
      <c r="R32" s="1165">
        <f t="shared" si="13"/>
        <v>0</v>
      </c>
      <c r="S32" s="1199">
        <f t="shared" si="14"/>
        <v>4000</v>
      </c>
      <c r="T32" s="1171">
        <f t="shared" si="15"/>
        <v>4000</v>
      </c>
      <c r="U32" s="1169">
        <f t="shared" si="16"/>
        <v>2000</v>
      </c>
    </row>
    <row r="33" spans="6:21" ht="19.95" customHeight="1">
      <c r="F33" s="1181">
        <f>'Major Assumption Key'!A45</f>
        <v>2046</v>
      </c>
      <c r="G33" s="1197">
        <v>0</v>
      </c>
      <c r="H33" s="1197">
        <f t="shared" si="6"/>
        <v>0</v>
      </c>
      <c r="I33" s="1198">
        <f t="shared" si="7"/>
        <v>0</v>
      </c>
      <c r="J33" s="1165">
        <f t="shared" si="8"/>
        <v>0</v>
      </c>
      <c r="K33" s="1202">
        <f>IF(F33&lt;$B$16,0,_xlfn.XLOOKUP(F33,'Pedestrian Demand'!A:A,'Pedestrian Demand'!$D:$D,,0))</f>
        <v>2.9629995204114761</v>
      </c>
      <c r="L33" s="1197">
        <f t="shared" si="9"/>
        <v>770.37987530698376</v>
      </c>
      <c r="M33" s="1198">
        <f t="shared" si="10"/>
        <v>3997.0389450427547</v>
      </c>
      <c r="N33" s="1199">
        <f t="shared" si="11"/>
        <v>3997.0389450427547</v>
      </c>
      <c r="O33" s="1171">
        <f t="shared" si="12"/>
        <v>3997.0389450427547</v>
      </c>
      <c r="P33" s="1169">
        <f>O33/(1+'Major Assumption Key'!$B$8)^($F33-'Major Assumption Key'!$B$7)</f>
        <v>1921.013482831542</v>
      </c>
      <c r="Q33" s="1155"/>
      <c r="R33" s="1165">
        <f t="shared" si="13"/>
        <v>0</v>
      </c>
      <c r="S33" s="1199">
        <f t="shared" si="14"/>
        <v>4000</v>
      </c>
      <c r="T33" s="1171">
        <f t="shared" si="15"/>
        <v>4000</v>
      </c>
      <c r="U33" s="1169">
        <f t="shared" si="16"/>
        <v>2000</v>
      </c>
    </row>
    <row r="34" spans="6:21" ht="19.95" customHeight="1">
      <c r="F34" s="1181">
        <f>'Major Assumption Key'!A46</f>
        <v>2047</v>
      </c>
      <c r="G34" s="1197">
        <v>0</v>
      </c>
      <c r="H34" s="1197">
        <f t="shared" si="6"/>
        <v>0</v>
      </c>
      <c r="I34" s="1198">
        <f t="shared" si="7"/>
        <v>0</v>
      </c>
      <c r="J34" s="1165">
        <f t="shared" si="8"/>
        <v>0</v>
      </c>
      <c r="K34" s="1202">
        <f>IF(F34&lt;$B$16,0,_xlfn.XLOOKUP(F34,'Pedestrian Demand'!A:A,'Pedestrian Demand'!$D:$D,,0))</f>
        <v>2.966515207346216</v>
      </c>
      <c r="L34" s="1197">
        <f t="shared" si="9"/>
        <v>771.29395391001617</v>
      </c>
      <c r="M34" s="1198">
        <f t="shared" si="10"/>
        <v>4001.7815504667283</v>
      </c>
      <c r="N34" s="1199">
        <f t="shared" si="11"/>
        <v>4001.7815504667283</v>
      </c>
      <c r="O34" s="1171">
        <f t="shared" si="12"/>
        <v>4001.7815504667283</v>
      </c>
      <c r="P34" s="1169">
        <f>O34/(1+'Major Assumption Key'!$B$8)^($F34-'Major Assumption Key'!$B$7)</f>
        <v>1865.4634552713519</v>
      </c>
      <c r="Q34" s="1155"/>
      <c r="R34" s="1165">
        <f t="shared" si="13"/>
        <v>0</v>
      </c>
      <c r="S34" s="1199">
        <f t="shared" si="14"/>
        <v>4000</v>
      </c>
      <c r="T34" s="1171">
        <f t="shared" si="15"/>
        <v>4000</v>
      </c>
      <c r="U34" s="1169">
        <f t="shared" si="16"/>
        <v>2000</v>
      </c>
    </row>
    <row r="35" spans="6:21" ht="19.95" customHeight="1">
      <c r="F35" s="1181">
        <f>'Major Assumption Key'!A47</f>
        <v>2048</v>
      </c>
      <c r="G35" s="1197">
        <v>0</v>
      </c>
      <c r="H35" s="1197">
        <f t="shared" si="6"/>
        <v>0</v>
      </c>
      <c r="I35" s="1198">
        <f t="shared" si="7"/>
        <v>0</v>
      </c>
      <c r="J35" s="1165">
        <f t="shared" si="8"/>
        <v>0</v>
      </c>
      <c r="K35" s="1202">
        <f>IF(F35&lt;$B$16,0,_xlfn.XLOOKUP(F35,'Pedestrian Demand'!A:A,'Pedestrian Demand'!$D:$D,,0))</f>
        <v>2.9700350657479238</v>
      </c>
      <c r="L35" s="1197">
        <f t="shared" si="9"/>
        <v>772.20911709446023</v>
      </c>
      <c r="M35" s="1198">
        <f t="shared" si="10"/>
        <v>4006.529783132898</v>
      </c>
      <c r="N35" s="1199">
        <f t="shared" si="11"/>
        <v>0</v>
      </c>
      <c r="O35" s="1171">
        <f t="shared" si="12"/>
        <v>0</v>
      </c>
      <c r="P35" s="1169">
        <f>O35/(1+'Major Assumption Key'!$B$8)^($F35-'Major Assumption Key'!$B$7)</f>
        <v>0</v>
      </c>
      <c r="Q35" s="1155"/>
      <c r="R35" s="1165">
        <f t="shared" si="13"/>
        <v>0</v>
      </c>
      <c r="S35" s="1199">
        <f t="shared" si="14"/>
        <v>0</v>
      </c>
      <c r="T35" s="1171">
        <f t="shared" si="15"/>
        <v>0</v>
      </c>
      <c r="U35" s="1169">
        <f t="shared" si="16"/>
        <v>0</v>
      </c>
    </row>
    <row r="36" spans="6:21" ht="19.95" customHeight="1">
      <c r="F36" s="1181">
        <f>'Major Assumption Key'!A48</f>
        <v>2049</v>
      </c>
      <c r="G36" s="1197">
        <v>0</v>
      </c>
      <c r="H36" s="1197">
        <f t="shared" si="6"/>
        <v>0</v>
      </c>
      <c r="I36" s="1198">
        <f t="shared" si="7"/>
        <v>0</v>
      </c>
      <c r="J36" s="1165">
        <f t="shared" si="8"/>
        <v>0</v>
      </c>
      <c r="K36" s="1202">
        <f>IF(F36&lt;$B$16,0,_xlfn.XLOOKUP(F36,'Pedestrian Demand'!A:A,'Pedestrian Demand'!$D:$D,,0))</f>
        <v>2.9735591005661677</v>
      </c>
      <c r="L36" s="1197">
        <f t="shared" si="9"/>
        <v>773.12536614720364</v>
      </c>
      <c r="M36" s="1198">
        <f t="shared" si="10"/>
        <v>4011.283649718152</v>
      </c>
      <c r="N36" s="1199">
        <f t="shared" si="11"/>
        <v>0</v>
      </c>
      <c r="O36" s="1171">
        <f t="shared" si="12"/>
        <v>0</v>
      </c>
      <c r="P36" s="1169">
        <f>O36/(1+'Major Assumption Key'!$B$8)^($F36-'Major Assumption Key'!$B$7)</f>
        <v>0</v>
      </c>
      <c r="Q36" s="1155"/>
      <c r="R36" s="1165">
        <f t="shared" si="13"/>
        <v>0</v>
      </c>
      <c r="S36" s="1199">
        <f t="shared" si="14"/>
        <v>0</v>
      </c>
      <c r="T36" s="1171">
        <f t="shared" si="15"/>
        <v>0</v>
      </c>
      <c r="U36" s="1169">
        <f t="shared" si="16"/>
        <v>0</v>
      </c>
    </row>
    <row r="37" spans="6:21" ht="19.95" customHeight="1">
      <c r="F37" s="1181">
        <f>'Major Assumption Key'!A49</f>
        <v>2050</v>
      </c>
      <c r="G37" s="1197">
        <v>0</v>
      </c>
      <c r="H37" s="1197">
        <f t="shared" si="6"/>
        <v>0</v>
      </c>
      <c r="I37" s="1198">
        <f t="shared" si="7"/>
        <v>0</v>
      </c>
      <c r="J37" s="1165">
        <f t="shared" si="8"/>
        <v>0</v>
      </c>
      <c r="K37" s="1202">
        <f>IF(F37&lt;$B$16,0,_xlfn.XLOOKUP(F37,'Pedestrian Demand'!A:A,'Pedestrian Demand'!$D:$D,,0))</f>
        <v>2.9770873167563909</v>
      </c>
      <c r="L37" s="1197">
        <f t="shared" si="9"/>
        <v>774.04270235666161</v>
      </c>
      <c r="M37" s="1198">
        <f t="shared" si="10"/>
        <v>4016.043156907303</v>
      </c>
      <c r="N37" s="1199">
        <f t="shared" si="11"/>
        <v>0</v>
      </c>
      <c r="O37" s="1171">
        <f t="shared" si="12"/>
        <v>0</v>
      </c>
      <c r="P37" s="1169">
        <f>O37/(1+'Major Assumption Key'!$B$8)^($F37-'Major Assumption Key'!$B$7)</f>
        <v>0</v>
      </c>
      <c r="Q37" s="1155"/>
      <c r="R37" s="1165">
        <f t="shared" si="13"/>
        <v>0</v>
      </c>
      <c r="S37" s="1199">
        <f t="shared" si="14"/>
        <v>0</v>
      </c>
      <c r="T37" s="1171">
        <f t="shared" si="15"/>
        <v>0</v>
      </c>
      <c r="U37" s="1169">
        <f t="shared" si="16"/>
        <v>0</v>
      </c>
    </row>
    <row r="38" spans="6:21" ht="19.95" customHeight="1">
      <c r="F38" s="1181">
        <f>'Major Assumption Key'!A50</f>
        <v>2051</v>
      </c>
      <c r="G38" s="1197">
        <v>0</v>
      </c>
      <c r="H38" s="1197">
        <f t="shared" si="6"/>
        <v>0</v>
      </c>
      <c r="I38" s="1198">
        <f t="shared" si="7"/>
        <v>0</v>
      </c>
      <c r="J38" s="1165">
        <f t="shared" si="8"/>
        <v>0</v>
      </c>
      <c r="K38" s="1202">
        <f>IF(F38&lt;$B$16,0,_xlfn.XLOOKUP(F38,'Pedestrian Demand'!A:A,'Pedestrian Demand'!$D:$D,,0))</f>
        <v>2.9806197192799146</v>
      </c>
      <c r="L38" s="1197">
        <f t="shared" si="9"/>
        <v>774.96112701277775</v>
      </c>
      <c r="M38" s="1198">
        <f t="shared" si="10"/>
        <v>4020.8083113930961</v>
      </c>
      <c r="N38" s="1199">
        <f t="shared" si="11"/>
        <v>0</v>
      </c>
      <c r="O38" s="1171">
        <f t="shared" si="12"/>
        <v>0</v>
      </c>
      <c r="P38" s="1169">
        <f>O38/(1+'Major Assumption Key'!$B$8)^($F38-'Major Assumption Key'!$B$7)</f>
        <v>0</v>
      </c>
      <c r="Q38" s="1155"/>
      <c r="R38" s="1165">
        <f t="shared" si="13"/>
        <v>0</v>
      </c>
      <c r="S38" s="1199">
        <f t="shared" si="14"/>
        <v>0</v>
      </c>
      <c r="T38" s="1171">
        <f t="shared" si="15"/>
        <v>0</v>
      </c>
      <c r="U38" s="1169">
        <f t="shared" si="16"/>
        <v>0</v>
      </c>
    </row>
    <row r="39" spans="6:21" ht="19.95" customHeight="1">
      <c r="F39" s="1181">
        <f>'Major Assumption Key'!A51</f>
        <v>2052</v>
      </c>
      <c r="G39" s="1197">
        <v>0</v>
      </c>
      <c r="H39" s="1197">
        <f t="shared" si="6"/>
        <v>0</v>
      </c>
      <c r="I39" s="1198">
        <f t="shared" si="7"/>
        <v>0</v>
      </c>
      <c r="J39" s="1165">
        <f t="shared" si="8"/>
        <v>0</v>
      </c>
      <c r="K39" s="1202">
        <f>IF(F39&lt;$B$16,0,_xlfn.XLOOKUP(F39,'Pedestrian Demand'!A:A,'Pedestrian Demand'!$D:$D,,0))</f>
        <v>2.9841493309145806</v>
      </c>
      <c r="L39" s="1197">
        <f t="shared" si="9"/>
        <v>775.87882603779099</v>
      </c>
      <c r="M39" s="1198">
        <f t="shared" si="10"/>
        <v>4025.569701014475</v>
      </c>
      <c r="N39" s="1199">
        <f t="shared" si="11"/>
        <v>0</v>
      </c>
      <c r="O39" s="1171">
        <f t="shared" si="12"/>
        <v>0</v>
      </c>
      <c r="P39" s="1169">
        <f>O39/(1+'Major Assumption Key'!$B$8)^($F39-'Major Assumption Key'!$B$7)</f>
        <v>0</v>
      </c>
      <c r="Q39" s="1155"/>
      <c r="R39" s="1165">
        <f t="shared" si="13"/>
        <v>0</v>
      </c>
      <c r="S39" s="1199">
        <f t="shared" si="14"/>
        <v>0</v>
      </c>
      <c r="T39" s="1171">
        <f t="shared" si="15"/>
        <v>0</v>
      </c>
      <c r="U39" s="1169">
        <f t="shared" si="16"/>
        <v>0</v>
      </c>
    </row>
    <row r="40" spans="6:21" ht="19.95" customHeight="1">
      <c r="F40" s="1181">
        <f>'Major Assumption Key'!A52</f>
        <v>2053</v>
      </c>
      <c r="G40" s="1197">
        <v>0</v>
      </c>
      <c r="H40" s="1197">
        <f t="shared" si="6"/>
        <v>0</v>
      </c>
      <c r="I40" s="1198">
        <f t="shared" si="7"/>
        <v>0</v>
      </c>
      <c r="J40" s="1165">
        <f t="shared" si="8"/>
        <v>0</v>
      </c>
      <c r="K40" s="1202">
        <f>IF(F40&lt;$B$16,0,_xlfn.XLOOKUP(F40,'Pedestrian Demand'!A:A,'Pedestrian Demand'!$D:$D,,0))</f>
        <v>2.9876796402714416</v>
      </c>
      <c r="L40" s="1197">
        <f t="shared" si="9"/>
        <v>776.7967064705748</v>
      </c>
      <c r="M40" s="1198">
        <f t="shared" si="10"/>
        <v>4030.3320318519304</v>
      </c>
      <c r="N40" s="1199">
        <f t="shared" si="11"/>
        <v>0</v>
      </c>
      <c r="O40" s="1171">
        <f t="shared" si="12"/>
        <v>0</v>
      </c>
      <c r="P40" s="1169">
        <f>O40/(1+'Major Assumption Key'!$B$8)^($F40-'Major Assumption Key'!$B$7)</f>
        <v>0</v>
      </c>
      <c r="Q40" s="1155"/>
      <c r="R40" s="1165">
        <f t="shared" si="13"/>
        <v>0</v>
      </c>
      <c r="S40" s="1199">
        <f t="shared" si="14"/>
        <v>0</v>
      </c>
      <c r="T40" s="1171">
        <f t="shared" si="15"/>
        <v>0</v>
      </c>
      <c r="U40" s="1169">
        <f t="shared" si="16"/>
        <v>0</v>
      </c>
    </row>
    <row r="41" spans="6:21" ht="19.95" customHeight="1">
      <c r="F41" s="1181">
        <f>'Major Assumption Key'!A53</f>
        <v>2054</v>
      </c>
      <c r="G41" s="1197">
        <v>0</v>
      </c>
      <c r="H41" s="1197">
        <f t="shared" si="6"/>
        <v>0</v>
      </c>
      <c r="I41" s="1198">
        <f t="shared" si="7"/>
        <v>0</v>
      </c>
      <c r="J41" s="1165">
        <f t="shared" si="8"/>
        <v>0</v>
      </c>
      <c r="K41" s="1202">
        <f>IF(F41&lt;$B$16,0,_xlfn.XLOOKUP(F41,'Pedestrian Demand'!A:A,'Pedestrian Demand'!$D:$D,,0))</f>
        <v>2.991209949628328</v>
      </c>
      <c r="L41" s="1197">
        <f t="shared" si="9"/>
        <v>777.71458690336533</v>
      </c>
      <c r="M41" s="1198">
        <f t="shared" si="10"/>
        <v>4035.0943626894209</v>
      </c>
      <c r="N41" s="1199">
        <f t="shared" si="11"/>
        <v>0</v>
      </c>
      <c r="O41" s="1171">
        <f t="shared" si="12"/>
        <v>0</v>
      </c>
      <c r="P41" s="1169">
        <f>O41/(1+'Major Assumption Key'!$B$8)^($F41-'Major Assumption Key'!$B$7)</f>
        <v>0</v>
      </c>
      <c r="Q41" s="1155"/>
      <c r="R41" s="1165">
        <f t="shared" si="13"/>
        <v>0</v>
      </c>
      <c r="S41" s="1199">
        <f t="shared" si="14"/>
        <v>0</v>
      </c>
      <c r="T41" s="1171">
        <f t="shared" si="15"/>
        <v>0</v>
      </c>
      <c r="U41" s="1169">
        <f t="shared" si="16"/>
        <v>0</v>
      </c>
    </row>
    <row r="42" spans="6:21" ht="19.95" customHeight="1">
      <c r="F42" s="1181">
        <f>'Major Assumption Key'!A54</f>
        <v>2055</v>
      </c>
      <c r="G42" s="1197">
        <v>0</v>
      </c>
      <c r="H42" s="1197">
        <f t="shared" si="6"/>
        <v>0</v>
      </c>
      <c r="I42" s="1198">
        <f t="shared" si="7"/>
        <v>0</v>
      </c>
      <c r="J42" s="1165">
        <f t="shared" si="8"/>
        <v>0</v>
      </c>
      <c r="K42" s="1202">
        <f>IF(F42&lt;$B$16,0,_xlfn.XLOOKUP(F42,'Pedestrian Demand'!A:A,'Pedestrian Demand'!$D:$D,,0))</f>
        <v>2.994740258985189</v>
      </c>
      <c r="L42" s="1197">
        <f t="shared" si="9"/>
        <v>778.63246733614915</v>
      </c>
      <c r="M42" s="1198">
        <f t="shared" si="10"/>
        <v>4039.8566935268764</v>
      </c>
      <c r="N42" s="1199">
        <f t="shared" si="11"/>
        <v>0</v>
      </c>
      <c r="O42" s="1171">
        <f t="shared" si="12"/>
        <v>0</v>
      </c>
      <c r="P42" s="1169">
        <f>O42/(1+'Major Assumption Key'!$B$8)^($F42-'Major Assumption Key'!$B$7)</f>
        <v>0</v>
      </c>
      <c r="Q42" s="1155"/>
      <c r="R42" s="1165">
        <f t="shared" si="13"/>
        <v>0</v>
      </c>
      <c r="S42" s="1199">
        <f t="shared" si="14"/>
        <v>0</v>
      </c>
      <c r="T42" s="1171">
        <f t="shared" si="15"/>
        <v>0</v>
      </c>
      <c r="U42" s="1169">
        <f t="shared" si="16"/>
        <v>0</v>
      </c>
    </row>
    <row r="43" spans="6:21" ht="19.95" customHeight="1">
      <c r="F43" s="1181">
        <f>'Major Assumption Key'!A55</f>
        <v>2056</v>
      </c>
      <c r="G43" s="1197">
        <v>0</v>
      </c>
      <c r="H43" s="1197">
        <f t="shared" si="6"/>
        <v>0</v>
      </c>
      <c r="I43" s="1198">
        <f t="shared" si="7"/>
        <v>0</v>
      </c>
      <c r="J43" s="1165">
        <f t="shared" si="8"/>
        <v>0</v>
      </c>
      <c r="K43" s="1202">
        <f>IF(F43&lt;$B$16,0,_xlfn.XLOOKUP(F43,'Pedestrian Demand'!A:A,'Pedestrian Demand'!$D:$D,,0))</f>
        <v>2.9982705683420758</v>
      </c>
      <c r="L43" s="1197">
        <f t="shared" si="9"/>
        <v>779.55034776893967</v>
      </c>
      <c r="M43" s="1198">
        <f t="shared" si="10"/>
        <v>4044.6190243643669</v>
      </c>
      <c r="N43" s="1199">
        <f t="shared" si="11"/>
        <v>0</v>
      </c>
      <c r="O43" s="1171">
        <f t="shared" si="12"/>
        <v>0</v>
      </c>
      <c r="P43" s="1169">
        <f>O43/(1+'Major Assumption Key'!$B$8)^($F43-'Major Assumption Key'!$B$7)</f>
        <v>0</v>
      </c>
      <c r="Q43" s="1155"/>
      <c r="R43" s="1165">
        <f t="shared" si="13"/>
        <v>0</v>
      </c>
      <c r="S43" s="1199">
        <f t="shared" si="14"/>
        <v>0</v>
      </c>
      <c r="T43" s="1171">
        <f t="shared" si="15"/>
        <v>0</v>
      </c>
      <c r="U43" s="1169">
        <f t="shared" si="16"/>
        <v>0</v>
      </c>
    </row>
    <row r="44" spans="6:21" ht="19.95" customHeight="1">
      <c r="F44" s="1181">
        <f>'Major Assumption Key'!A56</f>
        <v>2057</v>
      </c>
      <c r="G44" s="1197">
        <v>0</v>
      </c>
      <c r="H44" s="1197">
        <f t="shared" si="6"/>
        <v>0</v>
      </c>
      <c r="I44" s="1198">
        <f t="shared" si="7"/>
        <v>0</v>
      </c>
      <c r="J44" s="1165">
        <f t="shared" si="8"/>
        <v>0</v>
      </c>
      <c r="K44" s="1202">
        <f>IF(F44&lt;$B$16,0,_xlfn.XLOOKUP(F44,'Pedestrian Demand'!A:A,'Pedestrian Demand'!$D:$D,,0))</f>
        <v>3.0018008776989364</v>
      </c>
      <c r="L44" s="1197">
        <f t="shared" si="9"/>
        <v>780.46822820172349</v>
      </c>
      <c r="M44" s="1198">
        <f t="shared" si="10"/>
        <v>4049.3813552018228</v>
      </c>
      <c r="N44" s="1199">
        <f t="shared" si="11"/>
        <v>0</v>
      </c>
      <c r="O44" s="1171">
        <f t="shared" si="12"/>
        <v>0</v>
      </c>
      <c r="P44" s="1169">
        <f>O44/(1+'Major Assumption Key'!$B$8)^($F44-'Major Assumption Key'!$B$7)</f>
        <v>0</v>
      </c>
      <c r="Q44" s="1155"/>
      <c r="R44" s="1165">
        <f t="shared" si="13"/>
        <v>0</v>
      </c>
      <c r="S44" s="1199">
        <f t="shared" si="14"/>
        <v>0</v>
      </c>
      <c r="T44" s="1171">
        <f t="shared" si="15"/>
        <v>0</v>
      </c>
      <c r="U44" s="1169">
        <f t="shared" si="16"/>
        <v>0</v>
      </c>
    </row>
    <row r="45" spans="6:21" ht="19.95" customHeight="1">
      <c r="F45" s="1181">
        <f>'Major Assumption Key'!A57</f>
        <v>2058</v>
      </c>
      <c r="G45" s="1197">
        <v>0</v>
      </c>
      <c r="H45" s="1197">
        <f t="shared" si="6"/>
        <v>0</v>
      </c>
      <c r="I45" s="1198">
        <f t="shared" si="7"/>
        <v>0</v>
      </c>
      <c r="J45" s="1165">
        <f t="shared" si="8"/>
        <v>0</v>
      </c>
      <c r="K45" s="1202">
        <f>IF(F45&lt;$B$16,0,_xlfn.XLOOKUP(F45,'Pedestrian Demand'!A:A,'Pedestrian Demand'!$D:$D,,0))</f>
        <v>3.0053311870558232</v>
      </c>
      <c r="L45" s="1197">
        <f t="shared" si="9"/>
        <v>781.38610863451402</v>
      </c>
      <c r="M45" s="1198">
        <f t="shared" si="10"/>
        <v>4054.1436860393128</v>
      </c>
      <c r="N45" s="1199">
        <f t="shared" si="11"/>
        <v>0</v>
      </c>
      <c r="O45" s="1171">
        <f t="shared" si="12"/>
        <v>0</v>
      </c>
      <c r="P45" s="1169">
        <f>O45/(1+'Major Assumption Key'!$B$8)^($F45-'Major Assumption Key'!$B$7)</f>
        <v>0</v>
      </c>
      <c r="Q45" s="1155"/>
      <c r="R45" s="1165">
        <f t="shared" si="13"/>
        <v>0</v>
      </c>
      <c r="S45" s="1199">
        <f t="shared" si="14"/>
        <v>0</v>
      </c>
      <c r="T45" s="1171">
        <f t="shared" si="15"/>
        <v>0</v>
      </c>
      <c r="U45" s="1169">
        <f t="shared" si="16"/>
        <v>0</v>
      </c>
    </row>
    <row r="46" spans="6:21" ht="19.95" customHeight="1">
      <c r="F46" s="1181">
        <f>'Major Assumption Key'!A58</f>
        <v>2059</v>
      </c>
      <c r="G46" s="1197">
        <v>0</v>
      </c>
      <c r="H46" s="1197">
        <f t="shared" si="6"/>
        <v>0</v>
      </c>
      <c r="I46" s="1198">
        <f t="shared" si="7"/>
        <v>0</v>
      </c>
      <c r="J46" s="1165">
        <f t="shared" si="8"/>
        <v>0</v>
      </c>
      <c r="K46" s="1202">
        <f>IF(F46&lt;$B$16,0,_xlfn.XLOOKUP(F46,'Pedestrian Demand'!A:A,'Pedestrian Demand'!$D:$D,,0))</f>
        <v>3.0088614964126839</v>
      </c>
      <c r="L46" s="1197">
        <f t="shared" si="9"/>
        <v>782.30398906729783</v>
      </c>
      <c r="M46" s="1198">
        <f t="shared" si="10"/>
        <v>4058.9060168767683</v>
      </c>
      <c r="N46" s="1199">
        <f t="shared" si="11"/>
        <v>0</v>
      </c>
      <c r="O46" s="1171">
        <f t="shared" si="12"/>
        <v>0</v>
      </c>
      <c r="P46" s="1169">
        <f>O46/(1+'Major Assumption Key'!$B$8)^($F46-'Major Assumption Key'!$B$7)</f>
        <v>0</v>
      </c>
      <c r="Q46" s="1155"/>
      <c r="R46" s="1165">
        <f t="shared" si="13"/>
        <v>0</v>
      </c>
      <c r="S46" s="1199">
        <f t="shared" si="14"/>
        <v>0</v>
      </c>
      <c r="T46" s="1171">
        <f t="shared" si="15"/>
        <v>0</v>
      </c>
      <c r="U46" s="1169">
        <f t="shared" si="16"/>
        <v>0</v>
      </c>
    </row>
    <row r="47" spans="6:21" ht="19.95" customHeight="1">
      <c r="F47" s="1181">
        <f>'Major Assumption Key'!A59</f>
        <v>2060</v>
      </c>
      <c r="G47" s="1197">
        <v>0</v>
      </c>
      <c r="H47" s="1197">
        <f t="shared" si="6"/>
        <v>0</v>
      </c>
      <c r="I47" s="1198">
        <f t="shared" ref="I47" si="17">IFERROR(H47*$B$21*$B$22,"N/A")</f>
        <v>0</v>
      </c>
      <c r="J47" s="1165">
        <f t="shared" si="8"/>
        <v>0</v>
      </c>
      <c r="K47" s="1202">
        <f>IF(F47&lt;$B$16,0,_xlfn.XLOOKUP(F47,'Pedestrian Demand'!A:A,'Pedestrian Demand'!$D:$D,,0))</f>
        <v>3.0123918057695707</v>
      </c>
      <c r="L47" s="1197">
        <f t="shared" si="9"/>
        <v>783.22186950008836</v>
      </c>
      <c r="M47" s="1198">
        <f t="shared" si="10"/>
        <v>4063.6683477142583</v>
      </c>
      <c r="N47" s="1199">
        <f t="shared" si="11"/>
        <v>0</v>
      </c>
      <c r="O47" s="1171">
        <f t="shared" ref="O47" si="18">N47-J47</f>
        <v>0</v>
      </c>
      <c r="P47" s="1169">
        <f>O47/(1+'Major Assumption Key'!$B$8)^($F47-'Major Assumption Key'!$B$7)</f>
        <v>0</v>
      </c>
      <c r="Q47" s="1155"/>
      <c r="R47" s="1165">
        <f t="shared" ref="R47" si="19">ROUND(J47,-3)</f>
        <v>0</v>
      </c>
      <c r="S47" s="1199">
        <f t="shared" ref="S47" si="20">ROUND(N47,-3)</f>
        <v>0</v>
      </c>
      <c r="T47" s="1171">
        <f t="shared" ref="T47" si="21">ROUND(O47,-3)</f>
        <v>0</v>
      </c>
      <c r="U47" s="1169">
        <f t="shared" ref="U47" si="22">ROUND(P47,-3)</f>
        <v>0</v>
      </c>
    </row>
    <row r="48" spans="6:21" ht="19.95" customHeight="1" thickBot="1">
      <c r="F48" s="1536" t="s">
        <v>504</v>
      </c>
      <c r="G48" s="1553"/>
      <c r="H48" s="1553"/>
      <c r="I48" s="1554"/>
      <c r="J48" s="1550">
        <f>SUMIFS($J$7:$J$47,$F$7:$F$47,"&gt;="&amp;$B$17,$F$7:$F$47,"&lt;="&amp;$B$18)</f>
        <v>0</v>
      </c>
      <c r="K48" s="1555"/>
      <c r="L48" s="1553"/>
      <c r="M48" s="1554"/>
      <c r="N48" s="1550">
        <f>SUMIFS($N$7:$N$47,$F$7:$F$47,"&gt;="&amp;$B$17,$F$7:$F$47,"&lt;="&amp;$B$18)</f>
        <v>79140.911281376888</v>
      </c>
      <c r="O48" s="1550">
        <f>SUM(O7:O47)</f>
        <v>79140.911281376888</v>
      </c>
      <c r="P48" s="1550">
        <f>SUM(P7:P47)</f>
        <v>50012.732316662383</v>
      </c>
      <c r="Q48" s="1155"/>
      <c r="R48" s="1520">
        <f>ROUND(J48,-3)</f>
        <v>0</v>
      </c>
      <c r="S48" s="1524">
        <f t="shared" si="3"/>
        <v>79000</v>
      </c>
      <c r="T48" s="1525">
        <f t="shared" si="4"/>
        <v>79000</v>
      </c>
      <c r="U48" s="1526">
        <f t="shared" si="5"/>
        <v>50000</v>
      </c>
    </row>
    <row r="49" spans="10:14" ht="19.5" customHeight="1">
      <c r="J49" s="1527"/>
      <c r="K49" s="1527"/>
      <c r="N49" s="1527"/>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topLeftCell="A20" workbookViewId="0">
      <selection sqref="A1:XFD1048576"/>
    </sheetView>
  </sheetViews>
  <sheetFormatPr defaultColWidth="9.21875" defaultRowHeight="14.4"/>
  <cols>
    <col min="1" max="1" width="64.21875" style="1145" bestFit="1" customWidth="1"/>
    <col min="2" max="3" width="28.21875" style="1145" customWidth="1"/>
    <col min="4" max="4" width="36.5546875" style="1145" customWidth="1"/>
    <col min="5" max="5" width="7.5546875" style="1145" customWidth="1"/>
    <col min="6" max="6" width="31" style="1145" customWidth="1"/>
    <col min="7" max="7" width="19.77734375" style="1186" customWidth="1"/>
    <col min="8" max="8" width="23.21875" style="1186" customWidth="1"/>
    <col min="9" max="9" width="32.21875" style="1145" customWidth="1"/>
    <col min="10" max="10" width="19.77734375" style="1145" customWidth="1"/>
    <col min="11" max="11" width="19.77734375" style="1186" customWidth="1"/>
    <col min="12" max="12" width="23.21875" style="1186" customWidth="1"/>
    <col min="13" max="13" width="32.21875" style="1145" customWidth="1"/>
    <col min="14" max="14" width="19.77734375" style="1145" customWidth="1"/>
    <col min="15" max="15" width="20" style="1145" bestFit="1" customWidth="1"/>
    <col min="16" max="16" width="18.21875" style="1145" bestFit="1" customWidth="1"/>
    <col min="17" max="17" width="9.21875" style="1149"/>
    <col min="18" max="18" width="18" style="1149" customWidth="1"/>
    <col min="19" max="21" width="20.77734375" style="1149" customWidth="1"/>
    <col min="22" max="27" width="9.21875" style="1149"/>
    <col min="28" max="37" width="9.21875" style="1013"/>
    <col min="38" max="38" width="9.21875" style="1149"/>
    <col min="39" max="39" width="11.21875" style="1149" bestFit="1" customWidth="1"/>
    <col min="40" max="16384" width="9.21875" style="1149"/>
  </cols>
  <sheetData>
    <row r="1" spans="1:21" ht="25.2" customHeight="1">
      <c r="A1" s="1009" t="s">
        <v>185</v>
      </c>
      <c r="B1" s="1143" t="s">
        <v>7141</v>
      </c>
      <c r="C1" s="1172"/>
      <c r="D1" s="1172"/>
      <c r="E1" s="1172"/>
      <c r="F1" s="1011"/>
      <c r="G1" s="1029"/>
      <c r="K1" s="1187"/>
    </row>
    <row r="2" spans="1:21" ht="15" thickBot="1">
      <c r="A2" s="1173"/>
      <c r="B2" s="1173"/>
      <c r="C2" s="1173"/>
      <c r="D2" s="1173"/>
      <c r="E2" s="1173"/>
    </row>
    <row r="3" spans="1:21" ht="60" customHeight="1">
      <c r="A3" s="1147" t="s">
        <v>482</v>
      </c>
      <c r="B3" s="1875" t="s">
        <v>7142</v>
      </c>
      <c r="C3" s="1875"/>
      <c r="D3" s="1875"/>
      <c r="E3" s="1174"/>
      <c r="F3" s="1872" t="s">
        <v>484</v>
      </c>
      <c r="G3" s="1873"/>
      <c r="H3" s="1873"/>
      <c r="I3" s="1873"/>
      <c r="J3" s="1873"/>
      <c r="K3" s="1873"/>
      <c r="L3" s="1873"/>
      <c r="M3" s="1873"/>
      <c r="N3" s="1873"/>
      <c r="O3" s="1873"/>
      <c r="P3" s="1874"/>
      <c r="Q3" s="1155"/>
    </row>
    <row r="4" spans="1:21" ht="18">
      <c r="A4" s="1188"/>
      <c r="B4" s="1175"/>
      <c r="C4" s="1175"/>
      <c r="D4" s="1175"/>
      <c r="E4" s="1174"/>
      <c r="F4" s="1189" t="s">
        <v>485</v>
      </c>
      <c r="G4" s="1190" t="s">
        <v>487</v>
      </c>
      <c r="H4" s="1190" t="s">
        <v>487</v>
      </c>
      <c r="I4" s="1191" t="s">
        <v>487</v>
      </c>
      <c r="J4" s="1156" t="s">
        <v>66</v>
      </c>
      <c r="K4" s="1190" t="s">
        <v>67</v>
      </c>
      <c r="L4" s="1190" t="s">
        <v>67</v>
      </c>
      <c r="M4" s="1192" t="s">
        <v>131</v>
      </c>
      <c r="N4" s="1157" t="s">
        <v>131</v>
      </c>
      <c r="O4" s="1868" t="s">
        <v>488</v>
      </c>
      <c r="P4" s="1869"/>
      <c r="Q4" s="1155"/>
      <c r="R4" s="1156" t="s">
        <v>66</v>
      </c>
      <c r="S4" s="1157" t="s">
        <v>131</v>
      </c>
      <c r="T4" s="1868" t="s">
        <v>488</v>
      </c>
      <c r="U4" s="1869"/>
    </row>
    <row r="5" spans="1:21" ht="60" customHeight="1" thickBot="1">
      <c r="A5" s="1489" t="s">
        <v>489</v>
      </c>
      <c r="B5" s="2053" t="s">
        <v>7143</v>
      </c>
      <c r="C5" s="2053"/>
      <c r="D5" s="2053"/>
      <c r="E5" s="1173"/>
      <c r="F5" s="1528" t="s">
        <v>491</v>
      </c>
      <c r="G5" s="1541" t="s">
        <v>493</v>
      </c>
      <c r="H5" s="1541" t="s">
        <v>494</v>
      </c>
      <c r="I5" s="1529" t="s">
        <v>1194</v>
      </c>
      <c r="J5" s="1494" t="s">
        <v>15</v>
      </c>
      <c r="K5" s="1541" t="s">
        <v>493</v>
      </c>
      <c r="L5" s="1541" t="s">
        <v>494</v>
      </c>
      <c r="M5" s="1529" t="s">
        <v>1194</v>
      </c>
      <c r="N5" s="1495" t="s">
        <v>15</v>
      </c>
      <c r="O5" s="1870"/>
      <c r="P5" s="1871"/>
      <c r="Q5" s="1155"/>
      <c r="R5" s="1494" t="s">
        <v>15</v>
      </c>
      <c r="S5" s="1495" t="s">
        <v>15</v>
      </c>
      <c r="T5" s="1870"/>
      <c r="U5" s="1871"/>
    </row>
    <row r="6" spans="1:21" ht="76.95" customHeight="1">
      <c r="A6" s="1542"/>
      <c r="B6" s="1237"/>
      <c r="C6" s="1237"/>
      <c r="D6" s="1237"/>
      <c r="E6" s="1173"/>
      <c r="F6" s="1528"/>
      <c r="G6" s="1541" t="s">
        <v>7144</v>
      </c>
      <c r="H6" s="1541" t="s">
        <v>7145</v>
      </c>
      <c r="I6" s="1529" t="s">
        <v>7134</v>
      </c>
      <c r="J6" s="1494" t="s">
        <v>7146</v>
      </c>
      <c r="K6" s="1541" t="s">
        <v>7144</v>
      </c>
      <c r="L6" s="1541" t="s">
        <v>7145</v>
      </c>
      <c r="M6" s="1529" t="s">
        <v>7134</v>
      </c>
      <c r="N6" s="1495" t="s">
        <v>7146</v>
      </c>
      <c r="O6" s="1500" t="s">
        <v>419</v>
      </c>
      <c r="P6" s="1501" t="str">
        <f>"Discounted @ "&amp;TEXT('Major Assumption Key'!$B$8,"0.0%")</f>
        <v>Discounted @ 3.1%</v>
      </c>
      <c r="Q6" s="1155"/>
      <c r="R6" s="1494" t="s">
        <v>7146</v>
      </c>
      <c r="S6" s="1495" t="s">
        <v>7146</v>
      </c>
      <c r="T6" s="1500" t="s">
        <v>419</v>
      </c>
      <c r="U6" s="1501" t="str">
        <f>"Discounted @ "&amp;TEXT('Major Assumption Key'!$B$8,"0.0%")</f>
        <v>Discounted @ 3.1%</v>
      </c>
    </row>
    <row r="7" spans="1:21" ht="19.95" customHeight="1">
      <c r="C7" s="1173"/>
      <c r="D7" s="1173"/>
      <c r="E7" s="1173"/>
      <c r="F7" s="1181">
        <f>'Major Assumption Key'!A19</f>
        <v>2020</v>
      </c>
      <c r="G7" s="1197">
        <v>0</v>
      </c>
      <c r="H7" s="1197">
        <f>G7*$B$19</f>
        <v>0</v>
      </c>
      <c r="I7" s="1198">
        <f t="shared" ref="I7" si="0">IFERROR(H7*$B$21*$B$22,"N/A")</f>
        <v>0</v>
      </c>
      <c r="J7" s="1165">
        <f>IF(AND($F7&gt;=$B$16,$F7&lt;=$B$18),I7,0)</f>
        <v>0</v>
      </c>
      <c r="K7" s="1197">
        <f>IF(F7&lt;$B$16,0,_xlfn.XLOOKUP(F7,'Bike Demand'!A:A,'Bike Demand'!$D:$D,,0))</f>
        <v>0</v>
      </c>
      <c r="L7" s="1197">
        <f>K7*$B$19</f>
        <v>0</v>
      </c>
      <c r="M7" s="1198">
        <f>IFERROR(L7*$B$21*$B$22,"N/A")</f>
        <v>0</v>
      </c>
      <c r="N7" s="1199">
        <f>IF(AND($F7&gt;=$B$16,$F7&lt;=$B$18),M7,0)</f>
        <v>0</v>
      </c>
      <c r="O7" s="1171">
        <f t="shared" ref="O7" si="1">N7-J7</f>
        <v>0</v>
      </c>
      <c r="P7" s="1169">
        <f>O7/(1+'Major Assumption Key'!$B$8)^($F7-'Major Assumption Key'!$B$7)</f>
        <v>0</v>
      </c>
      <c r="Q7" s="1155"/>
      <c r="R7" s="1165">
        <f t="shared" ref="R7" si="2">ROUND(J7,-3)</f>
        <v>0</v>
      </c>
      <c r="S7" s="1199">
        <f t="shared" ref="S7:S48" si="3">ROUND(N7,-3)</f>
        <v>0</v>
      </c>
      <c r="T7" s="1171">
        <f t="shared" ref="T7:T48" si="4">ROUND(O7,-3)</f>
        <v>0</v>
      </c>
      <c r="U7" s="1169">
        <f t="shared" ref="U7" si="5">ROUND(P7,-3)</f>
        <v>0</v>
      </c>
    </row>
    <row r="8" spans="1:21" ht="19.95" customHeight="1">
      <c r="A8" s="1173"/>
      <c r="B8" s="1173"/>
      <c r="C8" s="1173"/>
      <c r="D8" s="1173"/>
      <c r="E8" s="1173"/>
      <c r="F8" s="1181">
        <f>'Major Assumption Key'!A20</f>
        <v>2021</v>
      </c>
      <c r="G8" s="1197">
        <v>0</v>
      </c>
      <c r="H8" s="1197">
        <f t="shared" ref="H8:H47" si="6">G8*$B$19</f>
        <v>0</v>
      </c>
      <c r="I8" s="1198">
        <f t="shared" ref="I8:I47" si="7">IFERROR(H8*$B$21*$B$22,"N/A")</f>
        <v>0</v>
      </c>
      <c r="J8" s="1165">
        <f t="shared" ref="J8:J47" si="8">IF(AND($F8&gt;=$B$16,$F8&lt;=$B$18),I8,0)</f>
        <v>0</v>
      </c>
      <c r="K8" s="1197">
        <f>IF(F8&lt;$B$16,0,_xlfn.XLOOKUP(F8,'Bike Demand'!A:A,'Bike Demand'!$D:$D,,0))</f>
        <v>0</v>
      </c>
      <c r="L8" s="1197">
        <f t="shared" ref="L8:L47" si="9">K8*$B$19</f>
        <v>0</v>
      </c>
      <c r="M8" s="1198">
        <f t="shared" ref="M8:M47" si="10">IFERROR(L8*$B$21*$B$22,"N/A")</f>
        <v>0</v>
      </c>
      <c r="N8" s="1199">
        <f t="shared" ref="N8:N47" si="11">IF(AND($F8&gt;=$B$16,$F8&lt;=$B$18),M8,0)</f>
        <v>0</v>
      </c>
      <c r="O8" s="1171">
        <f t="shared" ref="O8:O47" si="12">N8-J8</f>
        <v>0</v>
      </c>
      <c r="P8" s="1169">
        <f>O8/(1+'Major Assumption Key'!$B$8)^($F8-'Major Assumption Key'!$B$7)</f>
        <v>0</v>
      </c>
      <c r="Q8" s="1155"/>
      <c r="R8" s="1165">
        <f t="shared" ref="R8:R47" si="13">ROUND(J8,-3)</f>
        <v>0</v>
      </c>
      <c r="S8" s="1199">
        <f t="shared" ref="S8:S47" si="14">ROUND(N8,-3)</f>
        <v>0</v>
      </c>
      <c r="T8" s="1171">
        <f t="shared" ref="T8:T47" si="15">ROUND(O8,-3)</f>
        <v>0</v>
      </c>
      <c r="U8" s="1169">
        <f t="shared" ref="U8:U47" si="16">ROUND(P8,-3)</f>
        <v>0</v>
      </c>
    </row>
    <row r="9" spans="1:21" ht="19.95" customHeight="1">
      <c r="A9" s="1859" t="s">
        <v>432</v>
      </c>
      <c r="B9" s="1860"/>
      <c r="C9" s="1860"/>
      <c r="D9" s="1861"/>
      <c r="E9" s="1173"/>
      <c r="F9" s="1181">
        <f>'Major Assumption Key'!A21</f>
        <v>2022</v>
      </c>
      <c r="G9" s="1197">
        <v>0</v>
      </c>
      <c r="H9" s="1197">
        <f t="shared" si="6"/>
        <v>0</v>
      </c>
      <c r="I9" s="1198">
        <f t="shared" si="7"/>
        <v>0</v>
      </c>
      <c r="J9" s="1165">
        <f t="shared" si="8"/>
        <v>0</v>
      </c>
      <c r="K9" s="1197">
        <f>IF(F9&lt;$B$16,0,_xlfn.XLOOKUP(F9,'Bike Demand'!A:A,'Bike Demand'!$D:$D,,0))</f>
        <v>0</v>
      </c>
      <c r="L9" s="1197">
        <f t="shared" si="9"/>
        <v>0</v>
      </c>
      <c r="M9" s="1198">
        <f t="shared" si="10"/>
        <v>0</v>
      </c>
      <c r="N9" s="1199">
        <f t="shared" si="11"/>
        <v>0</v>
      </c>
      <c r="O9" s="1171">
        <f t="shared" si="12"/>
        <v>0</v>
      </c>
      <c r="P9" s="1169">
        <f>O9/(1+'Major Assumption Key'!$B$8)^($F9-'Major Assumption Key'!$B$7)</f>
        <v>0</v>
      </c>
      <c r="Q9" s="1155"/>
      <c r="R9" s="1165">
        <f t="shared" si="13"/>
        <v>0</v>
      </c>
      <c r="S9" s="1199">
        <f t="shared" si="14"/>
        <v>0</v>
      </c>
      <c r="T9" s="1171">
        <f t="shared" si="15"/>
        <v>0</v>
      </c>
      <c r="U9" s="1169">
        <f t="shared" si="16"/>
        <v>0</v>
      </c>
    </row>
    <row r="10" spans="1:21" ht="19.95" customHeight="1">
      <c r="A10" s="1862" t="s">
        <v>418</v>
      </c>
      <c r="B10" s="1862"/>
      <c r="C10" s="1340" t="s">
        <v>419</v>
      </c>
      <c r="D10" s="1340" t="str">
        <f>_xlfn.CONCAT("Discounted @",TEXT('Major Assumption Key'!B8,"0.0%"))</f>
        <v>Discounted @3.1%</v>
      </c>
      <c r="E10" s="1173"/>
      <c r="F10" s="1181">
        <f>'Major Assumption Key'!A22</f>
        <v>2023</v>
      </c>
      <c r="G10" s="1197">
        <v>0</v>
      </c>
      <c r="H10" s="1197">
        <f t="shared" si="6"/>
        <v>0</v>
      </c>
      <c r="I10" s="1198">
        <f t="shared" si="7"/>
        <v>0</v>
      </c>
      <c r="J10" s="1165">
        <f t="shared" si="8"/>
        <v>0</v>
      </c>
      <c r="K10" s="1197">
        <f>IF(F10&lt;$B$16,0,_xlfn.XLOOKUP(F10,'Bike Demand'!A:A,'Bike Demand'!$D:$D,,0))</f>
        <v>0</v>
      </c>
      <c r="L10" s="1197">
        <f t="shared" si="9"/>
        <v>0</v>
      </c>
      <c r="M10" s="1198">
        <f t="shared" si="10"/>
        <v>0</v>
      </c>
      <c r="N10" s="1199">
        <f t="shared" si="11"/>
        <v>0</v>
      </c>
      <c r="O10" s="1171">
        <f t="shared" si="12"/>
        <v>0</v>
      </c>
      <c r="P10" s="1169">
        <f>O10/(1+'Major Assumption Key'!$B$8)^($F10-'Major Assumption Key'!$B$7)</f>
        <v>0</v>
      </c>
      <c r="Q10" s="1155"/>
      <c r="R10" s="1165">
        <f t="shared" si="13"/>
        <v>0</v>
      </c>
      <c r="S10" s="1199">
        <f t="shared" si="14"/>
        <v>0</v>
      </c>
      <c r="T10" s="1171">
        <f t="shared" si="15"/>
        <v>0</v>
      </c>
      <c r="U10" s="1169">
        <f t="shared" si="16"/>
        <v>0</v>
      </c>
    </row>
    <row r="11" spans="1:21" ht="19.95" customHeight="1">
      <c r="A11" s="1863" t="s">
        <v>11</v>
      </c>
      <c r="B11" s="1863"/>
      <c r="C11" s="1503">
        <f>'BCA Summary'!$H$7</f>
        <v>1.0111569298276737</v>
      </c>
      <c r="D11" s="1503">
        <f>'BCA Summary'!$I$7</f>
        <v>0.6276932096418345</v>
      </c>
      <c r="E11" s="1173"/>
      <c r="F11" s="1181">
        <f>'Major Assumption Key'!A23</f>
        <v>2024</v>
      </c>
      <c r="G11" s="1197">
        <v>0</v>
      </c>
      <c r="H11" s="1197">
        <f t="shared" si="6"/>
        <v>0</v>
      </c>
      <c r="I11" s="1198">
        <f t="shared" si="7"/>
        <v>0</v>
      </c>
      <c r="J11" s="1165">
        <f t="shared" si="8"/>
        <v>0</v>
      </c>
      <c r="K11" s="1197">
        <f>IF(F11&lt;$B$16,0,_xlfn.XLOOKUP(F11,'Bike Demand'!A:A,'Bike Demand'!$D:$D,,0))</f>
        <v>0</v>
      </c>
      <c r="L11" s="1197">
        <f t="shared" si="9"/>
        <v>0</v>
      </c>
      <c r="M11" s="1198">
        <f t="shared" si="10"/>
        <v>0</v>
      </c>
      <c r="N11" s="1199">
        <f t="shared" si="11"/>
        <v>0</v>
      </c>
      <c r="O11" s="1171">
        <f t="shared" si="12"/>
        <v>0</v>
      </c>
      <c r="P11" s="1169">
        <f>O11/(1+'Major Assumption Key'!$B$8)^($F11-'Major Assumption Key'!$B$7)</f>
        <v>0</v>
      </c>
      <c r="Q11" s="1155"/>
      <c r="R11" s="1165">
        <f t="shared" si="13"/>
        <v>0</v>
      </c>
      <c r="S11" s="1199">
        <f t="shared" si="14"/>
        <v>0</v>
      </c>
      <c r="T11" s="1171">
        <f t="shared" si="15"/>
        <v>0</v>
      </c>
      <c r="U11" s="1169">
        <f t="shared" si="16"/>
        <v>0</v>
      </c>
    </row>
    <row r="12" spans="1:21" ht="19.95" customHeight="1">
      <c r="A12" s="1863" t="s">
        <v>12</v>
      </c>
      <c r="B12" s="1863"/>
      <c r="C12" s="1340">
        <f>'BCA Summary'!$H$8</f>
        <v>236636.98382712901</v>
      </c>
      <c r="D12" s="1340">
        <f>'BCA Summary'!$I$8</f>
        <v>-6930297.4454113934</v>
      </c>
      <c r="E12" s="1173"/>
      <c r="F12" s="1181">
        <f>'Major Assumption Key'!A24</f>
        <v>2025</v>
      </c>
      <c r="G12" s="1197">
        <v>0</v>
      </c>
      <c r="H12" s="1197">
        <f t="shared" si="6"/>
        <v>0</v>
      </c>
      <c r="I12" s="1198">
        <f t="shared" si="7"/>
        <v>0</v>
      </c>
      <c r="J12" s="1165">
        <f t="shared" si="8"/>
        <v>0</v>
      </c>
      <c r="K12" s="1197">
        <f>IF(F12&lt;$B$16,0,_xlfn.XLOOKUP(F12,'Bike Demand'!A:A,'Bike Demand'!$D:$D,,0))</f>
        <v>0</v>
      </c>
      <c r="L12" s="1197">
        <f t="shared" si="9"/>
        <v>0</v>
      </c>
      <c r="M12" s="1198">
        <f t="shared" si="10"/>
        <v>0</v>
      </c>
      <c r="N12" s="1199">
        <f t="shared" si="11"/>
        <v>0</v>
      </c>
      <c r="O12" s="1171">
        <f t="shared" si="12"/>
        <v>0</v>
      </c>
      <c r="P12" s="1169">
        <f>O12/(1+'Major Assumption Key'!$B$8)^($F12-'Major Assumption Key'!$B$7)</f>
        <v>0</v>
      </c>
      <c r="Q12" s="1155"/>
      <c r="R12" s="1165">
        <f t="shared" si="13"/>
        <v>0</v>
      </c>
      <c r="S12" s="1199">
        <f t="shared" si="14"/>
        <v>0</v>
      </c>
      <c r="T12" s="1171">
        <f t="shared" si="15"/>
        <v>0</v>
      </c>
      <c r="U12" s="1169">
        <f t="shared" si="16"/>
        <v>0</v>
      </c>
    </row>
    <row r="13" spans="1:21" ht="19.95" customHeight="1">
      <c r="C13" s="1173"/>
      <c r="D13" s="1173"/>
      <c r="E13" s="1173"/>
      <c r="F13" s="1181">
        <f>'Major Assumption Key'!A25</f>
        <v>2026</v>
      </c>
      <c r="G13" s="1197">
        <v>0</v>
      </c>
      <c r="H13" s="1197">
        <f t="shared" si="6"/>
        <v>0</v>
      </c>
      <c r="I13" s="1198">
        <f t="shared" si="7"/>
        <v>0</v>
      </c>
      <c r="J13" s="1165">
        <f t="shared" si="8"/>
        <v>0</v>
      </c>
      <c r="K13" s="1197">
        <f>IF(F13&lt;$B$16,0,_xlfn.XLOOKUP(F13,'Bike Demand'!A:A,'Bike Demand'!$D:$D,,0))</f>
        <v>0</v>
      </c>
      <c r="L13" s="1197">
        <f t="shared" si="9"/>
        <v>0</v>
      </c>
      <c r="M13" s="1198">
        <f t="shared" si="10"/>
        <v>0</v>
      </c>
      <c r="N13" s="1199">
        <f t="shared" si="11"/>
        <v>0</v>
      </c>
      <c r="O13" s="1171">
        <f t="shared" si="12"/>
        <v>0</v>
      </c>
      <c r="P13" s="1169">
        <f>O13/(1+'Major Assumption Key'!$B$8)^($F13-'Major Assumption Key'!$B$7)</f>
        <v>0</v>
      </c>
      <c r="Q13" s="1155"/>
      <c r="R13" s="1165">
        <f t="shared" si="13"/>
        <v>0</v>
      </c>
      <c r="S13" s="1199">
        <f t="shared" si="14"/>
        <v>0</v>
      </c>
      <c r="T13" s="1171">
        <f t="shared" si="15"/>
        <v>0</v>
      </c>
      <c r="U13" s="1169">
        <f t="shared" si="16"/>
        <v>0</v>
      </c>
    </row>
    <row r="14" spans="1:21" ht="19.95" customHeight="1" thickBot="1">
      <c r="C14" s="1173"/>
      <c r="D14" s="1173"/>
      <c r="E14" s="1173"/>
      <c r="F14" s="1181">
        <f>'Major Assumption Key'!A26</f>
        <v>2027</v>
      </c>
      <c r="G14" s="1197">
        <v>0</v>
      </c>
      <c r="H14" s="1197">
        <f t="shared" si="6"/>
        <v>0</v>
      </c>
      <c r="I14" s="1198">
        <f t="shared" si="7"/>
        <v>0</v>
      </c>
      <c r="J14" s="1165">
        <f t="shared" si="8"/>
        <v>0</v>
      </c>
      <c r="K14" s="1197">
        <f>IF(F14&lt;$B$16,0,_xlfn.XLOOKUP(F14,'Bike Demand'!A:A,'Bike Demand'!$D:$D,,0))</f>
        <v>0</v>
      </c>
      <c r="L14" s="1197">
        <f t="shared" si="9"/>
        <v>0</v>
      </c>
      <c r="M14" s="1198">
        <f t="shared" si="10"/>
        <v>0</v>
      </c>
      <c r="N14" s="1199">
        <f t="shared" si="11"/>
        <v>0</v>
      </c>
      <c r="O14" s="1171">
        <f t="shared" si="12"/>
        <v>0</v>
      </c>
      <c r="P14" s="1169">
        <f>O14/(1+'Major Assumption Key'!$B$8)^($F14-'Major Assumption Key'!$B$7)</f>
        <v>0</v>
      </c>
      <c r="Q14" s="1155"/>
      <c r="R14" s="1165">
        <f t="shared" si="13"/>
        <v>0</v>
      </c>
      <c r="S14" s="1199">
        <f t="shared" si="14"/>
        <v>0</v>
      </c>
      <c r="T14" s="1171">
        <f t="shared" si="15"/>
        <v>0</v>
      </c>
      <c r="U14" s="1169">
        <f t="shared" si="16"/>
        <v>0</v>
      </c>
    </row>
    <row r="15" spans="1:21" ht="19.95" customHeight="1">
      <c r="A15" s="1293" t="s">
        <v>433</v>
      </c>
      <c r="B15" s="1294" t="s">
        <v>434</v>
      </c>
      <c r="C15" s="1877" t="s">
        <v>498</v>
      </c>
      <c r="D15" s="1878"/>
      <c r="E15" s="1173"/>
      <c r="F15" s="1181">
        <f>'Major Assumption Key'!A27</f>
        <v>2028</v>
      </c>
      <c r="G15" s="1197">
        <v>0</v>
      </c>
      <c r="H15" s="1197">
        <f t="shared" si="6"/>
        <v>0</v>
      </c>
      <c r="I15" s="1198">
        <f t="shared" si="7"/>
        <v>0</v>
      </c>
      <c r="J15" s="1165">
        <f t="shared" si="8"/>
        <v>0</v>
      </c>
      <c r="K15" s="1197">
        <f>IF(F15&lt;$B$16,0,_xlfn.XLOOKUP(F15,'Bike Demand'!A:A,'Bike Demand'!$D:$D,,0))</f>
        <v>168.39254848273887</v>
      </c>
      <c r="L15" s="1197">
        <f t="shared" si="9"/>
        <v>43782.06260551211</v>
      </c>
      <c r="M15" s="1198">
        <f t="shared" si="10"/>
        <v>175653.63517331457</v>
      </c>
      <c r="N15" s="1199">
        <f t="shared" si="11"/>
        <v>175653.63517331457</v>
      </c>
      <c r="O15" s="1171">
        <f t="shared" si="12"/>
        <v>175653.63517331457</v>
      </c>
      <c r="P15" s="1169">
        <f>O15/(1+'Major Assumption Key'!$B$8)^($F15-'Major Assumption Key'!$B$7)</f>
        <v>146253.12360086272</v>
      </c>
      <c r="Q15" s="1155"/>
      <c r="R15" s="1165">
        <f t="shared" si="13"/>
        <v>0</v>
      </c>
      <c r="S15" s="1199">
        <f t="shared" si="14"/>
        <v>176000</v>
      </c>
      <c r="T15" s="1171">
        <f t="shared" si="15"/>
        <v>176000</v>
      </c>
      <c r="U15" s="1169">
        <f t="shared" si="16"/>
        <v>146000</v>
      </c>
    </row>
    <row r="16" spans="1:21" ht="19.95" customHeight="1">
      <c r="A16" s="1506" t="str">
        <f>'Major Assumption Key'!$A$3</f>
        <v>Project Open Year:</v>
      </c>
      <c r="B16" s="1135">
        <f>'Major Assumption Key'!$B$3</f>
        <v>2028</v>
      </c>
      <c r="C16" s="1173" t="s">
        <v>436</v>
      </c>
      <c r="D16" s="1507"/>
      <c r="E16" s="1173"/>
      <c r="F16" s="1181">
        <f>'Major Assumption Key'!A28</f>
        <v>2029</v>
      </c>
      <c r="G16" s="1197">
        <v>0</v>
      </c>
      <c r="H16" s="1197">
        <f t="shared" si="6"/>
        <v>0</v>
      </c>
      <c r="I16" s="1198">
        <f t="shared" si="7"/>
        <v>0</v>
      </c>
      <c r="J16" s="1165">
        <f t="shared" si="8"/>
        <v>0</v>
      </c>
      <c r="K16" s="1197">
        <f>IF(F16&lt;$B$16,0,_xlfn.XLOOKUP(F16,'Bike Demand'!A:A,'Bike Demand'!$D:$D,,0))</f>
        <v>170.87441973779738</v>
      </c>
      <c r="L16" s="1197">
        <f t="shared" si="9"/>
        <v>44427.349131827323</v>
      </c>
      <c r="M16" s="1198">
        <f t="shared" si="10"/>
        <v>178242.52471689123</v>
      </c>
      <c r="N16" s="1199">
        <f t="shared" si="11"/>
        <v>178242.52471689123</v>
      </c>
      <c r="O16" s="1171">
        <f t="shared" si="12"/>
        <v>178242.52471689123</v>
      </c>
      <c r="P16" s="1169">
        <f>O16/(1+'Major Assumption Key'!$B$8)^($F16-'Major Assumption Key'!$B$7)</f>
        <v>143946.35365462597</v>
      </c>
      <c r="Q16" s="1155"/>
      <c r="R16" s="1165">
        <f t="shared" si="13"/>
        <v>0</v>
      </c>
      <c r="S16" s="1199">
        <f t="shared" si="14"/>
        <v>178000</v>
      </c>
      <c r="T16" s="1171">
        <f t="shared" si="15"/>
        <v>178000</v>
      </c>
      <c r="U16" s="1169">
        <f t="shared" si="16"/>
        <v>144000</v>
      </c>
    </row>
    <row r="17" spans="1:21" ht="19.95" customHeight="1">
      <c r="A17" s="1506" t="str">
        <f>'Major Assumption Key'!$A$4</f>
        <v>Planning Horizon Begin Year:</v>
      </c>
      <c r="B17" s="1135">
        <f>'Major Assumption Key'!$B$4</f>
        <v>2022</v>
      </c>
      <c r="C17" s="1173" t="s">
        <v>436</v>
      </c>
      <c r="D17" s="1289"/>
      <c r="E17" s="1173"/>
      <c r="F17" s="1181">
        <f>'Major Assumption Key'!A29</f>
        <v>2030</v>
      </c>
      <c r="G17" s="1197">
        <v>0</v>
      </c>
      <c r="H17" s="1197">
        <f t="shared" si="6"/>
        <v>0</v>
      </c>
      <c r="I17" s="1198">
        <f t="shared" si="7"/>
        <v>0</v>
      </c>
      <c r="J17" s="1165">
        <f t="shared" si="8"/>
        <v>0</v>
      </c>
      <c r="K17" s="1197">
        <f>IF(F17&lt;$B$16,0,_xlfn.XLOOKUP(F17,'Bike Demand'!A:A,'Bike Demand'!$D:$D,,0))</f>
        <v>173.39287031291596</v>
      </c>
      <c r="L17" s="1197">
        <f t="shared" si="9"/>
        <v>45082.146281358153</v>
      </c>
      <c r="M17" s="1198">
        <f t="shared" si="10"/>
        <v>180869.5708808089</v>
      </c>
      <c r="N17" s="1199">
        <f t="shared" si="11"/>
        <v>180869.5708808089</v>
      </c>
      <c r="O17" s="1171">
        <f t="shared" si="12"/>
        <v>180869.5708808089</v>
      </c>
      <c r="P17" s="1169">
        <f>O17/(1+'Major Assumption Key'!$B$8)^($F17-'Major Assumption Key'!$B$7)</f>
        <v>141675.96711992833</v>
      </c>
      <c r="Q17" s="1155"/>
      <c r="R17" s="1165">
        <f t="shared" si="13"/>
        <v>0</v>
      </c>
      <c r="S17" s="1199">
        <f t="shared" si="14"/>
        <v>181000</v>
      </c>
      <c r="T17" s="1171">
        <f t="shared" si="15"/>
        <v>181000</v>
      </c>
      <c r="U17" s="1169">
        <f t="shared" si="16"/>
        <v>142000</v>
      </c>
    </row>
    <row r="18" spans="1:21" ht="19.95" customHeight="1">
      <c r="A18" s="1506" t="str">
        <f>'Major Assumption Key'!$A$6</f>
        <v>Planning Horizon End Year:</v>
      </c>
      <c r="B18" s="1135">
        <f>'Major Assumption Key'!$B$6</f>
        <v>2047</v>
      </c>
      <c r="C18" s="1173" t="s">
        <v>436</v>
      </c>
      <c r="D18" s="1289"/>
      <c r="E18" s="1173"/>
      <c r="F18" s="1181">
        <f>'Major Assumption Key'!A30</f>
        <v>2031</v>
      </c>
      <c r="G18" s="1197">
        <v>0</v>
      </c>
      <c r="H18" s="1197">
        <f t="shared" si="6"/>
        <v>0</v>
      </c>
      <c r="I18" s="1198">
        <f t="shared" si="7"/>
        <v>0</v>
      </c>
      <c r="J18" s="1165">
        <f t="shared" si="8"/>
        <v>0</v>
      </c>
      <c r="K18" s="1197">
        <f>IF(F18&lt;$B$16,0,_xlfn.XLOOKUP(F18,'Bike Demand'!A:A,'Bike Demand'!$D:$D,,0))</f>
        <v>175.94843933624375</v>
      </c>
      <c r="L18" s="1197">
        <f t="shared" si="9"/>
        <v>45746.594227423375</v>
      </c>
      <c r="M18" s="1198">
        <f t="shared" si="10"/>
        <v>183535.33604042255</v>
      </c>
      <c r="N18" s="1199">
        <f t="shared" si="11"/>
        <v>183535.33604042255</v>
      </c>
      <c r="O18" s="1171">
        <f t="shared" si="12"/>
        <v>183535.33604042255</v>
      </c>
      <c r="P18" s="1169">
        <f>O18/(1+'Major Assumption Key'!$B$8)^($F18-'Major Assumption Key'!$B$7)</f>
        <v>139441.39014126369</v>
      </c>
      <c r="Q18" s="1155"/>
      <c r="R18" s="1165">
        <f t="shared" si="13"/>
        <v>0</v>
      </c>
      <c r="S18" s="1199">
        <f t="shared" si="14"/>
        <v>184000</v>
      </c>
      <c r="T18" s="1171">
        <f t="shared" si="15"/>
        <v>184000</v>
      </c>
      <c r="U18" s="1169">
        <f t="shared" si="16"/>
        <v>139000</v>
      </c>
    </row>
    <row r="19" spans="1:21" ht="19.95" customHeight="1">
      <c r="A19" s="1506" t="s">
        <v>7128</v>
      </c>
      <c r="B19" s="1458">
        <v>260</v>
      </c>
      <c r="C19" s="1173"/>
      <c r="D19" s="1289"/>
      <c r="E19" s="1173"/>
      <c r="F19" s="1181">
        <f>'Major Assumption Key'!A31</f>
        <v>2032</v>
      </c>
      <c r="G19" s="1197">
        <v>0</v>
      </c>
      <c r="H19" s="1197">
        <f t="shared" si="6"/>
        <v>0</v>
      </c>
      <c r="I19" s="1198">
        <f t="shared" si="7"/>
        <v>0</v>
      </c>
      <c r="J19" s="1165">
        <f t="shared" si="8"/>
        <v>0</v>
      </c>
      <c r="K19" s="1197">
        <f>IF(F19&lt;$B$16,0,_xlfn.XLOOKUP(F19,'Bike Demand'!A:A,'Bike Demand'!$D:$D,,0))</f>
        <v>178.5416738819267</v>
      </c>
      <c r="L19" s="1197">
        <f t="shared" si="9"/>
        <v>46420.835209300938</v>
      </c>
      <c r="M19" s="1198">
        <f t="shared" si="10"/>
        <v>186240.39085971535</v>
      </c>
      <c r="N19" s="1199">
        <f t="shared" si="11"/>
        <v>186240.39085971535</v>
      </c>
      <c r="O19" s="1171">
        <f t="shared" si="12"/>
        <v>186240.39085971535</v>
      </c>
      <c r="P19" s="1169">
        <f>O19/(1+'Major Assumption Key'!$B$8)^($F19-'Major Assumption Key'!$B$7)</f>
        <v>137242.05791423254</v>
      </c>
      <c r="Q19" s="1155"/>
      <c r="R19" s="1165">
        <f t="shared" si="13"/>
        <v>0</v>
      </c>
      <c r="S19" s="1199">
        <f t="shared" si="14"/>
        <v>186000</v>
      </c>
      <c r="T19" s="1171">
        <f t="shared" si="15"/>
        <v>186000</v>
      </c>
      <c r="U19" s="1169">
        <f t="shared" si="16"/>
        <v>137000</v>
      </c>
    </row>
    <row r="20" spans="1:21" ht="19.95" customHeight="1">
      <c r="A20" s="1543" t="s">
        <v>7147</v>
      </c>
      <c r="B20" s="1458">
        <f>_xlfn.XLOOKUP(B16,'Bike Demand'!$A:$A,'Bike Demand'!$D:$D,,0)</f>
        <v>168.39254848273887</v>
      </c>
      <c r="C20" s="1531" t="s">
        <v>7148</v>
      </c>
      <c r="D20" s="1196"/>
      <c r="E20" s="1173"/>
      <c r="F20" s="1181">
        <f>'Major Assumption Key'!A32</f>
        <v>2033</v>
      </c>
      <c r="G20" s="1197">
        <v>0</v>
      </c>
      <c r="H20" s="1197">
        <f t="shared" si="6"/>
        <v>0</v>
      </c>
      <c r="I20" s="1198">
        <f t="shared" si="7"/>
        <v>0</v>
      </c>
      <c r="J20" s="1165">
        <f t="shared" si="8"/>
        <v>0</v>
      </c>
      <c r="K20" s="1197">
        <f>IF(F20&lt;$B$16,0,_xlfn.XLOOKUP(F20,'Bike Demand'!A:A,'Bike Demand'!$D:$D,,0))</f>
        <v>181.17312908722045</v>
      </c>
      <c r="L20" s="1197">
        <f t="shared" si="9"/>
        <v>47105.013562677319</v>
      </c>
      <c r="M20" s="1198">
        <f t="shared" si="10"/>
        <v>188985.31441346137</v>
      </c>
      <c r="N20" s="1199">
        <f t="shared" si="11"/>
        <v>188985.31441346137</v>
      </c>
      <c r="O20" s="1171">
        <f t="shared" si="12"/>
        <v>188985.31441346137</v>
      </c>
      <c r="P20" s="1169">
        <f>O20/(1+'Major Assumption Key'!$B$8)^($F20-'Major Assumption Key'!$B$7)</f>
        <v>135077.4145427841</v>
      </c>
      <c r="Q20" s="1155"/>
      <c r="R20" s="1165">
        <f t="shared" si="13"/>
        <v>0</v>
      </c>
      <c r="S20" s="1199">
        <f t="shared" si="14"/>
        <v>189000</v>
      </c>
      <c r="T20" s="1171">
        <f t="shared" si="15"/>
        <v>189000</v>
      </c>
      <c r="U20" s="1169">
        <f t="shared" si="16"/>
        <v>135000</v>
      </c>
    </row>
    <row r="21" spans="1:21" ht="19.95" customHeight="1">
      <c r="A21" s="1193" t="s">
        <v>7149</v>
      </c>
      <c r="B21" s="1194">
        <f>'BCA Guide - Parameter Values'!D232</f>
        <v>6.8</v>
      </c>
      <c r="C21" s="1195" t="s">
        <v>211</v>
      </c>
      <c r="D21" s="1196"/>
      <c r="E21" s="1173"/>
      <c r="F21" s="1181">
        <f>'Major Assumption Key'!A33</f>
        <v>2034</v>
      </c>
      <c r="G21" s="1197">
        <v>0</v>
      </c>
      <c r="H21" s="1197">
        <f t="shared" si="6"/>
        <v>0</v>
      </c>
      <c r="I21" s="1198">
        <f t="shared" si="7"/>
        <v>0</v>
      </c>
      <c r="J21" s="1165">
        <f t="shared" si="8"/>
        <v>0</v>
      </c>
      <c r="K21" s="1197">
        <f>IF(F21&lt;$B$16,0,_xlfn.XLOOKUP(F21,'Bike Demand'!A:A,'Bike Demand'!$D:$D,,0))</f>
        <v>183.84336827132938</v>
      </c>
      <c r="L21" s="1197">
        <f t="shared" si="9"/>
        <v>47799.275750545639</v>
      </c>
      <c r="M21" s="1198">
        <f t="shared" si="10"/>
        <v>191770.69431118909</v>
      </c>
      <c r="N21" s="1199">
        <f t="shared" si="11"/>
        <v>191770.69431118909</v>
      </c>
      <c r="O21" s="1171">
        <f t="shared" si="12"/>
        <v>191770.69431118909</v>
      </c>
      <c r="P21" s="1169">
        <f>O21/(1+'Major Assumption Key'!$B$8)^($F21-'Major Assumption Key'!$B$7)</f>
        <v>132946.91289870962</v>
      </c>
      <c r="Q21" s="1155"/>
      <c r="R21" s="1165">
        <f t="shared" si="13"/>
        <v>0</v>
      </c>
      <c r="S21" s="1199">
        <f t="shared" si="14"/>
        <v>192000</v>
      </c>
      <c r="T21" s="1171">
        <f t="shared" si="15"/>
        <v>192000</v>
      </c>
      <c r="U21" s="1169">
        <f t="shared" si="16"/>
        <v>133000</v>
      </c>
    </row>
    <row r="22" spans="1:21" ht="19.95" customHeight="1">
      <c r="A22" s="1193" t="s">
        <v>7150</v>
      </c>
      <c r="B22" s="1544">
        <f>'BCA Guide - Parameter Values'!F232</f>
        <v>0.59</v>
      </c>
      <c r="C22" s="1195" t="s">
        <v>211</v>
      </c>
      <c r="D22" s="1289"/>
      <c r="E22" s="1173"/>
      <c r="F22" s="1181">
        <f>'Major Assumption Key'!A34</f>
        <v>2035</v>
      </c>
      <c r="G22" s="1197">
        <v>0</v>
      </c>
      <c r="H22" s="1197">
        <f t="shared" si="6"/>
        <v>0</v>
      </c>
      <c r="I22" s="1198">
        <f t="shared" si="7"/>
        <v>0</v>
      </c>
      <c r="J22" s="1165">
        <f t="shared" si="8"/>
        <v>0</v>
      </c>
      <c r="K22" s="1197">
        <f>IF(F22&lt;$B$16,0,_xlfn.XLOOKUP(F22,'Bike Demand'!A:A,'Bike Demand'!$D:$D,,0))</f>
        <v>186.55296305599717</v>
      </c>
      <c r="L22" s="1197">
        <f t="shared" si="9"/>
        <v>48503.770394559266</v>
      </c>
      <c r="M22" s="1198">
        <f t="shared" si="10"/>
        <v>194597.12682297177</v>
      </c>
      <c r="N22" s="1199">
        <f t="shared" si="11"/>
        <v>194597.12682297177</v>
      </c>
      <c r="O22" s="1171">
        <f t="shared" si="12"/>
        <v>194597.12682297177</v>
      </c>
      <c r="P22" s="1169">
        <f>O22/(1+'Major Assumption Key'!$B$8)^($F22-'Major Assumption Key'!$B$7)</f>
        <v>130850.01448335235</v>
      </c>
      <c r="Q22" s="1155"/>
      <c r="R22" s="1165">
        <f t="shared" si="13"/>
        <v>0</v>
      </c>
      <c r="S22" s="1199">
        <f t="shared" si="14"/>
        <v>195000</v>
      </c>
      <c r="T22" s="1171">
        <f t="shared" si="15"/>
        <v>195000</v>
      </c>
      <c r="U22" s="1169">
        <f t="shared" si="16"/>
        <v>131000</v>
      </c>
    </row>
    <row r="23" spans="1:21" ht="19.95" customHeight="1" thickBot="1">
      <c r="A23" s="1532" t="s">
        <v>7140</v>
      </c>
      <c r="B23" s="1545">
        <f>'BCA Guide - Parameter Values'!G232</f>
        <v>0.89</v>
      </c>
      <c r="C23" s="1516" t="s">
        <v>211</v>
      </c>
      <c r="D23" s="1546"/>
      <c r="E23" s="1173"/>
      <c r="F23" s="1181">
        <f>'Major Assumption Key'!A35</f>
        <v>2036</v>
      </c>
      <c r="G23" s="1197">
        <v>0</v>
      </c>
      <c r="H23" s="1197">
        <f t="shared" si="6"/>
        <v>0</v>
      </c>
      <c r="I23" s="1198">
        <f t="shared" si="7"/>
        <v>0</v>
      </c>
      <c r="J23" s="1165">
        <f t="shared" si="8"/>
        <v>0</v>
      </c>
      <c r="K23" s="1197">
        <f>IF(F23&lt;$B$16,0,_xlfn.XLOOKUP(F23,'Bike Demand'!A:A,'Bike Demand'!$D:$D,,0))</f>
        <v>189.3024934878745</v>
      </c>
      <c r="L23" s="1197">
        <f t="shared" si="9"/>
        <v>49218.648306847368</v>
      </c>
      <c r="M23" s="1198">
        <f t="shared" si="10"/>
        <v>197465.21700707162</v>
      </c>
      <c r="N23" s="1199">
        <f t="shared" si="11"/>
        <v>197465.21700707162</v>
      </c>
      <c r="O23" s="1171">
        <f t="shared" si="12"/>
        <v>197465.21700707162</v>
      </c>
      <c r="P23" s="1169">
        <f>O23/(1+'Major Assumption Key'!$B$8)^($F23-'Major Assumption Key'!$B$7)</f>
        <v>128786.18929149803</v>
      </c>
      <c r="Q23" s="1155"/>
      <c r="R23" s="1165">
        <f t="shared" si="13"/>
        <v>0</v>
      </c>
      <c r="S23" s="1199">
        <f t="shared" si="14"/>
        <v>197000</v>
      </c>
      <c r="T23" s="1171">
        <f t="shared" si="15"/>
        <v>197000</v>
      </c>
      <c r="U23" s="1169">
        <f t="shared" si="16"/>
        <v>129000</v>
      </c>
    </row>
    <row r="24" spans="1:21" ht="19.95" customHeight="1">
      <c r="A24" s="1547"/>
      <c r="E24" s="1173"/>
      <c r="F24" s="1181">
        <f>'Major Assumption Key'!A36</f>
        <v>2037</v>
      </c>
      <c r="G24" s="1197">
        <v>0</v>
      </c>
      <c r="H24" s="1197">
        <f t="shared" si="6"/>
        <v>0</v>
      </c>
      <c r="I24" s="1198">
        <f t="shared" si="7"/>
        <v>0</v>
      </c>
      <c r="J24" s="1165">
        <f t="shared" si="8"/>
        <v>0</v>
      </c>
      <c r="K24" s="1197">
        <f>IF(F24&lt;$B$16,0,_xlfn.XLOOKUP(F24,'Bike Demand'!A:A,'Bike Demand'!$D:$D,,0))</f>
        <v>192.09254816269055</v>
      </c>
      <c r="L24" s="1197">
        <f t="shared" si="9"/>
        <v>49944.062522299544</v>
      </c>
      <c r="M24" s="1198">
        <f t="shared" si="10"/>
        <v>200375.57883946574</v>
      </c>
      <c r="N24" s="1199">
        <f t="shared" si="11"/>
        <v>200375.57883946574</v>
      </c>
      <c r="O24" s="1171">
        <f t="shared" si="12"/>
        <v>200375.57883946574</v>
      </c>
      <c r="P24" s="1169">
        <f>O24/(1+'Major Assumption Key'!$B$8)^($F24-'Major Assumption Key'!$B$7)</f>
        <v>126754.91567741273</v>
      </c>
      <c r="Q24" s="1155"/>
      <c r="R24" s="1165">
        <f t="shared" si="13"/>
        <v>0</v>
      </c>
      <c r="S24" s="1199">
        <f t="shared" si="14"/>
        <v>200000</v>
      </c>
      <c r="T24" s="1171">
        <f t="shared" si="15"/>
        <v>200000</v>
      </c>
      <c r="U24" s="1169">
        <f t="shared" si="16"/>
        <v>127000</v>
      </c>
    </row>
    <row r="25" spans="1:21" ht="19.95" customHeight="1">
      <c r="A25" s="1200"/>
      <c r="E25" s="1173"/>
      <c r="F25" s="1181">
        <f>'Major Assumption Key'!A37</f>
        <v>2038</v>
      </c>
      <c r="G25" s="1197">
        <v>0</v>
      </c>
      <c r="H25" s="1197">
        <f t="shared" si="6"/>
        <v>0</v>
      </c>
      <c r="I25" s="1198">
        <f t="shared" si="7"/>
        <v>0</v>
      </c>
      <c r="J25" s="1165">
        <f t="shared" si="8"/>
        <v>0</v>
      </c>
      <c r="K25" s="1197">
        <f>IF(F25&lt;$B$16,0,_xlfn.XLOOKUP(F25,'Bike Demand'!A:A,'Bike Demand'!$D:$D,,0))</f>
        <v>194.92372435125444</v>
      </c>
      <c r="L25" s="1197">
        <f t="shared" si="9"/>
        <v>50680.168331326153</v>
      </c>
      <c r="M25" s="1198">
        <f t="shared" si="10"/>
        <v>203328.8353452805</v>
      </c>
      <c r="N25" s="1199">
        <f t="shared" si="11"/>
        <v>203328.8353452805</v>
      </c>
      <c r="O25" s="1171">
        <f t="shared" si="12"/>
        <v>203328.8353452805</v>
      </c>
      <c r="P25" s="1169">
        <f>O25/(1+'Major Assumption Key'!$B$8)^($F25-'Major Assumption Key'!$B$7)</f>
        <v>124755.68022299327</v>
      </c>
      <c r="Q25" s="1155"/>
      <c r="R25" s="1165">
        <f t="shared" si="13"/>
        <v>0</v>
      </c>
      <c r="S25" s="1199">
        <f t="shared" si="14"/>
        <v>203000</v>
      </c>
      <c r="T25" s="1171">
        <f t="shared" si="15"/>
        <v>203000</v>
      </c>
      <c r="U25" s="1169">
        <f t="shared" si="16"/>
        <v>125000</v>
      </c>
    </row>
    <row r="26" spans="1:21" ht="19.95" customHeight="1">
      <c r="A26" s="1200"/>
      <c r="E26" s="1173"/>
      <c r="F26" s="1181">
        <f>'Major Assumption Key'!A38</f>
        <v>2039</v>
      </c>
      <c r="G26" s="1197">
        <v>0</v>
      </c>
      <c r="H26" s="1197">
        <f t="shared" si="6"/>
        <v>0</v>
      </c>
      <c r="I26" s="1198">
        <f t="shared" si="7"/>
        <v>0</v>
      </c>
      <c r="J26" s="1165">
        <f t="shared" si="8"/>
        <v>0</v>
      </c>
      <c r="K26" s="1197">
        <f>IF(F26&lt;$B$16,0,_xlfn.XLOOKUP(F26,'Bike Demand'!A:A,'Bike Demand'!$D:$D,,0))</f>
        <v>197.79662812731382</v>
      </c>
      <c r="L26" s="1197">
        <f t="shared" si="9"/>
        <v>51427.123313101591</v>
      </c>
      <c r="M26" s="1198">
        <f t="shared" si="10"/>
        <v>206325.61873216354</v>
      </c>
      <c r="N26" s="1199">
        <f t="shared" si="11"/>
        <v>206325.61873216354</v>
      </c>
      <c r="O26" s="1171">
        <f t="shared" si="12"/>
        <v>206325.61873216354</v>
      </c>
      <c r="P26" s="1169">
        <f>O26/(1+'Major Assumption Key'!$B$8)^($F26-'Major Assumption Key'!$B$7)</f>
        <v>122787.97760799741</v>
      </c>
      <c r="Q26" s="1155"/>
      <c r="R26" s="1165">
        <f t="shared" si="13"/>
        <v>0</v>
      </c>
      <c r="S26" s="1199">
        <f t="shared" si="14"/>
        <v>206000</v>
      </c>
      <c r="T26" s="1171">
        <f t="shared" si="15"/>
        <v>206000</v>
      </c>
      <c r="U26" s="1169">
        <f t="shared" si="16"/>
        <v>123000</v>
      </c>
    </row>
    <row r="27" spans="1:21" ht="19.95" customHeight="1">
      <c r="A27" s="1200"/>
      <c r="E27" s="1173"/>
      <c r="F27" s="1181">
        <f>'Major Assumption Key'!A39</f>
        <v>2040</v>
      </c>
      <c r="G27" s="1197">
        <v>0</v>
      </c>
      <c r="H27" s="1197">
        <f t="shared" si="6"/>
        <v>0</v>
      </c>
      <c r="I27" s="1198">
        <f t="shared" si="7"/>
        <v>0</v>
      </c>
      <c r="J27" s="1165">
        <f t="shared" si="8"/>
        <v>0</v>
      </c>
      <c r="K27" s="1197">
        <f>IF(F27&lt;$B$16,0,_xlfn.XLOOKUP(F27,'Bike Demand'!A:A,'Bike Demand'!$D:$D,,0))</f>
        <v>200.71187449729791</v>
      </c>
      <c r="L27" s="1197">
        <f t="shared" si="9"/>
        <v>52185.087369297456</v>
      </c>
      <c r="M27" s="1198">
        <f t="shared" si="10"/>
        <v>209366.57052562138</v>
      </c>
      <c r="N27" s="1199">
        <f t="shared" si="11"/>
        <v>209366.57052562138</v>
      </c>
      <c r="O27" s="1171">
        <f t="shared" si="12"/>
        <v>209366.57052562138</v>
      </c>
      <c r="P27" s="1169">
        <f>O27/(1+'Major Assumption Key'!$B$8)^($F27-'Major Assumption Key'!$B$7)</f>
        <v>120851.31048232072</v>
      </c>
      <c r="Q27" s="1155"/>
      <c r="R27" s="1165">
        <f t="shared" si="13"/>
        <v>0</v>
      </c>
      <c r="S27" s="1199">
        <f t="shared" si="14"/>
        <v>209000</v>
      </c>
      <c r="T27" s="1171">
        <f t="shared" si="15"/>
        <v>209000</v>
      </c>
      <c r="U27" s="1169">
        <f t="shared" si="16"/>
        <v>121000</v>
      </c>
    </row>
    <row r="28" spans="1:21" ht="19.95" customHeight="1">
      <c r="A28" s="1200"/>
      <c r="E28" s="1173"/>
      <c r="F28" s="1181">
        <f>'Major Assumption Key'!A40</f>
        <v>2041</v>
      </c>
      <c r="G28" s="1197">
        <v>0</v>
      </c>
      <c r="H28" s="1197">
        <f t="shared" si="6"/>
        <v>0</v>
      </c>
      <c r="I28" s="1198">
        <f t="shared" si="7"/>
        <v>0</v>
      </c>
      <c r="J28" s="1165">
        <f t="shared" si="8"/>
        <v>0</v>
      </c>
      <c r="K28" s="1197">
        <f>IF(F28&lt;$B$16,0,_xlfn.XLOOKUP(F28,'Bike Demand'!A:A,'Bike Demand'!$D:$D,,0))</f>
        <v>203.67008753197274</v>
      </c>
      <c r="L28" s="1197">
        <f t="shared" si="9"/>
        <v>52954.222758312913</v>
      </c>
      <c r="M28" s="1198">
        <f t="shared" si="10"/>
        <v>212452.34170635138</v>
      </c>
      <c r="N28" s="1199">
        <f t="shared" si="11"/>
        <v>212452.34170635138</v>
      </c>
      <c r="O28" s="1171">
        <f t="shared" si="12"/>
        <v>212452.34170635138</v>
      </c>
      <c r="P28" s="1169">
        <f>O28/(1+'Major Assumption Key'!$B$8)^($F28-'Major Assumption Key'!$B$7)</f>
        <v>118945.18934028788</v>
      </c>
      <c r="Q28" s="1155"/>
      <c r="R28" s="1165">
        <f t="shared" si="13"/>
        <v>0</v>
      </c>
      <c r="S28" s="1199">
        <f t="shared" si="14"/>
        <v>212000</v>
      </c>
      <c r="T28" s="1171">
        <f t="shared" si="15"/>
        <v>212000</v>
      </c>
      <c r="U28" s="1169">
        <f t="shared" si="16"/>
        <v>119000</v>
      </c>
    </row>
    <row r="29" spans="1:21" ht="19.95" customHeight="1">
      <c r="E29" s="1173"/>
      <c r="F29" s="1181">
        <f>'Major Assumption Key'!A41</f>
        <v>2042</v>
      </c>
      <c r="G29" s="1197">
        <v>0</v>
      </c>
      <c r="H29" s="1197">
        <f t="shared" si="6"/>
        <v>0</v>
      </c>
      <c r="I29" s="1198">
        <f t="shared" si="7"/>
        <v>0</v>
      </c>
      <c r="J29" s="1165">
        <f t="shared" si="8"/>
        <v>0</v>
      </c>
      <c r="K29" s="1197">
        <f>IF(F29&lt;$B$16,0,_xlfn.XLOOKUP(F29,'Bike Demand'!A:A,'Bike Demand'!$D:$D,,0))</f>
        <v>206.67190050003686</v>
      </c>
      <c r="L29" s="1197">
        <f t="shared" si="9"/>
        <v>53734.694130009586</v>
      </c>
      <c r="M29" s="1198">
        <f t="shared" si="10"/>
        <v>215583.59284959844</v>
      </c>
      <c r="N29" s="1199">
        <f t="shared" si="11"/>
        <v>215583.59284959844</v>
      </c>
      <c r="O29" s="1171">
        <f t="shared" si="12"/>
        <v>215583.59284959844</v>
      </c>
      <c r="P29" s="1169">
        <f>O29/(1+'Major Assumption Key'!$B$8)^($F29-'Major Assumption Key'!$B$7)</f>
        <v>117069.13239692697</v>
      </c>
      <c r="Q29" s="1155"/>
      <c r="R29" s="1165">
        <f t="shared" si="13"/>
        <v>0</v>
      </c>
      <c r="S29" s="1199">
        <f t="shared" si="14"/>
        <v>216000</v>
      </c>
      <c r="T29" s="1171">
        <f t="shared" si="15"/>
        <v>216000</v>
      </c>
      <c r="U29" s="1169">
        <f t="shared" si="16"/>
        <v>117000</v>
      </c>
    </row>
    <row r="30" spans="1:21" ht="19.95" customHeight="1">
      <c r="E30" s="1173"/>
      <c r="F30" s="1181">
        <f>'Major Assumption Key'!A42</f>
        <v>2043</v>
      </c>
      <c r="G30" s="1197">
        <v>0</v>
      </c>
      <c r="H30" s="1197">
        <f t="shared" si="6"/>
        <v>0</v>
      </c>
      <c r="I30" s="1198">
        <f t="shared" si="7"/>
        <v>0</v>
      </c>
      <c r="J30" s="1165">
        <f t="shared" si="8"/>
        <v>0</v>
      </c>
      <c r="K30" s="1197">
        <f>IF(F30&lt;$B$16,0,_xlfn.XLOOKUP(F30,'Bike Demand'!A:A,'Bike Demand'!$D:$D,,0))</f>
        <v>209.717956003686</v>
      </c>
      <c r="L30" s="1197">
        <f t="shared" si="9"/>
        <v>54526.668560958358</v>
      </c>
      <c r="M30" s="1198">
        <f t="shared" si="10"/>
        <v>218760.99426656493</v>
      </c>
      <c r="N30" s="1199">
        <f t="shared" si="11"/>
        <v>218760.99426656493</v>
      </c>
      <c r="O30" s="1171">
        <f t="shared" si="12"/>
        <v>218760.99426656493</v>
      </c>
      <c r="P30" s="1169">
        <f>O30/(1+'Major Assumption Key'!$B$8)^($F30-'Major Assumption Key'!$B$7)</f>
        <v>115222.66546619502</v>
      </c>
      <c r="Q30" s="1155"/>
      <c r="R30" s="1165">
        <f t="shared" si="13"/>
        <v>0</v>
      </c>
      <c r="S30" s="1199">
        <f t="shared" si="14"/>
        <v>219000</v>
      </c>
      <c r="T30" s="1171">
        <f t="shared" si="15"/>
        <v>219000</v>
      </c>
      <c r="U30" s="1169">
        <f t="shared" si="16"/>
        <v>115000</v>
      </c>
    </row>
    <row r="31" spans="1:21" ht="19.95" customHeight="1">
      <c r="E31" s="1173"/>
      <c r="F31" s="1181">
        <f>'Major Assumption Key'!A43</f>
        <v>2044</v>
      </c>
      <c r="G31" s="1197">
        <v>0</v>
      </c>
      <c r="H31" s="1197">
        <f t="shared" si="6"/>
        <v>0</v>
      </c>
      <c r="I31" s="1198">
        <f t="shared" si="7"/>
        <v>0</v>
      </c>
      <c r="J31" s="1165">
        <f t="shared" si="8"/>
        <v>0</v>
      </c>
      <c r="K31" s="1197">
        <f>IF(F31&lt;$B$16,0,_xlfn.XLOOKUP(F31,'Bike Demand'!A:A,'Bike Demand'!$D:$D,,0))</f>
        <v>212.80890611617582</v>
      </c>
      <c r="L31" s="1197">
        <f t="shared" si="9"/>
        <v>55330.315590205711</v>
      </c>
      <c r="M31" s="1198">
        <f t="shared" si="10"/>
        <v>221985.22614790528</v>
      </c>
      <c r="N31" s="1199">
        <f t="shared" si="11"/>
        <v>221985.22614790528</v>
      </c>
      <c r="O31" s="1171">
        <f t="shared" si="12"/>
        <v>221985.22614790528</v>
      </c>
      <c r="P31" s="1169">
        <f>O31/(1+'Major Assumption Key'!$B$8)^($F31-'Major Assumption Key'!$B$7)</f>
        <v>113405.32184112424</v>
      </c>
      <c r="Q31" s="1155"/>
      <c r="R31" s="1165">
        <f t="shared" si="13"/>
        <v>0</v>
      </c>
      <c r="S31" s="1199">
        <f t="shared" si="14"/>
        <v>222000</v>
      </c>
      <c r="T31" s="1171">
        <f t="shared" si="15"/>
        <v>222000</v>
      </c>
      <c r="U31" s="1169">
        <f t="shared" si="16"/>
        <v>113000</v>
      </c>
    </row>
    <row r="32" spans="1:21" ht="19.95" customHeight="1">
      <c r="F32" s="1181">
        <f>'Major Assumption Key'!A44</f>
        <v>2045</v>
      </c>
      <c r="G32" s="1197">
        <v>0</v>
      </c>
      <c r="H32" s="1197">
        <f t="shared" si="6"/>
        <v>0</v>
      </c>
      <c r="I32" s="1198">
        <f t="shared" si="7"/>
        <v>0</v>
      </c>
      <c r="J32" s="1165">
        <f t="shared" si="8"/>
        <v>0</v>
      </c>
      <c r="K32" s="1197">
        <f>IF(F32&lt;$B$16,0,_xlfn.XLOOKUP(F32,'Bike Demand'!A:A,'Bike Demand'!$D:$D,,0))</f>
        <v>215.94541252141215</v>
      </c>
      <c r="L32" s="1197">
        <f t="shared" si="9"/>
        <v>56145.807255567161</v>
      </c>
      <c r="M32" s="1198">
        <f t="shared" si="10"/>
        <v>225256.97870933544</v>
      </c>
      <c r="N32" s="1199">
        <f t="shared" si="11"/>
        <v>225256.97870933544</v>
      </c>
      <c r="O32" s="1171">
        <f t="shared" si="12"/>
        <v>225256.97870933544</v>
      </c>
      <c r="P32" s="1169">
        <f>O32/(1+'Major Assumption Key'!$B$8)^($F32-'Major Assumption Key'!$B$7)</f>
        <v>111616.64217585883</v>
      </c>
      <c r="Q32" s="1155"/>
      <c r="R32" s="1165">
        <f t="shared" si="13"/>
        <v>0</v>
      </c>
      <c r="S32" s="1199">
        <f t="shared" si="14"/>
        <v>225000</v>
      </c>
      <c r="T32" s="1171">
        <f t="shared" si="15"/>
        <v>225000</v>
      </c>
      <c r="U32" s="1169">
        <f t="shared" si="16"/>
        <v>112000</v>
      </c>
    </row>
    <row r="33" spans="1:21" ht="19.95" customHeight="1">
      <c r="A33" s="1149"/>
      <c r="B33" s="1149"/>
      <c r="C33" s="1149"/>
      <c r="D33" s="1149"/>
      <c r="F33" s="1181">
        <f>'Major Assumption Key'!A45</f>
        <v>2046</v>
      </c>
      <c r="G33" s="1197">
        <v>0</v>
      </c>
      <c r="H33" s="1197">
        <f t="shared" si="6"/>
        <v>0</v>
      </c>
      <c r="I33" s="1198">
        <f t="shared" si="7"/>
        <v>0</v>
      </c>
      <c r="J33" s="1165">
        <f t="shared" si="8"/>
        <v>0</v>
      </c>
      <c r="K33" s="1197">
        <f>IF(F33&lt;$B$16,0,_xlfn.XLOOKUP(F33,'Bike Demand'!A:A,'Bike Demand'!$D:$D,,0))</f>
        <v>219.1281466555985</v>
      </c>
      <c r="L33" s="1197">
        <f t="shared" si="9"/>
        <v>56973.318130455613</v>
      </c>
      <c r="M33" s="1198">
        <f t="shared" si="10"/>
        <v>228576.95233938788</v>
      </c>
      <c r="N33" s="1199">
        <f t="shared" si="11"/>
        <v>228576.95233938788</v>
      </c>
      <c r="O33" s="1171">
        <f t="shared" si="12"/>
        <v>228576.95233938788</v>
      </c>
      <c r="P33" s="1169">
        <f>O33/(1+'Major Assumption Key'!$B$8)^($F33-'Major Assumption Key'!$B$7)</f>
        <v>109856.17436955197</v>
      </c>
      <c r="Q33" s="1155"/>
      <c r="R33" s="1165">
        <f t="shared" si="13"/>
        <v>0</v>
      </c>
      <c r="S33" s="1199">
        <f t="shared" si="14"/>
        <v>229000</v>
      </c>
      <c r="T33" s="1171">
        <f t="shared" si="15"/>
        <v>229000</v>
      </c>
      <c r="U33" s="1169">
        <f t="shared" si="16"/>
        <v>110000</v>
      </c>
    </row>
    <row r="34" spans="1:21" ht="19.95" customHeight="1">
      <c r="A34" s="1149"/>
      <c r="B34" s="1149"/>
      <c r="C34" s="1149"/>
      <c r="D34" s="1149"/>
      <c r="F34" s="1181">
        <f>'Major Assumption Key'!A46</f>
        <v>2047</v>
      </c>
      <c r="G34" s="1197">
        <v>0</v>
      </c>
      <c r="H34" s="1197">
        <f t="shared" si="6"/>
        <v>0</v>
      </c>
      <c r="I34" s="1198">
        <f t="shared" si="7"/>
        <v>0</v>
      </c>
      <c r="J34" s="1165">
        <f t="shared" si="8"/>
        <v>0</v>
      </c>
      <c r="K34" s="1197">
        <f>IF(F34&lt;$B$16,0,_xlfn.XLOOKUP(F34,'Bike Demand'!A:A,'Bike Demand'!$D:$D,,0))</f>
        <v>222.35778985097136</v>
      </c>
      <c r="L34" s="1197">
        <f t="shared" si="9"/>
        <v>57813.025361252556</v>
      </c>
      <c r="M34" s="1198">
        <f t="shared" si="10"/>
        <v>231945.85774934525</v>
      </c>
      <c r="N34" s="1199">
        <f t="shared" si="11"/>
        <v>231945.85774934525</v>
      </c>
      <c r="O34" s="1171">
        <f t="shared" si="12"/>
        <v>231945.85774934525</v>
      </c>
      <c r="P34" s="1169">
        <f>O34/(1+'Major Assumption Key'!$B$8)^($F34-'Major Assumption Key'!$B$7)</f>
        <v>108123.47345209455</v>
      </c>
      <c r="Q34" s="1155"/>
      <c r="R34" s="1165">
        <f t="shared" si="13"/>
        <v>0</v>
      </c>
      <c r="S34" s="1199">
        <f t="shared" si="14"/>
        <v>232000</v>
      </c>
      <c r="T34" s="1171">
        <f t="shared" si="15"/>
        <v>232000</v>
      </c>
      <c r="U34" s="1169">
        <f t="shared" si="16"/>
        <v>108000</v>
      </c>
    </row>
    <row r="35" spans="1:21" ht="19.95" customHeight="1">
      <c r="A35" s="1149"/>
      <c r="B35" s="1149"/>
      <c r="C35" s="1149"/>
      <c r="D35" s="1149"/>
      <c r="F35" s="1181">
        <f>'Major Assumption Key'!A47</f>
        <v>2048</v>
      </c>
      <c r="G35" s="1197">
        <v>0</v>
      </c>
      <c r="H35" s="1197">
        <f t="shared" si="6"/>
        <v>0</v>
      </c>
      <c r="I35" s="1198">
        <f t="shared" si="7"/>
        <v>0</v>
      </c>
      <c r="J35" s="1165">
        <f t="shared" si="8"/>
        <v>0</v>
      </c>
      <c r="K35" s="1197">
        <f>IF(F35&lt;$B$16,0,_xlfn.XLOOKUP(F35,'Bike Demand'!A:A,'Bike Demand'!$D:$D,,0))</f>
        <v>225.63503348165395</v>
      </c>
      <c r="L35" s="1197">
        <f t="shared" si="9"/>
        <v>58665.108705230028</v>
      </c>
      <c r="M35" s="1198">
        <f t="shared" si="10"/>
        <v>235364.41612538285</v>
      </c>
      <c r="N35" s="1199">
        <f t="shared" si="11"/>
        <v>0</v>
      </c>
      <c r="O35" s="1171">
        <f t="shared" si="12"/>
        <v>0</v>
      </c>
      <c r="P35" s="1169">
        <f>O35/(1+'Major Assumption Key'!$B$8)^($F35-'Major Assumption Key'!$B$7)</f>
        <v>0</v>
      </c>
      <c r="Q35" s="1155"/>
      <c r="R35" s="1165">
        <f t="shared" si="13"/>
        <v>0</v>
      </c>
      <c r="S35" s="1199">
        <f t="shared" si="14"/>
        <v>0</v>
      </c>
      <c r="T35" s="1171">
        <f t="shared" si="15"/>
        <v>0</v>
      </c>
      <c r="U35" s="1169">
        <f t="shared" si="16"/>
        <v>0</v>
      </c>
    </row>
    <row r="36" spans="1:21" ht="19.95" customHeight="1">
      <c r="F36" s="1181">
        <f>'Major Assumption Key'!A48</f>
        <v>2049</v>
      </c>
      <c r="G36" s="1197">
        <v>0</v>
      </c>
      <c r="H36" s="1197">
        <f t="shared" si="6"/>
        <v>0</v>
      </c>
      <c r="I36" s="1198">
        <f t="shared" si="7"/>
        <v>0</v>
      </c>
      <c r="J36" s="1165">
        <f t="shared" si="8"/>
        <v>0</v>
      </c>
      <c r="K36" s="1197">
        <f>IF(F36&lt;$B$16,0,_xlfn.XLOOKUP(F36,'Bike Demand'!A:A,'Bike Demand'!$D:$D,,0))</f>
        <v>228.96057911165954</v>
      </c>
      <c r="L36" s="1197">
        <f t="shared" si="9"/>
        <v>59529.750569031479</v>
      </c>
      <c r="M36" s="1198">
        <f t="shared" si="10"/>
        <v>238833.35928295428</v>
      </c>
      <c r="N36" s="1199">
        <f t="shared" si="11"/>
        <v>0</v>
      </c>
      <c r="O36" s="1171">
        <f t="shared" si="12"/>
        <v>0</v>
      </c>
      <c r="P36" s="1169">
        <f>O36/(1+'Major Assumption Key'!$B$8)^($F36-'Major Assumption Key'!$B$7)</f>
        <v>0</v>
      </c>
      <c r="Q36" s="1155"/>
      <c r="R36" s="1165">
        <f t="shared" si="13"/>
        <v>0</v>
      </c>
      <c r="S36" s="1199">
        <f t="shared" si="14"/>
        <v>0</v>
      </c>
      <c r="T36" s="1171">
        <f t="shared" si="15"/>
        <v>0</v>
      </c>
      <c r="U36" s="1169">
        <f t="shared" si="16"/>
        <v>0</v>
      </c>
    </row>
    <row r="37" spans="1:21" ht="19.95" customHeight="1">
      <c r="F37" s="1181">
        <f>'Major Assumption Key'!A49</f>
        <v>2050</v>
      </c>
      <c r="G37" s="1197">
        <v>0</v>
      </c>
      <c r="H37" s="1197">
        <f t="shared" si="6"/>
        <v>0</v>
      </c>
      <c r="I37" s="1198">
        <f t="shared" si="7"/>
        <v>0</v>
      </c>
      <c r="J37" s="1165">
        <f t="shared" si="8"/>
        <v>0</v>
      </c>
      <c r="K37" s="1197">
        <f>IF(F37&lt;$B$16,0,_xlfn.XLOOKUP(F37,'Bike Demand'!A:A,'Bike Demand'!$D:$D,,0))</f>
        <v>232.33513864507631</v>
      </c>
      <c r="L37" s="1197">
        <f t="shared" si="9"/>
        <v>60407.13604771984</v>
      </c>
      <c r="M37" s="1198">
        <f t="shared" si="10"/>
        <v>242353.429823452</v>
      </c>
      <c r="N37" s="1199">
        <f t="shared" si="11"/>
        <v>0</v>
      </c>
      <c r="O37" s="1171">
        <f t="shared" si="12"/>
        <v>0</v>
      </c>
      <c r="P37" s="1169">
        <f>O37/(1+'Major Assumption Key'!$B$8)^($F37-'Major Assumption Key'!$B$7)</f>
        <v>0</v>
      </c>
      <c r="Q37" s="1155"/>
      <c r="R37" s="1165">
        <f t="shared" si="13"/>
        <v>0</v>
      </c>
      <c r="S37" s="1199">
        <f t="shared" si="14"/>
        <v>0</v>
      </c>
      <c r="T37" s="1171">
        <f t="shared" si="15"/>
        <v>0</v>
      </c>
      <c r="U37" s="1169">
        <f t="shared" si="16"/>
        <v>0</v>
      </c>
    </row>
    <row r="38" spans="1:21" ht="19.95" customHeight="1">
      <c r="F38" s="1181">
        <f>'Major Assumption Key'!A50</f>
        <v>2051</v>
      </c>
      <c r="G38" s="1197">
        <v>0</v>
      </c>
      <c r="H38" s="1197">
        <f t="shared" si="6"/>
        <v>0</v>
      </c>
      <c r="I38" s="1198">
        <f t="shared" si="7"/>
        <v>0</v>
      </c>
      <c r="J38" s="1165">
        <f t="shared" si="8"/>
        <v>0</v>
      </c>
      <c r="K38" s="1197">
        <f>IF(F38&lt;$B$16,0,_xlfn.XLOOKUP(F38,'Bike Demand'!A:A,'Bike Demand'!$D:$D,,0))</f>
        <v>235.75943447846558</v>
      </c>
      <c r="L38" s="1197">
        <f t="shared" si="9"/>
        <v>61297.452964401047</v>
      </c>
      <c r="M38" s="1198">
        <f t="shared" si="10"/>
        <v>245925.38129317696</v>
      </c>
      <c r="N38" s="1199">
        <f t="shared" si="11"/>
        <v>0</v>
      </c>
      <c r="O38" s="1171">
        <f t="shared" si="12"/>
        <v>0</v>
      </c>
      <c r="P38" s="1169">
        <f>O38/(1+'Major Assumption Key'!$B$8)^($F38-'Major Assumption Key'!$B$7)</f>
        <v>0</v>
      </c>
      <c r="Q38" s="1155"/>
      <c r="R38" s="1165">
        <f t="shared" si="13"/>
        <v>0</v>
      </c>
      <c r="S38" s="1199">
        <f t="shared" si="14"/>
        <v>0</v>
      </c>
      <c r="T38" s="1171">
        <f t="shared" si="15"/>
        <v>0</v>
      </c>
      <c r="U38" s="1169">
        <f t="shared" si="16"/>
        <v>0</v>
      </c>
    </row>
    <row r="39" spans="1:21" ht="19.95" customHeight="1">
      <c r="F39" s="1181">
        <f>'Major Assumption Key'!A51</f>
        <v>2052</v>
      </c>
      <c r="G39" s="1197">
        <v>0</v>
      </c>
      <c r="H39" s="1197">
        <f t="shared" si="6"/>
        <v>0</v>
      </c>
      <c r="I39" s="1198">
        <f t="shared" si="7"/>
        <v>0</v>
      </c>
      <c r="J39" s="1165">
        <f t="shared" si="8"/>
        <v>0</v>
      </c>
      <c r="K39" s="1197">
        <f>IF(F39&lt;$B$16,0,_xlfn.XLOOKUP(F39,'Bike Demand'!A:A,'Bike Demand'!$D:$D,,0))</f>
        <v>239.23419965550622</v>
      </c>
      <c r="L39" s="1197">
        <f t="shared" si="9"/>
        <v>62200.891910431616</v>
      </c>
      <c r="M39" s="1198">
        <f t="shared" si="10"/>
        <v>249549.97834465161</v>
      </c>
      <c r="N39" s="1199">
        <f t="shared" si="11"/>
        <v>0</v>
      </c>
      <c r="O39" s="1171">
        <f t="shared" si="12"/>
        <v>0</v>
      </c>
      <c r="P39" s="1169">
        <f>O39/(1+'Major Assumption Key'!$B$8)^($F39-'Major Assumption Key'!$B$7)</f>
        <v>0</v>
      </c>
      <c r="Q39" s="1155"/>
      <c r="R39" s="1165">
        <f t="shared" si="13"/>
        <v>0</v>
      </c>
      <c r="S39" s="1199">
        <f t="shared" si="14"/>
        <v>0</v>
      </c>
      <c r="T39" s="1171">
        <f t="shared" si="15"/>
        <v>0</v>
      </c>
      <c r="U39" s="1169">
        <f t="shared" si="16"/>
        <v>0</v>
      </c>
    </row>
    <row r="40" spans="1:21" ht="19.95" customHeight="1">
      <c r="F40" s="1181">
        <f>'Major Assumption Key'!A52</f>
        <v>2053</v>
      </c>
      <c r="G40" s="1197">
        <v>0</v>
      </c>
      <c r="H40" s="1197">
        <f t="shared" si="6"/>
        <v>0</v>
      </c>
      <c r="I40" s="1198">
        <f t="shared" si="7"/>
        <v>0</v>
      </c>
      <c r="J40" s="1165">
        <f t="shared" si="8"/>
        <v>0</v>
      </c>
      <c r="K40" s="1197">
        <f>IF(F40&lt;$B$16,0,_xlfn.XLOOKUP(F40,'Bike Demand'!A:A,'Bike Demand'!$D:$D,,0))</f>
        <v>242.76017802391834</v>
      </c>
      <c r="L40" s="1197">
        <f t="shared" si="9"/>
        <v>63117.646286218769</v>
      </c>
      <c r="M40" s="1198">
        <f t="shared" si="10"/>
        <v>253227.99690030969</v>
      </c>
      <c r="N40" s="1199">
        <f t="shared" si="11"/>
        <v>0</v>
      </c>
      <c r="O40" s="1171">
        <f t="shared" si="12"/>
        <v>0</v>
      </c>
      <c r="P40" s="1169">
        <f>O40/(1+'Major Assumption Key'!$B$8)^($F40-'Major Assumption Key'!$B$7)</f>
        <v>0</v>
      </c>
      <c r="Q40" s="1155"/>
      <c r="R40" s="1165">
        <f t="shared" si="13"/>
        <v>0</v>
      </c>
      <c r="S40" s="1199">
        <f t="shared" si="14"/>
        <v>0</v>
      </c>
      <c r="T40" s="1171">
        <f t="shared" si="15"/>
        <v>0</v>
      </c>
      <c r="U40" s="1169">
        <f t="shared" si="16"/>
        <v>0</v>
      </c>
    </row>
    <row r="41" spans="1:21" ht="19.95" customHeight="1">
      <c r="F41" s="1181">
        <f>'Major Assumption Key'!A53</f>
        <v>2054</v>
      </c>
      <c r="G41" s="1197">
        <v>0</v>
      </c>
      <c r="H41" s="1197">
        <f t="shared" si="6"/>
        <v>0</v>
      </c>
      <c r="I41" s="1198">
        <f t="shared" si="7"/>
        <v>0</v>
      </c>
      <c r="J41" s="1165">
        <f t="shared" si="8"/>
        <v>0</v>
      </c>
      <c r="K41" s="1197">
        <f>IF(F41&lt;$B$16,0,_xlfn.XLOOKUP(F41,'Bike Demand'!A:A,'Bike Demand'!$D:$D,,0))</f>
        <v>246.33812439469975</v>
      </c>
      <c r="L41" s="1197">
        <f t="shared" si="9"/>
        <v>64047.912342621938</v>
      </c>
      <c r="M41" s="1198">
        <f t="shared" si="10"/>
        <v>256960.22431859918</v>
      </c>
      <c r="N41" s="1199">
        <f t="shared" si="11"/>
        <v>0</v>
      </c>
      <c r="O41" s="1171">
        <f t="shared" si="12"/>
        <v>0</v>
      </c>
      <c r="P41" s="1169">
        <f>O41/(1+'Major Assumption Key'!$B$8)^($F41-'Major Assumption Key'!$B$7)</f>
        <v>0</v>
      </c>
      <c r="Q41" s="1155"/>
      <c r="R41" s="1165">
        <f t="shared" si="13"/>
        <v>0</v>
      </c>
      <c r="S41" s="1199">
        <f t="shared" si="14"/>
        <v>0</v>
      </c>
      <c r="T41" s="1171">
        <f t="shared" si="15"/>
        <v>0</v>
      </c>
      <c r="U41" s="1169">
        <f t="shared" si="16"/>
        <v>0</v>
      </c>
    </row>
    <row r="42" spans="1:21" ht="19.95" customHeight="1">
      <c r="F42" s="1181">
        <f>'Major Assumption Key'!A54</f>
        <v>2055</v>
      </c>
      <c r="G42" s="1197">
        <v>0</v>
      </c>
      <c r="H42" s="1197">
        <f t="shared" si="6"/>
        <v>0</v>
      </c>
      <c r="I42" s="1198">
        <f t="shared" si="7"/>
        <v>0</v>
      </c>
      <c r="J42" s="1165">
        <f t="shared" si="8"/>
        <v>0</v>
      </c>
      <c r="K42" s="1197">
        <f>IF(F42&lt;$B$16,0,_xlfn.XLOOKUP(F42,'Bike Demand'!A:A,'Bike Demand'!$D:$D,,0))</f>
        <v>249.96880470370937</v>
      </c>
      <c r="L42" s="1197">
        <f t="shared" si="9"/>
        <v>64991.889222964433</v>
      </c>
      <c r="M42" s="1198">
        <f t="shared" si="10"/>
        <v>260747.4595625333</v>
      </c>
      <c r="N42" s="1199">
        <f t="shared" si="11"/>
        <v>0</v>
      </c>
      <c r="O42" s="1171">
        <f t="shared" si="12"/>
        <v>0</v>
      </c>
      <c r="P42" s="1169">
        <f>O42/(1+'Major Assumption Key'!$B$8)^($F42-'Major Assumption Key'!$B$7)</f>
        <v>0</v>
      </c>
      <c r="Q42" s="1155"/>
      <c r="R42" s="1165">
        <f t="shared" si="13"/>
        <v>0</v>
      </c>
      <c r="S42" s="1199">
        <f t="shared" si="14"/>
        <v>0</v>
      </c>
      <c r="T42" s="1171">
        <f t="shared" si="15"/>
        <v>0</v>
      </c>
      <c r="U42" s="1169">
        <f t="shared" si="16"/>
        <v>0</v>
      </c>
    </row>
    <row r="43" spans="1:21" ht="19.95" customHeight="1">
      <c r="F43" s="1181">
        <f>'Major Assumption Key'!A55</f>
        <v>2056</v>
      </c>
      <c r="G43" s="1197">
        <v>0</v>
      </c>
      <c r="H43" s="1197">
        <f t="shared" si="6"/>
        <v>0</v>
      </c>
      <c r="I43" s="1198">
        <f t="shared" si="7"/>
        <v>0</v>
      </c>
      <c r="J43" s="1165">
        <f t="shared" si="8"/>
        <v>0</v>
      </c>
      <c r="K43" s="1197">
        <f>IF(F43&lt;$B$16,0,_xlfn.XLOOKUP(F43,'Bike Demand'!A:A,'Bike Demand'!$D:$D,,0))</f>
        <v>253.65299617563224</v>
      </c>
      <c r="L43" s="1197">
        <f t="shared" si="9"/>
        <v>65949.779005664386</v>
      </c>
      <c r="M43" s="1198">
        <f t="shared" si="10"/>
        <v>264590.5133707255</v>
      </c>
      <c r="N43" s="1199">
        <f t="shared" si="11"/>
        <v>0</v>
      </c>
      <c r="O43" s="1171">
        <f t="shared" si="12"/>
        <v>0</v>
      </c>
      <c r="P43" s="1169">
        <f>O43/(1+'Major Assumption Key'!$B$8)^($F43-'Major Assumption Key'!$B$7)</f>
        <v>0</v>
      </c>
      <c r="Q43" s="1155"/>
      <c r="R43" s="1165">
        <f t="shared" si="13"/>
        <v>0</v>
      </c>
      <c r="S43" s="1199">
        <f t="shared" si="14"/>
        <v>0</v>
      </c>
      <c r="T43" s="1171">
        <f t="shared" si="15"/>
        <v>0</v>
      </c>
      <c r="U43" s="1169">
        <f t="shared" si="16"/>
        <v>0</v>
      </c>
    </row>
    <row r="44" spans="1:21" ht="19.95" customHeight="1">
      <c r="F44" s="1181">
        <f>'Major Assumption Key'!A56</f>
        <v>2057</v>
      </c>
      <c r="G44" s="1197">
        <v>0</v>
      </c>
      <c r="H44" s="1197">
        <f t="shared" si="6"/>
        <v>0</v>
      </c>
      <c r="I44" s="1198">
        <f t="shared" si="7"/>
        <v>0</v>
      </c>
      <c r="J44" s="1165">
        <f t="shared" si="8"/>
        <v>0</v>
      </c>
      <c r="K44" s="1197">
        <f>IF(F44&lt;$B$16,0,_xlfn.XLOOKUP(F44,'Bike Demand'!A:A,'Bike Demand'!$D:$D,,0))</f>
        <v>257.39148749036104</v>
      </c>
      <c r="L44" s="1197">
        <f t="shared" si="9"/>
        <v>66921.786747493868</v>
      </c>
      <c r="M44" s="1198">
        <f t="shared" si="10"/>
        <v>268490.20843094535</v>
      </c>
      <c r="N44" s="1199">
        <f t="shared" si="11"/>
        <v>0</v>
      </c>
      <c r="O44" s="1171">
        <f t="shared" si="12"/>
        <v>0</v>
      </c>
      <c r="P44" s="1169">
        <f>O44/(1+'Major Assumption Key'!$B$8)^($F44-'Major Assumption Key'!$B$7)</f>
        <v>0</v>
      </c>
      <c r="Q44" s="1155"/>
      <c r="R44" s="1165">
        <f t="shared" si="13"/>
        <v>0</v>
      </c>
      <c r="S44" s="1199">
        <f t="shared" si="14"/>
        <v>0</v>
      </c>
      <c r="T44" s="1171">
        <f t="shared" si="15"/>
        <v>0</v>
      </c>
      <c r="U44" s="1169">
        <f t="shared" si="16"/>
        <v>0</v>
      </c>
    </row>
    <row r="45" spans="1:21" ht="19.95" customHeight="1">
      <c r="F45" s="1181">
        <f>'Major Assumption Key'!A57</f>
        <v>2058</v>
      </c>
      <c r="G45" s="1197">
        <v>0</v>
      </c>
      <c r="H45" s="1197">
        <f t="shared" si="6"/>
        <v>0</v>
      </c>
      <c r="I45" s="1198">
        <f t="shared" si="7"/>
        <v>0</v>
      </c>
      <c r="J45" s="1165">
        <f t="shared" si="8"/>
        <v>0</v>
      </c>
      <c r="K45" s="1197">
        <f>IF(F45&lt;$B$16,0,_xlfn.XLOOKUP(F45,'Bike Demand'!A:A,'Bike Demand'!$D:$D,,0))</f>
        <v>261.18507895182978</v>
      </c>
      <c r="L45" s="1197">
        <f t="shared" si="9"/>
        <v>67908.120527475738</v>
      </c>
      <c r="M45" s="1198">
        <f t="shared" si="10"/>
        <v>272447.37955623266</v>
      </c>
      <c r="N45" s="1199">
        <f t="shared" si="11"/>
        <v>0</v>
      </c>
      <c r="O45" s="1171">
        <f t="shared" si="12"/>
        <v>0</v>
      </c>
      <c r="P45" s="1169">
        <f>O45/(1+'Major Assumption Key'!$B$8)^($F45-'Major Assumption Key'!$B$7)</f>
        <v>0</v>
      </c>
      <c r="Q45" s="1155"/>
      <c r="R45" s="1165">
        <f t="shared" si="13"/>
        <v>0</v>
      </c>
      <c r="S45" s="1199">
        <f t="shared" si="14"/>
        <v>0</v>
      </c>
      <c r="T45" s="1171">
        <f t="shared" si="15"/>
        <v>0</v>
      </c>
      <c r="U45" s="1169">
        <f t="shared" si="16"/>
        <v>0</v>
      </c>
    </row>
    <row r="46" spans="1:21" ht="19.95" customHeight="1">
      <c r="F46" s="1181">
        <f>'Major Assumption Key'!A58</f>
        <v>2059</v>
      </c>
      <c r="G46" s="1197">
        <v>0</v>
      </c>
      <c r="H46" s="1197">
        <f t="shared" si="6"/>
        <v>0</v>
      </c>
      <c r="I46" s="1198">
        <f t="shared" si="7"/>
        <v>0</v>
      </c>
      <c r="J46" s="1165">
        <f t="shared" si="8"/>
        <v>0</v>
      </c>
      <c r="K46" s="1197">
        <f>IF(F46&lt;$B$16,0,_xlfn.XLOOKUP(F46,'Bike Demand'!A:A,'Bike Demand'!$D:$D,,0))</f>
        <v>265.03458265933602</v>
      </c>
      <c r="L46" s="1197">
        <f t="shared" si="9"/>
        <v>68908.991491427369</v>
      </c>
      <c r="M46" s="1198">
        <f t="shared" si="10"/>
        <v>276462.8738636066</v>
      </c>
      <c r="N46" s="1199">
        <f t="shared" si="11"/>
        <v>0</v>
      </c>
      <c r="O46" s="1171">
        <f t="shared" si="12"/>
        <v>0</v>
      </c>
      <c r="P46" s="1169">
        <f>O46/(1+'Major Assumption Key'!$B$8)^($F46-'Major Assumption Key'!$B$7)</f>
        <v>0</v>
      </c>
      <c r="Q46" s="1155"/>
      <c r="R46" s="1165">
        <f t="shared" si="13"/>
        <v>0</v>
      </c>
      <c r="S46" s="1199">
        <f t="shared" si="14"/>
        <v>0</v>
      </c>
      <c r="T46" s="1171">
        <f t="shared" si="15"/>
        <v>0</v>
      </c>
      <c r="U46" s="1169">
        <f t="shared" si="16"/>
        <v>0</v>
      </c>
    </row>
    <row r="47" spans="1:21" ht="19.95" customHeight="1">
      <c r="F47" s="1181">
        <f>'Major Assumption Key'!A59</f>
        <v>2060</v>
      </c>
      <c r="G47" s="1197">
        <v>0</v>
      </c>
      <c r="H47" s="1197">
        <f t="shared" si="6"/>
        <v>0</v>
      </c>
      <c r="I47" s="1198">
        <f t="shared" si="7"/>
        <v>0</v>
      </c>
      <c r="J47" s="1165">
        <f t="shared" si="8"/>
        <v>0</v>
      </c>
      <c r="K47" s="1197">
        <f>IF(F47&lt;$B$16,0,_xlfn.XLOOKUP(F47,'Bike Demand'!A:A,'Bike Demand'!$D:$D,,0))</f>
        <v>268.94082268138817</v>
      </c>
      <c r="L47" s="1197">
        <f t="shared" si="9"/>
        <v>69924.613897160918</v>
      </c>
      <c r="M47" s="1198">
        <f t="shared" si="10"/>
        <v>280537.55095540959</v>
      </c>
      <c r="N47" s="1199">
        <f t="shared" si="11"/>
        <v>0</v>
      </c>
      <c r="O47" s="1171">
        <f t="shared" si="12"/>
        <v>0</v>
      </c>
      <c r="P47" s="1169">
        <f>O47/(1+'Major Assumption Key'!$B$8)^($F47-'Major Assumption Key'!$B$7)</f>
        <v>0</v>
      </c>
      <c r="Q47" s="1155"/>
      <c r="R47" s="1165">
        <f t="shared" si="13"/>
        <v>0</v>
      </c>
      <c r="S47" s="1199">
        <f t="shared" si="14"/>
        <v>0</v>
      </c>
      <c r="T47" s="1171">
        <f t="shared" si="15"/>
        <v>0</v>
      </c>
      <c r="U47" s="1169">
        <f t="shared" si="16"/>
        <v>0</v>
      </c>
    </row>
    <row r="48" spans="1:21" ht="19.95" customHeight="1" thickBot="1">
      <c r="F48" s="1536" t="s">
        <v>504</v>
      </c>
      <c r="G48" s="1548"/>
      <c r="H48" s="1548"/>
      <c r="I48" s="1549"/>
      <c r="J48" s="1550">
        <f>SUMIFS($J$7:$J$47,$F$7:$F$47,"&gt;="&amp;$B$17,$F$7:$F$47,"&lt;="&amp;$B$18)</f>
        <v>0</v>
      </c>
      <c r="K48" s="1548"/>
      <c r="L48" s="1548"/>
      <c r="M48" s="1549"/>
      <c r="N48" s="1550">
        <f>SUMIFS($N$7:$N$47,$F$7:$F$47,"&gt;="&amp;$B$17,$F$7:$F$47,"&lt;="&amp;$B$18)</f>
        <v>4051318.3574368665</v>
      </c>
      <c r="O48" s="1550">
        <f>SUM(O7:O47)</f>
        <v>4051318.3574368665</v>
      </c>
      <c r="P48" s="1551">
        <f>SUM(P7:P47)</f>
        <v>2525607.9066800205</v>
      </c>
      <c r="Q48" s="1155"/>
      <c r="R48" s="1520">
        <f>ROUND(J48,-3)</f>
        <v>0</v>
      </c>
      <c r="S48" s="1524">
        <f t="shared" si="3"/>
        <v>4051000</v>
      </c>
      <c r="T48" s="1525">
        <f t="shared" si="4"/>
        <v>4051000</v>
      </c>
      <c r="U48" s="1526">
        <f>ROUND(P48,-3)</f>
        <v>2526000</v>
      </c>
    </row>
    <row r="49" spans="10:14" ht="19.95" customHeight="1">
      <c r="J49" s="1527"/>
      <c r="N49" s="1527"/>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Efkg+I1JlduHXtP+mtkK9TOUt/3bfDDXExVocrkvAeEB9sLkdDU4nJm26YhOUrEpCAnxUnKQOeqJrc/EiiNg7w==" saltValue="vKA/SPtr8L7v+NGkCQVqyg=="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21875" style="3" customWidth="1"/>
    <col min="4" max="4" width="20.77734375" style="3" bestFit="1" customWidth="1"/>
    <col min="5" max="5" width="15.77734375" style="3"/>
    <col min="6" max="6" width="32" style="3" bestFit="1" customWidth="1"/>
    <col min="7" max="7" width="27.77734375" style="3" customWidth="1"/>
    <col min="8" max="8" width="46.77734375" style="3" customWidth="1"/>
    <col min="9" max="9" width="42" style="3" customWidth="1"/>
    <col min="10" max="10" width="13.44140625" style="3" customWidth="1"/>
    <col min="11" max="11" width="27.77734375" style="3" customWidth="1"/>
    <col min="12" max="12" width="46.77734375" style="3" customWidth="1"/>
    <col min="13" max="13" width="42" style="3" customWidth="1"/>
    <col min="14" max="14" width="13.44140625" style="3" bestFit="1" customWidth="1"/>
    <col min="15" max="15" width="15.77734375" style="3" bestFit="1" customWidth="1"/>
    <col min="16" max="16" width="24" style="3" bestFit="1" customWidth="1"/>
    <col min="17" max="17" width="15.77734375" style="3" bestFit="1" customWidth="1"/>
    <col min="18" max="18" width="29.5546875" style="3" customWidth="1"/>
    <col min="19" max="19" width="15.77734375" style="3" bestFit="1" customWidth="1"/>
    <col min="20" max="20" width="22" style="3" bestFit="1" customWidth="1"/>
    <col min="21" max="31" width="15.77734375" style="129"/>
    <col min="42" max="16384" width="15.77734375" style="129"/>
  </cols>
  <sheetData>
    <row r="1" spans="1:25">
      <c r="A1" s="271" t="s">
        <v>185</v>
      </c>
      <c r="B1" s="42" t="s">
        <v>7151</v>
      </c>
      <c r="C1" s="128"/>
      <c r="D1" s="128"/>
      <c r="E1" s="128"/>
      <c r="F1" s="33" t="s">
        <v>187</v>
      </c>
      <c r="G1" s="45" t="str">
        <f>HYPERLINK("#'"&amp;INDEX('Master Key'!$B:$B,MATCH("Master Key",'Master Key'!$B:$B,0),1)&amp;"'!A1","Go To Sheet")</f>
        <v>Go To Sheet</v>
      </c>
      <c r="H1" s="33"/>
      <c r="I1" s="33"/>
      <c r="K1" s="45"/>
    </row>
    <row r="2" spans="1:25" ht="15" thickBot="1">
      <c r="A2" s="129"/>
      <c r="E2" s="129"/>
    </row>
    <row r="3" spans="1:25" ht="39.75" customHeight="1" thickBot="1">
      <c r="A3" s="154" t="s">
        <v>482</v>
      </c>
      <c r="B3" s="2054" t="s">
        <v>7152</v>
      </c>
      <c r="C3" s="2054"/>
      <c r="D3" s="2054"/>
      <c r="E3" s="130"/>
      <c r="F3" s="2055" t="s">
        <v>484</v>
      </c>
      <c r="G3" s="2056"/>
      <c r="H3" s="2056"/>
      <c r="I3" s="2056"/>
      <c r="J3" s="2056"/>
      <c r="K3" s="2056"/>
      <c r="L3" s="2056"/>
      <c r="M3" s="2056"/>
      <c r="N3" s="2056"/>
      <c r="O3" s="2057"/>
      <c r="P3" s="2057"/>
      <c r="Q3" s="2057"/>
      <c r="R3" s="2057"/>
      <c r="S3" s="2056"/>
      <c r="T3" s="2058"/>
      <c r="V3" s="1975" t="s">
        <v>420</v>
      </c>
      <c r="W3" s="1975"/>
      <c r="X3" s="1975"/>
      <c r="Y3" s="1975"/>
    </row>
    <row r="4" spans="1:25" ht="18.75" customHeight="1">
      <c r="A4" s="905"/>
      <c r="B4" s="905"/>
      <c r="C4" s="905"/>
      <c r="D4" s="905"/>
      <c r="E4" s="130"/>
      <c r="F4" s="132" t="s">
        <v>485</v>
      </c>
      <c r="G4" s="2059" t="s">
        <v>66</v>
      </c>
      <c r="H4" s="2060"/>
      <c r="I4" s="2061"/>
      <c r="J4" s="135" t="s">
        <v>66</v>
      </c>
      <c r="K4" s="659"/>
      <c r="L4" s="2062"/>
      <c r="M4" s="2063"/>
      <c r="N4" s="651" t="s">
        <v>131</v>
      </c>
      <c r="O4" s="2064" t="s">
        <v>7153</v>
      </c>
      <c r="P4" s="2065"/>
      <c r="Q4" s="2068" t="s">
        <v>7154</v>
      </c>
      <c r="R4" s="2069"/>
      <c r="S4" s="2072" t="s">
        <v>7155</v>
      </c>
      <c r="T4" s="2073"/>
      <c r="V4" s="28" t="s">
        <v>66</v>
      </c>
      <c r="W4" s="30" t="s">
        <v>131</v>
      </c>
      <c r="X4" s="1933" t="s">
        <v>488</v>
      </c>
      <c r="Y4" s="1934"/>
    </row>
    <row r="5" spans="1:25" ht="29.4" thickBot="1">
      <c r="A5" s="678" t="s">
        <v>489</v>
      </c>
      <c r="B5" s="1976" t="s">
        <v>7156</v>
      </c>
      <c r="C5" s="1976"/>
      <c r="D5" s="1976"/>
      <c r="E5" s="129"/>
      <c r="F5" s="137" t="s">
        <v>491</v>
      </c>
      <c r="G5" s="138" t="s">
        <v>493</v>
      </c>
      <c r="H5" s="138" t="s">
        <v>7157</v>
      </c>
      <c r="I5" s="138" t="s">
        <v>7158</v>
      </c>
      <c r="J5" s="139" t="s">
        <v>512</v>
      </c>
      <c r="K5" s="138" t="s">
        <v>493</v>
      </c>
      <c r="L5" s="138" t="s">
        <v>7157</v>
      </c>
      <c r="M5" s="138" t="s">
        <v>7158</v>
      </c>
      <c r="N5" s="652" t="s">
        <v>512</v>
      </c>
      <c r="O5" s="2066"/>
      <c r="P5" s="2067"/>
      <c r="Q5" s="2070"/>
      <c r="R5" s="2071"/>
      <c r="S5" s="2074"/>
      <c r="T5" s="2075"/>
      <c r="V5" s="29" t="s">
        <v>512</v>
      </c>
      <c r="W5" s="31" t="s">
        <v>512</v>
      </c>
      <c r="X5" s="1935"/>
      <c r="Y5" s="1936"/>
    </row>
    <row r="6" spans="1:25">
      <c r="A6" s="214"/>
      <c r="B6" s="214"/>
      <c r="C6" s="214"/>
      <c r="D6" s="214"/>
      <c r="E6" s="129"/>
      <c r="F6" s="137"/>
      <c r="G6" s="138" t="s">
        <v>7159</v>
      </c>
      <c r="H6" s="352" t="s">
        <v>7160</v>
      </c>
      <c r="I6" s="352" t="s">
        <v>7161</v>
      </c>
      <c r="J6" s="139" t="s">
        <v>666</v>
      </c>
      <c r="K6" s="138" t="s">
        <v>7159</v>
      </c>
      <c r="L6" s="352" t="s">
        <v>7160</v>
      </c>
      <c r="M6" s="352" t="s">
        <v>7161</v>
      </c>
      <c r="N6" s="652" t="s">
        <v>666</v>
      </c>
      <c r="O6" s="653" t="s">
        <v>419</v>
      </c>
      <c r="P6" s="654" t="str">
        <f>_xlfn.CONCAT("Discounted @ ",TEXT('Major Assumption Key'!$B$8,"0.0%"))</f>
        <v>Discounted @ 3.1%</v>
      </c>
      <c r="Q6" s="657" t="s">
        <v>419</v>
      </c>
      <c r="R6" s="658" t="str">
        <f>_xlfn.CONCAT("Discounted @ ",TEXT('Major Assumption Key'!$B$9,"0.0%"))</f>
        <v>Discounted @ 2.0%</v>
      </c>
      <c r="S6" s="655" t="s">
        <v>419</v>
      </c>
      <c r="T6" s="142" t="s">
        <v>7162</v>
      </c>
      <c r="V6" s="29" t="s">
        <v>666</v>
      </c>
      <c r="W6" s="31" t="s">
        <v>666</v>
      </c>
      <c r="X6" s="23" t="s">
        <v>419</v>
      </c>
      <c r="Y6" s="24" t="s">
        <v>7162</v>
      </c>
    </row>
    <row r="7" spans="1:25">
      <c r="C7" s="129"/>
      <c r="D7" s="129"/>
      <c r="E7" s="129"/>
      <c r="F7" s="906">
        <f>'Major Assumption Key'!$A19</f>
        <v>2020</v>
      </c>
      <c r="G7" s="907">
        <f>_xlfn.XLOOKUP(F7,'VMT Reduction Supporting'!$A:$A,'VMT Reduction Supporting'!$H:$H,,0)</f>
        <v>96511.603338845685</v>
      </c>
      <c r="H7" s="908">
        <f>IFERROR(G7*$B$25,0)</f>
        <v>0</v>
      </c>
      <c r="I7" s="908">
        <f>IFERROR(G7*$B$26,0)</f>
        <v>0</v>
      </c>
      <c r="J7" s="784">
        <f>IF(AND($F7&gt;=$B$16,$F7&lt;=$B$18),SUM(H7:I7),0)</f>
        <v>0</v>
      </c>
      <c r="K7" s="907">
        <f>_xlfn.XLOOKUP(F7,'VMT Reduction Supporting'!$A:$A,'VMT Reduction Supporting'!$I:$I,,0)</f>
        <v>96511.603338845685</v>
      </c>
      <c r="L7" s="908">
        <f>IFERROR(K7*$B$25,0)</f>
        <v>0</v>
      </c>
      <c r="M7" s="908">
        <f>IFERROR(K7*$B$26,0)</f>
        <v>0</v>
      </c>
      <c r="N7" s="909">
        <f>IF(AND($F7&gt;=$B$16,$F7&lt;=$B$18),SUM(L7:M7),0)</f>
        <v>0</v>
      </c>
      <c r="O7" s="910">
        <f>IF(AND($F7&gt;=$B$16,$F7&lt;=$B$18),L7-H7,0)</f>
        <v>0</v>
      </c>
      <c r="P7" s="911">
        <f>O7/(1+'Major Assumption Key'!$B$8)^($F7-'Major Assumption Key'!$B$7)</f>
        <v>0</v>
      </c>
      <c r="Q7" s="912">
        <f>IF(AND($F7&gt;=$B$16,$F7&lt;=$B$18),M7-I7,0)</f>
        <v>0</v>
      </c>
      <c r="R7" s="913">
        <f>Q7/(1+'Major Assumption Key'!$B$9)^($F7-'Major Assumption Key'!$B$7)</f>
        <v>0</v>
      </c>
      <c r="S7" s="656">
        <f t="shared" ref="S7:S47" si="0">N7-J7</f>
        <v>0</v>
      </c>
      <c r="T7" s="38">
        <f>P7+R7</f>
        <v>0</v>
      </c>
      <c r="V7" s="784">
        <f>ROUND(J7,-3)</f>
        <v>0</v>
      </c>
      <c r="W7" s="855">
        <f>ROUND(N7,-3)</f>
        <v>0</v>
      </c>
      <c r="X7" s="26">
        <f>ROUND(S7,-3)</f>
        <v>0</v>
      </c>
      <c r="Y7" s="38">
        <f>ROUND(T7,-3)</f>
        <v>0</v>
      </c>
    </row>
    <row r="8" spans="1:25">
      <c r="A8" s="129"/>
      <c r="B8" s="129"/>
      <c r="C8" s="129"/>
      <c r="D8" s="129"/>
      <c r="E8" s="129"/>
      <c r="F8" s="906">
        <f>'Major Assumption Key'!$A20</f>
        <v>2021</v>
      </c>
      <c r="G8" s="907">
        <f>_xlfn.XLOOKUP(F8,'VMT Reduction Supporting'!$A:$A,'VMT Reduction Supporting'!$H:$H,,0)</f>
        <v>120101.19687357022</v>
      </c>
      <c r="H8" s="908">
        <f t="shared" ref="H8:H47" si="1">IFERROR(G8*$B$25,0)</f>
        <v>0</v>
      </c>
      <c r="I8" s="908">
        <f t="shared" ref="I8:I47" si="2">IFERROR(G8*$B$26,0)</f>
        <v>0</v>
      </c>
      <c r="J8" s="784">
        <f t="shared" ref="J8:J47" si="3">IF(AND($F8&gt;=$B$16,$F8&lt;=$B$18),SUM(H8:I8),0)</f>
        <v>0</v>
      </c>
      <c r="K8" s="907">
        <f>_xlfn.XLOOKUP(F8,'VMT Reduction Supporting'!$A:$A,'VMT Reduction Supporting'!$I:$I,,0)</f>
        <v>139070.79687357022</v>
      </c>
      <c r="L8" s="908">
        <f t="shared" ref="L8:L47" si="4">IFERROR(K8*$B$25,0)</f>
        <v>0</v>
      </c>
      <c r="M8" s="908">
        <f t="shared" ref="M8:M47" si="5">IFERROR(K8*$B$26,0)</f>
        <v>0</v>
      </c>
      <c r="N8" s="909">
        <f t="shared" ref="N8:N47" si="6">IF(AND($F8&gt;=$B$16,$F8&lt;=$B$18),SUM(L8:M8),0)</f>
        <v>0</v>
      </c>
      <c r="O8" s="910">
        <f t="shared" ref="O8:O47" si="7">IF(AND($F8&gt;=$B$16,$F8&lt;=$B$18),L8-H8,0)</f>
        <v>0</v>
      </c>
      <c r="P8" s="911">
        <f>O8/(1+'Major Assumption Key'!$B$8)^($F8-'Major Assumption Key'!$B$7)</f>
        <v>0</v>
      </c>
      <c r="Q8" s="912">
        <f t="shared" ref="Q8:Q47" si="8">IF(AND($F8&gt;=$B$16,$F8&lt;=$B$18),M8-I8,0)</f>
        <v>0</v>
      </c>
      <c r="R8" s="913">
        <f>Q8/(1+'Major Assumption Key'!$B$9)^($F8-'Major Assumption Key'!$B$7)</f>
        <v>0</v>
      </c>
      <c r="S8" s="656">
        <f t="shared" si="0"/>
        <v>0</v>
      </c>
      <c r="T8" s="38">
        <f t="shared" ref="T8:T47" si="9">P8+R8</f>
        <v>0</v>
      </c>
      <c r="V8" s="784">
        <f t="shared" ref="V8:V47" si="10">ROUND(J8,-3)</f>
        <v>0</v>
      </c>
      <c r="W8" s="855">
        <f t="shared" ref="W8:W47" si="11">ROUND(N8,-3)</f>
        <v>0</v>
      </c>
      <c r="X8" s="26">
        <f t="shared" ref="X8:X47" si="12">ROUND(S8,-3)</f>
        <v>0</v>
      </c>
      <c r="Y8" s="38">
        <f t="shared" ref="Y8:Y47" si="13">ROUND(T8,-3)</f>
        <v>0</v>
      </c>
    </row>
    <row r="9" spans="1:25" ht="18">
      <c r="A9" s="1888" t="s">
        <v>432</v>
      </c>
      <c r="B9" s="1889"/>
      <c r="C9" s="1889"/>
      <c r="D9" s="1890"/>
      <c r="E9" s="129"/>
      <c r="F9" s="906">
        <f>'Major Assumption Key'!$A21</f>
        <v>2022</v>
      </c>
      <c r="G9" s="907">
        <f>_xlfn.XLOOKUP(F9,'VMT Reduction Supporting'!$A:$A,'VMT Reduction Supporting'!$H:$H,,0)</f>
        <v>120821.58574789461</v>
      </c>
      <c r="H9" s="908">
        <f t="shared" si="1"/>
        <v>0</v>
      </c>
      <c r="I9" s="908">
        <f t="shared" si="2"/>
        <v>0</v>
      </c>
      <c r="J9" s="784">
        <f t="shared" si="3"/>
        <v>0</v>
      </c>
      <c r="K9" s="907">
        <f>_xlfn.XLOOKUP(F9,'VMT Reduction Supporting'!$A:$A,'VMT Reduction Supporting'!$I:$I,,0)</f>
        <v>140070.77118908046</v>
      </c>
      <c r="L9" s="908">
        <f t="shared" si="4"/>
        <v>0</v>
      </c>
      <c r="M9" s="908">
        <f t="shared" si="5"/>
        <v>0</v>
      </c>
      <c r="N9" s="909">
        <f t="shared" si="6"/>
        <v>0</v>
      </c>
      <c r="O9" s="910">
        <f t="shared" si="7"/>
        <v>0</v>
      </c>
      <c r="P9" s="911">
        <f>O9/(1+'Major Assumption Key'!$B$8)^($F9-'Major Assumption Key'!$B$7)</f>
        <v>0</v>
      </c>
      <c r="Q9" s="912">
        <f t="shared" si="8"/>
        <v>0</v>
      </c>
      <c r="R9" s="913">
        <f>Q9/(1+'Major Assumption Key'!$B$9)^($F9-'Major Assumption Key'!$B$7)</f>
        <v>0</v>
      </c>
      <c r="S9" s="656">
        <f t="shared" si="0"/>
        <v>0</v>
      </c>
      <c r="T9" s="38">
        <f t="shared" si="9"/>
        <v>0</v>
      </c>
      <c r="V9" s="784">
        <f t="shared" si="10"/>
        <v>0</v>
      </c>
      <c r="W9" s="855">
        <f t="shared" si="11"/>
        <v>0</v>
      </c>
      <c r="X9" s="26">
        <f t="shared" si="12"/>
        <v>0</v>
      </c>
      <c r="Y9" s="38">
        <f t="shared" si="13"/>
        <v>0</v>
      </c>
    </row>
    <row r="10" spans="1:25" ht="18">
      <c r="A10" s="1891" t="s">
        <v>418</v>
      </c>
      <c r="B10" s="1891"/>
      <c r="C10" s="49" t="s">
        <v>419</v>
      </c>
      <c r="D10" s="49" t="str">
        <f>_xlfn.CONCAT("Discounted @",TEXT('Major Assumption Key'!B8,"0.0%"))</f>
        <v>Discounted @3.1%</v>
      </c>
      <c r="E10" s="129"/>
      <c r="F10" s="906">
        <f>'Major Assumption Key'!$A22</f>
        <v>2023</v>
      </c>
      <c r="G10" s="907">
        <f>_xlfn.XLOOKUP(F10,'VMT Reduction Supporting'!$A:$A,'VMT Reduction Supporting'!$H:$H,,0)</f>
        <v>121548.49384987666</v>
      </c>
      <c r="H10" s="908">
        <f t="shared" si="1"/>
        <v>0</v>
      </c>
      <c r="I10" s="908">
        <f t="shared" si="2"/>
        <v>0</v>
      </c>
      <c r="J10" s="784">
        <f t="shared" si="3"/>
        <v>0</v>
      </c>
      <c r="K10" s="907">
        <f>_xlfn.XLOOKUP(F10,'VMT Reduction Supporting'!$A:$A,'VMT Reduction Supporting'!$I:$I,,0)</f>
        <v>141081.38543162649</v>
      </c>
      <c r="L10" s="908">
        <f t="shared" si="4"/>
        <v>0</v>
      </c>
      <c r="M10" s="908">
        <f t="shared" si="5"/>
        <v>0</v>
      </c>
      <c r="N10" s="909">
        <f t="shared" si="6"/>
        <v>0</v>
      </c>
      <c r="O10" s="910">
        <f t="shared" si="7"/>
        <v>0</v>
      </c>
      <c r="P10" s="911">
        <f>O10/(1+'Major Assumption Key'!$B$8)^($F10-'Major Assumption Key'!$B$7)</f>
        <v>0</v>
      </c>
      <c r="Q10" s="912">
        <f t="shared" si="8"/>
        <v>0</v>
      </c>
      <c r="R10" s="913">
        <f>Q10/(1+'Major Assumption Key'!$B$9)^($F10-'Major Assumption Key'!$B$7)</f>
        <v>0</v>
      </c>
      <c r="S10" s="656">
        <f t="shared" si="0"/>
        <v>0</v>
      </c>
      <c r="T10" s="38">
        <f t="shared" si="9"/>
        <v>0</v>
      </c>
      <c r="V10" s="784">
        <f t="shared" si="10"/>
        <v>0</v>
      </c>
      <c r="W10" s="855">
        <f t="shared" si="11"/>
        <v>0</v>
      </c>
      <c r="X10" s="26">
        <f t="shared" si="12"/>
        <v>0</v>
      </c>
      <c r="Y10" s="38">
        <f t="shared" si="13"/>
        <v>0</v>
      </c>
    </row>
    <row r="11" spans="1:25" ht="18">
      <c r="A11" s="1892" t="s">
        <v>11</v>
      </c>
      <c r="B11" s="1892"/>
      <c r="C11" s="56">
        <f>'BCA Summary'!$H$7</f>
        <v>1.0111569298276737</v>
      </c>
      <c r="D11" s="56">
        <f>'BCA Summary'!$I$7</f>
        <v>0.6276932096418345</v>
      </c>
      <c r="E11" s="129"/>
      <c r="F11" s="906">
        <f>'Major Assumption Key'!$A23</f>
        <v>2024</v>
      </c>
      <c r="G11" s="907">
        <f>_xlfn.XLOOKUP(F11,'VMT Reduction Supporting'!$A:$A,'VMT Reduction Supporting'!$H:$H,,0)</f>
        <v>122282.00126355721</v>
      </c>
      <c r="H11" s="908">
        <f t="shared" si="1"/>
        <v>0</v>
      </c>
      <c r="I11" s="908">
        <f t="shared" si="2"/>
        <v>0</v>
      </c>
      <c r="J11" s="784">
        <f t="shared" si="3"/>
        <v>0</v>
      </c>
      <c r="K11" s="907">
        <f>_xlfn.XLOOKUP(F11,'VMT Reduction Supporting'!$A:$A,'VMT Reduction Supporting'!$I:$I,,0)</f>
        <v>142102.78041860953</v>
      </c>
      <c r="L11" s="908">
        <f t="shared" si="4"/>
        <v>0</v>
      </c>
      <c r="M11" s="908">
        <f t="shared" si="5"/>
        <v>0</v>
      </c>
      <c r="N11" s="909">
        <f t="shared" si="6"/>
        <v>0</v>
      </c>
      <c r="O11" s="910">
        <f t="shared" si="7"/>
        <v>0</v>
      </c>
      <c r="P11" s="911">
        <f>O11/(1+'Major Assumption Key'!$B$8)^($F11-'Major Assumption Key'!$B$7)</f>
        <v>0</v>
      </c>
      <c r="Q11" s="912">
        <f t="shared" si="8"/>
        <v>0</v>
      </c>
      <c r="R11" s="913">
        <f>Q11/(1+'Major Assumption Key'!$B$9)^($F11-'Major Assumption Key'!$B$7)</f>
        <v>0</v>
      </c>
      <c r="S11" s="656">
        <f t="shared" si="0"/>
        <v>0</v>
      </c>
      <c r="T11" s="38">
        <f t="shared" si="9"/>
        <v>0</v>
      </c>
      <c r="V11" s="784">
        <f t="shared" si="10"/>
        <v>0</v>
      </c>
      <c r="W11" s="855">
        <f t="shared" si="11"/>
        <v>0</v>
      </c>
      <c r="X11" s="26">
        <f t="shared" si="12"/>
        <v>0</v>
      </c>
      <c r="Y11" s="38">
        <f t="shared" si="13"/>
        <v>0</v>
      </c>
    </row>
    <row r="12" spans="1:25" ht="18">
      <c r="A12" s="1892" t="s">
        <v>12</v>
      </c>
      <c r="B12" s="1892"/>
      <c r="C12" s="49">
        <f>'BCA Summary'!$H$8</f>
        <v>236636.98382712901</v>
      </c>
      <c r="D12" s="49">
        <f>'BCA Summary'!$I$8</f>
        <v>-6930297.4454113934</v>
      </c>
      <c r="E12" s="129"/>
      <c r="F12" s="906">
        <f>'Major Assumption Key'!$A24</f>
        <v>2025</v>
      </c>
      <c r="G12" s="907">
        <f>_xlfn.XLOOKUP(F12,'VMT Reduction Supporting'!$A:$A,'VMT Reduction Supporting'!$H:$H,,0)</f>
        <v>123022.18919083702</v>
      </c>
      <c r="H12" s="908">
        <f t="shared" si="1"/>
        <v>0</v>
      </c>
      <c r="I12" s="908">
        <f t="shared" si="2"/>
        <v>0</v>
      </c>
      <c r="J12" s="784">
        <f t="shared" si="3"/>
        <v>0</v>
      </c>
      <c r="K12" s="907">
        <f>_xlfn.XLOOKUP(F12,'VMT Reduction Supporting'!$A:$A,'VMT Reduction Supporting'!$I:$I,,0)</f>
        <v>143135.09898041579</v>
      </c>
      <c r="L12" s="908">
        <f t="shared" si="4"/>
        <v>0</v>
      </c>
      <c r="M12" s="908">
        <f t="shared" si="5"/>
        <v>0</v>
      </c>
      <c r="N12" s="909">
        <f t="shared" si="6"/>
        <v>0</v>
      </c>
      <c r="O12" s="910">
        <f t="shared" si="7"/>
        <v>0</v>
      </c>
      <c r="P12" s="911">
        <f>O12/(1+'Major Assumption Key'!$B$8)^($F12-'Major Assumption Key'!$B$7)</f>
        <v>0</v>
      </c>
      <c r="Q12" s="912">
        <f t="shared" si="8"/>
        <v>0</v>
      </c>
      <c r="R12" s="913">
        <f>Q12/(1+'Major Assumption Key'!$B$9)^($F12-'Major Assumption Key'!$B$7)</f>
        <v>0</v>
      </c>
      <c r="S12" s="656">
        <f t="shared" si="0"/>
        <v>0</v>
      </c>
      <c r="T12" s="38">
        <f t="shared" si="9"/>
        <v>0</v>
      </c>
      <c r="V12" s="784">
        <f t="shared" si="10"/>
        <v>0</v>
      </c>
      <c r="W12" s="855">
        <f t="shared" si="11"/>
        <v>0</v>
      </c>
      <c r="X12" s="26">
        <f t="shared" si="12"/>
        <v>0</v>
      </c>
      <c r="Y12" s="38">
        <f t="shared" si="13"/>
        <v>0</v>
      </c>
    </row>
    <row r="13" spans="1:25">
      <c r="E13" s="129"/>
      <c r="F13" s="906">
        <f>'Major Assumption Key'!$A25</f>
        <v>2026</v>
      </c>
      <c r="G13" s="907">
        <f>_xlfn.XLOOKUP(F13,'VMT Reduction Supporting'!$A:$A,'VMT Reduction Supporting'!$H:$H,,0)</f>
        <v>123769.13996770862</v>
      </c>
      <c r="H13" s="908">
        <f t="shared" si="1"/>
        <v>0</v>
      </c>
      <c r="I13" s="908">
        <f t="shared" si="2"/>
        <v>0</v>
      </c>
      <c r="J13" s="784">
        <f t="shared" si="3"/>
        <v>0</v>
      </c>
      <c r="K13" s="907">
        <f>_xlfn.XLOOKUP(F13,'VMT Reduction Supporting'!$A:$A,'VMT Reduction Supporting'!$I:$I,,0)</f>
        <v>144178.48598984111</v>
      </c>
      <c r="L13" s="908">
        <f t="shared" si="4"/>
        <v>0</v>
      </c>
      <c r="M13" s="908">
        <f t="shared" si="5"/>
        <v>0</v>
      </c>
      <c r="N13" s="909">
        <f t="shared" si="6"/>
        <v>0</v>
      </c>
      <c r="O13" s="910">
        <f t="shared" si="7"/>
        <v>0</v>
      </c>
      <c r="P13" s="911">
        <f>O13/(1+'Major Assumption Key'!$B$8)^($F13-'Major Assumption Key'!$B$7)</f>
        <v>0</v>
      </c>
      <c r="Q13" s="912">
        <f t="shared" si="8"/>
        <v>0</v>
      </c>
      <c r="R13" s="913">
        <f>Q13/(1+'Major Assumption Key'!$B$9)^($F13-'Major Assumption Key'!$B$7)</f>
        <v>0</v>
      </c>
      <c r="S13" s="656">
        <f t="shared" si="0"/>
        <v>0</v>
      </c>
      <c r="T13" s="38">
        <f t="shared" si="9"/>
        <v>0</v>
      </c>
      <c r="V13" s="784">
        <f t="shared" si="10"/>
        <v>0</v>
      </c>
      <c r="W13" s="855">
        <f t="shared" si="11"/>
        <v>0</v>
      </c>
      <c r="X13" s="26">
        <f t="shared" si="12"/>
        <v>0</v>
      </c>
      <c r="Y13" s="38">
        <f t="shared" si="13"/>
        <v>0</v>
      </c>
    </row>
    <row r="14" spans="1:25" ht="15" thickBot="1">
      <c r="E14" s="129"/>
      <c r="F14" s="906">
        <f>'Major Assumption Key'!$A26</f>
        <v>2027</v>
      </c>
      <c r="G14" s="907">
        <f>_xlfn.XLOOKUP(F14,'VMT Reduction Supporting'!$A:$A,'VMT Reduction Supporting'!$H:$H,,0)</f>
        <v>124522.93708072639</v>
      </c>
      <c r="H14" s="908">
        <f t="shared" si="1"/>
        <v>0</v>
      </c>
      <c r="I14" s="908">
        <f t="shared" si="2"/>
        <v>0</v>
      </c>
      <c r="J14" s="784">
        <f t="shared" si="3"/>
        <v>0</v>
      </c>
      <c r="K14" s="907">
        <f>_xlfn.XLOOKUP(F14,'VMT Reduction Supporting'!$A:$A,'VMT Reduction Supporting'!$I:$I,,0)</f>
        <v>145233.08839194837</v>
      </c>
      <c r="L14" s="908">
        <f t="shared" si="4"/>
        <v>0</v>
      </c>
      <c r="M14" s="908">
        <f t="shared" si="5"/>
        <v>0</v>
      </c>
      <c r="N14" s="909">
        <f t="shared" si="6"/>
        <v>0</v>
      </c>
      <c r="O14" s="910">
        <f t="shared" si="7"/>
        <v>0</v>
      </c>
      <c r="P14" s="911">
        <f>O14/(1+'Major Assumption Key'!$B$8)^($F14-'Major Assumption Key'!$B$7)</f>
        <v>0</v>
      </c>
      <c r="Q14" s="912">
        <f t="shared" si="8"/>
        <v>0</v>
      </c>
      <c r="R14" s="913">
        <f>Q14/(1+'Major Assumption Key'!$B$9)^($F14-'Major Assumption Key'!$B$7)</f>
        <v>0</v>
      </c>
      <c r="S14" s="656">
        <f t="shared" si="0"/>
        <v>0</v>
      </c>
      <c r="T14" s="38">
        <f t="shared" si="9"/>
        <v>0</v>
      </c>
      <c r="V14" s="784">
        <f t="shared" si="10"/>
        <v>0</v>
      </c>
      <c r="W14" s="855">
        <f t="shared" si="11"/>
        <v>0</v>
      </c>
      <c r="X14" s="26">
        <f t="shared" si="12"/>
        <v>0</v>
      </c>
      <c r="Y14" s="38">
        <f t="shared" si="13"/>
        <v>0</v>
      </c>
    </row>
    <row r="15" spans="1:25">
      <c r="A15" s="377" t="s">
        <v>433</v>
      </c>
      <c r="B15" s="390" t="s">
        <v>434</v>
      </c>
      <c r="C15" s="2076" t="s">
        <v>498</v>
      </c>
      <c r="D15" s="2077"/>
      <c r="E15" s="129"/>
      <c r="F15" s="906">
        <f>'Major Assumption Key'!$A27</f>
        <v>2028</v>
      </c>
      <c r="G15" s="907">
        <f>_xlfn.XLOOKUP(F15,'VMT Reduction Supporting'!$A:$A,'VMT Reduction Supporting'!$H:$H,,0)</f>
        <v>125283.66518371837</v>
      </c>
      <c r="H15" s="908">
        <f t="shared" si="1"/>
        <v>0</v>
      </c>
      <c r="I15" s="908">
        <f t="shared" si="2"/>
        <v>0</v>
      </c>
      <c r="J15" s="784">
        <f t="shared" si="3"/>
        <v>0</v>
      </c>
      <c r="K15" s="907">
        <f>_xlfn.XLOOKUP(F15,'VMT Reduction Supporting'!$A:$A,'VMT Reduction Supporting'!$I:$I,,0)</f>
        <v>159505.23113989137</v>
      </c>
      <c r="L15" s="908">
        <f t="shared" si="4"/>
        <v>0</v>
      </c>
      <c r="M15" s="908">
        <f t="shared" si="5"/>
        <v>0</v>
      </c>
      <c r="N15" s="909">
        <f t="shared" si="6"/>
        <v>0</v>
      </c>
      <c r="O15" s="910">
        <f t="shared" si="7"/>
        <v>0</v>
      </c>
      <c r="P15" s="911">
        <f>O15/(1+'Major Assumption Key'!$B$8)^($F15-'Major Assumption Key'!$B$7)</f>
        <v>0</v>
      </c>
      <c r="Q15" s="912">
        <f t="shared" si="8"/>
        <v>0</v>
      </c>
      <c r="R15" s="913">
        <f>Q15/(1+'Major Assumption Key'!$B$9)^($F15-'Major Assumption Key'!$B$7)</f>
        <v>0</v>
      </c>
      <c r="S15" s="656">
        <f t="shared" si="0"/>
        <v>0</v>
      </c>
      <c r="T15" s="38">
        <f t="shared" si="9"/>
        <v>0</v>
      </c>
      <c r="V15" s="784">
        <f t="shared" si="10"/>
        <v>0</v>
      </c>
      <c r="W15" s="855">
        <f t="shared" si="11"/>
        <v>0</v>
      </c>
      <c r="X15" s="26">
        <f t="shared" si="12"/>
        <v>0</v>
      </c>
      <c r="Y15" s="38">
        <f t="shared" si="13"/>
        <v>0</v>
      </c>
    </row>
    <row r="16" spans="1:25">
      <c r="A16" s="768" t="str">
        <f>'Major Assumption Key'!$A$3</f>
        <v>Project Open Year:</v>
      </c>
      <c r="B16" s="777">
        <f>'Major Assumption Key'!$B$3</f>
        <v>2028</v>
      </c>
      <c r="C16" s="767" t="s">
        <v>436</v>
      </c>
      <c r="D16" s="547"/>
      <c r="E16" s="129"/>
      <c r="F16" s="906">
        <f>'Major Assumption Key'!$A28</f>
        <v>2029</v>
      </c>
      <c r="G16" s="907">
        <f>_xlfn.XLOOKUP(F16,'VMT Reduction Supporting'!$A:$A,'VMT Reduction Supporting'!$H:$H,,0)</f>
        <v>126051.4101147436</v>
      </c>
      <c r="H16" s="908">
        <f t="shared" si="1"/>
        <v>0</v>
      </c>
      <c r="I16" s="908">
        <f t="shared" si="2"/>
        <v>0</v>
      </c>
      <c r="J16" s="784">
        <f t="shared" si="3"/>
        <v>0</v>
      </c>
      <c r="K16" s="907">
        <f>_xlfn.XLOOKUP(F16,'VMT Reduction Supporting'!$A:$A,'VMT Reduction Supporting'!$I:$I,,0)</f>
        <v>160633.28849167028</v>
      </c>
      <c r="L16" s="908">
        <f t="shared" si="4"/>
        <v>0</v>
      </c>
      <c r="M16" s="908">
        <f t="shared" si="5"/>
        <v>0</v>
      </c>
      <c r="N16" s="909">
        <f t="shared" si="6"/>
        <v>0</v>
      </c>
      <c r="O16" s="910">
        <f t="shared" si="7"/>
        <v>0</v>
      </c>
      <c r="P16" s="911">
        <f>O16/(1+'Major Assumption Key'!$B$8)^($F16-'Major Assumption Key'!$B$7)</f>
        <v>0</v>
      </c>
      <c r="Q16" s="912">
        <f t="shared" si="8"/>
        <v>0</v>
      </c>
      <c r="R16" s="913">
        <f>Q16/(1+'Major Assumption Key'!$B$9)^($F16-'Major Assumption Key'!$B$7)</f>
        <v>0</v>
      </c>
      <c r="S16" s="656">
        <f t="shared" si="0"/>
        <v>0</v>
      </c>
      <c r="T16" s="38">
        <f t="shared" si="9"/>
        <v>0</v>
      </c>
      <c r="V16" s="784">
        <f t="shared" si="10"/>
        <v>0</v>
      </c>
      <c r="W16" s="855">
        <f t="shared" si="11"/>
        <v>0</v>
      </c>
      <c r="X16" s="26">
        <f t="shared" si="12"/>
        <v>0</v>
      </c>
      <c r="Y16" s="38">
        <f t="shared" si="13"/>
        <v>0</v>
      </c>
    </row>
    <row r="17" spans="1:25">
      <c r="A17" s="768" t="str">
        <f>'Major Assumption Key'!$A$4</f>
        <v>Planning Horizon Begin Year:</v>
      </c>
      <c r="B17" s="777">
        <f>'Major Assumption Key'!$B$4</f>
        <v>2022</v>
      </c>
      <c r="C17" s="767" t="s">
        <v>436</v>
      </c>
      <c r="D17" s="770"/>
      <c r="E17" s="129"/>
      <c r="F17" s="906">
        <f>'Major Assumption Key'!$A29</f>
        <v>2030</v>
      </c>
      <c r="G17" s="907">
        <f>_xlfn.XLOOKUP(F17,'VMT Reduction Supporting'!$A:$A,'VMT Reduction Supporting'!$H:$H,,0)</f>
        <v>126826.25891329831</v>
      </c>
      <c r="H17" s="908">
        <f t="shared" si="1"/>
        <v>0</v>
      </c>
      <c r="I17" s="908">
        <f t="shared" si="2"/>
        <v>0</v>
      </c>
      <c r="J17" s="784">
        <f t="shared" si="3"/>
        <v>0</v>
      </c>
      <c r="K17" s="907">
        <f>_xlfn.XLOOKUP(F17,'VMT Reduction Supporting'!$A:$A,'VMT Reduction Supporting'!$I:$I,,0)</f>
        <v>161773.21109371149</v>
      </c>
      <c r="L17" s="908">
        <f t="shared" si="4"/>
        <v>0</v>
      </c>
      <c r="M17" s="908">
        <f t="shared" si="5"/>
        <v>0</v>
      </c>
      <c r="N17" s="909">
        <f t="shared" si="6"/>
        <v>0</v>
      </c>
      <c r="O17" s="910">
        <f t="shared" si="7"/>
        <v>0</v>
      </c>
      <c r="P17" s="911">
        <f>O17/(1+'Major Assumption Key'!$B$8)^($F17-'Major Assumption Key'!$B$7)</f>
        <v>0</v>
      </c>
      <c r="Q17" s="912">
        <f t="shared" si="8"/>
        <v>0</v>
      </c>
      <c r="R17" s="913">
        <f>Q17/(1+'Major Assumption Key'!$B$9)^($F17-'Major Assumption Key'!$B$7)</f>
        <v>0</v>
      </c>
      <c r="S17" s="656">
        <f t="shared" si="0"/>
        <v>0</v>
      </c>
      <c r="T17" s="38">
        <f t="shared" si="9"/>
        <v>0</v>
      </c>
      <c r="V17" s="784">
        <f t="shared" si="10"/>
        <v>0</v>
      </c>
      <c r="W17" s="855">
        <f t="shared" si="11"/>
        <v>0</v>
      </c>
      <c r="X17" s="26">
        <f t="shared" si="12"/>
        <v>0</v>
      </c>
      <c r="Y17" s="38">
        <f t="shared" si="13"/>
        <v>0</v>
      </c>
    </row>
    <row r="18" spans="1:25">
      <c r="A18" s="768" t="str">
        <f>'Major Assumption Key'!$A$6</f>
        <v>Planning Horizon End Year:</v>
      </c>
      <c r="B18" s="777">
        <f>'Major Assumption Key'!$B$6</f>
        <v>2047</v>
      </c>
      <c r="C18" s="767" t="s">
        <v>436</v>
      </c>
      <c r="D18" s="770"/>
      <c r="E18" s="129"/>
      <c r="F18" s="906">
        <f>'Major Assumption Key'!$A30</f>
        <v>2031</v>
      </c>
      <c r="G18" s="907">
        <f>_xlfn.XLOOKUP(F18,'VMT Reduction Supporting'!$A:$A,'VMT Reduction Supporting'!$H:$H,,0)</f>
        <v>127608.29983777468</v>
      </c>
      <c r="H18" s="908">
        <f t="shared" si="1"/>
        <v>0</v>
      </c>
      <c r="I18" s="908">
        <f t="shared" si="2"/>
        <v>0</v>
      </c>
      <c r="J18" s="784">
        <f t="shared" si="3"/>
        <v>0</v>
      </c>
      <c r="K18" s="907">
        <f>_xlfn.XLOOKUP(F18,'VMT Reduction Supporting'!$A:$A,'VMT Reduction Supporting'!$I:$I,,0)</f>
        <v>162925.15525253135</v>
      </c>
      <c r="L18" s="908">
        <f t="shared" si="4"/>
        <v>0</v>
      </c>
      <c r="M18" s="908">
        <f t="shared" si="5"/>
        <v>0</v>
      </c>
      <c r="N18" s="909">
        <f t="shared" si="6"/>
        <v>0</v>
      </c>
      <c r="O18" s="910">
        <f t="shared" si="7"/>
        <v>0</v>
      </c>
      <c r="P18" s="911">
        <f>O18/(1+'Major Assumption Key'!$B$8)^($F18-'Major Assumption Key'!$B$7)</f>
        <v>0</v>
      </c>
      <c r="Q18" s="912">
        <f t="shared" si="8"/>
        <v>0</v>
      </c>
      <c r="R18" s="913">
        <f>Q18/(1+'Major Assumption Key'!$B$9)^($F18-'Major Assumption Key'!$B$7)</f>
        <v>0</v>
      </c>
      <c r="S18" s="656">
        <f t="shared" si="0"/>
        <v>0</v>
      </c>
      <c r="T18" s="38">
        <f t="shared" si="9"/>
        <v>0</v>
      </c>
      <c r="V18" s="784">
        <f t="shared" si="10"/>
        <v>0</v>
      </c>
      <c r="W18" s="855">
        <f t="shared" si="11"/>
        <v>0</v>
      </c>
      <c r="X18" s="26">
        <f t="shared" si="12"/>
        <v>0</v>
      </c>
      <c r="Y18" s="38">
        <f t="shared" si="13"/>
        <v>0</v>
      </c>
    </row>
    <row r="19" spans="1:25">
      <c r="A19" s="768" t="s">
        <v>7128</v>
      </c>
      <c r="B19" s="856">
        <v>260</v>
      </c>
      <c r="C19" s="914"/>
      <c r="D19" s="915"/>
      <c r="E19" s="129"/>
      <c r="F19" s="906">
        <f>'Major Assumption Key'!$A31</f>
        <v>2032</v>
      </c>
      <c r="G19" s="907">
        <f>_xlfn.XLOOKUP(F19,'VMT Reduction Supporting'!$A:$A,'VMT Reduction Supporting'!$H:$H,,0)</f>
        <v>128397.62238317609</v>
      </c>
      <c r="H19" s="908">
        <f t="shared" si="1"/>
        <v>0</v>
      </c>
      <c r="I19" s="908">
        <f t="shared" si="2"/>
        <v>0</v>
      </c>
      <c r="J19" s="784">
        <f t="shared" si="3"/>
        <v>0</v>
      </c>
      <c r="K19" s="907">
        <f>_xlfn.XLOOKUP(F19,'VMT Reduction Supporting'!$A:$A,'VMT Reduction Supporting'!$I:$I,,0)</f>
        <v>164089.27950590255</v>
      </c>
      <c r="L19" s="908">
        <f t="shared" si="4"/>
        <v>0</v>
      </c>
      <c r="M19" s="908">
        <f t="shared" si="5"/>
        <v>0</v>
      </c>
      <c r="N19" s="909">
        <f t="shared" si="6"/>
        <v>0</v>
      </c>
      <c r="O19" s="910">
        <f t="shared" si="7"/>
        <v>0</v>
      </c>
      <c r="P19" s="911">
        <f>O19/(1+'Major Assumption Key'!$B$8)^($F19-'Major Assumption Key'!$B$7)</f>
        <v>0</v>
      </c>
      <c r="Q19" s="912">
        <f t="shared" si="8"/>
        <v>0</v>
      </c>
      <c r="R19" s="913">
        <f>Q19/(1+'Major Assumption Key'!$B$9)^($F19-'Major Assumption Key'!$B$7)</f>
        <v>0</v>
      </c>
      <c r="S19" s="656">
        <f t="shared" si="0"/>
        <v>0</v>
      </c>
      <c r="T19" s="38">
        <f t="shared" si="9"/>
        <v>0</v>
      </c>
      <c r="V19" s="784">
        <f t="shared" si="10"/>
        <v>0</v>
      </c>
      <c r="W19" s="855">
        <f t="shared" si="11"/>
        <v>0</v>
      </c>
      <c r="X19" s="26">
        <f t="shared" si="12"/>
        <v>0</v>
      </c>
      <c r="Y19" s="38">
        <f t="shared" si="13"/>
        <v>0</v>
      </c>
    </row>
    <row r="20" spans="1:25">
      <c r="A20" s="916" t="s">
        <v>7163</v>
      </c>
      <c r="B20" s="917">
        <f>_xlfn.XLOOKUP(B16,'VMT Reduction Supporting'!A:A,'VMT Reduction Supporting'!I:I,,0)</f>
        <v>159505.23113989137</v>
      </c>
      <c r="C20" s="914" t="s">
        <v>7164</v>
      </c>
      <c r="D20" s="915"/>
      <c r="E20" s="129"/>
      <c r="F20" s="906">
        <f>'Major Assumption Key'!$A32</f>
        <v>2033</v>
      </c>
      <c r="G20" s="907">
        <f>_xlfn.XLOOKUP(F20,'VMT Reduction Supporting'!$A:$A,'VMT Reduction Supporting'!$H:$H,,0)</f>
        <v>129194.31729909239</v>
      </c>
      <c r="H20" s="908">
        <f t="shared" si="1"/>
        <v>0</v>
      </c>
      <c r="I20" s="908">
        <f t="shared" si="2"/>
        <v>0</v>
      </c>
      <c r="J20" s="784">
        <f t="shared" si="3"/>
        <v>0</v>
      </c>
      <c r="K20" s="907">
        <f>_xlfn.XLOOKUP(F20,'VMT Reduction Supporting'!$A:$A,'VMT Reduction Supporting'!$I:$I,,0)</f>
        <v>165265.74465545668</v>
      </c>
      <c r="L20" s="908">
        <f t="shared" si="4"/>
        <v>0</v>
      </c>
      <c r="M20" s="908">
        <f t="shared" si="5"/>
        <v>0</v>
      </c>
      <c r="N20" s="909">
        <f t="shared" si="6"/>
        <v>0</v>
      </c>
      <c r="O20" s="910">
        <f t="shared" si="7"/>
        <v>0</v>
      </c>
      <c r="P20" s="911">
        <f>O20/(1+'Major Assumption Key'!$B$8)^($F20-'Major Assumption Key'!$B$7)</f>
        <v>0</v>
      </c>
      <c r="Q20" s="912">
        <f t="shared" si="8"/>
        <v>0</v>
      </c>
      <c r="R20" s="913">
        <f>Q20/(1+'Major Assumption Key'!$B$9)^($F20-'Major Assumption Key'!$B$7)</f>
        <v>0</v>
      </c>
      <c r="S20" s="656">
        <f t="shared" si="0"/>
        <v>0</v>
      </c>
      <c r="T20" s="38">
        <f t="shared" si="9"/>
        <v>0</v>
      </c>
      <c r="V20" s="784">
        <f t="shared" si="10"/>
        <v>0</v>
      </c>
      <c r="W20" s="855">
        <f t="shared" si="11"/>
        <v>0</v>
      </c>
      <c r="X20" s="26">
        <f t="shared" si="12"/>
        <v>0</v>
      </c>
      <c r="Y20" s="38">
        <f t="shared" si="13"/>
        <v>0</v>
      </c>
    </row>
    <row r="21" spans="1:25">
      <c r="A21" s="918" t="s">
        <v>7165</v>
      </c>
      <c r="B21" s="919" t="s">
        <v>408</v>
      </c>
      <c r="C21" s="920" t="s">
        <v>211</v>
      </c>
      <c r="D21" s="548"/>
      <c r="E21" s="129"/>
      <c r="F21" s="906">
        <f>'Major Assumption Key'!$A33</f>
        <v>2034</v>
      </c>
      <c r="G21" s="907">
        <f>_xlfn.XLOOKUP(F21,'VMT Reduction Supporting'!$A:$A,'VMT Reduction Supporting'!$H:$H,,0)</f>
        <v>129998.47660793914</v>
      </c>
      <c r="H21" s="908">
        <f t="shared" si="1"/>
        <v>0</v>
      </c>
      <c r="I21" s="908">
        <f t="shared" si="2"/>
        <v>0</v>
      </c>
      <c r="J21" s="784">
        <f t="shared" si="3"/>
        <v>0</v>
      </c>
      <c r="K21" s="907">
        <f>_xlfn.XLOOKUP(F21,'VMT Reduction Supporting'!$A:$A,'VMT Reduction Supporting'!$I:$I,,0)</f>
        <v>166454.71379976632</v>
      </c>
      <c r="L21" s="908">
        <f t="shared" si="4"/>
        <v>0</v>
      </c>
      <c r="M21" s="908">
        <f t="shared" si="5"/>
        <v>0</v>
      </c>
      <c r="N21" s="909">
        <f t="shared" si="6"/>
        <v>0</v>
      </c>
      <c r="O21" s="910">
        <f t="shared" si="7"/>
        <v>0</v>
      </c>
      <c r="P21" s="911">
        <f>O21/(1+'Major Assumption Key'!$B$8)^($F21-'Major Assumption Key'!$B$7)</f>
        <v>0</v>
      </c>
      <c r="Q21" s="912">
        <f t="shared" si="8"/>
        <v>0</v>
      </c>
      <c r="R21" s="913">
        <f>Q21/(1+'Major Assumption Key'!$B$9)^($F21-'Major Assumption Key'!$B$7)</f>
        <v>0</v>
      </c>
      <c r="S21" s="656">
        <f t="shared" si="0"/>
        <v>0</v>
      </c>
      <c r="T21" s="38">
        <f t="shared" si="9"/>
        <v>0</v>
      </c>
      <c r="V21" s="784">
        <f t="shared" si="10"/>
        <v>0</v>
      </c>
      <c r="W21" s="855">
        <f t="shared" si="11"/>
        <v>0</v>
      </c>
      <c r="X21" s="26">
        <f t="shared" si="12"/>
        <v>0</v>
      </c>
      <c r="Y21" s="38">
        <f t="shared" si="13"/>
        <v>0</v>
      </c>
    </row>
    <row r="22" spans="1:25">
      <c r="A22" s="768" t="s">
        <v>7166</v>
      </c>
      <c r="B22" s="648">
        <f>_xlfn.XLOOKUP($B$21,'BCA Guide - Parameter Values'!$B$243:$B$251,'BCA Guide - Parameter Values'!$C$243:$C$251,,0)</f>
        <v>0.154</v>
      </c>
      <c r="C22" s="920" t="s">
        <v>211</v>
      </c>
      <c r="D22" s="548"/>
      <c r="E22" s="129"/>
      <c r="F22" s="906">
        <f>'Major Assumption Key'!$A34</f>
        <v>2035</v>
      </c>
      <c r="G22" s="907">
        <f>_xlfn.XLOOKUP(F22,'VMT Reduction Supporting'!$A:$A,'VMT Reduction Supporting'!$H:$H,,0)</f>
        <v>130810.19362346479</v>
      </c>
      <c r="H22" s="908">
        <f t="shared" si="1"/>
        <v>0</v>
      </c>
      <c r="I22" s="908">
        <f t="shared" si="2"/>
        <v>0</v>
      </c>
      <c r="J22" s="784">
        <f t="shared" si="3"/>
        <v>0</v>
      </c>
      <c r="K22" s="907">
        <f>_xlfn.XLOOKUP(F22,'VMT Reduction Supporting'!$A:$A,'VMT Reduction Supporting'!$I:$I,,0)</f>
        <v>167656.35236791376</v>
      </c>
      <c r="L22" s="908">
        <f t="shared" si="4"/>
        <v>0</v>
      </c>
      <c r="M22" s="908">
        <f t="shared" si="5"/>
        <v>0</v>
      </c>
      <c r="N22" s="909">
        <f t="shared" si="6"/>
        <v>0</v>
      </c>
      <c r="O22" s="910">
        <f t="shared" si="7"/>
        <v>0</v>
      </c>
      <c r="P22" s="911">
        <f>O22/(1+'Major Assumption Key'!$B$8)^($F22-'Major Assumption Key'!$B$7)</f>
        <v>0</v>
      </c>
      <c r="Q22" s="912">
        <f t="shared" si="8"/>
        <v>0</v>
      </c>
      <c r="R22" s="913">
        <f>Q22/(1+'Major Assumption Key'!$B$9)^($F22-'Major Assumption Key'!$B$7)</f>
        <v>0</v>
      </c>
      <c r="S22" s="656">
        <f t="shared" si="0"/>
        <v>0</v>
      </c>
      <c r="T22" s="38">
        <f t="shared" si="9"/>
        <v>0</v>
      </c>
      <c r="V22" s="784">
        <f t="shared" si="10"/>
        <v>0</v>
      </c>
      <c r="W22" s="855">
        <f t="shared" si="11"/>
        <v>0</v>
      </c>
      <c r="X22" s="26">
        <f t="shared" si="12"/>
        <v>0</v>
      </c>
      <c r="Y22" s="38">
        <f t="shared" si="13"/>
        <v>0</v>
      </c>
    </row>
    <row r="23" spans="1:25">
      <c r="A23" s="768" t="s">
        <v>7167</v>
      </c>
      <c r="B23" s="648">
        <f>_xlfn.XLOOKUP($B$21,'BCA Guide - Parameter Values'!$B$243:$B$251,'BCA Guide - Parameter Values'!$D$243:$D$251,,0)</f>
        <v>5.1000000000000004E-3</v>
      </c>
      <c r="C23" s="649" t="s">
        <v>211</v>
      </c>
      <c r="D23" s="562"/>
      <c r="E23" s="129"/>
      <c r="F23" s="906">
        <f>'Major Assumption Key'!$A35</f>
        <v>2036</v>
      </c>
      <c r="G23" s="907">
        <f>_xlfn.XLOOKUP(F23,'VMT Reduction Supporting'!$A:$A,'VMT Reduction Supporting'!$H:$H,,0)</f>
        <v>131629.56296952936</v>
      </c>
      <c r="H23" s="908">
        <f t="shared" si="1"/>
        <v>0</v>
      </c>
      <c r="I23" s="908">
        <f t="shared" si="2"/>
        <v>0</v>
      </c>
      <c r="J23" s="784">
        <f t="shared" si="3"/>
        <v>0</v>
      </c>
      <c r="K23" s="907">
        <f>_xlfn.XLOOKUP(F23,'VMT Reduction Supporting'!$A:$A,'VMT Reduction Supporting'!$I:$I,,0)</f>
        <v>168870.82815355281</v>
      </c>
      <c r="L23" s="908">
        <f t="shared" si="4"/>
        <v>0</v>
      </c>
      <c r="M23" s="908">
        <f t="shared" si="5"/>
        <v>0</v>
      </c>
      <c r="N23" s="909">
        <f t="shared" si="6"/>
        <v>0</v>
      </c>
      <c r="O23" s="910">
        <f t="shared" si="7"/>
        <v>0</v>
      </c>
      <c r="P23" s="911">
        <f>O23/(1+'Major Assumption Key'!$B$8)^($F23-'Major Assumption Key'!$B$7)</f>
        <v>0</v>
      </c>
      <c r="Q23" s="912">
        <f t="shared" si="8"/>
        <v>0</v>
      </c>
      <c r="R23" s="913">
        <f>Q23/(1+'Major Assumption Key'!$B$9)^($F23-'Major Assumption Key'!$B$7)</f>
        <v>0</v>
      </c>
      <c r="S23" s="656">
        <f t="shared" si="0"/>
        <v>0</v>
      </c>
      <c r="T23" s="38">
        <f t="shared" si="9"/>
        <v>0</v>
      </c>
      <c r="V23" s="784">
        <f t="shared" si="10"/>
        <v>0</v>
      </c>
      <c r="W23" s="855">
        <f t="shared" si="11"/>
        <v>0</v>
      </c>
      <c r="X23" s="26">
        <f t="shared" si="12"/>
        <v>0</v>
      </c>
      <c r="Y23" s="38">
        <f t="shared" si="13"/>
        <v>0</v>
      </c>
    </row>
    <row r="24" spans="1:25">
      <c r="A24" s="768" t="s">
        <v>7168</v>
      </c>
      <c r="B24" s="648">
        <f>_xlfn.XLOOKUP($B$21,'BCA Guide - Parameter Values'!$B$243:$B$251,'BCA Guide - Parameter Values'!$E$243:$E$251,,0)</f>
        <v>1.7000000000000001E-2</v>
      </c>
      <c r="C24" s="649" t="s">
        <v>211</v>
      </c>
      <c r="D24" s="562"/>
      <c r="E24" s="129"/>
      <c r="F24" s="906">
        <f>'Major Assumption Key'!$A36</f>
        <v>2037</v>
      </c>
      <c r="G24" s="907">
        <f>_xlfn.XLOOKUP(F24,'VMT Reduction Supporting'!$A:$A,'VMT Reduction Supporting'!$H:$H,,0)</f>
        <v>132456.68059915933</v>
      </c>
      <c r="H24" s="908">
        <f t="shared" si="1"/>
        <v>0</v>
      </c>
      <c r="I24" s="908">
        <f t="shared" si="2"/>
        <v>0</v>
      </c>
      <c r="J24" s="784">
        <f t="shared" si="3"/>
        <v>0</v>
      </c>
      <c r="K24" s="907">
        <f>_xlfn.XLOOKUP(F24,'VMT Reduction Supporting'!$A:$A,'VMT Reduction Supporting'!$I:$I,,0)</f>
        <v>170098.31134947221</v>
      </c>
      <c r="L24" s="908">
        <f t="shared" si="4"/>
        <v>0</v>
      </c>
      <c r="M24" s="908">
        <f t="shared" si="5"/>
        <v>0</v>
      </c>
      <c r="N24" s="909">
        <f t="shared" si="6"/>
        <v>0</v>
      </c>
      <c r="O24" s="910">
        <f t="shared" si="7"/>
        <v>0</v>
      </c>
      <c r="P24" s="911">
        <f>O24/(1+'Major Assumption Key'!$B$8)^($F24-'Major Assumption Key'!$B$7)</f>
        <v>0</v>
      </c>
      <c r="Q24" s="912">
        <f t="shared" si="8"/>
        <v>0</v>
      </c>
      <c r="R24" s="913">
        <f>Q24/(1+'Major Assumption Key'!$B$9)^($F24-'Major Assumption Key'!$B$7)</f>
        <v>0</v>
      </c>
      <c r="S24" s="656">
        <f t="shared" si="0"/>
        <v>0</v>
      </c>
      <c r="T24" s="38">
        <f t="shared" si="9"/>
        <v>0</v>
      </c>
      <c r="V24" s="784">
        <f t="shared" si="10"/>
        <v>0</v>
      </c>
      <c r="W24" s="855">
        <f t="shared" si="11"/>
        <v>0</v>
      </c>
      <c r="X24" s="26">
        <f t="shared" si="12"/>
        <v>0</v>
      </c>
      <c r="Y24" s="38">
        <f t="shared" si="13"/>
        <v>0</v>
      </c>
    </row>
    <row r="25" spans="1:25">
      <c r="A25" s="768" t="s">
        <v>7169</v>
      </c>
      <c r="B25" s="648" t="str">
        <f>_xlfn.XLOOKUP($B$21,'BCA Guide - Parameter Values'!$B$243:$B$251,'BCA Guide - Parameter Values'!$F$243:$F$251,,0)</f>
        <v>*</v>
      </c>
      <c r="C25" s="2" t="s">
        <v>211</v>
      </c>
      <c r="D25" s="562"/>
      <c r="E25" s="129"/>
      <c r="F25" s="906">
        <f>'Major Assumption Key'!$A37</f>
        <v>2038</v>
      </c>
      <c r="G25" s="907">
        <f>_xlfn.XLOOKUP(F25,'VMT Reduction Supporting'!$A:$A,'VMT Reduction Supporting'!$H:$H,,0)</f>
        <v>133291.64381388196</v>
      </c>
      <c r="H25" s="908">
        <f t="shared" si="1"/>
        <v>0</v>
      </c>
      <c r="I25" s="908">
        <f t="shared" si="2"/>
        <v>0</v>
      </c>
      <c r="J25" s="784">
        <f t="shared" si="3"/>
        <v>0</v>
      </c>
      <c r="K25" s="907">
        <f>_xlfn.XLOOKUP(F25,'VMT Reduction Supporting'!$A:$A,'VMT Reduction Supporting'!$I:$I,,0)</f>
        <v>171338.97458266688</v>
      </c>
      <c r="L25" s="908">
        <f t="shared" si="4"/>
        <v>0</v>
      </c>
      <c r="M25" s="908">
        <f t="shared" si="5"/>
        <v>0</v>
      </c>
      <c r="N25" s="909">
        <f t="shared" si="6"/>
        <v>0</v>
      </c>
      <c r="O25" s="910">
        <f t="shared" si="7"/>
        <v>0</v>
      </c>
      <c r="P25" s="911">
        <f>O25/(1+'Major Assumption Key'!$B$8)^($F25-'Major Assumption Key'!$B$7)</f>
        <v>0</v>
      </c>
      <c r="Q25" s="912">
        <f t="shared" si="8"/>
        <v>0</v>
      </c>
      <c r="R25" s="913">
        <f>Q25/(1+'Major Assumption Key'!$B$9)^($F25-'Major Assumption Key'!$B$7)</f>
        <v>0</v>
      </c>
      <c r="S25" s="656">
        <f t="shared" si="0"/>
        <v>0</v>
      </c>
      <c r="T25" s="38">
        <f t="shared" si="9"/>
        <v>0</v>
      </c>
      <c r="V25" s="784">
        <f t="shared" si="10"/>
        <v>0</v>
      </c>
      <c r="W25" s="855">
        <f t="shared" si="11"/>
        <v>0</v>
      </c>
      <c r="X25" s="26">
        <f t="shared" si="12"/>
        <v>0</v>
      </c>
      <c r="Y25" s="38">
        <f t="shared" si="13"/>
        <v>0</v>
      </c>
    </row>
    <row r="26" spans="1:25" ht="15" thickBot="1">
      <c r="A26" s="779" t="s">
        <v>7170</v>
      </c>
      <c r="B26" s="650" t="str">
        <f>_xlfn.XLOOKUP($B$21,'BCA Guide - Parameter Values'!$B$243:$B$251,'BCA Guide - Parameter Values'!$G$243:$G$251,,0)</f>
        <v>*</v>
      </c>
      <c r="C26" s="364" t="s">
        <v>211</v>
      </c>
      <c r="D26" s="564"/>
      <c r="E26" s="129"/>
      <c r="F26" s="906">
        <f>'Major Assumption Key'!$A38</f>
        <v>2039</v>
      </c>
      <c r="G26" s="907">
        <f>_xlfn.XLOOKUP(F26,'VMT Reduction Supporting'!$A:$A,'VMT Reduction Supporting'!$H:$H,,0)</f>
        <v>134134.55128334393</v>
      </c>
      <c r="H26" s="908">
        <f t="shared" si="1"/>
        <v>0</v>
      </c>
      <c r="I26" s="908">
        <f t="shared" si="2"/>
        <v>0</v>
      </c>
      <c r="J26" s="784">
        <f t="shared" si="3"/>
        <v>0</v>
      </c>
      <c r="K26" s="907">
        <f>_xlfn.XLOOKUP(F26,'VMT Reduction Supporting'!$A:$A,'VMT Reduction Supporting'!$I:$I,,0)</f>
        <v>172592.9929499249</v>
      </c>
      <c r="L26" s="908">
        <f t="shared" si="4"/>
        <v>0</v>
      </c>
      <c r="M26" s="908">
        <f t="shared" si="5"/>
        <v>0</v>
      </c>
      <c r="N26" s="909">
        <f t="shared" si="6"/>
        <v>0</v>
      </c>
      <c r="O26" s="910">
        <f t="shared" si="7"/>
        <v>0</v>
      </c>
      <c r="P26" s="911">
        <f>O26/(1+'Major Assumption Key'!$B$8)^($F26-'Major Assumption Key'!$B$7)</f>
        <v>0</v>
      </c>
      <c r="Q26" s="912">
        <f t="shared" si="8"/>
        <v>0</v>
      </c>
      <c r="R26" s="913">
        <f>Q26/(1+'Major Assumption Key'!$B$9)^($F26-'Major Assumption Key'!$B$7)</f>
        <v>0</v>
      </c>
      <c r="S26" s="656">
        <f t="shared" si="0"/>
        <v>0</v>
      </c>
      <c r="T26" s="38">
        <f t="shared" si="9"/>
        <v>0</v>
      </c>
      <c r="V26" s="784">
        <f t="shared" si="10"/>
        <v>0</v>
      </c>
      <c r="W26" s="855">
        <f t="shared" si="11"/>
        <v>0</v>
      </c>
      <c r="X26" s="26">
        <f t="shared" si="12"/>
        <v>0</v>
      </c>
      <c r="Y26" s="38">
        <f t="shared" si="13"/>
        <v>0</v>
      </c>
    </row>
    <row r="27" spans="1:25">
      <c r="E27" s="129"/>
      <c r="F27" s="906">
        <f>'Major Assumption Key'!$A39</f>
        <v>2040</v>
      </c>
      <c r="G27" s="907">
        <f>_xlfn.XLOOKUP(F27,'VMT Reduction Supporting'!$A:$A,'VMT Reduction Supporting'!$H:$H,,0)</f>
        <v>134985.50306521778</v>
      </c>
      <c r="H27" s="908">
        <f t="shared" si="1"/>
        <v>0</v>
      </c>
      <c r="I27" s="908">
        <f t="shared" si="2"/>
        <v>0</v>
      </c>
      <c r="J27" s="784">
        <f t="shared" si="3"/>
        <v>0</v>
      </c>
      <c r="K27" s="907">
        <f>_xlfn.XLOOKUP(F27,'VMT Reduction Supporting'!$A:$A,'VMT Reduction Supporting'!$I:$I,,0)</f>
        <v>173860.54405393836</v>
      </c>
      <c r="L27" s="908">
        <f t="shared" si="4"/>
        <v>0</v>
      </c>
      <c r="M27" s="908">
        <f t="shared" si="5"/>
        <v>0</v>
      </c>
      <c r="N27" s="909">
        <f t="shared" si="6"/>
        <v>0</v>
      </c>
      <c r="O27" s="910">
        <f t="shared" si="7"/>
        <v>0</v>
      </c>
      <c r="P27" s="911">
        <f>O27/(1+'Major Assumption Key'!$B$8)^($F27-'Major Assumption Key'!$B$7)</f>
        <v>0</v>
      </c>
      <c r="Q27" s="912">
        <f t="shared" si="8"/>
        <v>0</v>
      </c>
      <c r="R27" s="913">
        <f>Q27/(1+'Major Assumption Key'!$B$9)^($F27-'Major Assumption Key'!$B$7)</f>
        <v>0</v>
      </c>
      <c r="S27" s="656">
        <f t="shared" si="0"/>
        <v>0</v>
      </c>
      <c r="T27" s="38">
        <f t="shared" si="9"/>
        <v>0</v>
      </c>
      <c r="V27" s="784">
        <f t="shared" si="10"/>
        <v>0</v>
      </c>
      <c r="W27" s="855">
        <f t="shared" si="11"/>
        <v>0</v>
      </c>
      <c r="X27" s="26">
        <f t="shared" si="12"/>
        <v>0</v>
      </c>
      <c r="Y27" s="38">
        <f t="shared" si="13"/>
        <v>0</v>
      </c>
    </row>
    <row r="28" spans="1:25">
      <c r="E28" s="129"/>
      <c r="F28" s="906">
        <f>'Major Assumption Key'!$A40</f>
        <v>2041</v>
      </c>
      <c r="G28" s="907">
        <f>_xlfn.XLOOKUP(F28,'VMT Reduction Supporting'!$A:$A,'VMT Reduction Supporting'!$H:$H,,0)</f>
        <v>135844.60062540101</v>
      </c>
      <c r="H28" s="908">
        <f t="shared" si="1"/>
        <v>0</v>
      </c>
      <c r="I28" s="908">
        <f t="shared" si="2"/>
        <v>0</v>
      </c>
      <c r="J28" s="784">
        <f t="shared" si="3"/>
        <v>0</v>
      </c>
      <c r="K28" s="907">
        <f>_xlfn.XLOOKUP(F28,'VMT Reduction Supporting'!$A:$A,'VMT Reduction Supporting'!$I:$I,,0)</f>
        <v>175141.80803994476</v>
      </c>
      <c r="L28" s="908">
        <f t="shared" si="4"/>
        <v>0</v>
      </c>
      <c r="M28" s="908">
        <f t="shared" si="5"/>
        <v>0</v>
      </c>
      <c r="N28" s="909">
        <f t="shared" si="6"/>
        <v>0</v>
      </c>
      <c r="O28" s="910">
        <f t="shared" si="7"/>
        <v>0</v>
      </c>
      <c r="P28" s="911">
        <f>O28/(1+'Major Assumption Key'!$B$8)^($F28-'Major Assumption Key'!$B$7)</f>
        <v>0</v>
      </c>
      <c r="Q28" s="912">
        <f t="shared" si="8"/>
        <v>0</v>
      </c>
      <c r="R28" s="913">
        <f>Q28/(1+'Major Assumption Key'!$B$9)^($F28-'Major Assumption Key'!$B$7)</f>
        <v>0</v>
      </c>
      <c r="S28" s="656">
        <f t="shared" si="0"/>
        <v>0</v>
      </c>
      <c r="T28" s="38">
        <f t="shared" si="9"/>
        <v>0</v>
      </c>
      <c r="V28" s="784">
        <f t="shared" si="10"/>
        <v>0</v>
      </c>
      <c r="W28" s="855">
        <f t="shared" si="11"/>
        <v>0</v>
      </c>
      <c r="X28" s="26">
        <f t="shared" si="12"/>
        <v>0</v>
      </c>
      <c r="Y28" s="38">
        <f t="shared" si="13"/>
        <v>0</v>
      </c>
    </row>
    <row r="29" spans="1:25">
      <c r="E29" s="129"/>
      <c r="F29" s="906">
        <f>'Major Assumption Key'!$A41</f>
        <v>2042</v>
      </c>
      <c r="G29" s="907">
        <f>_xlfn.XLOOKUP(F29,'VMT Reduction Supporting'!$A:$A,'VMT Reduction Supporting'!$H:$H,,0)</f>
        <v>136711.94685851183</v>
      </c>
      <c r="H29" s="908">
        <f t="shared" si="1"/>
        <v>0</v>
      </c>
      <c r="I29" s="908">
        <f t="shared" si="2"/>
        <v>0</v>
      </c>
      <c r="J29" s="784">
        <f t="shared" si="3"/>
        <v>0</v>
      </c>
      <c r="K29" s="907">
        <f>_xlfn.XLOOKUP(F29,'VMT Reduction Supporting'!$A:$A,'VMT Reduction Supporting'!$I:$I,,0)</f>
        <v>176436.96763290747</v>
      </c>
      <c r="L29" s="908">
        <f t="shared" si="4"/>
        <v>0</v>
      </c>
      <c r="M29" s="908">
        <f t="shared" si="5"/>
        <v>0</v>
      </c>
      <c r="N29" s="909">
        <f t="shared" si="6"/>
        <v>0</v>
      </c>
      <c r="O29" s="910">
        <f t="shared" si="7"/>
        <v>0</v>
      </c>
      <c r="P29" s="911">
        <f>O29/(1+'Major Assumption Key'!$B$8)^($F29-'Major Assumption Key'!$B$7)</f>
        <v>0</v>
      </c>
      <c r="Q29" s="912">
        <f t="shared" si="8"/>
        <v>0</v>
      </c>
      <c r="R29" s="913">
        <f>Q29/(1+'Major Assumption Key'!$B$9)^($F29-'Major Assumption Key'!$B$7)</f>
        <v>0</v>
      </c>
      <c r="S29" s="656">
        <f t="shared" si="0"/>
        <v>0</v>
      </c>
      <c r="T29" s="38">
        <f t="shared" si="9"/>
        <v>0</v>
      </c>
      <c r="V29" s="784">
        <f t="shared" si="10"/>
        <v>0</v>
      </c>
      <c r="W29" s="855">
        <f t="shared" si="11"/>
        <v>0</v>
      </c>
      <c r="X29" s="26">
        <f t="shared" si="12"/>
        <v>0</v>
      </c>
      <c r="Y29" s="38">
        <f t="shared" si="13"/>
        <v>0</v>
      </c>
    </row>
    <row r="30" spans="1:25">
      <c r="E30" s="129"/>
      <c r="F30" s="906">
        <f>'Major Assumption Key'!$A42</f>
        <v>2043</v>
      </c>
      <c r="G30" s="907">
        <f>_xlfn.XLOOKUP(F30,'VMT Reduction Supporting'!$A:$A,'VMT Reduction Supporting'!$H:$H,,0)</f>
        <v>137587.64610868582</v>
      </c>
      <c r="H30" s="908">
        <f t="shared" si="1"/>
        <v>0</v>
      </c>
      <c r="I30" s="908">
        <f t="shared" si="2"/>
        <v>0</v>
      </c>
      <c r="J30" s="784">
        <f t="shared" si="3"/>
        <v>0</v>
      </c>
      <c r="K30" s="907">
        <f>_xlfn.XLOOKUP(F30,'VMT Reduction Supporting'!$A:$A,'VMT Reduction Supporting'!$I:$I,,0)</f>
        <v>177746.20817524326</v>
      </c>
      <c r="L30" s="908">
        <f t="shared" si="4"/>
        <v>0</v>
      </c>
      <c r="M30" s="908">
        <f t="shared" si="5"/>
        <v>0</v>
      </c>
      <c r="N30" s="909">
        <f t="shared" si="6"/>
        <v>0</v>
      </c>
      <c r="O30" s="910">
        <f t="shared" si="7"/>
        <v>0</v>
      </c>
      <c r="P30" s="911">
        <f>O30/(1+'Major Assumption Key'!$B$8)^($F30-'Major Assumption Key'!$B$7)</f>
        <v>0</v>
      </c>
      <c r="Q30" s="912">
        <f t="shared" si="8"/>
        <v>0</v>
      </c>
      <c r="R30" s="913">
        <f>Q30/(1+'Major Assumption Key'!$B$9)^($F30-'Major Assumption Key'!$B$7)</f>
        <v>0</v>
      </c>
      <c r="S30" s="656">
        <f t="shared" si="0"/>
        <v>0</v>
      </c>
      <c r="T30" s="38">
        <f t="shared" si="9"/>
        <v>0</v>
      </c>
      <c r="V30" s="784">
        <f t="shared" si="10"/>
        <v>0</v>
      </c>
      <c r="W30" s="855">
        <f t="shared" si="11"/>
        <v>0</v>
      </c>
      <c r="X30" s="26">
        <f t="shared" si="12"/>
        <v>0</v>
      </c>
      <c r="Y30" s="38">
        <f t="shared" si="13"/>
        <v>0</v>
      </c>
    </row>
    <row r="31" spans="1:25">
      <c r="E31" s="129"/>
      <c r="F31" s="906">
        <f>'Major Assumption Key'!$A43</f>
        <v>2044</v>
      </c>
      <c r="G31" s="907">
        <f>_xlfn.XLOOKUP(F31,'VMT Reduction Supporting'!$A:$A,'VMT Reduction Supporting'!$H:$H,,0)</f>
        <v>138471.80419067823</v>
      </c>
      <c r="H31" s="908">
        <f t="shared" si="1"/>
        <v>0</v>
      </c>
      <c r="I31" s="908">
        <f t="shared" si="2"/>
        <v>0</v>
      </c>
      <c r="J31" s="784">
        <f t="shared" si="3"/>
        <v>0</v>
      </c>
      <c r="K31" s="907">
        <f>_xlfn.XLOOKUP(F31,'VMT Reduction Supporting'!$A:$A,'VMT Reduction Supporting'!$I:$I,,0)</f>
        <v>179069.71766510437</v>
      </c>
      <c r="L31" s="908">
        <f t="shared" si="4"/>
        <v>0</v>
      </c>
      <c r="M31" s="908">
        <f t="shared" si="5"/>
        <v>0</v>
      </c>
      <c r="N31" s="909">
        <f t="shared" si="6"/>
        <v>0</v>
      </c>
      <c r="O31" s="910">
        <f t="shared" si="7"/>
        <v>0</v>
      </c>
      <c r="P31" s="911">
        <f>O31/(1+'Major Assumption Key'!$B$8)^($F31-'Major Assumption Key'!$B$7)</f>
        <v>0</v>
      </c>
      <c r="Q31" s="912">
        <f t="shared" si="8"/>
        <v>0</v>
      </c>
      <c r="R31" s="913">
        <f>Q31/(1+'Major Assumption Key'!$B$9)^($F31-'Major Assumption Key'!$B$7)</f>
        <v>0</v>
      </c>
      <c r="S31" s="656">
        <f t="shared" si="0"/>
        <v>0</v>
      </c>
      <c r="T31" s="38">
        <f t="shared" si="9"/>
        <v>0</v>
      </c>
      <c r="V31" s="784">
        <f t="shared" si="10"/>
        <v>0</v>
      </c>
      <c r="W31" s="855">
        <f t="shared" si="11"/>
        <v>0</v>
      </c>
      <c r="X31" s="26">
        <f t="shared" si="12"/>
        <v>0</v>
      </c>
      <c r="Y31" s="38">
        <f t="shared" si="13"/>
        <v>0</v>
      </c>
    </row>
    <row r="32" spans="1:25">
      <c r="F32" s="906">
        <f>'Major Assumption Key'!$A44</f>
        <v>2045</v>
      </c>
      <c r="G32" s="907">
        <f>_xlfn.XLOOKUP(F32,'VMT Reduction Supporting'!$A:$A,'VMT Reduction Supporting'!$H:$H,,0)</f>
        <v>139364.52841127635</v>
      </c>
      <c r="H32" s="908">
        <f t="shared" si="1"/>
        <v>0</v>
      </c>
      <c r="I32" s="908">
        <f t="shared" si="2"/>
        <v>0</v>
      </c>
      <c r="J32" s="784">
        <f t="shared" si="3"/>
        <v>0</v>
      </c>
      <c r="K32" s="907">
        <f>_xlfn.XLOOKUP(F32,'VMT Reduction Supporting'!$A:$A,'VMT Reduction Supporting'!$I:$I,,0)</f>
        <v>180407.68679522406</v>
      </c>
      <c r="L32" s="908">
        <f t="shared" si="4"/>
        <v>0</v>
      </c>
      <c r="M32" s="908">
        <f t="shared" si="5"/>
        <v>0</v>
      </c>
      <c r="N32" s="909">
        <f t="shared" si="6"/>
        <v>0</v>
      </c>
      <c r="O32" s="910">
        <f t="shared" si="7"/>
        <v>0</v>
      </c>
      <c r="P32" s="911">
        <f>O32/(1+'Major Assumption Key'!$B$8)^($F32-'Major Assumption Key'!$B$7)</f>
        <v>0</v>
      </c>
      <c r="Q32" s="912">
        <f t="shared" si="8"/>
        <v>0</v>
      </c>
      <c r="R32" s="913">
        <f>Q32/(1+'Major Assumption Key'!$B$9)^($F32-'Major Assumption Key'!$B$7)</f>
        <v>0</v>
      </c>
      <c r="S32" s="656">
        <f t="shared" si="0"/>
        <v>0</v>
      </c>
      <c r="T32" s="38">
        <f t="shared" si="9"/>
        <v>0</v>
      </c>
      <c r="V32" s="784">
        <f t="shared" si="10"/>
        <v>0</v>
      </c>
      <c r="W32" s="855">
        <f t="shared" si="11"/>
        <v>0</v>
      </c>
      <c r="X32" s="26">
        <f t="shared" si="12"/>
        <v>0</v>
      </c>
      <c r="Y32" s="38">
        <f t="shared" si="13"/>
        <v>0</v>
      </c>
    </row>
    <row r="33" spans="6:25">
      <c r="F33" s="906">
        <f>'Major Assumption Key'!$A45</f>
        <v>2046</v>
      </c>
      <c r="G33" s="907">
        <f>_xlfn.XLOOKUP(F33,'VMT Reduction Supporting'!$A:$A,'VMT Reduction Supporting'!$H:$H,,0)</f>
        <v>140265.92759102612</v>
      </c>
      <c r="H33" s="908">
        <f t="shared" si="1"/>
        <v>0</v>
      </c>
      <c r="I33" s="908">
        <f t="shared" si="2"/>
        <v>0</v>
      </c>
      <c r="J33" s="784">
        <f t="shared" si="3"/>
        <v>0</v>
      </c>
      <c r="K33" s="907">
        <f>_xlfn.XLOOKUP(F33,'VMT Reduction Supporting'!$A:$A,'VMT Reduction Supporting'!$I:$I,,0)</f>
        <v>181760.30899233304</v>
      </c>
      <c r="L33" s="908">
        <f t="shared" si="4"/>
        <v>0</v>
      </c>
      <c r="M33" s="908">
        <f t="shared" si="5"/>
        <v>0</v>
      </c>
      <c r="N33" s="909">
        <f t="shared" si="6"/>
        <v>0</v>
      </c>
      <c r="O33" s="910">
        <f t="shared" si="7"/>
        <v>0</v>
      </c>
      <c r="P33" s="911">
        <f>O33/(1+'Major Assumption Key'!$B$8)^($F33-'Major Assumption Key'!$B$7)</f>
        <v>0</v>
      </c>
      <c r="Q33" s="912">
        <f t="shared" si="8"/>
        <v>0</v>
      </c>
      <c r="R33" s="913">
        <f>Q33/(1+'Major Assumption Key'!$B$9)^($F33-'Major Assumption Key'!$B$7)</f>
        <v>0</v>
      </c>
      <c r="S33" s="656">
        <f t="shared" si="0"/>
        <v>0</v>
      </c>
      <c r="T33" s="38">
        <f t="shared" si="9"/>
        <v>0</v>
      </c>
      <c r="V33" s="784">
        <f t="shared" si="10"/>
        <v>0</v>
      </c>
      <c r="W33" s="855">
        <f t="shared" si="11"/>
        <v>0</v>
      </c>
      <c r="X33" s="26">
        <f t="shared" si="12"/>
        <v>0</v>
      </c>
      <c r="Y33" s="38">
        <f t="shared" si="13"/>
        <v>0</v>
      </c>
    </row>
    <row r="34" spans="6:25">
      <c r="F34" s="906">
        <f>'Major Assumption Key'!$A46</f>
        <v>2047</v>
      </c>
      <c r="G34" s="907">
        <f>_xlfn.XLOOKUP(F34,'VMT Reduction Supporting'!$A:$A,'VMT Reduction Supporting'!$H:$H,,0)</f>
        <v>141176.11208627842</v>
      </c>
      <c r="H34" s="908">
        <f t="shared" si="1"/>
        <v>0</v>
      </c>
      <c r="I34" s="908">
        <f t="shared" si="2"/>
        <v>0</v>
      </c>
      <c r="J34" s="784">
        <f t="shared" si="3"/>
        <v>0</v>
      </c>
      <c r="K34" s="907">
        <f>_xlfn.XLOOKUP(F34,'VMT Reduction Supporting'!$A:$A,'VMT Reduction Supporting'!$I:$I,,0)</f>
        <v>183127.78045715619</v>
      </c>
      <c r="L34" s="908">
        <f t="shared" si="4"/>
        <v>0</v>
      </c>
      <c r="M34" s="908">
        <f t="shared" si="5"/>
        <v>0</v>
      </c>
      <c r="N34" s="909">
        <f t="shared" si="6"/>
        <v>0</v>
      </c>
      <c r="O34" s="910">
        <f t="shared" si="7"/>
        <v>0</v>
      </c>
      <c r="P34" s="911">
        <f>O34/(1+'Major Assumption Key'!$B$8)^($F34-'Major Assumption Key'!$B$7)</f>
        <v>0</v>
      </c>
      <c r="Q34" s="912">
        <f t="shared" si="8"/>
        <v>0</v>
      </c>
      <c r="R34" s="913">
        <f>Q34/(1+'Major Assumption Key'!$B$9)^($F34-'Major Assumption Key'!$B$7)</f>
        <v>0</v>
      </c>
      <c r="S34" s="656">
        <f t="shared" si="0"/>
        <v>0</v>
      </c>
      <c r="T34" s="38">
        <f t="shared" si="9"/>
        <v>0</v>
      </c>
      <c r="V34" s="784">
        <f t="shared" si="10"/>
        <v>0</v>
      </c>
      <c r="W34" s="855">
        <f t="shared" si="11"/>
        <v>0</v>
      </c>
      <c r="X34" s="26">
        <f t="shared" si="12"/>
        <v>0</v>
      </c>
      <c r="Y34" s="38">
        <f t="shared" si="13"/>
        <v>0</v>
      </c>
    </row>
    <row r="35" spans="6:25">
      <c r="F35" s="906">
        <f>'Major Assumption Key'!$A47</f>
        <v>2048</v>
      </c>
      <c r="G35" s="907">
        <f>_xlfn.XLOOKUP(F35,'VMT Reduction Supporting'!$A:$A,'VMT Reduction Supporting'!$H:$H,,0)</f>
        <v>142095.19381155868</v>
      </c>
      <c r="H35" s="908">
        <f t="shared" si="1"/>
        <v>0</v>
      </c>
      <c r="I35" s="908">
        <f t="shared" si="2"/>
        <v>0</v>
      </c>
      <c r="J35" s="784">
        <f t="shared" si="3"/>
        <v>0</v>
      </c>
      <c r="K35" s="907">
        <f>_xlfn.XLOOKUP(F35,'VMT Reduction Supporting'!$A:$A,'VMT Reduction Supporting'!$I:$I,,0)</f>
        <v>184510.30020499724</v>
      </c>
      <c r="L35" s="908">
        <f t="shared" si="4"/>
        <v>0</v>
      </c>
      <c r="M35" s="908">
        <f t="shared" si="5"/>
        <v>0</v>
      </c>
      <c r="N35" s="909">
        <f t="shared" si="6"/>
        <v>0</v>
      </c>
      <c r="O35" s="910">
        <f t="shared" si="7"/>
        <v>0</v>
      </c>
      <c r="P35" s="911">
        <f>O35/(1+'Major Assumption Key'!$B$8)^($F35-'Major Assumption Key'!$B$7)</f>
        <v>0</v>
      </c>
      <c r="Q35" s="912">
        <f t="shared" si="8"/>
        <v>0</v>
      </c>
      <c r="R35" s="913">
        <f>Q35/(1+'Major Assumption Key'!$B$9)^($F35-'Major Assumption Key'!$B$7)</f>
        <v>0</v>
      </c>
      <c r="S35" s="656">
        <f t="shared" si="0"/>
        <v>0</v>
      </c>
      <c r="T35" s="38">
        <f t="shared" si="9"/>
        <v>0</v>
      </c>
      <c r="V35" s="784">
        <f t="shared" si="10"/>
        <v>0</v>
      </c>
      <c r="W35" s="855">
        <f t="shared" si="11"/>
        <v>0</v>
      </c>
      <c r="X35" s="26">
        <f t="shared" si="12"/>
        <v>0</v>
      </c>
      <c r="Y35" s="38">
        <f t="shared" si="13"/>
        <v>0</v>
      </c>
    </row>
    <row r="36" spans="6:25">
      <c r="F36" s="906">
        <f>'Major Assumption Key'!$A48</f>
        <v>2049</v>
      </c>
      <c r="G36" s="907">
        <f>_xlfn.XLOOKUP(F36,'VMT Reduction Supporting'!$A:$A,'VMT Reduction Supporting'!$H:$H,,0)</f>
        <v>143023.28626226573</v>
      </c>
      <c r="H36" s="908">
        <f t="shared" si="1"/>
        <v>0</v>
      </c>
      <c r="I36" s="908">
        <f t="shared" si="2"/>
        <v>0</v>
      </c>
      <c r="J36" s="784">
        <f t="shared" si="3"/>
        <v>0</v>
      </c>
      <c r="K36" s="907">
        <f>_xlfn.XLOOKUP(F36,'VMT Reduction Supporting'!$A:$A,'VMT Reduction Supporting'!$I:$I,,0)</f>
        <v>185908.07010692061</v>
      </c>
      <c r="L36" s="908">
        <f t="shared" si="4"/>
        <v>0</v>
      </c>
      <c r="M36" s="908">
        <f t="shared" si="5"/>
        <v>0</v>
      </c>
      <c r="N36" s="909">
        <f t="shared" si="6"/>
        <v>0</v>
      </c>
      <c r="O36" s="910">
        <f t="shared" si="7"/>
        <v>0</v>
      </c>
      <c r="P36" s="911">
        <f>O36/(1+'Major Assumption Key'!$B$8)^($F36-'Major Assumption Key'!$B$7)</f>
        <v>0</v>
      </c>
      <c r="Q36" s="912">
        <f t="shared" si="8"/>
        <v>0</v>
      </c>
      <c r="R36" s="913">
        <f>Q36/(1+'Major Assumption Key'!$B$9)^($F36-'Major Assumption Key'!$B$7)</f>
        <v>0</v>
      </c>
      <c r="S36" s="656">
        <f t="shared" si="0"/>
        <v>0</v>
      </c>
      <c r="T36" s="38">
        <f t="shared" si="9"/>
        <v>0</v>
      </c>
      <c r="V36" s="784">
        <f t="shared" si="10"/>
        <v>0</v>
      </c>
      <c r="W36" s="855">
        <f t="shared" si="11"/>
        <v>0</v>
      </c>
      <c r="X36" s="26">
        <f t="shared" si="12"/>
        <v>0</v>
      </c>
      <c r="Y36" s="38">
        <f t="shared" si="13"/>
        <v>0</v>
      </c>
    </row>
    <row r="37" spans="6:25">
      <c r="F37" s="906">
        <f>'Major Assumption Key'!$A49</f>
        <v>2050</v>
      </c>
      <c r="G37" s="907">
        <f>_xlfn.XLOOKUP(F37,'VMT Reduction Supporting'!$A:$A,'VMT Reduction Supporting'!$H:$H,,0)</f>
        <v>143960.5045377037</v>
      </c>
      <c r="H37" s="908">
        <f t="shared" si="1"/>
        <v>0</v>
      </c>
      <c r="I37" s="908">
        <f t="shared" si="2"/>
        <v>0</v>
      </c>
      <c r="J37" s="784">
        <f t="shared" si="3"/>
        <v>0</v>
      </c>
      <c r="K37" s="907">
        <f>_xlfn.XLOOKUP(F37,'VMT Reduction Supporting'!$A:$A,'VMT Reduction Supporting'!$I:$I,,0)</f>
        <v>187321.29493153901</v>
      </c>
      <c r="L37" s="908">
        <f t="shared" si="4"/>
        <v>0</v>
      </c>
      <c r="M37" s="908">
        <f t="shared" si="5"/>
        <v>0</v>
      </c>
      <c r="N37" s="909">
        <f t="shared" si="6"/>
        <v>0</v>
      </c>
      <c r="O37" s="910">
        <f t="shared" si="7"/>
        <v>0</v>
      </c>
      <c r="P37" s="911">
        <f>O37/(1+'Major Assumption Key'!$B$8)^($F37-'Major Assumption Key'!$B$7)</f>
        <v>0</v>
      </c>
      <c r="Q37" s="912">
        <f t="shared" si="8"/>
        <v>0</v>
      </c>
      <c r="R37" s="913">
        <f>Q37/(1+'Major Assumption Key'!$B$9)^($F37-'Major Assumption Key'!$B$7)</f>
        <v>0</v>
      </c>
      <c r="S37" s="656">
        <f t="shared" si="0"/>
        <v>0</v>
      </c>
      <c r="T37" s="38">
        <f t="shared" si="9"/>
        <v>0</v>
      </c>
      <c r="V37" s="784">
        <f t="shared" si="10"/>
        <v>0</v>
      </c>
      <c r="W37" s="855">
        <f t="shared" si="11"/>
        <v>0</v>
      </c>
      <c r="X37" s="26">
        <f t="shared" si="12"/>
        <v>0</v>
      </c>
      <c r="Y37" s="38">
        <f t="shared" si="13"/>
        <v>0</v>
      </c>
    </row>
    <row r="38" spans="6:25">
      <c r="F38" s="906">
        <f>'Major Assumption Key'!$A50</f>
        <v>2051</v>
      </c>
      <c r="G38" s="907">
        <f>_xlfn.XLOOKUP(F38,'VMT Reduction Supporting'!$A:$A,'VMT Reduction Supporting'!$H:$H,,0)</f>
        <v>144906.96536445263</v>
      </c>
      <c r="H38" s="908">
        <f t="shared" si="1"/>
        <v>0</v>
      </c>
      <c r="I38" s="908">
        <f t="shared" si="2"/>
        <v>0</v>
      </c>
      <c r="J38" s="784">
        <f t="shared" si="3"/>
        <v>0</v>
      </c>
      <c r="K38" s="907">
        <f>_xlfn.XLOOKUP(F38,'VMT Reduction Supporting'!$A:$A,'VMT Reduction Supporting'!$I:$I,,0)</f>
        <v>188750.18238741567</v>
      </c>
      <c r="L38" s="908">
        <f t="shared" si="4"/>
        <v>0</v>
      </c>
      <c r="M38" s="908">
        <f t="shared" si="5"/>
        <v>0</v>
      </c>
      <c r="N38" s="909">
        <f t="shared" si="6"/>
        <v>0</v>
      </c>
      <c r="O38" s="910">
        <f t="shared" si="7"/>
        <v>0</v>
      </c>
      <c r="P38" s="911">
        <f>O38/(1+'Major Assumption Key'!$B$8)^($F38-'Major Assumption Key'!$B$7)</f>
        <v>0</v>
      </c>
      <c r="Q38" s="912">
        <f t="shared" si="8"/>
        <v>0</v>
      </c>
      <c r="R38" s="913">
        <f>Q38/(1+'Major Assumption Key'!$B$9)^($F38-'Major Assumption Key'!$B$7)</f>
        <v>0</v>
      </c>
      <c r="S38" s="656">
        <f t="shared" si="0"/>
        <v>0</v>
      </c>
      <c r="T38" s="38">
        <f t="shared" si="9"/>
        <v>0</v>
      </c>
      <c r="V38" s="784">
        <f t="shared" si="10"/>
        <v>0</v>
      </c>
      <c r="W38" s="855">
        <f t="shared" si="11"/>
        <v>0</v>
      </c>
      <c r="X38" s="26">
        <f t="shared" si="12"/>
        <v>0</v>
      </c>
      <c r="Y38" s="38">
        <f t="shared" si="13"/>
        <v>0</v>
      </c>
    </row>
    <row r="39" spans="6:25">
      <c r="F39" s="906">
        <f>'Major Assumption Key'!$A51</f>
        <v>2052</v>
      </c>
      <c r="G39" s="907">
        <f>_xlfn.XLOOKUP(F39,'VMT Reduction Supporting'!$A:$A,'VMT Reduction Supporting'!$H:$H,,0)</f>
        <v>145862.78712008221</v>
      </c>
      <c r="H39" s="908">
        <f t="shared" si="1"/>
        <v>0</v>
      </c>
      <c r="I39" s="908">
        <f t="shared" si="2"/>
        <v>0</v>
      </c>
      <c r="J39" s="784">
        <f t="shared" si="3"/>
        <v>0</v>
      </c>
      <c r="K39" s="907">
        <f>_xlfn.XLOOKUP(F39,'VMT Reduction Supporting'!$A:$A,'VMT Reduction Supporting'!$I:$I,,0)</f>
        <v>190194.94229471323</v>
      </c>
      <c r="L39" s="908">
        <f t="shared" si="4"/>
        <v>0</v>
      </c>
      <c r="M39" s="908">
        <f t="shared" si="5"/>
        <v>0</v>
      </c>
      <c r="N39" s="909">
        <f t="shared" si="6"/>
        <v>0</v>
      </c>
      <c r="O39" s="910">
        <f t="shared" si="7"/>
        <v>0</v>
      </c>
      <c r="P39" s="911">
        <f>O39/(1+'Major Assumption Key'!$B$8)^($F39-'Major Assumption Key'!$B$7)</f>
        <v>0</v>
      </c>
      <c r="Q39" s="912">
        <f t="shared" si="8"/>
        <v>0</v>
      </c>
      <c r="R39" s="913">
        <f>Q39/(1+'Major Assumption Key'!$B$9)^($F39-'Major Assumption Key'!$B$7)</f>
        <v>0</v>
      </c>
      <c r="S39" s="656">
        <f t="shared" si="0"/>
        <v>0</v>
      </c>
      <c r="T39" s="38">
        <f t="shared" si="9"/>
        <v>0</v>
      </c>
      <c r="V39" s="784">
        <f t="shared" si="10"/>
        <v>0</v>
      </c>
      <c r="W39" s="855">
        <f t="shared" si="11"/>
        <v>0</v>
      </c>
      <c r="X39" s="26">
        <f t="shared" si="12"/>
        <v>0</v>
      </c>
      <c r="Y39" s="38">
        <f t="shared" si="13"/>
        <v>0</v>
      </c>
    </row>
    <row r="40" spans="6:25">
      <c r="F40" s="906">
        <f>'Major Assumption Key'!$A52</f>
        <v>2053</v>
      </c>
      <c r="G40" s="907">
        <f>_xlfn.XLOOKUP(F40,'VMT Reduction Supporting'!$A:$A,'VMT Reduction Supporting'!$H:$H,,0)</f>
        <v>146828.08985721433</v>
      </c>
      <c r="H40" s="908">
        <f t="shared" si="1"/>
        <v>0</v>
      </c>
      <c r="I40" s="908">
        <f t="shared" si="2"/>
        <v>0</v>
      </c>
      <c r="J40" s="784">
        <f t="shared" si="3"/>
        <v>0</v>
      </c>
      <c r="K40" s="907">
        <f>_xlfn.XLOOKUP(F40,'VMT Reduction Supporting'!$A:$A,'VMT Reduction Supporting'!$I:$I,,0)</f>
        <v>191655.78880636528</v>
      </c>
      <c r="L40" s="908">
        <f t="shared" si="4"/>
        <v>0</v>
      </c>
      <c r="M40" s="908">
        <f t="shared" si="5"/>
        <v>0</v>
      </c>
      <c r="N40" s="909">
        <f t="shared" si="6"/>
        <v>0</v>
      </c>
      <c r="O40" s="910">
        <f t="shared" si="7"/>
        <v>0</v>
      </c>
      <c r="P40" s="911">
        <f>O40/(1+'Major Assumption Key'!$B$8)^($F40-'Major Assumption Key'!$B$7)</f>
        <v>0</v>
      </c>
      <c r="Q40" s="912">
        <f t="shared" si="8"/>
        <v>0</v>
      </c>
      <c r="R40" s="913">
        <f>Q40/(1+'Major Assumption Key'!$B$9)^($F40-'Major Assumption Key'!$B$7)</f>
        <v>0</v>
      </c>
      <c r="S40" s="656">
        <f t="shared" si="0"/>
        <v>0</v>
      </c>
      <c r="T40" s="38">
        <f t="shared" si="9"/>
        <v>0</v>
      </c>
      <c r="V40" s="784">
        <f t="shared" si="10"/>
        <v>0</v>
      </c>
      <c r="W40" s="855">
        <f t="shared" si="11"/>
        <v>0</v>
      </c>
      <c r="X40" s="26">
        <f t="shared" si="12"/>
        <v>0</v>
      </c>
      <c r="Y40" s="38">
        <f t="shared" si="13"/>
        <v>0</v>
      </c>
    </row>
    <row r="41" spans="6:25">
      <c r="F41" s="906">
        <f>'Major Assumption Key'!$A53</f>
        <v>2054</v>
      </c>
      <c r="G41" s="907">
        <f>_xlfn.XLOOKUP(F41,'VMT Reduction Supporting'!$A:$A,'VMT Reduction Supporting'!$H:$H,,0)</f>
        <v>147802.9953279389</v>
      </c>
      <c r="H41" s="908">
        <f t="shared" si="1"/>
        <v>0</v>
      </c>
      <c r="I41" s="908">
        <f t="shared" si="2"/>
        <v>0</v>
      </c>
      <c r="J41" s="784">
        <f t="shared" si="3"/>
        <v>0</v>
      </c>
      <c r="K41" s="907">
        <f>_xlfn.XLOOKUP(F41,'VMT Reduction Supporting'!$A:$A,'VMT Reduction Supporting'!$I:$I,,0)</f>
        <v>193132.93862378717</v>
      </c>
      <c r="L41" s="908">
        <f t="shared" si="4"/>
        <v>0</v>
      </c>
      <c r="M41" s="908">
        <f t="shared" si="5"/>
        <v>0</v>
      </c>
      <c r="N41" s="909">
        <f t="shared" si="6"/>
        <v>0</v>
      </c>
      <c r="O41" s="910">
        <f t="shared" si="7"/>
        <v>0</v>
      </c>
      <c r="P41" s="911">
        <f>O41/(1+'Major Assumption Key'!$B$8)^($F41-'Major Assumption Key'!$B$7)</f>
        <v>0</v>
      </c>
      <c r="Q41" s="912">
        <f t="shared" si="8"/>
        <v>0</v>
      </c>
      <c r="R41" s="913">
        <f>Q41/(1+'Major Assumption Key'!$B$9)^($F41-'Major Assumption Key'!$B$7)</f>
        <v>0</v>
      </c>
      <c r="S41" s="656">
        <f t="shared" si="0"/>
        <v>0</v>
      </c>
      <c r="T41" s="38">
        <f t="shared" si="9"/>
        <v>0</v>
      </c>
      <c r="V41" s="784">
        <f t="shared" si="10"/>
        <v>0</v>
      </c>
      <c r="W41" s="855">
        <f t="shared" si="11"/>
        <v>0</v>
      </c>
      <c r="X41" s="26">
        <f t="shared" si="12"/>
        <v>0</v>
      </c>
      <c r="Y41" s="38">
        <f t="shared" si="13"/>
        <v>0</v>
      </c>
    </row>
    <row r="42" spans="6:25">
      <c r="F42" s="906">
        <f>'Major Assumption Key'!$A54</f>
        <v>2055</v>
      </c>
      <c r="G42" s="907">
        <f>_xlfn.XLOOKUP(F42,'VMT Reduction Supporting'!$A:$A,'VMT Reduction Supporting'!$H:$H,,0)</f>
        <v>148787.62700858855</v>
      </c>
      <c r="H42" s="908">
        <f t="shared" si="1"/>
        <v>0</v>
      </c>
      <c r="I42" s="908">
        <f t="shared" si="2"/>
        <v>0</v>
      </c>
      <c r="J42" s="784">
        <f t="shared" si="3"/>
        <v>0</v>
      </c>
      <c r="K42" s="907">
        <f>_xlfn.XLOOKUP(F42,'VMT Reduction Supporting'!$A:$A,'VMT Reduction Supporting'!$I:$I,,0)</f>
        <v>194626.6116513593</v>
      </c>
      <c r="L42" s="908">
        <f t="shared" si="4"/>
        <v>0</v>
      </c>
      <c r="M42" s="908">
        <f t="shared" si="5"/>
        <v>0</v>
      </c>
      <c r="N42" s="909">
        <f t="shared" si="6"/>
        <v>0</v>
      </c>
      <c r="O42" s="910">
        <f t="shared" si="7"/>
        <v>0</v>
      </c>
      <c r="P42" s="911">
        <f>O42/(1+'Major Assumption Key'!$B$8)^($F42-'Major Assumption Key'!$B$7)</f>
        <v>0</v>
      </c>
      <c r="Q42" s="912">
        <f t="shared" si="8"/>
        <v>0</v>
      </c>
      <c r="R42" s="913">
        <f>Q42/(1+'Major Assumption Key'!$B$9)^($F42-'Major Assumption Key'!$B$7)</f>
        <v>0</v>
      </c>
      <c r="S42" s="656">
        <f t="shared" si="0"/>
        <v>0</v>
      </c>
      <c r="T42" s="38">
        <f t="shared" si="9"/>
        <v>0</v>
      </c>
      <c r="V42" s="784">
        <f t="shared" si="10"/>
        <v>0</v>
      </c>
      <c r="W42" s="855">
        <f t="shared" si="11"/>
        <v>0</v>
      </c>
      <c r="X42" s="26">
        <f t="shared" si="12"/>
        <v>0</v>
      </c>
      <c r="Y42" s="38">
        <f t="shared" si="13"/>
        <v>0</v>
      </c>
    </row>
    <row r="43" spans="6:25">
      <c r="F43" s="906">
        <f>'Major Assumption Key'!$A55</f>
        <v>2056</v>
      </c>
      <c r="G43" s="907">
        <f>_xlfn.XLOOKUP(F43,'VMT Reduction Supporting'!$A:$A,'VMT Reduction Supporting'!$H:$H,,0)</f>
        <v>149782.11012487757</v>
      </c>
      <c r="H43" s="908">
        <f t="shared" si="1"/>
        <v>0</v>
      </c>
      <c r="I43" s="908">
        <f t="shared" si="2"/>
        <v>0</v>
      </c>
      <c r="J43" s="784">
        <f t="shared" si="3"/>
        <v>0</v>
      </c>
      <c r="K43" s="907">
        <f>_xlfn.XLOOKUP(F43,'VMT Reduction Supporting'!$A:$A,'VMT Reduction Supporting'!$I:$I,,0)</f>
        <v>196137.03095496562</v>
      </c>
      <c r="L43" s="908">
        <f t="shared" si="4"/>
        <v>0</v>
      </c>
      <c r="M43" s="908">
        <f t="shared" si="5"/>
        <v>0</v>
      </c>
      <c r="N43" s="909">
        <f t="shared" si="6"/>
        <v>0</v>
      </c>
      <c r="O43" s="910">
        <f t="shared" si="7"/>
        <v>0</v>
      </c>
      <c r="P43" s="911">
        <f>O43/(1+'Major Assumption Key'!$B$8)^($F43-'Major Assumption Key'!$B$7)</f>
        <v>0</v>
      </c>
      <c r="Q43" s="912">
        <f t="shared" si="8"/>
        <v>0</v>
      </c>
      <c r="R43" s="913">
        <f>Q43/(1+'Major Assumption Key'!$B$9)^($F43-'Major Assumption Key'!$B$7)</f>
        <v>0</v>
      </c>
      <c r="S43" s="656">
        <f t="shared" si="0"/>
        <v>0</v>
      </c>
      <c r="T43" s="38">
        <f t="shared" si="9"/>
        <v>0</v>
      </c>
      <c r="V43" s="784">
        <f t="shared" si="10"/>
        <v>0</v>
      </c>
      <c r="W43" s="855">
        <f t="shared" si="11"/>
        <v>0</v>
      </c>
      <c r="X43" s="26">
        <f t="shared" si="12"/>
        <v>0</v>
      </c>
      <c r="Y43" s="38">
        <f t="shared" si="13"/>
        <v>0</v>
      </c>
    </row>
    <row r="44" spans="6:25">
      <c r="F44" s="906">
        <f>'Major Assumption Key'!$A56</f>
        <v>2057</v>
      </c>
      <c r="G44" s="907">
        <f>_xlfn.XLOOKUP(F44,'VMT Reduction Supporting'!$A:$A,'VMT Reduction Supporting'!$H:$H,,0)</f>
        <v>150786.57167741001</v>
      </c>
      <c r="H44" s="908">
        <f t="shared" si="1"/>
        <v>0</v>
      </c>
      <c r="I44" s="908">
        <f t="shared" si="2"/>
        <v>0</v>
      </c>
      <c r="J44" s="784">
        <f t="shared" si="3"/>
        <v>0</v>
      </c>
      <c r="K44" s="907">
        <f>_xlfn.XLOOKUP(F44,'VMT Reduction Supporting'!$A:$A,'VMT Reduction Supporting'!$I:$I,,0)</f>
        <v>197664.4228082792</v>
      </c>
      <c r="L44" s="908">
        <f t="shared" si="4"/>
        <v>0</v>
      </c>
      <c r="M44" s="908">
        <f t="shared" si="5"/>
        <v>0</v>
      </c>
      <c r="N44" s="909">
        <f t="shared" si="6"/>
        <v>0</v>
      </c>
      <c r="O44" s="910">
        <f t="shared" si="7"/>
        <v>0</v>
      </c>
      <c r="P44" s="911">
        <f>O44/(1+'Major Assumption Key'!$B$8)^($F44-'Major Assumption Key'!$B$7)</f>
        <v>0</v>
      </c>
      <c r="Q44" s="912">
        <f t="shared" si="8"/>
        <v>0</v>
      </c>
      <c r="R44" s="913">
        <f>Q44/(1+'Major Assumption Key'!$B$9)^($F44-'Major Assumption Key'!$B$7)</f>
        <v>0</v>
      </c>
      <c r="S44" s="656">
        <f t="shared" si="0"/>
        <v>0</v>
      </c>
      <c r="T44" s="38">
        <f t="shared" si="9"/>
        <v>0</v>
      </c>
      <c r="V44" s="784">
        <f t="shared" si="10"/>
        <v>0</v>
      </c>
      <c r="W44" s="855">
        <f t="shared" si="11"/>
        <v>0</v>
      </c>
      <c r="X44" s="26">
        <f t="shared" si="12"/>
        <v>0</v>
      </c>
      <c r="Y44" s="38">
        <f t="shared" si="13"/>
        <v>0</v>
      </c>
    </row>
    <row r="45" spans="6:25">
      <c r="F45" s="906">
        <f>'Major Assumption Key'!$A57</f>
        <v>2058</v>
      </c>
      <c r="G45" s="907">
        <f>_xlfn.XLOOKUP(F45,'VMT Reduction Supporting'!$A:$A,'VMT Reduction Supporting'!$H:$H,,0)</f>
        <v>151801.14046756295</v>
      </c>
      <c r="H45" s="908">
        <f t="shared" si="1"/>
        <v>0</v>
      </c>
      <c r="I45" s="908">
        <f t="shared" si="2"/>
        <v>0</v>
      </c>
      <c r="J45" s="784">
        <f t="shared" si="3"/>
        <v>0</v>
      </c>
      <c r="K45" s="907">
        <f>_xlfn.XLOOKUP(F45,'VMT Reduction Supporting'!$A:$A,'VMT Reduction Supporting'!$I:$I,,0)</f>
        <v>199209.01673972863</v>
      </c>
      <c r="L45" s="908">
        <f t="shared" si="4"/>
        <v>0</v>
      </c>
      <c r="M45" s="908">
        <f t="shared" si="5"/>
        <v>0</v>
      </c>
      <c r="N45" s="909">
        <f t="shared" si="6"/>
        <v>0</v>
      </c>
      <c r="O45" s="910">
        <f t="shared" si="7"/>
        <v>0</v>
      </c>
      <c r="P45" s="911">
        <f>O45/(1+'Major Assumption Key'!$B$8)^($F45-'Major Assumption Key'!$B$7)</f>
        <v>0</v>
      </c>
      <c r="Q45" s="912">
        <f t="shared" si="8"/>
        <v>0</v>
      </c>
      <c r="R45" s="913">
        <f>Q45/(1+'Major Assumption Key'!$B$9)^($F45-'Major Assumption Key'!$B$7)</f>
        <v>0</v>
      </c>
      <c r="S45" s="656">
        <f t="shared" si="0"/>
        <v>0</v>
      </c>
      <c r="T45" s="38">
        <f t="shared" si="9"/>
        <v>0</v>
      </c>
      <c r="V45" s="784">
        <f t="shared" si="10"/>
        <v>0</v>
      </c>
      <c r="W45" s="855">
        <f t="shared" si="11"/>
        <v>0</v>
      </c>
      <c r="X45" s="26">
        <f t="shared" si="12"/>
        <v>0</v>
      </c>
      <c r="Y45" s="38">
        <f t="shared" si="13"/>
        <v>0</v>
      </c>
    </row>
    <row r="46" spans="6:25">
      <c r="F46" s="906">
        <f>'Major Assumption Key'!$A58</f>
        <v>2059</v>
      </c>
      <c r="G46" s="907">
        <f>_xlfn.XLOOKUP(F46,'VMT Reduction Supporting'!$A:$A,'VMT Reduction Supporting'!$H:$H,,0)</f>
        <v>152825.94712374994</v>
      </c>
      <c r="H46" s="908">
        <f t="shared" si="1"/>
        <v>0</v>
      </c>
      <c r="I46" s="908">
        <f t="shared" si="2"/>
        <v>0</v>
      </c>
      <c r="J46" s="784">
        <f t="shared" si="3"/>
        <v>0</v>
      </c>
      <c r="K46" s="907">
        <f>_xlfn.XLOOKUP(F46,'VMT Reduction Supporting'!$A:$A,'VMT Reduction Supporting'!$I:$I,,0)</f>
        <v>200771.04558015545</v>
      </c>
      <c r="L46" s="908">
        <f t="shared" si="4"/>
        <v>0</v>
      </c>
      <c r="M46" s="908">
        <f t="shared" si="5"/>
        <v>0</v>
      </c>
      <c r="N46" s="909">
        <f t="shared" si="6"/>
        <v>0</v>
      </c>
      <c r="O46" s="910">
        <f t="shared" si="7"/>
        <v>0</v>
      </c>
      <c r="P46" s="911">
        <f>O46/(1+'Major Assumption Key'!$B$8)^($F46-'Major Assumption Key'!$B$7)</f>
        <v>0</v>
      </c>
      <c r="Q46" s="912">
        <f t="shared" si="8"/>
        <v>0</v>
      </c>
      <c r="R46" s="913">
        <f>Q46/(1+'Major Assumption Key'!$B$9)^($F46-'Major Assumption Key'!$B$7)</f>
        <v>0</v>
      </c>
      <c r="S46" s="656">
        <f t="shared" si="0"/>
        <v>0</v>
      </c>
      <c r="T46" s="38">
        <f t="shared" si="9"/>
        <v>0</v>
      </c>
      <c r="V46" s="784">
        <f t="shared" si="10"/>
        <v>0</v>
      </c>
      <c r="W46" s="855">
        <f t="shared" si="11"/>
        <v>0</v>
      </c>
      <c r="X46" s="26">
        <f t="shared" si="12"/>
        <v>0</v>
      </c>
      <c r="Y46" s="38">
        <f t="shared" si="13"/>
        <v>0</v>
      </c>
    </row>
    <row r="47" spans="6:25">
      <c r="F47" s="906">
        <f>'Major Assumption Key'!$A59</f>
        <v>2060</v>
      </c>
      <c r="G47" s="907">
        <f>_xlfn.XLOOKUP(F47,'VMT Reduction Supporting'!$A:$A,'VMT Reduction Supporting'!$H:$H,,0)</f>
        <v>153861.1241280706</v>
      </c>
      <c r="H47" s="908">
        <f t="shared" si="1"/>
        <v>0</v>
      </c>
      <c r="I47" s="908">
        <f t="shared" si="2"/>
        <v>0</v>
      </c>
      <c r="J47" s="784">
        <f t="shared" si="3"/>
        <v>0</v>
      </c>
      <c r="K47" s="907">
        <f>_xlfn.XLOOKUP(F47,'VMT Reduction Supporting'!$A:$A,'VMT Reduction Supporting'!$I:$I,,0)</f>
        <v>202350.74551117275</v>
      </c>
      <c r="L47" s="908">
        <f t="shared" si="4"/>
        <v>0</v>
      </c>
      <c r="M47" s="908">
        <f t="shared" si="5"/>
        <v>0</v>
      </c>
      <c r="N47" s="909">
        <f t="shared" si="6"/>
        <v>0</v>
      </c>
      <c r="O47" s="910">
        <f t="shared" si="7"/>
        <v>0</v>
      </c>
      <c r="P47" s="911">
        <f>O47/(1+'Major Assumption Key'!$B$8)^($F47-'Major Assumption Key'!$B$7)</f>
        <v>0</v>
      </c>
      <c r="Q47" s="912">
        <f t="shared" si="8"/>
        <v>0</v>
      </c>
      <c r="R47" s="913">
        <f>Q47/(1+'Major Assumption Key'!$B$9)^($F47-'Major Assumption Key'!$B$7)</f>
        <v>0</v>
      </c>
      <c r="S47" s="656">
        <f t="shared" si="0"/>
        <v>0</v>
      </c>
      <c r="T47" s="38">
        <f t="shared" si="9"/>
        <v>0</v>
      </c>
      <c r="V47" s="784">
        <f t="shared" si="10"/>
        <v>0</v>
      </c>
      <c r="W47" s="855">
        <f t="shared" si="11"/>
        <v>0</v>
      </c>
      <c r="X47" s="26">
        <f t="shared" si="12"/>
        <v>0</v>
      </c>
      <c r="Y47" s="38">
        <f t="shared" si="13"/>
        <v>0</v>
      </c>
    </row>
    <row r="48" spans="6:25" ht="15" thickBot="1">
      <c r="F48" s="143" t="s">
        <v>504</v>
      </c>
      <c r="G48" s="144"/>
      <c r="H48" s="144"/>
      <c r="I48" s="144"/>
      <c r="J48" s="118">
        <f>SUMIFS($J$7:$J$47,$F$7:$F$47,"&gt;="&amp;$B$17,$F$7:$F$47,"&lt;="&amp;$B$18)</f>
        <v>0</v>
      </c>
      <c r="K48" s="144"/>
      <c r="L48" s="144"/>
      <c r="M48" s="144"/>
      <c r="N48" s="909">
        <f>SUMIFS(N7:N47,$F$7:$F$47,"&gt;="&amp;$B$17,$F$7:$F$47,"&lt;="&amp;$B$18)</f>
        <v>0</v>
      </c>
      <c r="O48" s="910">
        <f t="shared" ref="O48:T48" si="14">SUMIFS(O7:O47,$F$7:$F$47,"&gt;="&amp;$B$17,$F$7:$F$47,"&lt;="&amp;$B$18)</f>
        <v>0</v>
      </c>
      <c r="P48" s="911">
        <f t="shared" si="14"/>
        <v>0</v>
      </c>
      <c r="Q48" s="912">
        <f t="shared" si="14"/>
        <v>0</v>
      </c>
      <c r="R48" s="913">
        <f t="shared" si="14"/>
        <v>0</v>
      </c>
      <c r="S48" s="656">
        <f t="shared" si="14"/>
        <v>0</v>
      </c>
      <c r="T48" s="38">
        <f t="shared" si="14"/>
        <v>0</v>
      </c>
      <c r="V48" s="118">
        <f>ROUND(J48,-3)</f>
        <v>0</v>
      </c>
      <c r="W48" s="119">
        <f>ROUND(N48,-3)</f>
        <v>0</v>
      </c>
      <c r="X48" s="19">
        <f>ROUND(S48,-3)</f>
        <v>0</v>
      </c>
      <c r="Y48" s="20">
        <f>ROUND(T48,-3)</f>
        <v>0</v>
      </c>
    </row>
    <row r="49" spans="10:18">
      <c r="J49" s="51"/>
      <c r="N49" s="51"/>
      <c r="O49" s="51"/>
      <c r="P49" s="51"/>
      <c r="Q49" s="51"/>
      <c r="R49" s="51"/>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topLeftCell="Y12" workbookViewId="0">
      <selection sqref="A1:XFD1048576"/>
    </sheetView>
  </sheetViews>
  <sheetFormatPr defaultColWidth="9.21875" defaultRowHeight="14.4"/>
  <cols>
    <col min="1" max="1" width="38.44140625" style="1145" customWidth="1"/>
    <col min="2" max="3" width="28.21875" style="1145" customWidth="1"/>
    <col min="4" max="4" width="20.77734375" style="1145" bestFit="1" customWidth="1"/>
    <col min="5" max="5" width="7.5546875" style="1145" customWidth="1"/>
    <col min="6" max="6" width="31" style="1145" customWidth="1"/>
    <col min="7" max="7" width="23.21875" style="1145" customWidth="1"/>
    <col min="8" max="9" width="43" style="1145" customWidth="1"/>
    <col min="10" max="12" width="36.21875" style="1145" customWidth="1"/>
    <col min="13" max="13" width="45.21875" style="1145" customWidth="1"/>
    <col min="14" max="14" width="19.77734375" style="1145" customWidth="1"/>
    <col min="15" max="15" width="23.21875" style="1145" customWidth="1"/>
    <col min="16" max="28" width="36.21875" style="1145" customWidth="1"/>
    <col min="29" max="29" width="9.21875" style="1149"/>
    <col min="30" max="30" width="26.21875" style="1013" customWidth="1"/>
    <col min="31" max="37" width="14.77734375" style="1013" customWidth="1"/>
    <col min="38" max="39" width="9.21875" style="1013"/>
    <col min="40" max="40" width="9.21875" style="1149"/>
    <col min="41" max="41" width="11.21875" style="1149" bestFit="1" customWidth="1"/>
    <col min="42" max="16384" width="9.21875" style="1149"/>
  </cols>
  <sheetData>
    <row r="1" spans="1:37" ht="25.2" customHeight="1">
      <c r="A1" s="1009" t="s">
        <v>185</v>
      </c>
      <c r="B1" s="1143" t="s">
        <v>7171</v>
      </c>
      <c r="C1" s="1172"/>
      <c r="D1" s="1172"/>
      <c r="E1" s="1172"/>
      <c r="F1" s="1011"/>
      <c r="G1" s="1029"/>
    </row>
    <row r="2" spans="1:37" ht="15" thickBot="1">
      <c r="A2" s="1173"/>
      <c r="B2" s="1173"/>
      <c r="C2" s="1173"/>
      <c r="D2" s="1173"/>
      <c r="E2" s="1173"/>
    </row>
    <row r="3" spans="1:37" ht="60" customHeight="1" thickBot="1">
      <c r="A3" s="1147" t="s">
        <v>482</v>
      </c>
      <c r="B3" s="1875" t="s">
        <v>7172</v>
      </c>
      <c r="C3" s="1875"/>
      <c r="D3" s="1875"/>
      <c r="E3" s="1174"/>
      <c r="F3" s="2081" t="s">
        <v>484</v>
      </c>
      <c r="G3" s="2082"/>
      <c r="H3" s="2082"/>
      <c r="I3" s="2082"/>
      <c r="J3" s="2082"/>
      <c r="K3" s="2082"/>
      <c r="L3" s="2082"/>
      <c r="M3" s="2082"/>
      <c r="N3" s="2082"/>
      <c r="O3" s="2082"/>
      <c r="P3" s="2082"/>
      <c r="Q3" s="2082"/>
      <c r="R3" s="2082"/>
      <c r="S3" s="2082"/>
      <c r="T3" s="2082"/>
      <c r="U3" s="2082"/>
      <c r="V3" s="2082"/>
      <c r="W3" s="2082"/>
      <c r="X3" s="2082"/>
      <c r="Y3" s="2082"/>
      <c r="Z3" s="2082"/>
      <c r="AA3" s="2082"/>
      <c r="AB3" s="2083"/>
      <c r="AC3" s="1155"/>
    </row>
    <row r="4" spans="1:37" ht="18">
      <c r="A4" s="1175"/>
      <c r="B4" s="1175"/>
      <c r="C4" s="1175"/>
      <c r="D4" s="1175"/>
      <c r="E4" s="1174"/>
      <c r="F4" s="1176" t="s">
        <v>485</v>
      </c>
      <c r="G4" s="1177" t="s">
        <v>66</v>
      </c>
      <c r="H4" s="1178" t="s">
        <v>487</v>
      </c>
      <c r="I4" s="1177" t="s">
        <v>66</v>
      </c>
      <c r="J4" s="1178" t="s">
        <v>487</v>
      </c>
      <c r="K4" s="1177" t="s">
        <v>66</v>
      </c>
      <c r="L4" s="1177" t="s">
        <v>66</v>
      </c>
      <c r="M4" s="1178" t="s">
        <v>487</v>
      </c>
      <c r="N4" s="1179" t="s">
        <v>66</v>
      </c>
      <c r="O4" s="1177" t="s">
        <v>131</v>
      </c>
      <c r="P4" s="1178" t="s">
        <v>131</v>
      </c>
      <c r="Q4" s="1178" t="s">
        <v>131</v>
      </c>
      <c r="R4" s="1178" t="s">
        <v>131</v>
      </c>
      <c r="S4" s="1178" t="s">
        <v>131</v>
      </c>
      <c r="T4" s="1178" t="s">
        <v>131</v>
      </c>
      <c r="U4" s="1178" t="s">
        <v>131</v>
      </c>
      <c r="V4" s="1180" t="s">
        <v>131</v>
      </c>
      <c r="W4" s="2078" t="s">
        <v>7173</v>
      </c>
      <c r="X4" s="2079"/>
      <c r="Y4" s="2078" t="s">
        <v>7174</v>
      </c>
      <c r="Z4" s="2079"/>
      <c r="AA4" s="2080" t="s">
        <v>7175</v>
      </c>
      <c r="AB4" s="2079"/>
      <c r="AC4" s="1155"/>
      <c r="AD4" s="1179" t="s">
        <v>66</v>
      </c>
      <c r="AE4" s="1180" t="s">
        <v>131</v>
      </c>
      <c r="AF4" s="2078" t="s">
        <v>7173</v>
      </c>
      <c r="AG4" s="2079"/>
      <c r="AH4" s="2078" t="s">
        <v>7174</v>
      </c>
      <c r="AI4" s="2079"/>
      <c r="AJ4" s="2080" t="s">
        <v>7175</v>
      </c>
      <c r="AK4" s="2079"/>
    </row>
    <row r="5" spans="1:37" ht="60" customHeight="1" thickBot="1">
      <c r="A5" s="1489" t="s">
        <v>489</v>
      </c>
      <c r="B5" s="2053" t="s">
        <v>7176</v>
      </c>
      <c r="C5" s="2053"/>
      <c r="D5" s="2053"/>
      <c r="E5" s="1173"/>
      <c r="F5" s="1528" t="s">
        <v>491</v>
      </c>
      <c r="G5" s="1529" t="s">
        <v>493</v>
      </c>
      <c r="H5" s="1529" t="s">
        <v>1101</v>
      </c>
      <c r="I5" s="1529" t="s">
        <v>493</v>
      </c>
      <c r="J5" s="1529" t="s">
        <v>1102</v>
      </c>
      <c r="K5" s="1529" t="s">
        <v>1103</v>
      </c>
      <c r="L5" s="1529" t="s">
        <v>493</v>
      </c>
      <c r="M5" s="1529" t="s">
        <v>1104</v>
      </c>
      <c r="N5" s="1494" t="s">
        <v>15</v>
      </c>
      <c r="O5" s="1529" t="s">
        <v>493</v>
      </c>
      <c r="P5" s="1529" t="s">
        <v>1101</v>
      </c>
      <c r="Q5" s="1529" t="s">
        <v>493</v>
      </c>
      <c r="R5" s="1529" t="s">
        <v>1102</v>
      </c>
      <c r="S5" s="1529" t="s">
        <v>1103</v>
      </c>
      <c r="T5" s="1529" t="s">
        <v>493</v>
      </c>
      <c r="U5" s="1529" t="s">
        <v>1104</v>
      </c>
      <c r="V5" s="1495" t="s">
        <v>15</v>
      </c>
      <c r="W5" s="1870"/>
      <c r="X5" s="1871"/>
      <c r="Y5" s="1870"/>
      <c r="Z5" s="1871"/>
      <c r="AA5" s="1870"/>
      <c r="AB5" s="1871"/>
      <c r="AC5" s="1155"/>
      <c r="AD5" s="1494" t="s">
        <v>15</v>
      </c>
      <c r="AE5" s="1495" t="s">
        <v>15</v>
      </c>
      <c r="AF5" s="1870"/>
      <c r="AG5" s="1871"/>
      <c r="AH5" s="1870"/>
      <c r="AI5" s="1871"/>
      <c r="AJ5" s="1870"/>
      <c r="AK5" s="1871"/>
    </row>
    <row r="6" spans="1:37" ht="60" customHeight="1">
      <c r="A6" s="1173"/>
      <c r="B6" s="1173"/>
      <c r="C6" s="1173"/>
      <c r="D6" s="1173"/>
      <c r="E6" s="1173"/>
      <c r="F6" s="1528"/>
      <c r="G6" s="1529" t="s">
        <v>7177</v>
      </c>
      <c r="H6" s="1530" t="s">
        <v>7178</v>
      </c>
      <c r="I6" s="1530" t="s">
        <v>7179</v>
      </c>
      <c r="J6" s="1530" t="s">
        <v>7180</v>
      </c>
      <c r="K6" s="1530" t="s">
        <v>7181</v>
      </c>
      <c r="L6" s="1530" t="s">
        <v>7182</v>
      </c>
      <c r="M6" s="1530" t="s">
        <v>7183</v>
      </c>
      <c r="N6" s="1494" t="s">
        <v>7184</v>
      </c>
      <c r="O6" s="1529" t="s">
        <v>7177</v>
      </c>
      <c r="P6" s="1530" t="s">
        <v>7178</v>
      </c>
      <c r="Q6" s="1530" t="s">
        <v>7185</v>
      </c>
      <c r="R6" s="1530" t="s">
        <v>7180</v>
      </c>
      <c r="S6" s="1530" t="s">
        <v>7181</v>
      </c>
      <c r="T6" s="1530" t="s">
        <v>7181</v>
      </c>
      <c r="U6" s="1530" t="s">
        <v>7183</v>
      </c>
      <c r="V6" s="1495" t="s">
        <v>7186</v>
      </c>
      <c r="W6" s="1500" t="s">
        <v>7187</v>
      </c>
      <c r="X6" s="1501" t="str">
        <f>_xlfn.CONCAT("CO2 Discounted @ ",TEXT('Major Assumption Key'!$B$9,"0.0%"))</f>
        <v>CO2 Discounted @ 2.0%</v>
      </c>
      <c r="Y6" s="1500" t="s">
        <v>7188</v>
      </c>
      <c r="Z6" s="1501" t="str">
        <f>_xlfn.CONCAT("NOX
Discounted @ ",TEXT('Major Assumption Key'!$B$8,"0.0%"))</f>
        <v>NOX
Discounted @ 3.1%</v>
      </c>
      <c r="AA6" s="1500" t="s">
        <v>472</v>
      </c>
      <c r="AB6" s="1501" t="str">
        <f>_xlfn.CONCAT("Total Discounted @ ", TEXT('Major Assumption Key'!$B$8,"0.0%")," &amp; ",TEXT('Major Assumption Key'!$B$9,"0.0%")," (CO2)")</f>
        <v>Total Discounted @ 3.1% &amp; 2.0% (CO2)</v>
      </c>
      <c r="AC6" s="1155"/>
      <c r="AD6" s="1494" t="s">
        <v>7189</v>
      </c>
      <c r="AE6" s="1495" t="s">
        <v>7189</v>
      </c>
      <c r="AF6" s="1500" t="s">
        <v>7187</v>
      </c>
      <c r="AG6" s="1501" t="str">
        <f>_xlfn.CONCAT("CO2 Discounted @ ",TEXT('Major Assumption Key'!$B$9,"0.0%"))</f>
        <v>CO2 Discounted @ 2.0%</v>
      </c>
      <c r="AH6" s="1500" t="s">
        <v>7188</v>
      </c>
      <c r="AI6" s="1501" t="str">
        <f>_xlfn.CONCAT("NOX
Discounted @ ",TEXT('Major Assumption Key'!$B$8,"0.0%"))</f>
        <v>NOX
Discounted @ 3.1%</v>
      </c>
      <c r="AJ6" s="1500" t="s">
        <v>472</v>
      </c>
      <c r="AK6" s="1501" t="str">
        <f>_xlfn.CONCAT("Total Discounted @ ", TEXT('Major Assumption Key'!$B$8,"0.0%")," &amp; ",TEXT('Major Assumption Key'!$B$9,"0.0%")," (CO2)")</f>
        <v>Total Discounted @ 3.1% &amp; 2.0% (CO2)</v>
      </c>
    </row>
    <row r="7" spans="1:37" ht="19.95" customHeight="1">
      <c r="A7" s="1173"/>
      <c r="B7" s="1173"/>
      <c r="C7" s="1173"/>
      <c r="D7" s="1173"/>
      <c r="E7" s="1173"/>
      <c r="F7" s="1181">
        <f>'Major Assumption Key'!$A19</f>
        <v>2020</v>
      </c>
      <c r="G7" s="1182">
        <f>_xlfn.XLOOKUP(F7,'VMT Reduction Supporting'!A:A,'VMT Reduction Supporting'!H:H,,0)</f>
        <v>96511.603338845685</v>
      </c>
      <c r="H7" s="1183">
        <f>IFERROR(_xlfn.XLOOKUP($F7,'Emissions and Fuel'!$A$295:$A$335,'Emissions and Fuel'!$H$295:$H$335,,0),0)+IFERROR(_xlfn.XLOOKUP($F7,'Emissions and Fuel'!$A$295:$A$335,'Emissions and Fuel'!$O$295:$O$335,,),0)+IFERROR(_xlfn.XLOOKUP($F7,'Emissions and Fuel'!$A$342:$A$382,'Emissions and Fuel'!$I$342:$I$382,,0),0)</f>
        <v>0</v>
      </c>
      <c r="I7" s="1184">
        <f>IFERROR(_xlfn.XLOOKUP(F7,'BCA Guide - Parameter Values'!$B$82:$B$112,'BCA Guide - Parameter Values'!$F$82:$F$112,,),0)</f>
        <v>0</v>
      </c>
      <c r="J7" s="1184">
        <f>IFERROR(I7*H7,"NA")</f>
        <v>0</v>
      </c>
      <c r="K7" s="1185">
        <f>_xlfn.XLOOKUP($F7,'Emissions and Fuel'!$A$154:$A$194,'Emissions and Fuel'!$F$154:$F$194,,0)+_xlfn.XLOOKUP($F7,'Emissions and Fuel'!$A$154:$A$194,'Emissions and Fuel'!$K$154:$K$194,,0)+_xlfn.XLOOKUP($F7,'Emissions and Fuel'!$A$154:$A$194,'Emissions and Fuel'!$P$154:$P$194,,0)</f>
        <v>0</v>
      </c>
      <c r="L7" s="1184">
        <f>IFERROR(_xlfn.XLOOKUP($F7,'BCA Guide - Parameter Values'!$B$82:$B$112,'BCA Guide - Parameter Values'!$C$82:$C$112,,0),0)</f>
        <v>0</v>
      </c>
      <c r="M7" s="1184">
        <f t="shared" ref="M7:M47" si="0">IFERROR(L7*K7,"NA")</f>
        <v>0</v>
      </c>
      <c r="N7" s="1165">
        <f>IF(AND($F7&gt;=$B$16,$F7&lt;=$B$17),M7+J7,0)</f>
        <v>0</v>
      </c>
      <c r="O7" s="1182">
        <f>_xlfn.XLOOKUP(F7,'VMT Reduction Supporting'!A:A,'VMT Reduction Supporting'!I:I,,0)</f>
        <v>96511.603338845685</v>
      </c>
      <c r="P7" s="1183">
        <f>IFERROR(_xlfn.XLOOKUP($F7,'Emissions and Fuel'!$A$295:$A$335,'Emissions and Fuel'!$I$295:$I$335,,0),0)+IFERROR(_xlfn.XLOOKUP($F7,'Emissions and Fuel'!$A$295:$A$335,'Emissions and Fuel'!$P$295:$P$335,,),0)+IFERROR(_xlfn.XLOOKUP($F7,'Emissions and Fuel'!$A$342:$A$382,'Emissions and Fuel'!$J$342:$J$382,,0),0)</f>
        <v>0</v>
      </c>
      <c r="Q7" s="1184">
        <f>IFERROR(_xlfn.XLOOKUP(F7,'BCA Guide - Parameter Values'!$B$82:$B$112,'BCA Guide - Parameter Values'!$F$82:$F$112,,),0)</f>
        <v>0</v>
      </c>
      <c r="R7" s="1184">
        <f>IFERROR(Q7*P7,"NA")</f>
        <v>0</v>
      </c>
      <c r="S7" s="1185">
        <f>_xlfn.XLOOKUP($F7,'Emissions and Fuel'!$A$154:$A$194,'Emissions and Fuel'!$G$154:$G$194,,0)+_xlfn.XLOOKUP($F7,'Emissions and Fuel'!$A$154:$A$194,'Emissions and Fuel'!$L$154:$L$194,,0)+_xlfn.XLOOKUP($F7,'Emissions and Fuel'!$A$154:$A$194,'Emissions and Fuel'!$Q$154:$Q$194,,0)</f>
        <v>0</v>
      </c>
      <c r="T7" s="1184">
        <f>IFERROR(_xlfn.XLOOKUP($F7,'BCA Guide - Parameter Values'!$B$82:$B$112,'BCA Guide - Parameter Values'!$C$82:$C$112,,0),0)</f>
        <v>0</v>
      </c>
      <c r="U7" s="1184">
        <f t="shared" ref="U7:U47" si="1">IFERROR(T7*S7,"NA")</f>
        <v>0</v>
      </c>
      <c r="V7" s="1170">
        <f>IF(AND($F7&gt;=$B$16,$F7&lt;=$B$17),R7+U7,0)</f>
        <v>0</v>
      </c>
      <c r="W7" s="1171">
        <f>IF(AND($F7&gt;=$B$16,$F7&lt;=$B$17),R7-J7,0)</f>
        <v>0</v>
      </c>
      <c r="X7" s="1169">
        <f>W7/(1+0.03)^($F7-'Major Assumption Key'!$B$7)</f>
        <v>0</v>
      </c>
      <c r="Y7" s="1171">
        <f>IF(AND($F7&gt;=$B$16,$F7&lt;=$B$17),U7-M7,0)</f>
        <v>0</v>
      </c>
      <c r="Z7" s="1169">
        <f>Y7/(1+'Major Assumption Key'!$B$8)^($F7-'Major Assumption Key'!$B$7)</f>
        <v>0</v>
      </c>
      <c r="AA7" s="1171">
        <f t="shared" ref="AA7:AB7" si="2">W7+Y7</f>
        <v>0</v>
      </c>
      <c r="AB7" s="1169">
        <f t="shared" si="2"/>
        <v>0</v>
      </c>
      <c r="AC7" s="1155"/>
      <c r="AD7" s="1165">
        <f>ROUND(N7,-3)</f>
        <v>0</v>
      </c>
      <c r="AE7" s="1170">
        <f t="shared" ref="AE7:AK7" si="3">ROUND(V7,-3)</f>
        <v>0</v>
      </c>
      <c r="AF7" s="1171">
        <f t="shared" si="3"/>
        <v>0</v>
      </c>
      <c r="AG7" s="1169">
        <f t="shared" si="3"/>
        <v>0</v>
      </c>
      <c r="AH7" s="1171">
        <f t="shared" si="3"/>
        <v>0</v>
      </c>
      <c r="AI7" s="1169">
        <f t="shared" si="3"/>
        <v>0</v>
      </c>
      <c r="AJ7" s="1171">
        <f t="shared" si="3"/>
        <v>0</v>
      </c>
      <c r="AK7" s="1169">
        <f t="shared" si="3"/>
        <v>0</v>
      </c>
    </row>
    <row r="8" spans="1:37" ht="19.95" customHeight="1">
      <c r="A8" s="1859" t="s">
        <v>432</v>
      </c>
      <c r="B8" s="1860"/>
      <c r="C8" s="1860"/>
      <c r="D8" s="1861"/>
      <c r="E8" s="1173"/>
      <c r="F8" s="1181">
        <f>'Major Assumption Key'!$A20</f>
        <v>2021</v>
      </c>
      <c r="G8" s="1182">
        <f>_xlfn.XLOOKUP(F8,'VMT Reduction Supporting'!A:A,'VMT Reduction Supporting'!H:H,,0)</f>
        <v>120101.19687357022</v>
      </c>
      <c r="H8" s="1183">
        <f>IFERROR(_xlfn.XLOOKUP($F8,'Emissions and Fuel'!$A$295:$A$335,'Emissions and Fuel'!$H$295:$H$335,,0),0)+IFERROR(_xlfn.XLOOKUP($F8,'Emissions and Fuel'!$A$295:$A$335,'Emissions and Fuel'!$O$295:$O$335,,),0)+IFERROR(_xlfn.XLOOKUP($F8,'Emissions and Fuel'!$A$342:$A$382,'Emissions and Fuel'!$I$342:$I$382,,0),0)</f>
        <v>0</v>
      </c>
      <c r="I8" s="1184">
        <f>IFERROR(_xlfn.XLOOKUP(F8,'BCA Guide - Parameter Values'!$B$82:$B$112,'BCA Guide - Parameter Values'!$F$82:$F$112,,),0)</f>
        <v>0</v>
      </c>
      <c r="J8" s="1184">
        <f t="shared" ref="J8:J47" si="4">IFERROR(I8*H8,"NA")</f>
        <v>0</v>
      </c>
      <c r="K8" s="1185">
        <f>_xlfn.XLOOKUP($F8,'Emissions and Fuel'!$A$154:$A$194,'Emissions and Fuel'!$F$154:$F$194,,0)+_xlfn.XLOOKUP($F8,'Emissions and Fuel'!$A$154:$A$194,'Emissions and Fuel'!$K$154:$K$194,,0)+_xlfn.XLOOKUP($F8,'Emissions and Fuel'!$A$154:$A$194,'Emissions and Fuel'!$P$154:$P$194,,0)</f>
        <v>0</v>
      </c>
      <c r="L8" s="1184">
        <f>IFERROR(_xlfn.XLOOKUP($F8,'BCA Guide - Parameter Values'!$B$82:$B$112,'BCA Guide - Parameter Values'!$C$82:$C$112,,0),0)</f>
        <v>0</v>
      </c>
      <c r="M8" s="1184">
        <f t="shared" si="0"/>
        <v>0</v>
      </c>
      <c r="N8" s="1165">
        <f t="shared" ref="N8:N47" si="5">IF(AND($F8&gt;=$B$16,$F8&lt;=$B$17),M8+J8,0)</f>
        <v>0</v>
      </c>
      <c r="O8" s="1182">
        <f>_xlfn.XLOOKUP(F8,'VMT Reduction Supporting'!A:A,'VMT Reduction Supporting'!I:I,,0)</f>
        <v>139070.79687357022</v>
      </c>
      <c r="P8" s="1183">
        <f>IFERROR(_xlfn.XLOOKUP($F8,'Emissions and Fuel'!$A$295:$A$335,'Emissions and Fuel'!$I$295:$I$335,,0),0)+IFERROR(_xlfn.XLOOKUP($F8,'Emissions and Fuel'!$A$295:$A$335,'Emissions and Fuel'!$P$295:$P$335,,),0)+IFERROR(_xlfn.XLOOKUP($F8,'Emissions and Fuel'!$A$342:$A$382,'Emissions and Fuel'!$J$342:$J$382,,0),0)</f>
        <v>0</v>
      </c>
      <c r="Q8" s="1184">
        <f>IFERROR(_xlfn.XLOOKUP(F8,'BCA Guide - Parameter Values'!$B$82:$B$112,'BCA Guide - Parameter Values'!$F$82:$F$112,,),0)</f>
        <v>0</v>
      </c>
      <c r="R8" s="1184">
        <f t="shared" ref="R8:R47" si="6">IFERROR(Q8*P8,"NA")</f>
        <v>0</v>
      </c>
      <c r="S8" s="1185">
        <f>_xlfn.XLOOKUP($F8,'Emissions and Fuel'!$A$154:$A$194,'Emissions and Fuel'!$G$154:$G$194,,0)+_xlfn.XLOOKUP($F8,'Emissions and Fuel'!$A$154:$A$194,'Emissions and Fuel'!$L$154:$L$194,,0)+_xlfn.XLOOKUP($F8,'Emissions and Fuel'!$A$154:$A$194,'Emissions and Fuel'!$Q$154:$Q$194,,0)</f>
        <v>0</v>
      </c>
      <c r="T8" s="1184">
        <f>IFERROR(_xlfn.XLOOKUP($F8,'BCA Guide - Parameter Values'!$B$82:$B$112,'BCA Guide - Parameter Values'!$C$82:$C$112,,0),0)</f>
        <v>0</v>
      </c>
      <c r="U8" s="1184">
        <f t="shared" si="1"/>
        <v>0</v>
      </c>
      <c r="V8" s="1170">
        <f t="shared" ref="V8:V47" si="7">IF(AND($F8&gt;=$B$16,$F8&lt;=$B$17),R8+U8,0)</f>
        <v>0</v>
      </c>
      <c r="W8" s="1171">
        <f t="shared" ref="W8:W47" si="8">IF(AND($F8&gt;=$B$16,$F8&lt;=$B$17),R8-J8,0)</f>
        <v>0</v>
      </c>
      <c r="X8" s="1169">
        <f>W8/(1+0.03)^($F8-'Major Assumption Key'!$B$7)</f>
        <v>0</v>
      </c>
      <c r="Y8" s="1171">
        <f t="shared" ref="Y8:Y47" si="9">IF(AND($F8&gt;=$B$16,$F8&lt;=$B$17),U8-M8,0)</f>
        <v>0</v>
      </c>
      <c r="Z8" s="1169">
        <f>Y8/(1+'Major Assumption Key'!$B$8)^($F8-'Major Assumption Key'!$B$7)</f>
        <v>0</v>
      </c>
      <c r="AA8" s="1171">
        <f t="shared" ref="AA8:AA47" si="10">W8+Y8</f>
        <v>0</v>
      </c>
      <c r="AB8" s="1169">
        <f t="shared" ref="AB8:AB47" si="11">X8+Z8</f>
        <v>0</v>
      </c>
      <c r="AC8" s="1155"/>
      <c r="AD8" s="1165">
        <f t="shared" ref="AD8:AD47" si="12">ROUND(N8,-3)</f>
        <v>0</v>
      </c>
      <c r="AE8" s="1170">
        <f t="shared" ref="AE8:AE47" si="13">ROUND(V8,-3)</f>
        <v>0</v>
      </c>
      <c r="AF8" s="1171">
        <f t="shared" ref="AF8:AF47" si="14">ROUND(W8,-3)</f>
        <v>0</v>
      </c>
      <c r="AG8" s="1169">
        <f t="shared" ref="AG8:AG47" si="15">ROUND(X8,-3)</f>
        <v>0</v>
      </c>
      <c r="AH8" s="1171">
        <f t="shared" ref="AH8:AH47" si="16">ROUND(Y8,-3)</f>
        <v>0</v>
      </c>
      <c r="AI8" s="1169">
        <f t="shared" ref="AI8:AI47" si="17">ROUND(Z8,-3)</f>
        <v>0</v>
      </c>
      <c r="AJ8" s="1171">
        <f t="shared" ref="AJ8:AJ47" si="18">ROUND(AA8,-3)</f>
        <v>0</v>
      </c>
      <c r="AK8" s="1169">
        <f t="shared" ref="AK8:AK47" si="19">ROUND(AB8,-3)</f>
        <v>0</v>
      </c>
    </row>
    <row r="9" spans="1:37" ht="19.95" customHeight="1">
      <c r="A9" s="1862" t="s">
        <v>418</v>
      </c>
      <c r="B9" s="1862"/>
      <c r="C9" s="1340" t="s">
        <v>419</v>
      </c>
      <c r="D9" s="1340" t="str">
        <f>_xlfn.CONCAT("Discounted @",TEXT('Major Assumption Key'!B8,"0.0%"))</f>
        <v>Discounted @3.1%</v>
      </c>
      <c r="E9" s="1173"/>
      <c r="F9" s="1181">
        <f>'Major Assumption Key'!$A21</f>
        <v>2022</v>
      </c>
      <c r="G9" s="1182">
        <f>_xlfn.XLOOKUP(F9,'VMT Reduction Supporting'!A:A,'VMT Reduction Supporting'!H:H,,0)</f>
        <v>120821.58574789461</v>
      </c>
      <c r="H9" s="1183">
        <f>IFERROR(_xlfn.XLOOKUP($F9,'Emissions and Fuel'!$A$295:$A$335,'Emissions and Fuel'!$H$295:$H$335,,0),0)+IFERROR(_xlfn.XLOOKUP($F9,'Emissions and Fuel'!$A$295:$A$335,'Emissions and Fuel'!$O$295:$O$335,,),0)+IFERROR(_xlfn.XLOOKUP($F9,'Emissions and Fuel'!$A$342:$A$382,'Emissions and Fuel'!$I$342:$I$382,,0),0)</f>
        <v>0</v>
      </c>
      <c r="I9" s="1184">
        <f>IFERROR(_xlfn.XLOOKUP(F9,'BCA Guide - Parameter Values'!$B$82:$B$112,'BCA Guide - Parameter Values'!$F$82:$F$112,,),0)</f>
        <v>0</v>
      </c>
      <c r="J9" s="1184">
        <f t="shared" si="4"/>
        <v>0</v>
      </c>
      <c r="K9" s="1185">
        <f>_xlfn.XLOOKUP($F9,'Emissions and Fuel'!$A$154:$A$194,'Emissions and Fuel'!$F$154:$F$194,,0)+_xlfn.XLOOKUP($F9,'Emissions and Fuel'!$A$154:$A$194,'Emissions and Fuel'!$K$154:$K$194,,0)+_xlfn.XLOOKUP($F9,'Emissions and Fuel'!$A$154:$A$194,'Emissions and Fuel'!$P$154:$P$194,,0)</f>
        <v>0</v>
      </c>
      <c r="L9" s="1184">
        <f>IFERROR(_xlfn.XLOOKUP($F9,'BCA Guide - Parameter Values'!$B$82:$B$112,'BCA Guide - Parameter Values'!$C$82:$C$112,,0),0)</f>
        <v>0</v>
      </c>
      <c r="M9" s="1184">
        <f t="shared" si="0"/>
        <v>0</v>
      </c>
      <c r="N9" s="1165">
        <f t="shared" si="5"/>
        <v>0</v>
      </c>
      <c r="O9" s="1182">
        <f>_xlfn.XLOOKUP(F9,'VMT Reduction Supporting'!A:A,'VMT Reduction Supporting'!I:I,,0)</f>
        <v>140070.77118908046</v>
      </c>
      <c r="P9" s="1183">
        <f>IFERROR(_xlfn.XLOOKUP($F9,'Emissions and Fuel'!$A$295:$A$335,'Emissions and Fuel'!$I$295:$I$335,,0),0)+IFERROR(_xlfn.XLOOKUP($F9,'Emissions and Fuel'!$A$295:$A$335,'Emissions and Fuel'!$P$295:$P$335,,),0)+IFERROR(_xlfn.XLOOKUP($F9,'Emissions and Fuel'!$A$342:$A$382,'Emissions and Fuel'!$J$342:$J$382,,0),0)</f>
        <v>0</v>
      </c>
      <c r="Q9" s="1184">
        <f>IFERROR(_xlfn.XLOOKUP(F9,'BCA Guide - Parameter Values'!$B$82:$B$112,'BCA Guide - Parameter Values'!$F$82:$F$112,,),0)</f>
        <v>0</v>
      </c>
      <c r="R9" s="1184">
        <f t="shared" si="6"/>
        <v>0</v>
      </c>
      <c r="S9" s="1185">
        <f>_xlfn.XLOOKUP($F9,'Emissions and Fuel'!$A$154:$A$194,'Emissions and Fuel'!$G$154:$G$194,,0)+_xlfn.XLOOKUP($F9,'Emissions and Fuel'!$A$154:$A$194,'Emissions and Fuel'!$L$154:$L$194,,0)+_xlfn.XLOOKUP($F9,'Emissions and Fuel'!$A$154:$A$194,'Emissions and Fuel'!$Q$154:$Q$194,,0)</f>
        <v>0</v>
      </c>
      <c r="T9" s="1184">
        <f>IFERROR(_xlfn.XLOOKUP($F9,'BCA Guide - Parameter Values'!$B$82:$B$112,'BCA Guide - Parameter Values'!$C$82:$C$112,,0),0)</f>
        <v>0</v>
      </c>
      <c r="U9" s="1184">
        <f t="shared" si="1"/>
        <v>0</v>
      </c>
      <c r="V9" s="1170">
        <f t="shared" si="7"/>
        <v>0</v>
      </c>
      <c r="W9" s="1171">
        <f t="shared" si="8"/>
        <v>0</v>
      </c>
      <c r="X9" s="1169">
        <f>W9/(1+0.03)^($F9-'Major Assumption Key'!$B$7)</f>
        <v>0</v>
      </c>
      <c r="Y9" s="1171">
        <f t="shared" si="9"/>
        <v>0</v>
      </c>
      <c r="Z9" s="1169">
        <f>Y9/(1+'Major Assumption Key'!$B$8)^($F9-'Major Assumption Key'!$B$7)</f>
        <v>0</v>
      </c>
      <c r="AA9" s="1171">
        <f t="shared" si="10"/>
        <v>0</v>
      </c>
      <c r="AB9" s="1169">
        <f t="shared" si="11"/>
        <v>0</v>
      </c>
      <c r="AC9" s="1155"/>
      <c r="AD9" s="1165">
        <f t="shared" si="12"/>
        <v>0</v>
      </c>
      <c r="AE9" s="1170">
        <f t="shared" si="13"/>
        <v>0</v>
      </c>
      <c r="AF9" s="1171">
        <f t="shared" si="14"/>
        <v>0</v>
      </c>
      <c r="AG9" s="1169">
        <f t="shared" si="15"/>
        <v>0</v>
      </c>
      <c r="AH9" s="1171">
        <f t="shared" si="16"/>
        <v>0</v>
      </c>
      <c r="AI9" s="1169">
        <f t="shared" si="17"/>
        <v>0</v>
      </c>
      <c r="AJ9" s="1171">
        <f t="shared" si="18"/>
        <v>0</v>
      </c>
      <c r="AK9" s="1169">
        <f t="shared" si="19"/>
        <v>0</v>
      </c>
    </row>
    <row r="10" spans="1:37" ht="19.95" customHeight="1">
      <c r="A10" s="1863" t="s">
        <v>11</v>
      </c>
      <c r="B10" s="1863"/>
      <c r="C10" s="1503">
        <f>'BCA Summary'!$H$7</f>
        <v>1.0111569298276737</v>
      </c>
      <c r="D10" s="1503">
        <f>'BCA Summary'!$I$7</f>
        <v>0.6276932096418345</v>
      </c>
      <c r="E10" s="1173"/>
      <c r="F10" s="1181">
        <f>'Major Assumption Key'!$A22</f>
        <v>2023</v>
      </c>
      <c r="G10" s="1182">
        <f>_xlfn.XLOOKUP(F10,'VMT Reduction Supporting'!A:A,'VMT Reduction Supporting'!H:H,,0)</f>
        <v>121548.49384987666</v>
      </c>
      <c r="H10" s="1183">
        <f>IFERROR(_xlfn.XLOOKUP($F10,'Emissions and Fuel'!$A$295:$A$335,'Emissions and Fuel'!$H$295:$H$335,,0),0)+IFERROR(_xlfn.XLOOKUP($F10,'Emissions and Fuel'!$A$295:$A$335,'Emissions and Fuel'!$O$295:$O$335,,),0)+IFERROR(_xlfn.XLOOKUP($F10,'Emissions and Fuel'!$A$342:$A$382,'Emissions and Fuel'!$I$342:$I$382,,0),0)</f>
        <v>0</v>
      </c>
      <c r="I10" s="1184">
        <f>IFERROR(_xlfn.XLOOKUP(F10,'BCA Guide - Parameter Values'!$B$82:$B$112,'BCA Guide - Parameter Values'!$F$82:$F$112,,),0)</f>
        <v>228.37600706009624</v>
      </c>
      <c r="J10" s="1184">
        <f t="shared" si="4"/>
        <v>0</v>
      </c>
      <c r="K10" s="1185">
        <f>_xlfn.XLOOKUP($F10,'Emissions and Fuel'!$A$154:$A$194,'Emissions and Fuel'!$F$154:$F$194,,0)+_xlfn.XLOOKUP($F10,'Emissions and Fuel'!$A$154:$A$194,'Emissions and Fuel'!$K$154:$K$194,,0)+_xlfn.XLOOKUP($F10,'Emissions and Fuel'!$A$154:$A$194,'Emissions and Fuel'!$P$154:$P$194,,0)</f>
        <v>0</v>
      </c>
      <c r="L10" s="1184">
        <f>IFERROR(_xlfn.XLOOKUP($F10,'BCA Guide - Parameter Values'!$B$82:$B$112,'BCA Guide - Parameter Values'!$C$82:$C$112,,0),0)</f>
        <v>19800</v>
      </c>
      <c r="M10" s="1184">
        <f t="shared" si="0"/>
        <v>0</v>
      </c>
      <c r="N10" s="1165">
        <f t="shared" si="5"/>
        <v>0</v>
      </c>
      <c r="O10" s="1182">
        <f>_xlfn.XLOOKUP(F10,'VMT Reduction Supporting'!A:A,'VMT Reduction Supporting'!I:I,,0)</f>
        <v>141081.38543162649</v>
      </c>
      <c r="P10" s="1183">
        <f>IFERROR(_xlfn.XLOOKUP($F10,'Emissions and Fuel'!$A$295:$A$335,'Emissions and Fuel'!$I$295:$I$335,,0),0)+IFERROR(_xlfn.XLOOKUP($F10,'Emissions and Fuel'!$A$295:$A$335,'Emissions and Fuel'!$P$295:$P$335,,),0)+IFERROR(_xlfn.XLOOKUP($F10,'Emissions and Fuel'!$A$342:$A$382,'Emissions and Fuel'!$J$342:$J$382,,0),0)</f>
        <v>0</v>
      </c>
      <c r="Q10" s="1184">
        <f>IFERROR(_xlfn.XLOOKUP(F10,'BCA Guide - Parameter Values'!$B$82:$B$112,'BCA Guide - Parameter Values'!$F$82:$F$112,,),0)</f>
        <v>228.37600706009624</v>
      </c>
      <c r="R10" s="1184">
        <f t="shared" si="6"/>
        <v>0</v>
      </c>
      <c r="S10" s="1185">
        <f>_xlfn.XLOOKUP($F10,'Emissions and Fuel'!$A$154:$A$194,'Emissions and Fuel'!$G$154:$G$194,,0)+_xlfn.XLOOKUP($F10,'Emissions and Fuel'!$A$154:$A$194,'Emissions and Fuel'!$L$154:$L$194,,0)+_xlfn.XLOOKUP($F10,'Emissions and Fuel'!$A$154:$A$194,'Emissions and Fuel'!$Q$154:$Q$194,,0)</f>
        <v>0</v>
      </c>
      <c r="T10" s="1184">
        <f>IFERROR(_xlfn.XLOOKUP($F10,'BCA Guide - Parameter Values'!$B$82:$B$112,'BCA Guide - Parameter Values'!$C$82:$C$112,,0),0)</f>
        <v>19800</v>
      </c>
      <c r="U10" s="1184">
        <f t="shared" si="1"/>
        <v>0</v>
      </c>
      <c r="V10" s="1170">
        <f t="shared" si="7"/>
        <v>0</v>
      </c>
      <c r="W10" s="1171">
        <f t="shared" si="8"/>
        <v>0</v>
      </c>
      <c r="X10" s="1169">
        <f>W10/(1+0.03)^($F10-'Major Assumption Key'!$B$7)</f>
        <v>0</v>
      </c>
      <c r="Y10" s="1171">
        <f t="shared" si="9"/>
        <v>0</v>
      </c>
      <c r="Z10" s="1169">
        <f>Y10/(1+'Major Assumption Key'!$B$8)^($F10-'Major Assumption Key'!$B$7)</f>
        <v>0</v>
      </c>
      <c r="AA10" s="1171">
        <f t="shared" si="10"/>
        <v>0</v>
      </c>
      <c r="AB10" s="1169">
        <f t="shared" si="11"/>
        <v>0</v>
      </c>
      <c r="AC10" s="1155"/>
      <c r="AD10" s="1165">
        <f t="shared" si="12"/>
        <v>0</v>
      </c>
      <c r="AE10" s="1170">
        <f t="shared" si="13"/>
        <v>0</v>
      </c>
      <c r="AF10" s="1171">
        <f t="shared" si="14"/>
        <v>0</v>
      </c>
      <c r="AG10" s="1169">
        <f t="shared" si="15"/>
        <v>0</v>
      </c>
      <c r="AH10" s="1171">
        <f t="shared" si="16"/>
        <v>0</v>
      </c>
      <c r="AI10" s="1169">
        <f t="shared" si="17"/>
        <v>0</v>
      </c>
      <c r="AJ10" s="1171">
        <f t="shared" si="18"/>
        <v>0</v>
      </c>
      <c r="AK10" s="1169">
        <f t="shared" si="19"/>
        <v>0</v>
      </c>
    </row>
    <row r="11" spans="1:37" ht="19.95" customHeight="1">
      <c r="A11" s="1863" t="s">
        <v>12</v>
      </c>
      <c r="B11" s="1863"/>
      <c r="C11" s="1340">
        <f>'BCA Summary'!$H$8</f>
        <v>236636.98382712901</v>
      </c>
      <c r="D11" s="1340">
        <f>'BCA Summary'!$I$8</f>
        <v>-6930297.4454113934</v>
      </c>
      <c r="E11" s="1173"/>
      <c r="F11" s="1181">
        <f>'Major Assumption Key'!$A23</f>
        <v>2024</v>
      </c>
      <c r="G11" s="1182">
        <f>_xlfn.XLOOKUP(F11,'VMT Reduction Supporting'!A:A,'VMT Reduction Supporting'!H:H,,0)</f>
        <v>122282.00126355721</v>
      </c>
      <c r="H11" s="1183">
        <f>IFERROR(_xlfn.XLOOKUP($F11,'Emissions and Fuel'!$A$295:$A$335,'Emissions and Fuel'!$H$295:$H$335,,0),0)+IFERROR(_xlfn.XLOOKUP($F11,'Emissions and Fuel'!$A$295:$A$335,'Emissions and Fuel'!$O$295:$O$335,,),0)+IFERROR(_xlfn.XLOOKUP($F11,'Emissions and Fuel'!$A$342:$A$382,'Emissions and Fuel'!$I$342:$I$382,,0),0)</f>
        <v>0</v>
      </c>
      <c r="I11" s="1184">
        <f>IFERROR(_xlfn.XLOOKUP(F11,'BCA Guide - Parameter Values'!$B$82:$B$112,'BCA Guide - Parameter Values'!$F$82:$F$112,,),0)</f>
        <v>232.85396798284322</v>
      </c>
      <c r="J11" s="1184">
        <f t="shared" si="4"/>
        <v>0</v>
      </c>
      <c r="K11" s="1185">
        <f>_xlfn.XLOOKUP($F11,'Emissions and Fuel'!$A$154:$A$194,'Emissions and Fuel'!$F$154:$F$194,,0)+_xlfn.XLOOKUP($F11,'Emissions and Fuel'!$A$154:$A$194,'Emissions and Fuel'!$K$154:$K$194,,0)+_xlfn.XLOOKUP($F11,'Emissions and Fuel'!$A$154:$A$194,'Emissions and Fuel'!$P$154:$P$194,,0)</f>
        <v>0</v>
      </c>
      <c r="L11" s="1184">
        <f>IFERROR(_xlfn.XLOOKUP($F11,'BCA Guide - Parameter Values'!$B$82:$B$112,'BCA Guide - Parameter Values'!$C$82:$C$112,,0),0)</f>
        <v>20100</v>
      </c>
      <c r="M11" s="1184">
        <f t="shared" si="0"/>
        <v>0</v>
      </c>
      <c r="N11" s="1165">
        <f t="shared" si="5"/>
        <v>0</v>
      </c>
      <c r="O11" s="1182">
        <f>_xlfn.XLOOKUP(F11,'VMT Reduction Supporting'!A:A,'VMT Reduction Supporting'!I:I,,0)</f>
        <v>142102.78041860953</v>
      </c>
      <c r="P11" s="1183">
        <f>IFERROR(_xlfn.XLOOKUP($F11,'Emissions and Fuel'!$A$295:$A$335,'Emissions and Fuel'!$I$295:$I$335,,0),0)+IFERROR(_xlfn.XLOOKUP($F11,'Emissions and Fuel'!$A$295:$A$335,'Emissions and Fuel'!$P$295:$P$335,,),0)+IFERROR(_xlfn.XLOOKUP($F11,'Emissions and Fuel'!$A$342:$A$382,'Emissions and Fuel'!$J$342:$J$382,,0),0)</f>
        <v>0</v>
      </c>
      <c r="Q11" s="1184">
        <f>IFERROR(_xlfn.XLOOKUP(F11,'BCA Guide - Parameter Values'!$B$82:$B$112,'BCA Guide - Parameter Values'!$F$82:$F$112,,),0)</f>
        <v>232.85396798284322</v>
      </c>
      <c r="R11" s="1184">
        <f t="shared" si="6"/>
        <v>0</v>
      </c>
      <c r="S11" s="1185">
        <f>_xlfn.XLOOKUP($F11,'Emissions and Fuel'!$A$154:$A$194,'Emissions and Fuel'!$G$154:$G$194,,0)+_xlfn.XLOOKUP($F11,'Emissions and Fuel'!$A$154:$A$194,'Emissions and Fuel'!$L$154:$L$194,,0)+_xlfn.XLOOKUP($F11,'Emissions and Fuel'!$A$154:$A$194,'Emissions and Fuel'!$Q$154:$Q$194,,0)</f>
        <v>0</v>
      </c>
      <c r="T11" s="1184">
        <f>IFERROR(_xlfn.XLOOKUP($F11,'BCA Guide - Parameter Values'!$B$82:$B$112,'BCA Guide - Parameter Values'!$C$82:$C$112,,0),0)</f>
        <v>20100</v>
      </c>
      <c r="U11" s="1184">
        <f t="shared" si="1"/>
        <v>0</v>
      </c>
      <c r="V11" s="1170">
        <f t="shared" si="7"/>
        <v>0</v>
      </c>
      <c r="W11" s="1171">
        <f t="shared" si="8"/>
        <v>0</v>
      </c>
      <c r="X11" s="1169">
        <f>W11/(1+0.03)^($F11-'Major Assumption Key'!$B$7)</f>
        <v>0</v>
      </c>
      <c r="Y11" s="1171">
        <f t="shared" si="9"/>
        <v>0</v>
      </c>
      <c r="Z11" s="1169">
        <f>Y11/(1+'Major Assumption Key'!$B$8)^($F11-'Major Assumption Key'!$B$7)</f>
        <v>0</v>
      </c>
      <c r="AA11" s="1171">
        <f t="shared" si="10"/>
        <v>0</v>
      </c>
      <c r="AB11" s="1169">
        <f t="shared" si="11"/>
        <v>0</v>
      </c>
      <c r="AC11" s="1155"/>
      <c r="AD11" s="1165">
        <f t="shared" si="12"/>
        <v>0</v>
      </c>
      <c r="AE11" s="1170">
        <f t="shared" si="13"/>
        <v>0</v>
      </c>
      <c r="AF11" s="1171">
        <f t="shared" si="14"/>
        <v>0</v>
      </c>
      <c r="AG11" s="1169">
        <f t="shared" si="15"/>
        <v>0</v>
      </c>
      <c r="AH11" s="1171">
        <f t="shared" si="16"/>
        <v>0</v>
      </c>
      <c r="AI11" s="1169">
        <f t="shared" si="17"/>
        <v>0</v>
      </c>
      <c r="AJ11" s="1171">
        <f t="shared" si="18"/>
        <v>0</v>
      </c>
      <c r="AK11" s="1169">
        <f t="shared" si="19"/>
        <v>0</v>
      </c>
    </row>
    <row r="12" spans="1:37" ht="19.95" customHeight="1">
      <c r="C12" s="1173"/>
      <c r="D12" s="1173"/>
      <c r="E12" s="1173"/>
      <c r="F12" s="1181">
        <f>'Major Assumption Key'!$A24</f>
        <v>2025</v>
      </c>
      <c r="G12" s="1182">
        <f>_xlfn.XLOOKUP(F12,'VMT Reduction Supporting'!A:A,'VMT Reduction Supporting'!H:H,,0)</f>
        <v>123022.18919083702</v>
      </c>
      <c r="H12" s="1183">
        <f>IFERROR(_xlfn.XLOOKUP($F12,'Emissions and Fuel'!$A$295:$A$335,'Emissions and Fuel'!$H$295:$H$335,,0),0)+IFERROR(_xlfn.XLOOKUP($F12,'Emissions and Fuel'!$A$295:$A$335,'Emissions and Fuel'!$O$295:$O$335,,),0)+IFERROR(_xlfn.XLOOKUP($F12,'Emissions and Fuel'!$A$342:$A$382,'Emissions and Fuel'!$I$342:$I$382,,0),0)</f>
        <v>0</v>
      </c>
      <c r="I12" s="1184">
        <f>IFERROR(_xlfn.XLOOKUP(F12,'BCA Guide - Parameter Values'!$B$82:$B$112,'BCA Guide - Parameter Values'!$F$82:$F$112,,),0)</f>
        <v>237.33192890559022</v>
      </c>
      <c r="J12" s="1184">
        <f t="shared" si="4"/>
        <v>0</v>
      </c>
      <c r="K12" s="1185">
        <f>_xlfn.XLOOKUP($F12,'Emissions and Fuel'!$A$154:$A$194,'Emissions and Fuel'!$F$154:$F$194,,0)+_xlfn.XLOOKUP($F12,'Emissions and Fuel'!$A$154:$A$194,'Emissions and Fuel'!$K$154:$K$194,,0)+_xlfn.XLOOKUP($F12,'Emissions and Fuel'!$A$154:$A$194,'Emissions and Fuel'!$P$154:$P$194,,0)</f>
        <v>0</v>
      </c>
      <c r="L12" s="1184">
        <f>IFERROR(_xlfn.XLOOKUP($F12,'BCA Guide - Parameter Values'!$B$82:$B$112,'BCA Guide - Parameter Values'!$C$82:$C$112,,0),0)</f>
        <v>20300</v>
      </c>
      <c r="M12" s="1184">
        <f t="shared" si="0"/>
        <v>0</v>
      </c>
      <c r="N12" s="1165">
        <f t="shared" si="5"/>
        <v>0</v>
      </c>
      <c r="O12" s="1182">
        <f>_xlfn.XLOOKUP(F12,'VMT Reduction Supporting'!A:A,'VMT Reduction Supporting'!I:I,,0)</f>
        <v>143135.09898041579</v>
      </c>
      <c r="P12" s="1183">
        <f>IFERROR(_xlfn.XLOOKUP($F12,'Emissions and Fuel'!$A$295:$A$335,'Emissions and Fuel'!$I$295:$I$335,,0),0)+IFERROR(_xlfn.XLOOKUP($F12,'Emissions and Fuel'!$A$295:$A$335,'Emissions and Fuel'!$P$295:$P$335,,),0)+IFERROR(_xlfn.XLOOKUP($F12,'Emissions and Fuel'!$A$342:$A$382,'Emissions and Fuel'!$J$342:$J$382,,0),0)</f>
        <v>0</v>
      </c>
      <c r="Q12" s="1184">
        <f>IFERROR(_xlfn.XLOOKUP(F12,'BCA Guide - Parameter Values'!$B$82:$B$112,'BCA Guide - Parameter Values'!$F$82:$F$112,,),0)</f>
        <v>237.33192890559022</v>
      </c>
      <c r="R12" s="1184">
        <f t="shared" si="6"/>
        <v>0</v>
      </c>
      <c r="S12" s="1185">
        <f>_xlfn.XLOOKUP($F12,'Emissions and Fuel'!$A$154:$A$194,'Emissions and Fuel'!$G$154:$G$194,,0)+_xlfn.XLOOKUP($F12,'Emissions and Fuel'!$A$154:$A$194,'Emissions and Fuel'!$L$154:$L$194,,0)+_xlfn.XLOOKUP($F12,'Emissions and Fuel'!$A$154:$A$194,'Emissions and Fuel'!$Q$154:$Q$194,,0)</f>
        <v>0</v>
      </c>
      <c r="T12" s="1184">
        <f>IFERROR(_xlfn.XLOOKUP($F12,'BCA Guide - Parameter Values'!$B$82:$B$112,'BCA Guide - Parameter Values'!$C$82:$C$112,,0),0)</f>
        <v>20300</v>
      </c>
      <c r="U12" s="1184">
        <f t="shared" si="1"/>
        <v>0</v>
      </c>
      <c r="V12" s="1170">
        <f t="shared" si="7"/>
        <v>0</v>
      </c>
      <c r="W12" s="1171">
        <f t="shared" si="8"/>
        <v>0</v>
      </c>
      <c r="X12" s="1169">
        <f>W12/(1+0.03)^($F12-'Major Assumption Key'!$B$7)</f>
        <v>0</v>
      </c>
      <c r="Y12" s="1171">
        <f t="shared" si="9"/>
        <v>0</v>
      </c>
      <c r="Z12" s="1169">
        <f>Y12/(1+'Major Assumption Key'!$B$8)^($F12-'Major Assumption Key'!$B$7)</f>
        <v>0</v>
      </c>
      <c r="AA12" s="1171">
        <f t="shared" si="10"/>
        <v>0</v>
      </c>
      <c r="AB12" s="1169">
        <f t="shared" si="11"/>
        <v>0</v>
      </c>
      <c r="AC12" s="1155"/>
      <c r="AD12" s="1165">
        <f t="shared" si="12"/>
        <v>0</v>
      </c>
      <c r="AE12" s="1170">
        <f t="shared" si="13"/>
        <v>0</v>
      </c>
      <c r="AF12" s="1171">
        <f t="shared" si="14"/>
        <v>0</v>
      </c>
      <c r="AG12" s="1169">
        <f t="shared" si="15"/>
        <v>0</v>
      </c>
      <c r="AH12" s="1171">
        <f t="shared" si="16"/>
        <v>0</v>
      </c>
      <c r="AI12" s="1169">
        <f t="shared" si="17"/>
        <v>0</v>
      </c>
      <c r="AJ12" s="1171">
        <f t="shared" si="18"/>
        <v>0</v>
      </c>
      <c r="AK12" s="1169">
        <f t="shared" si="19"/>
        <v>0</v>
      </c>
    </row>
    <row r="13" spans="1:37" ht="19.95" customHeight="1" thickBot="1">
      <c r="C13" s="1173"/>
      <c r="D13" s="1173"/>
      <c r="E13" s="1173"/>
      <c r="F13" s="1181">
        <f>'Major Assumption Key'!$A25</f>
        <v>2026</v>
      </c>
      <c r="G13" s="1182">
        <f>_xlfn.XLOOKUP(F13,'VMT Reduction Supporting'!A:A,'VMT Reduction Supporting'!H:H,,0)</f>
        <v>123769.13996770862</v>
      </c>
      <c r="H13" s="1183">
        <f>IFERROR(_xlfn.XLOOKUP($F13,'Emissions and Fuel'!$A$295:$A$335,'Emissions and Fuel'!$H$295:$H$335,,0),0)+IFERROR(_xlfn.XLOOKUP($F13,'Emissions and Fuel'!$A$295:$A$335,'Emissions and Fuel'!$O$295:$O$335,,),0)+IFERROR(_xlfn.XLOOKUP($F13,'Emissions and Fuel'!$A$342:$A$382,'Emissions and Fuel'!$I$342:$I$382,,0),0)</f>
        <v>0</v>
      </c>
      <c r="I13" s="1184">
        <f>IFERROR(_xlfn.XLOOKUP(F13,'BCA Guide - Parameter Values'!$B$82:$B$112,'BCA Guide - Parameter Values'!$F$82:$F$112,,),0)</f>
        <v>240.69039959765044</v>
      </c>
      <c r="J13" s="1184">
        <f t="shared" si="4"/>
        <v>0</v>
      </c>
      <c r="K13" s="1185">
        <f>_xlfn.XLOOKUP($F13,'Emissions and Fuel'!$A$154:$A$194,'Emissions and Fuel'!$F$154:$F$194,,0)+_xlfn.XLOOKUP($F13,'Emissions and Fuel'!$A$154:$A$194,'Emissions and Fuel'!$K$154:$K$194,,0)+_xlfn.XLOOKUP($F13,'Emissions and Fuel'!$A$154:$A$194,'Emissions and Fuel'!$P$154:$P$194,,0)</f>
        <v>0</v>
      </c>
      <c r="L13" s="1184">
        <f>IFERROR(_xlfn.XLOOKUP($F13,'BCA Guide - Parameter Values'!$B$82:$B$112,'BCA Guide - Parameter Values'!$C$82:$C$112,,0),0)</f>
        <v>20600</v>
      </c>
      <c r="M13" s="1184">
        <f t="shared" si="0"/>
        <v>0</v>
      </c>
      <c r="N13" s="1165">
        <f t="shared" si="5"/>
        <v>0</v>
      </c>
      <c r="O13" s="1182">
        <f>_xlfn.XLOOKUP(F13,'VMT Reduction Supporting'!A:A,'VMT Reduction Supporting'!I:I,,0)</f>
        <v>144178.48598984111</v>
      </c>
      <c r="P13" s="1183">
        <f>IFERROR(_xlfn.XLOOKUP($F13,'Emissions and Fuel'!$A$295:$A$335,'Emissions and Fuel'!$I$295:$I$335,,0),0)+IFERROR(_xlfn.XLOOKUP($F13,'Emissions and Fuel'!$A$295:$A$335,'Emissions and Fuel'!$P$295:$P$335,,),0)+IFERROR(_xlfn.XLOOKUP($F13,'Emissions and Fuel'!$A$342:$A$382,'Emissions and Fuel'!$J$342:$J$382,,0),0)</f>
        <v>0</v>
      </c>
      <c r="Q13" s="1184">
        <f>IFERROR(_xlfn.XLOOKUP(F13,'BCA Guide - Parameter Values'!$B$82:$B$112,'BCA Guide - Parameter Values'!$F$82:$F$112,,),0)</f>
        <v>240.69039959765044</v>
      </c>
      <c r="R13" s="1184">
        <f t="shared" si="6"/>
        <v>0</v>
      </c>
      <c r="S13" s="1185">
        <f>_xlfn.XLOOKUP($F13,'Emissions and Fuel'!$A$154:$A$194,'Emissions and Fuel'!$G$154:$G$194,,0)+_xlfn.XLOOKUP($F13,'Emissions and Fuel'!$A$154:$A$194,'Emissions and Fuel'!$L$154:$L$194,,0)+_xlfn.XLOOKUP($F13,'Emissions and Fuel'!$A$154:$A$194,'Emissions and Fuel'!$Q$154:$Q$194,,0)</f>
        <v>0</v>
      </c>
      <c r="T13" s="1184">
        <f>IFERROR(_xlfn.XLOOKUP($F13,'BCA Guide - Parameter Values'!$B$82:$B$112,'BCA Guide - Parameter Values'!$C$82:$C$112,,0),0)</f>
        <v>20600</v>
      </c>
      <c r="U13" s="1184">
        <f t="shared" si="1"/>
        <v>0</v>
      </c>
      <c r="V13" s="1170">
        <f t="shared" si="7"/>
        <v>0</v>
      </c>
      <c r="W13" s="1171">
        <f t="shared" si="8"/>
        <v>0</v>
      </c>
      <c r="X13" s="1169">
        <f>W13/(1+0.03)^($F13-'Major Assumption Key'!$B$7)</f>
        <v>0</v>
      </c>
      <c r="Y13" s="1171">
        <f t="shared" si="9"/>
        <v>0</v>
      </c>
      <c r="Z13" s="1169">
        <f>Y13/(1+'Major Assumption Key'!$B$8)^($F13-'Major Assumption Key'!$B$7)</f>
        <v>0</v>
      </c>
      <c r="AA13" s="1171">
        <f t="shared" si="10"/>
        <v>0</v>
      </c>
      <c r="AB13" s="1169">
        <f t="shared" si="11"/>
        <v>0</v>
      </c>
      <c r="AC13" s="1155"/>
      <c r="AD13" s="1165">
        <f t="shared" si="12"/>
        <v>0</v>
      </c>
      <c r="AE13" s="1170">
        <f t="shared" si="13"/>
        <v>0</v>
      </c>
      <c r="AF13" s="1171">
        <f t="shared" si="14"/>
        <v>0</v>
      </c>
      <c r="AG13" s="1169">
        <f t="shared" si="15"/>
        <v>0</v>
      </c>
      <c r="AH13" s="1171">
        <f t="shared" si="16"/>
        <v>0</v>
      </c>
      <c r="AI13" s="1169">
        <f t="shared" si="17"/>
        <v>0</v>
      </c>
      <c r="AJ13" s="1171">
        <f t="shared" si="18"/>
        <v>0</v>
      </c>
      <c r="AK13" s="1169">
        <f t="shared" si="19"/>
        <v>0</v>
      </c>
    </row>
    <row r="14" spans="1:37" ht="19.95" customHeight="1">
      <c r="A14" s="1293" t="s">
        <v>433</v>
      </c>
      <c r="B14" s="1294" t="s">
        <v>434</v>
      </c>
      <c r="C14" s="1877" t="s">
        <v>498</v>
      </c>
      <c r="D14" s="1878"/>
      <c r="E14" s="1173"/>
      <c r="F14" s="1181">
        <f>'Major Assumption Key'!$A26</f>
        <v>2027</v>
      </c>
      <c r="G14" s="1182">
        <f>_xlfn.XLOOKUP(F14,'VMT Reduction Supporting'!A:A,'VMT Reduction Supporting'!H:H,,0)</f>
        <v>124522.93708072639</v>
      </c>
      <c r="H14" s="1183">
        <f>IFERROR(_xlfn.XLOOKUP($F14,'Emissions and Fuel'!$A$295:$A$335,'Emissions and Fuel'!$H$295:$H$335,,0),0)+IFERROR(_xlfn.XLOOKUP($F14,'Emissions and Fuel'!$A$295:$A$335,'Emissions and Fuel'!$O$295:$O$335,,),0)+IFERROR(_xlfn.XLOOKUP($F14,'Emissions and Fuel'!$A$342:$A$382,'Emissions and Fuel'!$I$342:$I$382,,0),0)</f>
        <v>0</v>
      </c>
      <c r="I14" s="1184">
        <f>IFERROR(_xlfn.XLOOKUP(F14,'BCA Guide - Parameter Values'!$B$82:$B$112,'BCA Guide - Parameter Values'!$F$82:$F$112,,),0)</f>
        <v>245.16836052039741</v>
      </c>
      <c r="J14" s="1184">
        <f t="shared" si="4"/>
        <v>0</v>
      </c>
      <c r="K14" s="1185">
        <f>_xlfn.XLOOKUP($F14,'Emissions and Fuel'!$A$154:$A$194,'Emissions and Fuel'!$F$154:$F$194,,0)+_xlfn.XLOOKUP($F14,'Emissions and Fuel'!$A$154:$A$194,'Emissions and Fuel'!$K$154:$K$194,,0)+_xlfn.XLOOKUP($F14,'Emissions and Fuel'!$A$154:$A$194,'Emissions and Fuel'!$P$154:$P$194,,0)</f>
        <v>0</v>
      </c>
      <c r="L14" s="1184">
        <f>IFERROR(_xlfn.XLOOKUP($F14,'BCA Guide - Parameter Values'!$B$82:$B$112,'BCA Guide - Parameter Values'!$C$82:$C$112,,0),0)</f>
        <v>21000</v>
      </c>
      <c r="M14" s="1184">
        <f t="shared" si="0"/>
        <v>0</v>
      </c>
      <c r="N14" s="1165">
        <f t="shared" si="5"/>
        <v>0</v>
      </c>
      <c r="O14" s="1182">
        <f>_xlfn.XLOOKUP(F14,'VMT Reduction Supporting'!A:A,'VMT Reduction Supporting'!I:I,,0)</f>
        <v>145233.08839194837</v>
      </c>
      <c r="P14" s="1183">
        <f>IFERROR(_xlfn.XLOOKUP($F14,'Emissions and Fuel'!$A$295:$A$335,'Emissions and Fuel'!$I$295:$I$335,,0),0)+IFERROR(_xlfn.XLOOKUP($F14,'Emissions and Fuel'!$A$295:$A$335,'Emissions and Fuel'!$P$295:$P$335,,),0)+IFERROR(_xlfn.XLOOKUP($F14,'Emissions and Fuel'!$A$342:$A$382,'Emissions and Fuel'!$J$342:$J$382,,0),0)</f>
        <v>0</v>
      </c>
      <c r="Q14" s="1184">
        <f>IFERROR(_xlfn.XLOOKUP(F14,'BCA Guide - Parameter Values'!$B$82:$B$112,'BCA Guide - Parameter Values'!$F$82:$F$112,,),0)</f>
        <v>245.16836052039741</v>
      </c>
      <c r="R14" s="1184">
        <f t="shared" si="6"/>
        <v>0</v>
      </c>
      <c r="S14" s="1185">
        <f>_xlfn.XLOOKUP($F14,'Emissions and Fuel'!$A$154:$A$194,'Emissions and Fuel'!$G$154:$G$194,,0)+_xlfn.XLOOKUP($F14,'Emissions and Fuel'!$A$154:$A$194,'Emissions and Fuel'!$L$154:$L$194,,0)+_xlfn.XLOOKUP($F14,'Emissions and Fuel'!$A$154:$A$194,'Emissions and Fuel'!$Q$154:$Q$194,,0)</f>
        <v>0</v>
      </c>
      <c r="T14" s="1184">
        <f>IFERROR(_xlfn.XLOOKUP($F14,'BCA Guide - Parameter Values'!$B$82:$B$112,'BCA Guide - Parameter Values'!$C$82:$C$112,,0),0)</f>
        <v>21000</v>
      </c>
      <c r="U14" s="1184">
        <f t="shared" si="1"/>
        <v>0</v>
      </c>
      <c r="V14" s="1170">
        <f t="shared" si="7"/>
        <v>0</v>
      </c>
      <c r="W14" s="1171">
        <f t="shared" si="8"/>
        <v>0</v>
      </c>
      <c r="X14" s="1169">
        <f>W14/(1+0.03)^($F14-'Major Assumption Key'!$B$7)</f>
        <v>0</v>
      </c>
      <c r="Y14" s="1171">
        <f t="shared" si="9"/>
        <v>0</v>
      </c>
      <c r="Z14" s="1169">
        <f>Y14/(1+'Major Assumption Key'!$B$8)^($F14-'Major Assumption Key'!$B$7)</f>
        <v>0</v>
      </c>
      <c r="AA14" s="1171">
        <f t="shared" si="10"/>
        <v>0</v>
      </c>
      <c r="AB14" s="1169">
        <f t="shared" si="11"/>
        <v>0</v>
      </c>
      <c r="AC14" s="1155"/>
      <c r="AD14" s="1165">
        <f t="shared" si="12"/>
        <v>0</v>
      </c>
      <c r="AE14" s="1170">
        <f t="shared" si="13"/>
        <v>0</v>
      </c>
      <c r="AF14" s="1171">
        <f t="shared" si="14"/>
        <v>0</v>
      </c>
      <c r="AG14" s="1169">
        <f t="shared" si="15"/>
        <v>0</v>
      </c>
      <c r="AH14" s="1171">
        <f t="shared" si="16"/>
        <v>0</v>
      </c>
      <c r="AI14" s="1169">
        <f t="shared" si="17"/>
        <v>0</v>
      </c>
      <c r="AJ14" s="1171">
        <f t="shared" si="18"/>
        <v>0</v>
      </c>
      <c r="AK14" s="1169">
        <f t="shared" si="19"/>
        <v>0</v>
      </c>
    </row>
    <row r="15" spans="1:37" ht="19.95" customHeight="1">
      <c r="A15" s="1506" t="s">
        <v>188</v>
      </c>
      <c r="B15" s="1135">
        <f>'Major Assumption Key'!$B$3</f>
        <v>2028</v>
      </c>
      <c r="C15" s="1173" t="s">
        <v>436</v>
      </c>
      <c r="D15" s="1507"/>
      <c r="E15" s="1173"/>
      <c r="F15" s="1181">
        <f>'Major Assumption Key'!$A27</f>
        <v>2028</v>
      </c>
      <c r="G15" s="1182">
        <f>_xlfn.XLOOKUP(F15,'VMT Reduction Supporting'!A:A,'VMT Reduction Supporting'!H:H,,0)</f>
        <v>125283.66518371837</v>
      </c>
      <c r="H15" s="1183">
        <f>IFERROR(_xlfn.XLOOKUP($F15,'Emissions and Fuel'!$A$295:$A$335,'Emissions and Fuel'!$H$295:$H$335,,0),0)+IFERROR(_xlfn.XLOOKUP($F15,'Emissions and Fuel'!$A$295:$A$335,'Emissions and Fuel'!$O$295:$O$335,,),0)+IFERROR(_xlfn.XLOOKUP($F15,'Emissions and Fuel'!$A$342:$A$382,'Emissions and Fuel'!$I$342:$I$382,,0),0)</f>
        <v>275.07686766562273</v>
      </c>
      <c r="I15" s="1184">
        <f>IFERROR(_xlfn.XLOOKUP(F15,'BCA Guide - Parameter Values'!$B$82:$B$112,'BCA Guide - Parameter Values'!$F$82:$F$112,,),0)</f>
        <v>249.64632144314442</v>
      </c>
      <c r="J15" s="1184">
        <f t="shared" si="4"/>
        <v>68671.928126825354</v>
      </c>
      <c r="K15" s="1185">
        <f>_xlfn.XLOOKUP($F15,'Emissions and Fuel'!$A$154:$A$194,'Emissions and Fuel'!$F$154:$F$194,,0)+_xlfn.XLOOKUP($F15,'Emissions and Fuel'!$A$154:$A$194,'Emissions and Fuel'!$K$154:$K$194,,0)+_xlfn.XLOOKUP($F15,'Emissions and Fuel'!$A$154:$A$194,'Emissions and Fuel'!$P$154:$P$194,,0)</f>
        <v>0.38255609854124972</v>
      </c>
      <c r="L15" s="1184">
        <f>IFERROR(_xlfn.XLOOKUP($F15,'BCA Guide - Parameter Values'!$B$82:$B$112,'BCA Guide - Parameter Values'!$C$82:$C$112,,0),0)</f>
        <v>21300</v>
      </c>
      <c r="M15" s="1184">
        <f t="shared" si="0"/>
        <v>8148.4448989286193</v>
      </c>
      <c r="N15" s="1165">
        <f t="shared" si="5"/>
        <v>76820.373025753972</v>
      </c>
      <c r="O15" s="1182">
        <f>_xlfn.XLOOKUP(F15,'VMT Reduction Supporting'!A:A,'VMT Reduction Supporting'!I:I,,0)</f>
        <v>159505.23113989137</v>
      </c>
      <c r="P15" s="1183">
        <f>IFERROR(_xlfn.XLOOKUP($F15,'Emissions and Fuel'!$A$295:$A$335,'Emissions and Fuel'!$I$295:$I$335,,0),0)+IFERROR(_xlfn.XLOOKUP($F15,'Emissions and Fuel'!$A$295:$A$335,'Emissions and Fuel'!$P$295:$P$335,,),0)+IFERROR(_xlfn.XLOOKUP($F15,'Emissions and Fuel'!$A$342:$A$382,'Emissions and Fuel'!$J$342:$J$382,,0),0)</f>
        <v>316.41941065148063</v>
      </c>
      <c r="Q15" s="1184">
        <f>IFERROR(_xlfn.XLOOKUP(F15,'BCA Guide - Parameter Values'!$B$82:$B$112,'BCA Guide - Parameter Values'!$F$82:$F$112,,),0)</f>
        <v>249.64632144314442</v>
      </c>
      <c r="R15" s="1184">
        <f t="shared" si="6"/>
        <v>78992.941902349849</v>
      </c>
      <c r="S15" s="1185">
        <f>_xlfn.XLOOKUP($F15,'Emissions and Fuel'!$A$154:$A$194,'Emissions and Fuel'!$G$154:$G$194,,0)+_xlfn.XLOOKUP($F15,'Emissions and Fuel'!$A$154:$A$194,'Emissions and Fuel'!$L$154:$L$194,,0)+_xlfn.XLOOKUP($F15,'Emissions and Fuel'!$A$154:$A$194,'Emissions and Fuel'!$Q$154:$Q$194,,0)</f>
        <v>0.43244594997569347</v>
      </c>
      <c r="T15" s="1184">
        <f>IFERROR(_xlfn.XLOOKUP($F15,'BCA Guide - Parameter Values'!$B$82:$B$112,'BCA Guide - Parameter Values'!$C$82:$C$112,,0),0)</f>
        <v>21300</v>
      </c>
      <c r="U15" s="1184">
        <f t="shared" si="1"/>
        <v>9211.0987344822715</v>
      </c>
      <c r="V15" s="1170">
        <f>IF(AND($F15&gt;=$B$16,$F15&lt;=$B$17),R15+U15,0)</f>
        <v>88204.040636832127</v>
      </c>
      <c r="W15" s="1171">
        <f t="shared" si="8"/>
        <v>10321.013775524494</v>
      </c>
      <c r="X15" s="1169">
        <f>W15/(1+0.03)^($F15-'Major Assumption Key'!$B$7)</f>
        <v>8643.6865500168878</v>
      </c>
      <c r="Y15" s="1171">
        <f t="shared" si="9"/>
        <v>1062.6538355536522</v>
      </c>
      <c r="Z15" s="1169">
        <f>Y15/(1+'Major Assumption Key'!$B$8)^($F15-'Major Assumption Key'!$B$7)</f>
        <v>884.78921943637704</v>
      </c>
      <c r="AA15" s="1171">
        <f t="shared" si="10"/>
        <v>11383.667611078146</v>
      </c>
      <c r="AB15" s="1169">
        <f t="shared" si="11"/>
        <v>9528.4757694532655</v>
      </c>
      <c r="AC15" s="1155"/>
      <c r="AD15" s="1165">
        <f t="shared" si="12"/>
        <v>77000</v>
      </c>
      <c r="AE15" s="1170">
        <f t="shared" si="13"/>
        <v>88000</v>
      </c>
      <c r="AF15" s="1171">
        <f t="shared" si="14"/>
        <v>10000</v>
      </c>
      <c r="AG15" s="1169">
        <f t="shared" si="15"/>
        <v>9000</v>
      </c>
      <c r="AH15" s="1171">
        <f t="shared" si="16"/>
        <v>1000</v>
      </c>
      <c r="AI15" s="1169">
        <f t="shared" si="17"/>
        <v>1000</v>
      </c>
      <c r="AJ15" s="1171">
        <f t="shared" si="18"/>
        <v>11000</v>
      </c>
      <c r="AK15" s="1169">
        <f t="shared" si="19"/>
        <v>10000</v>
      </c>
    </row>
    <row r="16" spans="1:37" ht="19.95" customHeight="1">
      <c r="A16" s="1506" t="s">
        <v>189</v>
      </c>
      <c r="B16" s="1135">
        <f>'Major Assumption Key'!$B$4</f>
        <v>2022</v>
      </c>
      <c r="C16" s="1173" t="s">
        <v>436</v>
      </c>
      <c r="D16" s="1289"/>
      <c r="E16" s="1173"/>
      <c r="F16" s="1181">
        <f>'Major Assumption Key'!$A28</f>
        <v>2029</v>
      </c>
      <c r="G16" s="1182">
        <f>_xlfn.XLOOKUP(F16,'VMT Reduction Supporting'!A:A,'VMT Reduction Supporting'!H:H,,0)</f>
        <v>126051.4101147436</v>
      </c>
      <c r="H16" s="1183">
        <f>IFERROR(_xlfn.XLOOKUP($F16,'Emissions and Fuel'!$A$295:$A$335,'Emissions and Fuel'!$H$295:$H$335,,0),0)+IFERROR(_xlfn.XLOOKUP($F16,'Emissions and Fuel'!$A$295:$A$335,'Emissions and Fuel'!$O$295:$O$335,,),0)+IFERROR(_xlfn.XLOOKUP($F16,'Emissions and Fuel'!$A$342:$A$382,'Emissions and Fuel'!$I$342:$I$382,,0),0)</f>
        <v>272.68701721350254</v>
      </c>
      <c r="I16" s="1184">
        <f>IFERROR(_xlfn.XLOOKUP(F16,'BCA Guide - Parameter Values'!$B$82:$B$112,'BCA Guide - Parameter Values'!$F$82:$F$112,,),0)</f>
        <v>253.00479213520464</v>
      </c>
      <c r="J16" s="1184">
        <f t="shared" si="4"/>
        <v>68991.122108071184</v>
      </c>
      <c r="K16" s="1185">
        <f>_xlfn.XLOOKUP($F16,'Emissions and Fuel'!$A$154:$A$194,'Emissions and Fuel'!$F$154:$F$194,,0)+_xlfn.XLOOKUP($F16,'Emissions and Fuel'!$A$154:$A$194,'Emissions and Fuel'!$K$154:$K$194,,0)+_xlfn.XLOOKUP($F16,'Emissions and Fuel'!$A$154:$A$194,'Emissions and Fuel'!$P$154:$P$194,,0)</f>
        <v>0.34751645929673447</v>
      </c>
      <c r="L16" s="1184">
        <f>IFERROR(_xlfn.XLOOKUP($F16,'BCA Guide - Parameter Values'!$B$82:$B$112,'BCA Guide - Parameter Values'!$C$82:$C$112,,0),0)</f>
        <v>21700</v>
      </c>
      <c r="M16" s="1184">
        <f t="shared" si="0"/>
        <v>7541.1071667391379</v>
      </c>
      <c r="N16" s="1165">
        <f t="shared" si="5"/>
        <v>76532.229274810321</v>
      </c>
      <c r="O16" s="1182">
        <f>_xlfn.XLOOKUP(F16,'VMT Reduction Supporting'!A:A,'VMT Reduction Supporting'!I:I,,0)</f>
        <v>160633.28849167028</v>
      </c>
      <c r="P16" s="1183">
        <f>IFERROR(_xlfn.XLOOKUP($F16,'Emissions and Fuel'!$A$295:$A$335,'Emissions and Fuel'!$I$295:$I$335,,0),0)+IFERROR(_xlfn.XLOOKUP($F16,'Emissions and Fuel'!$A$295:$A$335,'Emissions and Fuel'!$P$295:$P$335,,),0)+IFERROR(_xlfn.XLOOKUP($F16,'Emissions and Fuel'!$A$342:$A$382,'Emissions and Fuel'!$J$342:$J$382,,0),0)</f>
        <v>313.75228320792405</v>
      </c>
      <c r="Q16" s="1184">
        <f>IFERROR(_xlfn.XLOOKUP(F16,'BCA Guide - Parameter Values'!$B$82:$B$112,'BCA Guide - Parameter Values'!$F$82:$F$112,,),0)</f>
        <v>253.00479213520464</v>
      </c>
      <c r="R16" s="1184">
        <f t="shared" si="6"/>
        <v>79380.831194966682</v>
      </c>
      <c r="S16" s="1185">
        <f>_xlfn.XLOOKUP($F16,'Emissions and Fuel'!$A$154:$A$194,'Emissions and Fuel'!$G$154:$G$194,,0)+_xlfn.XLOOKUP($F16,'Emissions and Fuel'!$A$154:$A$194,'Emissions and Fuel'!$L$154:$L$194,,0)+_xlfn.XLOOKUP($F16,'Emissions and Fuel'!$A$154:$A$194,'Emissions and Fuel'!$Q$154:$Q$194,,0)</f>
        <v>0.39283508512010368</v>
      </c>
      <c r="T16" s="1184">
        <f>IFERROR(_xlfn.XLOOKUP($F16,'BCA Guide - Parameter Values'!$B$82:$B$112,'BCA Guide - Parameter Values'!$C$82:$C$112,,0),0)</f>
        <v>21700</v>
      </c>
      <c r="U16" s="1184">
        <f t="shared" si="1"/>
        <v>8524.5213471062507</v>
      </c>
      <c r="V16" s="1170">
        <f t="shared" si="7"/>
        <v>87905.352542072927</v>
      </c>
      <c r="W16" s="1171">
        <f t="shared" si="8"/>
        <v>10389.709086895498</v>
      </c>
      <c r="X16" s="1169">
        <f>W16/(1+0.03)^($F16-'Major Assumption Key'!$B$7)</f>
        <v>8447.7842638816364</v>
      </c>
      <c r="Y16" s="1171">
        <f t="shared" si="9"/>
        <v>983.41418036711275</v>
      </c>
      <c r="Z16" s="1169">
        <f>Y16/(1+'Major Assumption Key'!$B$8)^($F16-'Major Assumption Key'!$B$7)</f>
        <v>794.19255096920006</v>
      </c>
      <c r="AA16" s="1171">
        <f t="shared" si="10"/>
        <v>11373.12326726261</v>
      </c>
      <c r="AB16" s="1169">
        <f t="shared" si="11"/>
        <v>9241.9768148508374</v>
      </c>
      <c r="AC16" s="1155"/>
      <c r="AD16" s="1165">
        <f t="shared" si="12"/>
        <v>77000</v>
      </c>
      <c r="AE16" s="1170">
        <f t="shared" si="13"/>
        <v>88000</v>
      </c>
      <c r="AF16" s="1171">
        <f t="shared" si="14"/>
        <v>10000</v>
      </c>
      <c r="AG16" s="1169">
        <f t="shared" si="15"/>
        <v>8000</v>
      </c>
      <c r="AH16" s="1171">
        <f t="shared" si="16"/>
        <v>1000</v>
      </c>
      <c r="AI16" s="1169">
        <f t="shared" si="17"/>
        <v>1000</v>
      </c>
      <c r="AJ16" s="1171">
        <f t="shared" si="18"/>
        <v>11000</v>
      </c>
      <c r="AK16" s="1169">
        <f t="shared" si="19"/>
        <v>9000</v>
      </c>
    </row>
    <row r="17" spans="1:37" ht="19.95" customHeight="1">
      <c r="A17" s="1506" t="s">
        <v>191</v>
      </c>
      <c r="B17" s="1135">
        <f>'Major Assumption Key'!$B$6</f>
        <v>2047</v>
      </c>
      <c r="C17" s="1173" t="s">
        <v>436</v>
      </c>
      <c r="D17" s="1289"/>
      <c r="E17" s="1173"/>
      <c r="F17" s="1181">
        <f>'Major Assumption Key'!$A29</f>
        <v>2030</v>
      </c>
      <c r="G17" s="1182">
        <f>_xlfn.XLOOKUP(F17,'VMT Reduction Supporting'!A:A,'VMT Reduction Supporting'!H:H,,0)</f>
        <v>126826.25891329831</v>
      </c>
      <c r="H17" s="1183">
        <f>IFERROR(_xlfn.XLOOKUP($F17,'Emissions and Fuel'!$A$295:$A$335,'Emissions and Fuel'!$H$295:$H$335,,0),0)+IFERROR(_xlfn.XLOOKUP($F17,'Emissions and Fuel'!$A$295:$A$335,'Emissions and Fuel'!$O$295:$O$335,,),0)+IFERROR(_xlfn.XLOOKUP($F17,'Emissions and Fuel'!$A$342:$A$382,'Emissions and Fuel'!$I$342:$I$382,,0),0)</f>
        <v>270.36454401625366</v>
      </c>
      <c r="I17" s="1184">
        <f>IFERROR(_xlfn.XLOOKUP(F17,'BCA Guide - Parameter Values'!$B$82:$B$112,'BCA Guide - Parameter Values'!$F$82:$F$112,,),0)</f>
        <v>257.48275305795164</v>
      </c>
      <c r="J17" s="1184">
        <f t="shared" si="4"/>
        <v>69614.207122562744</v>
      </c>
      <c r="K17" s="1185">
        <f>_xlfn.XLOOKUP($F17,'Emissions and Fuel'!$A$154:$A$194,'Emissions and Fuel'!$F$154:$F$194,,0)+_xlfn.XLOOKUP($F17,'Emissions and Fuel'!$A$154:$A$194,'Emissions and Fuel'!$K$154:$K$194,,0)+_xlfn.XLOOKUP($F17,'Emissions and Fuel'!$A$154:$A$194,'Emissions and Fuel'!$P$154:$P$194,,0)</f>
        <v>0.31568622810513397</v>
      </c>
      <c r="L17" s="1184">
        <f>IFERROR(_xlfn.XLOOKUP($F17,'BCA Guide - Parameter Values'!$B$82:$B$112,'BCA Guide - Parameter Values'!$C$82:$C$112,,0),0)</f>
        <v>22000</v>
      </c>
      <c r="M17" s="1184">
        <f t="shared" si="0"/>
        <v>6945.0970183129475</v>
      </c>
      <c r="N17" s="1165">
        <f t="shared" si="5"/>
        <v>76559.304140875698</v>
      </c>
      <c r="O17" s="1182">
        <f>_xlfn.XLOOKUP(F17,'VMT Reduction Supporting'!A:A,'VMT Reduction Supporting'!I:I,,0)</f>
        <v>161773.21109371149</v>
      </c>
      <c r="P17" s="1183">
        <f>IFERROR(_xlfn.XLOOKUP($F17,'Emissions and Fuel'!$A$295:$A$335,'Emissions and Fuel'!$I$295:$I$335,,0),0)+IFERROR(_xlfn.XLOOKUP($F17,'Emissions and Fuel'!$A$295:$A$335,'Emissions and Fuel'!$P$295:$P$335,,),0)+IFERROR(_xlfn.XLOOKUP($F17,'Emissions and Fuel'!$A$342:$A$382,'Emissions and Fuel'!$J$342:$J$382,,0),0)</f>
        <v>311.16189362822752</v>
      </c>
      <c r="Q17" s="1184">
        <f>IFERROR(_xlfn.XLOOKUP(F17,'BCA Guide - Parameter Values'!$B$82:$B$112,'BCA Guide - Parameter Values'!$F$82:$F$112,,),0)</f>
        <v>257.48275305795164</v>
      </c>
      <c r="R17" s="1184">
        <f t="shared" si="6"/>
        <v>80118.821018121525</v>
      </c>
      <c r="S17" s="1185">
        <f>_xlfn.XLOOKUP($F17,'Emissions and Fuel'!$A$154:$A$194,'Emissions and Fuel'!$G$154:$G$194,,0)+_xlfn.XLOOKUP($F17,'Emissions and Fuel'!$A$154:$A$194,'Emissions and Fuel'!$L$154:$L$194,,0)+_xlfn.XLOOKUP($F17,'Emissions and Fuel'!$A$154:$A$194,'Emissions and Fuel'!$Q$154:$Q$194,,0)</f>
        <v>0.35685248035404871</v>
      </c>
      <c r="T17" s="1184">
        <f>IFERROR(_xlfn.XLOOKUP($F17,'BCA Guide - Parameter Values'!$B$82:$B$112,'BCA Guide - Parameter Values'!$C$82:$C$112,,0),0)</f>
        <v>22000</v>
      </c>
      <c r="U17" s="1184">
        <f t="shared" si="1"/>
        <v>7850.7545677890712</v>
      </c>
      <c r="V17" s="1170">
        <f t="shared" si="7"/>
        <v>87969.575585910599</v>
      </c>
      <c r="W17" s="1171">
        <f t="shared" si="8"/>
        <v>10504.613895558781</v>
      </c>
      <c r="X17" s="1169">
        <f>W17/(1+0.03)^($F17-'Major Assumption Key'!$B$7)</f>
        <v>8292.4392120565881</v>
      </c>
      <c r="Y17" s="1171">
        <f t="shared" si="9"/>
        <v>905.65754947612368</v>
      </c>
      <c r="Z17" s="1169">
        <f>Y17/(1+'Major Assumption Key'!$B$8)^($F17-'Major Assumption Key'!$B$7)</f>
        <v>709.40572577600142</v>
      </c>
      <c r="AA17" s="1171">
        <f t="shared" si="10"/>
        <v>11410.271445034905</v>
      </c>
      <c r="AB17" s="1169">
        <f t="shared" si="11"/>
        <v>9001.8449378325895</v>
      </c>
      <c r="AC17" s="1155"/>
      <c r="AD17" s="1165">
        <f t="shared" si="12"/>
        <v>77000</v>
      </c>
      <c r="AE17" s="1170">
        <f t="shared" si="13"/>
        <v>88000</v>
      </c>
      <c r="AF17" s="1171">
        <f t="shared" si="14"/>
        <v>11000</v>
      </c>
      <c r="AG17" s="1169">
        <f t="shared" si="15"/>
        <v>8000</v>
      </c>
      <c r="AH17" s="1171">
        <f t="shared" si="16"/>
        <v>1000</v>
      </c>
      <c r="AI17" s="1169">
        <f t="shared" si="17"/>
        <v>1000</v>
      </c>
      <c r="AJ17" s="1171">
        <f t="shared" si="18"/>
        <v>11000</v>
      </c>
      <c r="AK17" s="1169">
        <f t="shared" si="19"/>
        <v>9000</v>
      </c>
    </row>
    <row r="18" spans="1:37" ht="19.95" customHeight="1">
      <c r="A18" s="1506" t="s">
        <v>7190</v>
      </c>
      <c r="B18" s="1458">
        <v>260</v>
      </c>
      <c r="C18" s="1173" t="s">
        <v>7086</v>
      </c>
      <c r="D18" s="1289"/>
      <c r="E18" s="1173"/>
      <c r="F18" s="1181">
        <f>'Major Assumption Key'!$A30</f>
        <v>2031</v>
      </c>
      <c r="G18" s="1182">
        <f>_xlfn.XLOOKUP(F18,'VMT Reduction Supporting'!A:A,'VMT Reduction Supporting'!H:H,,0)</f>
        <v>127608.29983777468</v>
      </c>
      <c r="H18" s="1183">
        <f>IFERROR(_xlfn.XLOOKUP($F18,'Emissions and Fuel'!$A$295:$A$335,'Emissions and Fuel'!$H$295:$H$335,,0),0)+IFERROR(_xlfn.XLOOKUP($F18,'Emissions and Fuel'!$A$295:$A$335,'Emissions and Fuel'!$O$295:$O$335,,),0)+IFERROR(_xlfn.XLOOKUP($F18,'Emissions and Fuel'!$A$342:$A$382,'Emissions and Fuel'!$I$342:$I$382,,0),0)</f>
        <v>268.10694144613279</v>
      </c>
      <c r="I18" s="1184">
        <f>IFERROR(_xlfn.XLOOKUP(F18,'BCA Guide - Parameter Values'!$B$82:$B$112,'BCA Guide - Parameter Values'!$F$82:$F$112,,),0)</f>
        <v>261.96071398069864</v>
      </c>
      <c r="J18" s="1184">
        <f t="shared" si="4"/>
        <v>70233.485804410317</v>
      </c>
      <c r="K18" s="1185">
        <f>_xlfn.XLOOKUP($F18,'Emissions and Fuel'!$A$154:$A$194,'Emissions and Fuel'!$F$154:$F$194,,0)+_xlfn.XLOOKUP($F18,'Emissions and Fuel'!$A$154:$A$194,'Emissions and Fuel'!$K$154:$K$194,,0)+_xlfn.XLOOKUP($F18,'Emissions and Fuel'!$A$154:$A$194,'Emissions and Fuel'!$P$154:$P$194,,0)</f>
        <v>0.30305506556571399</v>
      </c>
      <c r="L18" s="1184">
        <f>IFERROR(_xlfn.XLOOKUP($F18,'BCA Guide - Parameter Values'!$B$82:$B$112,'BCA Guide - Parameter Values'!$C$82:$C$112,,0),0)</f>
        <v>22000</v>
      </c>
      <c r="M18" s="1184">
        <f t="shared" si="0"/>
        <v>6667.2114424457077</v>
      </c>
      <c r="N18" s="1165">
        <f t="shared" si="5"/>
        <v>76900.697246856027</v>
      </c>
      <c r="O18" s="1182">
        <f>_xlfn.XLOOKUP(F18,'VMT Reduction Supporting'!A:A,'VMT Reduction Supporting'!I:I,,0)</f>
        <v>162925.15525253135</v>
      </c>
      <c r="P18" s="1183">
        <f>IFERROR(_xlfn.XLOOKUP($F18,'Emissions and Fuel'!$A$295:$A$335,'Emissions and Fuel'!$I$295:$I$335,,0),0)+IFERROR(_xlfn.XLOOKUP($F18,'Emissions and Fuel'!$A$295:$A$335,'Emissions and Fuel'!$P$295:$P$335,,),0)+IFERROR(_xlfn.XLOOKUP($F18,'Emissions and Fuel'!$A$342:$A$382,'Emissions and Fuel'!$J$342:$J$382,,0),0)</f>
        <v>308.64541199556209</v>
      </c>
      <c r="Q18" s="1184">
        <f>IFERROR(_xlfn.XLOOKUP(F18,'BCA Guide - Parameter Values'!$B$82:$B$112,'BCA Guide - Parameter Values'!$F$82:$F$112,,),0)</f>
        <v>261.96071398069864</v>
      </c>
      <c r="R18" s="1184">
        <f t="shared" si="6"/>
        <v>80852.972493224326</v>
      </c>
      <c r="S18" s="1185">
        <f>_xlfn.XLOOKUP($F18,'Emissions and Fuel'!$A$154:$A$194,'Emissions and Fuel'!$G$154:$G$194,,0)+_xlfn.XLOOKUP($F18,'Emissions and Fuel'!$A$154:$A$194,'Emissions and Fuel'!$L$154:$L$194,,0)+_xlfn.XLOOKUP($F18,'Emissions and Fuel'!$A$154:$A$194,'Emissions and Fuel'!$Q$154:$Q$194,,0)</f>
        <v>0.34255328258939644</v>
      </c>
      <c r="T18" s="1184">
        <f>IFERROR(_xlfn.XLOOKUP($F18,'BCA Guide - Parameter Values'!$B$82:$B$112,'BCA Guide - Parameter Values'!$C$82:$C$112,,0),0)</f>
        <v>22000</v>
      </c>
      <c r="U18" s="1184">
        <f t="shared" si="1"/>
        <v>7536.1722169667219</v>
      </c>
      <c r="V18" s="1170">
        <f t="shared" si="7"/>
        <v>88389.144710191045</v>
      </c>
      <c r="W18" s="1171">
        <f t="shared" si="8"/>
        <v>10619.48668881401</v>
      </c>
      <c r="X18" s="1169">
        <f>W18/(1+0.03)^($F18-'Major Assumption Key'!$B$7)</f>
        <v>8138.9522872074758</v>
      </c>
      <c r="Y18" s="1171">
        <f t="shared" si="9"/>
        <v>868.96077452101417</v>
      </c>
      <c r="Z18" s="1169">
        <f>Y18/(1+'Major Assumption Key'!$B$8)^($F18-'Major Assumption Key'!$B$7)</f>
        <v>660.19493025992892</v>
      </c>
      <c r="AA18" s="1171">
        <f t="shared" si="10"/>
        <v>11488.447463335024</v>
      </c>
      <c r="AB18" s="1169">
        <f t="shared" si="11"/>
        <v>8799.1472174674054</v>
      </c>
      <c r="AC18" s="1155"/>
      <c r="AD18" s="1165">
        <f t="shared" si="12"/>
        <v>77000</v>
      </c>
      <c r="AE18" s="1170">
        <f t="shared" si="13"/>
        <v>88000</v>
      </c>
      <c r="AF18" s="1171">
        <f t="shared" si="14"/>
        <v>11000</v>
      </c>
      <c r="AG18" s="1169">
        <f t="shared" si="15"/>
        <v>8000</v>
      </c>
      <c r="AH18" s="1171">
        <f t="shared" si="16"/>
        <v>1000</v>
      </c>
      <c r="AI18" s="1169">
        <f t="shared" si="17"/>
        <v>1000</v>
      </c>
      <c r="AJ18" s="1171">
        <f t="shared" si="18"/>
        <v>11000</v>
      </c>
      <c r="AK18" s="1169">
        <f t="shared" si="19"/>
        <v>9000</v>
      </c>
    </row>
    <row r="19" spans="1:37" ht="19.95" customHeight="1">
      <c r="A19" s="1193" t="s">
        <v>7191</v>
      </c>
      <c r="B19" s="1458">
        <f>_xlfn.XLOOKUP(B15,'VMT Reduction Supporting'!A:A,'VMT Reduction Supporting'!H:H,,0)</f>
        <v>125283.66518371837</v>
      </c>
      <c r="C19" s="1531" t="s">
        <v>7192</v>
      </c>
      <c r="D19" s="1196"/>
      <c r="E19" s="1173"/>
      <c r="F19" s="1181">
        <f>'Major Assumption Key'!$A31</f>
        <v>2032</v>
      </c>
      <c r="G19" s="1182">
        <f>_xlfn.XLOOKUP(F19,'VMT Reduction Supporting'!A:A,'VMT Reduction Supporting'!H:H,,0)</f>
        <v>128397.62238317609</v>
      </c>
      <c r="H19" s="1183">
        <f>IFERROR(_xlfn.XLOOKUP($F19,'Emissions and Fuel'!$A$295:$A$335,'Emissions and Fuel'!$H$295:$H$335,,0),0)+IFERROR(_xlfn.XLOOKUP($F19,'Emissions and Fuel'!$A$295:$A$335,'Emissions and Fuel'!$O$295:$O$335,,),0)+IFERROR(_xlfn.XLOOKUP($F19,'Emissions and Fuel'!$A$342:$A$382,'Emissions and Fuel'!$I$342:$I$382,,0),0)</f>
        <v>265.91182865635972</v>
      </c>
      <c r="I19" s="1184">
        <f>IFERROR(_xlfn.XLOOKUP(F19,'BCA Guide - Parameter Values'!$B$82:$B$112,'BCA Guide - Parameter Values'!$F$82:$F$112,,),0)</f>
        <v>265.31918467275887</v>
      </c>
      <c r="J19" s="1184">
        <f t="shared" si="4"/>
        <v>70551.509573947711</v>
      </c>
      <c r="K19" s="1185">
        <f>_xlfn.XLOOKUP($F19,'Emissions and Fuel'!$A$154:$A$194,'Emissions and Fuel'!$F$154:$F$194,,0)+_xlfn.XLOOKUP($F19,'Emissions and Fuel'!$A$154:$A$194,'Emissions and Fuel'!$K$154:$K$194,,0)+_xlfn.XLOOKUP($F19,'Emissions and Fuel'!$A$154:$A$194,'Emissions and Fuel'!$P$154:$P$194,,0)</f>
        <v>0.29093069251898374</v>
      </c>
      <c r="L19" s="1184">
        <f>IFERROR(_xlfn.XLOOKUP($F19,'BCA Guide - Parameter Values'!$B$82:$B$112,'BCA Guide - Parameter Values'!$C$82:$C$112,,0),0)</f>
        <v>22000</v>
      </c>
      <c r="M19" s="1184">
        <f t="shared" si="0"/>
        <v>6400.4752354176426</v>
      </c>
      <c r="N19" s="1165">
        <f t="shared" si="5"/>
        <v>76951.984809365356</v>
      </c>
      <c r="O19" s="1182">
        <f>_xlfn.XLOOKUP(F19,'VMT Reduction Supporting'!A:A,'VMT Reduction Supporting'!I:I,,0)</f>
        <v>164089.27950590255</v>
      </c>
      <c r="P19" s="1183">
        <f>IFERROR(_xlfn.XLOOKUP($F19,'Emissions and Fuel'!$A$295:$A$335,'Emissions and Fuel'!$I$295:$I$335,,0),0)+IFERROR(_xlfn.XLOOKUP($F19,'Emissions and Fuel'!$A$295:$A$335,'Emissions and Fuel'!$P$295:$P$335,,),0)+IFERROR(_xlfn.XLOOKUP($F19,'Emissions and Fuel'!$A$342:$A$382,'Emissions and Fuel'!$J$342:$J$382,,0),0)</f>
        <v>306.20015065881466</v>
      </c>
      <c r="Q19" s="1184">
        <f>IFERROR(_xlfn.XLOOKUP(F19,'BCA Guide - Parameter Values'!$B$82:$B$112,'BCA Guide - Parameter Values'!$F$82:$F$112,,),0)</f>
        <v>265.31918467275887</v>
      </c>
      <c r="R19" s="1184">
        <f t="shared" si="6"/>
        <v>81240.774319472635</v>
      </c>
      <c r="S19" s="1185">
        <f>_xlfn.XLOOKUP($F19,'Emissions and Fuel'!$A$154:$A$194,'Emissions and Fuel'!$G$154:$G$194,,0)+_xlfn.XLOOKUP($F19,'Emissions and Fuel'!$A$154:$A$194,'Emissions and Fuel'!$L$154:$L$194,,0)+_xlfn.XLOOKUP($F19,'Emissions and Fuel'!$A$154:$A$194,'Emissions and Fuel'!$Q$154:$Q$194,,0)</f>
        <v>0.32882961948392031</v>
      </c>
      <c r="T19" s="1184">
        <f>IFERROR(_xlfn.XLOOKUP($F19,'BCA Guide - Parameter Values'!$B$82:$B$112,'BCA Guide - Parameter Values'!$C$82:$C$112,,0),0)</f>
        <v>22000</v>
      </c>
      <c r="U19" s="1184">
        <f t="shared" si="1"/>
        <v>7234.2516286462469</v>
      </c>
      <c r="V19" s="1170">
        <f t="shared" si="7"/>
        <v>88475.025948118884</v>
      </c>
      <c r="W19" s="1171">
        <f t="shared" si="8"/>
        <v>10689.264745524924</v>
      </c>
      <c r="X19" s="1169">
        <f>W19/(1+0.03)^($F19-'Major Assumption Key'!$B$7)</f>
        <v>7953.8168518651883</v>
      </c>
      <c r="Y19" s="1171">
        <f t="shared" si="9"/>
        <v>833.77639322860432</v>
      </c>
      <c r="Z19" s="1169">
        <f>Y19/(1+'Major Assumption Key'!$B$8)^($F19-'Major Assumption Key'!$B$7)</f>
        <v>614.41660167687928</v>
      </c>
      <c r="AA19" s="1171">
        <f t="shared" si="10"/>
        <v>11523.041138753528</v>
      </c>
      <c r="AB19" s="1169">
        <f t="shared" si="11"/>
        <v>8568.2334535420669</v>
      </c>
      <c r="AC19" s="1155"/>
      <c r="AD19" s="1165">
        <f t="shared" si="12"/>
        <v>77000</v>
      </c>
      <c r="AE19" s="1170">
        <f t="shared" si="13"/>
        <v>88000</v>
      </c>
      <c r="AF19" s="1171">
        <f t="shared" si="14"/>
        <v>11000</v>
      </c>
      <c r="AG19" s="1169">
        <f t="shared" si="15"/>
        <v>8000</v>
      </c>
      <c r="AH19" s="1171">
        <f t="shared" si="16"/>
        <v>1000</v>
      </c>
      <c r="AI19" s="1169">
        <f t="shared" si="17"/>
        <v>1000</v>
      </c>
      <c r="AJ19" s="1171">
        <f t="shared" si="18"/>
        <v>12000</v>
      </c>
      <c r="AK19" s="1169">
        <f t="shared" si="19"/>
        <v>9000</v>
      </c>
    </row>
    <row r="20" spans="1:37" ht="19.95" customHeight="1" thickBot="1">
      <c r="A20" s="1532" t="s">
        <v>7193</v>
      </c>
      <c r="B20" s="1533">
        <f>_xlfn.XLOOKUP(B15,'VMT Reduction Supporting'!A:A,'VMT Reduction Supporting'!I:I,,0)</f>
        <v>159505.23113989137</v>
      </c>
      <c r="C20" s="1534" t="s">
        <v>7192</v>
      </c>
      <c r="D20" s="1535"/>
      <c r="E20" s="1173"/>
      <c r="F20" s="1181">
        <f>'Major Assumption Key'!$A32</f>
        <v>2033</v>
      </c>
      <c r="G20" s="1182">
        <f>_xlfn.XLOOKUP(F20,'VMT Reduction Supporting'!A:A,'VMT Reduction Supporting'!H:H,,0)</f>
        <v>129194.31729909239</v>
      </c>
      <c r="H20" s="1183">
        <f>IFERROR(_xlfn.XLOOKUP($F20,'Emissions and Fuel'!$A$295:$A$335,'Emissions and Fuel'!$H$295:$H$335,,0),0)+IFERROR(_xlfn.XLOOKUP($F20,'Emissions and Fuel'!$A$295:$A$335,'Emissions and Fuel'!$O$295:$O$335,,),0)+IFERROR(_xlfn.XLOOKUP($F20,'Emissions and Fuel'!$A$342:$A$382,'Emissions and Fuel'!$I$342:$I$382,,0),0)</f>
        <v>263.77694282903428</v>
      </c>
      <c r="I20" s="1184">
        <f>IFERROR(_xlfn.XLOOKUP(F20,'BCA Guide - Parameter Values'!$B$82:$B$112,'BCA Guide - Parameter Values'!$F$82:$F$112,,),0)</f>
        <v>269.79714559550587</v>
      </c>
      <c r="J20" s="1184">
        <f t="shared" si="4"/>
        <v>71166.266249182387</v>
      </c>
      <c r="K20" s="1185">
        <f>_xlfn.XLOOKUP($F20,'Emissions and Fuel'!$A$154:$A$194,'Emissions and Fuel'!$F$154:$F$194,,0)+_xlfn.XLOOKUP($F20,'Emissions and Fuel'!$A$154:$A$194,'Emissions and Fuel'!$K$154:$K$194,,0)+_xlfn.XLOOKUP($F20,'Emissions and Fuel'!$A$154:$A$194,'Emissions and Fuel'!$P$154:$P$194,,0)</f>
        <v>0.27929265447215756</v>
      </c>
      <c r="L20" s="1184">
        <f>IFERROR(_xlfn.XLOOKUP($F20,'BCA Guide - Parameter Values'!$B$82:$B$112,'BCA Guide - Parameter Values'!$C$82:$C$112,,0),0)</f>
        <v>22000</v>
      </c>
      <c r="M20" s="1184">
        <f t="shared" si="0"/>
        <v>6144.4383983874668</v>
      </c>
      <c r="N20" s="1165">
        <f t="shared" si="5"/>
        <v>77310.704647569859</v>
      </c>
      <c r="O20" s="1182">
        <f>_xlfn.XLOOKUP(F20,'VMT Reduction Supporting'!A:A,'VMT Reduction Supporting'!I:I,,0)</f>
        <v>165265.74465545668</v>
      </c>
      <c r="P20" s="1183">
        <f>IFERROR(_xlfn.XLOOKUP($F20,'Emissions and Fuel'!$A$295:$A$335,'Emissions and Fuel'!$I$295:$I$335,,0),0)+IFERROR(_xlfn.XLOOKUP($F20,'Emissions and Fuel'!$A$295:$A$335,'Emissions and Fuel'!$P$295:$P$335,,),0)+IFERROR(_xlfn.XLOOKUP($F20,'Emissions and Fuel'!$A$342:$A$382,'Emissions and Fuel'!$J$342:$J$382,,0),0)</f>
        <v>303.82355547300352</v>
      </c>
      <c r="Q20" s="1184">
        <f>IFERROR(_xlfn.XLOOKUP(F20,'BCA Guide - Parameter Values'!$B$82:$B$112,'BCA Guide - Parameter Values'!$F$82:$F$112,,),0)</f>
        <v>269.79714559550587</v>
      </c>
      <c r="R20" s="1184">
        <f t="shared" si="6"/>
        <v>81970.728031294188</v>
      </c>
      <c r="S20" s="1185">
        <f>_xlfn.XLOOKUP($F20,'Emissions and Fuel'!$A$154:$A$194,'Emissions and Fuel'!$G$154:$G$194,,0)+_xlfn.XLOOKUP($F20,'Emissions and Fuel'!$A$154:$A$194,'Emissions and Fuel'!$L$154:$L$194,,0)+_xlfn.XLOOKUP($F20,'Emissions and Fuel'!$A$154:$A$194,'Emissions and Fuel'!$Q$154:$Q$194,,0)</f>
        <v>0.31565810380503539</v>
      </c>
      <c r="T20" s="1184">
        <f>IFERROR(_xlfn.XLOOKUP($F20,'BCA Guide - Parameter Values'!$B$82:$B$112,'BCA Guide - Parameter Values'!$C$82:$C$112,,0),0)</f>
        <v>22000</v>
      </c>
      <c r="U20" s="1184">
        <f t="shared" si="1"/>
        <v>6944.4782837107787</v>
      </c>
      <c r="V20" s="1170">
        <f t="shared" si="7"/>
        <v>88915.206315004965</v>
      </c>
      <c r="W20" s="1171">
        <f t="shared" si="8"/>
        <v>10804.461782111801</v>
      </c>
      <c r="X20" s="1169">
        <f>W20/(1+0.03)^($F20-'Major Assumption Key'!$B$7)</f>
        <v>7805.3730735957452</v>
      </c>
      <c r="Y20" s="1171">
        <f t="shared" si="9"/>
        <v>800.03988532331186</v>
      </c>
      <c r="Z20" s="1169">
        <f>Y20/(1+'Major Assumption Key'!$B$8)^($F20-'Major Assumption Key'!$B$7)</f>
        <v>571.82918988164954</v>
      </c>
      <c r="AA20" s="1171">
        <f t="shared" si="10"/>
        <v>11604.501667435114</v>
      </c>
      <c r="AB20" s="1169">
        <f t="shared" si="11"/>
        <v>8377.2022634773948</v>
      </c>
      <c r="AC20" s="1155"/>
      <c r="AD20" s="1165">
        <f t="shared" si="12"/>
        <v>77000</v>
      </c>
      <c r="AE20" s="1170">
        <f t="shared" si="13"/>
        <v>89000</v>
      </c>
      <c r="AF20" s="1171">
        <f t="shared" si="14"/>
        <v>11000</v>
      </c>
      <c r="AG20" s="1169">
        <f t="shared" si="15"/>
        <v>8000</v>
      </c>
      <c r="AH20" s="1171">
        <f t="shared" si="16"/>
        <v>1000</v>
      </c>
      <c r="AI20" s="1169">
        <f t="shared" si="17"/>
        <v>1000</v>
      </c>
      <c r="AJ20" s="1171">
        <f t="shared" si="18"/>
        <v>12000</v>
      </c>
      <c r="AK20" s="1169">
        <f t="shared" si="19"/>
        <v>8000</v>
      </c>
    </row>
    <row r="21" spans="1:37" ht="19.95" customHeight="1">
      <c r="E21" s="1173"/>
      <c r="F21" s="1181">
        <f>'Major Assumption Key'!$A33</f>
        <v>2034</v>
      </c>
      <c r="G21" s="1182">
        <f>_xlfn.XLOOKUP(F21,'VMT Reduction Supporting'!A:A,'VMT Reduction Supporting'!H:H,,0)</f>
        <v>129998.47660793914</v>
      </c>
      <c r="H21" s="1183">
        <f>IFERROR(_xlfn.XLOOKUP($F21,'Emissions and Fuel'!$A$295:$A$335,'Emissions and Fuel'!$H$295:$H$335,,0),0)+IFERROR(_xlfn.XLOOKUP($F21,'Emissions and Fuel'!$A$295:$A$335,'Emissions and Fuel'!$O$295:$O$335,,),0)+IFERROR(_xlfn.XLOOKUP($F21,'Emissions and Fuel'!$A$342:$A$382,'Emissions and Fuel'!$I$342:$I$382,,0),0)</f>
        <v>261.70013199015096</v>
      </c>
      <c r="I21" s="1184">
        <f>IFERROR(_xlfn.XLOOKUP(F21,'BCA Guide - Parameter Values'!$B$82:$B$112,'BCA Guide - Parameter Values'!$F$82:$F$112,,),0)</f>
        <v>274.27510651825281</v>
      </c>
      <c r="J21" s="1184">
        <f t="shared" si="4"/>
        <v>71777.831577439472</v>
      </c>
      <c r="K21" s="1185">
        <f>_xlfn.XLOOKUP($F21,'Emissions and Fuel'!$A$154:$A$194,'Emissions and Fuel'!$F$154:$F$194,,0)+_xlfn.XLOOKUP($F21,'Emissions and Fuel'!$A$154:$A$194,'Emissions and Fuel'!$K$154:$K$194,,0)+_xlfn.XLOOKUP($F21,'Emissions and Fuel'!$A$154:$A$194,'Emissions and Fuel'!$P$154:$P$194,,0)</f>
        <v>0.26812133296644336</v>
      </c>
      <c r="L21" s="1184">
        <f>IFERROR(_xlfn.XLOOKUP($F21,'BCA Guide - Parameter Values'!$B$82:$B$112,'BCA Guide - Parameter Values'!$C$82:$C$112,,0),0)</f>
        <v>22000</v>
      </c>
      <c r="M21" s="1184">
        <f t="shared" si="0"/>
        <v>5898.6693252617542</v>
      </c>
      <c r="N21" s="1165">
        <f t="shared" si="5"/>
        <v>77676.500902701227</v>
      </c>
      <c r="O21" s="1182">
        <f>_xlfn.XLOOKUP(F21,'VMT Reduction Supporting'!A:A,'VMT Reduction Supporting'!I:I,,0)</f>
        <v>166454.71379976632</v>
      </c>
      <c r="P21" s="1183">
        <f>IFERROR(_xlfn.XLOOKUP($F21,'Emissions and Fuel'!$A$295:$A$335,'Emissions and Fuel'!$I$295:$I$335,,0),0)+IFERROR(_xlfn.XLOOKUP($F21,'Emissions and Fuel'!$A$295:$A$335,'Emissions and Fuel'!$P$295:$P$335,,),0)+IFERROR(_xlfn.XLOOKUP($F21,'Emissions and Fuel'!$A$342:$A$382,'Emissions and Fuel'!$J$342:$J$382,,0),0)</f>
        <v>301.51319768039133</v>
      </c>
      <c r="Q21" s="1184">
        <f>IFERROR(_xlfn.XLOOKUP(F21,'BCA Guide - Parameter Values'!$B$82:$B$112,'BCA Guide - Parameter Values'!$F$82:$F$112,,),0)</f>
        <v>274.27510651825281</v>
      </c>
      <c r="R21" s="1184">
        <f t="shared" si="6"/>
        <v>82697.564410448351</v>
      </c>
      <c r="S21" s="1185">
        <f>_xlfn.XLOOKUP($F21,'Emissions and Fuel'!$A$154:$A$194,'Emissions and Fuel'!$G$154:$G$194,,0)+_xlfn.XLOOKUP($F21,'Emissions and Fuel'!$A$154:$A$194,'Emissions and Fuel'!$L$154:$L$194,,0)+_xlfn.XLOOKUP($F21,'Emissions and Fuel'!$A$154:$A$194,'Emissions and Fuel'!$Q$154:$Q$194,,0)</f>
        <v>0.30301631788792277</v>
      </c>
      <c r="T21" s="1184">
        <f>IFERROR(_xlfn.XLOOKUP($F21,'BCA Guide - Parameter Values'!$B$82:$B$112,'BCA Guide - Parameter Values'!$C$82:$C$112,,0),0)</f>
        <v>22000</v>
      </c>
      <c r="U21" s="1184">
        <f t="shared" si="1"/>
        <v>6666.3589935343007</v>
      </c>
      <c r="V21" s="1170">
        <f t="shared" si="7"/>
        <v>89363.923403982655</v>
      </c>
      <c r="W21" s="1171">
        <f t="shared" si="8"/>
        <v>10919.732833008879</v>
      </c>
      <c r="X21" s="1169">
        <f>W21/(1+0.03)^($F21-'Major Assumption Key'!$B$7)</f>
        <v>7658.8809061550428</v>
      </c>
      <c r="Y21" s="1171">
        <f t="shared" si="9"/>
        <v>767.68966827254644</v>
      </c>
      <c r="Z21" s="1169">
        <f>Y21/(1+'Major Assumption Key'!$B$8)^($F21-'Major Assumption Key'!$B$7)</f>
        <v>532.20838474648315</v>
      </c>
      <c r="AA21" s="1171">
        <f t="shared" si="10"/>
        <v>11687.422501281424</v>
      </c>
      <c r="AB21" s="1169">
        <f t="shared" si="11"/>
        <v>8191.0892909015256</v>
      </c>
      <c r="AC21" s="1155"/>
      <c r="AD21" s="1165">
        <f t="shared" si="12"/>
        <v>78000</v>
      </c>
      <c r="AE21" s="1170">
        <f t="shared" si="13"/>
        <v>89000</v>
      </c>
      <c r="AF21" s="1171">
        <f t="shared" si="14"/>
        <v>11000</v>
      </c>
      <c r="AG21" s="1169">
        <f t="shared" si="15"/>
        <v>8000</v>
      </c>
      <c r="AH21" s="1171">
        <f t="shared" si="16"/>
        <v>1000</v>
      </c>
      <c r="AI21" s="1169">
        <f t="shared" si="17"/>
        <v>1000</v>
      </c>
      <c r="AJ21" s="1171">
        <f t="shared" si="18"/>
        <v>12000</v>
      </c>
      <c r="AK21" s="1169">
        <f t="shared" si="19"/>
        <v>8000</v>
      </c>
    </row>
    <row r="22" spans="1:37" ht="19.95" customHeight="1">
      <c r="E22" s="1173"/>
      <c r="F22" s="1181">
        <f>'Major Assumption Key'!$A34</f>
        <v>2035</v>
      </c>
      <c r="G22" s="1182">
        <f>_xlfn.XLOOKUP(F22,'VMT Reduction Supporting'!A:A,'VMT Reduction Supporting'!H:H,,0)</f>
        <v>130810.19362346479</v>
      </c>
      <c r="H22" s="1183">
        <f>IFERROR(_xlfn.XLOOKUP($F22,'Emissions and Fuel'!$A$295:$A$335,'Emissions and Fuel'!$H$295:$H$335,,0),0)+IFERROR(_xlfn.XLOOKUP($F22,'Emissions and Fuel'!$A$295:$A$335,'Emissions and Fuel'!$O$295:$O$335,,),0)+IFERROR(_xlfn.XLOOKUP($F22,'Emissions and Fuel'!$A$342:$A$382,'Emissions and Fuel'!$I$342:$I$382,,0),0)</f>
        <v>259.67934834389882</v>
      </c>
      <c r="I22" s="1184">
        <f>IFERROR(_xlfn.XLOOKUP(F22,'BCA Guide - Parameter Values'!$B$82:$B$112,'BCA Guide - Parameter Values'!$F$82:$F$112,,),0)</f>
        <v>277.63357721031309</v>
      </c>
      <c r="J22" s="1184">
        <f t="shared" si="4"/>
        <v>72095.70640835962</v>
      </c>
      <c r="K22" s="1185">
        <f>_xlfn.XLOOKUP($F22,'Emissions and Fuel'!$A$154:$A$194,'Emissions and Fuel'!$F$154:$F$194,,0)+_xlfn.XLOOKUP($F22,'Emissions and Fuel'!$A$154:$A$194,'Emissions and Fuel'!$K$154:$K$194,,0)+_xlfn.XLOOKUP($F22,'Emissions and Fuel'!$A$154:$A$194,'Emissions and Fuel'!$P$154:$P$194,,0)</f>
        <v>0.25739791050506627</v>
      </c>
      <c r="L22" s="1184">
        <f>IFERROR(_xlfn.XLOOKUP($F22,'BCA Guide - Parameter Values'!$B$82:$B$112,'BCA Guide - Parameter Values'!$C$82:$C$112,,0),0)</f>
        <v>22000</v>
      </c>
      <c r="M22" s="1184">
        <f t="shared" si="0"/>
        <v>5662.7540311114581</v>
      </c>
      <c r="N22" s="1165">
        <f t="shared" si="5"/>
        <v>77758.460439471077</v>
      </c>
      <c r="O22" s="1182">
        <f>_xlfn.XLOOKUP(F22,'VMT Reduction Supporting'!A:A,'VMT Reduction Supporting'!I:I,,0)</f>
        <v>167656.35236791376</v>
      </c>
      <c r="P22" s="1183">
        <f>IFERROR(_xlfn.XLOOKUP($F22,'Emissions and Fuel'!$A$295:$A$335,'Emissions and Fuel'!$I$295:$I$335,,0),0)+IFERROR(_xlfn.XLOOKUP($F22,'Emissions and Fuel'!$A$295:$A$335,'Emissions and Fuel'!$P$295:$P$335,,),0)+IFERROR(_xlfn.XLOOKUP($F22,'Emissions and Fuel'!$A$342:$A$382,'Emissions and Fuel'!$J$342:$J$382,,0),0)</f>
        <v>299.26676637829001</v>
      </c>
      <c r="Q22" s="1184">
        <f>IFERROR(_xlfn.XLOOKUP(F22,'BCA Guide - Parameter Values'!$B$82:$B$112,'BCA Guide - Parameter Values'!$F$82:$F$112,,),0)</f>
        <v>277.63357721031309</v>
      </c>
      <c r="R22" s="1184">
        <f t="shared" si="6"/>
        <v>83086.502889767711</v>
      </c>
      <c r="S22" s="1185">
        <f>_xlfn.XLOOKUP($F22,'Emissions and Fuel'!$A$154:$A$194,'Emissions and Fuel'!$G$154:$G$194,,0)+_xlfn.XLOOKUP($F22,'Emissions and Fuel'!$A$154:$A$194,'Emissions and Fuel'!$L$154:$L$194,,0)+_xlfn.XLOOKUP($F22,'Emissions and Fuel'!$A$154:$A$194,'Emissions and Fuel'!$Q$154:$Q$194,,0)</f>
        <v>0.29088277179488131</v>
      </c>
      <c r="T22" s="1184">
        <f>IFERROR(_xlfn.XLOOKUP($F22,'BCA Guide - Parameter Values'!$B$82:$B$112,'BCA Guide - Parameter Values'!$C$82:$C$112,,0),0)</f>
        <v>22000</v>
      </c>
      <c r="U22" s="1184">
        <f t="shared" si="1"/>
        <v>6399.4209794873886</v>
      </c>
      <c r="V22" s="1170">
        <f t="shared" si="7"/>
        <v>89485.923869255101</v>
      </c>
      <c r="W22" s="1171">
        <f t="shared" si="8"/>
        <v>10990.796481408091</v>
      </c>
      <c r="X22" s="1169">
        <f>W22/(1+0.03)^($F22-'Major Assumption Key'!$B$7)</f>
        <v>7484.1975916071451</v>
      </c>
      <c r="Y22" s="1171">
        <f t="shared" si="9"/>
        <v>736.66694837593059</v>
      </c>
      <c r="Z22" s="1169">
        <f>Y22/(1+'Major Assumption Key'!$B$8)^($F22-'Major Assumption Key'!$B$7)</f>
        <v>495.34585858550577</v>
      </c>
      <c r="AA22" s="1171">
        <f t="shared" si="10"/>
        <v>11727.463429784022</v>
      </c>
      <c r="AB22" s="1169">
        <f t="shared" si="11"/>
        <v>7979.5434501926511</v>
      </c>
      <c r="AC22" s="1155"/>
      <c r="AD22" s="1165">
        <f t="shared" si="12"/>
        <v>78000</v>
      </c>
      <c r="AE22" s="1170">
        <f t="shared" si="13"/>
        <v>89000</v>
      </c>
      <c r="AF22" s="1171">
        <f t="shared" si="14"/>
        <v>11000</v>
      </c>
      <c r="AG22" s="1169">
        <f t="shared" si="15"/>
        <v>7000</v>
      </c>
      <c r="AH22" s="1171">
        <f t="shared" si="16"/>
        <v>1000</v>
      </c>
      <c r="AI22" s="1169">
        <f t="shared" si="17"/>
        <v>0</v>
      </c>
      <c r="AJ22" s="1171">
        <f t="shared" si="18"/>
        <v>12000</v>
      </c>
      <c r="AK22" s="1169">
        <f t="shared" si="19"/>
        <v>8000</v>
      </c>
    </row>
    <row r="23" spans="1:37" ht="19.95" customHeight="1">
      <c r="E23" s="1173"/>
      <c r="F23" s="1181">
        <f>'Major Assumption Key'!$A35</f>
        <v>2036</v>
      </c>
      <c r="G23" s="1182">
        <f>_xlfn.XLOOKUP(F23,'VMT Reduction Supporting'!A:A,'VMT Reduction Supporting'!H:H,,0)</f>
        <v>131629.56296952936</v>
      </c>
      <c r="H23" s="1183">
        <f>IFERROR(_xlfn.XLOOKUP($F23,'Emissions and Fuel'!$A$295:$A$335,'Emissions and Fuel'!$H$295:$H$335,,0),0)+IFERROR(_xlfn.XLOOKUP($F23,'Emissions and Fuel'!$A$295:$A$335,'Emissions and Fuel'!$O$295:$O$335,,),0)+IFERROR(_xlfn.XLOOKUP($F23,'Emissions and Fuel'!$A$342:$A$382,'Emissions and Fuel'!$I$342:$I$382,,0),0)</f>
        <v>257.71264208298766</v>
      </c>
      <c r="I23" s="1184">
        <f>IFERROR(_xlfn.XLOOKUP(F23,'BCA Guide - Parameter Values'!$B$82:$B$112,'BCA Guide - Parameter Values'!$F$82:$F$112,,),0)</f>
        <v>282.11153813306004</v>
      </c>
      <c r="J23" s="1184">
        <f t="shared" si="4"/>
        <v>72703.709854366432</v>
      </c>
      <c r="K23" s="1185">
        <f>_xlfn.XLOOKUP($F23,'Emissions and Fuel'!$A$154:$A$194,'Emissions and Fuel'!$F$154:$F$194,,0)+_xlfn.XLOOKUP($F23,'Emissions and Fuel'!$A$154:$A$194,'Emissions and Fuel'!$K$154:$K$194,,0)+_xlfn.XLOOKUP($F23,'Emissions and Fuel'!$A$154:$A$194,'Emissions and Fuel'!$P$154:$P$194,,0)</f>
        <v>0.247104337029104</v>
      </c>
      <c r="L23" s="1184">
        <f>IFERROR(_xlfn.XLOOKUP($F23,'BCA Guide - Parameter Values'!$B$82:$B$112,'BCA Guide - Parameter Values'!$C$82:$C$112,,0),0)</f>
        <v>22000</v>
      </c>
      <c r="M23" s="1184">
        <f t="shared" si="0"/>
        <v>5436.2954146402881</v>
      </c>
      <c r="N23" s="1165">
        <f t="shared" si="5"/>
        <v>78140.005269006724</v>
      </c>
      <c r="O23" s="1182">
        <f>_xlfn.XLOOKUP(F23,'VMT Reduction Supporting'!A:A,'VMT Reduction Supporting'!I:I,,0)</f>
        <v>168870.82815355281</v>
      </c>
      <c r="P23" s="1183">
        <f>IFERROR(_xlfn.XLOOKUP($F23,'Emissions and Fuel'!$A$295:$A$335,'Emissions and Fuel'!$I$295:$I$335,,0),0)+IFERROR(_xlfn.XLOOKUP($F23,'Emissions and Fuel'!$A$295:$A$335,'Emissions and Fuel'!$P$295:$P$335,,),0)+IFERROR(_xlfn.XLOOKUP($F23,'Emissions and Fuel'!$A$342:$A$382,'Emissions and Fuel'!$J$342:$J$382,,0),0)</f>
        <v>297.08206152469302</v>
      </c>
      <c r="Q23" s="1184">
        <f>IFERROR(_xlfn.XLOOKUP(F23,'BCA Guide - Parameter Values'!$B$82:$B$112,'BCA Guide - Parameter Values'!$F$82:$F$112,,),0)</f>
        <v>282.11153813306004</v>
      </c>
      <c r="R23" s="1184">
        <f t="shared" si="6"/>
        <v>83810.277328471522</v>
      </c>
      <c r="S23" s="1185">
        <f>_xlfn.XLOOKUP($F23,'Emissions and Fuel'!$A$154:$A$194,'Emissions and Fuel'!$G$154:$G$194,,0)+_xlfn.XLOOKUP($F23,'Emissions and Fuel'!$A$154:$A$194,'Emissions and Fuel'!$L$154:$L$194,,0)+_xlfn.XLOOKUP($F23,'Emissions and Fuel'!$A$154:$A$194,'Emissions and Fuel'!$Q$154:$Q$194,,0)</f>
        <v>0.27923686341839343</v>
      </c>
      <c r="T23" s="1184">
        <f>IFERROR(_xlfn.XLOOKUP($F23,'BCA Guide - Parameter Values'!$B$82:$B$112,'BCA Guide - Parameter Values'!$C$82:$C$112,,0),0)</f>
        <v>22000</v>
      </c>
      <c r="U23" s="1184">
        <f t="shared" si="1"/>
        <v>6143.2109952046558</v>
      </c>
      <c r="V23" s="1170">
        <f t="shared" si="7"/>
        <v>89953.488323676182</v>
      </c>
      <c r="W23" s="1171">
        <f t="shared" si="8"/>
        <v>11106.56747410509</v>
      </c>
      <c r="X23" s="1169">
        <f>W23/(1+0.03)^($F23-'Major Assumption Key'!$B$7)</f>
        <v>7342.7495186568012</v>
      </c>
      <c r="Y23" s="1171">
        <f t="shared" si="9"/>
        <v>706.9155805643677</v>
      </c>
      <c r="Z23" s="1169">
        <f>Y23/(1+'Major Assumption Key'!$B$8)^($F23-'Major Assumption Key'!$B$7)</f>
        <v>461.04810331437523</v>
      </c>
      <c r="AA23" s="1171">
        <f t="shared" si="10"/>
        <v>11813.483054669457</v>
      </c>
      <c r="AB23" s="1169">
        <f t="shared" si="11"/>
        <v>7803.7976219711763</v>
      </c>
      <c r="AC23" s="1155"/>
      <c r="AD23" s="1165">
        <f t="shared" si="12"/>
        <v>78000</v>
      </c>
      <c r="AE23" s="1170">
        <f t="shared" si="13"/>
        <v>90000</v>
      </c>
      <c r="AF23" s="1171">
        <f t="shared" si="14"/>
        <v>11000</v>
      </c>
      <c r="AG23" s="1169">
        <f t="shared" si="15"/>
        <v>7000</v>
      </c>
      <c r="AH23" s="1171">
        <f t="shared" si="16"/>
        <v>1000</v>
      </c>
      <c r="AI23" s="1169">
        <f t="shared" si="17"/>
        <v>0</v>
      </c>
      <c r="AJ23" s="1171">
        <f t="shared" si="18"/>
        <v>12000</v>
      </c>
      <c r="AK23" s="1169">
        <f t="shared" si="19"/>
        <v>8000</v>
      </c>
    </row>
    <row r="24" spans="1:37" ht="19.95" customHeight="1">
      <c r="E24" s="1173"/>
      <c r="F24" s="1181">
        <f>'Major Assumption Key'!$A36</f>
        <v>2037</v>
      </c>
      <c r="G24" s="1182">
        <f>_xlfn.XLOOKUP(F24,'VMT Reduction Supporting'!A:A,'VMT Reduction Supporting'!H:H,,0)</f>
        <v>132456.68059915933</v>
      </c>
      <c r="H24" s="1183">
        <f>IFERROR(_xlfn.XLOOKUP($F24,'Emissions and Fuel'!$A$295:$A$335,'Emissions and Fuel'!$H$295:$H$335,,0),0)+IFERROR(_xlfn.XLOOKUP($F24,'Emissions and Fuel'!$A$295:$A$335,'Emissions and Fuel'!$O$295:$O$335,,),0)+IFERROR(_xlfn.XLOOKUP($F24,'Emissions and Fuel'!$A$342:$A$382,'Emissions and Fuel'!$I$342:$I$382,,0),0)</f>
        <v>255.79815563581209</v>
      </c>
      <c r="I24" s="1184">
        <f>IFERROR(_xlfn.XLOOKUP(F24,'BCA Guide - Parameter Values'!$B$82:$B$112,'BCA Guide - Parameter Values'!$F$82:$F$112,,),0)</f>
        <v>286.58949905580704</v>
      </c>
      <c r="J24" s="1184">
        <f t="shared" si="4"/>
        <v>73309.065283066753</v>
      </c>
      <c r="K24" s="1185">
        <f>_xlfn.XLOOKUP($F24,'Emissions and Fuel'!$A$154:$A$194,'Emissions and Fuel'!$F$154:$F$194,,0)+_xlfn.XLOOKUP($F24,'Emissions and Fuel'!$A$154:$A$194,'Emissions and Fuel'!$K$154:$K$194,,0)+_xlfn.XLOOKUP($F24,'Emissions and Fuel'!$A$154:$A$194,'Emissions and Fuel'!$P$154:$P$194,,0)</f>
        <v>0.23722329786649277</v>
      </c>
      <c r="L24" s="1184">
        <f>IFERROR(_xlfn.XLOOKUP($F24,'BCA Guide - Parameter Values'!$B$82:$B$112,'BCA Guide - Parameter Values'!$C$82:$C$112,,0),0)</f>
        <v>22000</v>
      </c>
      <c r="M24" s="1184">
        <f t="shared" si="0"/>
        <v>5218.9125530628407</v>
      </c>
      <c r="N24" s="1165">
        <f t="shared" si="5"/>
        <v>78527.97783612959</v>
      </c>
      <c r="O24" s="1182">
        <f>_xlfn.XLOOKUP(F24,'VMT Reduction Supporting'!A:A,'VMT Reduction Supporting'!I:I,,0)</f>
        <v>170098.31134947221</v>
      </c>
      <c r="P24" s="1183">
        <f>IFERROR(_xlfn.XLOOKUP($F24,'Emissions and Fuel'!$A$295:$A$335,'Emissions and Fuel'!$I$295:$I$335,,0),0)+IFERROR(_xlfn.XLOOKUP($F24,'Emissions and Fuel'!$A$295:$A$335,'Emissions and Fuel'!$P$295:$P$335,,),0)+IFERROR(_xlfn.XLOOKUP($F24,'Emissions and Fuel'!$A$342:$A$382,'Emissions and Fuel'!$J$342:$J$382,,0),0)</f>
        <v>294.95698743746931</v>
      </c>
      <c r="Q24" s="1184">
        <f>IFERROR(_xlfn.XLOOKUP(F24,'BCA Guide - Parameter Values'!$B$82:$B$112,'BCA Guide - Parameter Values'!$F$82:$F$112,,),0)</f>
        <v>286.58949905580704</v>
      </c>
      <c r="R24" s="1184">
        <f t="shared" si="6"/>
        <v>84531.575272714297</v>
      </c>
      <c r="S24" s="1185">
        <f>_xlfn.XLOOKUP($F24,'Emissions and Fuel'!$A$154:$A$194,'Emissions and Fuel'!$G$154:$G$194,,0)+_xlfn.XLOOKUP($F24,'Emissions and Fuel'!$A$154:$A$194,'Emissions and Fuel'!$L$154:$L$194,,0)+_xlfn.XLOOKUP($F24,'Emissions and Fuel'!$A$154:$A$194,'Emissions and Fuel'!$Q$154:$Q$194,,0)</f>
        <v>0.26805884042646472</v>
      </c>
      <c r="T24" s="1184">
        <f>IFERROR(_xlfn.XLOOKUP($F24,'BCA Guide - Parameter Values'!$B$82:$B$112,'BCA Guide - Parameter Values'!$C$82:$C$112,,0),0)</f>
        <v>22000</v>
      </c>
      <c r="U24" s="1184">
        <f t="shared" si="1"/>
        <v>5897.2944893822241</v>
      </c>
      <c r="V24" s="1170">
        <f t="shared" si="7"/>
        <v>90428.869762096525</v>
      </c>
      <c r="W24" s="1171">
        <f t="shared" si="8"/>
        <v>11222.509989647544</v>
      </c>
      <c r="X24" s="1169">
        <f>W24/(1+0.03)^($F24-'Major Assumption Key'!$B$7)</f>
        <v>7203.3021166342905</v>
      </c>
      <c r="Y24" s="1171">
        <f t="shared" si="9"/>
        <v>678.38193631938339</v>
      </c>
      <c r="Z24" s="1169">
        <f>Y24/(1+'Major Assumption Key'!$B$8)^($F24-'Major Assumption Key'!$B$7)</f>
        <v>429.1353548834129</v>
      </c>
      <c r="AA24" s="1171">
        <f t="shared" si="10"/>
        <v>11900.891925966927</v>
      </c>
      <c r="AB24" s="1169">
        <f t="shared" si="11"/>
        <v>7632.4374715177037</v>
      </c>
      <c r="AC24" s="1155"/>
      <c r="AD24" s="1165">
        <f t="shared" si="12"/>
        <v>79000</v>
      </c>
      <c r="AE24" s="1170">
        <f t="shared" si="13"/>
        <v>90000</v>
      </c>
      <c r="AF24" s="1171">
        <f t="shared" si="14"/>
        <v>11000</v>
      </c>
      <c r="AG24" s="1169">
        <f t="shared" si="15"/>
        <v>7000</v>
      </c>
      <c r="AH24" s="1171">
        <f t="shared" si="16"/>
        <v>1000</v>
      </c>
      <c r="AI24" s="1169">
        <f t="shared" si="17"/>
        <v>0</v>
      </c>
      <c r="AJ24" s="1171">
        <f t="shared" si="18"/>
        <v>12000</v>
      </c>
      <c r="AK24" s="1169">
        <f t="shared" si="19"/>
        <v>8000</v>
      </c>
    </row>
    <row r="25" spans="1:37" ht="19.95" customHeight="1">
      <c r="E25" s="1173"/>
      <c r="F25" s="1181">
        <f>'Major Assumption Key'!$A37</f>
        <v>2038</v>
      </c>
      <c r="G25" s="1182">
        <f>_xlfn.XLOOKUP(F25,'VMT Reduction Supporting'!A:A,'VMT Reduction Supporting'!H:H,,0)</f>
        <v>133291.64381388196</v>
      </c>
      <c r="H25" s="1183">
        <f>IFERROR(_xlfn.XLOOKUP($F25,'Emissions and Fuel'!$A$295:$A$335,'Emissions and Fuel'!$H$295:$H$335,,0),0)+IFERROR(_xlfn.XLOOKUP($F25,'Emissions and Fuel'!$A$295:$A$335,'Emissions and Fuel'!$O$295:$O$335,,),0)+IFERROR(_xlfn.XLOOKUP($F25,'Emissions and Fuel'!$A$342:$A$382,'Emissions and Fuel'!$I$342:$I$382,,0),0)</f>
        <v>253.93411831490897</v>
      </c>
      <c r="I25" s="1184">
        <f>IFERROR(_xlfn.XLOOKUP(F25,'BCA Guide - Parameter Values'!$B$82:$B$112,'BCA Guide - Parameter Values'!$F$82:$F$112,,),0)</f>
        <v>289.94796974786726</v>
      </c>
      <c r="J25" s="1184">
        <f t="shared" si="4"/>
        <v>73627.682055122568</v>
      </c>
      <c r="K25" s="1185">
        <f>_xlfn.XLOOKUP($F25,'Emissions and Fuel'!$A$154:$A$194,'Emissions and Fuel'!$F$154:$F$194,,0)+_xlfn.XLOOKUP($F25,'Emissions and Fuel'!$A$154:$A$194,'Emissions and Fuel'!$K$154:$K$194,,0)+_xlfn.XLOOKUP($F25,'Emissions and Fuel'!$A$154:$A$194,'Emissions and Fuel'!$P$154:$P$194,,0)</f>
        <v>0.2277381830836567</v>
      </c>
      <c r="L25" s="1184">
        <f>IFERROR(_xlfn.XLOOKUP($F25,'BCA Guide - Parameter Values'!$B$82:$B$112,'BCA Guide - Parameter Values'!$C$82:$C$112,,0),0)</f>
        <v>22000</v>
      </c>
      <c r="M25" s="1184">
        <f t="shared" si="0"/>
        <v>5010.2400278404475</v>
      </c>
      <c r="N25" s="1165">
        <f t="shared" si="5"/>
        <v>78637.922082963021</v>
      </c>
      <c r="O25" s="1182">
        <f>_xlfn.XLOOKUP(F25,'VMT Reduction Supporting'!A:A,'VMT Reduction Supporting'!I:I,,0)</f>
        <v>171338.97458266688</v>
      </c>
      <c r="P25" s="1183">
        <f>IFERROR(_xlfn.XLOOKUP($F25,'Emissions and Fuel'!$A$295:$A$335,'Emissions and Fuel'!$I$295:$I$335,,0),0)+IFERROR(_xlfn.XLOOKUP($F25,'Emissions and Fuel'!$A$295:$A$335,'Emissions and Fuel'!$P$295:$P$335,,),0)+IFERROR(_xlfn.XLOOKUP($F25,'Emissions and Fuel'!$A$342:$A$382,'Emissions and Fuel'!$J$342:$J$382,,0),0)</f>
        <v>292.88954674696873</v>
      </c>
      <c r="Q25" s="1184">
        <f>IFERROR(_xlfn.XLOOKUP(F25,'BCA Guide - Parameter Values'!$B$82:$B$112,'BCA Guide - Parameter Values'!$F$82:$F$112,,),0)</f>
        <v>289.94796974786726</v>
      </c>
      <c r="R25" s="1184">
        <f t="shared" si="6"/>
        <v>84922.729439656643</v>
      </c>
      <c r="S25" s="1185">
        <f>_xlfn.XLOOKUP($F25,'Emissions and Fuel'!$A$154:$A$194,'Emissions and Fuel'!$G$154:$G$194,,0)+_xlfn.XLOOKUP($F25,'Emissions and Fuel'!$A$154:$A$194,'Emissions and Fuel'!$L$154:$L$194,,0)+_xlfn.XLOOKUP($F25,'Emissions and Fuel'!$A$154:$A$194,'Emissions and Fuel'!$Q$154:$Q$194,,0)</f>
        <v>0.25732976395492674</v>
      </c>
      <c r="T25" s="1184">
        <f>IFERROR(_xlfn.XLOOKUP($F25,'BCA Guide - Parameter Values'!$B$82:$B$112,'BCA Guide - Parameter Values'!$C$82:$C$112,,0),0)</f>
        <v>22000</v>
      </c>
      <c r="U25" s="1184">
        <f t="shared" si="1"/>
        <v>5661.2548070083885</v>
      </c>
      <c r="V25" s="1170">
        <f t="shared" si="7"/>
        <v>90583.98424666503</v>
      </c>
      <c r="W25" s="1171">
        <f t="shared" si="8"/>
        <v>11295.047384534075</v>
      </c>
      <c r="X25" s="1169">
        <f>W25/(1+0.03)^($F25-'Major Assumption Key'!$B$7)</f>
        <v>7038.7001069662574</v>
      </c>
      <c r="Y25" s="1171">
        <f t="shared" si="9"/>
        <v>651.01477916794101</v>
      </c>
      <c r="Z25" s="1169">
        <f>Y25/(1+'Major Assumption Key'!$B$8)^($F25-'Major Assumption Key'!$B$7)</f>
        <v>399.44059814437622</v>
      </c>
      <c r="AA25" s="1171">
        <f t="shared" si="10"/>
        <v>11946.062163702016</v>
      </c>
      <c r="AB25" s="1169">
        <f t="shared" si="11"/>
        <v>7438.1407051106335</v>
      </c>
      <c r="AC25" s="1155"/>
      <c r="AD25" s="1165">
        <f t="shared" si="12"/>
        <v>79000</v>
      </c>
      <c r="AE25" s="1170">
        <f t="shared" si="13"/>
        <v>91000</v>
      </c>
      <c r="AF25" s="1171">
        <f t="shared" si="14"/>
        <v>11000</v>
      </c>
      <c r="AG25" s="1169">
        <f t="shared" si="15"/>
        <v>7000</v>
      </c>
      <c r="AH25" s="1171">
        <f t="shared" si="16"/>
        <v>1000</v>
      </c>
      <c r="AI25" s="1169">
        <f t="shared" si="17"/>
        <v>0</v>
      </c>
      <c r="AJ25" s="1171">
        <f t="shared" si="18"/>
        <v>12000</v>
      </c>
      <c r="AK25" s="1169">
        <f t="shared" si="19"/>
        <v>7000</v>
      </c>
    </row>
    <row r="26" spans="1:37" ht="19.95" customHeight="1">
      <c r="E26" s="1173"/>
      <c r="F26" s="1181">
        <f>'Major Assumption Key'!$A38</f>
        <v>2039</v>
      </c>
      <c r="G26" s="1182">
        <f>_xlfn.XLOOKUP(F26,'VMT Reduction Supporting'!A:A,'VMT Reduction Supporting'!H:H,,0)</f>
        <v>134134.55128334393</v>
      </c>
      <c r="H26" s="1183">
        <f>IFERROR(_xlfn.XLOOKUP($F26,'Emissions and Fuel'!$A$295:$A$335,'Emissions and Fuel'!$H$295:$H$335,,0),0)+IFERROR(_xlfn.XLOOKUP($F26,'Emissions and Fuel'!$A$295:$A$335,'Emissions and Fuel'!$O$295:$O$335,,),0)+IFERROR(_xlfn.XLOOKUP($F26,'Emissions and Fuel'!$A$342:$A$382,'Emissions and Fuel'!$I$342:$I$382,,0),0)</f>
        <v>252.1188413344324</v>
      </c>
      <c r="I26" s="1184">
        <f>IFERROR(_xlfn.XLOOKUP(F26,'BCA Guide - Parameter Values'!$B$82:$B$112,'BCA Guide - Parameter Values'!$F$82:$F$112,,),0)</f>
        <v>294.42593067061426</v>
      </c>
      <c r="J26" s="1184">
        <f t="shared" si="4"/>
        <v>74230.324499487193</v>
      </c>
      <c r="K26" s="1185">
        <f>_xlfn.XLOOKUP($F26,'Emissions and Fuel'!$A$154:$A$194,'Emissions and Fuel'!$F$154:$F$194,,0)+_xlfn.XLOOKUP($F26,'Emissions and Fuel'!$A$154:$A$194,'Emissions and Fuel'!$K$154:$K$194,,0)+_xlfn.XLOOKUP($F26,'Emissions and Fuel'!$A$154:$A$194,'Emissions and Fuel'!$P$154:$P$194,,0)</f>
        <v>0.21863305817305567</v>
      </c>
      <c r="L26" s="1184">
        <f>IFERROR(_xlfn.XLOOKUP($F26,'BCA Guide - Parameter Values'!$B$82:$B$112,'BCA Guide - Parameter Values'!$C$82:$C$112,,0),0)</f>
        <v>22000</v>
      </c>
      <c r="M26" s="1184">
        <f t="shared" si="0"/>
        <v>4809.9272798072252</v>
      </c>
      <c r="N26" s="1165">
        <f t="shared" si="5"/>
        <v>79040.251779294413</v>
      </c>
      <c r="O26" s="1182">
        <f>_xlfn.XLOOKUP(F26,'VMT Reduction Supporting'!A:A,'VMT Reduction Supporting'!I:I,,0)</f>
        <v>172592.9929499249</v>
      </c>
      <c r="P26" s="1183">
        <f>IFERROR(_xlfn.XLOOKUP($F26,'Emissions and Fuel'!$A$295:$A$335,'Emissions and Fuel'!$I$295:$I$335,,0),0)+IFERROR(_xlfn.XLOOKUP($F26,'Emissions and Fuel'!$A$295:$A$335,'Emissions and Fuel'!$P$295:$P$335,,),0)+IFERROR(_xlfn.XLOOKUP($F26,'Emissions and Fuel'!$A$342:$A$382,'Emissions and Fuel'!$J$342:$J$382,,0),0)</f>
        <v>290.87783476557917</v>
      </c>
      <c r="Q26" s="1184">
        <f>IFERROR(_xlfn.XLOOKUP(F26,'BCA Guide - Parameter Values'!$B$82:$B$112,'BCA Guide - Parameter Values'!$F$82:$F$112,,),0)</f>
        <v>294.42593067061426</v>
      </c>
      <c r="R26" s="1184">
        <f t="shared" si="6"/>
        <v>85641.977212308804</v>
      </c>
      <c r="S26" s="1185">
        <f>_xlfn.XLOOKUP($F26,'Emissions and Fuel'!$A$154:$A$194,'Emissions and Fuel'!$G$154:$G$194,,0)+_xlfn.XLOOKUP($F26,'Emissions and Fuel'!$A$154:$A$194,'Emissions and Fuel'!$L$154:$L$194,,0)+_xlfn.XLOOKUP($F26,'Emissions and Fuel'!$A$154:$A$194,'Emissions and Fuel'!$Q$154:$Q$194,,0)</f>
        <v>0.24703147395709452</v>
      </c>
      <c r="T26" s="1184">
        <f>IFERROR(_xlfn.XLOOKUP($F26,'BCA Guide - Parameter Values'!$B$82:$B$112,'BCA Guide - Parameter Values'!$C$82:$C$112,,0),0)</f>
        <v>22000</v>
      </c>
      <c r="U26" s="1184">
        <f t="shared" si="1"/>
        <v>5434.6924270560794</v>
      </c>
      <c r="V26" s="1170">
        <f t="shared" si="7"/>
        <v>91076.669639364889</v>
      </c>
      <c r="W26" s="1171">
        <f t="shared" si="8"/>
        <v>11411.652712821611</v>
      </c>
      <c r="X26" s="1169">
        <f>W26/(1+0.03)^($F26-'Major Assumption Key'!$B$7)</f>
        <v>6904.2375655261731</v>
      </c>
      <c r="Y26" s="1171">
        <f t="shared" si="9"/>
        <v>624.76514724885419</v>
      </c>
      <c r="Z26" s="1169">
        <f>Y26/(1+'Major Assumption Key'!$B$8)^($F26-'Major Assumption Key'!$B$7)</f>
        <v>371.80864587753121</v>
      </c>
      <c r="AA26" s="1171">
        <f t="shared" si="10"/>
        <v>12036.417860070465</v>
      </c>
      <c r="AB26" s="1169">
        <f t="shared" si="11"/>
        <v>7276.0462114037045</v>
      </c>
      <c r="AC26" s="1155"/>
      <c r="AD26" s="1165">
        <f t="shared" si="12"/>
        <v>79000</v>
      </c>
      <c r="AE26" s="1170">
        <f t="shared" si="13"/>
        <v>91000</v>
      </c>
      <c r="AF26" s="1171">
        <f t="shared" si="14"/>
        <v>11000</v>
      </c>
      <c r="AG26" s="1169">
        <f t="shared" si="15"/>
        <v>7000</v>
      </c>
      <c r="AH26" s="1171">
        <f t="shared" si="16"/>
        <v>1000</v>
      </c>
      <c r="AI26" s="1169">
        <f t="shared" si="17"/>
        <v>0</v>
      </c>
      <c r="AJ26" s="1171">
        <f t="shared" si="18"/>
        <v>12000</v>
      </c>
      <c r="AK26" s="1169">
        <f t="shared" si="19"/>
        <v>7000</v>
      </c>
    </row>
    <row r="27" spans="1:37" ht="19.95" customHeight="1">
      <c r="E27" s="1173"/>
      <c r="F27" s="1181">
        <f>'Major Assumption Key'!$A39</f>
        <v>2040</v>
      </c>
      <c r="G27" s="1182">
        <f>_xlfn.XLOOKUP(F27,'VMT Reduction Supporting'!A:A,'VMT Reduction Supporting'!H:H,,0)</f>
        <v>134985.50306521778</v>
      </c>
      <c r="H27" s="1183">
        <f>IFERROR(_xlfn.XLOOKUP($F27,'Emissions and Fuel'!$A$295:$A$335,'Emissions and Fuel'!$H$295:$H$335,,0),0)+IFERROR(_xlfn.XLOOKUP($F27,'Emissions and Fuel'!$A$295:$A$335,'Emissions and Fuel'!$O$295:$O$335,,),0)+IFERROR(_xlfn.XLOOKUP($F27,'Emissions and Fuel'!$A$342:$A$382,'Emissions and Fuel'!$I$342:$I$382,,0),0)</f>
        <v>250.35071316730304</v>
      </c>
      <c r="I27" s="1184">
        <f>IFERROR(_xlfn.XLOOKUP(F27,'BCA Guide - Parameter Values'!$B$82:$B$112,'BCA Guide - Parameter Values'!$F$82:$F$112,,),0)</f>
        <v>298.90389159336127</v>
      </c>
      <c r="J27" s="1184">
        <f t="shared" si="4"/>
        <v>74830.802428880226</v>
      </c>
      <c r="K27" s="1185">
        <f>_xlfn.XLOOKUP($F27,'Emissions and Fuel'!$A$154:$A$194,'Emissions and Fuel'!$F$154:$F$194,,0)+_xlfn.XLOOKUP($F27,'Emissions and Fuel'!$A$154:$A$194,'Emissions and Fuel'!$K$154:$K$194,,0)+_xlfn.XLOOKUP($F27,'Emissions and Fuel'!$A$154:$A$194,'Emissions and Fuel'!$P$154:$P$194,,0)</f>
        <v>0.20989263601353608</v>
      </c>
      <c r="L27" s="1184">
        <f>IFERROR(_xlfn.XLOOKUP($F27,'BCA Guide - Parameter Values'!$B$82:$B$112,'BCA Guide - Parameter Values'!$C$82:$C$112,,0),0)</f>
        <v>22000</v>
      </c>
      <c r="M27" s="1184">
        <f t="shared" si="0"/>
        <v>4617.637992297794</v>
      </c>
      <c r="N27" s="1165">
        <f t="shared" si="5"/>
        <v>79448.44042117802</v>
      </c>
      <c r="O27" s="1182">
        <f>_xlfn.XLOOKUP(F27,'VMT Reduction Supporting'!A:A,'VMT Reduction Supporting'!I:I,,0)</f>
        <v>173860.54405393836</v>
      </c>
      <c r="P27" s="1183">
        <f>IFERROR(_xlfn.XLOOKUP($F27,'Emissions and Fuel'!$A$295:$A$335,'Emissions and Fuel'!$I$295:$I$335,,0),0)+IFERROR(_xlfn.XLOOKUP($F27,'Emissions and Fuel'!$A$295:$A$335,'Emissions and Fuel'!$P$295:$P$335,,),0)+IFERROR(_xlfn.XLOOKUP($F27,'Emissions and Fuel'!$A$342:$A$382,'Emissions and Fuel'!$J$342:$J$382,,0),0)</f>
        <v>288.92003424108981</v>
      </c>
      <c r="Q27" s="1184">
        <f>IFERROR(_xlfn.XLOOKUP(F27,'BCA Guide - Parameter Values'!$B$82:$B$112,'BCA Guide - Parameter Values'!$F$82:$F$112,,),0)</f>
        <v>298.90389159336127</v>
      </c>
      <c r="R27" s="1184">
        <f t="shared" si="6"/>
        <v>86359.322593948935</v>
      </c>
      <c r="S27" s="1185">
        <f>_xlfn.XLOOKUP($F27,'Emissions and Fuel'!$A$154:$A$194,'Emissions and Fuel'!$G$154:$G$194,,0)+_xlfn.XLOOKUP($F27,'Emissions and Fuel'!$A$154:$A$194,'Emissions and Fuel'!$L$154:$L$194,,0)+_xlfn.XLOOKUP($F27,'Emissions and Fuel'!$A$154:$A$194,'Emissions and Fuel'!$Q$154:$Q$194,,0)</f>
        <v>0.23714655612648247</v>
      </c>
      <c r="T27" s="1184">
        <f>IFERROR(_xlfn.XLOOKUP($F27,'BCA Guide - Parameter Values'!$B$82:$B$112,'BCA Guide - Parameter Values'!$C$82:$C$112,,0),0)</f>
        <v>22000</v>
      </c>
      <c r="U27" s="1184">
        <f t="shared" si="1"/>
        <v>5217.2242347826141</v>
      </c>
      <c r="V27" s="1170">
        <f t="shared" si="7"/>
        <v>91576.546828731545</v>
      </c>
      <c r="W27" s="1171">
        <f t="shared" si="8"/>
        <v>11528.520165068709</v>
      </c>
      <c r="X27" s="1169">
        <f>W27/(1+0.03)^($F27-'Major Assumption Key'!$B$7)</f>
        <v>6771.7905787569371</v>
      </c>
      <c r="Y27" s="1171">
        <f t="shared" si="9"/>
        <v>599.5862424848201</v>
      </c>
      <c r="Z27" s="1169">
        <f>Y27/(1+'Major Assumption Key'!$B$8)^($F27-'Major Assumption Key'!$B$7)</f>
        <v>346.09528622237042</v>
      </c>
      <c r="AA27" s="1171">
        <f t="shared" si="10"/>
        <v>12128.106407553529</v>
      </c>
      <c r="AB27" s="1169">
        <f t="shared" si="11"/>
        <v>7117.8858649793074</v>
      </c>
      <c r="AC27" s="1155"/>
      <c r="AD27" s="1165">
        <f t="shared" si="12"/>
        <v>79000</v>
      </c>
      <c r="AE27" s="1170">
        <f t="shared" si="13"/>
        <v>92000</v>
      </c>
      <c r="AF27" s="1171">
        <f t="shared" si="14"/>
        <v>12000</v>
      </c>
      <c r="AG27" s="1169">
        <f t="shared" si="15"/>
        <v>7000</v>
      </c>
      <c r="AH27" s="1171">
        <f t="shared" si="16"/>
        <v>1000</v>
      </c>
      <c r="AI27" s="1169">
        <f t="shared" si="17"/>
        <v>0</v>
      </c>
      <c r="AJ27" s="1171">
        <f t="shared" si="18"/>
        <v>12000</v>
      </c>
      <c r="AK27" s="1169">
        <f t="shared" si="19"/>
        <v>7000</v>
      </c>
    </row>
    <row r="28" spans="1:37" ht="19.95" customHeight="1">
      <c r="E28" s="1173"/>
      <c r="F28" s="1181">
        <f>'Major Assumption Key'!$A40</f>
        <v>2041</v>
      </c>
      <c r="G28" s="1182">
        <f>_xlfn.XLOOKUP(F28,'VMT Reduction Supporting'!A:A,'VMT Reduction Supporting'!H:H,,0)</f>
        <v>135844.60062540101</v>
      </c>
      <c r="H28" s="1183">
        <f>IFERROR(_xlfn.XLOOKUP($F28,'Emissions and Fuel'!$A$295:$A$335,'Emissions and Fuel'!$H$295:$H$335,,0),0)+IFERROR(_xlfn.XLOOKUP($F28,'Emissions and Fuel'!$A$295:$A$335,'Emissions and Fuel'!$O$295:$O$335,,),0)+IFERROR(_xlfn.XLOOKUP($F28,'Emissions and Fuel'!$A$342:$A$382,'Emissions and Fuel'!$I$342:$I$382,,0),0)</f>
        <v>248.6281952153268</v>
      </c>
      <c r="I28" s="1184">
        <f>IFERROR(_xlfn.XLOOKUP(F28,'BCA Guide - Parameter Values'!$B$82:$B$112,'BCA Guide - Parameter Values'!$F$82:$F$112,,),0)</f>
        <v>303.38185251610821</v>
      </c>
      <c r="J28" s="1184">
        <f t="shared" si="4"/>
        <v>75429.282452162442</v>
      </c>
      <c r="K28" s="1185">
        <f>_xlfn.XLOOKUP($F28,'Emissions and Fuel'!$A$154:$A$194,'Emissions and Fuel'!$F$154:$F$194,,0)+_xlfn.XLOOKUP($F28,'Emissions and Fuel'!$A$154:$A$194,'Emissions and Fuel'!$K$154:$K$194,,0)+_xlfn.XLOOKUP($F28,'Emissions and Fuel'!$A$154:$A$194,'Emissions and Fuel'!$P$154:$P$194,,0)</f>
        <v>0.21058992523271594</v>
      </c>
      <c r="L28" s="1184">
        <f>IFERROR(_xlfn.XLOOKUP($F28,'BCA Guide - Parameter Values'!$B$82:$B$112,'BCA Guide - Parameter Values'!$C$82:$C$112,,0),0)</f>
        <v>22000</v>
      </c>
      <c r="M28" s="1184">
        <f t="shared" si="0"/>
        <v>4632.9783551197506</v>
      </c>
      <c r="N28" s="1165">
        <f t="shared" si="5"/>
        <v>80062.260807282189</v>
      </c>
      <c r="O28" s="1182">
        <f>_xlfn.XLOOKUP(F28,'VMT Reduction Supporting'!A:A,'VMT Reduction Supporting'!I:I,,0)</f>
        <v>175141.80803994476</v>
      </c>
      <c r="P28" s="1183">
        <f>IFERROR(_xlfn.XLOOKUP($F28,'Emissions and Fuel'!$A$295:$A$335,'Emissions and Fuel'!$I$295:$I$335,,0),0)+IFERROR(_xlfn.XLOOKUP($F28,'Emissions and Fuel'!$A$295:$A$335,'Emissions and Fuel'!$P$295:$P$335,,),0)+IFERROR(_xlfn.XLOOKUP($F28,'Emissions and Fuel'!$A$342:$A$382,'Emissions and Fuel'!$J$342:$J$382,,0),0)</f>
        <v>287.01441046369212</v>
      </c>
      <c r="Q28" s="1184">
        <f>IFERROR(_xlfn.XLOOKUP(F28,'BCA Guide - Parameter Values'!$B$82:$B$112,'BCA Guide - Parameter Values'!$F$82:$F$112,,),0)</f>
        <v>303.38185251610821</v>
      </c>
      <c r="R28" s="1184">
        <f t="shared" si="6"/>
        <v>87074.963545293591</v>
      </c>
      <c r="S28" s="1185">
        <f>_xlfn.XLOOKUP($F28,'Emissions and Fuel'!$A$154:$A$194,'Emissions and Fuel'!$G$154:$G$194,,0)+_xlfn.XLOOKUP($F28,'Emissions and Fuel'!$A$154:$A$194,'Emissions and Fuel'!$L$154:$L$194,,0)+_xlfn.XLOOKUP($F28,'Emissions and Fuel'!$A$154:$A$194,'Emissions and Fuel'!$Q$154:$Q$194,,0)</f>
        <v>0.23793282571519919</v>
      </c>
      <c r="T28" s="1184">
        <f>IFERROR(_xlfn.XLOOKUP($F28,'BCA Guide - Parameter Values'!$B$82:$B$112,'BCA Guide - Parameter Values'!$C$82:$C$112,,0),0)</f>
        <v>22000</v>
      </c>
      <c r="U28" s="1184">
        <f t="shared" si="1"/>
        <v>5234.5221657343818</v>
      </c>
      <c r="V28" s="1170">
        <f t="shared" si="7"/>
        <v>92309.48571102797</v>
      </c>
      <c r="W28" s="1171">
        <f t="shared" si="8"/>
        <v>11645.681093131148</v>
      </c>
      <c r="X28" s="1169">
        <f>W28/(1+0.03)^($F28-'Major Assumption Key'!$B$7)</f>
        <v>6641.3692001205181</v>
      </c>
      <c r="Y28" s="1171">
        <f t="shared" si="9"/>
        <v>601.54381061463118</v>
      </c>
      <c r="Z28" s="1169">
        <f>Y28/(1+'Major Assumption Key'!$B$8)^($F28-'Major Assumption Key'!$B$7)</f>
        <v>336.7849084428168</v>
      </c>
      <c r="AA28" s="1171">
        <f t="shared" si="10"/>
        <v>12247.22490374578</v>
      </c>
      <c r="AB28" s="1169">
        <f t="shared" si="11"/>
        <v>6978.1541085633353</v>
      </c>
      <c r="AC28" s="1155"/>
      <c r="AD28" s="1165">
        <f t="shared" si="12"/>
        <v>80000</v>
      </c>
      <c r="AE28" s="1170">
        <f t="shared" si="13"/>
        <v>92000</v>
      </c>
      <c r="AF28" s="1171">
        <f t="shared" si="14"/>
        <v>12000</v>
      </c>
      <c r="AG28" s="1169">
        <f t="shared" si="15"/>
        <v>7000</v>
      </c>
      <c r="AH28" s="1171">
        <f t="shared" si="16"/>
        <v>1000</v>
      </c>
      <c r="AI28" s="1169">
        <f t="shared" si="17"/>
        <v>0</v>
      </c>
      <c r="AJ28" s="1171">
        <f t="shared" si="18"/>
        <v>12000</v>
      </c>
      <c r="AK28" s="1169">
        <f t="shared" si="19"/>
        <v>7000</v>
      </c>
    </row>
    <row r="29" spans="1:37" ht="19.95" customHeight="1">
      <c r="E29" s="1173"/>
      <c r="F29" s="1181">
        <f>'Major Assumption Key'!$A41</f>
        <v>2042</v>
      </c>
      <c r="G29" s="1182">
        <f>_xlfn.XLOOKUP(F29,'VMT Reduction Supporting'!A:A,'VMT Reduction Supporting'!H:H,,0)</f>
        <v>136711.94685851183</v>
      </c>
      <c r="H29" s="1183">
        <f>IFERROR(_xlfn.XLOOKUP($F29,'Emissions and Fuel'!$A$295:$A$335,'Emissions and Fuel'!$H$295:$H$335,,0),0)+IFERROR(_xlfn.XLOOKUP($F29,'Emissions and Fuel'!$A$295:$A$335,'Emissions and Fuel'!$O$295:$O$335,,),0)+IFERROR(_xlfn.XLOOKUP($F29,'Emissions and Fuel'!$A$342:$A$382,'Emissions and Fuel'!$I$342:$I$382,,0),0)</f>
        <v>246.94981776795009</v>
      </c>
      <c r="I29" s="1184">
        <f>IFERROR(_xlfn.XLOOKUP(F29,'BCA Guide - Parameter Values'!$B$82:$B$112,'BCA Guide - Parameter Values'!$F$82:$F$112,,),0)</f>
        <v>307.85981343885521</v>
      </c>
      <c r="J29" s="1184">
        <f t="shared" si="4"/>
        <v>76025.924826800401</v>
      </c>
      <c r="K29" s="1185">
        <f>_xlfn.XLOOKUP($F29,'Emissions and Fuel'!$A$154:$A$194,'Emissions and Fuel'!$F$154:$F$194,,0)+_xlfn.XLOOKUP($F29,'Emissions and Fuel'!$A$154:$A$194,'Emissions and Fuel'!$K$154:$K$194,,0)+_xlfn.XLOOKUP($F29,'Emissions and Fuel'!$A$154:$A$194,'Emissions and Fuel'!$P$154:$P$194,,0)</f>
        <v>0.21128954951951337</v>
      </c>
      <c r="L29" s="1184">
        <f>IFERROR(_xlfn.XLOOKUP($F29,'BCA Guide - Parameter Values'!$B$82:$B$112,'BCA Guide - Parameter Values'!$C$82:$C$112,,0),0)</f>
        <v>22000</v>
      </c>
      <c r="M29" s="1184">
        <f t="shared" si="0"/>
        <v>4648.3700894292942</v>
      </c>
      <c r="N29" s="1165">
        <f t="shared" si="5"/>
        <v>80674.294916229701</v>
      </c>
      <c r="O29" s="1182">
        <f>_xlfn.XLOOKUP(F29,'VMT Reduction Supporting'!A:A,'VMT Reduction Supporting'!I:I,,0)</f>
        <v>176436.96763290747</v>
      </c>
      <c r="P29" s="1183">
        <f>IFERROR(_xlfn.XLOOKUP($F29,'Emissions and Fuel'!$A$295:$A$335,'Emissions and Fuel'!$I$295:$I$335,,0),0)+IFERROR(_xlfn.XLOOKUP($F29,'Emissions and Fuel'!$A$295:$A$335,'Emissions and Fuel'!$P$295:$P$335,,),0)+IFERROR(_xlfn.XLOOKUP($F29,'Emissions and Fuel'!$A$342:$A$382,'Emissions and Fuel'!$J$342:$J$382,,0),0)</f>
        <v>285.15930669913155</v>
      </c>
      <c r="Q29" s="1184">
        <f>IFERROR(_xlfn.XLOOKUP(F29,'BCA Guide - Parameter Values'!$B$82:$B$112,'BCA Guide - Parameter Values'!$F$82:$F$112,,),0)</f>
        <v>307.85981343885521</v>
      </c>
      <c r="R29" s="1184">
        <f t="shared" si="6"/>
        <v>87789.090960747941</v>
      </c>
      <c r="S29" s="1185">
        <f>_xlfn.XLOOKUP($F29,'Emissions and Fuel'!$A$154:$A$194,'Emissions and Fuel'!$G$154:$G$194,,0)+_xlfn.XLOOKUP($F29,'Emissions and Fuel'!$A$154:$A$194,'Emissions and Fuel'!$L$154:$L$194,,0)+_xlfn.XLOOKUP($F29,'Emissions and Fuel'!$A$154:$A$194,'Emissions and Fuel'!$Q$154:$Q$194,,0)</f>
        <v>0.2387217374149872</v>
      </c>
      <c r="T29" s="1184">
        <f>IFERROR(_xlfn.XLOOKUP($F29,'BCA Guide - Parameter Values'!$B$82:$B$112,'BCA Guide - Parameter Values'!$C$82:$C$112,,0),0)</f>
        <v>22000</v>
      </c>
      <c r="U29" s="1184">
        <f t="shared" si="1"/>
        <v>5251.8782231297182</v>
      </c>
      <c r="V29" s="1170">
        <f t="shared" si="7"/>
        <v>93040.969183877663</v>
      </c>
      <c r="W29" s="1171">
        <f t="shared" si="8"/>
        <v>11763.166133947539</v>
      </c>
      <c r="X29" s="1169">
        <f>W29/(1+0.03)^($F29-'Major Assumption Key'!$B$7)</f>
        <v>6512.9798808325577</v>
      </c>
      <c r="Y29" s="1171">
        <f t="shared" si="9"/>
        <v>603.50813370042397</v>
      </c>
      <c r="Z29" s="1169">
        <f>Y29/(1+'Major Assumption Key'!$B$8)^($F29-'Major Assumption Key'!$B$7)</f>
        <v>327.72518851231695</v>
      </c>
      <c r="AA29" s="1171">
        <f t="shared" si="10"/>
        <v>12366.674267647963</v>
      </c>
      <c r="AB29" s="1169">
        <f t="shared" si="11"/>
        <v>6840.7050693448746</v>
      </c>
      <c r="AC29" s="1155"/>
      <c r="AD29" s="1165">
        <f t="shared" si="12"/>
        <v>81000</v>
      </c>
      <c r="AE29" s="1170">
        <f t="shared" si="13"/>
        <v>93000</v>
      </c>
      <c r="AF29" s="1171">
        <f t="shared" si="14"/>
        <v>12000</v>
      </c>
      <c r="AG29" s="1169">
        <f t="shared" si="15"/>
        <v>7000</v>
      </c>
      <c r="AH29" s="1171">
        <f t="shared" si="16"/>
        <v>1000</v>
      </c>
      <c r="AI29" s="1169">
        <f t="shared" si="17"/>
        <v>0</v>
      </c>
      <c r="AJ29" s="1171">
        <f t="shared" si="18"/>
        <v>12000</v>
      </c>
      <c r="AK29" s="1169">
        <f t="shared" si="19"/>
        <v>7000</v>
      </c>
    </row>
    <row r="30" spans="1:37" ht="19.95" customHeight="1">
      <c r="E30" s="1173"/>
      <c r="F30" s="1181">
        <f>'Major Assumption Key'!$A42</f>
        <v>2043</v>
      </c>
      <c r="G30" s="1182">
        <f>_xlfn.XLOOKUP(F30,'VMT Reduction Supporting'!A:A,'VMT Reduction Supporting'!H:H,,0)</f>
        <v>137587.64610868582</v>
      </c>
      <c r="H30" s="1183">
        <f>IFERROR(_xlfn.XLOOKUP($F30,'Emissions and Fuel'!$A$295:$A$335,'Emissions and Fuel'!$H$295:$H$335,,0),0)+IFERROR(_xlfn.XLOOKUP($F30,'Emissions and Fuel'!$A$295:$A$335,'Emissions and Fuel'!$O$295:$O$335,,),0)+IFERROR(_xlfn.XLOOKUP($F30,'Emissions and Fuel'!$A$342:$A$382,'Emissions and Fuel'!$I$342:$I$382,,0),0)</f>
        <v>245.31417622745749</v>
      </c>
      <c r="I30" s="1184">
        <f>IFERROR(_xlfn.XLOOKUP(F30,'BCA Guide - Parameter Values'!$B$82:$B$112,'BCA Guide - Parameter Values'!$F$82:$F$112,,),0)</f>
        <v>312.33777436160221</v>
      </c>
      <c r="J30" s="1184">
        <f t="shared" si="4"/>
        <v>76620.88382223394</v>
      </c>
      <c r="K30" s="1185">
        <f>_xlfn.XLOOKUP($F30,'Emissions and Fuel'!$A$154:$A$194,'Emissions and Fuel'!$F$154:$F$194,,0)+_xlfn.XLOOKUP($F30,'Emissions and Fuel'!$A$154:$A$194,'Emissions and Fuel'!$K$154:$K$194,,0)+_xlfn.XLOOKUP($F30,'Emissions and Fuel'!$A$154:$A$194,'Emissions and Fuel'!$P$154:$P$194,,0)</f>
        <v>0.21199151659606319</v>
      </c>
      <c r="L30" s="1184">
        <f>IFERROR(_xlfn.XLOOKUP($F30,'BCA Guide - Parameter Values'!$B$82:$B$112,'BCA Guide - Parameter Values'!$C$82:$C$112,,0),0)</f>
        <v>22000</v>
      </c>
      <c r="M30" s="1184">
        <f t="shared" si="0"/>
        <v>4663.8133651133903</v>
      </c>
      <c r="N30" s="1165">
        <f t="shared" si="5"/>
        <v>81284.697187347338</v>
      </c>
      <c r="O30" s="1182">
        <f>_xlfn.XLOOKUP(F30,'VMT Reduction Supporting'!A:A,'VMT Reduction Supporting'!I:I,,0)</f>
        <v>177746.20817524326</v>
      </c>
      <c r="P30" s="1183">
        <f>IFERROR(_xlfn.XLOOKUP($F30,'Emissions and Fuel'!$A$295:$A$335,'Emissions and Fuel'!$I$295:$I$335,,0),0)+IFERROR(_xlfn.XLOOKUP($F30,'Emissions and Fuel'!$A$295:$A$335,'Emissions and Fuel'!$P$295:$P$335,,),0)+IFERROR(_xlfn.XLOOKUP($F30,'Emissions and Fuel'!$A$342:$A$382,'Emissions and Fuel'!$J$342:$J$382,,0),0)</f>
        <v>283.35313992293885</v>
      </c>
      <c r="Q30" s="1184">
        <f>IFERROR(_xlfn.XLOOKUP(F30,'BCA Guide - Parameter Values'!$B$82:$B$112,'BCA Guide - Parameter Values'!$F$82:$F$112,,),0)</f>
        <v>312.33777436160221</v>
      </c>
      <c r="R30" s="1184">
        <f t="shared" si="6"/>
        <v>88501.88908190238</v>
      </c>
      <c r="S30" s="1185">
        <f>_xlfn.XLOOKUP($F30,'Emissions and Fuel'!$A$154:$A$194,'Emissions and Fuel'!$G$154:$G$194,,0)+_xlfn.XLOOKUP($F30,'Emissions and Fuel'!$A$154:$A$194,'Emissions and Fuel'!$L$154:$L$194,,0)+_xlfn.XLOOKUP($F30,'Emissions and Fuel'!$A$154:$A$194,'Emissions and Fuel'!$Q$154:$Q$194,,0)</f>
        <v>0.23951329989985665</v>
      </c>
      <c r="T30" s="1184">
        <f>IFERROR(_xlfn.XLOOKUP($F30,'BCA Guide - Parameter Values'!$B$82:$B$112,'BCA Guide - Parameter Values'!$C$82:$C$112,,0),0)</f>
        <v>22000</v>
      </c>
      <c r="U30" s="1184">
        <f t="shared" si="1"/>
        <v>5269.2925977968462</v>
      </c>
      <c r="V30" s="1170">
        <f t="shared" si="7"/>
        <v>93771.181679699221</v>
      </c>
      <c r="W30" s="1171">
        <f t="shared" si="8"/>
        <v>11881.00525966844</v>
      </c>
      <c r="X30" s="1169">
        <f>W30/(1+0.03)^($F30-'Major Assumption Key'!$B$7)</f>
        <v>6386.6257744065406</v>
      </c>
      <c r="Y30" s="1171">
        <f t="shared" si="9"/>
        <v>605.47923268345585</v>
      </c>
      <c r="Z30" s="1169">
        <f>Y30/(1+'Major Assumption Key'!$B$8)^($F30-'Major Assumption Key'!$B$7)</f>
        <v>318.90937096950762</v>
      </c>
      <c r="AA30" s="1171">
        <f t="shared" si="10"/>
        <v>12486.484492351896</v>
      </c>
      <c r="AB30" s="1169">
        <f t="shared" si="11"/>
        <v>6705.5351453760486</v>
      </c>
      <c r="AC30" s="1155"/>
      <c r="AD30" s="1165">
        <f t="shared" si="12"/>
        <v>81000</v>
      </c>
      <c r="AE30" s="1170">
        <f t="shared" si="13"/>
        <v>94000</v>
      </c>
      <c r="AF30" s="1171">
        <f t="shared" si="14"/>
        <v>12000</v>
      </c>
      <c r="AG30" s="1169">
        <f t="shared" si="15"/>
        <v>6000</v>
      </c>
      <c r="AH30" s="1171">
        <f t="shared" si="16"/>
        <v>1000</v>
      </c>
      <c r="AI30" s="1169">
        <f t="shared" si="17"/>
        <v>0</v>
      </c>
      <c r="AJ30" s="1171">
        <f t="shared" si="18"/>
        <v>12000</v>
      </c>
      <c r="AK30" s="1169">
        <f t="shared" si="19"/>
        <v>7000</v>
      </c>
    </row>
    <row r="31" spans="1:37" ht="19.95" customHeight="1">
      <c r="F31" s="1181">
        <f>'Major Assumption Key'!$A43</f>
        <v>2044</v>
      </c>
      <c r="G31" s="1182">
        <f>_xlfn.XLOOKUP(F31,'VMT Reduction Supporting'!A:A,'VMT Reduction Supporting'!H:H,,0)</f>
        <v>138471.80419067823</v>
      </c>
      <c r="H31" s="1183">
        <f>IFERROR(_xlfn.XLOOKUP($F31,'Emissions and Fuel'!$A$295:$A$335,'Emissions and Fuel'!$H$295:$H$335,,0),0)+IFERROR(_xlfn.XLOOKUP($F31,'Emissions and Fuel'!$A$295:$A$335,'Emissions and Fuel'!$O$295:$O$335,,),0)+IFERROR(_xlfn.XLOOKUP($F31,'Emissions and Fuel'!$A$342:$A$382,'Emissions and Fuel'!$I$342:$I$382,,0),0)</f>
        <v>243.7199275803483</v>
      </c>
      <c r="I31" s="1184">
        <f>IFERROR(_xlfn.XLOOKUP(F31,'BCA Guide - Parameter Values'!$B$82:$B$112,'BCA Guide - Parameter Values'!$F$82:$F$112,,),0)</f>
        <v>316.81573528434916</v>
      </c>
      <c r="J31" s="1184">
        <f t="shared" si="4"/>
        <v>77214.30805981638</v>
      </c>
      <c r="K31" s="1185">
        <f>_xlfn.XLOOKUP($F31,'Emissions and Fuel'!$A$154:$A$194,'Emissions and Fuel'!$F$154:$F$194,,0)+_xlfn.XLOOKUP($F31,'Emissions and Fuel'!$A$154:$A$194,'Emissions and Fuel'!$K$154:$K$194,,0)+_xlfn.XLOOKUP($F31,'Emissions and Fuel'!$A$154:$A$194,'Emissions and Fuel'!$P$154:$P$194,,0)</f>
        <v>0.21269583421054464</v>
      </c>
      <c r="L31" s="1184">
        <f>IFERROR(_xlfn.XLOOKUP($F31,'BCA Guide - Parameter Values'!$B$82:$B$112,'BCA Guide - Parameter Values'!$C$82:$C$112,,0),0)</f>
        <v>22000</v>
      </c>
      <c r="M31" s="1184">
        <f t="shared" si="0"/>
        <v>4679.3083526319824</v>
      </c>
      <c r="N31" s="1165">
        <f t="shared" si="5"/>
        <v>81893.616412448362</v>
      </c>
      <c r="O31" s="1182">
        <f>_xlfn.XLOOKUP(F31,'VMT Reduction Supporting'!A:A,'VMT Reduction Supporting'!I:I,,0)</f>
        <v>179069.71766510437</v>
      </c>
      <c r="P31" s="1183">
        <f>IFERROR(_xlfn.XLOOKUP($F31,'Emissions and Fuel'!$A$295:$A$335,'Emissions and Fuel'!$I$295:$I$335,,0),0)+IFERROR(_xlfn.XLOOKUP($F31,'Emissions and Fuel'!$A$295:$A$335,'Emissions and Fuel'!$P$295:$P$335,,),0)+IFERROR(_xlfn.XLOOKUP($F31,'Emissions and Fuel'!$A$342:$A$382,'Emissions and Fuel'!$J$342:$J$382,,0),0)</f>
        <v>281.59439683284813</v>
      </c>
      <c r="Q31" s="1184">
        <f>IFERROR(_xlfn.XLOOKUP(F31,'BCA Guide - Parameter Values'!$B$82:$B$112,'BCA Guide - Parameter Values'!$F$82:$F$112,,),0)</f>
        <v>316.81573528434916</v>
      </c>
      <c r="R31" s="1184">
        <f t="shared" si="6"/>
        <v>89213.535884551588</v>
      </c>
      <c r="S31" s="1185">
        <f>_xlfn.XLOOKUP($F31,'Emissions and Fuel'!$A$154:$A$194,'Emissions and Fuel'!$G$154:$G$194,,0)+_xlfn.XLOOKUP($F31,'Emissions and Fuel'!$A$154:$A$194,'Emissions and Fuel'!$L$154:$L$194,,0)+_xlfn.XLOOKUP($F31,'Emissions and Fuel'!$A$154:$A$194,'Emissions and Fuel'!$Q$154:$Q$194,,0)</f>
        <v>0.24030752187370963</v>
      </c>
      <c r="T31" s="1184">
        <f>IFERROR(_xlfn.XLOOKUP($F31,'BCA Guide - Parameter Values'!$B$82:$B$112,'BCA Guide - Parameter Values'!$C$82:$C$112,,0),0)</f>
        <v>22000</v>
      </c>
      <c r="U31" s="1184">
        <f t="shared" si="1"/>
        <v>5286.7654812216115</v>
      </c>
      <c r="V31" s="1170">
        <f t="shared" si="7"/>
        <v>94500.301365773194</v>
      </c>
      <c r="W31" s="1171">
        <f t="shared" si="8"/>
        <v>11999.227824735208</v>
      </c>
      <c r="X31" s="1169">
        <f>W31/(1+0.03)^($F31-'Major Assumption Key'!$B$7)</f>
        <v>6262.3070181109642</v>
      </c>
      <c r="Y31" s="1171">
        <f t="shared" si="9"/>
        <v>607.45712858962906</v>
      </c>
      <c r="Z31" s="1169">
        <f>Y31/(1+'Major Assumption Key'!$B$8)^($F31-'Major Assumption Key'!$B$7)</f>
        <v>310.33088267996942</v>
      </c>
      <c r="AA31" s="1171">
        <f t="shared" si="10"/>
        <v>12606.684953324837</v>
      </c>
      <c r="AB31" s="1169">
        <f t="shared" si="11"/>
        <v>6572.6379007909336</v>
      </c>
      <c r="AC31" s="1155"/>
      <c r="AD31" s="1165">
        <f t="shared" si="12"/>
        <v>82000</v>
      </c>
      <c r="AE31" s="1170">
        <f t="shared" si="13"/>
        <v>95000</v>
      </c>
      <c r="AF31" s="1171">
        <f t="shared" si="14"/>
        <v>12000</v>
      </c>
      <c r="AG31" s="1169">
        <f t="shared" si="15"/>
        <v>6000</v>
      </c>
      <c r="AH31" s="1171">
        <f t="shared" si="16"/>
        <v>1000</v>
      </c>
      <c r="AI31" s="1169">
        <f t="shared" si="17"/>
        <v>0</v>
      </c>
      <c r="AJ31" s="1171">
        <f t="shared" si="18"/>
        <v>13000</v>
      </c>
      <c r="AK31" s="1169">
        <f t="shared" si="19"/>
        <v>7000</v>
      </c>
    </row>
    <row r="32" spans="1:37" ht="19.95" customHeight="1">
      <c r="F32" s="1181">
        <f>'Major Assumption Key'!$A44</f>
        <v>2045</v>
      </c>
      <c r="G32" s="1182">
        <f>_xlfn.XLOOKUP(F32,'VMT Reduction Supporting'!A:A,'VMT Reduction Supporting'!H:H,,0)</f>
        <v>139364.52841127635</v>
      </c>
      <c r="H32" s="1183">
        <f>IFERROR(_xlfn.XLOOKUP($F32,'Emissions and Fuel'!$A$295:$A$335,'Emissions and Fuel'!$H$295:$H$335,,0),0)+IFERROR(_xlfn.XLOOKUP($F32,'Emissions and Fuel'!$A$295:$A$335,'Emissions and Fuel'!$O$295:$O$335,,),0)+IFERROR(_xlfn.XLOOKUP($F32,'Emissions and Fuel'!$A$342:$A$382,'Emissions and Fuel'!$I$342:$I$382,,0),0)</f>
        <v>242.16578709636954</v>
      </c>
      <c r="I32" s="1184">
        <f>IFERROR(_xlfn.XLOOKUP(F32,'BCA Guide - Parameter Values'!$B$82:$B$112,'BCA Guide - Parameter Values'!$F$82:$F$112,,),0)</f>
        <v>321.29369620709616</v>
      </c>
      <c r="J32" s="1184">
        <f t="shared" si="4"/>
        <v>77806.340831093286</v>
      </c>
      <c r="K32" s="1185">
        <f>_xlfn.XLOOKUP($F32,'Emissions and Fuel'!$A$154:$A$194,'Emissions and Fuel'!$F$154:$F$194,,0)+_xlfn.XLOOKUP($F32,'Emissions and Fuel'!$A$154:$A$194,'Emissions and Fuel'!$K$154:$K$194,,0)+_xlfn.XLOOKUP($F32,'Emissions and Fuel'!$A$154:$A$194,'Emissions and Fuel'!$P$154:$P$194,,0)</f>
        <v>0.2134025101372668</v>
      </c>
      <c r="L32" s="1184">
        <f>IFERROR(_xlfn.XLOOKUP($F32,'BCA Guide - Parameter Values'!$B$82:$B$112,'BCA Guide - Parameter Values'!$C$82:$C$112,,0),0)</f>
        <v>22000</v>
      </c>
      <c r="M32" s="1184">
        <f t="shared" si="0"/>
        <v>4694.8552230198693</v>
      </c>
      <c r="N32" s="1165">
        <f t="shared" si="5"/>
        <v>82501.196054113156</v>
      </c>
      <c r="O32" s="1182">
        <f>_xlfn.XLOOKUP(F32,'VMT Reduction Supporting'!A:A,'VMT Reduction Supporting'!I:I,,0)</f>
        <v>180407.68679522406</v>
      </c>
      <c r="P32" s="1183">
        <f>IFERROR(_xlfn.XLOOKUP($F32,'Emissions and Fuel'!$A$295:$A$335,'Emissions and Fuel'!$I$295:$I$335,,0),0)+IFERROR(_xlfn.XLOOKUP($F32,'Emissions and Fuel'!$A$295:$A$335,'Emissions and Fuel'!$P$295:$P$335,,),0)+IFERROR(_xlfn.XLOOKUP($F32,'Emissions and Fuel'!$A$342:$A$382,'Emissions and Fuel'!$J$342:$J$382,,0),0)</f>
        <v>279.88163011847752</v>
      </c>
      <c r="Q32" s="1184">
        <f>IFERROR(_xlfn.XLOOKUP(F32,'BCA Guide - Parameter Values'!$B$82:$B$112,'BCA Guide - Parameter Values'!$F$82:$F$112,,),0)</f>
        <v>321.29369620709616</v>
      </c>
      <c r="R32" s="1184">
        <f t="shared" si="6"/>
        <v>89924.203441232967</v>
      </c>
      <c r="S32" s="1185">
        <f>_xlfn.XLOOKUP($F32,'Emissions and Fuel'!$A$154:$A$194,'Emissions and Fuel'!$G$154:$G$194,,0)+_xlfn.XLOOKUP($F32,'Emissions and Fuel'!$A$154:$A$194,'Emissions and Fuel'!$L$154:$L$194,,0)+_xlfn.XLOOKUP($F32,'Emissions and Fuel'!$A$154:$A$194,'Emissions and Fuel'!$Q$154:$Q$194,,0)</f>
        <v>0.24110441207042974</v>
      </c>
      <c r="T32" s="1184">
        <f>IFERROR(_xlfn.XLOOKUP($F32,'BCA Guide - Parameter Values'!$B$82:$B$112,'BCA Guide - Parameter Values'!$C$82:$C$112,,0),0)</f>
        <v>22000</v>
      </c>
      <c r="U32" s="1184">
        <f t="shared" si="1"/>
        <v>5304.2970655494546</v>
      </c>
      <c r="V32" s="1170">
        <f t="shared" si="7"/>
        <v>95228.500506782424</v>
      </c>
      <c r="W32" s="1171">
        <f t="shared" si="8"/>
        <v>12117.86261013968</v>
      </c>
      <c r="X32" s="1169">
        <f>W32/(1+0.03)^($F32-'Major Assumption Key'!$B$7)</f>
        <v>6140.0209931624977</v>
      </c>
      <c r="Y32" s="1171">
        <f t="shared" si="9"/>
        <v>609.4418425295853</v>
      </c>
      <c r="Z32" s="1169">
        <f>Y32/(1+'Major Assumption Key'!$B$8)^($F32-'Major Assumption Key'!$B$7)</f>
        <v>301.98332790566582</v>
      </c>
      <c r="AA32" s="1171">
        <f t="shared" si="10"/>
        <v>12727.304452669265</v>
      </c>
      <c r="AB32" s="1169">
        <f t="shared" si="11"/>
        <v>6442.0043210681633</v>
      </c>
      <c r="AC32" s="1155"/>
      <c r="AD32" s="1165">
        <f t="shared" si="12"/>
        <v>83000</v>
      </c>
      <c r="AE32" s="1170">
        <f t="shared" si="13"/>
        <v>95000</v>
      </c>
      <c r="AF32" s="1171">
        <f t="shared" si="14"/>
        <v>12000</v>
      </c>
      <c r="AG32" s="1169">
        <f t="shared" si="15"/>
        <v>6000</v>
      </c>
      <c r="AH32" s="1171">
        <f t="shared" si="16"/>
        <v>1000</v>
      </c>
      <c r="AI32" s="1169">
        <f t="shared" si="17"/>
        <v>0</v>
      </c>
      <c r="AJ32" s="1171">
        <f t="shared" si="18"/>
        <v>13000</v>
      </c>
      <c r="AK32" s="1169">
        <f t="shared" si="19"/>
        <v>6000</v>
      </c>
    </row>
    <row r="33" spans="6:37" ht="19.95" customHeight="1">
      <c r="F33" s="1181">
        <f>'Major Assumption Key'!$A45</f>
        <v>2046</v>
      </c>
      <c r="G33" s="1182">
        <f>_xlfn.XLOOKUP(F33,'VMT Reduction Supporting'!A:A,'VMT Reduction Supporting'!H:H,,0)</f>
        <v>140265.92759102612</v>
      </c>
      <c r="H33" s="1183">
        <f>IFERROR(_xlfn.XLOOKUP($F33,'Emissions and Fuel'!$A$295:$A$335,'Emissions and Fuel'!$H$295:$H$335,,0),0)+IFERROR(_xlfn.XLOOKUP($F33,'Emissions and Fuel'!$A$295:$A$335,'Emissions and Fuel'!$O$295:$O$335,,),0)+IFERROR(_xlfn.XLOOKUP($F33,'Emissions and Fuel'!$A$342:$A$382,'Emissions and Fuel'!$I$342:$I$382,,0),0)</f>
        <v>240.6505252382608</v>
      </c>
      <c r="I33" s="1184">
        <f>IFERROR(_xlfn.XLOOKUP(F33,'BCA Guide - Parameter Values'!$B$82:$B$112,'BCA Guide - Parameter Values'!$F$82:$F$112,,),0)</f>
        <v>325.77165712984316</v>
      </c>
      <c r="J33" s="1184">
        <f t="shared" si="4"/>
        <v>78397.12039603536</v>
      </c>
      <c r="K33" s="1185">
        <f>_xlfn.XLOOKUP($F33,'Emissions and Fuel'!$A$154:$A$194,'Emissions and Fuel'!$F$154:$F$194,,0)+_xlfn.XLOOKUP($F33,'Emissions and Fuel'!$A$154:$A$194,'Emissions and Fuel'!$K$154:$K$194,,0)+_xlfn.XLOOKUP($F33,'Emissions and Fuel'!$A$154:$A$194,'Emissions and Fuel'!$P$154:$P$194,,0)</f>
        <v>0.21411155217675396</v>
      </c>
      <c r="L33" s="1184">
        <f>IFERROR(_xlfn.XLOOKUP($F33,'BCA Guide - Parameter Values'!$B$82:$B$112,'BCA Guide - Parameter Values'!$C$82:$C$112,,0),0)</f>
        <v>22000</v>
      </c>
      <c r="M33" s="1184">
        <f t="shared" si="0"/>
        <v>4710.4541478885867</v>
      </c>
      <c r="N33" s="1165">
        <f t="shared" si="5"/>
        <v>83107.57454392394</v>
      </c>
      <c r="O33" s="1182">
        <f>_xlfn.XLOOKUP(F33,'VMT Reduction Supporting'!A:A,'VMT Reduction Supporting'!I:I,,0)</f>
        <v>181760.30899233304</v>
      </c>
      <c r="P33" s="1183">
        <f>IFERROR(_xlfn.XLOOKUP($F33,'Emissions and Fuel'!$A$295:$A$335,'Emissions and Fuel'!$I$295:$I$335,,0),0)+IFERROR(_xlfn.XLOOKUP($F33,'Emissions and Fuel'!$A$295:$A$335,'Emissions and Fuel'!$P$295:$P$335,,),0)+IFERROR(_xlfn.XLOOKUP($F33,'Emissions and Fuel'!$A$342:$A$382,'Emissions and Fuel'!$J$342:$J$382,,0),0)</f>
        <v>278.21345496912903</v>
      </c>
      <c r="Q33" s="1184">
        <f>IFERROR(_xlfn.XLOOKUP(F33,'BCA Guide - Parameter Values'!$B$82:$B$112,'BCA Guide - Parameter Values'!$F$82:$F$112,,),0)</f>
        <v>325.77165712984316</v>
      </c>
      <c r="R33" s="1184">
        <f t="shared" si="6"/>
        <v>90634.058261112164</v>
      </c>
      <c r="S33" s="1185">
        <f>_xlfn.XLOOKUP($F33,'Emissions and Fuel'!$A$154:$A$194,'Emissions and Fuel'!$G$154:$G$194,,0)+_xlfn.XLOOKUP($F33,'Emissions and Fuel'!$A$154:$A$194,'Emissions and Fuel'!$L$154:$L$194,,0)+_xlfn.XLOOKUP($F33,'Emissions and Fuel'!$A$154:$A$194,'Emissions and Fuel'!$Q$154:$Q$194,,0)</f>
        <v>0.24190397925397081</v>
      </c>
      <c r="T33" s="1184">
        <f>IFERROR(_xlfn.XLOOKUP($F33,'BCA Guide - Parameter Values'!$B$82:$B$112,'BCA Guide - Parameter Values'!$C$82:$C$112,,0),0)</f>
        <v>22000</v>
      </c>
      <c r="U33" s="1184">
        <f t="shared" si="1"/>
        <v>5321.8875435873579</v>
      </c>
      <c r="V33" s="1170">
        <f t="shared" si="7"/>
        <v>95955.945804699528</v>
      </c>
      <c r="W33" s="1171">
        <f t="shared" si="8"/>
        <v>12236.937865076805</v>
      </c>
      <c r="X33" s="1169">
        <f>W33/(1+0.03)^($F33-'Major Assumption Key'!$B$7)</f>
        <v>6019.7625653216528</v>
      </c>
      <c r="Y33" s="1171">
        <f t="shared" si="9"/>
        <v>611.43339569877116</v>
      </c>
      <c r="Z33" s="1169">
        <f>Y33/(1+'Major Assumption Key'!$B$8)^($F33-'Major Assumption Key'!$B$7)</f>
        <v>293.86048350806072</v>
      </c>
      <c r="AA33" s="1171">
        <f t="shared" si="10"/>
        <v>12848.371260775577</v>
      </c>
      <c r="AB33" s="1169">
        <f t="shared" si="11"/>
        <v>6313.6230488297133</v>
      </c>
      <c r="AC33" s="1155"/>
      <c r="AD33" s="1165">
        <f t="shared" si="12"/>
        <v>83000</v>
      </c>
      <c r="AE33" s="1170">
        <f t="shared" si="13"/>
        <v>96000</v>
      </c>
      <c r="AF33" s="1171">
        <f t="shared" si="14"/>
        <v>12000</v>
      </c>
      <c r="AG33" s="1169">
        <f t="shared" si="15"/>
        <v>6000</v>
      </c>
      <c r="AH33" s="1171">
        <f t="shared" si="16"/>
        <v>1000</v>
      </c>
      <c r="AI33" s="1169">
        <f t="shared" si="17"/>
        <v>0</v>
      </c>
      <c r="AJ33" s="1171">
        <f t="shared" si="18"/>
        <v>13000</v>
      </c>
      <c r="AK33" s="1169">
        <f t="shared" si="19"/>
        <v>6000</v>
      </c>
    </row>
    <row r="34" spans="6:37" ht="19.95" customHeight="1">
      <c r="F34" s="1181">
        <f>'Major Assumption Key'!$A46</f>
        <v>2047</v>
      </c>
      <c r="G34" s="1182">
        <f>_xlfn.XLOOKUP(F34,'VMT Reduction Supporting'!A:A,'VMT Reduction Supporting'!H:H,,0)</f>
        <v>141176.11208627842</v>
      </c>
      <c r="H34" s="1183">
        <f>IFERROR(_xlfn.XLOOKUP($F34,'Emissions and Fuel'!$A$295:$A$335,'Emissions and Fuel'!$H$295:$H$335,,0),0)+IFERROR(_xlfn.XLOOKUP($F34,'Emissions and Fuel'!$A$295:$A$335,'Emissions and Fuel'!$O$295:$O$335,,),0)+IFERROR(_xlfn.XLOOKUP($F34,'Emissions and Fuel'!$A$342:$A$382,'Emissions and Fuel'!$I$342:$I$382,,0),0)</f>
        <v>239.17296476669054</v>
      </c>
      <c r="I34" s="1184">
        <f>IFERROR(_xlfn.XLOOKUP(F34,'BCA Guide - Parameter Values'!$B$82:$B$112,'BCA Guide - Parameter Values'!$F$82:$F$112,,),0)</f>
        <v>331.36910828327689</v>
      </c>
      <c r="J34" s="1184">
        <f t="shared" si="4"/>
        <v>79254.532060205849</v>
      </c>
      <c r="K34" s="1185">
        <f>_xlfn.XLOOKUP($F34,'Emissions and Fuel'!$A$154:$A$194,'Emissions and Fuel'!$F$154:$F$194,,0)+_xlfn.XLOOKUP($F34,'Emissions and Fuel'!$A$154:$A$194,'Emissions and Fuel'!$K$154:$K$194,,0)+_xlfn.XLOOKUP($F34,'Emissions and Fuel'!$A$154:$A$194,'Emissions and Fuel'!$P$154:$P$194,,0)</f>
        <v>0.21482296815583149</v>
      </c>
      <c r="L34" s="1184">
        <f>IFERROR(_xlfn.XLOOKUP($F34,'BCA Guide - Parameter Values'!$B$82:$B$112,'BCA Guide - Parameter Values'!$C$82:$C$112,,0),0)</f>
        <v>22000</v>
      </c>
      <c r="M34" s="1184">
        <f t="shared" si="0"/>
        <v>4726.1052994282927</v>
      </c>
      <c r="N34" s="1165">
        <f t="shared" si="5"/>
        <v>83980.637359634144</v>
      </c>
      <c r="O34" s="1182">
        <f>_xlfn.XLOOKUP(F34,'VMT Reduction Supporting'!A:A,'VMT Reduction Supporting'!I:I,,0)</f>
        <v>183127.78045715619</v>
      </c>
      <c r="P34" s="1183">
        <f>IFERROR(_xlfn.XLOOKUP($F34,'Emissions and Fuel'!$A$295:$A$335,'Emissions and Fuel'!$I$295:$I$335,,0),0)+IFERROR(_xlfn.XLOOKUP($F34,'Emissions and Fuel'!$A$295:$A$335,'Emissions and Fuel'!$P$295:$P$335,,),0)+IFERROR(_xlfn.XLOOKUP($F34,'Emissions and Fuel'!$A$342:$A$382,'Emissions and Fuel'!$J$342:$J$382,,0),0)</f>
        <v>276.58854580217547</v>
      </c>
      <c r="Q34" s="1184">
        <f>IFERROR(_xlfn.XLOOKUP(F34,'BCA Guide - Parameter Values'!$B$82:$B$112,'BCA Guide - Parameter Values'!$F$82:$F$112,,),0)</f>
        <v>331.36910828327689</v>
      </c>
      <c r="R34" s="1184">
        <f t="shared" si="6"/>
        <v>91652.899783835179</v>
      </c>
      <c r="S34" s="1185">
        <f>_xlfn.XLOOKUP($F34,'Emissions and Fuel'!$A$154:$A$194,'Emissions and Fuel'!$G$154:$G$194,,0)+_xlfn.XLOOKUP($F34,'Emissions and Fuel'!$A$154:$A$194,'Emissions and Fuel'!$L$154:$L$194,,0)+_xlfn.XLOOKUP($F34,'Emissions and Fuel'!$A$154:$A$194,'Emissions and Fuel'!$Q$154:$Q$194,,0)</f>
        <v>0.24270623221844692</v>
      </c>
      <c r="T34" s="1184">
        <f>IFERROR(_xlfn.XLOOKUP($F34,'BCA Guide - Parameter Values'!$B$82:$B$112,'BCA Guide - Parameter Values'!$C$82:$C$112,,0),0)</f>
        <v>22000</v>
      </c>
      <c r="U34" s="1184">
        <f t="shared" si="1"/>
        <v>5339.5371088058318</v>
      </c>
      <c r="V34" s="1170">
        <f t="shared" si="7"/>
        <v>96992.43689264101</v>
      </c>
      <c r="W34" s="1171">
        <f t="shared" si="8"/>
        <v>12398.36772362933</v>
      </c>
      <c r="X34" s="1169">
        <f>W34/(1+0.03)^($F34-'Major Assumption Key'!$B$7)</f>
        <v>5921.5294745593737</v>
      </c>
      <c r="Y34" s="1171">
        <f t="shared" si="9"/>
        <v>613.43180937753914</v>
      </c>
      <c r="Z34" s="1169">
        <f>Y34/(1+'Major Assumption Key'!$B$8)^($F34-'Major Assumption Key'!$B$7)</f>
        <v>285.95629428131014</v>
      </c>
      <c r="AA34" s="1171">
        <f t="shared" si="10"/>
        <v>13011.79953300687</v>
      </c>
      <c r="AB34" s="1169">
        <f t="shared" si="11"/>
        <v>6207.4857688406837</v>
      </c>
      <c r="AC34" s="1155"/>
      <c r="AD34" s="1165">
        <f t="shared" si="12"/>
        <v>84000</v>
      </c>
      <c r="AE34" s="1170">
        <f t="shared" si="13"/>
        <v>97000</v>
      </c>
      <c r="AF34" s="1171">
        <f t="shared" si="14"/>
        <v>12000</v>
      </c>
      <c r="AG34" s="1169">
        <f t="shared" si="15"/>
        <v>6000</v>
      </c>
      <c r="AH34" s="1171">
        <f t="shared" si="16"/>
        <v>1000</v>
      </c>
      <c r="AI34" s="1169">
        <f t="shared" si="17"/>
        <v>0</v>
      </c>
      <c r="AJ34" s="1171">
        <f t="shared" si="18"/>
        <v>13000</v>
      </c>
      <c r="AK34" s="1169">
        <f t="shared" si="19"/>
        <v>6000</v>
      </c>
    </row>
    <row r="35" spans="6:37" ht="19.95" customHeight="1">
      <c r="F35" s="1181">
        <f>'Major Assumption Key'!$A47</f>
        <v>2048</v>
      </c>
      <c r="G35" s="1182">
        <f>_xlfn.XLOOKUP(F35,'VMT Reduction Supporting'!A:A,'VMT Reduction Supporting'!H:H,,0)</f>
        <v>142095.19381155868</v>
      </c>
      <c r="H35" s="1183">
        <f>IFERROR(_xlfn.XLOOKUP($F35,'Emissions and Fuel'!$A$295:$A$335,'Emissions and Fuel'!$H$295:$H$335,,0),0)+IFERROR(_xlfn.XLOOKUP($F35,'Emissions and Fuel'!$A$295:$A$335,'Emissions and Fuel'!$O$295:$O$335,,),0)+IFERROR(_xlfn.XLOOKUP($F35,'Emissions and Fuel'!$A$342:$A$382,'Emissions and Fuel'!$I$342:$I$382,,0),0)</f>
        <v>0</v>
      </c>
      <c r="I35" s="1184">
        <f>IFERROR(_xlfn.XLOOKUP(F35,'BCA Guide - Parameter Values'!$B$82:$B$112,'BCA Guide - Parameter Values'!$F$82:$F$112,,),0)</f>
        <v>335.84706920602389</v>
      </c>
      <c r="J35" s="1184">
        <f t="shared" si="4"/>
        <v>0</v>
      </c>
      <c r="K35" s="1185">
        <f>_xlfn.XLOOKUP($F35,'Emissions and Fuel'!$A$154:$A$194,'Emissions and Fuel'!$F$154:$F$194,,0)+_xlfn.XLOOKUP($F35,'Emissions and Fuel'!$A$154:$A$194,'Emissions and Fuel'!$K$154:$K$194,,0)+_xlfn.XLOOKUP($F35,'Emissions and Fuel'!$A$154:$A$194,'Emissions and Fuel'!$P$154:$P$194,,0)</f>
        <v>0</v>
      </c>
      <c r="L35" s="1184">
        <f>IFERROR(_xlfn.XLOOKUP($F35,'BCA Guide - Parameter Values'!$B$82:$B$112,'BCA Guide - Parameter Values'!$C$82:$C$112,,0),0)</f>
        <v>22000</v>
      </c>
      <c r="M35" s="1184">
        <f t="shared" si="0"/>
        <v>0</v>
      </c>
      <c r="N35" s="1165">
        <f t="shared" si="5"/>
        <v>0</v>
      </c>
      <c r="O35" s="1182">
        <f>_xlfn.XLOOKUP(F35,'VMT Reduction Supporting'!A:A,'VMT Reduction Supporting'!I:I,,0)</f>
        <v>184510.30020499724</v>
      </c>
      <c r="P35" s="1183">
        <f>IFERROR(_xlfn.XLOOKUP($F35,'Emissions and Fuel'!$A$295:$A$335,'Emissions and Fuel'!$I$295:$I$335,,0),0)+IFERROR(_xlfn.XLOOKUP($F35,'Emissions and Fuel'!$A$295:$A$335,'Emissions and Fuel'!$P$295:$P$335,,),0)+IFERROR(_xlfn.XLOOKUP($F35,'Emissions and Fuel'!$A$342:$A$382,'Emissions and Fuel'!$J$342:$J$382,,0),0)</f>
        <v>0</v>
      </c>
      <c r="Q35" s="1184">
        <f>IFERROR(_xlfn.XLOOKUP(F35,'BCA Guide - Parameter Values'!$B$82:$B$112,'BCA Guide - Parameter Values'!$F$82:$F$112,,),0)</f>
        <v>335.84706920602389</v>
      </c>
      <c r="R35" s="1184">
        <f t="shared" si="6"/>
        <v>0</v>
      </c>
      <c r="S35" s="1185">
        <f>_xlfn.XLOOKUP($F35,'Emissions and Fuel'!$A$154:$A$194,'Emissions and Fuel'!$G$154:$G$194,,0)+_xlfn.XLOOKUP($F35,'Emissions and Fuel'!$A$154:$A$194,'Emissions and Fuel'!$L$154:$L$194,,0)+_xlfn.XLOOKUP($F35,'Emissions and Fuel'!$A$154:$A$194,'Emissions and Fuel'!$Q$154:$Q$194,,0)</f>
        <v>0</v>
      </c>
      <c r="T35" s="1184">
        <f>IFERROR(_xlfn.XLOOKUP($F35,'BCA Guide - Parameter Values'!$B$82:$B$112,'BCA Guide - Parameter Values'!$C$82:$C$112,,0),0)</f>
        <v>22000</v>
      </c>
      <c r="U35" s="1184">
        <f t="shared" si="1"/>
        <v>0</v>
      </c>
      <c r="V35" s="1170">
        <f t="shared" si="7"/>
        <v>0</v>
      </c>
      <c r="W35" s="1171">
        <f t="shared" si="8"/>
        <v>0</v>
      </c>
      <c r="X35" s="1169">
        <f>W35/(1+0.03)^($F35-'Major Assumption Key'!$B$7)</f>
        <v>0</v>
      </c>
      <c r="Y35" s="1171">
        <f t="shared" si="9"/>
        <v>0</v>
      </c>
      <c r="Z35" s="1169">
        <f>Y35/(1+'Major Assumption Key'!$B$8)^($F35-'Major Assumption Key'!$B$7)</f>
        <v>0</v>
      </c>
      <c r="AA35" s="1171">
        <f t="shared" si="10"/>
        <v>0</v>
      </c>
      <c r="AB35" s="1169">
        <f t="shared" si="11"/>
        <v>0</v>
      </c>
      <c r="AC35" s="1155"/>
      <c r="AD35" s="1165">
        <f t="shared" si="12"/>
        <v>0</v>
      </c>
      <c r="AE35" s="1170">
        <f t="shared" si="13"/>
        <v>0</v>
      </c>
      <c r="AF35" s="1171">
        <f t="shared" si="14"/>
        <v>0</v>
      </c>
      <c r="AG35" s="1169">
        <f t="shared" si="15"/>
        <v>0</v>
      </c>
      <c r="AH35" s="1171">
        <f t="shared" si="16"/>
        <v>0</v>
      </c>
      <c r="AI35" s="1169">
        <f t="shared" si="17"/>
        <v>0</v>
      </c>
      <c r="AJ35" s="1171">
        <f t="shared" si="18"/>
        <v>0</v>
      </c>
      <c r="AK35" s="1169">
        <f t="shared" si="19"/>
        <v>0</v>
      </c>
    </row>
    <row r="36" spans="6:37" ht="19.95" customHeight="1">
      <c r="F36" s="1181">
        <f>'Major Assumption Key'!$A48</f>
        <v>2049</v>
      </c>
      <c r="G36" s="1182">
        <f>_xlfn.XLOOKUP(F36,'VMT Reduction Supporting'!A:A,'VMT Reduction Supporting'!H:H,,0)</f>
        <v>143023.28626226573</v>
      </c>
      <c r="H36" s="1183">
        <f>IFERROR(_xlfn.XLOOKUP($F36,'Emissions and Fuel'!$A$295:$A$335,'Emissions and Fuel'!$H$295:$H$335,,0),0)+IFERROR(_xlfn.XLOOKUP($F36,'Emissions and Fuel'!$A$295:$A$335,'Emissions and Fuel'!$O$295:$O$335,,),0)+IFERROR(_xlfn.XLOOKUP($F36,'Emissions and Fuel'!$A$342:$A$382,'Emissions and Fuel'!$I$342:$I$382,,0),0)</f>
        <v>0</v>
      </c>
      <c r="I36" s="1184">
        <f>IFERROR(_xlfn.XLOOKUP(F36,'BCA Guide - Parameter Values'!$B$82:$B$112,'BCA Guide - Parameter Values'!$F$82:$F$112,,),0)</f>
        <v>340.32503012877083</v>
      </c>
      <c r="J36" s="1184">
        <f t="shared" si="4"/>
        <v>0</v>
      </c>
      <c r="K36" s="1185">
        <f>_xlfn.XLOOKUP($F36,'Emissions and Fuel'!$A$154:$A$194,'Emissions and Fuel'!$F$154:$F$194,,0)+_xlfn.XLOOKUP($F36,'Emissions and Fuel'!$A$154:$A$194,'Emissions and Fuel'!$K$154:$K$194,,0)+_xlfn.XLOOKUP($F36,'Emissions and Fuel'!$A$154:$A$194,'Emissions and Fuel'!$P$154:$P$194,,0)</f>
        <v>0</v>
      </c>
      <c r="L36" s="1184">
        <f>IFERROR(_xlfn.XLOOKUP($F36,'BCA Guide - Parameter Values'!$B$82:$B$112,'BCA Guide - Parameter Values'!$C$82:$C$112,,0),0)</f>
        <v>22000</v>
      </c>
      <c r="M36" s="1184">
        <f t="shared" si="0"/>
        <v>0</v>
      </c>
      <c r="N36" s="1165">
        <f t="shared" si="5"/>
        <v>0</v>
      </c>
      <c r="O36" s="1182">
        <f>_xlfn.XLOOKUP(F36,'VMT Reduction Supporting'!A:A,'VMT Reduction Supporting'!I:I,,0)</f>
        <v>185908.07010692061</v>
      </c>
      <c r="P36" s="1183">
        <f>IFERROR(_xlfn.XLOOKUP($F36,'Emissions and Fuel'!$A$295:$A$335,'Emissions and Fuel'!$I$295:$I$335,,0),0)+IFERROR(_xlfn.XLOOKUP($F36,'Emissions and Fuel'!$A$295:$A$335,'Emissions and Fuel'!$P$295:$P$335,,),0)+IFERROR(_xlfn.XLOOKUP($F36,'Emissions and Fuel'!$A$342:$A$382,'Emissions and Fuel'!$J$342:$J$382,,0),0)</f>
        <v>0</v>
      </c>
      <c r="Q36" s="1184">
        <f>IFERROR(_xlfn.XLOOKUP(F36,'BCA Guide - Parameter Values'!$B$82:$B$112,'BCA Guide - Parameter Values'!$F$82:$F$112,,),0)</f>
        <v>340.32503012877083</v>
      </c>
      <c r="R36" s="1184">
        <f t="shared" si="6"/>
        <v>0</v>
      </c>
      <c r="S36" s="1185">
        <f>_xlfn.XLOOKUP($F36,'Emissions and Fuel'!$A$154:$A$194,'Emissions and Fuel'!$G$154:$G$194,,0)+_xlfn.XLOOKUP($F36,'Emissions and Fuel'!$A$154:$A$194,'Emissions and Fuel'!$L$154:$L$194,,0)+_xlfn.XLOOKUP($F36,'Emissions and Fuel'!$A$154:$A$194,'Emissions and Fuel'!$Q$154:$Q$194,,0)</f>
        <v>0</v>
      </c>
      <c r="T36" s="1184">
        <f>IFERROR(_xlfn.XLOOKUP($F36,'BCA Guide - Parameter Values'!$B$82:$B$112,'BCA Guide - Parameter Values'!$C$82:$C$112,,0),0)</f>
        <v>22000</v>
      </c>
      <c r="U36" s="1184">
        <f t="shared" si="1"/>
        <v>0</v>
      </c>
      <c r="V36" s="1170">
        <f t="shared" si="7"/>
        <v>0</v>
      </c>
      <c r="W36" s="1171">
        <f t="shared" si="8"/>
        <v>0</v>
      </c>
      <c r="X36" s="1169">
        <f>W36/(1+0.03)^($F36-'Major Assumption Key'!$B$7)</f>
        <v>0</v>
      </c>
      <c r="Y36" s="1171">
        <f t="shared" si="9"/>
        <v>0</v>
      </c>
      <c r="Z36" s="1169">
        <f>Y36/(1+'Major Assumption Key'!$B$8)^($F36-'Major Assumption Key'!$B$7)</f>
        <v>0</v>
      </c>
      <c r="AA36" s="1171">
        <f t="shared" si="10"/>
        <v>0</v>
      </c>
      <c r="AB36" s="1169">
        <f t="shared" si="11"/>
        <v>0</v>
      </c>
      <c r="AC36" s="1155"/>
      <c r="AD36" s="1165">
        <f t="shared" si="12"/>
        <v>0</v>
      </c>
      <c r="AE36" s="1170">
        <f t="shared" si="13"/>
        <v>0</v>
      </c>
      <c r="AF36" s="1171">
        <f t="shared" si="14"/>
        <v>0</v>
      </c>
      <c r="AG36" s="1169">
        <f t="shared" si="15"/>
        <v>0</v>
      </c>
      <c r="AH36" s="1171">
        <f t="shared" si="16"/>
        <v>0</v>
      </c>
      <c r="AI36" s="1169">
        <f t="shared" si="17"/>
        <v>0</v>
      </c>
      <c r="AJ36" s="1171">
        <f t="shared" si="18"/>
        <v>0</v>
      </c>
      <c r="AK36" s="1169">
        <f t="shared" si="19"/>
        <v>0</v>
      </c>
    </row>
    <row r="37" spans="6:37" ht="19.95" customHeight="1">
      <c r="F37" s="1181">
        <f>'Major Assumption Key'!$A49</f>
        <v>2050</v>
      </c>
      <c r="G37" s="1182">
        <f>_xlfn.XLOOKUP(F37,'VMT Reduction Supporting'!A:A,'VMT Reduction Supporting'!H:H,,0)</f>
        <v>143960.5045377037</v>
      </c>
      <c r="H37" s="1183">
        <f>IFERROR(_xlfn.XLOOKUP($F37,'Emissions and Fuel'!$A$295:$A$335,'Emissions and Fuel'!$H$295:$H$335,,0),0)+IFERROR(_xlfn.XLOOKUP($F37,'Emissions and Fuel'!$A$295:$A$335,'Emissions and Fuel'!$O$295:$O$335,,),0)+IFERROR(_xlfn.XLOOKUP($F37,'Emissions and Fuel'!$A$342:$A$382,'Emissions and Fuel'!$I$342:$I$382,,0),0)</f>
        <v>0</v>
      </c>
      <c r="I37" s="1184">
        <f>IFERROR(_xlfn.XLOOKUP(F37,'BCA Guide - Parameter Values'!$B$82:$B$112,'BCA Guide - Parameter Values'!$F$82:$F$112,,),0)</f>
        <v>344.80299105151784</v>
      </c>
      <c r="J37" s="1184">
        <f t="shared" si="4"/>
        <v>0</v>
      </c>
      <c r="K37" s="1185">
        <f>_xlfn.XLOOKUP($F37,'Emissions and Fuel'!$A$154:$A$194,'Emissions and Fuel'!$F$154:$F$194,,0)+_xlfn.XLOOKUP($F37,'Emissions and Fuel'!$A$154:$A$194,'Emissions and Fuel'!$K$154:$K$194,,0)+_xlfn.XLOOKUP($F37,'Emissions and Fuel'!$A$154:$A$194,'Emissions and Fuel'!$P$154:$P$194,,0)</f>
        <v>0</v>
      </c>
      <c r="L37" s="1184">
        <f>IFERROR(_xlfn.XLOOKUP($F37,'BCA Guide - Parameter Values'!$B$82:$B$112,'BCA Guide - Parameter Values'!$C$82:$C$112,,0),0)</f>
        <v>22000</v>
      </c>
      <c r="M37" s="1184">
        <f t="shared" si="0"/>
        <v>0</v>
      </c>
      <c r="N37" s="1165">
        <f t="shared" si="5"/>
        <v>0</v>
      </c>
      <c r="O37" s="1182">
        <f>_xlfn.XLOOKUP(F37,'VMT Reduction Supporting'!A:A,'VMT Reduction Supporting'!I:I,,0)</f>
        <v>187321.29493153901</v>
      </c>
      <c r="P37" s="1183">
        <f>IFERROR(_xlfn.XLOOKUP($F37,'Emissions and Fuel'!$A$295:$A$335,'Emissions and Fuel'!$I$295:$I$335,,0),0)+IFERROR(_xlfn.XLOOKUP($F37,'Emissions and Fuel'!$A$295:$A$335,'Emissions and Fuel'!$P$295:$P$335,,),0)+IFERROR(_xlfn.XLOOKUP($F37,'Emissions and Fuel'!$A$342:$A$382,'Emissions and Fuel'!$J$342:$J$382,,0),0)</f>
        <v>0</v>
      </c>
      <c r="Q37" s="1184">
        <f>IFERROR(_xlfn.XLOOKUP(F37,'BCA Guide - Parameter Values'!$B$82:$B$112,'BCA Guide - Parameter Values'!$F$82:$F$112,,),0)</f>
        <v>344.80299105151784</v>
      </c>
      <c r="R37" s="1184">
        <f t="shared" si="6"/>
        <v>0</v>
      </c>
      <c r="S37" s="1185">
        <f>_xlfn.XLOOKUP($F37,'Emissions and Fuel'!$A$154:$A$194,'Emissions and Fuel'!$G$154:$G$194,,0)+_xlfn.XLOOKUP($F37,'Emissions and Fuel'!$A$154:$A$194,'Emissions and Fuel'!$L$154:$L$194,,0)+_xlfn.XLOOKUP($F37,'Emissions and Fuel'!$A$154:$A$194,'Emissions and Fuel'!$Q$154:$Q$194,,0)</f>
        <v>0</v>
      </c>
      <c r="T37" s="1184">
        <f>IFERROR(_xlfn.XLOOKUP($F37,'BCA Guide - Parameter Values'!$B$82:$B$112,'BCA Guide - Parameter Values'!$C$82:$C$112,,0),0)</f>
        <v>22000</v>
      </c>
      <c r="U37" s="1184">
        <f t="shared" si="1"/>
        <v>0</v>
      </c>
      <c r="V37" s="1170">
        <f t="shared" si="7"/>
        <v>0</v>
      </c>
      <c r="W37" s="1171">
        <f t="shared" si="8"/>
        <v>0</v>
      </c>
      <c r="X37" s="1169">
        <f>W37/(1+0.03)^($F37-'Major Assumption Key'!$B$7)</f>
        <v>0</v>
      </c>
      <c r="Y37" s="1171">
        <f t="shared" si="9"/>
        <v>0</v>
      </c>
      <c r="Z37" s="1169">
        <f>Y37/(1+'Major Assumption Key'!$B$8)^($F37-'Major Assumption Key'!$B$7)</f>
        <v>0</v>
      </c>
      <c r="AA37" s="1171">
        <f t="shared" si="10"/>
        <v>0</v>
      </c>
      <c r="AB37" s="1169">
        <f t="shared" si="11"/>
        <v>0</v>
      </c>
      <c r="AC37" s="1155"/>
      <c r="AD37" s="1165">
        <f t="shared" si="12"/>
        <v>0</v>
      </c>
      <c r="AE37" s="1170">
        <f t="shared" si="13"/>
        <v>0</v>
      </c>
      <c r="AF37" s="1171">
        <f t="shared" si="14"/>
        <v>0</v>
      </c>
      <c r="AG37" s="1169">
        <f t="shared" si="15"/>
        <v>0</v>
      </c>
      <c r="AH37" s="1171">
        <f t="shared" si="16"/>
        <v>0</v>
      </c>
      <c r="AI37" s="1169">
        <f t="shared" si="17"/>
        <v>0</v>
      </c>
      <c r="AJ37" s="1171">
        <f t="shared" si="18"/>
        <v>0</v>
      </c>
      <c r="AK37" s="1169">
        <f t="shared" si="19"/>
        <v>0</v>
      </c>
    </row>
    <row r="38" spans="6:37" ht="19.95" customHeight="1">
      <c r="F38" s="1181">
        <f>'Major Assumption Key'!$A50</f>
        <v>2051</v>
      </c>
      <c r="G38" s="1182">
        <f>_xlfn.XLOOKUP(F38,'VMT Reduction Supporting'!A:A,'VMT Reduction Supporting'!H:H,,0)</f>
        <v>144906.96536445263</v>
      </c>
      <c r="H38" s="1183">
        <f>IFERROR(_xlfn.XLOOKUP($F38,'Emissions and Fuel'!$A$295:$A$335,'Emissions and Fuel'!$H$295:$H$335,,0),0)+IFERROR(_xlfn.XLOOKUP($F38,'Emissions and Fuel'!$A$295:$A$335,'Emissions and Fuel'!$O$295:$O$335,,),0)+IFERROR(_xlfn.XLOOKUP($F38,'Emissions and Fuel'!$A$342:$A$382,'Emissions and Fuel'!$I$342:$I$382,,0),0)</f>
        <v>0</v>
      </c>
      <c r="I38" s="1184">
        <f>IFERROR(_xlfn.XLOOKUP(F38,'BCA Guide - Parameter Values'!$B$82:$B$112,'BCA Guide - Parameter Values'!$F$82:$F$112,,),0)</f>
        <v>349.28095197426484</v>
      </c>
      <c r="J38" s="1184">
        <f t="shared" si="4"/>
        <v>0</v>
      </c>
      <c r="K38" s="1185">
        <f>_xlfn.XLOOKUP($F38,'Emissions and Fuel'!$A$154:$A$194,'Emissions and Fuel'!$F$154:$F$194,,0)+_xlfn.XLOOKUP($F38,'Emissions and Fuel'!$A$154:$A$194,'Emissions and Fuel'!$K$154:$K$194,,0)+_xlfn.XLOOKUP($F38,'Emissions and Fuel'!$A$154:$A$194,'Emissions and Fuel'!$P$154:$P$194,,0)</f>
        <v>0</v>
      </c>
      <c r="L38" s="1184">
        <f>IFERROR(_xlfn.XLOOKUP($F38,'BCA Guide - Parameter Values'!$B$82:$B$112,'BCA Guide - Parameter Values'!$C$82:$C$112,,0),0)</f>
        <v>22000</v>
      </c>
      <c r="M38" s="1184">
        <f t="shared" si="0"/>
        <v>0</v>
      </c>
      <c r="N38" s="1165">
        <f t="shared" si="5"/>
        <v>0</v>
      </c>
      <c r="O38" s="1182">
        <f>_xlfn.XLOOKUP(F38,'VMT Reduction Supporting'!A:A,'VMT Reduction Supporting'!I:I,,0)</f>
        <v>188750.18238741567</v>
      </c>
      <c r="P38" s="1183">
        <f>IFERROR(_xlfn.XLOOKUP($F38,'Emissions and Fuel'!$A$295:$A$335,'Emissions and Fuel'!$I$295:$I$335,,0),0)+IFERROR(_xlfn.XLOOKUP($F38,'Emissions and Fuel'!$A$295:$A$335,'Emissions and Fuel'!$P$295:$P$335,,),0)+IFERROR(_xlfn.XLOOKUP($F38,'Emissions and Fuel'!$A$342:$A$382,'Emissions and Fuel'!$J$342:$J$382,,0),0)</f>
        <v>0</v>
      </c>
      <c r="Q38" s="1184">
        <f>IFERROR(_xlfn.XLOOKUP(F38,'BCA Guide - Parameter Values'!$B$82:$B$112,'BCA Guide - Parameter Values'!$F$82:$F$112,,),0)</f>
        <v>349.28095197426484</v>
      </c>
      <c r="R38" s="1184">
        <f t="shared" si="6"/>
        <v>0</v>
      </c>
      <c r="S38" s="1185">
        <f>_xlfn.XLOOKUP($F38,'Emissions and Fuel'!$A$154:$A$194,'Emissions and Fuel'!$G$154:$G$194,,0)+_xlfn.XLOOKUP($F38,'Emissions and Fuel'!$A$154:$A$194,'Emissions and Fuel'!$L$154:$L$194,,0)+_xlfn.XLOOKUP($F38,'Emissions and Fuel'!$A$154:$A$194,'Emissions and Fuel'!$Q$154:$Q$194,,0)</f>
        <v>0</v>
      </c>
      <c r="T38" s="1184">
        <f>IFERROR(_xlfn.XLOOKUP($F38,'BCA Guide - Parameter Values'!$B$82:$B$112,'BCA Guide - Parameter Values'!$C$82:$C$112,,0),0)</f>
        <v>22000</v>
      </c>
      <c r="U38" s="1184">
        <f t="shared" si="1"/>
        <v>0</v>
      </c>
      <c r="V38" s="1170">
        <f t="shared" si="7"/>
        <v>0</v>
      </c>
      <c r="W38" s="1171">
        <f t="shared" si="8"/>
        <v>0</v>
      </c>
      <c r="X38" s="1169">
        <f>W38/(1+0.03)^($F38-'Major Assumption Key'!$B$7)</f>
        <v>0</v>
      </c>
      <c r="Y38" s="1171">
        <f t="shared" si="9"/>
        <v>0</v>
      </c>
      <c r="Z38" s="1169">
        <f>Y38/(1+'Major Assumption Key'!$B$8)^($F38-'Major Assumption Key'!$B$7)</f>
        <v>0</v>
      </c>
      <c r="AA38" s="1171">
        <f t="shared" si="10"/>
        <v>0</v>
      </c>
      <c r="AB38" s="1169">
        <f t="shared" si="11"/>
        <v>0</v>
      </c>
      <c r="AC38" s="1155"/>
      <c r="AD38" s="1165">
        <f t="shared" si="12"/>
        <v>0</v>
      </c>
      <c r="AE38" s="1170">
        <f t="shared" si="13"/>
        <v>0</v>
      </c>
      <c r="AF38" s="1171">
        <f t="shared" si="14"/>
        <v>0</v>
      </c>
      <c r="AG38" s="1169">
        <f t="shared" si="15"/>
        <v>0</v>
      </c>
      <c r="AH38" s="1171">
        <f t="shared" si="16"/>
        <v>0</v>
      </c>
      <c r="AI38" s="1169">
        <f t="shared" si="17"/>
        <v>0</v>
      </c>
      <c r="AJ38" s="1171">
        <f t="shared" si="18"/>
        <v>0</v>
      </c>
      <c r="AK38" s="1169">
        <f t="shared" si="19"/>
        <v>0</v>
      </c>
    </row>
    <row r="39" spans="6:37" ht="19.95" customHeight="1">
      <c r="F39" s="1181">
        <f>'Major Assumption Key'!$A51</f>
        <v>2052</v>
      </c>
      <c r="G39" s="1182">
        <f>_xlfn.XLOOKUP(F39,'VMT Reduction Supporting'!A:A,'VMT Reduction Supporting'!H:H,,0)</f>
        <v>145862.78712008221</v>
      </c>
      <c r="H39" s="1183">
        <f>IFERROR(_xlfn.XLOOKUP($F39,'Emissions and Fuel'!$A$295:$A$335,'Emissions and Fuel'!$H$295:$H$335,,0),0)+IFERROR(_xlfn.XLOOKUP($F39,'Emissions and Fuel'!$A$295:$A$335,'Emissions and Fuel'!$O$295:$O$335,,),0)+IFERROR(_xlfn.XLOOKUP($F39,'Emissions and Fuel'!$A$342:$A$382,'Emissions and Fuel'!$I$342:$I$382,,0),0)</f>
        <v>0</v>
      </c>
      <c r="I39" s="1184">
        <f>IFERROR(_xlfn.XLOOKUP(F39,'BCA Guide - Parameter Values'!$B$82:$B$112,'BCA Guide - Parameter Values'!$F$82:$F$112,,),0)</f>
        <v>352.63942266632506</v>
      </c>
      <c r="J39" s="1184">
        <f t="shared" si="4"/>
        <v>0</v>
      </c>
      <c r="K39" s="1185">
        <f>_xlfn.XLOOKUP($F39,'Emissions and Fuel'!$A$154:$A$194,'Emissions and Fuel'!$F$154:$F$194,,0)+_xlfn.XLOOKUP($F39,'Emissions and Fuel'!$A$154:$A$194,'Emissions and Fuel'!$K$154:$K$194,,0)+_xlfn.XLOOKUP($F39,'Emissions and Fuel'!$A$154:$A$194,'Emissions and Fuel'!$P$154:$P$194,,0)</f>
        <v>0</v>
      </c>
      <c r="L39" s="1184">
        <f>IFERROR(_xlfn.XLOOKUP($F39,'BCA Guide - Parameter Values'!$B$82:$B$112,'BCA Guide - Parameter Values'!$C$82:$C$112,,0),0)</f>
        <v>22000</v>
      </c>
      <c r="M39" s="1184">
        <f t="shared" si="0"/>
        <v>0</v>
      </c>
      <c r="N39" s="1165">
        <f t="shared" si="5"/>
        <v>0</v>
      </c>
      <c r="O39" s="1182">
        <f>_xlfn.XLOOKUP(F39,'VMT Reduction Supporting'!A:A,'VMT Reduction Supporting'!I:I,,0)</f>
        <v>190194.94229471323</v>
      </c>
      <c r="P39" s="1183">
        <f>IFERROR(_xlfn.XLOOKUP($F39,'Emissions and Fuel'!$A$295:$A$335,'Emissions and Fuel'!$I$295:$I$335,,0),0)+IFERROR(_xlfn.XLOOKUP($F39,'Emissions and Fuel'!$A$295:$A$335,'Emissions and Fuel'!$P$295:$P$335,,),0)+IFERROR(_xlfn.XLOOKUP($F39,'Emissions and Fuel'!$A$342:$A$382,'Emissions and Fuel'!$J$342:$J$382,,0),0)</f>
        <v>0</v>
      </c>
      <c r="Q39" s="1184">
        <f>IFERROR(_xlfn.XLOOKUP(F39,'BCA Guide - Parameter Values'!$B$82:$B$112,'BCA Guide - Parameter Values'!$F$82:$F$112,,),0)</f>
        <v>352.63942266632506</v>
      </c>
      <c r="R39" s="1184">
        <f t="shared" si="6"/>
        <v>0</v>
      </c>
      <c r="S39" s="1185">
        <f>_xlfn.XLOOKUP($F39,'Emissions and Fuel'!$A$154:$A$194,'Emissions and Fuel'!$G$154:$G$194,,0)+_xlfn.XLOOKUP($F39,'Emissions and Fuel'!$A$154:$A$194,'Emissions and Fuel'!$L$154:$L$194,,0)+_xlfn.XLOOKUP($F39,'Emissions and Fuel'!$A$154:$A$194,'Emissions and Fuel'!$Q$154:$Q$194,,0)</f>
        <v>0</v>
      </c>
      <c r="T39" s="1184">
        <f>IFERROR(_xlfn.XLOOKUP($F39,'BCA Guide - Parameter Values'!$B$82:$B$112,'BCA Guide - Parameter Values'!$C$82:$C$112,,0),0)</f>
        <v>22000</v>
      </c>
      <c r="U39" s="1184">
        <f t="shared" si="1"/>
        <v>0</v>
      </c>
      <c r="V39" s="1170">
        <f t="shared" si="7"/>
        <v>0</v>
      </c>
      <c r="W39" s="1171">
        <f t="shared" si="8"/>
        <v>0</v>
      </c>
      <c r="X39" s="1169">
        <f>W39/(1+0.03)^($F39-'Major Assumption Key'!$B$7)</f>
        <v>0</v>
      </c>
      <c r="Y39" s="1171">
        <f t="shared" si="9"/>
        <v>0</v>
      </c>
      <c r="Z39" s="1169">
        <f>Y39/(1+'Major Assumption Key'!$B$8)^($F39-'Major Assumption Key'!$B$7)</f>
        <v>0</v>
      </c>
      <c r="AA39" s="1171">
        <f t="shared" si="10"/>
        <v>0</v>
      </c>
      <c r="AB39" s="1169">
        <f t="shared" si="11"/>
        <v>0</v>
      </c>
      <c r="AC39" s="1155"/>
      <c r="AD39" s="1165">
        <f t="shared" si="12"/>
        <v>0</v>
      </c>
      <c r="AE39" s="1170">
        <f t="shared" si="13"/>
        <v>0</v>
      </c>
      <c r="AF39" s="1171">
        <f t="shared" si="14"/>
        <v>0</v>
      </c>
      <c r="AG39" s="1169">
        <f t="shared" si="15"/>
        <v>0</v>
      </c>
      <c r="AH39" s="1171">
        <f t="shared" si="16"/>
        <v>0</v>
      </c>
      <c r="AI39" s="1169">
        <f t="shared" si="17"/>
        <v>0</v>
      </c>
      <c r="AJ39" s="1171">
        <f t="shared" si="18"/>
        <v>0</v>
      </c>
      <c r="AK39" s="1169">
        <f t="shared" si="19"/>
        <v>0</v>
      </c>
    </row>
    <row r="40" spans="6:37" ht="19.95" customHeight="1">
      <c r="F40" s="1181">
        <f>'Major Assumption Key'!$A52</f>
        <v>2053</v>
      </c>
      <c r="G40" s="1182">
        <f>_xlfn.XLOOKUP(F40,'VMT Reduction Supporting'!A:A,'VMT Reduction Supporting'!H:H,,0)</f>
        <v>146828.08985721433</v>
      </c>
      <c r="H40" s="1183">
        <f>IFERROR(_xlfn.XLOOKUP($F40,'Emissions and Fuel'!$A$295:$A$335,'Emissions and Fuel'!$H$295:$H$335,,0),0)+IFERROR(_xlfn.XLOOKUP($F40,'Emissions and Fuel'!$A$295:$A$335,'Emissions and Fuel'!$O$295:$O$335,,),0)+IFERROR(_xlfn.XLOOKUP($F40,'Emissions and Fuel'!$A$342:$A$382,'Emissions and Fuel'!$I$342:$I$382,,0),0)</f>
        <v>0</v>
      </c>
      <c r="I40" s="1184">
        <f>IFERROR(_xlfn.XLOOKUP(F40,'BCA Guide - Parameter Values'!$B$82:$B$112,'BCA Guide - Parameter Values'!$F$82:$F$112,,),0)</f>
        <v>357.11738358907206</v>
      </c>
      <c r="J40" s="1184">
        <f t="shared" si="4"/>
        <v>0</v>
      </c>
      <c r="K40" s="1185">
        <f>_xlfn.XLOOKUP($F40,'Emissions and Fuel'!$A$154:$A$194,'Emissions and Fuel'!$F$154:$F$194,,0)+_xlfn.XLOOKUP($F40,'Emissions and Fuel'!$A$154:$A$194,'Emissions and Fuel'!$K$154:$K$194,,0)+_xlfn.XLOOKUP($F40,'Emissions and Fuel'!$A$154:$A$194,'Emissions and Fuel'!$P$154:$P$194,,0)</f>
        <v>0</v>
      </c>
      <c r="L40" s="1184">
        <f>IFERROR(_xlfn.XLOOKUP($F40,'BCA Guide - Parameter Values'!$B$82:$B$112,'BCA Guide - Parameter Values'!$C$82:$C$112,,0),0)</f>
        <v>22000</v>
      </c>
      <c r="M40" s="1184">
        <f t="shared" si="0"/>
        <v>0</v>
      </c>
      <c r="N40" s="1165">
        <f t="shared" si="5"/>
        <v>0</v>
      </c>
      <c r="O40" s="1182">
        <f>_xlfn.XLOOKUP(F40,'VMT Reduction Supporting'!A:A,'VMT Reduction Supporting'!I:I,,0)</f>
        <v>191655.78880636528</v>
      </c>
      <c r="P40" s="1183">
        <f>IFERROR(_xlfn.XLOOKUP($F40,'Emissions and Fuel'!$A$295:$A$335,'Emissions and Fuel'!$I$295:$I$335,,0),0)+IFERROR(_xlfn.XLOOKUP($F40,'Emissions and Fuel'!$A$295:$A$335,'Emissions and Fuel'!$P$295:$P$335,,),0)+IFERROR(_xlfn.XLOOKUP($F40,'Emissions and Fuel'!$A$342:$A$382,'Emissions and Fuel'!$J$342:$J$382,,0),0)</f>
        <v>0</v>
      </c>
      <c r="Q40" s="1184">
        <f>IFERROR(_xlfn.XLOOKUP(F40,'BCA Guide - Parameter Values'!$B$82:$B$112,'BCA Guide - Parameter Values'!$F$82:$F$112,,),0)</f>
        <v>357.11738358907206</v>
      </c>
      <c r="R40" s="1184">
        <f t="shared" si="6"/>
        <v>0</v>
      </c>
      <c r="S40" s="1185">
        <f>_xlfn.XLOOKUP($F40,'Emissions and Fuel'!$A$154:$A$194,'Emissions and Fuel'!$G$154:$G$194,,0)+_xlfn.XLOOKUP($F40,'Emissions and Fuel'!$A$154:$A$194,'Emissions and Fuel'!$L$154:$L$194,,0)+_xlfn.XLOOKUP($F40,'Emissions and Fuel'!$A$154:$A$194,'Emissions and Fuel'!$Q$154:$Q$194,,0)</f>
        <v>0</v>
      </c>
      <c r="T40" s="1184">
        <f>IFERROR(_xlfn.XLOOKUP($F40,'BCA Guide - Parameter Values'!$B$82:$B$112,'BCA Guide - Parameter Values'!$C$82:$C$112,,0),0)</f>
        <v>22000</v>
      </c>
      <c r="U40" s="1184">
        <f t="shared" si="1"/>
        <v>0</v>
      </c>
      <c r="V40" s="1170">
        <f t="shared" si="7"/>
        <v>0</v>
      </c>
      <c r="W40" s="1171">
        <f t="shared" si="8"/>
        <v>0</v>
      </c>
      <c r="X40" s="1169">
        <f>W40/(1+0.03)^($F40-'Major Assumption Key'!$B$7)</f>
        <v>0</v>
      </c>
      <c r="Y40" s="1171">
        <f t="shared" si="9"/>
        <v>0</v>
      </c>
      <c r="Z40" s="1169">
        <f>Y40/(1+'Major Assumption Key'!$B$8)^($F40-'Major Assumption Key'!$B$7)</f>
        <v>0</v>
      </c>
      <c r="AA40" s="1171">
        <f t="shared" si="10"/>
        <v>0</v>
      </c>
      <c r="AB40" s="1169">
        <f t="shared" si="11"/>
        <v>0</v>
      </c>
      <c r="AC40" s="1155"/>
      <c r="AD40" s="1165">
        <f t="shared" si="12"/>
        <v>0</v>
      </c>
      <c r="AE40" s="1170">
        <f t="shared" si="13"/>
        <v>0</v>
      </c>
      <c r="AF40" s="1171">
        <f t="shared" si="14"/>
        <v>0</v>
      </c>
      <c r="AG40" s="1169">
        <f t="shared" si="15"/>
        <v>0</v>
      </c>
      <c r="AH40" s="1171">
        <f t="shared" si="16"/>
        <v>0</v>
      </c>
      <c r="AI40" s="1169">
        <f t="shared" si="17"/>
        <v>0</v>
      </c>
      <c r="AJ40" s="1171">
        <f t="shared" si="18"/>
        <v>0</v>
      </c>
      <c r="AK40" s="1169">
        <f t="shared" si="19"/>
        <v>0</v>
      </c>
    </row>
    <row r="41" spans="6:37" ht="19.95" customHeight="1">
      <c r="F41" s="1181">
        <f>'Major Assumption Key'!$A53</f>
        <v>2054</v>
      </c>
      <c r="G41" s="1182">
        <f>_xlfn.XLOOKUP(F41,'VMT Reduction Supporting'!A:A,'VMT Reduction Supporting'!H:H,,0)</f>
        <v>147802.9953279389</v>
      </c>
      <c r="H41" s="1183">
        <f>IFERROR(_xlfn.XLOOKUP($F41,'Emissions and Fuel'!$A$295:$A$335,'Emissions and Fuel'!$H$295:$H$335,,0),0)+IFERROR(_xlfn.XLOOKUP($F41,'Emissions and Fuel'!$A$295:$A$335,'Emissions and Fuel'!$O$295:$O$335,,),0)+IFERROR(_xlfn.XLOOKUP($F41,'Emissions and Fuel'!$A$342:$A$382,'Emissions and Fuel'!$I$342:$I$382,,0),0)</f>
        <v>0</v>
      </c>
      <c r="I41" s="1184">
        <f>IFERROR(_xlfn.XLOOKUP(F41,'BCA Guide - Parameter Values'!$B$82:$B$112,'BCA Guide - Parameter Values'!$F$82:$F$112,,),0)</f>
        <v>0</v>
      </c>
      <c r="J41" s="1184">
        <f t="shared" si="4"/>
        <v>0</v>
      </c>
      <c r="K41" s="1185">
        <f>_xlfn.XLOOKUP($F41,'Emissions and Fuel'!$A$154:$A$194,'Emissions and Fuel'!$F$154:$F$194,,0)+_xlfn.XLOOKUP($F41,'Emissions and Fuel'!$A$154:$A$194,'Emissions and Fuel'!$K$154:$K$194,,0)+_xlfn.XLOOKUP($F41,'Emissions and Fuel'!$A$154:$A$194,'Emissions and Fuel'!$P$154:$P$194,,0)</f>
        <v>0</v>
      </c>
      <c r="L41" s="1184">
        <f>IFERROR(_xlfn.XLOOKUP($F41,'BCA Guide - Parameter Values'!$B$82:$B$112,'BCA Guide - Parameter Values'!$C$82:$C$112,,0),0)</f>
        <v>0</v>
      </c>
      <c r="M41" s="1184">
        <f t="shared" si="0"/>
        <v>0</v>
      </c>
      <c r="N41" s="1165">
        <f t="shared" si="5"/>
        <v>0</v>
      </c>
      <c r="O41" s="1182">
        <f>_xlfn.XLOOKUP(F41,'VMT Reduction Supporting'!A:A,'VMT Reduction Supporting'!I:I,,0)</f>
        <v>193132.93862378717</v>
      </c>
      <c r="P41" s="1183">
        <f>IFERROR(_xlfn.XLOOKUP($F41,'Emissions and Fuel'!$A$295:$A$335,'Emissions and Fuel'!$I$295:$I$335,,0),0)+IFERROR(_xlfn.XLOOKUP($F41,'Emissions and Fuel'!$A$295:$A$335,'Emissions and Fuel'!$P$295:$P$335,,),0)+IFERROR(_xlfn.XLOOKUP($F41,'Emissions and Fuel'!$A$342:$A$382,'Emissions and Fuel'!$J$342:$J$382,,0),0)</f>
        <v>0</v>
      </c>
      <c r="Q41" s="1184">
        <f>IFERROR(_xlfn.XLOOKUP(F41,'BCA Guide - Parameter Values'!$B$82:$B$112,'BCA Guide - Parameter Values'!$F$82:$F$112,,),0)</f>
        <v>0</v>
      </c>
      <c r="R41" s="1184">
        <f t="shared" si="6"/>
        <v>0</v>
      </c>
      <c r="S41" s="1185">
        <f>_xlfn.XLOOKUP($F41,'Emissions and Fuel'!$A$154:$A$194,'Emissions and Fuel'!$G$154:$G$194,,0)+_xlfn.XLOOKUP($F41,'Emissions and Fuel'!$A$154:$A$194,'Emissions and Fuel'!$L$154:$L$194,,0)+_xlfn.XLOOKUP($F41,'Emissions and Fuel'!$A$154:$A$194,'Emissions and Fuel'!$Q$154:$Q$194,,0)</f>
        <v>0</v>
      </c>
      <c r="T41" s="1184">
        <f>IFERROR(_xlfn.XLOOKUP($F41,'BCA Guide - Parameter Values'!$B$82:$B$112,'BCA Guide - Parameter Values'!$C$82:$C$112,,0),0)</f>
        <v>0</v>
      </c>
      <c r="U41" s="1184">
        <f t="shared" si="1"/>
        <v>0</v>
      </c>
      <c r="V41" s="1170">
        <f t="shared" si="7"/>
        <v>0</v>
      </c>
      <c r="W41" s="1171">
        <f t="shared" si="8"/>
        <v>0</v>
      </c>
      <c r="X41" s="1169">
        <f>W41/(1+0.03)^($F41-'Major Assumption Key'!$B$7)</f>
        <v>0</v>
      </c>
      <c r="Y41" s="1171">
        <f t="shared" si="9"/>
        <v>0</v>
      </c>
      <c r="Z41" s="1169">
        <f>Y41/(1+'Major Assumption Key'!$B$8)^($F41-'Major Assumption Key'!$B$7)</f>
        <v>0</v>
      </c>
      <c r="AA41" s="1171">
        <f t="shared" si="10"/>
        <v>0</v>
      </c>
      <c r="AB41" s="1169">
        <f t="shared" si="11"/>
        <v>0</v>
      </c>
      <c r="AC41" s="1155"/>
      <c r="AD41" s="1165">
        <f t="shared" si="12"/>
        <v>0</v>
      </c>
      <c r="AE41" s="1170">
        <f t="shared" si="13"/>
        <v>0</v>
      </c>
      <c r="AF41" s="1171">
        <f t="shared" si="14"/>
        <v>0</v>
      </c>
      <c r="AG41" s="1169">
        <f t="shared" si="15"/>
        <v>0</v>
      </c>
      <c r="AH41" s="1171">
        <f t="shared" si="16"/>
        <v>0</v>
      </c>
      <c r="AI41" s="1169">
        <f t="shared" si="17"/>
        <v>0</v>
      </c>
      <c r="AJ41" s="1171">
        <f t="shared" si="18"/>
        <v>0</v>
      </c>
      <c r="AK41" s="1169">
        <f t="shared" si="19"/>
        <v>0</v>
      </c>
    </row>
    <row r="42" spans="6:37" ht="19.95" customHeight="1">
      <c r="F42" s="1181">
        <f>'Major Assumption Key'!$A54</f>
        <v>2055</v>
      </c>
      <c r="G42" s="1182">
        <f>_xlfn.XLOOKUP(F42,'VMT Reduction Supporting'!A:A,'VMT Reduction Supporting'!H:H,,0)</f>
        <v>148787.62700858855</v>
      </c>
      <c r="H42" s="1183">
        <f>IFERROR(_xlfn.XLOOKUP($F42,'Emissions and Fuel'!$A$295:$A$335,'Emissions and Fuel'!$H$295:$H$335,,0),0)+IFERROR(_xlfn.XLOOKUP($F42,'Emissions and Fuel'!$A$295:$A$335,'Emissions and Fuel'!$O$295:$O$335,,),0)+IFERROR(_xlfn.XLOOKUP($F42,'Emissions and Fuel'!$A$342:$A$382,'Emissions and Fuel'!$I$342:$I$382,,0),0)</f>
        <v>0</v>
      </c>
      <c r="I42" s="1184">
        <f>IFERROR(_xlfn.XLOOKUP(F42,'BCA Guide - Parameter Values'!$B$82:$B$112,'BCA Guide - Parameter Values'!$F$82:$F$112,,),0)</f>
        <v>0</v>
      </c>
      <c r="J42" s="1184">
        <f t="shared" si="4"/>
        <v>0</v>
      </c>
      <c r="K42" s="1185">
        <f>_xlfn.XLOOKUP($F42,'Emissions and Fuel'!$A$154:$A$194,'Emissions and Fuel'!$F$154:$F$194,,0)+_xlfn.XLOOKUP($F42,'Emissions and Fuel'!$A$154:$A$194,'Emissions and Fuel'!$K$154:$K$194,,0)+_xlfn.XLOOKUP($F42,'Emissions and Fuel'!$A$154:$A$194,'Emissions and Fuel'!$P$154:$P$194,,0)</f>
        <v>0</v>
      </c>
      <c r="L42" s="1184">
        <f>IFERROR(_xlfn.XLOOKUP($F42,'BCA Guide - Parameter Values'!$B$82:$B$112,'BCA Guide - Parameter Values'!$C$82:$C$112,,0),0)</f>
        <v>0</v>
      </c>
      <c r="M42" s="1184">
        <f t="shared" si="0"/>
        <v>0</v>
      </c>
      <c r="N42" s="1165">
        <f t="shared" si="5"/>
        <v>0</v>
      </c>
      <c r="O42" s="1182">
        <f>_xlfn.XLOOKUP(F42,'VMT Reduction Supporting'!A:A,'VMT Reduction Supporting'!I:I,,0)</f>
        <v>194626.6116513593</v>
      </c>
      <c r="P42" s="1183">
        <f>IFERROR(_xlfn.XLOOKUP($F42,'Emissions and Fuel'!$A$295:$A$335,'Emissions and Fuel'!$I$295:$I$335,,0),0)+IFERROR(_xlfn.XLOOKUP($F42,'Emissions and Fuel'!$A$295:$A$335,'Emissions and Fuel'!$P$295:$P$335,,),0)+IFERROR(_xlfn.XLOOKUP($F42,'Emissions and Fuel'!$A$342:$A$382,'Emissions and Fuel'!$J$342:$J$382,,0),0)</f>
        <v>0</v>
      </c>
      <c r="Q42" s="1184">
        <f>IFERROR(_xlfn.XLOOKUP(F42,'BCA Guide - Parameter Values'!$B$82:$B$112,'BCA Guide - Parameter Values'!$F$82:$F$112,,),0)</f>
        <v>0</v>
      </c>
      <c r="R42" s="1184">
        <f t="shared" si="6"/>
        <v>0</v>
      </c>
      <c r="S42" s="1185">
        <f>_xlfn.XLOOKUP($F42,'Emissions and Fuel'!$A$154:$A$194,'Emissions and Fuel'!$G$154:$G$194,,0)+_xlfn.XLOOKUP($F42,'Emissions and Fuel'!$A$154:$A$194,'Emissions and Fuel'!$L$154:$L$194,,0)+_xlfn.XLOOKUP($F42,'Emissions and Fuel'!$A$154:$A$194,'Emissions and Fuel'!$Q$154:$Q$194,,0)</f>
        <v>0</v>
      </c>
      <c r="T42" s="1184">
        <f>IFERROR(_xlfn.XLOOKUP($F42,'BCA Guide - Parameter Values'!$B$82:$B$112,'BCA Guide - Parameter Values'!$C$82:$C$112,,0),0)</f>
        <v>0</v>
      </c>
      <c r="U42" s="1184">
        <f t="shared" si="1"/>
        <v>0</v>
      </c>
      <c r="V42" s="1170">
        <f t="shared" si="7"/>
        <v>0</v>
      </c>
      <c r="W42" s="1171">
        <f t="shared" si="8"/>
        <v>0</v>
      </c>
      <c r="X42" s="1169">
        <f>W42/(1+0.03)^($F42-'Major Assumption Key'!$B$7)</f>
        <v>0</v>
      </c>
      <c r="Y42" s="1171">
        <f t="shared" si="9"/>
        <v>0</v>
      </c>
      <c r="Z42" s="1169">
        <f>Y42/(1+'Major Assumption Key'!$B$8)^($F42-'Major Assumption Key'!$B$7)</f>
        <v>0</v>
      </c>
      <c r="AA42" s="1171">
        <f t="shared" si="10"/>
        <v>0</v>
      </c>
      <c r="AB42" s="1169">
        <f t="shared" si="11"/>
        <v>0</v>
      </c>
      <c r="AC42" s="1155"/>
      <c r="AD42" s="1165">
        <f t="shared" si="12"/>
        <v>0</v>
      </c>
      <c r="AE42" s="1170">
        <f t="shared" si="13"/>
        <v>0</v>
      </c>
      <c r="AF42" s="1171">
        <f t="shared" si="14"/>
        <v>0</v>
      </c>
      <c r="AG42" s="1169">
        <f t="shared" si="15"/>
        <v>0</v>
      </c>
      <c r="AH42" s="1171">
        <f t="shared" si="16"/>
        <v>0</v>
      </c>
      <c r="AI42" s="1169">
        <f t="shared" si="17"/>
        <v>0</v>
      </c>
      <c r="AJ42" s="1171">
        <f t="shared" si="18"/>
        <v>0</v>
      </c>
      <c r="AK42" s="1169">
        <f t="shared" si="19"/>
        <v>0</v>
      </c>
    </row>
    <row r="43" spans="6:37" ht="19.95" customHeight="1">
      <c r="F43" s="1181">
        <f>'Major Assumption Key'!$A55</f>
        <v>2056</v>
      </c>
      <c r="G43" s="1182">
        <f>_xlfn.XLOOKUP(F43,'VMT Reduction Supporting'!A:A,'VMT Reduction Supporting'!H:H,,0)</f>
        <v>149782.11012487757</v>
      </c>
      <c r="H43" s="1183">
        <f>IFERROR(_xlfn.XLOOKUP($F43,'Emissions and Fuel'!$A$295:$A$335,'Emissions and Fuel'!$H$295:$H$335,,0),0)+IFERROR(_xlfn.XLOOKUP($F43,'Emissions and Fuel'!$A$295:$A$335,'Emissions and Fuel'!$O$295:$O$335,,),0)+IFERROR(_xlfn.XLOOKUP($F43,'Emissions and Fuel'!$A$342:$A$382,'Emissions and Fuel'!$I$342:$I$382,,0),0)</f>
        <v>0</v>
      </c>
      <c r="I43" s="1184">
        <f>IFERROR(_xlfn.XLOOKUP(F43,'BCA Guide - Parameter Values'!$B$82:$B$112,'BCA Guide - Parameter Values'!$F$82:$F$112,,),0)</f>
        <v>0</v>
      </c>
      <c r="J43" s="1184">
        <f t="shared" si="4"/>
        <v>0</v>
      </c>
      <c r="K43" s="1185">
        <f>_xlfn.XLOOKUP($F43,'Emissions and Fuel'!$A$154:$A$194,'Emissions and Fuel'!$F$154:$F$194,,0)+_xlfn.XLOOKUP($F43,'Emissions and Fuel'!$A$154:$A$194,'Emissions and Fuel'!$K$154:$K$194,,0)+_xlfn.XLOOKUP($F43,'Emissions and Fuel'!$A$154:$A$194,'Emissions and Fuel'!$P$154:$P$194,,0)</f>
        <v>0</v>
      </c>
      <c r="L43" s="1184">
        <f>IFERROR(_xlfn.XLOOKUP($F43,'BCA Guide - Parameter Values'!$B$82:$B$112,'BCA Guide - Parameter Values'!$C$82:$C$112,,0),0)</f>
        <v>0</v>
      </c>
      <c r="M43" s="1184">
        <f t="shared" si="0"/>
        <v>0</v>
      </c>
      <c r="N43" s="1165">
        <f t="shared" si="5"/>
        <v>0</v>
      </c>
      <c r="O43" s="1182">
        <f>_xlfn.XLOOKUP(F43,'VMT Reduction Supporting'!A:A,'VMT Reduction Supporting'!I:I,,0)</f>
        <v>196137.03095496562</v>
      </c>
      <c r="P43" s="1183">
        <f>IFERROR(_xlfn.XLOOKUP($F43,'Emissions and Fuel'!$A$295:$A$335,'Emissions and Fuel'!$I$295:$I$335,,0),0)+IFERROR(_xlfn.XLOOKUP($F43,'Emissions and Fuel'!$A$295:$A$335,'Emissions and Fuel'!$P$295:$P$335,,),0)+IFERROR(_xlfn.XLOOKUP($F43,'Emissions and Fuel'!$A$342:$A$382,'Emissions and Fuel'!$J$342:$J$382,,0),0)</f>
        <v>0</v>
      </c>
      <c r="Q43" s="1184">
        <f>IFERROR(_xlfn.XLOOKUP(F43,'BCA Guide - Parameter Values'!$B$82:$B$112,'BCA Guide - Parameter Values'!$F$82:$F$112,,),0)</f>
        <v>0</v>
      </c>
      <c r="R43" s="1184">
        <f t="shared" si="6"/>
        <v>0</v>
      </c>
      <c r="S43" s="1185">
        <f>_xlfn.XLOOKUP($F43,'Emissions and Fuel'!$A$154:$A$194,'Emissions and Fuel'!$G$154:$G$194,,0)+_xlfn.XLOOKUP($F43,'Emissions and Fuel'!$A$154:$A$194,'Emissions and Fuel'!$L$154:$L$194,,0)+_xlfn.XLOOKUP($F43,'Emissions and Fuel'!$A$154:$A$194,'Emissions and Fuel'!$Q$154:$Q$194,,0)</f>
        <v>0</v>
      </c>
      <c r="T43" s="1184">
        <f>IFERROR(_xlfn.XLOOKUP($F43,'BCA Guide - Parameter Values'!$B$82:$B$112,'BCA Guide - Parameter Values'!$C$82:$C$112,,0),0)</f>
        <v>0</v>
      </c>
      <c r="U43" s="1184">
        <f t="shared" si="1"/>
        <v>0</v>
      </c>
      <c r="V43" s="1170">
        <f t="shared" si="7"/>
        <v>0</v>
      </c>
      <c r="W43" s="1171">
        <f t="shared" si="8"/>
        <v>0</v>
      </c>
      <c r="X43" s="1169">
        <f>W43/(1+0.03)^($F43-'Major Assumption Key'!$B$7)</f>
        <v>0</v>
      </c>
      <c r="Y43" s="1171">
        <f t="shared" si="9"/>
        <v>0</v>
      </c>
      <c r="Z43" s="1169">
        <f>Y43/(1+'Major Assumption Key'!$B$8)^($F43-'Major Assumption Key'!$B$7)</f>
        <v>0</v>
      </c>
      <c r="AA43" s="1171">
        <f t="shared" si="10"/>
        <v>0</v>
      </c>
      <c r="AB43" s="1169">
        <f t="shared" si="11"/>
        <v>0</v>
      </c>
      <c r="AC43" s="1155"/>
      <c r="AD43" s="1165">
        <f t="shared" si="12"/>
        <v>0</v>
      </c>
      <c r="AE43" s="1170">
        <f t="shared" si="13"/>
        <v>0</v>
      </c>
      <c r="AF43" s="1171">
        <f t="shared" si="14"/>
        <v>0</v>
      </c>
      <c r="AG43" s="1169">
        <f t="shared" si="15"/>
        <v>0</v>
      </c>
      <c r="AH43" s="1171">
        <f t="shared" si="16"/>
        <v>0</v>
      </c>
      <c r="AI43" s="1169">
        <f t="shared" si="17"/>
        <v>0</v>
      </c>
      <c r="AJ43" s="1171">
        <f t="shared" si="18"/>
        <v>0</v>
      </c>
      <c r="AK43" s="1169">
        <f t="shared" si="19"/>
        <v>0</v>
      </c>
    </row>
    <row r="44" spans="6:37" ht="19.95" customHeight="1">
      <c r="F44" s="1181">
        <f>'Major Assumption Key'!$A56</f>
        <v>2057</v>
      </c>
      <c r="G44" s="1182">
        <f>_xlfn.XLOOKUP(F44,'VMT Reduction Supporting'!A:A,'VMT Reduction Supporting'!H:H,,0)</f>
        <v>150786.57167741001</v>
      </c>
      <c r="H44" s="1183">
        <f>IFERROR(_xlfn.XLOOKUP($F44,'Emissions and Fuel'!$A$295:$A$335,'Emissions and Fuel'!$H$295:$H$335,,0),0)+IFERROR(_xlfn.XLOOKUP($F44,'Emissions and Fuel'!$A$295:$A$335,'Emissions and Fuel'!$O$295:$O$335,,),0)+IFERROR(_xlfn.XLOOKUP($F44,'Emissions and Fuel'!$A$342:$A$382,'Emissions and Fuel'!$I$342:$I$382,,0),0)</f>
        <v>0</v>
      </c>
      <c r="I44" s="1184">
        <f>IFERROR(_xlfn.XLOOKUP(F44,'BCA Guide - Parameter Values'!$B$82:$B$112,'BCA Guide - Parameter Values'!$F$82:$F$112,,),0)</f>
        <v>0</v>
      </c>
      <c r="J44" s="1184">
        <f t="shared" si="4"/>
        <v>0</v>
      </c>
      <c r="K44" s="1185">
        <f>_xlfn.XLOOKUP($F44,'Emissions and Fuel'!$A$154:$A$194,'Emissions and Fuel'!$F$154:$F$194,,0)+_xlfn.XLOOKUP($F44,'Emissions and Fuel'!$A$154:$A$194,'Emissions and Fuel'!$K$154:$K$194,,0)+_xlfn.XLOOKUP($F44,'Emissions and Fuel'!$A$154:$A$194,'Emissions and Fuel'!$P$154:$P$194,,0)</f>
        <v>0</v>
      </c>
      <c r="L44" s="1184">
        <f>IFERROR(_xlfn.XLOOKUP($F44,'BCA Guide - Parameter Values'!$B$82:$B$112,'BCA Guide - Parameter Values'!$C$82:$C$112,,0),0)</f>
        <v>0</v>
      </c>
      <c r="M44" s="1184">
        <f t="shared" si="0"/>
        <v>0</v>
      </c>
      <c r="N44" s="1165">
        <f t="shared" si="5"/>
        <v>0</v>
      </c>
      <c r="O44" s="1182">
        <f>_xlfn.XLOOKUP(F44,'VMT Reduction Supporting'!A:A,'VMT Reduction Supporting'!I:I,,0)</f>
        <v>197664.4228082792</v>
      </c>
      <c r="P44" s="1183">
        <f>IFERROR(_xlfn.XLOOKUP($F44,'Emissions and Fuel'!$A$295:$A$335,'Emissions and Fuel'!$I$295:$I$335,,0),0)+IFERROR(_xlfn.XLOOKUP($F44,'Emissions and Fuel'!$A$295:$A$335,'Emissions and Fuel'!$P$295:$P$335,,),0)+IFERROR(_xlfn.XLOOKUP($F44,'Emissions and Fuel'!$A$342:$A$382,'Emissions and Fuel'!$J$342:$J$382,,0),0)</f>
        <v>0</v>
      </c>
      <c r="Q44" s="1184">
        <f>IFERROR(_xlfn.XLOOKUP(F44,'BCA Guide - Parameter Values'!$B$82:$B$112,'BCA Guide - Parameter Values'!$F$82:$F$112,,),0)</f>
        <v>0</v>
      </c>
      <c r="R44" s="1184">
        <f t="shared" si="6"/>
        <v>0</v>
      </c>
      <c r="S44" s="1185">
        <f>_xlfn.XLOOKUP($F44,'Emissions and Fuel'!$A$154:$A$194,'Emissions and Fuel'!$G$154:$G$194,,0)+_xlfn.XLOOKUP($F44,'Emissions and Fuel'!$A$154:$A$194,'Emissions and Fuel'!$L$154:$L$194,,0)+_xlfn.XLOOKUP($F44,'Emissions and Fuel'!$A$154:$A$194,'Emissions and Fuel'!$Q$154:$Q$194,,0)</f>
        <v>0</v>
      </c>
      <c r="T44" s="1184">
        <f>IFERROR(_xlfn.XLOOKUP($F44,'BCA Guide - Parameter Values'!$B$82:$B$112,'BCA Guide - Parameter Values'!$C$82:$C$112,,0),0)</f>
        <v>0</v>
      </c>
      <c r="U44" s="1184">
        <f t="shared" si="1"/>
        <v>0</v>
      </c>
      <c r="V44" s="1170">
        <f t="shared" si="7"/>
        <v>0</v>
      </c>
      <c r="W44" s="1171">
        <f t="shared" si="8"/>
        <v>0</v>
      </c>
      <c r="X44" s="1169">
        <f>W44/(1+0.03)^($F44-'Major Assumption Key'!$B$7)</f>
        <v>0</v>
      </c>
      <c r="Y44" s="1171">
        <f t="shared" si="9"/>
        <v>0</v>
      </c>
      <c r="Z44" s="1169">
        <f>Y44/(1+'Major Assumption Key'!$B$8)^($F44-'Major Assumption Key'!$B$7)</f>
        <v>0</v>
      </c>
      <c r="AA44" s="1171">
        <f t="shared" si="10"/>
        <v>0</v>
      </c>
      <c r="AB44" s="1169">
        <f t="shared" si="11"/>
        <v>0</v>
      </c>
      <c r="AC44" s="1155"/>
      <c r="AD44" s="1165">
        <f t="shared" si="12"/>
        <v>0</v>
      </c>
      <c r="AE44" s="1170">
        <f t="shared" si="13"/>
        <v>0</v>
      </c>
      <c r="AF44" s="1171">
        <f t="shared" si="14"/>
        <v>0</v>
      </c>
      <c r="AG44" s="1169">
        <f t="shared" si="15"/>
        <v>0</v>
      </c>
      <c r="AH44" s="1171">
        <f t="shared" si="16"/>
        <v>0</v>
      </c>
      <c r="AI44" s="1169">
        <f t="shared" si="17"/>
        <v>0</v>
      </c>
      <c r="AJ44" s="1171">
        <f t="shared" si="18"/>
        <v>0</v>
      </c>
      <c r="AK44" s="1169">
        <f t="shared" si="19"/>
        <v>0</v>
      </c>
    </row>
    <row r="45" spans="6:37" ht="19.95" customHeight="1">
      <c r="F45" s="1181">
        <f>'Major Assumption Key'!$A57</f>
        <v>2058</v>
      </c>
      <c r="G45" s="1182">
        <f>_xlfn.XLOOKUP(F45,'VMT Reduction Supporting'!A:A,'VMT Reduction Supporting'!H:H,,0)</f>
        <v>151801.14046756295</v>
      </c>
      <c r="H45" s="1183">
        <f>IFERROR(_xlfn.XLOOKUP($F45,'Emissions and Fuel'!$A$295:$A$335,'Emissions and Fuel'!$H$295:$H$335,,0),0)+IFERROR(_xlfn.XLOOKUP($F45,'Emissions and Fuel'!$A$295:$A$335,'Emissions and Fuel'!$O$295:$O$335,,),0)+IFERROR(_xlfn.XLOOKUP($F45,'Emissions and Fuel'!$A$342:$A$382,'Emissions and Fuel'!$I$342:$I$382,,0),0)</f>
        <v>0</v>
      </c>
      <c r="I45" s="1184">
        <f>IFERROR(_xlfn.XLOOKUP(F45,'BCA Guide - Parameter Values'!$B$82:$B$112,'BCA Guide - Parameter Values'!$F$82:$F$112,,),0)</f>
        <v>0</v>
      </c>
      <c r="J45" s="1184">
        <f t="shared" si="4"/>
        <v>0</v>
      </c>
      <c r="K45" s="1185">
        <f>_xlfn.XLOOKUP($F45,'Emissions and Fuel'!$A$154:$A$194,'Emissions and Fuel'!$F$154:$F$194,,0)+_xlfn.XLOOKUP($F45,'Emissions and Fuel'!$A$154:$A$194,'Emissions and Fuel'!$K$154:$K$194,,0)+_xlfn.XLOOKUP($F45,'Emissions and Fuel'!$A$154:$A$194,'Emissions and Fuel'!$P$154:$P$194,,0)</f>
        <v>0</v>
      </c>
      <c r="L45" s="1184">
        <f>IFERROR(_xlfn.XLOOKUP($F45,'BCA Guide - Parameter Values'!$B$82:$B$112,'BCA Guide - Parameter Values'!$C$82:$C$112,,0),0)</f>
        <v>0</v>
      </c>
      <c r="M45" s="1184">
        <f t="shared" si="0"/>
        <v>0</v>
      </c>
      <c r="N45" s="1165">
        <f t="shared" si="5"/>
        <v>0</v>
      </c>
      <c r="O45" s="1182">
        <f>_xlfn.XLOOKUP(F45,'VMT Reduction Supporting'!A:A,'VMT Reduction Supporting'!I:I,,0)</f>
        <v>199209.01673972863</v>
      </c>
      <c r="P45" s="1183">
        <f>IFERROR(_xlfn.XLOOKUP($F45,'Emissions and Fuel'!$A$295:$A$335,'Emissions and Fuel'!$I$295:$I$335,,0),0)+IFERROR(_xlfn.XLOOKUP($F45,'Emissions and Fuel'!$A$295:$A$335,'Emissions and Fuel'!$P$295:$P$335,,),0)+IFERROR(_xlfn.XLOOKUP($F45,'Emissions and Fuel'!$A$342:$A$382,'Emissions and Fuel'!$J$342:$J$382,,0),0)</f>
        <v>0</v>
      </c>
      <c r="Q45" s="1184">
        <f>IFERROR(_xlfn.XLOOKUP(F45,'BCA Guide - Parameter Values'!$B$82:$B$112,'BCA Guide - Parameter Values'!$F$82:$F$112,,),0)</f>
        <v>0</v>
      </c>
      <c r="R45" s="1184">
        <f t="shared" si="6"/>
        <v>0</v>
      </c>
      <c r="S45" s="1185">
        <f>_xlfn.XLOOKUP($F45,'Emissions and Fuel'!$A$154:$A$194,'Emissions and Fuel'!$G$154:$G$194,,0)+_xlfn.XLOOKUP($F45,'Emissions and Fuel'!$A$154:$A$194,'Emissions and Fuel'!$L$154:$L$194,,0)+_xlfn.XLOOKUP($F45,'Emissions and Fuel'!$A$154:$A$194,'Emissions and Fuel'!$Q$154:$Q$194,,0)</f>
        <v>0</v>
      </c>
      <c r="T45" s="1184">
        <f>IFERROR(_xlfn.XLOOKUP($F45,'BCA Guide - Parameter Values'!$B$82:$B$112,'BCA Guide - Parameter Values'!$C$82:$C$112,,0),0)</f>
        <v>0</v>
      </c>
      <c r="U45" s="1184">
        <f t="shared" si="1"/>
        <v>0</v>
      </c>
      <c r="V45" s="1170">
        <f t="shared" si="7"/>
        <v>0</v>
      </c>
      <c r="W45" s="1171">
        <f t="shared" si="8"/>
        <v>0</v>
      </c>
      <c r="X45" s="1169">
        <f>W45/(1+0.03)^($F45-'Major Assumption Key'!$B$7)</f>
        <v>0</v>
      </c>
      <c r="Y45" s="1171">
        <f t="shared" si="9"/>
        <v>0</v>
      </c>
      <c r="Z45" s="1169">
        <f>Y45/(1+'Major Assumption Key'!$B$8)^($F45-'Major Assumption Key'!$B$7)</f>
        <v>0</v>
      </c>
      <c r="AA45" s="1171">
        <f t="shared" si="10"/>
        <v>0</v>
      </c>
      <c r="AB45" s="1169">
        <f t="shared" si="11"/>
        <v>0</v>
      </c>
      <c r="AC45" s="1155"/>
      <c r="AD45" s="1165">
        <f t="shared" si="12"/>
        <v>0</v>
      </c>
      <c r="AE45" s="1170">
        <f t="shared" si="13"/>
        <v>0</v>
      </c>
      <c r="AF45" s="1171">
        <f t="shared" si="14"/>
        <v>0</v>
      </c>
      <c r="AG45" s="1169">
        <f t="shared" si="15"/>
        <v>0</v>
      </c>
      <c r="AH45" s="1171">
        <f t="shared" si="16"/>
        <v>0</v>
      </c>
      <c r="AI45" s="1169">
        <f t="shared" si="17"/>
        <v>0</v>
      </c>
      <c r="AJ45" s="1171">
        <f t="shared" si="18"/>
        <v>0</v>
      </c>
      <c r="AK45" s="1169">
        <f t="shared" si="19"/>
        <v>0</v>
      </c>
    </row>
    <row r="46" spans="6:37" ht="19.95" customHeight="1">
      <c r="F46" s="1181">
        <f>'Major Assumption Key'!$A58</f>
        <v>2059</v>
      </c>
      <c r="G46" s="1182">
        <f>_xlfn.XLOOKUP(F46,'VMT Reduction Supporting'!A:A,'VMT Reduction Supporting'!H:H,,0)</f>
        <v>152825.94712374994</v>
      </c>
      <c r="H46" s="1183">
        <f>IFERROR(_xlfn.XLOOKUP($F46,'Emissions and Fuel'!$A$295:$A$335,'Emissions and Fuel'!$H$295:$H$335,,0),0)+IFERROR(_xlfn.XLOOKUP($F46,'Emissions and Fuel'!$A$295:$A$335,'Emissions and Fuel'!$O$295:$O$335,,),0)+IFERROR(_xlfn.XLOOKUP($F46,'Emissions and Fuel'!$A$342:$A$382,'Emissions and Fuel'!$I$342:$I$382,,0),0)</f>
        <v>0</v>
      </c>
      <c r="I46" s="1184">
        <f>IFERROR(_xlfn.XLOOKUP(F46,'BCA Guide - Parameter Values'!$B$82:$B$112,'BCA Guide - Parameter Values'!$F$82:$F$112,,),0)</f>
        <v>0</v>
      </c>
      <c r="J46" s="1184">
        <f t="shared" si="4"/>
        <v>0</v>
      </c>
      <c r="K46" s="1185">
        <f>_xlfn.XLOOKUP($F46,'Emissions and Fuel'!$A$154:$A$194,'Emissions and Fuel'!$F$154:$F$194,,0)+_xlfn.XLOOKUP($F46,'Emissions and Fuel'!$A$154:$A$194,'Emissions and Fuel'!$K$154:$K$194,,0)+_xlfn.XLOOKUP($F46,'Emissions and Fuel'!$A$154:$A$194,'Emissions and Fuel'!$P$154:$P$194,,0)</f>
        <v>0</v>
      </c>
      <c r="L46" s="1184">
        <f>IFERROR(_xlfn.XLOOKUP($F46,'BCA Guide - Parameter Values'!$B$82:$B$112,'BCA Guide - Parameter Values'!$C$82:$C$112,,0),0)</f>
        <v>0</v>
      </c>
      <c r="M46" s="1184">
        <f t="shared" si="0"/>
        <v>0</v>
      </c>
      <c r="N46" s="1165">
        <f t="shared" si="5"/>
        <v>0</v>
      </c>
      <c r="O46" s="1182">
        <f>_xlfn.XLOOKUP(F46,'VMT Reduction Supporting'!A:A,'VMT Reduction Supporting'!I:I,,0)</f>
        <v>200771.04558015545</v>
      </c>
      <c r="P46" s="1183">
        <f>IFERROR(_xlfn.XLOOKUP($F46,'Emissions and Fuel'!$A$295:$A$335,'Emissions and Fuel'!$I$295:$I$335,,0),0)+IFERROR(_xlfn.XLOOKUP($F46,'Emissions and Fuel'!$A$295:$A$335,'Emissions and Fuel'!$P$295:$P$335,,),0)+IFERROR(_xlfn.XLOOKUP($F46,'Emissions and Fuel'!$A$342:$A$382,'Emissions and Fuel'!$J$342:$J$382,,0),0)</f>
        <v>0</v>
      </c>
      <c r="Q46" s="1184">
        <f>IFERROR(_xlfn.XLOOKUP(F46,'BCA Guide - Parameter Values'!$B$82:$B$112,'BCA Guide - Parameter Values'!$F$82:$F$112,,),0)</f>
        <v>0</v>
      </c>
      <c r="R46" s="1184">
        <f t="shared" si="6"/>
        <v>0</v>
      </c>
      <c r="S46" s="1185">
        <f>_xlfn.XLOOKUP($F46,'Emissions and Fuel'!$A$154:$A$194,'Emissions and Fuel'!$G$154:$G$194,,0)+_xlfn.XLOOKUP($F46,'Emissions and Fuel'!$A$154:$A$194,'Emissions and Fuel'!$L$154:$L$194,,0)+_xlfn.XLOOKUP($F46,'Emissions and Fuel'!$A$154:$A$194,'Emissions and Fuel'!$Q$154:$Q$194,,0)</f>
        <v>0</v>
      </c>
      <c r="T46" s="1184">
        <f>IFERROR(_xlfn.XLOOKUP($F46,'BCA Guide - Parameter Values'!$B$82:$B$112,'BCA Guide - Parameter Values'!$C$82:$C$112,,0),0)</f>
        <v>0</v>
      </c>
      <c r="U46" s="1184">
        <f t="shared" si="1"/>
        <v>0</v>
      </c>
      <c r="V46" s="1170">
        <f t="shared" si="7"/>
        <v>0</v>
      </c>
      <c r="W46" s="1171">
        <f t="shared" si="8"/>
        <v>0</v>
      </c>
      <c r="X46" s="1169">
        <f>W46/(1+0.03)^($F46-'Major Assumption Key'!$B$7)</f>
        <v>0</v>
      </c>
      <c r="Y46" s="1171">
        <f t="shared" si="9"/>
        <v>0</v>
      </c>
      <c r="Z46" s="1169">
        <f>Y46/(1+'Major Assumption Key'!$B$8)^($F46-'Major Assumption Key'!$B$7)</f>
        <v>0</v>
      </c>
      <c r="AA46" s="1171">
        <f t="shared" si="10"/>
        <v>0</v>
      </c>
      <c r="AB46" s="1169">
        <f t="shared" si="11"/>
        <v>0</v>
      </c>
      <c r="AC46" s="1155"/>
      <c r="AD46" s="1165">
        <f t="shared" si="12"/>
        <v>0</v>
      </c>
      <c r="AE46" s="1170">
        <f t="shared" si="13"/>
        <v>0</v>
      </c>
      <c r="AF46" s="1171">
        <f t="shared" si="14"/>
        <v>0</v>
      </c>
      <c r="AG46" s="1169">
        <f t="shared" si="15"/>
        <v>0</v>
      </c>
      <c r="AH46" s="1171">
        <f t="shared" si="16"/>
        <v>0</v>
      </c>
      <c r="AI46" s="1169">
        <f t="shared" si="17"/>
        <v>0</v>
      </c>
      <c r="AJ46" s="1171">
        <f t="shared" si="18"/>
        <v>0</v>
      </c>
      <c r="AK46" s="1169">
        <f t="shared" si="19"/>
        <v>0</v>
      </c>
    </row>
    <row r="47" spans="6:37" ht="19.95" customHeight="1" thickBot="1">
      <c r="F47" s="1181">
        <f>'Major Assumption Key'!$A59</f>
        <v>2060</v>
      </c>
      <c r="G47" s="1182">
        <f>_xlfn.XLOOKUP(F47,'VMT Reduction Supporting'!A:A,'VMT Reduction Supporting'!H:H,,0)</f>
        <v>153861.1241280706</v>
      </c>
      <c r="H47" s="1183">
        <f>IFERROR(_xlfn.XLOOKUP($F47,'Emissions and Fuel'!$A$295:$A$335,'Emissions and Fuel'!$H$295:$H$335,,0),0)+IFERROR(_xlfn.XLOOKUP($F47,'Emissions and Fuel'!$A$295:$A$335,'Emissions and Fuel'!$O$295:$O$335,,),0)+IFERROR(_xlfn.XLOOKUP($F47,'Emissions and Fuel'!$A$342:$A$382,'Emissions and Fuel'!$I$342:$I$382,,0),0)</f>
        <v>0</v>
      </c>
      <c r="I47" s="1184">
        <f>IFERROR(_xlfn.XLOOKUP(F47,'BCA Guide - Parameter Values'!$B$82:$B$112,'BCA Guide - Parameter Values'!$F$82:$F$112,,),0)</f>
        <v>0</v>
      </c>
      <c r="J47" s="1184">
        <f t="shared" si="4"/>
        <v>0</v>
      </c>
      <c r="K47" s="1185">
        <f>_xlfn.XLOOKUP($F47,'Emissions and Fuel'!$A$154:$A$194,'Emissions and Fuel'!$F$154:$F$194,,0)+_xlfn.XLOOKUP($F47,'Emissions and Fuel'!$A$154:$A$194,'Emissions and Fuel'!$K$154:$K$194,,0)+_xlfn.XLOOKUP($F47,'Emissions and Fuel'!$A$154:$A$194,'Emissions and Fuel'!$P$154:$P$194,,0)</f>
        <v>0</v>
      </c>
      <c r="L47" s="1184">
        <f>IFERROR(_xlfn.XLOOKUP($F47,'BCA Guide - Parameter Values'!$B$82:$B$112,'BCA Guide - Parameter Values'!$C$82:$C$112,,0),0)</f>
        <v>0</v>
      </c>
      <c r="M47" s="1184">
        <f t="shared" si="0"/>
        <v>0</v>
      </c>
      <c r="N47" s="1165">
        <f t="shared" si="5"/>
        <v>0</v>
      </c>
      <c r="O47" s="1182">
        <f>_xlfn.XLOOKUP(F47,'VMT Reduction Supporting'!A:A,'VMT Reduction Supporting'!I:I,,0)</f>
        <v>202350.74551117275</v>
      </c>
      <c r="P47" s="1183">
        <f>IFERROR(_xlfn.XLOOKUP($F47,'Emissions and Fuel'!$A$295:$A$335,'Emissions and Fuel'!$I$295:$I$335,,0),0)+IFERROR(_xlfn.XLOOKUP($F47,'Emissions and Fuel'!$A$295:$A$335,'Emissions and Fuel'!$P$295:$P$335,,),0)+IFERROR(_xlfn.XLOOKUP($F47,'Emissions and Fuel'!$A$342:$A$382,'Emissions and Fuel'!$J$342:$J$382,,0),0)</f>
        <v>0</v>
      </c>
      <c r="Q47" s="1184">
        <f>IFERROR(_xlfn.XLOOKUP(F47,'BCA Guide - Parameter Values'!$B$82:$B$112,'BCA Guide - Parameter Values'!$F$82:$F$112,,),0)</f>
        <v>0</v>
      </c>
      <c r="R47" s="1184">
        <f t="shared" si="6"/>
        <v>0</v>
      </c>
      <c r="S47" s="1185">
        <f>_xlfn.XLOOKUP($F47,'Emissions and Fuel'!$A$154:$A$194,'Emissions and Fuel'!$G$154:$G$194,,0)+_xlfn.XLOOKUP($F47,'Emissions and Fuel'!$A$154:$A$194,'Emissions and Fuel'!$L$154:$L$194,,0)+_xlfn.XLOOKUP($F47,'Emissions and Fuel'!$A$154:$A$194,'Emissions and Fuel'!$Q$154:$Q$194,,0)</f>
        <v>0</v>
      </c>
      <c r="T47" s="1184">
        <f>IFERROR(_xlfn.XLOOKUP($F47,'BCA Guide - Parameter Values'!$B$82:$B$112,'BCA Guide - Parameter Values'!$C$82:$C$112,,0),0)</f>
        <v>0</v>
      </c>
      <c r="U47" s="1184">
        <f t="shared" si="1"/>
        <v>0</v>
      </c>
      <c r="V47" s="1170">
        <f t="shared" si="7"/>
        <v>0</v>
      </c>
      <c r="W47" s="1171">
        <f t="shared" si="8"/>
        <v>0</v>
      </c>
      <c r="X47" s="1169">
        <f>W47/(1+0.03)^($F47-'Major Assumption Key'!$B$7)</f>
        <v>0</v>
      </c>
      <c r="Y47" s="1171">
        <f t="shared" si="9"/>
        <v>0</v>
      </c>
      <c r="Z47" s="1169">
        <f>Y47/(1+'Major Assumption Key'!$B$8)^($F47-'Major Assumption Key'!$B$7)</f>
        <v>0</v>
      </c>
      <c r="AA47" s="1171">
        <f t="shared" si="10"/>
        <v>0</v>
      </c>
      <c r="AB47" s="1169">
        <f t="shared" si="11"/>
        <v>0</v>
      </c>
      <c r="AC47" s="1155"/>
      <c r="AD47" s="1165">
        <f t="shared" si="12"/>
        <v>0</v>
      </c>
      <c r="AE47" s="1170">
        <f t="shared" si="13"/>
        <v>0</v>
      </c>
      <c r="AF47" s="1171">
        <f t="shared" si="14"/>
        <v>0</v>
      </c>
      <c r="AG47" s="1169">
        <f t="shared" si="15"/>
        <v>0</v>
      </c>
      <c r="AH47" s="1171">
        <f t="shared" si="16"/>
        <v>0</v>
      </c>
      <c r="AI47" s="1169">
        <f t="shared" si="17"/>
        <v>0</v>
      </c>
      <c r="AJ47" s="1171">
        <f t="shared" si="18"/>
        <v>0</v>
      </c>
      <c r="AK47" s="1169">
        <f t="shared" si="19"/>
        <v>0</v>
      </c>
    </row>
    <row r="48" spans="6:37" ht="19.95" customHeight="1" thickTop="1" thickBot="1">
      <c r="F48" s="1536" t="s">
        <v>504</v>
      </c>
      <c r="G48" s="1537"/>
      <c r="H48" s="1538"/>
      <c r="I48" s="1538"/>
      <c r="J48" s="1539">
        <f>ROUND(SUM(J7:J47),-3)</f>
        <v>1473000</v>
      </c>
      <c r="K48" s="1539">
        <f t="shared" ref="K48:M48" si="20">ROUND(SUM(K7:K47),-3)</f>
        <v>0</v>
      </c>
      <c r="L48" s="1539">
        <f t="shared" si="20"/>
        <v>673000</v>
      </c>
      <c r="M48" s="1539">
        <f t="shared" si="20"/>
        <v>111000</v>
      </c>
      <c r="N48" s="1520">
        <f>SUMIFS($N$7:$N$47,$F$7:$F$47,"&gt;="&amp;$B$16,$F$7:$F$47,"&lt;="&amp;$B$17)</f>
        <v>1583809.1291569541</v>
      </c>
      <c r="O48" s="1537"/>
      <c r="P48" s="1538"/>
      <c r="Q48" s="1538"/>
      <c r="R48" s="1539">
        <f>ROUND(SUM(R7:R47),-3)</f>
        <v>1698000</v>
      </c>
      <c r="S48" s="1539">
        <f t="shared" ref="S48:U48" si="21">ROUND(SUM(S7:S47),-3)</f>
        <v>0</v>
      </c>
      <c r="T48" s="1539">
        <f t="shared" si="21"/>
        <v>673000</v>
      </c>
      <c r="U48" s="1539">
        <f t="shared" si="21"/>
        <v>126000</v>
      </c>
      <c r="V48" s="1540">
        <f>SUMIFS($V$7:$V$47,$F$7:$F$47,"&gt;="&amp;$B$16,$F$7:$F$47,"&lt;="&amp;$B$17)</f>
        <v>1824126.5729564033</v>
      </c>
      <c r="W48" s="1525">
        <f>SUMIFS(W$7:W$47,$F$7:$F$47,"&gt;="&amp;$B$16,$F$7:$F$47,"&lt;="&amp;$B$17)</f>
        <v>225845.62552535167</v>
      </c>
      <c r="X48" s="1525">
        <f t="shared" ref="X48:AA48" si="22">SUMIFS(X$7:X$47,$F$7:$F$47,"&gt;="&amp;$B$16,$F$7:$F$47,"&lt;="&amp;$B$17)</f>
        <v>143570.50552944027</v>
      </c>
      <c r="Y48" s="1525">
        <f t="shared" si="22"/>
        <v>14471.818274097699</v>
      </c>
      <c r="Z48" s="1525">
        <f t="shared" si="22"/>
        <v>9445.4609060737384</v>
      </c>
      <c r="AA48" s="1525">
        <f t="shared" si="22"/>
        <v>240317.44379944936</v>
      </c>
      <c r="AB48" s="1525">
        <f>SUMIFS(AB$7:AB$47,$F$7:$F$47,"&gt;="&amp;$B$16,$F$7:$F$47,"&lt;="&amp;$B$17)</f>
        <v>153015.96643551401</v>
      </c>
      <c r="AC48" s="1155"/>
      <c r="AD48" s="1520">
        <f>ROUND(N48,-3)</f>
        <v>1584000</v>
      </c>
      <c r="AE48" s="1540">
        <f t="shared" ref="AE48:AK48" si="23">ROUND(V48,-3)</f>
        <v>1824000</v>
      </c>
      <c r="AF48" s="1525">
        <f t="shared" si="23"/>
        <v>226000</v>
      </c>
      <c r="AG48" s="1526">
        <f t="shared" si="23"/>
        <v>144000</v>
      </c>
      <c r="AH48" s="1525">
        <f t="shared" si="23"/>
        <v>14000</v>
      </c>
      <c r="AI48" s="1526">
        <f t="shared" si="23"/>
        <v>9000</v>
      </c>
      <c r="AJ48" s="1525">
        <f t="shared" si="23"/>
        <v>240000</v>
      </c>
      <c r="AK48" s="1526">
        <f t="shared" si="23"/>
        <v>153000</v>
      </c>
    </row>
    <row r="49" spans="1:31" s="1149" customFormat="1" ht="19.95" customHeight="1">
      <c r="A49" s="1145"/>
      <c r="B49" s="1145"/>
      <c r="C49" s="1145"/>
      <c r="D49" s="1145"/>
      <c r="E49" s="1145"/>
      <c r="F49" s="1145"/>
      <c r="G49" s="1145"/>
      <c r="H49" s="1145"/>
      <c r="I49" s="1145"/>
      <c r="J49" s="1145"/>
      <c r="K49" s="1145"/>
      <c r="L49" s="1145"/>
      <c r="M49" s="1145"/>
      <c r="N49" s="1145"/>
      <c r="O49" s="1145"/>
      <c r="Z49" s="1145"/>
      <c r="AC49" s="1013"/>
      <c r="AD49" s="1013"/>
      <c r="AE49" s="1013"/>
    </row>
    <row r="50" spans="1:31" s="1149" customFormat="1" ht="19.95" customHeight="1">
      <c r="A50" s="1145"/>
      <c r="B50" s="1145"/>
      <c r="C50" s="1145"/>
      <c r="D50" s="1145"/>
      <c r="E50" s="1145"/>
      <c r="F50" s="1145"/>
      <c r="G50" s="1145"/>
      <c r="H50" s="1145"/>
      <c r="I50" s="1145"/>
      <c r="J50" s="1145"/>
      <c r="K50" s="1145"/>
      <c r="L50" s="1145"/>
      <c r="M50" s="1145"/>
      <c r="N50" s="1145"/>
      <c r="O50" s="1145"/>
      <c r="AC50" s="1013"/>
      <c r="AD50" s="1013"/>
      <c r="AE50" s="1013"/>
    </row>
    <row r="51" spans="1:31" s="1149" customFormat="1" ht="19.95" customHeight="1">
      <c r="A51" s="1145"/>
      <c r="B51" s="1145"/>
      <c r="C51" s="1145"/>
      <c r="D51" s="1145"/>
      <c r="E51" s="1145"/>
      <c r="F51" s="1145"/>
      <c r="G51" s="1145"/>
      <c r="H51" s="1145"/>
      <c r="I51" s="1145"/>
      <c r="J51" s="1145"/>
      <c r="K51" s="1145"/>
      <c r="L51" s="1145"/>
      <c r="M51" s="1145"/>
      <c r="N51" s="1145"/>
      <c r="O51" s="1145"/>
      <c r="AC51" s="1013"/>
      <c r="AD51" s="1013"/>
      <c r="AE51" s="1013"/>
    </row>
    <row r="52" spans="1:31" s="1149" customFormat="1" ht="19.95" customHeight="1">
      <c r="A52" s="1145"/>
      <c r="B52" s="1145"/>
      <c r="C52" s="1145"/>
      <c r="D52" s="1145"/>
      <c r="E52" s="1145"/>
      <c r="F52" s="1145"/>
      <c r="G52" s="1145"/>
      <c r="H52" s="1145"/>
      <c r="I52" s="1145"/>
      <c r="J52" s="1145"/>
      <c r="K52" s="1145"/>
      <c r="L52" s="1145"/>
      <c r="M52" s="1145"/>
      <c r="N52" s="1145"/>
      <c r="O52" s="1145"/>
      <c r="AC52" s="1013"/>
      <c r="AD52" s="1013"/>
      <c r="AE52" s="1013"/>
    </row>
    <row r="53" spans="1:31" s="1149" customFormat="1" ht="19.95" customHeight="1">
      <c r="A53" s="1145"/>
      <c r="B53" s="1145"/>
      <c r="C53" s="1145"/>
      <c r="D53" s="1145"/>
      <c r="E53" s="1145"/>
      <c r="F53" s="1145"/>
      <c r="G53" s="1145"/>
      <c r="H53" s="1145"/>
      <c r="I53" s="1145"/>
      <c r="J53" s="1145"/>
      <c r="K53" s="1145"/>
      <c r="L53" s="1145"/>
      <c r="M53" s="1145"/>
      <c r="N53" s="1145"/>
      <c r="O53" s="1145"/>
      <c r="AC53" s="1013"/>
      <c r="AD53" s="1013"/>
      <c r="AE53" s="1013"/>
    </row>
    <row r="54" spans="1:31" s="1149" customFormat="1">
      <c r="A54" s="1145"/>
      <c r="B54" s="1145"/>
      <c r="C54" s="1145"/>
      <c r="D54" s="1145"/>
      <c r="E54" s="1145"/>
      <c r="F54" s="1145"/>
      <c r="G54" s="1145"/>
      <c r="H54" s="1145"/>
      <c r="I54" s="1145"/>
      <c r="J54" s="1145"/>
      <c r="K54" s="1145"/>
      <c r="L54" s="1145"/>
      <c r="M54" s="1145"/>
      <c r="N54" s="1145"/>
      <c r="O54" s="1145"/>
      <c r="AC54" s="1013"/>
      <c r="AD54" s="1013"/>
      <c r="AE54" s="1013"/>
    </row>
    <row r="55" spans="1:31" s="1149" customFormat="1">
      <c r="A55" s="1145"/>
      <c r="B55" s="1145"/>
      <c r="C55" s="1145"/>
      <c r="D55" s="1145"/>
      <c r="E55" s="1145"/>
      <c r="F55" s="1145"/>
      <c r="G55" s="1145"/>
      <c r="H55" s="1145"/>
      <c r="I55" s="1145"/>
      <c r="J55" s="1145"/>
      <c r="K55" s="1145"/>
      <c r="L55" s="1145"/>
      <c r="M55" s="1145"/>
      <c r="N55" s="1145"/>
      <c r="O55" s="1145"/>
      <c r="AC55" s="1013"/>
      <c r="AD55" s="1013"/>
      <c r="AE55" s="1013"/>
    </row>
    <row r="56" spans="1:31" s="1149" customFormat="1">
      <c r="A56" s="1145"/>
      <c r="B56" s="1145"/>
      <c r="C56" s="1145"/>
      <c r="D56" s="1145"/>
      <c r="E56" s="1145"/>
      <c r="F56" s="1145"/>
      <c r="G56" s="1145"/>
      <c r="H56" s="1145"/>
      <c r="I56" s="1145"/>
      <c r="J56" s="1145"/>
      <c r="K56" s="1145"/>
      <c r="L56" s="1145"/>
      <c r="M56" s="1145"/>
      <c r="N56" s="1145"/>
      <c r="O56" s="1145"/>
      <c r="AC56" s="1013"/>
      <c r="AD56" s="1013"/>
      <c r="AE56" s="1013"/>
    </row>
    <row r="57" spans="1:31" s="1149" customFormat="1">
      <c r="A57" s="1145"/>
      <c r="B57" s="1145"/>
      <c r="C57" s="1145"/>
      <c r="D57" s="1145"/>
      <c r="E57" s="1145"/>
      <c r="F57" s="1145"/>
      <c r="G57" s="1145"/>
      <c r="H57" s="1145"/>
      <c r="I57" s="1145"/>
      <c r="J57" s="1145"/>
      <c r="K57" s="1145"/>
      <c r="L57" s="1145"/>
      <c r="M57" s="1145"/>
      <c r="N57" s="1145"/>
      <c r="O57" s="1145"/>
      <c r="AC57" s="1013"/>
      <c r="AD57" s="1013"/>
      <c r="AE57" s="1013"/>
    </row>
    <row r="58" spans="1:31" s="1149" customFormat="1">
      <c r="A58" s="1145"/>
      <c r="B58" s="1145"/>
      <c r="C58" s="1145"/>
      <c r="D58" s="1145"/>
      <c r="E58" s="1145"/>
      <c r="F58" s="1145"/>
      <c r="G58" s="1145"/>
      <c r="H58" s="1145"/>
      <c r="I58" s="1145"/>
      <c r="J58" s="1145"/>
      <c r="K58" s="1145"/>
      <c r="L58" s="1145"/>
      <c r="M58" s="1145"/>
      <c r="N58" s="1145"/>
      <c r="O58" s="1145"/>
      <c r="AC58" s="1013"/>
      <c r="AD58" s="1013"/>
      <c r="AE58" s="1013"/>
    </row>
    <row r="59" spans="1:31" s="1149" customFormat="1">
      <c r="A59" s="1145"/>
      <c r="B59" s="1145"/>
      <c r="C59" s="1145"/>
      <c r="D59" s="1145"/>
      <c r="E59" s="1145"/>
      <c r="F59" s="1145"/>
      <c r="G59" s="1145"/>
      <c r="H59" s="1145"/>
      <c r="I59" s="1145"/>
      <c r="J59" s="1145"/>
      <c r="K59" s="1145"/>
      <c r="L59" s="1145"/>
      <c r="M59" s="1145"/>
      <c r="N59" s="1145"/>
      <c r="O59" s="1145"/>
      <c r="AC59" s="1013"/>
      <c r="AD59" s="1013"/>
      <c r="AE59" s="1013"/>
    </row>
    <row r="60" spans="1:31" s="1149" customFormat="1">
      <c r="A60" s="1145"/>
      <c r="B60" s="1145"/>
      <c r="C60" s="1145"/>
      <c r="D60" s="1145"/>
      <c r="E60" s="1145"/>
      <c r="F60" s="1145"/>
      <c r="G60" s="1145"/>
      <c r="H60" s="1145"/>
      <c r="I60" s="1145"/>
      <c r="J60" s="1145"/>
      <c r="K60" s="1145"/>
      <c r="L60" s="1145"/>
      <c r="M60" s="1145"/>
      <c r="N60" s="1145"/>
      <c r="O60" s="1145"/>
      <c r="AC60" s="1013"/>
      <c r="AD60" s="1013"/>
      <c r="AE60" s="1013"/>
    </row>
    <row r="61" spans="1:31" s="1149" customFormat="1">
      <c r="A61" s="1145"/>
      <c r="B61" s="1145"/>
      <c r="C61" s="1145"/>
      <c r="D61" s="1145"/>
      <c r="E61" s="1145"/>
      <c r="F61" s="1145"/>
      <c r="G61" s="1145"/>
      <c r="H61" s="1145"/>
      <c r="I61" s="1145"/>
      <c r="J61" s="1145"/>
      <c r="K61" s="1145"/>
      <c r="L61" s="1145"/>
      <c r="M61" s="1145"/>
      <c r="N61" s="1145"/>
      <c r="O61" s="1145"/>
      <c r="AC61" s="1013"/>
      <c r="AD61" s="1013"/>
      <c r="AE61" s="1013"/>
    </row>
    <row r="62" spans="1:31" s="1149" customFormat="1">
      <c r="A62" s="1145"/>
      <c r="B62" s="1145"/>
      <c r="C62" s="1145"/>
      <c r="D62" s="1145"/>
      <c r="E62" s="1145"/>
      <c r="F62" s="1145"/>
      <c r="G62" s="1145"/>
      <c r="H62" s="1145"/>
      <c r="I62" s="1145"/>
      <c r="J62" s="1145"/>
      <c r="K62" s="1145"/>
      <c r="L62" s="1145"/>
      <c r="M62" s="1145"/>
      <c r="N62" s="1145"/>
      <c r="O62" s="1145"/>
      <c r="AC62" s="1013"/>
      <c r="AD62" s="1013"/>
      <c r="AE62" s="1013"/>
    </row>
    <row r="63" spans="1:31" s="1149" customFormat="1">
      <c r="A63" s="1145"/>
      <c r="B63" s="1145"/>
      <c r="C63" s="1145"/>
      <c r="D63" s="1145"/>
      <c r="E63" s="1145"/>
      <c r="F63" s="1145"/>
      <c r="G63" s="1145"/>
      <c r="H63" s="1145"/>
      <c r="I63" s="1145"/>
      <c r="J63" s="1145"/>
      <c r="K63" s="1145"/>
      <c r="L63" s="1145"/>
      <c r="M63" s="1145"/>
      <c r="N63" s="1145"/>
      <c r="O63" s="1145"/>
      <c r="AC63" s="1013"/>
      <c r="AD63" s="1013"/>
      <c r="AE63" s="1013"/>
    </row>
    <row r="64" spans="1:31" s="1149" customFormat="1">
      <c r="A64" s="1145"/>
      <c r="B64" s="1145"/>
      <c r="C64" s="1145"/>
      <c r="D64" s="1145"/>
      <c r="E64" s="1145"/>
      <c r="F64" s="1145"/>
      <c r="G64" s="1145"/>
      <c r="H64" s="1145"/>
      <c r="I64" s="1145"/>
      <c r="J64" s="1145"/>
      <c r="K64" s="1145"/>
      <c r="L64" s="1145"/>
      <c r="M64" s="1145"/>
      <c r="N64" s="1145"/>
      <c r="O64" s="1145"/>
      <c r="AC64" s="1013"/>
      <c r="AD64" s="1013"/>
      <c r="AE64" s="1013"/>
    </row>
    <row r="65" spans="16:39">
      <c r="P65" s="1149"/>
      <c r="Q65" s="1149"/>
      <c r="R65" s="1149"/>
      <c r="S65" s="1149"/>
      <c r="T65" s="1149"/>
      <c r="U65" s="1149"/>
      <c r="V65" s="1149"/>
      <c r="W65" s="1149"/>
      <c r="X65" s="1149"/>
      <c r="Y65" s="1149"/>
      <c r="Z65" s="1149"/>
      <c r="AA65" s="1149"/>
      <c r="AB65" s="1149"/>
      <c r="AC65" s="1013"/>
      <c r="AF65" s="1149"/>
      <c r="AG65" s="1149"/>
      <c r="AH65" s="1149"/>
      <c r="AI65" s="1149"/>
      <c r="AJ65" s="1149"/>
      <c r="AK65" s="1149"/>
      <c r="AL65" s="1149"/>
      <c r="AM65" s="1149"/>
    </row>
    <row r="66" spans="16:39">
      <c r="P66" s="1149"/>
      <c r="Q66" s="1149"/>
      <c r="R66" s="1149"/>
      <c r="S66" s="1149"/>
      <c r="T66" s="1149"/>
      <c r="U66" s="1149"/>
      <c r="V66" s="1149"/>
      <c r="W66" s="1149"/>
      <c r="X66" s="1149"/>
      <c r="Y66" s="1149"/>
      <c r="Z66" s="1149"/>
      <c r="AA66" s="1149"/>
      <c r="AB66" s="1149"/>
      <c r="AC66" s="1013"/>
      <c r="AF66" s="1149"/>
      <c r="AG66" s="1149"/>
      <c r="AH66" s="1149"/>
      <c r="AI66" s="1149"/>
      <c r="AJ66" s="1149"/>
      <c r="AK66" s="1149"/>
      <c r="AL66" s="1149"/>
      <c r="AM66" s="1149"/>
    </row>
    <row r="67" spans="16:39">
      <c r="P67" s="1149"/>
      <c r="Q67" s="1149"/>
      <c r="R67" s="1149"/>
      <c r="S67" s="1149"/>
      <c r="T67" s="1149"/>
      <c r="U67" s="1149"/>
      <c r="V67" s="1149"/>
      <c r="W67" s="1149"/>
      <c r="X67" s="1149"/>
      <c r="Y67" s="1149"/>
      <c r="Z67" s="1149"/>
      <c r="AA67" s="1149"/>
      <c r="AB67" s="1149"/>
      <c r="AC67" s="1013"/>
      <c r="AF67" s="1149"/>
      <c r="AG67" s="1149"/>
      <c r="AH67" s="1149"/>
      <c r="AI67" s="1149"/>
      <c r="AJ67" s="1149"/>
      <c r="AK67" s="1149"/>
      <c r="AL67" s="1149"/>
      <c r="AM67" s="1149"/>
    </row>
    <row r="68" spans="16:39">
      <c r="P68" s="1149"/>
      <c r="Q68" s="1149"/>
      <c r="R68" s="1149"/>
      <c r="S68" s="1149"/>
      <c r="T68" s="1149"/>
      <c r="U68" s="1149"/>
      <c r="V68" s="1149"/>
      <c r="W68" s="1149"/>
      <c r="X68" s="1149"/>
      <c r="Y68" s="1149"/>
      <c r="Z68" s="1149"/>
      <c r="AA68" s="1149"/>
      <c r="AB68" s="1149"/>
      <c r="AC68" s="1013"/>
      <c r="AF68" s="1149"/>
      <c r="AG68" s="1149"/>
      <c r="AH68" s="1149"/>
      <c r="AI68" s="1149"/>
      <c r="AJ68" s="1149"/>
      <c r="AK68" s="1149"/>
      <c r="AL68" s="1149"/>
      <c r="AM68" s="1149"/>
    </row>
    <row r="69" spans="16:39">
      <c r="P69" s="1149"/>
      <c r="Q69" s="1149"/>
      <c r="R69" s="1149"/>
      <c r="S69" s="1149"/>
      <c r="T69" s="1149"/>
      <c r="U69" s="1149"/>
      <c r="V69" s="1149"/>
      <c r="W69" s="1149"/>
      <c r="X69" s="1149"/>
      <c r="Y69" s="1149"/>
      <c r="Z69" s="1149"/>
      <c r="AA69" s="1149"/>
      <c r="AB69" s="1149"/>
      <c r="AC69" s="1013"/>
      <c r="AF69" s="1149"/>
      <c r="AG69" s="1149"/>
      <c r="AH69" s="1149"/>
      <c r="AI69" s="1149"/>
      <c r="AJ69" s="1149"/>
      <c r="AK69" s="1149"/>
      <c r="AL69" s="1149"/>
      <c r="AM69" s="1149"/>
    </row>
    <row r="70" spans="16:39">
      <c r="P70" s="1149"/>
      <c r="Q70" s="1149"/>
      <c r="R70" s="1149"/>
      <c r="S70" s="1149"/>
      <c r="T70" s="1149"/>
      <c r="U70" s="1149"/>
      <c r="V70" s="1149"/>
      <c r="W70" s="1149"/>
      <c r="X70" s="1149"/>
      <c r="Y70" s="1149"/>
      <c r="Z70" s="1149"/>
      <c r="AA70" s="1149"/>
      <c r="AB70" s="1149"/>
      <c r="AC70" s="1013"/>
      <c r="AF70" s="1149"/>
      <c r="AG70" s="1149"/>
      <c r="AH70" s="1149"/>
      <c r="AI70" s="1149"/>
      <c r="AJ70" s="1149"/>
      <c r="AK70" s="1149"/>
      <c r="AL70" s="1149"/>
      <c r="AM70" s="1149"/>
    </row>
    <row r="71" spans="16:39">
      <c r="P71" s="1149"/>
      <c r="Q71" s="1149"/>
      <c r="R71" s="1149"/>
      <c r="S71" s="1149"/>
      <c r="T71" s="1149"/>
      <c r="U71" s="1149"/>
      <c r="V71" s="1149"/>
      <c r="W71" s="1149"/>
      <c r="X71" s="1149"/>
      <c r="Y71" s="1149"/>
      <c r="Z71" s="1149"/>
      <c r="AA71" s="1149"/>
      <c r="AB71" s="1149"/>
      <c r="AC71" s="1013"/>
      <c r="AF71" s="1149"/>
      <c r="AG71" s="1149"/>
      <c r="AH71" s="1149"/>
      <c r="AI71" s="1149"/>
      <c r="AJ71" s="1149"/>
      <c r="AK71" s="1149"/>
      <c r="AL71" s="1149"/>
      <c r="AM71" s="1149"/>
    </row>
  </sheetData>
  <sheetProtection algorithmName="SHA-512" hashValue="DZbXJGRlkZVoKw4KZLlIejFGWcj2/bhaYAe50PsSQCj/vG0IMpdc6DGCrPja6+BAwRN6rFYfNPSgmkg+aZdDBA==" saltValue="ntQgccx/IMnmwGqrXu8uCA==" spinCount="100000" sheet="1" objects="1" scenarios="1"/>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topLeftCell="E26" workbookViewId="0">
      <selection sqref="A1:XFD1048576"/>
    </sheetView>
  </sheetViews>
  <sheetFormatPr defaultColWidth="9.21875" defaultRowHeight="14.4"/>
  <cols>
    <col min="1" max="1" width="61.77734375" style="1145" bestFit="1" customWidth="1"/>
    <col min="2" max="3" width="28.21875" style="1145" customWidth="1"/>
    <col min="4" max="4" width="36.5546875" style="1145" customWidth="1"/>
    <col min="5" max="5" width="7.5546875" style="1145" customWidth="1"/>
    <col min="6" max="6" width="32" style="1145" bestFit="1" customWidth="1"/>
    <col min="7" max="7" width="27.77734375" style="1145" bestFit="1" customWidth="1"/>
    <col min="8" max="8" width="28.77734375" style="1145" bestFit="1" customWidth="1"/>
    <col min="9" max="9" width="22.21875" style="1145" bestFit="1" customWidth="1"/>
    <col min="10" max="10" width="23.44140625" style="1145" bestFit="1" customWidth="1"/>
    <col min="11" max="11" width="13.44140625" style="1145" bestFit="1" customWidth="1"/>
    <col min="12" max="12" width="23.21875" style="1145" customWidth="1"/>
    <col min="13" max="13" width="36.21875" style="1145" bestFit="1" customWidth="1"/>
    <col min="14" max="15" width="36.21875" style="1145" customWidth="1"/>
    <col min="16" max="16" width="19.77734375" style="1145" customWidth="1"/>
    <col min="17" max="17" width="20" style="1145" bestFit="1" customWidth="1"/>
    <col min="18" max="18" width="18.21875" style="1145" bestFit="1" customWidth="1"/>
    <col min="19" max="19" width="9.21875" style="1146"/>
    <col min="20" max="21" width="16.21875" style="1146" bestFit="1" customWidth="1"/>
    <col min="22" max="23" width="9.5546875" style="1146" bestFit="1" customWidth="1"/>
    <col min="24" max="29" width="9.21875" style="1146"/>
    <col min="30" max="39" width="9.21875" style="1013"/>
    <col min="40" max="40" width="9.21875" style="1146"/>
    <col min="41" max="41" width="11.21875" style="1146" bestFit="1" customWidth="1"/>
    <col min="42" max="16384" width="9.21875" style="1146"/>
  </cols>
  <sheetData>
    <row r="1" spans="1:23" ht="25.2" customHeight="1">
      <c r="A1" s="1009" t="s">
        <v>185</v>
      </c>
      <c r="B1" s="1143" t="s">
        <v>7194</v>
      </c>
      <c r="C1" s="1144"/>
      <c r="D1" s="1144"/>
      <c r="E1" s="1144"/>
      <c r="F1" s="1011"/>
      <c r="G1" s="1029"/>
      <c r="H1" s="1011"/>
      <c r="I1" s="1011"/>
      <c r="J1" s="1011"/>
    </row>
    <row r="2" spans="1:23" ht="15" thickBot="1">
      <c r="A2" s="1146"/>
      <c r="E2" s="1146"/>
    </row>
    <row r="3" spans="1:23" ht="60" customHeight="1">
      <c r="A3" s="1147" t="s">
        <v>482</v>
      </c>
      <c r="B3" s="2086" t="s">
        <v>7195</v>
      </c>
      <c r="C3" s="2087"/>
      <c r="D3" s="2087"/>
      <c r="E3" s="1148"/>
      <c r="F3" s="2088" t="s">
        <v>484</v>
      </c>
      <c r="G3" s="2089"/>
      <c r="H3" s="2089"/>
      <c r="I3" s="2089"/>
      <c r="J3" s="2089"/>
      <c r="K3" s="2089"/>
      <c r="L3" s="2089"/>
      <c r="M3" s="2089"/>
      <c r="N3" s="2089"/>
      <c r="O3" s="2089"/>
      <c r="P3" s="2089"/>
      <c r="Q3" s="2089"/>
      <c r="R3" s="2090"/>
      <c r="S3" s="1149"/>
      <c r="T3" s="1961" t="s">
        <v>420</v>
      </c>
      <c r="U3" s="1961"/>
      <c r="V3" s="1961"/>
      <c r="W3" s="1961"/>
    </row>
    <row r="4" spans="1:23" ht="18" customHeight="1">
      <c r="A4" s="1150"/>
      <c r="B4" s="1150"/>
      <c r="C4" s="1150"/>
      <c r="D4" s="1150"/>
      <c r="E4" s="1148"/>
      <c r="F4" s="1151" t="s">
        <v>485</v>
      </c>
      <c r="G4" s="2095" t="s">
        <v>66</v>
      </c>
      <c r="H4" s="2096"/>
      <c r="I4" s="2096"/>
      <c r="J4" s="2096"/>
      <c r="K4" s="1152" t="s">
        <v>66</v>
      </c>
      <c r="L4" s="1153" t="s">
        <v>131</v>
      </c>
      <c r="M4" s="2097" t="s">
        <v>131</v>
      </c>
      <c r="N4" s="2098"/>
      <c r="O4" s="2098"/>
      <c r="P4" s="1154" t="s">
        <v>131</v>
      </c>
      <c r="Q4" s="2091" t="s">
        <v>7155</v>
      </c>
      <c r="R4" s="2092"/>
      <c r="S4" s="1155"/>
      <c r="T4" s="1156" t="s">
        <v>66</v>
      </c>
      <c r="U4" s="1157" t="s">
        <v>131</v>
      </c>
      <c r="V4" s="1868" t="s">
        <v>488</v>
      </c>
      <c r="W4" s="1869"/>
    </row>
    <row r="5" spans="1:23" ht="60" customHeight="1" thickBot="1">
      <c r="A5" s="1489" t="s">
        <v>489</v>
      </c>
      <c r="B5" s="2053" t="s">
        <v>7196</v>
      </c>
      <c r="C5" s="2053"/>
      <c r="D5" s="2053"/>
      <c r="E5" s="1146"/>
      <c r="F5" s="1490" t="s">
        <v>491</v>
      </c>
      <c r="G5" s="1491" t="s">
        <v>493</v>
      </c>
      <c r="H5" s="1491" t="s">
        <v>7197</v>
      </c>
      <c r="I5" s="1491" t="s">
        <v>7198</v>
      </c>
      <c r="J5" s="1491" t="s">
        <v>7199</v>
      </c>
      <c r="K5" s="1492" t="s">
        <v>512</v>
      </c>
      <c r="L5" s="1491" t="s">
        <v>7200</v>
      </c>
      <c r="M5" s="1491" t="s">
        <v>7197</v>
      </c>
      <c r="N5" s="1491" t="s">
        <v>7198</v>
      </c>
      <c r="O5" s="1491" t="s">
        <v>7199</v>
      </c>
      <c r="P5" s="1493" t="s">
        <v>512</v>
      </c>
      <c r="Q5" s="2093"/>
      <c r="R5" s="2094"/>
      <c r="S5" s="1155"/>
      <c r="T5" s="1494" t="s">
        <v>512</v>
      </c>
      <c r="U5" s="1495" t="s">
        <v>512</v>
      </c>
      <c r="V5" s="1870"/>
      <c r="W5" s="1871"/>
    </row>
    <row r="6" spans="1:23" ht="85.95" customHeight="1">
      <c r="A6" s="1496"/>
      <c r="B6" s="1496"/>
      <c r="C6" s="1496"/>
      <c r="D6" s="1496"/>
      <c r="E6" s="1146"/>
      <c r="F6" s="1490"/>
      <c r="G6" s="1491" t="s">
        <v>7159</v>
      </c>
      <c r="H6" s="1497" t="s">
        <v>7201</v>
      </c>
      <c r="I6" s="1497" t="s">
        <v>7202</v>
      </c>
      <c r="J6" s="1497" t="s">
        <v>7203</v>
      </c>
      <c r="K6" s="1492" t="s">
        <v>666</v>
      </c>
      <c r="L6" s="1491" t="s">
        <v>7204</v>
      </c>
      <c r="M6" s="1497" t="s">
        <v>7201</v>
      </c>
      <c r="N6" s="1497" t="s">
        <v>7202</v>
      </c>
      <c r="O6" s="1497" t="s">
        <v>7203</v>
      </c>
      <c r="P6" s="1493" t="s">
        <v>666</v>
      </c>
      <c r="Q6" s="1498" t="s">
        <v>419</v>
      </c>
      <c r="R6" s="1499" t="str">
        <f>"Discounted @ "&amp;TEXT('Major Assumption Key'!$B$8,"0.0%")</f>
        <v>Discounted @ 3.1%</v>
      </c>
      <c r="S6" s="1155"/>
      <c r="T6" s="1494" t="s">
        <v>666</v>
      </c>
      <c r="U6" s="1495" t="s">
        <v>666</v>
      </c>
      <c r="V6" s="1500" t="s">
        <v>419</v>
      </c>
      <c r="W6" s="1501" t="str">
        <f>"Discounted @ "&amp;TEXT('Major Assumption Key'!$B$8,"0.0%")</f>
        <v>Discounted @ 3.1%</v>
      </c>
    </row>
    <row r="7" spans="1:23" ht="19.95" customHeight="1">
      <c r="C7" s="1146"/>
      <c r="D7" s="1146"/>
      <c r="E7" s="1146"/>
      <c r="F7" s="1162">
        <f>'Major Assumption Key'!$A19</f>
        <v>2020</v>
      </c>
      <c r="G7" s="1163">
        <f>_xlfn.XLOOKUP(F7,'VMT Reduction Supporting'!$A:$A,'VMT Reduction Supporting'!$H:$H,,0)</f>
        <v>96511.603338845685</v>
      </c>
      <c r="H7" s="1164"/>
      <c r="I7" s="1164"/>
      <c r="J7" s="1164"/>
      <c r="K7" s="1165">
        <f>IF(AND($F7&gt;=$B$16,$F7&lt;=$B$18),SUM(H7:J7),0)</f>
        <v>0</v>
      </c>
      <c r="L7" s="1166"/>
      <c r="M7" s="1164"/>
      <c r="N7" s="1164"/>
      <c r="O7" s="1164"/>
      <c r="P7" s="1167">
        <f>IF(AND($F7&gt;=$B$16,$F7&lt;=$B$18),SUM(M7:O7),0)</f>
        <v>0</v>
      </c>
      <c r="Q7" s="1168">
        <f t="shared" ref="Q7:Q47" si="0">P7-K7</f>
        <v>0</v>
      </c>
      <c r="R7" s="1169">
        <f>(P7-K7)/(1+'Major Assumption Key'!$B$8)^($F7-'Major Assumption Key'!$B$7)</f>
        <v>0</v>
      </c>
      <c r="S7" s="1155"/>
      <c r="T7" s="1165">
        <f>ROUND(K7,-3)</f>
        <v>0</v>
      </c>
      <c r="U7" s="1170">
        <f>ROUND(P7,-3)</f>
        <v>0</v>
      </c>
      <c r="V7" s="1171">
        <f>ROUND(Q7,-3)</f>
        <v>0</v>
      </c>
      <c r="W7" s="1169">
        <f>ROUND(R7,-3)</f>
        <v>0</v>
      </c>
    </row>
    <row r="8" spans="1:23" ht="19.95" customHeight="1">
      <c r="A8" s="1146"/>
      <c r="B8" s="1146"/>
      <c r="C8" s="1146"/>
      <c r="D8" s="1146"/>
      <c r="E8" s="1146"/>
      <c r="F8" s="1162">
        <f>'Major Assumption Key'!$A20</f>
        <v>2021</v>
      </c>
      <c r="G8" s="1163">
        <f>_xlfn.XLOOKUP(F8,'VMT Reduction Supporting'!$A:$A,'VMT Reduction Supporting'!$H:$H,,0)</f>
        <v>120101.19687357022</v>
      </c>
      <c r="H8" s="1164"/>
      <c r="I8" s="1164"/>
      <c r="J8" s="1164"/>
      <c r="K8" s="1165">
        <f t="shared" ref="K8:K47" si="1">IF(AND($F8&gt;=$B$16,$F8&lt;=$B$18),SUM(H8:J8),0)</f>
        <v>0</v>
      </c>
      <c r="L8" s="1166"/>
      <c r="M8" s="1164"/>
      <c r="N8" s="1164"/>
      <c r="O8" s="1164"/>
      <c r="P8" s="1167">
        <f t="shared" ref="P8:P47" si="2">IF(AND($F8&gt;=$B$16,$F8&lt;=$B$18),SUM(M8:O8),0)</f>
        <v>0</v>
      </c>
      <c r="Q8" s="1168">
        <f t="shared" si="0"/>
        <v>0</v>
      </c>
      <c r="R8" s="1169">
        <f>(P8-K8)/(1+'Major Assumption Key'!$B$8)^($F8-'Major Assumption Key'!$B$7)</f>
        <v>0</v>
      </c>
      <c r="S8" s="1155"/>
      <c r="T8" s="1165">
        <f t="shared" ref="T8:T47" si="3">ROUND(K8,-3)</f>
        <v>0</v>
      </c>
      <c r="U8" s="1170">
        <f t="shared" ref="U8:W48" si="4">ROUND(P8,-3)</f>
        <v>0</v>
      </c>
      <c r="V8" s="1171">
        <f t="shared" si="4"/>
        <v>0</v>
      </c>
      <c r="W8" s="1169">
        <f t="shared" si="4"/>
        <v>0</v>
      </c>
    </row>
    <row r="9" spans="1:23" ht="19.95" customHeight="1">
      <c r="A9" s="1859" t="s">
        <v>432</v>
      </c>
      <c r="B9" s="1860"/>
      <c r="C9" s="1860"/>
      <c r="D9" s="1861"/>
      <c r="E9" s="1146"/>
      <c r="F9" s="1162">
        <f>'Major Assumption Key'!$A21</f>
        <v>2022</v>
      </c>
      <c r="G9" s="1163">
        <f>_xlfn.XLOOKUP(F9,'VMT Reduction Supporting'!$A:$A,'VMT Reduction Supporting'!$H:$H,,0)</f>
        <v>120821.58574789461</v>
      </c>
      <c r="H9" s="1164"/>
      <c r="I9" s="1164"/>
      <c r="J9" s="1164"/>
      <c r="K9" s="1165">
        <f t="shared" si="1"/>
        <v>0</v>
      </c>
      <c r="L9" s="1166"/>
      <c r="M9" s="1164"/>
      <c r="N9" s="1164"/>
      <c r="O9" s="1164"/>
      <c r="P9" s="1167">
        <f t="shared" si="2"/>
        <v>0</v>
      </c>
      <c r="Q9" s="1168">
        <f t="shared" si="0"/>
        <v>0</v>
      </c>
      <c r="R9" s="1169">
        <f>(P9-K9)/(1+'Major Assumption Key'!$B$8)^($F9-'Major Assumption Key'!$B$7)</f>
        <v>0</v>
      </c>
      <c r="S9" s="1155"/>
      <c r="T9" s="1165">
        <f t="shared" si="3"/>
        <v>0</v>
      </c>
      <c r="U9" s="1170">
        <f t="shared" si="4"/>
        <v>0</v>
      </c>
      <c r="V9" s="1171">
        <f t="shared" si="4"/>
        <v>0</v>
      </c>
      <c r="W9" s="1169">
        <f t="shared" si="4"/>
        <v>0</v>
      </c>
    </row>
    <row r="10" spans="1:23" ht="19.95" customHeight="1">
      <c r="A10" s="1862" t="s">
        <v>418</v>
      </c>
      <c r="B10" s="1862"/>
      <c r="C10" s="1340" t="s">
        <v>419</v>
      </c>
      <c r="D10" s="1340" t="str">
        <f>_xlfn.CONCAT("Discounted @",TEXT('Major Assumption Key'!B8,"0.0%"))</f>
        <v>Discounted @3.1%</v>
      </c>
      <c r="E10" s="1146"/>
      <c r="F10" s="1162">
        <f>'Major Assumption Key'!$A22</f>
        <v>2023</v>
      </c>
      <c r="G10" s="1163">
        <f>_xlfn.XLOOKUP(F10,'VMT Reduction Supporting'!$A:$A,'VMT Reduction Supporting'!$H:$H,,0)</f>
        <v>121548.49384987666</v>
      </c>
      <c r="H10" s="1164"/>
      <c r="I10" s="1164"/>
      <c r="J10" s="1164"/>
      <c r="K10" s="1165">
        <f t="shared" si="1"/>
        <v>0</v>
      </c>
      <c r="L10" s="1166"/>
      <c r="M10" s="1164"/>
      <c r="N10" s="1164"/>
      <c r="O10" s="1164"/>
      <c r="P10" s="1167">
        <f t="shared" si="2"/>
        <v>0</v>
      </c>
      <c r="Q10" s="1168">
        <f t="shared" si="0"/>
        <v>0</v>
      </c>
      <c r="R10" s="1169">
        <f>(P10-K10)/(1+'Major Assumption Key'!$B$8)^($F10-'Major Assumption Key'!$B$7)</f>
        <v>0</v>
      </c>
      <c r="S10" s="1155"/>
      <c r="T10" s="1165">
        <f t="shared" si="3"/>
        <v>0</v>
      </c>
      <c r="U10" s="1170">
        <f t="shared" si="4"/>
        <v>0</v>
      </c>
      <c r="V10" s="1171">
        <f t="shared" si="4"/>
        <v>0</v>
      </c>
      <c r="W10" s="1169">
        <f t="shared" si="4"/>
        <v>0</v>
      </c>
    </row>
    <row r="11" spans="1:23" ht="19.95" customHeight="1">
      <c r="A11" s="1863" t="s">
        <v>11</v>
      </c>
      <c r="B11" s="1863"/>
      <c r="C11" s="1503">
        <f>'BCA Summary'!$H$7</f>
        <v>1.0111569298276737</v>
      </c>
      <c r="D11" s="1503">
        <f>'BCA Summary'!$I$7</f>
        <v>0.6276932096418345</v>
      </c>
      <c r="E11" s="1146"/>
      <c r="F11" s="1162">
        <f>'Major Assumption Key'!$A23</f>
        <v>2024</v>
      </c>
      <c r="G11" s="1163">
        <f>_xlfn.XLOOKUP(F11,'VMT Reduction Supporting'!$A:$A,'VMT Reduction Supporting'!$H:$H,,0)</f>
        <v>122282.00126355721</v>
      </c>
      <c r="H11" s="1164"/>
      <c r="I11" s="1164"/>
      <c r="J11" s="1164"/>
      <c r="K11" s="1165">
        <f t="shared" si="1"/>
        <v>0</v>
      </c>
      <c r="L11" s="1166"/>
      <c r="M11" s="1164"/>
      <c r="N11" s="1164"/>
      <c r="O11" s="1164"/>
      <c r="P11" s="1167">
        <f t="shared" si="2"/>
        <v>0</v>
      </c>
      <c r="Q11" s="1168">
        <f t="shared" si="0"/>
        <v>0</v>
      </c>
      <c r="R11" s="1169">
        <f>(P11-K11)/(1+'Major Assumption Key'!$B$8)^($F11-'Major Assumption Key'!$B$7)</f>
        <v>0</v>
      </c>
      <c r="S11" s="1155"/>
      <c r="T11" s="1165">
        <f t="shared" si="3"/>
        <v>0</v>
      </c>
      <c r="U11" s="1170">
        <f t="shared" si="4"/>
        <v>0</v>
      </c>
      <c r="V11" s="1171">
        <f t="shared" si="4"/>
        <v>0</v>
      </c>
      <c r="W11" s="1169">
        <f t="shared" si="4"/>
        <v>0</v>
      </c>
    </row>
    <row r="12" spans="1:23" ht="19.95" customHeight="1">
      <c r="A12" s="1863" t="s">
        <v>12</v>
      </c>
      <c r="B12" s="1863"/>
      <c r="C12" s="1340">
        <f>'BCA Summary'!$H$8</f>
        <v>236636.98382712901</v>
      </c>
      <c r="D12" s="1340">
        <f>'BCA Summary'!$I$8</f>
        <v>-6930297.4454113934</v>
      </c>
      <c r="E12" s="1146"/>
      <c r="F12" s="1162">
        <f>'Major Assumption Key'!$A24</f>
        <v>2025</v>
      </c>
      <c r="G12" s="1163">
        <f>_xlfn.XLOOKUP(F12,'VMT Reduction Supporting'!$A:$A,'VMT Reduction Supporting'!$H:$H,,0)</f>
        <v>123022.18919083702</v>
      </c>
      <c r="H12" s="1164"/>
      <c r="I12" s="1164"/>
      <c r="J12" s="1164"/>
      <c r="K12" s="1165">
        <f t="shared" si="1"/>
        <v>0</v>
      </c>
      <c r="L12" s="1166"/>
      <c r="M12" s="1164"/>
      <c r="N12" s="1164"/>
      <c r="O12" s="1164"/>
      <c r="P12" s="1167">
        <f t="shared" si="2"/>
        <v>0</v>
      </c>
      <c r="Q12" s="1168">
        <f t="shared" si="0"/>
        <v>0</v>
      </c>
      <c r="R12" s="1169">
        <f>(P12-K12)/(1+'Major Assumption Key'!$B$8)^($F12-'Major Assumption Key'!$B$7)</f>
        <v>0</v>
      </c>
      <c r="S12" s="1155"/>
      <c r="T12" s="1165">
        <f t="shared" si="3"/>
        <v>0</v>
      </c>
      <c r="U12" s="1170">
        <f t="shared" si="4"/>
        <v>0</v>
      </c>
      <c r="V12" s="1171">
        <f t="shared" si="4"/>
        <v>0</v>
      </c>
      <c r="W12" s="1169">
        <f t="shared" si="4"/>
        <v>0</v>
      </c>
    </row>
    <row r="13" spans="1:23" ht="19.95" customHeight="1">
      <c r="E13" s="1146"/>
      <c r="F13" s="1162">
        <f>'Major Assumption Key'!$A25</f>
        <v>2026</v>
      </c>
      <c r="G13" s="1163">
        <f>_xlfn.XLOOKUP(F13,'VMT Reduction Supporting'!$A:$A,'VMT Reduction Supporting'!$H:$H,,0)</f>
        <v>123769.13996770862</v>
      </c>
      <c r="H13" s="1164"/>
      <c r="I13" s="1164"/>
      <c r="J13" s="1164"/>
      <c r="K13" s="1165">
        <f t="shared" si="1"/>
        <v>0</v>
      </c>
      <c r="L13" s="1166"/>
      <c r="M13" s="1164"/>
      <c r="N13" s="1164"/>
      <c r="O13" s="1164"/>
      <c r="P13" s="1167">
        <f t="shared" si="2"/>
        <v>0</v>
      </c>
      <c r="Q13" s="1168">
        <f t="shared" si="0"/>
        <v>0</v>
      </c>
      <c r="R13" s="1169">
        <f>(P13-K13)/(1+'Major Assumption Key'!$B$8)^($F13-'Major Assumption Key'!$B$7)</f>
        <v>0</v>
      </c>
      <c r="S13" s="1155"/>
      <c r="T13" s="1165">
        <f t="shared" si="3"/>
        <v>0</v>
      </c>
      <c r="U13" s="1170">
        <f t="shared" si="4"/>
        <v>0</v>
      </c>
      <c r="V13" s="1171">
        <f t="shared" si="4"/>
        <v>0</v>
      </c>
      <c r="W13" s="1169">
        <f t="shared" si="4"/>
        <v>0</v>
      </c>
    </row>
    <row r="14" spans="1:23" ht="19.95" customHeight="1" thickBot="1">
      <c r="E14" s="1146"/>
      <c r="F14" s="1162">
        <f>'Major Assumption Key'!$A26</f>
        <v>2027</v>
      </c>
      <c r="G14" s="1163">
        <f>_xlfn.XLOOKUP(F14,'VMT Reduction Supporting'!$A:$A,'VMT Reduction Supporting'!$H:$H,,0)</f>
        <v>124522.93708072639</v>
      </c>
      <c r="H14" s="1164"/>
      <c r="I14" s="1164"/>
      <c r="J14" s="1164"/>
      <c r="K14" s="1165">
        <f t="shared" si="1"/>
        <v>0</v>
      </c>
      <c r="L14" s="1166"/>
      <c r="M14" s="1164"/>
      <c r="N14" s="1164"/>
      <c r="O14" s="1164"/>
      <c r="P14" s="1167">
        <f t="shared" si="2"/>
        <v>0</v>
      </c>
      <c r="Q14" s="1168">
        <f t="shared" si="0"/>
        <v>0</v>
      </c>
      <c r="R14" s="1169">
        <f>(P14-K14)/(1+'Major Assumption Key'!$B$8)^($F14-'Major Assumption Key'!$B$7)</f>
        <v>0</v>
      </c>
      <c r="S14" s="1155"/>
      <c r="T14" s="1165">
        <f t="shared" si="3"/>
        <v>0</v>
      </c>
      <c r="U14" s="1170">
        <f t="shared" si="4"/>
        <v>0</v>
      </c>
      <c r="V14" s="1171">
        <f t="shared" si="4"/>
        <v>0</v>
      </c>
      <c r="W14" s="1169">
        <f t="shared" si="4"/>
        <v>0</v>
      </c>
    </row>
    <row r="15" spans="1:23" ht="19.95" customHeight="1">
      <c r="A15" s="1504" t="s">
        <v>433</v>
      </c>
      <c r="B15" s="1505" t="s">
        <v>434</v>
      </c>
      <c r="C15" s="2084" t="s">
        <v>498</v>
      </c>
      <c r="D15" s="2085"/>
      <c r="E15" s="1146"/>
      <c r="F15" s="1162">
        <f>'Major Assumption Key'!$A27</f>
        <v>2028</v>
      </c>
      <c r="G15" s="1163">
        <f>_xlfn.XLOOKUP(F15,'VMT Reduction Supporting'!$A:$A,'VMT Reduction Supporting'!$H:$H,,0)</f>
        <v>125283.66518371837</v>
      </c>
      <c r="H15" s="1164">
        <f t="shared" ref="H15:H34" si="5">IFERROR(G15*$B$22,0)</f>
        <v>19293.684438292628</v>
      </c>
      <c r="I15" s="1164">
        <f t="shared" ref="I15:I34" si="6">IFERROR(G15*$B$23,0)</f>
        <v>638.94669243696376</v>
      </c>
      <c r="J15" s="1164"/>
      <c r="K15" s="1165">
        <f t="shared" si="1"/>
        <v>19932.631130729591</v>
      </c>
      <c r="L15" s="1166">
        <f>_xlfn.XLOOKUP(F15,'VMT Reduction Supporting'!$A:$A,'VMT Reduction Supporting'!$I:$I,,0)</f>
        <v>159505.23113989137</v>
      </c>
      <c r="M15" s="1164">
        <f t="shared" ref="M15:M34" si="7">IFERROR(L15*$B$22,0)</f>
        <v>24563.805595543272</v>
      </c>
      <c r="N15" s="1164">
        <f t="shared" ref="N15:N34" si="8">IFERROR(L15*$B$23,0)</f>
        <v>813.47667881344603</v>
      </c>
      <c r="O15" s="1164"/>
      <c r="P15" s="1167">
        <f t="shared" si="2"/>
        <v>25377.282274356719</v>
      </c>
      <c r="Q15" s="1168">
        <f t="shared" si="0"/>
        <v>5444.6511436271285</v>
      </c>
      <c r="R15" s="1169">
        <f>(P15-K15)/(1+'Major Assumption Key'!$B$8)^($F15-'Major Assumption Key'!$B$7)</f>
        <v>4533.3376442040808</v>
      </c>
      <c r="S15" s="1155"/>
      <c r="T15" s="1165">
        <f t="shared" si="3"/>
        <v>20000</v>
      </c>
      <c r="U15" s="1170">
        <f t="shared" si="4"/>
        <v>25000</v>
      </c>
      <c r="V15" s="1171">
        <f t="shared" si="4"/>
        <v>5000</v>
      </c>
      <c r="W15" s="1169">
        <f t="shared" si="4"/>
        <v>5000</v>
      </c>
    </row>
    <row r="16" spans="1:23" ht="19.95" customHeight="1">
      <c r="A16" s="1506" t="str">
        <f>'Major Assumption Key'!$A$3</f>
        <v>Project Open Year:</v>
      </c>
      <c r="B16" s="1135">
        <f>'Major Assumption Key'!$B$3</f>
        <v>2028</v>
      </c>
      <c r="C16" s="1173" t="s">
        <v>436</v>
      </c>
      <c r="D16" s="1507"/>
      <c r="E16" s="1146"/>
      <c r="F16" s="1162">
        <f>'Major Assumption Key'!$A28</f>
        <v>2029</v>
      </c>
      <c r="G16" s="1163">
        <f>_xlfn.XLOOKUP(F16,'VMT Reduction Supporting'!$A:$A,'VMT Reduction Supporting'!$H:$H,,0)</f>
        <v>126051.4101147436</v>
      </c>
      <c r="H16" s="1164">
        <f t="shared" si="5"/>
        <v>19411.917157670516</v>
      </c>
      <c r="I16" s="1164">
        <f t="shared" si="6"/>
        <v>642.86219158519236</v>
      </c>
      <c r="J16" s="1164"/>
      <c r="K16" s="1165">
        <f t="shared" si="1"/>
        <v>20054.779349255707</v>
      </c>
      <c r="L16" s="1166">
        <f>_xlfn.XLOOKUP(F16,'VMT Reduction Supporting'!$A:$A,'VMT Reduction Supporting'!$I:$I,,0)</f>
        <v>160633.28849167028</v>
      </c>
      <c r="M16" s="1164">
        <f t="shared" si="7"/>
        <v>24737.526427717221</v>
      </c>
      <c r="N16" s="1164">
        <f t="shared" si="8"/>
        <v>819.22977130751849</v>
      </c>
      <c r="O16" s="1164"/>
      <c r="P16" s="1167">
        <f t="shared" si="2"/>
        <v>25556.756199024738</v>
      </c>
      <c r="Q16" s="1168">
        <f t="shared" si="0"/>
        <v>5501.9768497690311</v>
      </c>
      <c r="R16" s="1169">
        <f>(P16-K16)/(1+'Major Assumption Key'!$B$8)^($F16-'Major Assumption Key'!$B$7)</f>
        <v>4443.3252203668126</v>
      </c>
      <c r="S16" s="1155"/>
      <c r="T16" s="1165">
        <f t="shared" si="3"/>
        <v>20000</v>
      </c>
      <c r="U16" s="1170">
        <f t="shared" si="4"/>
        <v>26000</v>
      </c>
      <c r="V16" s="1171">
        <f t="shared" si="4"/>
        <v>6000</v>
      </c>
      <c r="W16" s="1169">
        <f t="shared" si="4"/>
        <v>4000</v>
      </c>
    </row>
    <row r="17" spans="1:23" ht="19.95" customHeight="1">
      <c r="A17" s="1506" t="str">
        <f>'Major Assumption Key'!$A$4</f>
        <v>Planning Horizon Begin Year:</v>
      </c>
      <c r="B17" s="1135">
        <f>'Major Assumption Key'!$B$4</f>
        <v>2022</v>
      </c>
      <c r="C17" s="1173" t="s">
        <v>436</v>
      </c>
      <c r="D17" s="1289"/>
      <c r="E17" s="1146"/>
      <c r="F17" s="1162">
        <f>'Major Assumption Key'!$A29</f>
        <v>2030</v>
      </c>
      <c r="G17" s="1163">
        <f>_xlfn.XLOOKUP(F17,'VMT Reduction Supporting'!$A:$A,'VMT Reduction Supporting'!$H:$H,,0)</f>
        <v>126826.25891329831</v>
      </c>
      <c r="H17" s="1164">
        <f t="shared" si="5"/>
        <v>19531.243872647941</v>
      </c>
      <c r="I17" s="1164">
        <f t="shared" si="6"/>
        <v>646.81392045782138</v>
      </c>
      <c r="J17" s="1164"/>
      <c r="K17" s="1165">
        <f t="shared" si="1"/>
        <v>20178.057793105763</v>
      </c>
      <c r="L17" s="1166">
        <f>_xlfn.XLOOKUP(F17,'VMT Reduction Supporting'!$A:$A,'VMT Reduction Supporting'!$I:$I,,0)</f>
        <v>161773.21109371149</v>
      </c>
      <c r="M17" s="1164">
        <f t="shared" si="7"/>
        <v>24913.074508431568</v>
      </c>
      <c r="N17" s="1164">
        <f t="shared" si="8"/>
        <v>825.04337657792871</v>
      </c>
      <c r="O17" s="1164"/>
      <c r="P17" s="1167">
        <f t="shared" si="2"/>
        <v>25738.117885009495</v>
      </c>
      <c r="Q17" s="1168">
        <f t="shared" si="0"/>
        <v>5560.0600919037315</v>
      </c>
      <c r="R17" s="1169">
        <f>(P17-K17)/(1+'Major Assumption Key'!$B$8)^($F17-'Major Assumption Key'!$B$7)</f>
        <v>4355.2206539179679</v>
      </c>
      <c r="S17" s="1155"/>
      <c r="T17" s="1165">
        <f t="shared" si="3"/>
        <v>20000</v>
      </c>
      <c r="U17" s="1170">
        <f t="shared" si="4"/>
        <v>26000</v>
      </c>
      <c r="V17" s="1171">
        <f t="shared" si="4"/>
        <v>6000</v>
      </c>
      <c r="W17" s="1169">
        <f t="shared" si="4"/>
        <v>4000</v>
      </c>
    </row>
    <row r="18" spans="1:23" ht="19.95" customHeight="1">
      <c r="A18" s="1506" t="str">
        <f>'Major Assumption Key'!$A$6</f>
        <v>Planning Horizon End Year:</v>
      </c>
      <c r="B18" s="1135">
        <f>'Major Assumption Key'!$B$6</f>
        <v>2047</v>
      </c>
      <c r="C18" s="1173" t="s">
        <v>436</v>
      </c>
      <c r="D18" s="1289"/>
      <c r="E18" s="1146"/>
      <c r="F18" s="1162">
        <f>'Major Assumption Key'!$A30</f>
        <v>2031</v>
      </c>
      <c r="G18" s="1163">
        <f>_xlfn.XLOOKUP(F18,'VMT Reduction Supporting'!$A:$A,'VMT Reduction Supporting'!$H:$H,,0)</f>
        <v>127608.29983777468</v>
      </c>
      <c r="H18" s="1164">
        <f t="shared" si="5"/>
        <v>19651.6781750173</v>
      </c>
      <c r="I18" s="1164">
        <f t="shared" si="6"/>
        <v>650.80232917265096</v>
      </c>
      <c r="J18" s="1164"/>
      <c r="K18" s="1165">
        <f t="shared" si="1"/>
        <v>20302.480504189949</v>
      </c>
      <c r="L18" s="1166">
        <f>_xlfn.XLOOKUP(F18,'VMT Reduction Supporting'!$A:$A,'VMT Reduction Supporting'!$I:$I,,0)</f>
        <v>162925.15525253135</v>
      </c>
      <c r="M18" s="1164">
        <f t="shared" si="7"/>
        <v>25090.473908889828</v>
      </c>
      <c r="N18" s="1164">
        <f t="shared" si="8"/>
        <v>830.91829178790988</v>
      </c>
      <c r="O18" s="1164"/>
      <c r="P18" s="1167">
        <f t="shared" si="2"/>
        <v>25921.392200677739</v>
      </c>
      <c r="Q18" s="1168">
        <f t="shared" si="0"/>
        <v>5618.9116964877903</v>
      </c>
      <c r="R18" s="1169">
        <f>(P18-K18)/(1+'Major Assumption Key'!$B$8)^($F18-'Major Assumption Key'!$B$7)</f>
        <v>4268.9809763210969</v>
      </c>
      <c r="S18" s="1155"/>
      <c r="T18" s="1165">
        <f t="shared" si="3"/>
        <v>20000</v>
      </c>
      <c r="U18" s="1170">
        <f t="shared" si="4"/>
        <v>26000</v>
      </c>
      <c r="V18" s="1171">
        <f t="shared" si="4"/>
        <v>6000</v>
      </c>
      <c r="W18" s="1169">
        <f t="shared" si="4"/>
        <v>4000</v>
      </c>
    </row>
    <row r="19" spans="1:23" ht="19.95" customHeight="1">
      <c r="A19" s="1506" t="s">
        <v>7128</v>
      </c>
      <c r="B19" s="1458">
        <v>260</v>
      </c>
      <c r="C19" s="1508"/>
      <c r="D19" s="1509"/>
      <c r="E19" s="1146"/>
      <c r="F19" s="1162">
        <f>'Major Assumption Key'!$A31</f>
        <v>2032</v>
      </c>
      <c r="G19" s="1163">
        <f>_xlfn.XLOOKUP(F19,'VMT Reduction Supporting'!$A:$A,'VMT Reduction Supporting'!$H:$H,,0)</f>
        <v>128397.62238317609</v>
      </c>
      <c r="H19" s="1164">
        <f t="shared" si="5"/>
        <v>19773.233847009116</v>
      </c>
      <c r="I19" s="1164">
        <f t="shared" si="6"/>
        <v>654.82787415419807</v>
      </c>
      <c r="J19" s="1164"/>
      <c r="K19" s="1165">
        <f t="shared" si="1"/>
        <v>20428.061721163314</v>
      </c>
      <c r="L19" s="1166">
        <f>_xlfn.XLOOKUP(F19,'VMT Reduction Supporting'!$A:$A,'VMT Reduction Supporting'!$I:$I,,0)</f>
        <v>164089.27950590255</v>
      </c>
      <c r="M19" s="1164">
        <f t="shared" si="7"/>
        <v>25269.749043908992</v>
      </c>
      <c r="N19" s="1164">
        <f t="shared" si="8"/>
        <v>836.85532548010303</v>
      </c>
      <c r="O19" s="1164"/>
      <c r="P19" s="1167">
        <f t="shared" si="2"/>
        <v>26106.604369389097</v>
      </c>
      <c r="Q19" s="1168">
        <f t="shared" si="0"/>
        <v>5678.5426482257826</v>
      </c>
      <c r="R19" s="1169">
        <f>(P19-K19)/(1+'Major Assumption Key'!$B$8)^($F19-'Major Assumption Key'!$B$7)</f>
        <v>4184.5642365692438</v>
      </c>
      <c r="S19" s="1155"/>
      <c r="T19" s="1165">
        <f t="shared" si="3"/>
        <v>20000</v>
      </c>
      <c r="U19" s="1170">
        <f t="shared" si="4"/>
        <v>26000</v>
      </c>
      <c r="V19" s="1171">
        <f t="shared" si="4"/>
        <v>6000</v>
      </c>
      <c r="W19" s="1169">
        <f t="shared" si="4"/>
        <v>4000</v>
      </c>
    </row>
    <row r="20" spans="1:23" ht="19.95" customHeight="1">
      <c r="A20" s="1510" t="s">
        <v>7163</v>
      </c>
      <c r="B20" s="1511">
        <f>_xlfn.XLOOKUP(B16,'VMT Reduction Supporting'!A:A,'VMT Reduction Supporting'!I:I,,0)</f>
        <v>159505.23113989137</v>
      </c>
      <c r="C20" s="1508" t="s">
        <v>7205</v>
      </c>
      <c r="D20" s="1509"/>
      <c r="E20" s="1146"/>
      <c r="F20" s="1162">
        <f>'Major Assumption Key'!$A32</f>
        <v>2033</v>
      </c>
      <c r="G20" s="1163">
        <f>_xlfn.XLOOKUP(F20,'VMT Reduction Supporting'!$A:$A,'VMT Reduction Supporting'!$H:$H,,0)</f>
        <v>129194.31729909239</v>
      </c>
      <c r="H20" s="1164">
        <f t="shared" si="5"/>
        <v>19895.924864060227</v>
      </c>
      <c r="I20" s="1164">
        <f t="shared" si="6"/>
        <v>658.89101822537123</v>
      </c>
      <c r="J20" s="1164"/>
      <c r="K20" s="1165">
        <f t="shared" si="1"/>
        <v>20554.815882285598</v>
      </c>
      <c r="L20" s="1166">
        <f>_xlfn.XLOOKUP(F20,'VMT Reduction Supporting'!$A:$A,'VMT Reduction Supporting'!$I:$I,,0)</f>
        <v>165265.74465545668</v>
      </c>
      <c r="M20" s="1164">
        <f t="shared" si="7"/>
        <v>25450.924676940329</v>
      </c>
      <c r="N20" s="1164">
        <f t="shared" si="8"/>
        <v>842.85529774282918</v>
      </c>
      <c r="O20" s="1164"/>
      <c r="P20" s="1167">
        <f t="shared" si="2"/>
        <v>26293.779974683159</v>
      </c>
      <c r="Q20" s="1168">
        <f t="shared" si="0"/>
        <v>5738.9640923975603</v>
      </c>
      <c r="R20" s="1169">
        <f>(P20-K20)/(1+'Major Assumption Key'!$B$8)^($F20-'Major Assumption Key'!$B$7)</f>
        <v>4101.9294761652673</v>
      </c>
      <c r="S20" s="1155"/>
      <c r="T20" s="1165">
        <f t="shared" si="3"/>
        <v>21000</v>
      </c>
      <c r="U20" s="1170">
        <f t="shared" si="4"/>
        <v>26000</v>
      </c>
      <c r="V20" s="1171">
        <f t="shared" si="4"/>
        <v>6000</v>
      </c>
      <c r="W20" s="1169">
        <f t="shared" si="4"/>
        <v>4000</v>
      </c>
    </row>
    <row r="21" spans="1:23" ht="19.95" customHeight="1">
      <c r="A21" s="1158" t="s">
        <v>7165</v>
      </c>
      <c r="B21" s="1159" t="s">
        <v>408</v>
      </c>
      <c r="C21" s="1160" t="s">
        <v>211</v>
      </c>
      <c r="D21" s="1161"/>
      <c r="E21" s="1146"/>
      <c r="F21" s="1162">
        <f>'Major Assumption Key'!$A33</f>
        <v>2034</v>
      </c>
      <c r="G21" s="1163">
        <f>_xlfn.XLOOKUP(F21,'VMT Reduction Supporting'!$A:$A,'VMT Reduction Supporting'!$H:$H,,0)</f>
        <v>129998.47660793914</v>
      </c>
      <c r="H21" s="1164">
        <f t="shared" si="5"/>
        <v>20019.765397622628</v>
      </c>
      <c r="I21" s="1164">
        <f t="shared" si="6"/>
        <v>662.9922307004897</v>
      </c>
      <c r="J21" s="1164"/>
      <c r="K21" s="1165">
        <f t="shared" si="1"/>
        <v>20682.757628323117</v>
      </c>
      <c r="L21" s="1166">
        <f>_xlfn.XLOOKUP(F21,'VMT Reduction Supporting'!$A:$A,'VMT Reduction Supporting'!$I:$I,,0)</f>
        <v>166454.71379976632</v>
      </c>
      <c r="M21" s="1164">
        <f t="shared" si="7"/>
        <v>25634.025925164013</v>
      </c>
      <c r="N21" s="1164">
        <f t="shared" si="8"/>
        <v>848.91904037880829</v>
      </c>
      <c r="O21" s="1164"/>
      <c r="P21" s="1167">
        <f t="shared" si="2"/>
        <v>26482.944965542822</v>
      </c>
      <c r="Q21" s="1168">
        <f t="shared" si="0"/>
        <v>5800.1873372197042</v>
      </c>
      <c r="R21" s="1169">
        <f>(P21-K21)/(1+'Major Assumption Key'!$B$8)^($F21-'Major Assumption Key'!$B$7)</f>
        <v>4021.0367047336431</v>
      </c>
      <c r="S21" s="1155"/>
      <c r="T21" s="1165">
        <f t="shared" si="3"/>
        <v>21000</v>
      </c>
      <c r="U21" s="1170">
        <f t="shared" si="4"/>
        <v>26000</v>
      </c>
      <c r="V21" s="1171">
        <f t="shared" si="4"/>
        <v>6000</v>
      </c>
      <c r="W21" s="1169">
        <f t="shared" si="4"/>
        <v>4000</v>
      </c>
    </row>
    <row r="22" spans="1:23" ht="19.95" customHeight="1">
      <c r="A22" s="1506" t="s">
        <v>7166</v>
      </c>
      <c r="B22" s="1512">
        <f>_xlfn.XLOOKUP($B$21,'BCA Guide - Parameter Values'!$B$243:$B$251,'BCA Guide - Parameter Values'!$C$243:$C$251,,0)</f>
        <v>0.154</v>
      </c>
      <c r="C22" s="1160" t="s">
        <v>211</v>
      </c>
      <c r="D22" s="1161"/>
      <c r="E22" s="1146"/>
      <c r="F22" s="1162">
        <f>'Major Assumption Key'!$A34</f>
        <v>2035</v>
      </c>
      <c r="G22" s="1163">
        <f>_xlfn.XLOOKUP(F22,'VMT Reduction Supporting'!$A:$A,'VMT Reduction Supporting'!$H:$H,,0)</f>
        <v>130810.19362346479</v>
      </c>
      <c r="H22" s="1164">
        <f t="shared" si="5"/>
        <v>20144.769818013578</v>
      </c>
      <c r="I22" s="1164">
        <f t="shared" si="6"/>
        <v>667.13198747967044</v>
      </c>
      <c r="J22" s="1164"/>
      <c r="K22" s="1165">
        <f t="shared" si="1"/>
        <v>20811.901805493249</v>
      </c>
      <c r="L22" s="1166">
        <f>_xlfn.XLOOKUP(F22,'VMT Reduction Supporting'!$A:$A,'VMT Reduction Supporting'!$I:$I,,0)</f>
        <v>167656.35236791376</v>
      </c>
      <c r="M22" s="1164">
        <f t="shared" si="7"/>
        <v>25819.078264658718</v>
      </c>
      <c r="N22" s="1164">
        <f t="shared" si="8"/>
        <v>855.0473970763602</v>
      </c>
      <c r="O22" s="1164"/>
      <c r="P22" s="1167">
        <f t="shared" si="2"/>
        <v>26674.125661735077</v>
      </c>
      <c r="Q22" s="1168">
        <f t="shared" si="0"/>
        <v>5862.2238562418279</v>
      </c>
      <c r="R22" s="1169">
        <f>(P22-K22)/(1+'Major Assumption Key'!$B$8)^($F22-'Major Assumption Key'!$B$7)</f>
        <v>3941.8468762476391</v>
      </c>
      <c r="S22" s="1155"/>
      <c r="T22" s="1165">
        <f t="shared" si="3"/>
        <v>21000</v>
      </c>
      <c r="U22" s="1170">
        <f t="shared" si="4"/>
        <v>27000</v>
      </c>
      <c r="V22" s="1171">
        <f t="shared" si="4"/>
        <v>6000</v>
      </c>
      <c r="W22" s="1169">
        <f t="shared" si="4"/>
        <v>4000</v>
      </c>
    </row>
    <row r="23" spans="1:23" ht="19.95" customHeight="1">
      <c r="A23" s="1506" t="s">
        <v>7167</v>
      </c>
      <c r="B23" s="1512">
        <f>_xlfn.XLOOKUP($B$21,'BCA Guide - Parameter Values'!$B$243:$B$251,'BCA Guide - Parameter Values'!$D$243:$D$251,,0)</f>
        <v>5.1000000000000004E-3</v>
      </c>
      <c r="C23" s="1513" t="s">
        <v>211</v>
      </c>
      <c r="D23" s="1514"/>
      <c r="E23" s="1146"/>
      <c r="F23" s="1162">
        <f>'Major Assumption Key'!$A35</f>
        <v>2036</v>
      </c>
      <c r="G23" s="1163">
        <f>_xlfn.XLOOKUP(F23,'VMT Reduction Supporting'!$A:$A,'VMT Reduction Supporting'!$H:$H,,0)</f>
        <v>131629.56296952936</v>
      </c>
      <c r="H23" s="1164">
        <f t="shared" si="5"/>
        <v>20270.952697307523</v>
      </c>
      <c r="I23" s="1164">
        <f t="shared" si="6"/>
        <v>671.31077114459981</v>
      </c>
      <c r="J23" s="1164"/>
      <c r="K23" s="1165">
        <f t="shared" si="1"/>
        <v>20942.263468452122</v>
      </c>
      <c r="L23" s="1166">
        <f>_xlfn.XLOOKUP(F23,'VMT Reduction Supporting'!$A:$A,'VMT Reduction Supporting'!$I:$I,,0)</f>
        <v>168870.82815355281</v>
      </c>
      <c r="M23" s="1164">
        <f t="shared" si="7"/>
        <v>26006.107535647134</v>
      </c>
      <c r="N23" s="1164">
        <f t="shared" si="8"/>
        <v>861.24122358311934</v>
      </c>
      <c r="O23" s="1164"/>
      <c r="P23" s="1167">
        <f t="shared" si="2"/>
        <v>26867.348759230252</v>
      </c>
      <c r="Q23" s="1168">
        <f t="shared" si="0"/>
        <v>5925.08529077813</v>
      </c>
      <c r="R23" s="1169">
        <f>(P23-K23)/(1+'Major Assumption Key'!$B$8)^($F23-'Major Assumption Key'!$B$7)</f>
        <v>3864.3218658559795</v>
      </c>
      <c r="S23" s="1155"/>
      <c r="T23" s="1165">
        <f t="shared" si="3"/>
        <v>21000</v>
      </c>
      <c r="U23" s="1170">
        <f t="shared" si="4"/>
        <v>27000</v>
      </c>
      <c r="V23" s="1171">
        <f t="shared" si="4"/>
        <v>6000</v>
      </c>
      <c r="W23" s="1169">
        <f t="shared" si="4"/>
        <v>4000</v>
      </c>
    </row>
    <row r="24" spans="1:23" ht="19.95" customHeight="1">
      <c r="A24" s="1506" t="s">
        <v>7168</v>
      </c>
      <c r="B24" s="1512">
        <f>_xlfn.XLOOKUP($B$21,'BCA Guide - Parameter Values'!$B$243:$B$251,'BCA Guide - Parameter Values'!$E$243:$E$251,,0)</f>
        <v>1.7000000000000001E-2</v>
      </c>
      <c r="C24" s="1513" t="s">
        <v>211</v>
      </c>
      <c r="D24" s="1514"/>
      <c r="E24" s="1146"/>
      <c r="F24" s="1162">
        <f>'Major Assumption Key'!$A36</f>
        <v>2037</v>
      </c>
      <c r="G24" s="1163">
        <f>_xlfn.XLOOKUP(F24,'VMT Reduction Supporting'!$A:$A,'VMT Reduction Supporting'!$H:$H,,0)</f>
        <v>132456.68059915933</v>
      </c>
      <c r="H24" s="1164">
        <f t="shared" si="5"/>
        <v>20398.328812270538</v>
      </c>
      <c r="I24" s="1164">
        <f t="shared" si="6"/>
        <v>675.52907105571262</v>
      </c>
      <c r="J24" s="1164"/>
      <c r="K24" s="1165">
        <f t="shared" si="1"/>
        <v>21073.857883326251</v>
      </c>
      <c r="L24" s="1166">
        <f>_xlfn.XLOOKUP(F24,'VMT Reduction Supporting'!$A:$A,'VMT Reduction Supporting'!$I:$I,,0)</f>
        <v>170098.31134947221</v>
      </c>
      <c r="M24" s="1164">
        <f t="shared" si="7"/>
        <v>26195.13994781872</v>
      </c>
      <c r="N24" s="1164">
        <f t="shared" si="8"/>
        <v>867.50138788230834</v>
      </c>
      <c r="O24" s="1164"/>
      <c r="P24" s="1167">
        <f t="shared" si="2"/>
        <v>27062.641335701028</v>
      </c>
      <c r="Q24" s="1168">
        <f t="shared" si="0"/>
        <v>5988.783452374777</v>
      </c>
      <c r="R24" s="1169">
        <f>(P24-K24)/(1+'Major Assumption Key'!$B$8)^($F24-'Major Assumption Key'!$B$7)</f>
        <v>3788.4244472936566</v>
      </c>
      <c r="S24" s="1155"/>
      <c r="T24" s="1165">
        <f t="shared" si="3"/>
        <v>21000</v>
      </c>
      <c r="U24" s="1170">
        <f t="shared" si="4"/>
        <v>27000</v>
      </c>
      <c r="V24" s="1171">
        <f t="shared" si="4"/>
        <v>6000</v>
      </c>
      <c r="W24" s="1169">
        <f t="shared" si="4"/>
        <v>4000</v>
      </c>
    </row>
    <row r="25" spans="1:23" ht="19.95" customHeight="1">
      <c r="A25" s="1506" t="s">
        <v>7206</v>
      </c>
      <c r="B25" s="1512" t="str">
        <f>_xlfn.XLOOKUP($B$21,'BCA Guide - Parameter Values'!$B$243:$B$251,'BCA Guide - Parameter Values'!$F$243:$F$251,,0)</f>
        <v>*</v>
      </c>
      <c r="C25" s="1195" t="s">
        <v>211</v>
      </c>
      <c r="D25" s="1514"/>
      <c r="E25" s="1146"/>
      <c r="F25" s="1162">
        <f>'Major Assumption Key'!$A37</f>
        <v>2038</v>
      </c>
      <c r="G25" s="1163">
        <f>_xlfn.XLOOKUP(F25,'VMT Reduction Supporting'!$A:$A,'VMT Reduction Supporting'!$H:$H,,0)</f>
        <v>133291.64381388196</v>
      </c>
      <c r="H25" s="1164">
        <f t="shared" si="5"/>
        <v>20526.913147337822</v>
      </c>
      <c r="I25" s="1164">
        <f t="shared" si="6"/>
        <v>679.78738345079807</v>
      </c>
      <c r="J25" s="1164"/>
      <c r="K25" s="1165">
        <f t="shared" si="1"/>
        <v>21206.700530788621</v>
      </c>
      <c r="L25" s="1166">
        <f>_xlfn.XLOOKUP(F25,'VMT Reduction Supporting'!$A:$A,'VMT Reduction Supporting'!$I:$I,,0)</f>
        <v>171338.97458266688</v>
      </c>
      <c r="M25" s="1164">
        <f t="shared" si="7"/>
        <v>26386.2020857307</v>
      </c>
      <c r="N25" s="1164">
        <f t="shared" si="8"/>
        <v>873.82877037160119</v>
      </c>
      <c r="O25" s="1164"/>
      <c r="P25" s="1167">
        <f t="shared" si="2"/>
        <v>27260.030856102301</v>
      </c>
      <c r="Q25" s="1168">
        <f t="shared" si="0"/>
        <v>6053.3303253136801</v>
      </c>
      <c r="R25" s="1169">
        <f>(P25-K25)/(1+'Major Assumption Key'!$B$8)^($F25-'Major Assumption Key'!$B$7)</f>
        <v>3714.1182708619203</v>
      </c>
      <c r="S25" s="1155"/>
      <c r="T25" s="1165">
        <f t="shared" si="3"/>
        <v>21000</v>
      </c>
      <c r="U25" s="1170">
        <f t="shared" si="4"/>
        <v>27000</v>
      </c>
      <c r="V25" s="1171">
        <f t="shared" si="4"/>
        <v>6000</v>
      </c>
      <c r="W25" s="1169">
        <f t="shared" si="4"/>
        <v>4000</v>
      </c>
    </row>
    <row r="26" spans="1:23" ht="19.95" customHeight="1" thickBot="1">
      <c r="A26" s="1309" t="s">
        <v>7207</v>
      </c>
      <c r="B26" s="1515" t="str">
        <f>_xlfn.XLOOKUP($B$21,'BCA Guide - Parameter Values'!$B$243:$B$251,'BCA Guide - Parameter Values'!$G$243:$G$251,,0)</f>
        <v>*</v>
      </c>
      <c r="C26" s="1516" t="s">
        <v>211</v>
      </c>
      <c r="D26" s="1336"/>
      <c r="E26" s="1146"/>
      <c r="F26" s="1162">
        <f>'Major Assumption Key'!$A38</f>
        <v>2039</v>
      </c>
      <c r="G26" s="1163">
        <f>_xlfn.XLOOKUP(F26,'VMT Reduction Supporting'!$A:$A,'VMT Reduction Supporting'!$H:$H,,0)</f>
        <v>134134.55128334393</v>
      </c>
      <c r="H26" s="1164">
        <f t="shared" si="5"/>
        <v>20656.720897634965</v>
      </c>
      <c r="I26" s="1164">
        <f t="shared" si="6"/>
        <v>684.08621154505408</v>
      </c>
      <c r="J26" s="1164"/>
      <c r="K26" s="1165">
        <f t="shared" si="1"/>
        <v>21340.807109180019</v>
      </c>
      <c r="L26" s="1166">
        <f>_xlfn.XLOOKUP(F26,'VMT Reduction Supporting'!$A:$A,'VMT Reduction Supporting'!$I:$I,,0)</f>
        <v>172592.9929499249</v>
      </c>
      <c r="M26" s="1164">
        <f t="shared" si="7"/>
        <v>26579.320914288433</v>
      </c>
      <c r="N26" s="1164">
        <f t="shared" si="8"/>
        <v>880.22426404461703</v>
      </c>
      <c r="O26" s="1164"/>
      <c r="P26" s="1167">
        <f t="shared" si="2"/>
        <v>27459.54517833305</v>
      </c>
      <c r="Q26" s="1168">
        <f t="shared" si="0"/>
        <v>6118.7380691530307</v>
      </c>
      <c r="R26" s="1169">
        <f>(P26-K26)/(1+'Major Assumption Key'!$B$8)^($F26-'Major Assumption Key'!$B$7)</f>
        <v>3641.3678419627313</v>
      </c>
      <c r="S26" s="1155"/>
      <c r="T26" s="1165">
        <f t="shared" si="3"/>
        <v>21000</v>
      </c>
      <c r="U26" s="1170">
        <f t="shared" si="4"/>
        <v>27000</v>
      </c>
      <c r="V26" s="1171">
        <f t="shared" si="4"/>
        <v>6000</v>
      </c>
      <c r="W26" s="1169">
        <f t="shared" si="4"/>
        <v>4000</v>
      </c>
    </row>
    <row r="27" spans="1:23" ht="19.95" customHeight="1">
      <c r="E27" s="1146"/>
      <c r="F27" s="1162">
        <f>'Major Assumption Key'!$A39</f>
        <v>2040</v>
      </c>
      <c r="G27" s="1163">
        <f>_xlfn.XLOOKUP(F27,'VMT Reduction Supporting'!$A:$A,'VMT Reduction Supporting'!$H:$H,,0)</f>
        <v>134985.50306521778</v>
      </c>
      <c r="H27" s="1164">
        <f t="shared" si="5"/>
        <v>20787.767472043539</v>
      </c>
      <c r="I27" s="1164">
        <f t="shared" si="6"/>
        <v>688.42606563261074</v>
      </c>
      <c r="J27" s="1164"/>
      <c r="K27" s="1165">
        <f t="shared" si="1"/>
        <v>21476.19353767615</v>
      </c>
      <c r="L27" s="1166">
        <f>_xlfn.XLOOKUP(F27,'VMT Reduction Supporting'!$A:$A,'VMT Reduction Supporting'!$I:$I,,0)</f>
        <v>173860.54405393836</v>
      </c>
      <c r="M27" s="1164">
        <f t="shared" si="7"/>
        <v>26774.523784306508</v>
      </c>
      <c r="N27" s="1164">
        <f t="shared" si="8"/>
        <v>886.68877467508571</v>
      </c>
      <c r="O27" s="1164"/>
      <c r="P27" s="1167">
        <f t="shared" si="2"/>
        <v>27661.212558981595</v>
      </c>
      <c r="Q27" s="1168">
        <f t="shared" si="0"/>
        <v>6185.0190213054448</v>
      </c>
      <c r="R27" s="1169">
        <f>(P27-K27)/(1+'Major Assumption Key'!$B$8)^($F27-'Major Assumption Key'!$B$7)</f>
        <v>3570.1385001736553</v>
      </c>
      <c r="S27" s="1155"/>
      <c r="T27" s="1165">
        <f t="shared" si="3"/>
        <v>21000</v>
      </c>
      <c r="U27" s="1170">
        <f t="shared" si="4"/>
        <v>28000</v>
      </c>
      <c r="V27" s="1171">
        <f t="shared" si="4"/>
        <v>6000</v>
      </c>
      <c r="W27" s="1169">
        <f t="shared" si="4"/>
        <v>4000</v>
      </c>
    </row>
    <row r="28" spans="1:23" ht="19.95" customHeight="1">
      <c r="E28" s="1146"/>
      <c r="F28" s="1162">
        <f>'Major Assumption Key'!$A40</f>
        <v>2041</v>
      </c>
      <c r="G28" s="1163">
        <f>_xlfn.XLOOKUP(F28,'VMT Reduction Supporting'!$A:$A,'VMT Reduction Supporting'!$H:$H,,0)</f>
        <v>135844.60062540101</v>
      </c>
      <c r="H28" s="1164">
        <f t="shared" si="5"/>
        <v>20920.068496311756</v>
      </c>
      <c r="I28" s="1164">
        <f t="shared" si="6"/>
        <v>692.80746318954527</v>
      </c>
      <c r="J28" s="1164"/>
      <c r="K28" s="1165">
        <f t="shared" si="1"/>
        <v>21612.875959501303</v>
      </c>
      <c r="L28" s="1166">
        <f>_xlfn.XLOOKUP(F28,'VMT Reduction Supporting'!$A:$A,'VMT Reduction Supporting'!$I:$I,,0)</f>
        <v>175141.80803994476</v>
      </c>
      <c r="M28" s="1164">
        <f t="shared" si="7"/>
        <v>26971.838438151492</v>
      </c>
      <c r="N28" s="1164">
        <f t="shared" si="8"/>
        <v>893.22322100371832</v>
      </c>
      <c r="O28" s="1164"/>
      <c r="P28" s="1167">
        <f t="shared" si="2"/>
        <v>27865.06165915521</v>
      </c>
      <c r="Q28" s="1168">
        <f t="shared" si="0"/>
        <v>6252.1856996539063</v>
      </c>
      <c r="R28" s="1169">
        <f>(P28-K28)/(1+'Major Assumption Key'!$B$8)^($F28-'Major Assumption Key'!$B$7)</f>
        <v>3500.3963988491155</v>
      </c>
      <c r="S28" s="1155"/>
      <c r="T28" s="1165">
        <f t="shared" si="3"/>
        <v>22000</v>
      </c>
      <c r="U28" s="1170">
        <f t="shared" si="4"/>
        <v>28000</v>
      </c>
      <c r="V28" s="1171">
        <f t="shared" si="4"/>
        <v>6000</v>
      </c>
      <c r="W28" s="1169">
        <f t="shared" si="4"/>
        <v>4000</v>
      </c>
    </row>
    <row r="29" spans="1:23" ht="19.95" customHeight="1">
      <c r="E29" s="1146"/>
      <c r="F29" s="1162">
        <f>'Major Assumption Key'!$A41</f>
        <v>2042</v>
      </c>
      <c r="G29" s="1163">
        <f>_xlfn.XLOOKUP(F29,'VMT Reduction Supporting'!$A:$A,'VMT Reduction Supporting'!$H:$H,,0)</f>
        <v>136711.94685851183</v>
      </c>
      <c r="H29" s="1164">
        <f t="shared" si="5"/>
        <v>21053.63981621082</v>
      </c>
      <c r="I29" s="1164">
        <f t="shared" si="6"/>
        <v>697.23092897841036</v>
      </c>
      <c r="J29" s="1164"/>
      <c r="K29" s="1165">
        <f t="shared" si="1"/>
        <v>21750.87074518923</v>
      </c>
      <c r="L29" s="1166">
        <f>_xlfn.XLOOKUP(F29,'VMT Reduction Supporting'!$A:$A,'VMT Reduction Supporting'!$I:$I,,0)</f>
        <v>176436.96763290747</v>
      </c>
      <c r="M29" s="1164">
        <f t="shared" si="7"/>
        <v>27171.293015467749</v>
      </c>
      <c r="N29" s="1164">
        <f t="shared" si="8"/>
        <v>899.82853492782817</v>
      </c>
      <c r="O29" s="1164"/>
      <c r="P29" s="1167">
        <f t="shared" si="2"/>
        <v>28071.121550395575</v>
      </c>
      <c r="Q29" s="1168">
        <f t="shared" si="0"/>
        <v>6320.2508052063458</v>
      </c>
      <c r="R29" s="1169">
        <f>(P29-K29)/(1+'Major Assumption Key'!$B$8)^($F29-'Major Assumption Key'!$B$7)</f>
        <v>3432.108485234683</v>
      </c>
      <c r="S29" s="1155"/>
      <c r="T29" s="1165">
        <f t="shared" si="3"/>
        <v>22000</v>
      </c>
      <c r="U29" s="1170">
        <f t="shared" si="4"/>
        <v>28000</v>
      </c>
      <c r="V29" s="1171">
        <f t="shared" si="4"/>
        <v>6000</v>
      </c>
      <c r="W29" s="1169">
        <f t="shared" si="4"/>
        <v>3000</v>
      </c>
    </row>
    <row r="30" spans="1:23" ht="19.95" customHeight="1">
      <c r="E30" s="1146"/>
      <c r="F30" s="1162">
        <f>'Major Assumption Key'!$A42</f>
        <v>2043</v>
      </c>
      <c r="G30" s="1163">
        <f>_xlfn.XLOOKUP(F30,'VMT Reduction Supporting'!$A:$A,'VMT Reduction Supporting'!$H:$H,,0)</f>
        <v>137587.64610868582</v>
      </c>
      <c r="H30" s="1164">
        <f t="shared" si="5"/>
        <v>21188.497500737616</v>
      </c>
      <c r="I30" s="1164">
        <f t="shared" si="6"/>
        <v>701.69699515429772</v>
      </c>
      <c r="J30" s="1164"/>
      <c r="K30" s="1165">
        <f t="shared" si="1"/>
        <v>21890.194495891912</v>
      </c>
      <c r="L30" s="1166">
        <f>_xlfn.XLOOKUP(F30,'VMT Reduction Supporting'!$A:$A,'VMT Reduction Supporting'!$I:$I,,0)</f>
        <v>177746.20817524326</v>
      </c>
      <c r="M30" s="1164">
        <f t="shared" si="7"/>
        <v>27372.916058987463</v>
      </c>
      <c r="N30" s="1164">
        <f t="shared" si="8"/>
        <v>906.50566169374065</v>
      </c>
      <c r="O30" s="1164"/>
      <c r="P30" s="1167">
        <f t="shared" si="2"/>
        <v>28279.421720681203</v>
      </c>
      <c r="Q30" s="1168">
        <f t="shared" si="0"/>
        <v>6389.2272247892906</v>
      </c>
      <c r="R30" s="1169">
        <f>(P30-K30)/(1+'Major Assumption Key'!$B$8)^($F30-'Major Assumption Key'!$B$7)</f>
        <v>3365.2424810811858</v>
      </c>
      <c r="S30" s="1155"/>
      <c r="T30" s="1165">
        <f t="shared" si="3"/>
        <v>22000</v>
      </c>
      <c r="U30" s="1170">
        <f t="shared" si="4"/>
        <v>28000</v>
      </c>
      <c r="V30" s="1171">
        <f t="shared" si="4"/>
        <v>6000</v>
      </c>
      <c r="W30" s="1169">
        <f t="shared" si="4"/>
        <v>3000</v>
      </c>
    </row>
    <row r="31" spans="1:23" ht="19.95" customHeight="1">
      <c r="E31" s="1146"/>
      <c r="F31" s="1162">
        <f>'Major Assumption Key'!$A43</f>
        <v>2044</v>
      </c>
      <c r="G31" s="1163">
        <f>_xlfn.XLOOKUP(F31,'VMT Reduction Supporting'!$A:$A,'VMT Reduction Supporting'!$H:$H,,0)</f>
        <v>138471.80419067823</v>
      </c>
      <c r="H31" s="1164">
        <f t="shared" si="5"/>
        <v>21324.657845364447</v>
      </c>
      <c r="I31" s="1164">
        <f t="shared" si="6"/>
        <v>706.20620137245908</v>
      </c>
      <c r="J31" s="1164"/>
      <c r="K31" s="1165">
        <f t="shared" si="1"/>
        <v>22030.864046736908</v>
      </c>
      <c r="L31" s="1166">
        <f>_xlfn.XLOOKUP(F31,'VMT Reduction Supporting'!$A:$A,'VMT Reduction Supporting'!$I:$I,,0)</f>
        <v>179069.71766510437</v>
      </c>
      <c r="M31" s="1164">
        <f t="shared" si="7"/>
        <v>27576.736520426071</v>
      </c>
      <c r="N31" s="1164">
        <f t="shared" si="8"/>
        <v>913.2555600920324</v>
      </c>
      <c r="O31" s="1164"/>
      <c r="P31" s="1167">
        <f t="shared" si="2"/>
        <v>28489.992080518103</v>
      </c>
      <c r="Q31" s="1168">
        <f t="shared" si="0"/>
        <v>6459.128033781195</v>
      </c>
      <c r="R31" s="1169">
        <f>(P31-K31)/(1+'Major Assumption Key'!$B$8)^($F31-'Major Assumption Key'!$B$7)</f>
        <v>3299.7668637458396</v>
      </c>
      <c r="S31" s="1155"/>
      <c r="T31" s="1165">
        <f t="shared" si="3"/>
        <v>22000</v>
      </c>
      <c r="U31" s="1170">
        <f t="shared" si="4"/>
        <v>28000</v>
      </c>
      <c r="V31" s="1171">
        <f t="shared" si="4"/>
        <v>6000</v>
      </c>
      <c r="W31" s="1169">
        <f t="shared" si="4"/>
        <v>3000</v>
      </c>
    </row>
    <row r="32" spans="1:23" ht="19.95" customHeight="1">
      <c r="F32" s="1162">
        <f>'Major Assumption Key'!$A44</f>
        <v>2045</v>
      </c>
      <c r="G32" s="1163">
        <f>_xlfn.XLOOKUP(F32,'VMT Reduction Supporting'!$A:$A,'VMT Reduction Supporting'!$H:$H,,0)</f>
        <v>139364.52841127635</v>
      </c>
      <c r="H32" s="1164">
        <f t="shared" si="5"/>
        <v>21462.137375336559</v>
      </c>
      <c r="I32" s="1164">
        <f t="shared" si="6"/>
        <v>710.75909489750939</v>
      </c>
      <c r="J32" s="1164"/>
      <c r="K32" s="1165">
        <f t="shared" si="1"/>
        <v>22172.896470234067</v>
      </c>
      <c r="L32" s="1166">
        <f>_xlfn.XLOOKUP(F32,'VMT Reduction Supporting'!$A:$A,'VMT Reduction Supporting'!$I:$I,,0)</f>
        <v>180407.68679522406</v>
      </c>
      <c r="M32" s="1164">
        <f t="shared" si="7"/>
        <v>27782.783766464505</v>
      </c>
      <c r="N32" s="1164">
        <f t="shared" si="8"/>
        <v>920.0792026556428</v>
      </c>
      <c r="O32" s="1164"/>
      <c r="P32" s="1167">
        <f t="shared" si="2"/>
        <v>28702.86296912015</v>
      </c>
      <c r="Q32" s="1168">
        <f t="shared" si="0"/>
        <v>6529.9664988860823</v>
      </c>
      <c r="R32" s="1169">
        <f>(P32-K32)/(1+'Major Assumption Key'!$B$8)^($F32-'Major Assumption Key'!$B$7)</f>
        <v>3235.6508477679731</v>
      </c>
      <c r="S32" s="1155"/>
      <c r="T32" s="1165">
        <f t="shared" si="3"/>
        <v>22000</v>
      </c>
      <c r="U32" s="1170">
        <f t="shared" si="4"/>
        <v>29000</v>
      </c>
      <c r="V32" s="1171">
        <f t="shared" si="4"/>
        <v>7000</v>
      </c>
      <c r="W32" s="1169">
        <f t="shared" si="4"/>
        <v>3000</v>
      </c>
    </row>
    <row r="33" spans="6:23" ht="19.95" customHeight="1">
      <c r="F33" s="1162">
        <f>'Major Assumption Key'!$A45</f>
        <v>2046</v>
      </c>
      <c r="G33" s="1163">
        <f>_xlfn.XLOOKUP(F33,'VMT Reduction Supporting'!$A:$A,'VMT Reduction Supporting'!$H:$H,,0)</f>
        <v>140265.92759102612</v>
      </c>
      <c r="H33" s="1164">
        <f t="shared" si="5"/>
        <v>21600.952849018024</v>
      </c>
      <c r="I33" s="1164">
        <f t="shared" si="6"/>
        <v>715.35623071423322</v>
      </c>
      <c r="J33" s="1164"/>
      <c r="K33" s="1165">
        <f t="shared" si="1"/>
        <v>22316.309079732258</v>
      </c>
      <c r="L33" s="1166">
        <f>_xlfn.XLOOKUP(F33,'VMT Reduction Supporting'!$A:$A,'VMT Reduction Supporting'!$I:$I,,0)</f>
        <v>181760.30899233304</v>
      </c>
      <c r="M33" s="1164">
        <f t="shared" si="7"/>
        <v>27991.087584819288</v>
      </c>
      <c r="N33" s="1164">
        <f t="shared" si="8"/>
        <v>926.97757586089858</v>
      </c>
      <c r="O33" s="1164"/>
      <c r="P33" s="1167">
        <f t="shared" si="2"/>
        <v>28918.065160680188</v>
      </c>
      <c r="Q33" s="1168">
        <f t="shared" si="0"/>
        <v>6601.7560809479291</v>
      </c>
      <c r="R33" s="1169">
        <f>(P33-K33)/(1+'Major Assumption Key'!$B$8)^($F33-'Major Assumption Key'!$B$7)</f>
        <v>3172.8643669070975</v>
      </c>
      <c r="S33" s="1155"/>
      <c r="T33" s="1165">
        <f t="shared" si="3"/>
        <v>22000</v>
      </c>
      <c r="U33" s="1170">
        <f t="shared" si="4"/>
        <v>29000</v>
      </c>
      <c r="V33" s="1171">
        <f t="shared" si="4"/>
        <v>7000</v>
      </c>
      <c r="W33" s="1169">
        <f t="shared" si="4"/>
        <v>3000</v>
      </c>
    </row>
    <row r="34" spans="6:23" ht="19.95" customHeight="1">
      <c r="F34" s="1162">
        <f>'Major Assumption Key'!$A46</f>
        <v>2047</v>
      </c>
      <c r="G34" s="1163">
        <f>_xlfn.XLOOKUP(F34,'VMT Reduction Supporting'!$A:$A,'VMT Reduction Supporting'!$H:$H,,0)</f>
        <v>141176.11208627842</v>
      </c>
      <c r="H34" s="1164">
        <f t="shared" si="5"/>
        <v>21741.121261286877</v>
      </c>
      <c r="I34" s="1164">
        <f t="shared" si="6"/>
        <v>719.99817164002002</v>
      </c>
      <c r="J34" s="1164"/>
      <c r="K34" s="1165">
        <f t="shared" si="1"/>
        <v>22461.119432926898</v>
      </c>
      <c r="L34" s="1166">
        <f>_xlfn.XLOOKUP(F34,'VMT Reduction Supporting'!$A:$A,'VMT Reduction Supporting'!$I:$I,,0)</f>
        <v>183127.78045715619</v>
      </c>
      <c r="M34" s="1164">
        <f t="shared" si="7"/>
        <v>28201.678190402054</v>
      </c>
      <c r="N34" s="1164">
        <f t="shared" si="8"/>
        <v>933.95168033149662</v>
      </c>
      <c r="O34" s="1164"/>
      <c r="P34" s="1167">
        <f t="shared" si="2"/>
        <v>29135.629870733552</v>
      </c>
      <c r="Q34" s="1168">
        <f t="shared" si="0"/>
        <v>6674.5104378066535</v>
      </c>
      <c r="R34" s="1169">
        <f>(P34-K34)/(1+'Major Assumption Key'!$B$8)^($F34-'Major Assumption Key'!$B$7)</f>
        <v>3111.3780566316359</v>
      </c>
      <c r="S34" s="1155"/>
      <c r="T34" s="1165">
        <f t="shared" si="3"/>
        <v>22000</v>
      </c>
      <c r="U34" s="1170">
        <f t="shared" si="4"/>
        <v>29000</v>
      </c>
      <c r="V34" s="1171">
        <f t="shared" si="4"/>
        <v>7000</v>
      </c>
      <c r="W34" s="1169">
        <f t="shared" si="4"/>
        <v>3000</v>
      </c>
    </row>
    <row r="35" spans="6:23" ht="19.95" customHeight="1">
      <c r="F35" s="1162">
        <f>'Major Assumption Key'!$A47</f>
        <v>2048</v>
      </c>
      <c r="G35" s="1163">
        <f>_xlfn.XLOOKUP(F35,'VMT Reduction Supporting'!$A:$A,'VMT Reduction Supporting'!$H:$H,,0)</f>
        <v>142095.19381155868</v>
      </c>
      <c r="H35" s="1164"/>
      <c r="I35" s="1164"/>
      <c r="J35" s="1164"/>
      <c r="K35" s="1165">
        <f t="shared" si="1"/>
        <v>0</v>
      </c>
      <c r="L35" s="1166"/>
      <c r="M35" s="1164"/>
      <c r="N35" s="1164"/>
      <c r="O35" s="1164"/>
      <c r="P35" s="1167">
        <f t="shared" si="2"/>
        <v>0</v>
      </c>
      <c r="Q35" s="1168">
        <f t="shared" si="0"/>
        <v>0</v>
      </c>
      <c r="R35" s="1169">
        <f>(P35-K35)/(1+'Major Assumption Key'!$B$8)^($F35-'Major Assumption Key'!$B$7)</f>
        <v>0</v>
      </c>
      <c r="S35" s="1155"/>
      <c r="T35" s="1165">
        <f t="shared" si="3"/>
        <v>0</v>
      </c>
      <c r="U35" s="1170">
        <f t="shared" si="4"/>
        <v>0</v>
      </c>
      <c r="V35" s="1171">
        <f t="shared" si="4"/>
        <v>0</v>
      </c>
      <c r="W35" s="1169">
        <f t="shared" si="4"/>
        <v>0</v>
      </c>
    </row>
    <row r="36" spans="6:23" ht="19.95" customHeight="1">
      <c r="F36" s="1162">
        <f>'Major Assumption Key'!$A48</f>
        <v>2049</v>
      </c>
      <c r="G36" s="1163">
        <f>_xlfn.XLOOKUP(F36,'VMT Reduction Supporting'!$A:$A,'VMT Reduction Supporting'!$H:$H,,0)</f>
        <v>143023.28626226573</v>
      </c>
      <c r="H36" s="1164"/>
      <c r="I36" s="1164"/>
      <c r="J36" s="1164"/>
      <c r="K36" s="1165">
        <f t="shared" si="1"/>
        <v>0</v>
      </c>
      <c r="L36" s="1166"/>
      <c r="M36" s="1164"/>
      <c r="N36" s="1164"/>
      <c r="O36" s="1164"/>
      <c r="P36" s="1167">
        <f t="shared" si="2"/>
        <v>0</v>
      </c>
      <c r="Q36" s="1168">
        <f t="shared" si="0"/>
        <v>0</v>
      </c>
      <c r="R36" s="1169">
        <f>(P36-K36)/(1+'Major Assumption Key'!$B$8)^($F36-'Major Assumption Key'!$B$7)</f>
        <v>0</v>
      </c>
      <c r="S36" s="1155"/>
      <c r="T36" s="1165">
        <f t="shared" si="3"/>
        <v>0</v>
      </c>
      <c r="U36" s="1170">
        <f t="shared" si="4"/>
        <v>0</v>
      </c>
      <c r="V36" s="1171">
        <f t="shared" si="4"/>
        <v>0</v>
      </c>
      <c r="W36" s="1169">
        <f t="shared" si="4"/>
        <v>0</v>
      </c>
    </row>
    <row r="37" spans="6:23" ht="19.95" customHeight="1">
      <c r="F37" s="1162">
        <f>'Major Assumption Key'!$A49</f>
        <v>2050</v>
      </c>
      <c r="G37" s="1163">
        <f>_xlfn.XLOOKUP(F37,'VMT Reduction Supporting'!$A:$A,'VMT Reduction Supporting'!$H:$H,,0)</f>
        <v>143960.5045377037</v>
      </c>
      <c r="H37" s="1164"/>
      <c r="I37" s="1164"/>
      <c r="J37" s="1164"/>
      <c r="K37" s="1165">
        <f t="shared" si="1"/>
        <v>0</v>
      </c>
      <c r="L37" s="1166"/>
      <c r="M37" s="1164"/>
      <c r="N37" s="1164"/>
      <c r="O37" s="1164"/>
      <c r="P37" s="1167">
        <f t="shared" si="2"/>
        <v>0</v>
      </c>
      <c r="Q37" s="1168">
        <f t="shared" si="0"/>
        <v>0</v>
      </c>
      <c r="R37" s="1169">
        <f>(P37-K37)/(1+'Major Assumption Key'!$B$8)^($F37-'Major Assumption Key'!$B$7)</f>
        <v>0</v>
      </c>
      <c r="S37" s="1155"/>
      <c r="T37" s="1165">
        <f t="shared" si="3"/>
        <v>0</v>
      </c>
      <c r="U37" s="1170">
        <f t="shared" si="4"/>
        <v>0</v>
      </c>
      <c r="V37" s="1171">
        <f t="shared" si="4"/>
        <v>0</v>
      </c>
      <c r="W37" s="1169">
        <f t="shared" si="4"/>
        <v>0</v>
      </c>
    </row>
    <row r="38" spans="6:23" ht="19.95" customHeight="1">
      <c r="F38" s="1162">
        <f>'Major Assumption Key'!$A50</f>
        <v>2051</v>
      </c>
      <c r="G38" s="1163">
        <f>_xlfn.XLOOKUP(F38,'VMT Reduction Supporting'!$A:$A,'VMT Reduction Supporting'!$H:$H,,0)</f>
        <v>144906.96536445263</v>
      </c>
      <c r="H38" s="1164"/>
      <c r="I38" s="1164"/>
      <c r="J38" s="1164"/>
      <c r="K38" s="1165">
        <f t="shared" si="1"/>
        <v>0</v>
      </c>
      <c r="L38" s="1166"/>
      <c r="M38" s="1164"/>
      <c r="N38" s="1164"/>
      <c r="O38" s="1164"/>
      <c r="P38" s="1167">
        <f t="shared" si="2"/>
        <v>0</v>
      </c>
      <c r="Q38" s="1168">
        <f t="shared" si="0"/>
        <v>0</v>
      </c>
      <c r="R38" s="1169">
        <f>(P38-K38)/(1+'Major Assumption Key'!$B$8)^($F38-'Major Assumption Key'!$B$7)</f>
        <v>0</v>
      </c>
      <c r="S38" s="1155"/>
      <c r="T38" s="1165">
        <f t="shared" si="3"/>
        <v>0</v>
      </c>
      <c r="U38" s="1170">
        <f t="shared" si="4"/>
        <v>0</v>
      </c>
      <c r="V38" s="1171">
        <f t="shared" si="4"/>
        <v>0</v>
      </c>
      <c r="W38" s="1169">
        <f t="shared" si="4"/>
        <v>0</v>
      </c>
    </row>
    <row r="39" spans="6:23" ht="19.95" customHeight="1">
      <c r="F39" s="1162">
        <f>'Major Assumption Key'!$A51</f>
        <v>2052</v>
      </c>
      <c r="G39" s="1163">
        <f>_xlfn.XLOOKUP(F39,'VMT Reduction Supporting'!$A:$A,'VMT Reduction Supporting'!$H:$H,,0)</f>
        <v>145862.78712008221</v>
      </c>
      <c r="H39" s="1164"/>
      <c r="I39" s="1164"/>
      <c r="J39" s="1164"/>
      <c r="K39" s="1165">
        <f t="shared" si="1"/>
        <v>0</v>
      </c>
      <c r="L39" s="1166"/>
      <c r="M39" s="1164"/>
      <c r="N39" s="1164"/>
      <c r="O39" s="1164"/>
      <c r="P39" s="1167">
        <f t="shared" si="2"/>
        <v>0</v>
      </c>
      <c r="Q39" s="1168">
        <f t="shared" si="0"/>
        <v>0</v>
      </c>
      <c r="R39" s="1169">
        <f>(P39-K39)/(1+'Major Assumption Key'!$B$8)^($F39-'Major Assumption Key'!$B$7)</f>
        <v>0</v>
      </c>
      <c r="S39" s="1155"/>
      <c r="T39" s="1165">
        <f t="shared" si="3"/>
        <v>0</v>
      </c>
      <c r="U39" s="1170">
        <f t="shared" si="4"/>
        <v>0</v>
      </c>
      <c r="V39" s="1171">
        <f t="shared" si="4"/>
        <v>0</v>
      </c>
      <c r="W39" s="1169">
        <f t="shared" si="4"/>
        <v>0</v>
      </c>
    </row>
    <row r="40" spans="6:23" ht="19.95" customHeight="1">
      <c r="F40" s="1162">
        <f>'Major Assumption Key'!$A52</f>
        <v>2053</v>
      </c>
      <c r="G40" s="1163">
        <f>_xlfn.XLOOKUP(F40,'VMT Reduction Supporting'!$A:$A,'VMT Reduction Supporting'!$H:$H,,0)</f>
        <v>146828.08985721433</v>
      </c>
      <c r="H40" s="1164"/>
      <c r="I40" s="1164"/>
      <c r="J40" s="1164"/>
      <c r="K40" s="1165">
        <f t="shared" si="1"/>
        <v>0</v>
      </c>
      <c r="L40" s="1166"/>
      <c r="M40" s="1164"/>
      <c r="N40" s="1164"/>
      <c r="O40" s="1164"/>
      <c r="P40" s="1167">
        <f t="shared" si="2"/>
        <v>0</v>
      </c>
      <c r="Q40" s="1168">
        <f t="shared" si="0"/>
        <v>0</v>
      </c>
      <c r="R40" s="1169">
        <f>(P40-K40)/(1+'Major Assumption Key'!$B$8)^($F40-'Major Assumption Key'!$B$7)</f>
        <v>0</v>
      </c>
      <c r="S40" s="1155"/>
      <c r="T40" s="1165">
        <f t="shared" si="3"/>
        <v>0</v>
      </c>
      <c r="U40" s="1170">
        <f t="shared" si="4"/>
        <v>0</v>
      </c>
      <c r="V40" s="1171">
        <f t="shared" si="4"/>
        <v>0</v>
      </c>
      <c r="W40" s="1169">
        <f t="shared" si="4"/>
        <v>0</v>
      </c>
    </row>
    <row r="41" spans="6:23" ht="19.95" customHeight="1">
      <c r="F41" s="1162">
        <f>'Major Assumption Key'!$A53</f>
        <v>2054</v>
      </c>
      <c r="G41" s="1163">
        <f>_xlfn.XLOOKUP(F41,'VMT Reduction Supporting'!$A:$A,'VMT Reduction Supporting'!$H:$H,,0)</f>
        <v>147802.9953279389</v>
      </c>
      <c r="H41" s="1164"/>
      <c r="I41" s="1164"/>
      <c r="J41" s="1164"/>
      <c r="K41" s="1165">
        <f t="shared" si="1"/>
        <v>0</v>
      </c>
      <c r="L41" s="1166"/>
      <c r="M41" s="1164"/>
      <c r="N41" s="1164"/>
      <c r="O41" s="1164"/>
      <c r="P41" s="1167">
        <f t="shared" si="2"/>
        <v>0</v>
      </c>
      <c r="Q41" s="1168">
        <f t="shared" si="0"/>
        <v>0</v>
      </c>
      <c r="R41" s="1169">
        <f>(P41-K41)/(1+'Major Assumption Key'!$B$8)^($F41-'Major Assumption Key'!$B$7)</f>
        <v>0</v>
      </c>
      <c r="S41" s="1155"/>
      <c r="T41" s="1165">
        <f t="shared" si="3"/>
        <v>0</v>
      </c>
      <c r="U41" s="1170">
        <f t="shared" si="4"/>
        <v>0</v>
      </c>
      <c r="V41" s="1171">
        <f t="shared" si="4"/>
        <v>0</v>
      </c>
      <c r="W41" s="1169">
        <f t="shared" si="4"/>
        <v>0</v>
      </c>
    </row>
    <row r="42" spans="6:23" ht="19.95" customHeight="1">
      <c r="F42" s="1162">
        <f>'Major Assumption Key'!$A54</f>
        <v>2055</v>
      </c>
      <c r="G42" s="1163">
        <f>_xlfn.XLOOKUP(F42,'VMT Reduction Supporting'!$A:$A,'VMT Reduction Supporting'!$H:$H,,0)</f>
        <v>148787.62700858855</v>
      </c>
      <c r="H42" s="1164"/>
      <c r="I42" s="1164"/>
      <c r="J42" s="1164"/>
      <c r="K42" s="1165">
        <f t="shared" si="1"/>
        <v>0</v>
      </c>
      <c r="L42" s="1166"/>
      <c r="M42" s="1164"/>
      <c r="N42" s="1164"/>
      <c r="O42" s="1164"/>
      <c r="P42" s="1167">
        <f t="shared" si="2"/>
        <v>0</v>
      </c>
      <c r="Q42" s="1168">
        <f t="shared" si="0"/>
        <v>0</v>
      </c>
      <c r="R42" s="1169">
        <f>(P42-K42)/(1+'Major Assumption Key'!$B$8)^($F42-'Major Assumption Key'!$B$7)</f>
        <v>0</v>
      </c>
      <c r="S42" s="1155"/>
      <c r="T42" s="1165">
        <f t="shared" si="3"/>
        <v>0</v>
      </c>
      <c r="U42" s="1170">
        <f t="shared" si="4"/>
        <v>0</v>
      </c>
      <c r="V42" s="1171">
        <f t="shared" si="4"/>
        <v>0</v>
      </c>
      <c r="W42" s="1169">
        <f t="shared" si="4"/>
        <v>0</v>
      </c>
    </row>
    <row r="43" spans="6:23" ht="19.95" customHeight="1">
      <c r="F43" s="1162">
        <f>'Major Assumption Key'!$A55</f>
        <v>2056</v>
      </c>
      <c r="G43" s="1163">
        <f>_xlfn.XLOOKUP(F43,'VMT Reduction Supporting'!$A:$A,'VMT Reduction Supporting'!$H:$H,,0)</f>
        <v>149782.11012487757</v>
      </c>
      <c r="H43" s="1164"/>
      <c r="I43" s="1164"/>
      <c r="J43" s="1164"/>
      <c r="K43" s="1165">
        <f t="shared" si="1"/>
        <v>0</v>
      </c>
      <c r="L43" s="1166"/>
      <c r="M43" s="1164"/>
      <c r="N43" s="1164"/>
      <c r="O43" s="1164"/>
      <c r="P43" s="1167">
        <f t="shared" si="2"/>
        <v>0</v>
      </c>
      <c r="Q43" s="1168">
        <f t="shared" si="0"/>
        <v>0</v>
      </c>
      <c r="R43" s="1169">
        <f>(P43-K43)/(1+'Major Assumption Key'!$B$8)^($F43-'Major Assumption Key'!$B$7)</f>
        <v>0</v>
      </c>
      <c r="S43" s="1155"/>
      <c r="T43" s="1165">
        <f t="shared" si="3"/>
        <v>0</v>
      </c>
      <c r="U43" s="1170">
        <f t="shared" si="4"/>
        <v>0</v>
      </c>
      <c r="V43" s="1171">
        <f t="shared" si="4"/>
        <v>0</v>
      </c>
      <c r="W43" s="1169">
        <f t="shared" si="4"/>
        <v>0</v>
      </c>
    </row>
    <row r="44" spans="6:23" ht="19.95" customHeight="1">
      <c r="F44" s="1162">
        <f>'Major Assumption Key'!$A56</f>
        <v>2057</v>
      </c>
      <c r="G44" s="1163">
        <f>_xlfn.XLOOKUP(F44,'VMT Reduction Supporting'!$A:$A,'VMT Reduction Supporting'!$H:$H,,0)</f>
        <v>150786.57167741001</v>
      </c>
      <c r="H44" s="1164"/>
      <c r="I44" s="1164"/>
      <c r="J44" s="1164"/>
      <c r="K44" s="1165">
        <f t="shared" si="1"/>
        <v>0</v>
      </c>
      <c r="L44" s="1166"/>
      <c r="M44" s="1164"/>
      <c r="N44" s="1164"/>
      <c r="O44" s="1164"/>
      <c r="P44" s="1167">
        <f t="shared" si="2"/>
        <v>0</v>
      </c>
      <c r="Q44" s="1168">
        <f t="shared" si="0"/>
        <v>0</v>
      </c>
      <c r="R44" s="1169">
        <f>(P44-K44)/(1+'Major Assumption Key'!$B$8)^($F44-'Major Assumption Key'!$B$7)</f>
        <v>0</v>
      </c>
      <c r="S44" s="1155"/>
      <c r="T44" s="1165">
        <f t="shared" si="3"/>
        <v>0</v>
      </c>
      <c r="U44" s="1170">
        <f t="shared" si="4"/>
        <v>0</v>
      </c>
      <c r="V44" s="1171">
        <f t="shared" si="4"/>
        <v>0</v>
      </c>
      <c r="W44" s="1169">
        <f t="shared" si="4"/>
        <v>0</v>
      </c>
    </row>
    <row r="45" spans="6:23" ht="19.95" customHeight="1">
      <c r="F45" s="1162">
        <f>'Major Assumption Key'!$A57</f>
        <v>2058</v>
      </c>
      <c r="G45" s="1163">
        <f>_xlfn.XLOOKUP(F45,'VMT Reduction Supporting'!$A:$A,'VMT Reduction Supporting'!$H:$H,,0)</f>
        <v>151801.14046756295</v>
      </c>
      <c r="H45" s="1164"/>
      <c r="I45" s="1164"/>
      <c r="J45" s="1164"/>
      <c r="K45" s="1165">
        <f t="shared" si="1"/>
        <v>0</v>
      </c>
      <c r="L45" s="1166"/>
      <c r="M45" s="1164"/>
      <c r="N45" s="1164"/>
      <c r="O45" s="1164"/>
      <c r="P45" s="1167">
        <f t="shared" si="2"/>
        <v>0</v>
      </c>
      <c r="Q45" s="1168">
        <f t="shared" si="0"/>
        <v>0</v>
      </c>
      <c r="R45" s="1169">
        <f>(P45-K45)/(1+'Major Assumption Key'!$B$8)^($F45-'Major Assumption Key'!$B$7)</f>
        <v>0</v>
      </c>
      <c r="S45" s="1155"/>
      <c r="T45" s="1165">
        <f t="shared" si="3"/>
        <v>0</v>
      </c>
      <c r="U45" s="1170">
        <f t="shared" si="4"/>
        <v>0</v>
      </c>
      <c r="V45" s="1171">
        <f t="shared" si="4"/>
        <v>0</v>
      </c>
      <c r="W45" s="1169">
        <f t="shared" si="4"/>
        <v>0</v>
      </c>
    </row>
    <row r="46" spans="6:23" ht="19.95" customHeight="1">
      <c r="F46" s="1162">
        <f>'Major Assumption Key'!$A58</f>
        <v>2059</v>
      </c>
      <c r="G46" s="1163">
        <f>_xlfn.XLOOKUP(F46,'VMT Reduction Supporting'!$A:$A,'VMT Reduction Supporting'!$H:$H,,0)</f>
        <v>152825.94712374994</v>
      </c>
      <c r="H46" s="1164"/>
      <c r="I46" s="1164"/>
      <c r="J46" s="1164"/>
      <c r="K46" s="1165">
        <f t="shared" si="1"/>
        <v>0</v>
      </c>
      <c r="L46" s="1166"/>
      <c r="M46" s="1164"/>
      <c r="N46" s="1164"/>
      <c r="O46" s="1164"/>
      <c r="P46" s="1167">
        <f t="shared" si="2"/>
        <v>0</v>
      </c>
      <c r="Q46" s="1168">
        <f t="shared" si="0"/>
        <v>0</v>
      </c>
      <c r="R46" s="1169">
        <f>(P46-K46)/(1+'Major Assumption Key'!$B$8)^($F46-'Major Assumption Key'!$B$7)</f>
        <v>0</v>
      </c>
      <c r="S46" s="1155"/>
      <c r="T46" s="1165">
        <f t="shared" si="3"/>
        <v>0</v>
      </c>
      <c r="U46" s="1170">
        <f t="shared" si="4"/>
        <v>0</v>
      </c>
      <c r="V46" s="1171">
        <f t="shared" si="4"/>
        <v>0</v>
      </c>
      <c r="W46" s="1169">
        <f t="shared" si="4"/>
        <v>0</v>
      </c>
    </row>
    <row r="47" spans="6:23" ht="19.95" customHeight="1">
      <c r="F47" s="1162">
        <f>'Major Assumption Key'!$A59</f>
        <v>2060</v>
      </c>
      <c r="G47" s="1163">
        <f>_xlfn.XLOOKUP(F47,'VMT Reduction Supporting'!$A:$A,'VMT Reduction Supporting'!$H:$H,,0)</f>
        <v>153861.1241280706</v>
      </c>
      <c r="H47" s="1164"/>
      <c r="I47" s="1164"/>
      <c r="J47" s="1164"/>
      <c r="K47" s="1165">
        <f t="shared" si="1"/>
        <v>0</v>
      </c>
      <c r="L47" s="1166"/>
      <c r="M47" s="1164"/>
      <c r="N47" s="1164"/>
      <c r="O47" s="1164"/>
      <c r="P47" s="1167">
        <f t="shared" si="2"/>
        <v>0</v>
      </c>
      <c r="Q47" s="1168">
        <f t="shared" si="0"/>
        <v>0</v>
      </c>
      <c r="R47" s="1169">
        <f>(P47-K47)/(1+'Major Assumption Key'!$B$8)^($F47-'Major Assumption Key'!$B$7)</f>
        <v>0</v>
      </c>
      <c r="S47" s="1155"/>
      <c r="T47" s="1165">
        <f t="shared" si="3"/>
        <v>0</v>
      </c>
      <c r="U47" s="1170">
        <f t="shared" si="4"/>
        <v>0</v>
      </c>
      <c r="V47" s="1171">
        <f t="shared" si="4"/>
        <v>0</v>
      </c>
      <c r="W47" s="1169">
        <f t="shared" si="4"/>
        <v>0</v>
      </c>
    </row>
    <row r="48" spans="6:23" ht="19.95" customHeight="1" thickBot="1">
      <c r="F48" s="1517" t="s">
        <v>504</v>
      </c>
      <c r="G48" s="1518"/>
      <c r="H48" s="1519">
        <f>ROUND(SUM(H7:H47),-2)</f>
        <v>409700</v>
      </c>
      <c r="I48" s="1519">
        <f>ROUND(SUM(I7:I47),-2)</f>
        <v>13600</v>
      </c>
      <c r="J48" s="1518"/>
      <c r="K48" s="1520">
        <f>SUMIFS($K$7:$K$47,$F$7:$F$47,"&gt;="&amp;$B$17,$F$7:$F$47,"&lt;="&amp;$B$18)</f>
        <v>423220.43857418204</v>
      </c>
      <c r="L48" s="1518"/>
      <c r="M48" s="1519">
        <f>ROUND(SUM(M7:M47),-2)</f>
        <v>526500</v>
      </c>
      <c r="N48" s="1519">
        <f>ROUND(SUM(N7:N47),-2)</f>
        <v>17400</v>
      </c>
      <c r="O48" s="1518"/>
      <c r="P48" s="1521">
        <f>SUMIFS($P$7:$P$47,$F$7:$F$47,"&gt;="&amp;$B$17,$F$7:$F$47,"&lt;="&amp;$B$18)</f>
        <v>543923.93723005103</v>
      </c>
      <c r="Q48" s="1522">
        <f>SUMIFS($Q$7:$Q$47,$F$7:$F$47,"&gt;="&amp;$B$17,$F$7:$F$47,"&lt;="&amp;$B$18)</f>
        <v>120703.49865586901</v>
      </c>
      <c r="R48" s="1523">
        <f>SUMIFS($R$7:$R$47,$F$7:$F$47,"&gt;="&amp;$B$17,$F$7:$F$47,"&lt;="&amp;$B$18)</f>
        <v>75546.020214891236</v>
      </c>
      <c r="S48" s="1155"/>
      <c r="T48" s="1520">
        <f>ROUND(K48,-3)</f>
        <v>423000</v>
      </c>
      <c r="U48" s="1524">
        <f t="shared" si="4"/>
        <v>544000</v>
      </c>
      <c r="V48" s="1525">
        <f t="shared" si="4"/>
        <v>121000</v>
      </c>
      <c r="W48" s="1526">
        <f t="shared" si="4"/>
        <v>76000</v>
      </c>
    </row>
    <row r="49" spans="11:16" ht="19.95" customHeight="1">
      <c r="K49" s="1527"/>
      <c r="P49" s="1527"/>
    </row>
    <row r="50" spans="11:16" ht="19.95" customHeight="1"/>
    <row r="51" spans="11:16" ht="19.95" customHeight="1"/>
    <row r="52" spans="11:16" ht="19.95" customHeight="1"/>
    <row r="53" spans="11:16" ht="19.95" customHeight="1"/>
    <row r="54" spans="11:16" ht="19.95" customHeight="1"/>
    <row r="55" spans="11:16" ht="19.95" customHeight="1"/>
  </sheetData>
  <sheetProtection algorithmName="SHA-512" hashValue="bQ7Ux/NJyGTtlwtrDRd6BzWuH5RFXuu5kp9irf1bkINc7FZdHvo08S+zPn/4QAbjxoCua7+/1zz6BvNUhnogng==" saltValue="KL4k2wnVU2O3LKA5D4WQEA=="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196"/>
  <sheetViews>
    <sheetView workbookViewId="0">
      <selection sqref="A1:XFD1048576"/>
    </sheetView>
  </sheetViews>
  <sheetFormatPr defaultColWidth="8.77734375" defaultRowHeight="13.2"/>
  <cols>
    <col min="1" max="1" width="41.77734375" style="1013" bestFit="1" customWidth="1"/>
    <col min="2" max="2" width="24.77734375" style="1013" bestFit="1" customWidth="1"/>
    <col min="3" max="3" width="18.77734375" style="1013" customWidth="1"/>
    <col min="4" max="4" width="8.77734375" style="1013"/>
    <col min="5" max="5" width="24.44140625" style="1013" bestFit="1" customWidth="1"/>
    <col min="6" max="6" width="10.44140625" style="1013" bestFit="1" customWidth="1"/>
    <col min="7" max="16384" width="8.77734375" style="1013"/>
  </cols>
  <sheetData>
    <row r="1" spans="1:6" ht="14.4">
      <c r="A1" s="1128" t="s">
        <v>546</v>
      </c>
      <c r="B1" s="1129" t="s">
        <v>7208</v>
      </c>
      <c r="C1" s="1130"/>
      <c r="D1" s="1130"/>
      <c r="E1" s="1011"/>
      <c r="F1" s="1029"/>
    </row>
    <row r="2" spans="1:6" ht="13.8" thickBot="1"/>
    <row r="3" spans="1:6" ht="15" thickTop="1">
      <c r="A3" s="1131" t="s">
        <v>433</v>
      </c>
      <c r="B3" s="1132" t="s">
        <v>434</v>
      </c>
      <c r="C3" s="1133" t="s">
        <v>498</v>
      </c>
    </row>
    <row r="4" spans="1:6" ht="14.4">
      <c r="A4" s="1134" t="str">
        <f>'Major Assumption Key'!$A$3</f>
        <v>Project Open Year:</v>
      </c>
      <c r="B4" s="1135">
        <f>'Major Assumption Key'!$B$3</f>
        <v>2028</v>
      </c>
      <c r="C4" s="1136" t="s">
        <v>436</v>
      </c>
    </row>
    <row r="5" spans="1:6" ht="14.4">
      <c r="A5" s="1134" t="str">
        <f>'Major Assumption Key'!$A$4</f>
        <v>Planning Horizon Begin Year:</v>
      </c>
      <c r="B5" s="1135">
        <f>'Major Assumption Key'!$B$4</f>
        <v>2022</v>
      </c>
      <c r="C5" s="1136" t="s">
        <v>436</v>
      </c>
    </row>
    <row r="6" spans="1:6" ht="14.4">
      <c r="A6" s="1134" t="str">
        <f>'Major Assumption Key'!$A$6</f>
        <v>Planning Horizon End Year:</v>
      </c>
      <c r="B6" s="1135">
        <f>'Major Assumption Key'!$B$6</f>
        <v>2047</v>
      </c>
      <c r="C6" s="1136" t="s">
        <v>436</v>
      </c>
    </row>
    <row r="7" spans="1:6" ht="15" thickBot="1">
      <c r="A7" s="1134" t="s">
        <v>7190</v>
      </c>
      <c r="B7" s="1458">
        <v>260</v>
      </c>
      <c r="C7" s="1136" t="s">
        <v>7086</v>
      </c>
    </row>
    <row r="8" spans="1:6" ht="14.4">
      <c r="A8" s="1459" t="s">
        <v>7209</v>
      </c>
      <c r="B8" s="1460"/>
      <c r="C8" s="1461"/>
    </row>
    <row r="9" spans="1:6" ht="14.4">
      <c r="A9" s="1462" t="s">
        <v>7210</v>
      </c>
      <c r="B9" s="1248">
        <f>'BCA Guide - Parameter Values'!E231</f>
        <v>0.86</v>
      </c>
      <c r="C9" s="1463" t="s">
        <v>7211</v>
      </c>
    </row>
    <row r="10" spans="1:6" ht="15" thickBot="1">
      <c r="A10" s="1464" t="s">
        <v>7212</v>
      </c>
      <c r="B10" s="1465">
        <f>'Facility Improve - Ped'!B25</f>
        <v>0.48</v>
      </c>
      <c r="C10" s="1466" t="s">
        <v>1134</v>
      </c>
    </row>
    <row r="11" spans="1:6" ht="14.4">
      <c r="A11" s="1467" t="s">
        <v>7213</v>
      </c>
      <c r="B11" s="1468"/>
      <c r="C11" s="1469"/>
    </row>
    <row r="12" spans="1:6" ht="14.4">
      <c r="A12" s="1462" t="s">
        <v>7214</v>
      </c>
      <c r="B12" s="1248">
        <f>'BCA Guide - Parameter Values'!$E$232</f>
        <v>2.38</v>
      </c>
      <c r="C12" s="1463" t="s">
        <v>7211</v>
      </c>
    </row>
    <row r="13" spans="1:6" ht="15" thickBot="1">
      <c r="A13" s="1464" t="s">
        <v>7215</v>
      </c>
      <c r="B13" s="1470">
        <f>'Facility Improve - Bike'!B21</f>
        <v>0.48</v>
      </c>
      <c r="C13" s="1466" t="s">
        <v>1134</v>
      </c>
    </row>
    <row r="14" spans="1:6" ht="14.4">
      <c r="A14" s="1471" t="s">
        <v>7216</v>
      </c>
      <c r="B14" s="1472"/>
      <c r="C14" s="1136"/>
    </row>
    <row r="15" spans="1:6" ht="14.4">
      <c r="A15" s="1134" t="s">
        <v>7217</v>
      </c>
      <c r="B15" s="1248">
        <f>254476548/44914325</f>
        <v>5.6658214945899781</v>
      </c>
      <c r="C15" s="1463" t="s">
        <v>7218</v>
      </c>
    </row>
    <row r="16" spans="1:6" ht="15" thickBot="1">
      <c r="A16" s="1473" t="s">
        <v>7219</v>
      </c>
      <c r="B16" s="1474">
        <v>12.09</v>
      </c>
      <c r="C16" s="1475" t="s">
        <v>7220</v>
      </c>
    </row>
    <row r="17" spans="1:9" ht="13.8" thickTop="1"/>
    <row r="18" spans="1:9" ht="13.8" thickBot="1"/>
    <row r="19" spans="1:9">
      <c r="A19" s="1476"/>
      <c r="B19" s="2099" t="s">
        <v>7221</v>
      </c>
      <c r="C19" s="1848"/>
      <c r="D19" s="1849"/>
      <c r="E19" s="2099" t="s">
        <v>7222</v>
      </c>
      <c r="F19" s="1848"/>
      <c r="G19" s="1849"/>
      <c r="H19" s="2100" t="s">
        <v>7223</v>
      </c>
      <c r="I19" s="2101"/>
    </row>
    <row r="20" spans="1:9" s="1360" customFormat="1" ht="13.8" thickBot="1">
      <c r="A20" s="1477" t="s">
        <v>510</v>
      </c>
      <c r="B20" s="1478" t="s">
        <v>7209</v>
      </c>
      <c r="C20" s="1479" t="s">
        <v>7213</v>
      </c>
      <c r="D20" s="1480" t="s">
        <v>7216</v>
      </c>
      <c r="E20" s="1478" t="s">
        <v>7209</v>
      </c>
      <c r="F20" s="1479" t="s">
        <v>7213</v>
      </c>
      <c r="G20" s="1480" t="s">
        <v>7216</v>
      </c>
      <c r="H20" s="1481" t="s">
        <v>66</v>
      </c>
      <c r="I20" s="1482" t="s">
        <v>131</v>
      </c>
    </row>
    <row r="21" spans="1:9">
      <c r="A21" s="1137">
        <f>'Major Assumption Key'!A19</f>
        <v>2020</v>
      </c>
      <c r="B21" s="1138">
        <f>IFERROR(_xlfn.XLOOKUP(A21,'Pedestrian Demand'!A:A,'Pedestrian Demand'!B:B,,0)*IF($B$10&gt;$B$9,$B$9,$B$10)*$B$7,0)</f>
        <v>0</v>
      </c>
      <c r="C21" s="1139">
        <f>IFERROR(_xlfn.XLOOKUP(A21,'Bike Demand'!A:A,'Bike Demand'!$B:$B,,0)*$B$7*IF($B$13&gt;$B$12,$B$12,$B$13),0)</f>
        <v>0</v>
      </c>
      <c r="D21" s="1140">
        <f>_xlfn.XLOOKUP(A21,'Transit Demand'!A:A,'Transit Demand'!B:B,,0)*$B$15</f>
        <v>96511.603338845685</v>
      </c>
      <c r="E21" s="1138">
        <f>IFERROR((_xlfn.XLOOKUP(A21,'Pedestrian Demand'!A:A,'Pedestrian Demand'!B:B,,0)+_xlfn.XLOOKUP(A21,'Pedestrian Demand'!A:A,'Pedestrian Demand'!$D:$D,,0))*IF($B$10&gt;$B$9,$B$9,$B$10)*$B$7,0)</f>
        <v>0</v>
      </c>
      <c r="F21" s="1139">
        <f>IFERROR((_xlfn.XLOOKUP(A21,'Bike Demand'!A:A,'Bike Demand'!$B:$B,,0)+_xlfn.XLOOKUP(A21,'Bike Demand'!A:A,'Bike Demand'!$D:$D,,0))*$B$7*IF($B$13&gt;$B$12,$B$12,$B$13),0)</f>
        <v>0</v>
      </c>
      <c r="G21" s="1140">
        <f>_xlfn.XLOOKUP(A21,'Transit Demand'!A:A,'Transit Demand'!C:C,,0)*$B$15</f>
        <v>96511.603338845685</v>
      </c>
      <c r="H21" s="1141">
        <f>SUM(B21:D21)</f>
        <v>96511.603338845685</v>
      </c>
      <c r="I21" s="1142">
        <f>SUM(E21:G21)</f>
        <v>96511.603338845685</v>
      </c>
    </row>
    <row r="22" spans="1:9">
      <c r="A22" s="1137">
        <f>'Major Assumption Key'!A20</f>
        <v>2021</v>
      </c>
      <c r="B22" s="1138">
        <f>IFERROR(_xlfn.XLOOKUP(A22,'Pedestrian Demand'!A:A,'Pedestrian Demand'!B:B,,0)*IF($B$10&gt;$B$9,$B$9,$B$10)*$B$7,0)</f>
        <v>21715.200000000001</v>
      </c>
      <c r="C22" s="1139">
        <f>IFERROR(_xlfn.XLOOKUP(A22,'Bike Demand'!A:A,'Bike Demand'!$B:$B,,0)*$B$7*IF($B$13&gt;$B$12,$B$12,$B$13),0)</f>
        <v>1497.6</v>
      </c>
      <c r="D22" s="1140">
        <f>_xlfn.XLOOKUP(A22,'Transit Demand'!A:A,'Transit Demand'!B:B,,0)*$B$15</f>
        <v>96888.396873570222</v>
      </c>
      <c r="E22" s="1138">
        <f>IFERROR((_xlfn.XLOOKUP(A22,'Pedestrian Demand'!A:A,'Pedestrian Demand'!B:B,,0)+_xlfn.XLOOKUP(A22,'Pedestrian Demand'!A:A,'Pedestrian Demand'!$D:$D,,0))*IF($B$10&gt;$B$9,$B$9,$B$10)*$B$7,0)</f>
        <v>21715.200000000001</v>
      </c>
      <c r="F22" s="1139">
        <f>IFERROR((_xlfn.XLOOKUP(A22,'Bike Demand'!A:A,'Bike Demand'!$B:$B,,0)+_xlfn.XLOOKUP(A22,'Bike Demand'!A:A,'Bike Demand'!$D:$D,,0))*$B$7*IF($B$13&gt;$B$12,$B$12,$B$13),0)</f>
        <v>20467.2</v>
      </c>
      <c r="G22" s="1140">
        <f>_xlfn.XLOOKUP(A22,'Transit Demand'!A:A,'Transit Demand'!C:C,,0)*$B$15</f>
        <v>96888.396873570222</v>
      </c>
      <c r="H22" s="1141">
        <f t="shared" ref="H22:H61" si="0">SUM(B22:D22)</f>
        <v>120101.19687357022</v>
      </c>
      <c r="I22" s="1142">
        <f t="shared" ref="I22:I61" si="1">SUM(E22:G22)</f>
        <v>139070.79687357022</v>
      </c>
    </row>
    <row r="23" spans="1:9">
      <c r="A23" s="1137">
        <f>'Major Assumption Key'!A21</f>
        <v>2022</v>
      </c>
      <c r="B23" s="1138">
        <f>IFERROR(_xlfn.XLOOKUP(A23,'Pedestrian Demand'!A:A,'Pedestrian Demand'!B:B,,0)*IF($B$10&gt;$B$9,$B$9,$B$10)*$B$7,0)</f>
        <v>22035.251755041707</v>
      </c>
      <c r="C23" s="1139">
        <f>IFERROR(_xlfn.XLOOKUP(A23,'Bike Demand'!A:A,'Bike Demand'!$B:$B,,0)*$B$7*IF($B$13&gt;$B$12,$B$12,$B$13),0)</f>
        <v>1519.6725348304624</v>
      </c>
      <c r="D23" s="1140">
        <f>_xlfn.XLOOKUP(A23,'Transit Demand'!A:A,'Transit Demand'!B:B,,0)*$B$15</f>
        <v>97266.661458022441</v>
      </c>
      <c r="E23" s="1138">
        <f>IFERROR((_xlfn.XLOOKUP(A23,'Pedestrian Demand'!A:A,'Pedestrian Demand'!B:B,,0)+_xlfn.XLOOKUP(A23,'Pedestrian Demand'!A:A,'Pedestrian Demand'!$D:$D,,0))*IF($B$10&gt;$B$9,$B$9,$B$10)*$B$7,0)</f>
        <v>22035.251755041707</v>
      </c>
      <c r="F23" s="1139">
        <f>IFERROR((_xlfn.XLOOKUP(A23,'Bike Demand'!A:A,'Bike Demand'!$B:$B,,0)+_xlfn.XLOOKUP(A23,'Bike Demand'!A:A,'Bike Demand'!$D:$D,,0))*$B$7*IF($B$13&gt;$B$12,$B$12,$B$13),0)</f>
        <v>20768.857976016319</v>
      </c>
      <c r="G23" s="1140">
        <f>_xlfn.XLOOKUP(A23,'Transit Demand'!A:A,'Transit Demand'!C:C,,0)*$B$15</f>
        <v>97266.661458022441</v>
      </c>
      <c r="H23" s="1141">
        <f t="shared" si="0"/>
        <v>120821.58574789461</v>
      </c>
      <c r="I23" s="1142">
        <f t="shared" si="1"/>
        <v>140070.77118908046</v>
      </c>
    </row>
    <row r="24" spans="1:9">
      <c r="A24" s="1137">
        <f>'Major Assumption Key'!A22</f>
        <v>2023</v>
      </c>
      <c r="B24" s="1138">
        <f>IFERROR(_xlfn.XLOOKUP(A24,'Pedestrian Demand'!A:A,'Pedestrian Demand'!B:B,,0)*IF($B$10&gt;$B$9,$B$9,$B$10)*$B$7,0)</f>
        <v>22360.02062647678</v>
      </c>
      <c r="C24" s="1139">
        <f>IFERROR(_xlfn.XLOOKUP(A24,'Bike Demand'!A:A,'Bike Demand'!$B:$B,,0)*$B$7*IF($B$13&gt;$B$12,$B$12,$B$13),0)</f>
        <v>1542.0703880328815</v>
      </c>
      <c r="D24" s="1140">
        <f>_xlfn.XLOOKUP(A24,'Transit Demand'!A:A,'Transit Demand'!B:B,,0)*$B$15</f>
        <v>97646.402835367</v>
      </c>
      <c r="E24" s="1138">
        <f>IFERROR((_xlfn.XLOOKUP(A24,'Pedestrian Demand'!A:A,'Pedestrian Demand'!B:B,,0)+_xlfn.XLOOKUP(A24,'Pedestrian Demand'!A:A,'Pedestrian Demand'!$D:$D,,0))*IF($B$10&gt;$B$9,$B$9,$B$10)*$B$7,0)</f>
        <v>22360.02062647678</v>
      </c>
      <c r="F24" s="1139">
        <f>IFERROR((_xlfn.XLOOKUP(A24,'Bike Demand'!A:A,'Bike Demand'!$B:$B,,0)+_xlfn.XLOOKUP(A24,'Bike Demand'!A:A,'Bike Demand'!$D:$D,,0))*$B$7*IF($B$13&gt;$B$12,$B$12,$B$13),0)</f>
        <v>21074.961969782711</v>
      </c>
      <c r="G24" s="1140">
        <f>_xlfn.XLOOKUP(A24,'Transit Demand'!A:A,'Transit Demand'!C:C,,0)*$B$15</f>
        <v>97646.402835367</v>
      </c>
      <c r="H24" s="1141">
        <f t="shared" si="0"/>
        <v>121548.49384987666</v>
      </c>
      <c r="I24" s="1142">
        <f t="shared" si="1"/>
        <v>141081.38543162649</v>
      </c>
    </row>
    <row r="25" spans="1:9">
      <c r="A25" s="1137">
        <f>'Major Assumption Key'!A23</f>
        <v>2024</v>
      </c>
      <c r="B25" s="1138">
        <f>IFERROR(_xlfn.XLOOKUP(A25,'Pedestrian Demand'!A:A,'Pedestrian Demand'!B:B,,0)*IF($B$10&gt;$B$9,$B$9,$B$10)*$B$7,0)</f>
        <v>22689.576138020431</v>
      </c>
      <c r="C25" s="1139">
        <f>IFERROR(_xlfn.XLOOKUP(A25,'Bike Demand'!A:A,'Bike Demand'!$B:$B,,0)*$B$7*IF($B$13&gt;$B$12,$B$12,$B$13),0)</f>
        <v>1564.7983543462365</v>
      </c>
      <c r="D25" s="1140">
        <f>_xlfn.XLOOKUP(A25,'Transit Demand'!A:A,'Transit Demand'!B:B,,0)*$B$15</f>
        <v>98027.626771190538</v>
      </c>
      <c r="E25" s="1138">
        <f>IFERROR((_xlfn.XLOOKUP(A25,'Pedestrian Demand'!A:A,'Pedestrian Demand'!B:B,,0)+_xlfn.XLOOKUP(A25,'Pedestrian Demand'!A:A,'Pedestrian Demand'!$D:$D,,0))*IF($B$10&gt;$B$9,$B$9,$B$10)*$B$7,0)</f>
        <v>22689.576138020431</v>
      </c>
      <c r="F25" s="1139">
        <f>IFERROR((_xlfn.XLOOKUP(A25,'Bike Demand'!A:A,'Bike Demand'!$B:$B,,0)+_xlfn.XLOOKUP(A25,'Bike Demand'!A:A,'Bike Demand'!$D:$D,,0))*$B$7*IF($B$13&gt;$B$12,$B$12,$B$13),0)</f>
        <v>21385.577509398565</v>
      </c>
      <c r="G25" s="1140">
        <f>_xlfn.XLOOKUP(A25,'Transit Demand'!A:A,'Transit Demand'!C:C,,0)*$B$15</f>
        <v>98027.626771190538</v>
      </c>
      <c r="H25" s="1141">
        <f t="shared" si="0"/>
        <v>122282.00126355721</v>
      </c>
      <c r="I25" s="1142">
        <f t="shared" si="1"/>
        <v>142102.78041860953</v>
      </c>
    </row>
    <row r="26" spans="1:9">
      <c r="A26" s="1137">
        <f>'Major Assumption Key'!A24</f>
        <v>2025</v>
      </c>
      <c r="B26" s="1138">
        <f>IFERROR(_xlfn.XLOOKUP(A26,'Pedestrian Demand'!A:A,'Pedestrian Demand'!B:B,,0)*IF($B$10&gt;$B$9,$B$9,$B$10)*$B$7,0)</f>
        <v>23023.988838070436</v>
      </c>
      <c r="C26" s="1139">
        <f>IFERROR(_xlfn.XLOOKUP(A26,'Bike Demand'!A:A,'Bike Demand'!$B:$B,,0)*$B$7*IF($B$13&gt;$B$12,$B$12,$B$13),0)</f>
        <v>1587.8612991772713</v>
      </c>
      <c r="D26" s="1140">
        <f>_xlfn.XLOOKUP(A26,'Transit Demand'!A:A,'Transit Demand'!B:B,,0)*$B$15</f>
        <v>98410.339053589312</v>
      </c>
      <c r="E26" s="1138">
        <f>IFERROR((_xlfn.XLOOKUP(A26,'Pedestrian Demand'!A:A,'Pedestrian Demand'!B:B,,0)+_xlfn.XLOOKUP(A26,'Pedestrian Demand'!A:A,'Pedestrian Demand'!$D:$D,,0))*IF($B$10&gt;$B$9,$B$9,$B$10)*$B$7,0)</f>
        <v>23023.988838070436</v>
      </c>
      <c r="F26" s="1139">
        <f>IFERROR((_xlfn.XLOOKUP(A26,'Bike Demand'!A:A,'Bike Demand'!$B:$B,,0)+_xlfn.XLOOKUP(A26,'Bike Demand'!A:A,'Bike Demand'!$D:$D,,0))*$B$7*IF($B$13&gt;$B$12,$B$12,$B$13),0)</f>
        <v>21700.771088756042</v>
      </c>
      <c r="G26" s="1140">
        <f>_xlfn.XLOOKUP(A26,'Transit Demand'!A:A,'Transit Demand'!C:C,,0)*$B$15</f>
        <v>98410.339053589312</v>
      </c>
      <c r="H26" s="1141">
        <f t="shared" si="0"/>
        <v>123022.18919083702</v>
      </c>
      <c r="I26" s="1142">
        <f t="shared" si="1"/>
        <v>143135.09898041579</v>
      </c>
    </row>
    <row r="27" spans="1:9">
      <c r="A27" s="1137">
        <f>'Major Assumption Key'!A25</f>
        <v>2026</v>
      </c>
      <c r="B27" s="1138">
        <f>IFERROR(_xlfn.XLOOKUP(A27,'Pedestrian Demand'!A:A,'Pedestrian Demand'!B:B,,0)*IF($B$10&gt;$B$9,$B$9,$B$10)*$B$7,0)</f>
        <v>23363.33031480954</v>
      </c>
      <c r="C27" s="1139">
        <f>IFERROR(_xlfn.XLOOKUP(A27,'Bike Demand'!A:A,'Bike Demand'!$B:$B,,0)*$B$7*IF($B$13&gt;$B$12,$B$12,$B$13),0)</f>
        <v>1611.2641596420378</v>
      </c>
      <c r="D27" s="1140">
        <f>_xlfn.XLOOKUP(A27,'Transit Demand'!A:A,'Transit Demand'!B:B,,0)*$B$15</f>
        <v>98794.545493257043</v>
      </c>
      <c r="E27" s="1138">
        <f>IFERROR((_xlfn.XLOOKUP(A27,'Pedestrian Demand'!A:A,'Pedestrian Demand'!B:B,,0)+_xlfn.XLOOKUP(A27,'Pedestrian Demand'!A:A,'Pedestrian Demand'!$D:$D,,0))*IF($B$10&gt;$B$9,$B$9,$B$10)*$B$7,0)</f>
        <v>23363.33031480954</v>
      </c>
      <c r="F27" s="1139">
        <f>IFERROR((_xlfn.XLOOKUP(A27,'Bike Demand'!A:A,'Bike Demand'!$B:$B,,0)+_xlfn.XLOOKUP(A27,'Bike Demand'!A:A,'Bike Demand'!$D:$D,,0))*$B$7*IF($B$13&gt;$B$12,$B$12,$B$13),0)</f>
        <v>22020.610181774511</v>
      </c>
      <c r="G27" s="1140">
        <f>_xlfn.XLOOKUP(A27,'Transit Demand'!A:A,'Transit Demand'!C:C,,0)*$B$15</f>
        <v>98794.545493257043</v>
      </c>
      <c r="H27" s="1141">
        <f t="shared" si="0"/>
        <v>123769.13996770862</v>
      </c>
      <c r="I27" s="1142">
        <f t="shared" si="1"/>
        <v>144178.48598984111</v>
      </c>
    </row>
    <row r="28" spans="1:9">
      <c r="A28" s="1137">
        <f>'Major Assumption Key'!A26</f>
        <v>2027</v>
      </c>
      <c r="B28" s="1138">
        <f>IFERROR(_xlfn.XLOOKUP(A28,'Pedestrian Demand'!A:A,'Pedestrian Demand'!B:B,,0)*IF($B$10&gt;$B$9,$B$9,$B$10)*$B$7,0)</f>
        <v>23707.673211530451</v>
      </c>
      <c r="C28" s="1139">
        <f>IFERROR(_xlfn.XLOOKUP(A28,'Bike Demand'!A:A,'Bike Demand'!$B:$B,,0)*$B$7*IF($B$13&gt;$B$12,$B$12,$B$13),0)</f>
        <v>1635.0119456227901</v>
      </c>
      <c r="D28" s="1140">
        <f>_xlfn.XLOOKUP(A28,'Transit Demand'!A:A,'Transit Demand'!B:B,,0)*$B$15</f>
        <v>99180.251923573145</v>
      </c>
      <c r="E28" s="1138">
        <f>IFERROR((_xlfn.XLOOKUP(A28,'Pedestrian Demand'!A:A,'Pedestrian Demand'!B:B,,0)+_xlfn.XLOOKUP(A28,'Pedestrian Demand'!A:A,'Pedestrian Demand'!$D:$D,,0))*IF($B$10&gt;$B$9,$B$9,$B$10)*$B$7,0)</f>
        <v>23707.673211530451</v>
      </c>
      <c r="F28" s="1139">
        <f>IFERROR((_xlfn.XLOOKUP(A28,'Bike Demand'!A:A,'Bike Demand'!$B:$B,,0)+_xlfn.XLOOKUP(A28,'Bike Demand'!A:A,'Bike Demand'!$D:$D,,0))*$B$7*IF($B$13&gt;$B$12,$B$12,$B$13),0)</f>
        <v>22345.163256844789</v>
      </c>
      <c r="G28" s="1140">
        <f>_xlfn.XLOOKUP(A28,'Transit Demand'!A:A,'Transit Demand'!C:C,,0)*$B$15</f>
        <v>99180.251923573145</v>
      </c>
      <c r="H28" s="1141">
        <f t="shared" si="0"/>
        <v>124522.93708072639</v>
      </c>
      <c r="I28" s="1142">
        <f t="shared" si="1"/>
        <v>145233.08839194837</v>
      </c>
    </row>
    <row r="29" spans="1:9">
      <c r="A29" s="1137">
        <f>'Major Assumption Key'!A27</f>
        <v>2028</v>
      </c>
      <c r="B29" s="1138">
        <f>IFERROR(_xlfn.XLOOKUP(A29,'Pedestrian Demand'!A:A,'Pedestrian Demand'!B:B,,0)*IF($B$10&gt;$B$9,$B$9,$B$10)*$B$7,0)</f>
        <v>24057.091242186652</v>
      </c>
      <c r="C29" s="1139">
        <f>IFERROR(_xlfn.XLOOKUP(A29,'Bike Demand'!A:A,'Bike Demand'!$B:$B,,0)*$B$7*IF($B$13&gt;$B$12,$B$12,$B$13),0)</f>
        <v>1659.1097408404594</v>
      </c>
      <c r="D29" s="1140">
        <f>_xlfn.XLOOKUP(A29,'Transit Demand'!A:A,'Transit Demand'!B:B,,0)*$B$15</f>
        <v>99567.464200691262</v>
      </c>
      <c r="E29" s="1138">
        <f>IFERROR((_xlfn.XLOOKUP(A29,'Pedestrian Demand'!A:A,'Pedestrian Demand'!B:B,,0)+_xlfn.XLOOKUP(A29,'Pedestrian Demand'!A:A,'Pedestrian Demand'!$D:$D,,0))*IF($B$10&gt;$B$9,$B$9,$B$10)*$B$7,0)</f>
        <v>24419.06426582468</v>
      </c>
      <c r="F29" s="1139">
        <f>IFERROR((_xlfn.XLOOKUP(A29,'Bike Demand'!A:A,'Bike Demand'!$B:$B,,0)+_xlfn.XLOOKUP(A29,'Bike Demand'!A:A,'Bike Demand'!$D:$D,,0))*$B$7*IF($B$13&gt;$B$12,$B$12,$B$13),0)</f>
        <v>22674.499791486269</v>
      </c>
      <c r="G29" s="1140">
        <f>_xlfn.XLOOKUP(A29,'Transit Demand'!A:A,'Transit Demand'!C:C,,0)*$B$15</f>
        <v>112411.66708258043</v>
      </c>
      <c r="H29" s="1141">
        <f t="shared" si="0"/>
        <v>125283.66518371837</v>
      </c>
      <c r="I29" s="1142">
        <f t="shared" si="1"/>
        <v>159505.23113989137</v>
      </c>
    </row>
    <row r="30" spans="1:9">
      <c r="A30" s="1137">
        <f>'Major Assumption Key'!A28</f>
        <v>2029</v>
      </c>
      <c r="B30" s="1138">
        <f>IFERROR(_xlfn.XLOOKUP(A30,'Pedestrian Demand'!A:A,'Pedestrian Demand'!B:B,,0)*IF($B$10&gt;$B$9,$B$9,$B$10)*$B$7,0)</f>
        <v>24411.659207172481</v>
      </c>
      <c r="C30" s="1139">
        <f>IFERROR(_xlfn.XLOOKUP(A30,'Bike Demand'!A:A,'Bike Demand'!$B:$B,,0)*$B$7*IF($B$13&gt;$B$12,$B$12,$B$13),0)</f>
        <v>1683.5627039429303</v>
      </c>
      <c r="D30" s="1140">
        <f>_xlfn.XLOOKUP(A30,'Transit Demand'!A:A,'Transit Demand'!B:B,,0)*$B$15</f>
        <v>99956.18820362819</v>
      </c>
      <c r="E30" s="1138">
        <f>IFERROR((_xlfn.XLOOKUP(A30,'Pedestrian Demand'!A:A,'Pedestrian Demand'!B:B,,0)+_xlfn.XLOOKUP(A30,'Pedestrian Demand'!A:A,'Pedestrian Demand'!$D:$D,,0))*IF($B$10&gt;$B$9,$B$9,$B$10)*$B$7,0)</f>
        <v>24774.061722553986</v>
      </c>
      <c r="F30" s="1139">
        <f>IFERROR((_xlfn.XLOOKUP(A30,'Bike Demand'!A:A,'Bike Demand'!$B:$B,,0)+_xlfn.XLOOKUP(A30,'Bike Demand'!A:A,'Bike Demand'!$D:$D,,0))*$B$7*IF($B$13&gt;$B$12,$B$12,$B$13),0)</f>
        <v>23008.690287220044</v>
      </c>
      <c r="G30" s="1140">
        <f>_xlfn.XLOOKUP(A30,'Transit Demand'!A:A,'Transit Demand'!C:C,,0)*$B$15</f>
        <v>112850.53648189623</v>
      </c>
      <c r="H30" s="1141">
        <f t="shared" si="0"/>
        <v>126051.4101147436</v>
      </c>
      <c r="I30" s="1142">
        <f t="shared" si="1"/>
        <v>160633.28849167028</v>
      </c>
    </row>
    <row r="31" spans="1:9">
      <c r="A31" s="1137">
        <f>'Major Assumption Key'!A29</f>
        <v>2030</v>
      </c>
      <c r="B31" s="1138">
        <f>IFERROR(_xlfn.XLOOKUP(A31,'Pedestrian Demand'!A:A,'Pedestrian Demand'!B:B,,0)*IF($B$10&gt;$B$9,$B$9,$B$10)*$B$7,0)</f>
        <v>24771.453009335743</v>
      </c>
      <c r="C31" s="1139">
        <f>IFERROR(_xlfn.XLOOKUP(A31,'Bike Demand'!A:A,'Bike Demand'!$B:$B,,0)*$B$7*IF($B$13&gt;$B$12,$B$12,$B$13),0)</f>
        <v>1708.376069609362</v>
      </c>
      <c r="D31" s="1140">
        <f>_xlfn.XLOOKUP(A31,'Transit Demand'!A:A,'Transit Demand'!B:B,,0)*$B$15</f>
        <v>100346.42983435321</v>
      </c>
      <c r="E31" s="1138">
        <f>IFERROR((_xlfn.XLOOKUP(A31,'Pedestrian Demand'!A:A,'Pedestrian Demand'!B:B,,0)+_xlfn.XLOOKUP(A31,'Pedestrian Demand'!A:A,'Pedestrian Demand'!$D:$D,,0))*IF($B$10&gt;$B$9,$B$9,$B$10)*$B$7,0)</f>
        <v>25134.285526065429</v>
      </c>
      <c r="F31" s="1139">
        <f>IFERROR((_xlfn.XLOOKUP(A31,'Bike Demand'!A:A,'Bike Demand'!$B:$B,,0)+_xlfn.XLOOKUP(A31,'Bike Demand'!A:A,'Bike Demand'!$D:$D,,0))*$B$7*IF($B$13&gt;$B$12,$B$12,$B$13),0)</f>
        <v>23347.806284661274</v>
      </c>
      <c r="G31" s="1140">
        <f>_xlfn.XLOOKUP(A31,'Transit Demand'!A:A,'Transit Demand'!C:C,,0)*$B$15</f>
        <v>113291.11928298477</v>
      </c>
      <c r="H31" s="1141">
        <f t="shared" si="0"/>
        <v>126826.25891329831</v>
      </c>
      <c r="I31" s="1142">
        <f t="shared" si="1"/>
        <v>161773.21109371149</v>
      </c>
    </row>
    <row r="32" spans="1:9">
      <c r="A32" s="1137">
        <f>'Major Assumption Key'!A30</f>
        <v>2031</v>
      </c>
      <c r="B32" s="1138">
        <f>IFERROR(_xlfn.XLOOKUP(A32,'Pedestrian Demand'!A:A,'Pedestrian Demand'!B:B,,0)*IF($B$10&gt;$B$9,$B$9,$B$10)*$B$7,0)</f>
        <v>25136.549670226323</v>
      </c>
      <c r="C32" s="1139">
        <f>IFERROR(_xlfn.XLOOKUP(A32,'Bike Demand'!A:A,'Bike Demand'!$B:$B,,0)*$B$7*IF($B$13&gt;$B$12,$B$12,$B$13),0)</f>
        <v>1733.555149670781</v>
      </c>
      <c r="D32" s="1140">
        <f>_xlfn.XLOOKUP(A32,'Transit Demand'!A:A,'Transit Demand'!B:B,,0)*$B$15</f>
        <v>100738.19501787757</v>
      </c>
      <c r="E32" s="1138">
        <f>IFERROR((_xlfn.XLOOKUP(A32,'Pedestrian Demand'!A:A,'Pedestrian Demand'!B:B,,0)+_xlfn.XLOOKUP(A32,'Pedestrian Demand'!A:A,'Pedestrian Demand'!$D:$D,,0))*IF($B$10&gt;$B$9,$B$9,$B$10)*$B$7,0)</f>
        <v>25499.812698513557</v>
      </c>
      <c r="F32" s="1139">
        <f>IFERROR((_xlfn.XLOOKUP(A32,'Bike Demand'!A:A,'Bike Demand'!$B:$B,,0)+_xlfn.XLOOKUP(A32,'Bike Demand'!A:A,'Bike Demand'!$D:$D,,0))*$B$7*IF($B$13&gt;$B$12,$B$12,$B$13),0)</f>
        <v>23691.920378833998</v>
      </c>
      <c r="G32" s="1140">
        <f>_xlfn.XLOOKUP(A32,'Transit Demand'!A:A,'Transit Demand'!C:C,,0)*$B$15</f>
        <v>113733.42217518379</v>
      </c>
      <c r="H32" s="1141">
        <f t="shared" si="0"/>
        <v>127608.29983777468</v>
      </c>
      <c r="I32" s="1142">
        <f t="shared" si="1"/>
        <v>162925.15525253135</v>
      </c>
    </row>
    <row r="33" spans="1:9">
      <c r="A33" s="1137">
        <f>'Major Assumption Key'!A31</f>
        <v>2032</v>
      </c>
      <c r="B33" s="1138">
        <f>IFERROR(_xlfn.XLOOKUP(A33,'Pedestrian Demand'!A:A,'Pedestrian Demand'!B:B,,0)*IF($B$10&gt;$B$9,$B$9,$B$10)*$B$7,0)</f>
        <v>25507.027346584309</v>
      </c>
      <c r="C33" s="1139">
        <f>IFERROR(_xlfn.XLOOKUP(A33,'Bike Demand'!A:A,'Bike Demand'!$B:$B,,0)*$B$7*IF($B$13&gt;$B$12,$B$12,$B$13),0)</f>
        <v>1759.1053342471942</v>
      </c>
      <c r="D33" s="1140">
        <f>_xlfn.XLOOKUP(A33,'Transit Demand'!A:A,'Transit Demand'!B:B,,0)*$B$15</f>
        <v>101131.48970234458</v>
      </c>
      <c r="E33" s="1138">
        <f>IFERROR((_xlfn.XLOOKUP(A33,'Pedestrian Demand'!A:A,'Pedestrian Demand'!B:B,,0)+_xlfn.XLOOKUP(A33,'Pedestrian Demand'!A:A,'Pedestrian Demand'!$D:$D,,0))*IF($B$10&gt;$B$9,$B$9,$B$10)*$B$7,0)</f>
        <v>25870.721397243851</v>
      </c>
      <c r="F33" s="1139">
        <f>IFERROR((_xlfn.XLOOKUP(A33,'Bike Demand'!A:A,'Bike Demand'!$B:$B,,0)+_xlfn.XLOOKUP(A33,'Bike Demand'!A:A,'Bike Demand'!$D:$D,,0))*$B$7*IF($B$13&gt;$B$12,$B$12,$B$13),0)</f>
        <v>24041.106234711646</v>
      </c>
      <c r="G33" s="1140">
        <f>_xlfn.XLOOKUP(A33,'Transit Demand'!A:A,'Transit Demand'!C:C,,0)*$B$15</f>
        <v>114177.45187394704</v>
      </c>
      <c r="H33" s="1141">
        <f t="shared" si="0"/>
        <v>128397.62238317609</v>
      </c>
      <c r="I33" s="1142">
        <f t="shared" si="1"/>
        <v>164089.27950590255</v>
      </c>
    </row>
    <row r="34" spans="1:9">
      <c r="A34" s="1137">
        <f>'Major Assumption Key'!A32</f>
        <v>2033</v>
      </c>
      <c r="B34" s="1138">
        <f>IFERROR(_xlfn.XLOOKUP(A34,'Pedestrian Demand'!A:A,'Pedestrian Demand'!B:B,,0)*IF($B$10&gt;$B$9,$B$9,$B$10)*$B$7,0)</f>
        <v>25882.965347071113</v>
      </c>
      <c r="C34" s="1139">
        <f>IFERROR(_xlfn.XLOOKUP(A34,'Bike Demand'!A:A,'Bike Demand'!$B:$B,,0)*$B$7*IF($B$13&gt;$B$12,$B$12,$B$13),0)</f>
        <v>1785.0320929014565</v>
      </c>
      <c r="D34" s="1140">
        <f>_xlfn.XLOOKUP(A34,'Transit Demand'!A:A,'Transit Demand'!B:B,,0)*$B$15</f>
        <v>101526.31985911982</v>
      </c>
      <c r="E34" s="1138">
        <f>IFERROR((_xlfn.XLOOKUP(A34,'Pedestrian Demand'!A:A,'Pedestrian Demand'!B:B,,0)+_xlfn.XLOOKUP(A34,'Pedestrian Demand'!A:A,'Pedestrian Demand'!$D:$D,,0))*IF($B$10&gt;$B$9,$B$9,$B$10)*$B$7,0)</f>
        <v>26247.09093152381</v>
      </c>
      <c r="F34" s="1139">
        <f>IFERROR((_xlfn.XLOOKUP(A34,'Bike Demand'!A:A,'Bike Demand'!$B:$B,,0)+_xlfn.XLOOKUP(A34,'Bike Demand'!A:A,'Bike Demand'!$D:$D,,0))*$B$7*IF($B$13&gt;$B$12,$B$12,$B$13),0)</f>
        <v>24395.438602986567</v>
      </c>
      <c r="G34" s="1140">
        <f>_xlfn.XLOOKUP(A34,'Transit Demand'!A:A,'Transit Demand'!C:C,,0)*$B$15</f>
        <v>114623.21512094629</v>
      </c>
      <c r="H34" s="1141">
        <f t="shared" si="0"/>
        <v>129194.31729909239</v>
      </c>
      <c r="I34" s="1142">
        <f t="shared" si="1"/>
        <v>165265.74465545668</v>
      </c>
    </row>
    <row r="35" spans="1:9">
      <c r="A35" s="1137">
        <f>'Major Assumption Key'!A33</f>
        <v>2034</v>
      </c>
      <c r="B35" s="1138">
        <f>IFERROR(_xlfn.XLOOKUP(A35,'Pedestrian Demand'!A:A,'Pedestrian Demand'!B:B,,0)*IF($B$10&gt;$B$9,$B$9,$B$10)*$B$7,0)</f>
        <v>26264.444149247185</v>
      </c>
      <c r="C35" s="1139">
        <f>IFERROR(_xlfn.XLOOKUP(A35,'Bike Demand'!A:A,'Bike Demand'!$B:$B,,0)*$B$7*IF($B$13&gt;$B$12,$B$12,$B$13),0)</f>
        <v>1811.3409758101511</v>
      </c>
      <c r="D35" s="1140">
        <f>_xlfn.XLOOKUP(A35,'Transit Demand'!A:A,'Transit Demand'!B:B,,0)*$B$15</f>
        <v>101922.69148288181</v>
      </c>
      <c r="E35" s="1138">
        <f>IFERROR((_xlfn.XLOOKUP(A35,'Pedestrian Demand'!A:A,'Pedestrian Demand'!B:B,,0)+_xlfn.XLOOKUP(A35,'Pedestrian Demand'!A:A,'Pedestrian Demand'!$D:$D,,0))*IF($B$10&gt;$B$9,$B$9,$B$10)*$B$7,0)</f>
        <v>26629.001779520695</v>
      </c>
      <c r="F35" s="1139">
        <f>IFERROR((_xlfn.XLOOKUP(A35,'Bike Demand'!A:A,'Bike Demand'!$B:$B,,0)+_xlfn.XLOOKUP(A35,'Bike Demand'!A:A,'Bike Demand'!$D:$D,,0))*$B$7*IF($B$13&gt;$B$12,$B$12,$B$13),0)</f>
        <v>24754.993336072057</v>
      </c>
      <c r="G35" s="1140">
        <f>_xlfn.XLOOKUP(A35,'Transit Demand'!A:A,'Transit Demand'!C:C,,0)*$B$15</f>
        <v>115070.71868417358</v>
      </c>
      <c r="H35" s="1141">
        <f t="shared" si="0"/>
        <v>129998.47660793914</v>
      </c>
      <c r="I35" s="1142">
        <f t="shared" si="1"/>
        <v>166454.71379976632</v>
      </c>
    </row>
    <row r="36" spans="1:9">
      <c r="A36" s="1137">
        <f>'Major Assumption Key'!A34</f>
        <v>2035</v>
      </c>
      <c r="B36" s="1138">
        <f>IFERROR(_xlfn.XLOOKUP(A36,'Pedestrian Demand'!A:A,'Pedestrian Demand'!B:B,,0)*IF($B$10&gt;$B$9,$B$9,$B$10)*$B$7,0)</f>
        <v>26651.545416799934</v>
      </c>
      <c r="C36" s="1139">
        <f>IFERROR(_xlfn.XLOOKUP(A36,'Bike Demand'!A:A,'Bike Demand'!$B:$B,,0)*$B$7*IF($B$13&gt;$B$12,$B$12,$B$13),0)</f>
        <v>1838.0376149517199</v>
      </c>
      <c r="D36" s="1140">
        <f>_xlfn.XLOOKUP(A36,'Transit Demand'!A:A,'Transit Demand'!B:B,,0)*$B$15</f>
        <v>102320.61059171314</v>
      </c>
      <c r="E36" s="1138">
        <f>IFERROR((_xlfn.XLOOKUP(A36,'Pedestrian Demand'!A:A,'Pedestrian Demand'!B:B,,0)+_xlfn.XLOOKUP(A36,'Pedestrian Demand'!A:A,'Pedestrian Demand'!$D:$D,,0))*IF($B$10&gt;$B$9,$B$9,$B$10)*$B$7,0)</f>
        <v>27016.535605529451</v>
      </c>
      <c r="F36" s="1139">
        <f>IFERROR((_xlfn.XLOOKUP(A36,'Bike Demand'!A:A,'Bike Demand'!$B:$B,,0)+_xlfn.XLOOKUP(A36,'Bike Demand'!A:A,'Bike Demand'!$D:$D,,0))*$B$7*IF($B$13&gt;$B$12,$B$12,$B$13),0)</f>
        <v>25119.847404340166</v>
      </c>
      <c r="G36" s="1140">
        <f>_xlfn.XLOOKUP(A36,'Transit Demand'!A:A,'Transit Demand'!C:C,,0)*$B$15</f>
        <v>115519.96935804414</v>
      </c>
      <c r="H36" s="1141">
        <f t="shared" si="0"/>
        <v>130810.19362346479</v>
      </c>
      <c r="I36" s="1142">
        <f t="shared" si="1"/>
        <v>167656.35236791376</v>
      </c>
    </row>
    <row r="37" spans="1:9">
      <c r="A37" s="1137">
        <f>'Major Assumption Key'!A35</f>
        <v>2036</v>
      </c>
      <c r="B37" s="1138">
        <f>IFERROR(_xlfn.XLOOKUP(A37,'Pedestrian Demand'!A:A,'Pedestrian Demand'!B:B,,0)*IF($B$10&gt;$B$9,$B$9,$B$10)*$B$7,0)</f>
        <v>27044.352017025605</v>
      </c>
      <c r="C37" s="1139">
        <f>IFERROR(_xlfn.XLOOKUP(A37,'Bike Demand'!A:A,'Bike Demand'!$B:$B,,0)*$B$7*IF($B$13&gt;$B$12,$B$12,$B$13),0)</f>
        <v>1865.1277253121111</v>
      </c>
      <c r="D37" s="1140">
        <f>_xlfn.XLOOKUP(A37,'Transit Demand'!A:A,'Transit Demand'!B:B,,0)*$B$15</f>
        <v>102720.08322719164</v>
      </c>
      <c r="E37" s="1138">
        <f>IFERROR((_xlfn.XLOOKUP(A37,'Pedestrian Demand'!A:A,'Pedestrian Demand'!B:B,,0)+_xlfn.XLOOKUP(A37,'Pedestrian Demand'!A:A,'Pedestrian Demand'!$D:$D,,0))*IF($B$10&gt;$B$9,$B$9,$B$10)*$B$7,0)</f>
        <v>27409.775277454592</v>
      </c>
      <c r="F37" s="1139">
        <f>IFERROR((_xlfn.XLOOKUP(A37,'Bike Demand'!A:A,'Bike Demand'!$B:$B,,0)+_xlfn.XLOOKUP(A37,'Bike Demand'!A:A,'Bike Demand'!$D:$D,,0))*$B$7*IF($B$13&gt;$B$12,$B$12,$B$13),0)</f>
        <v>25490.078912598849</v>
      </c>
      <c r="G37" s="1140">
        <f>_xlfn.XLOOKUP(A37,'Transit Demand'!A:A,'Transit Demand'!C:C,,0)*$B$15</f>
        <v>115970.97396349937</v>
      </c>
      <c r="H37" s="1141">
        <f t="shared" si="0"/>
        <v>131629.56296952936</v>
      </c>
      <c r="I37" s="1142">
        <f t="shared" si="1"/>
        <v>168870.82815355281</v>
      </c>
    </row>
    <row r="38" spans="1:9">
      <c r="A38" s="1137">
        <f>'Major Assumption Key'!A36</f>
        <v>2037</v>
      </c>
      <c r="B38" s="1138">
        <f>IFERROR(_xlfn.XLOOKUP(A38,'Pedestrian Demand'!A:A,'Pedestrian Demand'!B:B,,0)*IF($B$10&gt;$B$9,$B$9,$B$10)*$B$7,0)</f>
        <v>27442.948038568797</v>
      </c>
      <c r="C38" s="1139">
        <f>IFERROR(_xlfn.XLOOKUP(A38,'Bike Demand'!A:A,'Bike Demand'!$B:$B,,0)*$B$7*IF($B$13&gt;$B$12,$B$12,$B$13),0)</f>
        <v>1892.6171061081936</v>
      </c>
      <c r="D38" s="1140">
        <f>_xlfn.XLOOKUP(A38,'Transit Demand'!A:A,'Transit Demand'!B:B,,0)*$B$15</f>
        <v>103121.11545448234</v>
      </c>
      <c r="E38" s="1138">
        <f>IFERROR((_xlfn.XLOOKUP(A38,'Pedestrian Demand'!A:A,'Pedestrian Demand'!B:B,,0)+_xlfn.XLOOKUP(A38,'Pedestrian Demand'!A:A,'Pedestrian Demand'!$D:$D,,0))*IF($B$10&gt;$B$9,$B$9,$B$10)*$B$7,0)</f>
        <v>27808.804884549685</v>
      </c>
      <c r="F38" s="1139">
        <f>IFERROR((_xlfn.XLOOKUP(A38,'Bike Demand'!A:A,'Bike Demand'!$B:$B,,0)+_xlfn.XLOOKUP(A38,'Bike Demand'!A:A,'Bike Demand'!$D:$D,,0))*$B$7*IF($B$13&gt;$B$12,$B$12,$B$13),0)</f>
        <v>25865.76711681197</v>
      </c>
      <c r="G38" s="1140">
        <f>_xlfn.XLOOKUP(A38,'Transit Demand'!A:A,'Transit Demand'!C:C,,0)*$B$15</f>
        <v>116423.73934811057</v>
      </c>
      <c r="H38" s="1141">
        <f t="shared" si="0"/>
        <v>132456.68059915933</v>
      </c>
      <c r="I38" s="1142">
        <f t="shared" si="1"/>
        <v>170098.31134947221</v>
      </c>
    </row>
    <row r="39" spans="1:9">
      <c r="A39" s="1137">
        <f>'Major Assumption Key'!A37</f>
        <v>2038</v>
      </c>
      <c r="B39" s="1138">
        <f>IFERROR(_xlfn.XLOOKUP(A39,'Pedestrian Demand'!A:A,'Pedestrian Demand'!B:B,,0)*IF($B$10&gt;$B$9,$B$9,$B$10)*$B$7,0)</f>
        <v>27847.41880942342</v>
      </c>
      <c r="C39" s="1139">
        <f>IFERROR(_xlfn.XLOOKUP(A39,'Bike Demand'!A:A,'Bike Demand'!$B:$B,,0)*$B$7*IF($B$13&gt;$B$12,$B$12,$B$13),0)</f>
        <v>1920.511642029202</v>
      </c>
      <c r="D39" s="1140">
        <f>_xlfn.XLOOKUP(A39,'Transit Demand'!A:A,'Transit Demand'!B:B,,0)*$B$15</f>
        <v>103523.71336242935</v>
      </c>
      <c r="E39" s="1138">
        <f>IFERROR((_xlfn.XLOOKUP(A39,'Pedestrian Demand'!A:A,'Pedestrian Demand'!B:B,,0)+_xlfn.XLOOKUP(A39,'Pedestrian Demand'!A:A,'Pedestrian Demand'!$D:$D,,0))*IF($B$10&gt;$B$9,$B$9,$B$10)*$B$7,0)</f>
        <v>28213.709755418346</v>
      </c>
      <c r="F39" s="1139">
        <f>IFERROR((_xlfn.XLOOKUP(A39,'Bike Demand'!A:A,'Bike Demand'!$B:$B,,0)+_xlfn.XLOOKUP(A39,'Bike Demand'!A:A,'Bike Demand'!$D:$D,,0))*$B$7*IF($B$13&gt;$B$12,$B$12,$B$13),0)</f>
        <v>26246.992441065755</v>
      </c>
      <c r="G39" s="1140">
        <f>_xlfn.XLOOKUP(A39,'Transit Demand'!A:A,'Transit Demand'!C:C,,0)*$B$15</f>
        <v>116878.27238618277</v>
      </c>
      <c r="H39" s="1141">
        <f t="shared" si="0"/>
        <v>133291.64381388196</v>
      </c>
      <c r="I39" s="1142">
        <f t="shared" si="1"/>
        <v>171338.97458266688</v>
      </c>
    </row>
    <row r="40" spans="1:9">
      <c r="A40" s="1137">
        <f>'Major Assumption Key'!A38</f>
        <v>2039</v>
      </c>
      <c r="B40" s="1138">
        <f>IFERROR(_xlfn.XLOOKUP(A40,'Pedestrian Demand'!A:A,'Pedestrian Demand'!B:B,,0)*IF($B$10&gt;$B$9,$B$9,$B$10)*$B$7,0)</f>
        <v>28257.850915198978</v>
      </c>
      <c r="C40" s="1139">
        <f>IFERROR(_xlfn.XLOOKUP(A40,'Bike Demand'!A:A,'Bike Demand'!$B:$B,,0)*$B$7*IF($B$13&gt;$B$12,$B$12,$B$13),0)</f>
        <v>1948.8173044964817</v>
      </c>
      <c r="D40" s="1140">
        <f>_xlfn.XLOOKUP(A40,'Transit Demand'!A:A,'Transit Demand'!B:B,,0)*$B$15</f>
        <v>103927.88306364848</v>
      </c>
      <c r="E40" s="1138">
        <f>IFERROR((_xlfn.XLOOKUP(A40,'Pedestrian Demand'!A:A,'Pedestrian Demand'!B:B,,0)+_xlfn.XLOOKUP(A40,'Pedestrian Demand'!A:A,'Pedestrian Demand'!$D:$D,,0))*IF($B$10&gt;$B$9,$B$9,$B$10)*$B$7,0)</f>
        <v>28624.576476280497</v>
      </c>
      <c r="F40" s="1139">
        <f>IFERROR((_xlfn.XLOOKUP(A40,'Bike Demand'!A:A,'Bike Demand'!$B:$B,,0)+_xlfn.XLOOKUP(A40,'Bike Demand'!A:A,'Bike Demand'!$D:$D,,0))*$B$7*IF($B$13&gt;$B$12,$B$12,$B$13),0)</f>
        <v>26633.83649478525</v>
      </c>
      <c r="G40" s="1140">
        <f>_xlfn.XLOOKUP(A40,'Transit Demand'!A:A,'Transit Demand'!C:C,,0)*$B$15</f>
        <v>117334.57997885915</v>
      </c>
      <c r="H40" s="1141">
        <f t="shared" si="0"/>
        <v>134134.55128334393</v>
      </c>
      <c r="I40" s="1142">
        <f t="shared" si="1"/>
        <v>172592.9929499249</v>
      </c>
    </row>
    <row r="41" spans="1:9">
      <c r="A41" s="1137">
        <f>'Major Assumption Key'!A39</f>
        <v>2040</v>
      </c>
      <c r="B41" s="1138">
        <f>IFERROR(_xlfn.XLOOKUP(A41,'Pedestrian Demand'!A:A,'Pedestrian Demand'!B:B,,0)*IF($B$10&gt;$B$9,$B$9,$B$10)*$B$7,0)</f>
        <v>28674.332217656076</v>
      </c>
      <c r="C41" s="1139">
        <f>IFERROR(_xlfn.XLOOKUP(A41,'Bike Demand'!A:A,'Bike Demand'!$B:$B,,0)*$B$7*IF($B$13&gt;$B$12,$B$12,$B$13),0)</f>
        <v>1977.5401529417989</v>
      </c>
      <c r="D41" s="1140">
        <f>_xlfn.XLOOKUP(A41,'Transit Demand'!A:A,'Transit Demand'!B:B,,0)*$B$15</f>
        <v>104333.63069461992</v>
      </c>
      <c r="E41" s="1138">
        <f>IFERROR((_xlfn.XLOOKUP(A41,'Pedestrian Demand'!A:A,'Pedestrian Demand'!B:B,,0)+_xlfn.XLOOKUP(A41,'Pedestrian Demand'!A:A,'Pedestrian Demand'!$D:$D,,0))*IF($B$10&gt;$B$9,$B$9,$B$10)*$B$7,0)</f>
        <v>29041.492909507902</v>
      </c>
      <c r="F41" s="1139">
        <f>IFERROR((_xlfn.XLOOKUP(A41,'Bike Demand'!A:A,'Bike Demand'!$B:$B,,0)+_xlfn.XLOOKUP(A41,'Bike Demand'!A:A,'Bike Demand'!$D:$D,,0))*$B$7*IF($B$13&gt;$B$12,$B$12,$B$13),0)</f>
        <v>27026.382090204577</v>
      </c>
      <c r="G41" s="1140">
        <f>_xlfn.XLOOKUP(A41,'Transit Demand'!A:A,'Transit Demand'!C:C,,0)*$B$15</f>
        <v>117792.66905422589</v>
      </c>
      <c r="H41" s="1141">
        <f t="shared" si="0"/>
        <v>134985.50306521778</v>
      </c>
      <c r="I41" s="1142">
        <f t="shared" si="1"/>
        <v>173860.54405393836</v>
      </c>
    </row>
    <row r="42" spans="1:9">
      <c r="A42" s="1137">
        <f>'Major Assumption Key'!A40</f>
        <v>2041</v>
      </c>
      <c r="B42" s="1138">
        <f>IFERROR(_xlfn.XLOOKUP(A42,'Pedestrian Demand'!A:A,'Pedestrian Demand'!B:B,,0)*IF($B$10&gt;$B$9,$B$9,$B$10)*$B$7,0)</f>
        <v>29096.9518735151</v>
      </c>
      <c r="C42" s="1139">
        <f>IFERROR(_xlfn.XLOOKUP(A42,'Bike Demand'!A:A,'Bike Demand'!$B:$B,,0)*$B$7*IF($B$13&gt;$B$12,$B$12,$B$13),0)</f>
        <v>2006.68633610449</v>
      </c>
      <c r="D42" s="1140">
        <f>_xlfn.XLOOKUP(A42,'Transit Demand'!A:A,'Transit Demand'!B:B,,0)*$B$15</f>
        <v>104740.96241578144</v>
      </c>
      <c r="E42" s="1138">
        <f>IFERROR((_xlfn.XLOOKUP(A42,'Pedestrian Demand'!A:A,'Pedestrian Demand'!B:B,,0)+_xlfn.XLOOKUP(A42,'Pedestrian Demand'!A:A,'Pedestrian Demand'!$D:$D,,0))*IF($B$10&gt;$B$9,$B$9,$B$10)*$B$7,0)</f>
        <v>29464.548212432808</v>
      </c>
      <c r="F42" s="1139">
        <f>IFERROR((_xlfn.XLOOKUP(A42,'Bike Demand'!A:A,'Bike Demand'!$B:$B,,0)+_xlfn.XLOOKUP(A42,'Bike Demand'!A:A,'Bike Demand'!$D:$D,,0))*$B$7*IF($B$13&gt;$B$12,$B$12,$B$13),0)</f>
        <v>27424.713260094686</v>
      </c>
      <c r="G42" s="1140">
        <f>_xlfn.XLOOKUP(A42,'Transit Demand'!A:A,'Transit Demand'!C:C,,0)*$B$15</f>
        <v>118252.54656741727</v>
      </c>
      <c r="H42" s="1141">
        <f t="shared" si="0"/>
        <v>135844.60062540101</v>
      </c>
      <c r="I42" s="1142">
        <f t="shared" si="1"/>
        <v>175141.80803994476</v>
      </c>
    </row>
    <row r="43" spans="1:9">
      <c r="A43" s="1137">
        <f>'Major Assumption Key'!A41</f>
        <v>2042</v>
      </c>
      <c r="B43" s="1138">
        <f>IFERROR(_xlfn.XLOOKUP(A43,'Pedestrian Demand'!A:A,'Pedestrian Demand'!B:B,,0)*IF($B$10&gt;$B$9,$B$9,$B$10)*$B$7,0)</f>
        <v>29525.800353542108</v>
      </c>
      <c r="C43" s="1139">
        <f>IFERROR(_xlfn.XLOOKUP(A43,'Bike Demand'!A:A,'Bike Demand'!$B:$B,,0)*$B$7*IF($B$13&gt;$B$12,$B$12,$B$13),0)</f>
        <v>2036.2620933477322</v>
      </c>
      <c r="D43" s="1140">
        <f>_xlfn.XLOOKUP(A43,'Transit Demand'!A:A,'Transit Demand'!B:B,,0)*$B$15</f>
        <v>105149.884411622</v>
      </c>
      <c r="E43" s="1138">
        <f>IFERROR((_xlfn.XLOOKUP(A43,'Pedestrian Demand'!A:A,'Pedestrian Demand'!B:B,,0)+_xlfn.XLOOKUP(A43,'Pedestrian Demand'!A:A,'Pedestrian Demand'!$D:$D,,0))*IF($B$10&gt;$B$9,$B$9,$B$10)*$B$7,0)</f>
        <v>29893.832856433892</v>
      </c>
      <c r="F43" s="1139">
        <f>IFERROR((_xlfn.XLOOKUP(A43,'Bike Demand'!A:A,'Bike Demand'!$B:$B,,0)+_xlfn.XLOOKUP(A43,'Bike Demand'!A:A,'Bike Demand'!$D:$D,,0))*$B$7*IF($B$13&gt;$B$12,$B$12,$B$13),0)</f>
        <v>27828.91527575233</v>
      </c>
      <c r="G43" s="1140">
        <f>_xlfn.XLOOKUP(A43,'Transit Demand'!A:A,'Transit Demand'!C:C,,0)*$B$15</f>
        <v>118714.21950072126</v>
      </c>
      <c r="H43" s="1141">
        <f t="shared" si="0"/>
        <v>136711.94685851183</v>
      </c>
      <c r="I43" s="1142">
        <f t="shared" si="1"/>
        <v>176436.96763290747</v>
      </c>
    </row>
    <row r="44" spans="1:9">
      <c r="A44" s="1137">
        <f>'Major Assumption Key'!A42</f>
        <v>2043</v>
      </c>
      <c r="B44" s="1138">
        <f>IFERROR(_xlfn.XLOOKUP(A44,'Pedestrian Demand'!A:A,'Pedestrian Demand'!B:B,,0)*IF($B$10&gt;$B$9,$B$9,$B$10)*$B$7,0)</f>
        <v>29960.969461916065</v>
      </c>
      <c r="C44" s="1139">
        <f>IFERROR(_xlfn.XLOOKUP(A44,'Bike Demand'!A:A,'Bike Demand'!$B:$B,,0)*$B$7*IF($B$13&gt;$B$12,$B$12,$B$13),0)</f>
        <v>2066.273755994212</v>
      </c>
      <c r="D44" s="1140">
        <f>_xlfn.XLOOKUP(A44,'Transit Demand'!A:A,'Transit Demand'!B:B,,0)*$B$15</f>
        <v>105560.40289077553</v>
      </c>
      <c r="E44" s="1138">
        <f>IFERROR((_xlfn.XLOOKUP(A44,'Pedestrian Demand'!A:A,'Pedestrian Demand'!B:B,,0)+_xlfn.XLOOKUP(A44,'Pedestrian Demand'!A:A,'Pedestrian Demand'!$D:$D,,0))*IF($B$10&gt;$B$9,$B$9,$B$10)*$B$7,0)</f>
        <v>30329.438646303432</v>
      </c>
      <c r="F44" s="1139">
        <f>IFERROR((_xlfn.XLOOKUP(A44,'Bike Demand'!A:A,'Bike Demand'!$B:$B,,0)+_xlfn.XLOOKUP(A44,'Bike Demand'!A:A,'Bike Demand'!$D:$D,,0))*$B$7*IF($B$13&gt;$B$12,$B$12,$B$13),0)</f>
        <v>28239.074665254226</v>
      </c>
      <c r="G44" s="1140">
        <f>_xlfn.XLOOKUP(A44,'Transit Demand'!A:A,'Transit Demand'!C:C,,0)*$B$15</f>
        <v>119177.6948636856</v>
      </c>
      <c r="H44" s="1141">
        <f t="shared" si="0"/>
        <v>137587.64610868582</v>
      </c>
      <c r="I44" s="1142">
        <f t="shared" si="1"/>
        <v>177746.20817524326</v>
      </c>
    </row>
    <row r="45" spans="1:9">
      <c r="A45" s="1137">
        <f>'Major Assumption Key'!A43</f>
        <v>2044</v>
      </c>
      <c r="B45" s="1138">
        <f>IFERROR(_xlfn.XLOOKUP(A45,'Pedestrian Demand'!A:A,'Pedestrian Demand'!B:B,,0)*IF($B$10&gt;$B$9,$B$9,$B$10)*$B$7,0)</f>
        <v>30402.552355881457</v>
      </c>
      <c r="C45" s="1139">
        <f>IFERROR(_xlfn.XLOOKUP(A45,'Bike Demand'!A:A,'Bike Demand'!$B:$B,,0)*$B$7*IF($B$13&gt;$B$12,$B$12,$B$13),0)</f>
        <v>2096.7277486814805</v>
      </c>
      <c r="D45" s="1140">
        <f>_xlfn.XLOOKUP(A45,'Transit Demand'!A:A,'Transit Demand'!B:B,,0)*$B$15</f>
        <v>105972.5240861153</v>
      </c>
      <c r="E45" s="1138">
        <f>IFERROR((_xlfn.XLOOKUP(A45,'Pedestrian Demand'!A:A,'Pedestrian Demand'!B:B,,0)+_xlfn.XLOOKUP(A45,'Pedestrian Demand'!A:A,'Pedestrian Demand'!$D:$D,,0))*IF($B$10&gt;$B$9,$B$9,$B$10)*$B$7,0)</f>
        <v>30771.458739899965</v>
      </c>
      <c r="F45" s="1139">
        <f>IFERROR((_xlfn.XLOOKUP(A45,'Bike Demand'!A:A,'Bike Demand'!$B:$B,,0)+_xlfn.XLOOKUP(A45,'Bike Demand'!A:A,'Bike Demand'!$D:$D,,0))*$B$7*IF($B$13&gt;$B$12,$B$12,$B$13),0)</f>
        <v>28655.279231980225</v>
      </c>
      <c r="G45" s="1140">
        <f>_xlfn.XLOOKUP(A45,'Transit Demand'!A:A,'Transit Demand'!C:C,,0)*$B$15</f>
        <v>119642.97969322419</v>
      </c>
      <c r="H45" s="1141">
        <f t="shared" si="0"/>
        <v>138471.80419067823</v>
      </c>
      <c r="I45" s="1142">
        <f t="shared" si="1"/>
        <v>179069.71766510437</v>
      </c>
    </row>
    <row r="46" spans="1:9">
      <c r="A46" s="1137">
        <f>'Major Assumption Key'!A44</f>
        <v>2045</v>
      </c>
      <c r="B46" s="1138">
        <f>IFERROR(_xlfn.XLOOKUP(A46,'Pedestrian Demand'!A:A,'Pedestrian Demand'!B:B,,0)*IF($B$10&gt;$B$9,$B$9,$B$10)*$B$7,0)</f>
        <v>30850.643565690589</v>
      </c>
      <c r="C46" s="1139">
        <f>IFERROR(_xlfn.XLOOKUP(A46,'Bike Demand'!A:A,'Bike Demand'!$B:$B,,0)*$B$7*IF($B$13&gt;$B$12,$B$12,$B$13),0)</f>
        <v>2127.6305907372825</v>
      </c>
      <c r="D46" s="1140">
        <f>_xlfn.XLOOKUP(A46,'Transit Demand'!A:A,'Transit Demand'!B:B,,0)*$B$15</f>
        <v>106386.25425484846</v>
      </c>
      <c r="E46" s="1138">
        <f>IFERROR((_xlfn.XLOOKUP(A46,'Pedestrian Demand'!A:A,'Pedestrian Demand'!B:B,,0)+_xlfn.XLOOKUP(A46,'Pedestrian Demand'!A:A,'Pedestrian Demand'!$D:$D,,0))*IF($B$10&gt;$B$9,$B$9,$B$10)*$B$7,0)</f>
        <v>31219.987668090587</v>
      </c>
      <c r="F46" s="1139">
        <f>IFERROR((_xlfn.XLOOKUP(A46,'Bike Demand'!A:A,'Bike Demand'!$B:$B,,0)+_xlfn.XLOOKUP(A46,'Bike Demand'!A:A,'Bike Demand'!$D:$D,,0))*$B$7*IF($B$13&gt;$B$12,$B$12,$B$13),0)</f>
        <v>29077.618073409518</v>
      </c>
      <c r="G46" s="1140">
        <f>_xlfn.XLOOKUP(A46,'Transit Demand'!A:A,'Transit Demand'!C:C,,0)*$B$15</f>
        <v>120110.08105372394</v>
      </c>
      <c r="H46" s="1141">
        <f t="shared" si="0"/>
        <v>139364.52841127635</v>
      </c>
      <c r="I46" s="1142">
        <f t="shared" si="1"/>
        <v>180407.68679522406</v>
      </c>
    </row>
    <row r="47" spans="1:9">
      <c r="A47" s="1137">
        <f>'Major Assumption Key'!A45</f>
        <v>2046</v>
      </c>
      <c r="B47" s="1138">
        <f>IFERROR(_xlfn.XLOOKUP(A47,'Pedestrian Demand'!A:A,'Pedestrian Demand'!B:B,,0)*IF($B$10&gt;$B$9,$B$9,$B$10)*$B$7,0)</f>
        <v>31305.339014839818</v>
      </c>
      <c r="C47" s="1139">
        <f>IFERROR(_xlfn.XLOOKUP(A47,'Bike Demand'!A:A,'Bike Demand'!$B:$B,,0)*$B$7*IF($B$13&gt;$B$12,$B$12,$B$13),0)</f>
        <v>2158.9888975751605</v>
      </c>
      <c r="D47" s="1140">
        <f>_xlfn.XLOOKUP(A47,'Transit Demand'!A:A,'Transit Demand'!B:B,,0)*$B$15</f>
        <v>106801.59967861114</v>
      </c>
      <c r="E47" s="1138">
        <f>IFERROR((_xlfn.XLOOKUP(A47,'Pedestrian Demand'!A:A,'Pedestrian Demand'!B:B,,0)+_xlfn.XLOOKUP(A47,'Pedestrian Demand'!A:A,'Pedestrian Demand'!$D:$D,,0))*IF($B$10&gt;$B$9,$B$9,$B$10)*$B$7,0)</f>
        <v>31675.121354987172</v>
      </c>
      <c r="F47" s="1139">
        <f>IFERROR((_xlfn.XLOOKUP(A47,'Bike Demand'!A:A,'Bike Demand'!$B:$B,,0)+_xlfn.XLOOKUP(A47,'Bike Demand'!A:A,'Bike Demand'!$D:$D,,0))*$B$7*IF($B$13&gt;$B$12,$B$12,$B$13),0)</f>
        <v>29506.181600193853</v>
      </c>
      <c r="G47" s="1140">
        <f>_xlfn.XLOOKUP(A47,'Transit Demand'!A:A,'Transit Demand'!C:C,,0)*$B$15</f>
        <v>120579.00603715202</v>
      </c>
      <c r="H47" s="1141">
        <f t="shared" si="0"/>
        <v>140265.92759102612</v>
      </c>
      <c r="I47" s="1142">
        <f t="shared" si="1"/>
        <v>181760.30899233304</v>
      </c>
    </row>
    <row r="48" spans="1:9">
      <c r="A48" s="1137">
        <f>'Major Assumption Key'!A46</f>
        <v>2047</v>
      </c>
      <c r="B48" s="1138">
        <f>IFERROR(_xlfn.XLOOKUP(A48,'Pedestrian Demand'!A:A,'Pedestrian Demand'!B:B,,0)*IF($B$10&gt;$B$9,$B$9,$B$10)*$B$7,0)</f>
        <v>31766.736040604035</v>
      </c>
      <c r="C48" s="1139">
        <f>IFERROR(_xlfn.XLOOKUP(A48,'Bike Demand'!A:A,'Bike Demand'!$B:$B,,0)*$B$7*IF($B$13&gt;$B$12,$B$12,$B$13),0)</f>
        <v>2190.809382110624</v>
      </c>
      <c r="D48" s="1140">
        <f>_xlfn.XLOOKUP(A48,'Transit Demand'!A:A,'Transit Demand'!B:B,,0)*$B$15</f>
        <v>107218.56666356375</v>
      </c>
      <c r="E48" s="1138">
        <f>IFERROR((_xlfn.XLOOKUP(A48,'Pedestrian Demand'!A:A,'Pedestrian Demand'!B:B,,0)+_xlfn.XLOOKUP(A48,'Pedestrian Demand'!A:A,'Pedestrian Demand'!$D:$D,,0))*IF($B$10&gt;$B$9,$B$9,$B$10)*$B$7,0)</f>
        <v>32136.957138480837</v>
      </c>
      <c r="F48" s="1139">
        <f>IFERROR((_xlfn.XLOOKUP(A48,'Bike Demand'!A:A,'Bike Demand'!$B:$B,,0)+_xlfn.XLOOKUP(A48,'Bike Demand'!A:A,'Bike Demand'!$D:$D,,0))*$B$7*IF($B$13&gt;$B$12,$B$12,$B$13),0)</f>
        <v>29941.061555511849</v>
      </c>
      <c r="G48" s="1140">
        <f>_xlfn.XLOOKUP(A48,'Transit Demand'!A:A,'Transit Demand'!C:C,,0)*$B$15</f>
        <v>121049.76176316351</v>
      </c>
      <c r="H48" s="1141">
        <f t="shared" si="0"/>
        <v>141176.11208627842</v>
      </c>
      <c r="I48" s="1142">
        <f t="shared" si="1"/>
        <v>183127.78045715619</v>
      </c>
    </row>
    <row r="49" spans="1:9">
      <c r="A49" s="1137">
        <f>'Major Assumption Key'!A47</f>
        <v>2048</v>
      </c>
      <c r="B49" s="1138">
        <f>IFERROR(_xlfn.XLOOKUP(A49,'Pedestrian Demand'!A:A,'Pedestrian Demand'!B:B,,0)*IF($B$10&gt;$B$9,$B$9,$B$10)*$B$7,0)</f>
        <v>32234.933414873762</v>
      </c>
      <c r="C49" s="1139">
        <f>IFERROR(_xlfn.XLOOKUP(A49,'Bike Demand'!A:A,'Bike Demand'!$B:$B,,0)*$B$7*IF($B$13&gt;$B$12,$B$12,$B$13),0)</f>
        <v>2223.0988561981912</v>
      </c>
      <c r="D49" s="1140">
        <f>_xlfn.XLOOKUP(A49,'Transit Demand'!A:A,'Transit Demand'!B:B,,0)*$B$15</f>
        <v>107637.16154048673</v>
      </c>
      <c r="E49" s="1138">
        <f>IFERROR((_xlfn.XLOOKUP(A49,'Pedestrian Demand'!A:A,'Pedestrian Demand'!B:B,,0)+_xlfn.XLOOKUP(A49,'Pedestrian Demand'!A:A,'Pedestrian Demand'!$D:$D,,0))*IF($B$10&gt;$B$9,$B$9,$B$10)*$B$7,0)</f>
        <v>32605.593791079104</v>
      </c>
      <c r="F49" s="1139">
        <f>IFERROR((_xlfn.XLOOKUP(A49,'Bike Demand'!A:A,'Bike Demand'!$B:$B,,0)+_xlfn.XLOOKUP(A49,'Bike Demand'!A:A,'Bike Demand'!$D:$D,,0))*$B$7*IF($B$13&gt;$B$12,$B$12,$B$13),0)</f>
        <v>30382.351034708605</v>
      </c>
      <c r="G49" s="1140">
        <f>_xlfn.XLOOKUP(A49,'Transit Demand'!A:A,'Transit Demand'!C:C,,0)*$B$15</f>
        <v>121522.35537920955</v>
      </c>
      <c r="H49" s="1141">
        <f t="shared" si="0"/>
        <v>142095.19381155868</v>
      </c>
      <c r="I49" s="1142">
        <f t="shared" si="1"/>
        <v>184510.30020499724</v>
      </c>
    </row>
    <row r="50" spans="1:9">
      <c r="A50" s="1137">
        <f>'Major Assumption Key'!A48</f>
        <v>2049</v>
      </c>
      <c r="B50" s="1138">
        <f>IFERROR(_xlfn.XLOOKUP(A50,'Pedestrian Demand'!A:A,'Pedestrian Demand'!B:B,,0)*IF($B$10&gt;$B$9,$B$9,$B$10)*$B$7,0)</f>
        <v>32710.031365299401</v>
      </c>
      <c r="C50" s="1139">
        <f>IFERROR(_xlfn.XLOOKUP(A50,'Bike Demand'!A:A,'Bike Demand'!$B:$B,,0)*$B$7*IF($B$13&gt;$B$12,$B$12,$B$13),0)</f>
        <v>2255.8642320896147</v>
      </c>
      <c r="D50" s="1140">
        <f>_xlfn.XLOOKUP(A50,'Transit Demand'!A:A,'Transit Demand'!B:B,,0)*$B$15</f>
        <v>108057.39066487672</v>
      </c>
      <c r="E50" s="1138">
        <f>IFERROR((_xlfn.XLOOKUP(A50,'Pedestrian Demand'!A:A,'Pedestrian Demand'!B:B,,0)+_xlfn.XLOOKUP(A50,'Pedestrian Demand'!A:A,'Pedestrian Demand'!$D:$D,,0))*IF($B$10&gt;$B$9,$B$9,$B$10)*$B$7,0)</f>
        <v>33081.131541050061</v>
      </c>
      <c r="F50" s="1139">
        <f>IFERROR((_xlfn.XLOOKUP(A50,'Bike Demand'!A:A,'Bike Demand'!$B:$B,,0)+_xlfn.XLOOKUP(A50,'Bike Demand'!A:A,'Bike Demand'!$D:$D,,0))*$B$7*IF($B$13&gt;$B$12,$B$12,$B$13),0)</f>
        <v>30830.144505224725</v>
      </c>
      <c r="G50" s="1140">
        <f>_xlfn.XLOOKUP(A50,'Transit Demand'!A:A,'Transit Demand'!C:C,,0)*$B$15</f>
        <v>121996.79406064583</v>
      </c>
      <c r="H50" s="1141">
        <f t="shared" si="0"/>
        <v>143023.28626226573</v>
      </c>
      <c r="I50" s="1142">
        <f t="shared" si="1"/>
        <v>185908.07010692061</v>
      </c>
    </row>
    <row r="51" spans="1:9">
      <c r="A51" s="1137">
        <f>'Major Assumption Key'!A49</f>
        <v>2050</v>
      </c>
      <c r="B51" s="1138">
        <f>IFERROR(_xlfn.XLOOKUP(A51,'Pedestrian Demand'!A:A,'Pedestrian Demand'!B:B,,0)*IF($B$10&gt;$B$9,$B$9,$B$10)*$B$7,0)</f>
        <v>33192.131596747109</v>
      </c>
      <c r="C51" s="1139">
        <f>IFERROR(_xlfn.XLOOKUP(A51,'Bike Demand'!A:A,'Bike Demand'!$B:$B,,0)*$B$7*IF($B$13&gt;$B$12,$B$12,$B$13),0)</f>
        <v>2289.1125239135945</v>
      </c>
      <c r="D51" s="1140">
        <f>_xlfn.XLOOKUP(A51,'Transit Demand'!A:A,'Transit Demand'!B:B,,0)*$B$15</f>
        <v>108479.260417043</v>
      </c>
      <c r="E51" s="1138">
        <f>IFERROR((_xlfn.XLOOKUP(A51,'Pedestrian Demand'!A:A,'Pedestrian Demand'!B:B,,0)+_xlfn.XLOOKUP(A51,'Pedestrian Demand'!A:A,'Pedestrian Demand'!$D:$D,,0))*IF($B$10&gt;$B$9,$B$9,$B$10)*$B$7,0)</f>
        <v>33563.672093878311</v>
      </c>
      <c r="F51" s="1139">
        <f>IFERROR((_xlfn.XLOOKUP(A51,'Bike Demand'!A:A,'Bike Demand'!$B:$B,,0)+_xlfn.XLOOKUP(A51,'Bike Demand'!A:A,'Bike Demand'!$D:$D,,0))*$B$7*IF($B$13&gt;$B$12,$B$12,$B$13),0)</f>
        <v>31284.53782681912</v>
      </c>
      <c r="G51" s="1140">
        <f>_xlfn.XLOOKUP(A51,'Transit Demand'!A:A,'Transit Demand'!C:C,,0)*$B$15</f>
        <v>122473.08501084158</v>
      </c>
      <c r="H51" s="1141">
        <f t="shared" si="0"/>
        <v>143960.5045377037</v>
      </c>
      <c r="I51" s="1142">
        <f t="shared" si="1"/>
        <v>187321.29493153901</v>
      </c>
    </row>
    <row r="52" spans="1:9">
      <c r="A52" s="1137">
        <f>'Major Assumption Key'!A50</f>
        <v>2051</v>
      </c>
      <c r="B52" s="1138">
        <f>IFERROR(_xlfn.XLOOKUP(A52,'Pedestrian Demand'!A:A,'Pedestrian Demand'!B:B,,0)*IF($B$10&gt;$B$9,$B$9,$B$10)*$B$7,0)</f>
        <v>33681.337313070893</v>
      </c>
      <c r="C52" s="1139">
        <f>IFERROR(_xlfn.XLOOKUP(A52,'Bike Demand'!A:A,'Bike Demand'!$B:$B,,0)*$B$7*IF($B$13&gt;$B$12,$B$12,$B$13),0)</f>
        <v>2322.8508491773036</v>
      </c>
      <c r="D52" s="1140">
        <f>_xlfn.XLOOKUP(A52,'Transit Demand'!A:A,'Transit Demand'!B:B,,0)*$B$15</f>
        <v>108902.77720220442</v>
      </c>
      <c r="E52" s="1138">
        <f>IFERROR((_xlfn.XLOOKUP(A52,'Pedestrian Demand'!A:A,'Pedestrian Demand'!B:B,,0)+_xlfn.XLOOKUP(A52,'Pedestrian Demand'!A:A,'Pedestrian Demand'!$D:$D,,0))*IF($B$10&gt;$B$9,$B$9,$B$10)*$B$7,0)</f>
        <v>34053.31865403703</v>
      </c>
      <c r="F52" s="1139">
        <f>IFERROR((_xlfn.XLOOKUP(A52,'Bike Demand'!A:A,'Bike Demand'!$B:$B,,0)+_xlfn.XLOOKUP(A52,'Bike Demand'!A:A,'Bike Demand'!$D:$D,,0))*$B$7*IF($B$13&gt;$B$12,$B$12,$B$13),0)</f>
        <v>31745.628272089809</v>
      </c>
      <c r="G52" s="1140">
        <f>_xlfn.XLOOKUP(A52,'Transit Demand'!A:A,'Transit Demand'!C:C,,0)*$B$15</f>
        <v>122951.23546128882</v>
      </c>
      <c r="H52" s="1141">
        <f t="shared" si="0"/>
        <v>144906.96536445263</v>
      </c>
      <c r="I52" s="1142">
        <f t="shared" si="1"/>
        <v>188750.18238741567</v>
      </c>
    </row>
    <row r="53" spans="1:9">
      <c r="A53" s="1137">
        <f>'Major Assumption Key'!A51</f>
        <v>2052</v>
      </c>
      <c r="B53" s="1138">
        <f>IFERROR(_xlfn.XLOOKUP(A53,'Pedestrian Demand'!A:A,'Pedestrian Demand'!B:B,,0)*IF($B$10&gt;$B$9,$B$9,$B$10)*$B$7,0)</f>
        <v>34177.753239205587</v>
      </c>
      <c r="C53" s="1139">
        <f>IFERROR(_xlfn.XLOOKUP(A53,'Bike Demand'!A:A,'Bike Demand'!$B:$B,,0)*$B$7*IF($B$13&gt;$B$12,$B$12,$B$13),0)</f>
        <v>2357.0864302900413</v>
      </c>
      <c r="D53" s="1140">
        <f>_xlfn.XLOOKUP(A53,'Transit Demand'!A:A,'Transit Demand'!B:B,,0)*$B$15</f>
        <v>109327.94745058658</v>
      </c>
      <c r="E53" s="1138">
        <f>IFERROR((_xlfn.XLOOKUP(A53,'Pedestrian Demand'!A:A,'Pedestrian Demand'!B:B,,0)+_xlfn.XLOOKUP(A53,'Pedestrian Demand'!A:A,'Pedestrian Demand'!$D:$D,,0))*IF($B$10&gt;$B$9,$B$9,$B$10)*$B$7,0)</f>
        <v>34550.175075703723</v>
      </c>
      <c r="F53" s="1139">
        <f>IFERROR((_xlfn.XLOOKUP(A53,'Bike Demand'!A:A,'Bike Demand'!$B:$B,,0)+_xlfn.XLOOKUP(A53,'Bike Demand'!A:A,'Bike Demand'!$D:$D,,0))*$B$7*IF($B$13&gt;$B$12,$B$12,$B$13),0)</f>
        <v>32213.514547297214</v>
      </c>
      <c r="G53" s="1140">
        <f>_xlfn.XLOOKUP(A53,'Transit Demand'!A:A,'Transit Demand'!C:C,,0)*$B$15</f>
        <v>123431.25267171228</v>
      </c>
      <c r="H53" s="1141">
        <f t="shared" si="0"/>
        <v>145862.78712008221</v>
      </c>
      <c r="I53" s="1142">
        <f t="shared" si="1"/>
        <v>190194.94229471323</v>
      </c>
    </row>
    <row r="54" spans="1:9">
      <c r="A54" s="1137">
        <f>'Major Assumption Key'!A52</f>
        <v>2053</v>
      </c>
      <c r="B54" s="1138">
        <f>IFERROR(_xlfn.XLOOKUP(A54,'Pedestrian Demand'!A:A,'Pedestrian Demand'!B:B,,0)*IF($B$10&gt;$B$9,$B$9,$B$10)*$B$7,0)</f>
        <v>34681.485643585467</v>
      </c>
      <c r="C54" s="1139">
        <f>IFERROR(_xlfn.XLOOKUP(A54,'Bike Demand'!A:A,'Bike Demand'!$B:$B,,0)*$B$7*IF($B$13&gt;$B$12,$B$12,$B$13),0)</f>
        <v>2391.8265961093439</v>
      </c>
      <c r="D54" s="1140">
        <f>_xlfn.XLOOKUP(A54,'Transit Demand'!A:A,'Transit Demand'!B:B,,0)*$B$15</f>
        <v>109754.77761751952</v>
      </c>
      <c r="E54" s="1138">
        <f>IFERROR((_xlfn.XLOOKUP(A54,'Pedestrian Demand'!A:A,'Pedestrian Demand'!B:B,,0)+_xlfn.XLOOKUP(A54,'Pedestrian Demand'!A:A,'Pedestrian Demand'!$D:$D,,0))*IF($B$10&gt;$B$9,$B$9,$B$10)*$B$7,0)</f>
        <v>35054.348062691344</v>
      </c>
      <c r="F54" s="1139">
        <f>IFERROR((_xlfn.XLOOKUP(A54,'Bike Demand'!A:A,'Bike Demand'!$B:$B,,0)+_xlfn.XLOOKUP(A54,'Bike Demand'!A:A,'Bike Demand'!$D:$D,,0))*$B$7*IF($B$13&gt;$B$12,$B$12,$B$13),0)</f>
        <v>32688.296813494351</v>
      </c>
      <c r="G54" s="1140">
        <f>_xlfn.XLOOKUP(A54,'Transit Demand'!A:A,'Transit Demand'!C:C,,0)*$B$15</f>
        <v>123913.14393017958</v>
      </c>
      <c r="H54" s="1141">
        <f t="shared" si="0"/>
        <v>146828.08985721433</v>
      </c>
      <c r="I54" s="1142">
        <f t="shared" si="1"/>
        <v>191655.78880636528</v>
      </c>
    </row>
    <row r="55" spans="1:9">
      <c r="A55" s="1137">
        <f>'Major Assumption Key'!A53</f>
        <v>2054</v>
      </c>
      <c r="B55" s="1138">
        <f>IFERROR(_xlfn.XLOOKUP(A55,'Pedestrian Demand'!A:A,'Pedestrian Demand'!B:B,,0)*IF($B$10&gt;$B$9,$B$9,$B$10)*$B$7,0)</f>
        <v>35192.642360893311</v>
      </c>
      <c r="C55" s="1139">
        <f>IFERROR(_xlfn.XLOOKUP(A55,'Bike Demand'!A:A,'Bike Demand'!$B:$B,,0)*$B$7*IF($B$13&gt;$B$12,$B$12,$B$13),0)</f>
        <v>2427.0787835098849</v>
      </c>
      <c r="D55" s="1140">
        <f>_xlfn.XLOOKUP(A55,'Transit Demand'!A:A,'Transit Demand'!B:B,,0)*$B$15</f>
        <v>110183.2741835357</v>
      </c>
      <c r="E55" s="1138">
        <f>IFERROR((_xlfn.XLOOKUP(A55,'Pedestrian Demand'!A:A,'Pedestrian Demand'!B:B,,0)+_xlfn.XLOOKUP(A55,'Pedestrian Demand'!A:A,'Pedestrian Demand'!$D:$D,,0))*IF($B$10&gt;$B$9,$B$9,$B$10)*$B$7,0)</f>
        <v>35565.94536260693</v>
      </c>
      <c r="F55" s="1139">
        <f>IFERROR((_xlfn.XLOOKUP(A55,'Bike Demand'!A:A,'Bike Demand'!$B:$B,,0)+_xlfn.XLOOKUP(A55,'Bike Demand'!A:A,'Bike Demand'!$D:$D,,0))*$B$7*IF($B$13&gt;$B$12,$B$12,$B$13),0)</f>
        <v>33170.076707968408</v>
      </c>
      <c r="G55" s="1140">
        <f>_xlfn.XLOOKUP(A55,'Transit Demand'!A:A,'Transit Demand'!C:C,,0)*$B$15</f>
        <v>124396.91655321183</v>
      </c>
      <c r="H55" s="1141">
        <f t="shared" si="0"/>
        <v>147802.9953279389</v>
      </c>
      <c r="I55" s="1142">
        <f t="shared" si="1"/>
        <v>193132.93862378717</v>
      </c>
    </row>
    <row r="56" spans="1:9">
      <c r="A56" s="1137">
        <f>'Major Assumption Key'!A54</f>
        <v>2055</v>
      </c>
      <c r="B56" s="1138">
        <f>IFERROR(_xlfn.XLOOKUP(A56,'Pedestrian Demand'!A:A,'Pedestrian Demand'!B:B,,0)*IF($B$10&gt;$B$9,$B$9,$B$10)*$B$7,0)</f>
        <v>35711.332815144662</v>
      </c>
      <c r="C56" s="1139">
        <f>IFERROR(_xlfn.XLOOKUP(A56,'Bike Demand'!A:A,'Bike Demand'!$B:$B,,0)*$B$7*IF($B$13&gt;$B$12,$B$12,$B$13),0)</f>
        <v>2462.8505389754955</v>
      </c>
      <c r="D56" s="1140">
        <f>_xlfn.XLOOKUP(A56,'Transit Demand'!A:A,'Transit Demand'!B:B,,0)*$B$15</f>
        <v>110613.4436544684</v>
      </c>
      <c r="E56" s="1138">
        <f>IFERROR((_xlfn.XLOOKUP(A56,'Pedestrian Demand'!A:A,'Pedestrian Demand'!B:B,,0)+_xlfn.XLOOKUP(A56,'Pedestrian Demand'!A:A,'Pedestrian Demand'!$D:$D,,0))*IF($B$10&gt;$B$9,$B$9,$B$10)*$B$7,0)</f>
        <v>36085.076399466023</v>
      </c>
      <c r="F56" s="1139">
        <f>IFERROR((_xlfn.XLOOKUP(A56,'Bike Demand'!A:A,'Bike Demand'!$B:$B,,0)+_xlfn.XLOOKUP(A56,'Bike Demand'!A:A,'Bike Demand'!$D:$D,,0))*$B$7*IF($B$13&gt;$B$12,$B$12,$B$13),0)</f>
        <v>33658.957365998423</v>
      </c>
      <c r="G56" s="1140">
        <f>_xlfn.XLOOKUP(A56,'Transit Demand'!A:A,'Transit Demand'!C:C,,0)*$B$15</f>
        <v>124882.57788589486</v>
      </c>
      <c r="H56" s="1141">
        <f t="shared" si="0"/>
        <v>148787.62700858855</v>
      </c>
      <c r="I56" s="1142">
        <f t="shared" si="1"/>
        <v>194626.6116513593</v>
      </c>
    </row>
    <row r="57" spans="1:9">
      <c r="A57" s="1137">
        <f>'Major Assumption Key'!A55</f>
        <v>2056</v>
      </c>
      <c r="B57" s="1138">
        <f>IFERROR(_xlfn.XLOOKUP(A57,'Pedestrian Demand'!A:A,'Pedestrian Demand'!B:B,,0)*IF($B$10&gt;$B$9,$B$9,$B$10)*$B$7,0)</f>
        <v>36237.668043112426</v>
      </c>
      <c r="C57" s="1139">
        <f>IFERROR(_xlfn.XLOOKUP(A57,'Bike Demand'!A:A,'Bike Demand'!$B:$B,,0)*$B$7*IF($B$13&gt;$B$12,$B$12,$B$13),0)</f>
        <v>2499.1495202146516</v>
      </c>
      <c r="D57" s="1140">
        <f>_xlfn.XLOOKUP(A57,'Transit Demand'!A:A,'Transit Demand'!B:B,,0)*$B$15</f>
        <v>111045.29256155049</v>
      </c>
      <c r="E57" s="1138">
        <f>IFERROR((_xlfn.XLOOKUP(A57,'Pedestrian Demand'!A:A,'Pedestrian Demand'!B:B,,0)+_xlfn.XLOOKUP(A57,'Pedestrian Demand'!A:A,'Pedestrian Demand'!$D:$D,,0))*IF($B$10&gt;$B$9,$B$9,$B$10)*$B$7,0)</f>
        <v>36611.852210041521</v>
      </c>
      <c r="F57" s="1139">
        <f>IFERROR((_xlfn.XLOOKUP(A57,'Bike Demand'!A:A,'Bike Demand'!$B:$B,,0)+_xlfn.XLOOKUP(A57,'Bike Demand'!A:A,'Bike Demand'!$D:$D,,0))*$B$7*IF($B$13&gt;$B$12,$B$12,$B$13),0)</f>
        <v>34155.043442933558</v>
      </c>
      <c r="G57" s="1140">
        <f>_xlfn.XLOOKUP(A57,'Transit Demand'!A:A,'Transit Demand'!C:C,,0)*$B$15</f>
        <v>125370.13530199055</v>
      </c>
      <c r="H57" s="1141">
        <f t="shared" si="0"/>
        <v>149782.11012487757</v>
      </c>
      <c r="I57" s="1142">
        <f t="shared" si="1"/>
        <v>196137.03095496562</v>
      </c>
    </row>
    <row r="58" spans="1:9">
      <c r="A58" s="1137">
        <f>'Major Assumption Key'!A56</f>
        <v>2057</v>
      </c>
      <c r="B58" s="1138">
        <f>IFERROR(_xlfn.XLOOKUP(A58,'Pedestrian Demand'!A:A,'Pedestrian Demand'!B:B,,0)*IF($B$10&gt;$B$9,$B$9,$B$10)*$B$7,0)</f>
        <v>36771.760718096622</v>
      </c>
      <c r="C58" s="1139">
        <f>IFERROR(_xlfn.XLOOKUP(A58,'Bike Demand'!A:A,'Bike Demand'!$B:$B,,0)*$B$7*IF($B$13&gt;$B$12,$B$12,$B$13),0)</f>
        <v>2535.9834977997684</v>
      </c>
      <c r="D58" s="1140">
        <f>_xlfn.XLOOKUP(A58,'Transit Demand'!A:A,'Transit Demand'!B:B,,0)*$B$15</f>
        <v>111478.82746151363</v>
      </c>
      <c r="E58" s="1138">
        <f>IFERROR((_xlfn.XLOOKUP(A58,'Pedestrian Demand'!A:A,'Pedestrian Demand'!B:B,,0)+_xlfn.XLOOKUP(A58,'Pedestrian Demand'!A:A,'Pedestrian Demand'!$D:$D,,0))*IF($B$10&gt;$B$9,$B$9,$B$10)*$B$7,0)</f>
        <v>37146.385467633452</v>
      </c>
      <c r="F58" s="1139">
        <f>IFERROR((_xlfn.XLOOKUP(A58,'Bike Demand'!A:A,'Bike Demand'!$B:$B,,0)+_xlfn.XLOOKUP(A58,'Bike Demand'!A:A,'Bike Demand'!$D:$D,,0))*$B$7*IF($B$13&gt;$B$12,$B$12,$B$13),0)</f>
        <v>34658.441136596826</v>
      </c>
      <c r="G58" s="1140">
        <f>_xlfn.XLOOKUP(A58,'Transit Demand'!A:A,'Transit Demand'!C:C,,0)*$B$15</f>
        <v>125859.59620404892</v>
      </c>
      <c r="H58" s="1141">
        <f t="shared" si="0"/>
        <v>150786.57167741001</v>
      </c>
      <c r="I58" s="1142">
        <f t="shared" si="1"/>
        <v>197664.4228082792</v>
      </c>
    </row>
    <row r="59" spans="1:9">
      <c r="A59" s="1137">
        <f>'Major Assumption Key'!A57</f>
        <v>2058</v>
      </c>
      <c r="B59" s="1138">
        <f>IFERROR(_xlfn.XLOOKUP(A59,'Pedestrian Demand'!A:A,'Pedestrian Demand'!B:B,,0)*IF($B$10&gt;$B$9,$B$9,$B$10)*$B$7,0)</f>
        <v>37313.72517404455</v>
      </c>
      <c r="C59" s="1139">
        <f>IFERROR(_xlfn.XLOOKUP(A59,'Bike Demand'!A:A,'Bike Demand'!$B:$B,,0)*$B$7*IF($B$13&gt;$B$12,$B$12,$B$13),0)</f>
        <v>2573.3603568306603</v>
      </c>
      <c r="D59" s="1140">
        <f>_xlfn.XLOOKUP(A59,'Transit Demand'!A:A,'Transit Demand'!B:B,,0)*$B$15</f>
        <v>111914.05493668774</v>
      </c>
      <c r="E59" s="1138">
        <f>IFERROR((_xlfn.XLOOKUP(A59,'Pedestrian Demand'!A:A,'Pedestrian Demand'!B:B,,0)+_xlfn.XLOOKUP(A59,'Pedestrian Demand'!A:A,'Pedestrian Demand'!$D:$D,,0))*IF($B$10&gt;$B$9,$B$9,$B$10)*$B$7,0)</f>
        <v>37688.790506189129</v>
      </c>
      <c r="F59" s="1139">
        <f>IFERROR((_xlfn.XLOOKUP(A59,'Bike Demand'!A:A,'Bike Demand'!$B:$B,,0)+_xlfn.XLOOKUP(A59,'Bike Demand'!A:A,'Bike Demand'!$D:$D,,0))*$B$7*IF($B$13&gt;$B$12,$B$12,$B$13),0)</f>
        <v>35169.258210019012</v>
      </c>
      <c r="G59" s="1140">
        <f>_xlfn.XLOOKUP(A59,'Transit Demand'!A:A,'Transit Demand'!C:C,,0)*$B$15</f>
        <v>126350.96802352049</v>
      </c>
      <c r="H59" s="1141">
        <f t="shared" si="0"/>
        <v>151801.14046756295</v>
      </c>
      <c r="I59" s="1142">
        <f t="shared" si="1"/>
        <v>199209.01673972863</v>
      </c>
    </row>
    <row r="60" spans="1:9">
      <c r="A60" s="1137">
        <f>'Major Assumption Key'!A58</f>
        <v>2059</v>
      </c>
      <c r="B60" s="1138">
        <f>IFERROR(_xlfn.XLOOKUP(A60,'Pedestrian Demand'!A:A,'Pedestrian Demand'!B:B,,0)*IF($B$10&gt;$B$9,$B$9,$B$10)*$B$7,0)</f>
        <v>37863.677430026393</v>
      </c>
      <c r="C60" s="1139">
        <f>IFERROR(_xlfn.XLOOKUP(A60,'Bike Demand'!A:A,'Bike Demand'!$B:$B,,0)*$B$7*IF($B$13&gt;$B$12,$B$12,$B$13),0)</f>
        <v>2611.2880986225118</v>
      </c>
      <c r="D60" s="1140">
        <f>_xlfn.XLOOKUP(A60,'Transit Demand'!A:A,'Transit Demand'!B:B,,0)*$B$15</f>
        <v>112350.98159510104</v>
      </c>
      <c r="E60" s="1138">
        <f>IFERROR((_xlfn.XLOOKUP(A60,'Pedestrian Demand'!A:A,'Pedestrian Demand'!B:B,,0)+_xlfn.XLOOKUP(A60,'Pedestrian Demand'!A:A,'Pedestrian Demand'!$D:$D,,0))*IF($B$10&gt;$B$9,$B$9,$B$10)*$B$7,0)</f>
        <v>38239.183344778692</v>
      </c>
      <c r="F60" s="1139">
        <f>IFERROR((_xlfn.XLOOKUP(A60,'Bike Demand'!A:A,'Bike Demand'!$B:$B,,0)+_xlfn.XLOOKUP(A60,'Bike Demand'!A:A,'Bike Demand'!$D:$D,,0))*$B$7*IF($B$13&gt;$B$12,$B$12,$B$13),0)</f>
        <v>35687.60401450764</v>
      </c>
      <c r="G60" s="1140">
        <f>_xlfn.XLOOKUP(A60,'Transit Demand'!A:A,'Transit Demand'!C:C,,0)*$B$15</f>
        <v>126844.2582208691</v>
      </c>
      <c r="H60" s="1141">
        <f t="shared" si="0"/>
        <v>152825.94712374994</v>
      </c>
      <c r="I60" s="1142">
        <f t="shared" si="1"/>
        <v>200771.04558015545</v>
      </c>
    </row>
    <row r="61" spans="1:9" ht="13.8" thickBot="1">
      <c r="A61" s="1483">
        <f>'Major Assumption Key'!A59</f>
        <v>2060</v>
      </c>
      <c r="B61" s="1484">
        <f>IFERROR(_xlfn.XLOOKUP(A61,'Pedestrian Demand'!A:A,'Pedestrian Demand'!B:B,,0)*IF($B$10&gt;$B$9,$B$9,$B$10)*$B$7,0)</f>
        <v>38421.735215071567</v>
      </c>
      <c r="C61" s="1485">
        <f>IFERROR(_xlfn.XLOOKUP(A61,'Bike Demand'!A:A,'Bike Demand'!$B:$B,,0)*$B$7*IF($B$13&gt;$B$12,$B$12,$B$13),0)</f>
        <v>2649.7748424187307</v>
      </c>
      <c r="D61" s="1486">
        <f>_xlfn.XLOOKUP(A61,'Transit Demand'!A:A,'Transit Demand'!B:B,,0)*$B$15</f>
        <v>112789.6140705803</v>
      </c>
      <c r="E61" s="1484">
        <f>IFERROR((_xlfn.XLOOKUP(A61,'Pedestrian Demand'!A:A,'Pedestrian Demand'!B:B,,0)+_xlfn.XLOOKUP(A61,'Pedestrian Demand'!A:A,'Pedestrian Demand'!$D:$D,,0))*IF($B$10&gt;$B$9,$B$9,$B$10)*$B$7,0)</f>
        <v>38797.681712431615</v>
      </c>
      <c r="F61" s="1485">
        <f>IFERROR((_xlfn.XLOOKUP(A61,'Bike Demand'!A:A,'Bike Demand'!$B:$B,,0)+_xlfn.XLOOKUP(A61,'Bike Demand'!A:A,'Bike Demand'!$D:$D,,0))*$B$7*IF($B$13&gt;$B$12,$B$12,$B$13),0)</f>
        <v>36213.589513055973</v>
      </c>
      <c r="G61" s="1486">
        <f>_xlfn.XLOOKUP(A61,'Transit Demand'!A:A,'Transit Demand'!C:C,,0)*$B$15</f>
        <v>127339.47428568518</v>
      </c>
      <c r="H61" s="1487">
        <f t="shared" si="0"/>
        <v>153861.1241280706</v>
      </c>
      <c r="I61" s="1488">
        <f t="shared" si="1"/>
        <v>202350.74551117275</v>
      </c>
    </row>
    <row r="65" s="1013" customFormat="1"/>
    <row r="66" s="1013" customFormat="1"/>
    <row r="67" s="1013" customFormat="1"/>
    <row r="68" s="1013" customFormat="1"/>
    <row r="69" s="1013" customFormat="1"/>
    <row r="70" s="1013" customFormat="1"/>
    <row r="71" s="1013" customFormat="1"/>
    <row r="72" s="1013" customFormat="1"/>
    <row r="73" s="1013" customFormat="1"/>
    <row r="74" s="1013" customFormat="1"/>
    <row r="75" s="1013" customFormat="1"/>
    <row r="76" s="1013" customFormat="1"/>
    <row r="77" s="1013" customFormat="1"/>
    <row r="78" s="1013" customFormat="1"/>
    <row r="79" s="1013" customFormat="1"/>
    <row r="80" s="1013" customFormat="1"/>
    <row r="81" s="1013" customFormat="1"/>
    <row r="82" s="1013" customFormat="1"/>
    <row r="83" s="1013" customFormat="1"/>
    <row r="84" s="1013" customFormat="1"/>
    <row r="85" s="1013" customFormat="1"/>
    <row r="86" s="1013" customFormat="1"/>
    <row r="87" s="1013" customFormat="1"/>
    <row r="88" s="1013" customFormat="1"/>
    <row r="89" s="1013" customFormat="1"/>
    <row r="90" s="1013" customFormat="1"/>
    <row r="91" s="1013" customFormat="1"/>
    <row r="92" s="1013" customFormat="1"/>
    <row r="93" s="1013" customFormat="1"/>
    <row r="94" s="1013" customFormat="1"/>
    <row r="95" s="1013" customFormat="1"/>
    <row r="96" s="1013" customFormat="1"/>
    <row r="97" s="1013" customFormat="1"/>
    <row r="98" s="1013" customFormat="1"/>
    <row r="99" s="1013" customFormat="1"/>
    <row r="100" s="1013" customFormat="1"/>
    <row r="101" s="1013" customFormat="1"/>
    <row r="102" s="1013" customFormat="1"/>
    <row r="103" s="1013" customFormat="1"/>
    <row r="104" s="1013" customFormat="1"/>
    <row r="105" s="1013" customFormat="1"/>
    <row r="106" s="1013" customFormat="1"/>
    <row r="107" s="1013" customFormat="1"/>
    <row r="108" s="1013" customFormat="1"/>
    <row r="109" s="1013" customFormat="1"/>
    <row r="110" s="1013" customFormat="1"/>
    <row r="111" s="1013" customFormat="1"/>
    <row r="112" s="1013" customFormat="1"/>
    <row r="113" s="1013" customFormat="1"/>
    <row r="114" s="1013" customFormat="1"/>
    <row r="115" s="1013" customFormat="1"/>
    <row r="116" s="1013" customFormat="1"/>
    <row r="117" s="1013" customFormat="1"/>
    <row r="118" s="1013" customFormat="1"/>
    <row r="119" s="1013" customFormat="1"/>
    <row r="120" s="1013" customFormat="1"/>
    <row r="121" s="1013" customFormat="1"/>
    <row r="122" s="1013" customFormat="1"/>
    <row r="123" s="1013" customFormat="1"/>
    <row r="124" s="1013" customFormat="1"/>
    <row r="125" s="1013" customFormat="1"/>
    <row r="126" s="1013" customFormat="1"/>
    <row r="127" s="1013" customFormat="1"/>
    <row r="128" s="1013" customFormat="1"/>
    <row r="129" s="1013" customFormat="1"/>
    <row r="130" s="1013" customFormat="1"/>
    <row r="131" s="1013" customFormat="1"/>
    <row r="132" s="1013" customFormat="1"/>
    <row r="133" s="1013" customFormat="1"/>
    <row r="134" s="1013" customFormat="1"/>
    <row r="135" s="1013" customFormat="1"/>
    <row r="136" s="1013" customFormat="1"/>
    <row r="137" s="1013" customFormat="1"/>
    <row r="138" s="1013" customFormat="1"/>
    <row r="139" s="1013" customFormat="1"/>
    <row r="140" s="1013" customFormat="1"/>
    <row r="141" s="1013" customFormat="1"/>
    <row r="142" s="1013" customFormat="1"/>
    <row r="143" s="1013" customFormat="1"/>
    <row r="144" s="1013" customFormat="1"/>
    <row r="145" s="1013" customFormat="1"/>
    <row r="146" s="1013" customFormat="1"/>
    <row r="147" s="1013" customFormat="1"/>
    <row r="148" s="1013" customFormat="1"/>
    <row r="149" s="1013" customFormat="1"/>
    <row r="150" s="1013" customFormat="1"/>
    <row r="151" s="1013" customFormat="1"/>
    <row r="152" s="1013" customFormat="1"/>
    <row r="153" s="1013" customFormat="1"/>
    <row r="154" s="1013" customFormat="1"/>
    <row r="155" s="1013" customFormat="1"/>
    <row r="156" s="1013" customFormat="1"/>
    <row r="157" s="1013" customFormat="1"/>
    <row r="158" s="1013" customFormat="1"/>
    <row r="159" s="1013" customFormat="1"/>
    <row r="160" s="1013" customFormat="1"/>
    <row r="161" s="1013" customFormat="1"/>
    <row r="162" s="1013" customFormat="1"/>
    <row r="163" s="1013" customFormat="1"/>
    <row r="164" s="1013" customFormat="1"/>
    <row r="165" s="1013" customFormat="1"/>
    <row r="166" s="1013" customFormat="1"/>
    <row r="167" s="1013" customFormat="1"/>
    <row r="168" s="1013" customFormat="1"/>
    <row r="169" s="1013" customFormat="1"/>
    <row r="170" s="1013" customFormat="1"/>
    <row r="171" s="1013" customFormat="1"/>
    <row r="172" s="1013" customFormat="1"/>
    <row r="173" s="1013" customFormat="1"/>
    <row r="174" s="1013" customFormat="1"/>
    <row r="175" s="1013" customFormat="1"/>
    <row r="176" s="1013" customFormat="1"/>
    <row r="177" s="1013" customFormat="1"/>
    <row r="178" s="1013" customFormat="1"/>
    <row r="179" s="1013" customFormat="1"/>
    <row r="180" s="1013" customFormat="1"/>
    <row r="181" s="1013" customFormat="1"/>
    <row r="182" s="1013" customFormat="1"/>
    <row r="183" s="1013" customFormat="1"/>
    <row r="184" s="1013" customFormat="1"/>
    <row r="185" s="1013" customFormat="1"/>
    <row r="186" s="1013" customFormat="1"/>
    <row r="187" s="1013" customFormat="1"/>
    <row r="188" s="1013" customFormat="1"/>
    <row r="189" s="1013" customFormat="1"/>
    <row r="190" s="1013" customFormat="1"/>
    <row r="191" s="1013" customFormat="1"/>
    <row r="192" s="1013" customFormat="1"/>
    <row r="193" s="1013" customFormat="1"/>
    <row r="194" s="1013" customFormat="1"/>
    <row r="195" s="1013" customFormat="1"/>
    <row r="196" s="1013" customFormat="1"/>
  </sheetData>
  <sheetProtection algorithmName="SHA-512" hashValue="VE2+RTi8RK78gw0jaJ5HMFWAmYD8IhrHvZee6fOWBjO/MGYqTJ6JlEe74HbWr6u43Z4gjROYzraTEPiDbfUmyA==" saltValue="4W/xTLgehacMOUXWWrd9aQ==" spinCount="100000" sheet="1" objects="1" scenarios="1"/>
  <mergeCells count="3">
    <mergeCell ref="B19:D19"/>
    <mergeCell ref="E19:G19"/>
    <mergeCell ref="H19:I1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sqref="A1:XFD1048576"/>
    </sheetView>
  </sheetViews>
  <sheetFormatPr defaultColWidth="8.77734375" defaultRowHeight="13.2" outlineLevelRow="1"/>
  <cols>
    <col min="1" max="1" width="26.44140625" style="1013" customWidth="1"/>
    <col min="2" max="2" width="20.77734375" style="1013" customWidth="1"/>
    <col min="3" max="3" width="21.21875" style="1013" bestFit="1" customWidth="1"/>
    <col min="4" max="4" width="23.5546875" style="1013" customWidth="1"/>
    <col min="5" max="13" width="23.44140625" style="1013" customWidth="1"/>
    <col min="14" max="14" width="18.5546875" style="1013" customWidth="1"/>
    <col min="15" max="15" width="16.21875" style="1013" customWidth="1"/>
    <col min="16" max="16" width="15.5546875" style="1013" customWidth="1"/>
    <col min="17" max="17" width="17" style="1013" customWidth="1"/>
    <col min="18" max="19" width="17.77734375" style="1013" customWidth="1"/>
    <col min="20" max="20" width="18.21875" style="1013" customWidth="1"/>
    <col min="21" max="21" width="17.44140625" style="1013" customWidth="1"/>
    <col min="22" max="22" width="16.77734375" style="1013" bestFit="1" customWidth="1"/>
    <col min="23" max="16384" width="8.77734375" style="1013"/>
  </cols>
  <sheetData>
    <row r="1" spans="1:13" ht="25.2" customHeight="1">
      <c r="A1" s="1025" t="s">
        <v>546</v>
      </c>
      <c r="B1" s="1026" t="s">
        <v>7270</v>
      </c>
      <c r="C1" s="1027"/>
      <c r="D1" s="1028"/>
      <c r="E1" s="1028"/>
      <c r="F1" s="1011"/>
      <c r="G1" s="1029"/>
    </row>
    <row r="2" spans="1:13" ht="14.4">
      <c r="A2" s="1030" t="str">
        <f>'Major Assumption Key'!$A$3</f>
        <v>Project Open Year:</v>
      </c>
      <c r="B2" s="1031">
        <f>'Major Assumption Key'!$B$3</f>
        <v>2028</v>
      </c>
    </row>
    <row r="3" spans="1:13" ht="14.4">
      <c r="A3" s="1030" t="str">
        <f>'Major Assumption Key'!$A$4</f>
        <v>Planning Horizon Begin Year:</v>
      </c>
      <c r="B3" s="1031">
        <f>'Major Assumption Key'!$B$4</f>
        <v>2022</v>
      </c>
    </row>
    <row r="4" spans="1:13" ht="14.4">
      <c r="A4" s="1030" t="str">
        <f>'Major Assumption Key'!$A$6</f>
        <v>Planning Horizon End Year:</v>
      </c>
      <c r="B4" s="1031">
        <f>'Major Assumption Key'!$B$6</f>
        <v>2047</v>
      </c>
    </row>
    <row r="5" spans="1:13">
      <c r="A5" s="1342" t="s">
        <v>7271</v>
      </c>
      <c r="B5" s="1436" t="s">
        <v>7272</v>
      </c>
    </row>
    <row r="6" spans="1:13">
      <c r="A6" s="1342" t="s">
        <v>7273</v>
      </c>
      <c r="B6" s="1436" t="s">
        <v>7274</v>
      </c>
    </row>
    <row r="7" spans="1:13">
      <c r="A7" s="1415"/>
      <c r="B7" s="1049"/>
      <c r="C7" s="1049"/>
    </row>
    <row r="8" spans="1:13" ht="13.8" thickBot="1">
      <c r="A8" s="1437" t="s">
        <v>7275</v>
      </c>
      <c r="B8" s="1049"/>
    </row>
    <row r="9" spans="1:13">
      <c r="A9" s="2126" t="s">
        <v>510</v>
      </c>
      <c r="B9" s="2124" t="s">
        <v>7276</v>
      </c>
      <c r="C9" s="2125"/>
      <c r="D9" s="2125"/>
      <c r="E9" s="2125" t="s">
        <v>7277</v>
      </c>
      <c r="F9" s="2125"/>
      <c r="G9" s="2125"/>
      <c r="H9" s="1438" t="s">
        <v>7278</v>
      </c>
      <c r="I9" s="1438" t="s">
        <v>7279</v>
      </c>
      <c r="J9" s="1438" t="s">
        <v>284</v>
      </c>
      <c r="K9" s="1438" t="s">
        <v>7280</v>
      </c>
      <c r="L9" s="1438" t="s">
        <v>7281</v>
      </c>
      <c r="M9" s="1439" t="s">
        <v>7282</v>
      </c>
    </row>
    <row r="10" spans="1:13" ht="39.6">
      <c r="A10" s="2127"/>
      <c r="B10" s="1440" t="s">
        <v>7283</v>
      </c>
      <c r="C10" s="1441" t="s">
        <v>7284</v>
      </c>
      <c r="D10" s="1441" t="s">
        <v>7285</v>
      </c>
      <c r="E10" s="1441" t="s">
        <v>7286</v>
      </c>
      <c r="F10" s="1441" t="s">
        <v>7284</v>
      </c>
      <c r="G10" s="1441" t="s">
        <v>7287</v>
      </c>
      <c r="H10" s="1441" t="s">
        <v>7288</v>
      </c>
      <c r="I10" s="1441" t="s">
        <v>7288</v>
      </c>
      <c r="J10" s="1441" t="s">
        <v>7288</v>
      </c>
      <c r="K10" s="1441" t="s">
        <v>7288</v>
      </c>
      <c r="L10" s="1441" t="s">
        <v>7288</v>
      </c>
      <c r="M10" s="1442" t="s">
        <v>7288</v>
      </c>
    </row>
    <row r="11" spans="1:13">
      <c r="A11" s="1032">
        <v>2020</v>
      </c>
      <c r="B11" s="1033">
        <f>IF(AND(A11&gt;=$B$2,A11&lt;=$B$4),SUM(D60,I60,N60,S60),0)</f>
        <v>0</v>
      </c>
      <c r="C11" s="1034">
        <f>IF(AND(A11&gt;=$B$2,A11&lt;=$B$4),SUM(E60,J60,O60,T60),0)</f>
        <v>0</v>
      </c>
      <c r="D11" s="1034">
        <f t="shared" ref="D11" si="0">C11-B11</f>
        <v>0</v>
      </c>
      <c r="E11" s="1034">
        <f t="shared" ref="E11" si="1">IF(AND(A11&gt;=$B$2,A11&lt;=$B$4),SUM(F295,M295,R295,G342),0)</f>
        <v>0</v>
      </c>
      <c r="F11" s="1034">
        <f t="shared" ref="F11" si="2">IF(AND(A11&gt;=$B$2,A11&lt;=$B$4),SUM(G295,N295,S295,H342),0)</f>
        <v>0</v>
      </c>
      <c r="G11" s="1034">
        <f t="shared" ref="G11" si="3">F11-E11</f>
        <v>0</v>
      </c>
      <c r="H11" s="1034">
        <f>IF(AND(A11&gt;=$B$2,A11&lt;=$B$4),SUM(H60,M60,R60,U60),0)</f>
        <v>0</v>
      </c>
      <c r="I11" s="1034">
        <f t="shared" ref="I11" si="4">IF(AND(A11&gt;=$B$2,A11&lt;=$B$4),SUM($H107,$M107,$R107,$U107),0)</f>
        <v>0</v>
      </c>
      <c r="J11" s="1034">
        <f t="shared" ref="J11" si="5">IF(AND(A11&gt;=$B$2,A11&lt;=$B$4),SUM($H154,$M154,$R154,$U154),0)</f>
        <v>0</v>
      </c>
      <c r="K11" s="1034">
        <f t="shared" ref="K11" si="6">IF(AND(A11&gt;=$B$2,A11&lt;=$B$4),SUM($H201,$M201,$R201,$U201),0)</f>
        <v>0</v>
      </c>
      <c r="L11" s="1034">
        <f t="shared" ref="L11" si="7">IF(AND(A11&gt;=$B$2,A11&lt;=$B$4),SUM($H248,$M248,$R248,$U248),0)</f>
        <v>0</v>
      </c>
      <c r="M11" s="1035">
        <f>IF(AND(A11&gt;=$B$2,A11&lt;=$B$4),SUM($J295,$Q295,V295,$K342),0)</f>
        <v>0</v>
      </c>
    </row>
    <row r="12" spans="1:13">
      <c r="A12" s="1032">
        <v>2021</v>
      </c>
      <c r="B12" s="1033">
        <f t="shared" ref="B12:B51" si="8">IF(AND(A12&gt;=$B$2,A12&lt;=$B$4),SUM(D61,I61,N61,S61),0)</f>
        <v>0</v>
      </c>
      <c r="C12" s="1034">
        <f t="shared" ref="C12:C51" si="9">IF(AND(A12&gt;=$B$2,A12&lt;=$B$4),SUM(E61,J61,O61,T61),0)</f>
        <v>0</v>
      </c>
      <c r="D12" s="1034">
        <f t="shared" ref="D12:D51" si="10">C12-B12</f>
        <v>0</v>
      </c>
      <c r="E12" s="1034">
        <f t="shared" ref="E12:E51" si="11">IF(AND(A12&gt;=$B$2,A12&lt;=$B$4),SUM(F296,M296,R296,G343),0)</f>
        <v>0</v>
      </c>
      <c r="F12" s="1034">
        <f t="shared" ref="F12:F51" si="12">IF(AND(A12&gt;=$B$2,A12&lt;=$B$4),SUM(G296,N296,S296,H343),0)</f>
        <v>0</v>
      </c>
      <c r="G12" s="1034">
        <f t="shared" ref="G12:G51" si="13">F12-E12</f>
        <v>0</v>
      </c>
      <c r="H12" s="1034">
        <f t="shared" ref="H12:H51" si="14">IF(AND(A12&gt;=$B$2,A12&lt;=$B$4),SUM(H61,M61,R61,U61),0)</f>
        <v>0</v>
      </c>
      <c r="I12" s="1034">
        <f t="shared" ref="I12:I51" si="15">IF(AND(A12&gt;=$B$2,A12&lt;=$B$4),SUM($H108,$M108,$R108,$U108),0)</f>
        <v>0</v>
      </c>
      <c r="J12" s="1034">
        <f t="shared" ref="J12:J51" si="16">IF(AND(A12&gt;=$B$2,A12&lt;=$B$4),SUM($H155,$M155,$R155,$U155),0)</f>
        <v>0</v>
      </c>
      <c r="K12" s="1034">
        <f t="shared" ref="K12:K51" si="17">IF(AND(A12&gt;=$B$2,A12&lt;=$B$4),SUM($H202,$M202,$R202,$U202),0)</f>
        <v>0</v>
      </c>
      <c r="L12" s="1034">
        <f t="shared" ref="L12:L51" si="18">IF(AND(A12&gt;=$B$2,A12&lt;=$B$4),SUM($H249,$M249,$R249,$U249),0)</f>
        <v>0</v>
      </c>
      <c r="M12" s="1035">
        <f t="shared" ref="M12:M51" si="19">IF(AND(A12&gt;=$B$2,A12&lt;=$B$4),SUM($J296,$Q296,V296,$K343),0)</f>
        <v>0</v>
      </c>
    </row>
    <row r="13" spans="1:13">
      <c r="A13" s="1032">
        <v>2022</v>
      </c>
      <c r="B13" s="1033">
        <f t="shared" si="8"/>
        <v>0</v>
      </c>
      <c r="C13" s="1034">
        <f t="shared" si="9"/>
        <v>0</v>
      </c>
      <c r="D13" s="1034">
        <f t="shared" si="10"/>
        <v>0</v>
      </c>
      <c r="E13" s="1034">
        <f t="shared" si="11"/>
        <v>0</v>
      </c>
      <c r="F13" s="1034">
        <f t="shared" si="12"/>
        <v>0</v>
      </c>
      <c r="G13" s="1034">
        <f t="shared" si="13"/>
        <v>0</v>
      </c>
      <c r="H13" s="1034">
        <f t="shared" si="14"/>
        <v>0</v>
      </c>
      <c r="I13" s="1034">
        <f t="shared" si="15"/>
        <v>0</v>
      </c>
      <c r="J13" s="1034">
        <f t="shared" si="16"/>
        <v>0</v>
      </c>
      <c r="K13" s="1034">
        <f t="shared" si="17"/>
        <v>0</v>
      </c>
      <c r="L13" s="1034">
        <f t="shared" si="18"/>
        <v>0</v>
      </c>
      <c r="M13" s="1035">
        <f t="shared" si="19"/>
        <v>0</v>
      </c>
    </row>
    <row r="14" spans="1:13">
      <c r="A14" s="1032">
        <v>2023</v>
      </c>
      <c r="B14" s="1033">
        <f t="shared" si="8"/>
        <v>0</v>
      </c>
      <c r="C14" s="1034">
        <f t="shared" si="9"/>
        <v>0</v>
      </c>
      <c r="D14" s="1034">
        <f t="shared" si="10"/>
        <v>0</v>
      </c>
      <c r="E14" s="1034">
        <f t="shared" si="11"/>
        <v>0</v>
      </c>
      <c r="F14" s="1034">
        <f t="shared" si="12"/>
        <v>0</v>
      </c>
      <c r="G14" s="1034">
        <f t="shared" si="13"/>
        <v>0</v>
      </c>
      <c r="H14" s="1034">
        <f t="shared" si="14"/>
        <v>0</v>
      </c>
      <c r="I14" s="1034">
        <f t="shared" si="15"/>
        <v>0</v>
      </c>
      <c r="J14" s="1034">
        <f t="shared" si="16"/>
        <v>0</v>
      </c>
      <c r="K14" s="1034">
        <f t="shared" si="17"/>
        <v>0</v>
      </c>
      <c r="L14" s="1034">
        <f t="shared" si="18"/>
        <v>0</v>
      </c>
      <c r="M14" s="1035">
        <f t="shared" si="19"/>
        <v>0</v>
      </c>
    </row>
    <row r="15" spans="1:13">
      <c r="A15" s="1032">
        <v>2024</v>
      </c>
      <c r="B15" s="1033">
        <f t="shared" si="8"/>
        <v>0</v>
      </c>
      <c r="C15" s="1034">
        <f t="shared" si="9"/>
        <v>0</v>
      </c>
      <c r="D15" s="1034">
        <f t="shared" si="10"/>
        <v>0</v>
      </c>
      <c r="E15" s="1034">
        <f t="shared" si="11"/>
        <v>0</v>
      </c>
      <c r="F15" s="1034">
        <f t="shared" si="12"/>
        <v>0</v>
      </c>
      <c r="G15" s="1034">
        <f t="shared" si="13"/>
        <v>0</v>
      </c>
      <c r="H15" s="1034">
        <f t="shared" si="14"/>
        <v>0</v>
      </c>
      <c r="I15" s="1034">
        <f t="shared" si="15"/>
        <v>0</v>
      </c>
      <c r="J15" s="1034">
        <f t="shared" si="16"/>
        <v>0</v>
      </c>
      <c r="K15" s="1034">
        <f t="shared" si="17"/>
        <v>0</v>
      </c>
      <c r="L15" s="1034">
        <f t="shared" si="18"/>
        <v>0</v>
      </c>
      <c r="M15" s="1035">
        <f t="shared" si="19"/>
        <v>0</v>
      </c>
    </row>
    <row r="16" spans="1:13">
      <c r="A16" s="1032">
        <v>2025</v>
      </c>
      <c r="B16" s="1033">
        <f t="shared" si="8"/>
        <v>0</v>
      </c>
      <c r="C16" s="1034">
        <f t="shared" si="9"/>
        <v>0</v>
      </c>
      <c r="D16" s="1034">
        <f t="shared" si="10"/>
        <v>0</v>
      </c>
      <c r="E16" s="1034">
        <f t="shared" si="11"/>
        <v>0</v>
      </c>
      <c r="F16" s="1034">
        <f t="shared" si="12"/>
        <v>0</v>
      </c>
      <c r="G16" s="1034">
        <f t="shared" si="13"/>
        <v>0</v>
      </c>
      <c r="H16" s="1034">
        <f t="shared" si="14"/>
        <v>0</v>
      </c>
      <c r="I16" s="1034">
        <f t="shared" si="15"/>
        <v>0</v>
      </c>
      <c r="J16" s="1034">
        <f t="shared" si="16"/>
        <v>0</v>
      </c>
      <c r="K16" s="1034">
        <f t="shared" si="17"/>
        <v>0</v>
      </c>
      <c r="L16" s="1034">
        <f t="shared" si="18"/>
        <v>0</v>
      </c>
      <c r="M16" s="1035">
        <f t="shared" si="19"/>
        <v>0</v>
      </c>
    </row>
    <row r="17" spans="1:13">
      <c r="A17" s="1032">
        <v>2026</v>
      </c>
      <c r="B17" s="1033">
        <f t="shared" si="8"/>
        <v>0</v>
      </c>
      <c r="C17" s="1034">
        <f t="shared" si="9"/>
        <v>0</v>
      </c>
      <c r="D17" s="1034">
        <f t="shared" si="10"/>
        <v>0</v>
      </c>
      <c r="E17" s="1034">
        <f t="shared" si="11"/>
        <v>0</v>
      </c>
      <c r="F17" s="1034">
        <f t="shared" si="12"/>
        <v>0</v>
      </c>
      <c r="G17" s="1034">
        <f t="shared" si="13"/>
        <v>0</v>
      </c>
      <c r="H17" s="1034">
        <f t="shared" si="14"/>
        <v>0</v>
      </c>
      <c r="I17" s="1034">
        <f t="shared" si="15"/>
        <v>0</v>
      </c>
      <c r="J17" s="1034">
        <f t="shared" si="16"/>
        <v>0</v>
      </c>
      <c r="K17" s="1034">
        <f t="shared" si="17"/>
        <v>0</v>
      </c>
      <c r="L17" s="1034">
        <f t="shared" si="18"/>
        <v>0</v>
      </c>
      <c r="M17" s="1035">
        <f t="shared" si="19"/>
        <v>0</v>
      </c>
    </row>
    <row r="18" spans="1:13">
      <c r="A18" s="1032">
        <v>2027</v>
      </c>
      <c r="B18" s="1033">
        <f t="shared" si="8"/>
        <v>0</v>
      </c>
      <c r="C18" s="1034">
        <f t="shared" si="9"/>
        <v>0</v>
      </c>
      <c r="D18" s="1034">
        <f t="shared" si="10"/>
        <v>0</v>
      </c>
      <c r="E18" s="1034">
        <f t="shared" si="11"/>
        <v>0</v>
      </c>
      <c r="F18" s="1034">
        <f t="shared" si="12"/>
        <v>0</v>
      </c>
      <c r="G18" s="1034">
        <f t="shared" si="13"/>
        <v>0</v>
      </c>
      <c r="H18" s="1034">
        <f t="shared" si="14"/>
        <v>0</v>
      </c>
      <c r="I18" s="1034">
        <f t="shared" si="15"/>
        <v>0</v>
      </c>
      <c r="J18" s="1034">
        <f t="shared" si="16"/>
        <v>0</v>
      </c>
      <c r="K18" s="1034">
        <f t="shared" si="17"/>
        <v>0</v>
      </c>
      <c r="L18" s="1034">
        <f t="shared" si="18"/>
        <v>0</v>
      </c>
      <c r="M18" s="1035">
        <f t="shared" si="19"/>
        <v>0</v>
      </c>
    </row>
    <row r="19" spans="1:13">
      <c r="A19" s="1032">
        <v>2028</v>
      </c>
      <c r="B19" s="1033">
        <f t="shared" si="8"/>
        <v>125283.66518371837</v>
      </c>
      <c r="C19" s="1034">
        <f t="shared" si="9"/>
        <v>159505.23113989137</v>
      </c>
      <c r="D19" s="1034">
        <f t="shared" si="10"/>
        <v>34221.565956172999</v>
      </c>
      <c r="E19" s="1034">
        <f t="shared" si="11"/>
        <v>27140.511744472191</v>
      </c>
      <c r="F19" s="1034">
        <f t="shared" si="12"/>
        <v>31300.760867081124</v>
      </c>
      <c r="G19" s="1034">
        <f t="shared" si="13"/>
        <v>4160.2491226089332</v>
      </c>
      <c r="H19" s="1034">
        <f t="shared" si="14"/>
        <v>6.5122287705661631E-3</v>
      </c>
      <c r="I19" s="1034">
        <f t="shared" si="15"/>
        <v>5.3365226439821181E-2</v>
      </c>
      <c r="J19" s="1034">
        <f t="shared" si="16"/>
        <v>4.9889851434443751E-2</v>
      </c>
      <c r="K19" s="1034">
        <f t="shared" si="17"/>
        <v>4.5761020661326014E-3</v>
      </c>
      <c r="L19" s="1034">
        <f t="shared" si="18"/>
        <v>5.3560326843034353E-3</v>
      </c>
      <c r="M19" s="1035">
        <f t="shared" si="19"/>
        <v>41.342542985857875</v>
      </c>
    </row>
    <row r="20" spans="1:13">
      <c r="A20" s="1032">
        <v>2029</v>
      </c>
      <c r="B20" s="1033">
        <f t="shared" si="8"/>
        <v>126051.4101147436</v>
      </c>
      <c r="C20" s="1034">
        <f t="shared" si="9"/>
        <v>160633.28849167028</v>
      </c>
      <c r="D20" s="1034">
        <f t="shared" si="10"/>
        <v>34581.878376926674</v>
      </c>
      <c r="E20" s="1034">
        <f t="shared" si="11"/>
        <v>26906.415614364294</v>
      </c>
      <c r="F20" s="1034">
        <f t="shared" si="12"/>
        <v>31039.956120918363</v>
      </c>
      <c r="G20" s="1034">
        <f t="shared" si="13"/>
        <v>4133.540506554069</v>
      </c>
      <c r="H20" s="1034">
        <f t="shared" si="14"/>
        <v>5.9787410183450634E-3</v>
      </c>
      <c r="I20" s="1034">
        <f t="shared" si="15"/>
        <v>4.9402382761658578E-2</v>
      </c>
      <c r="J20" s="1034">
        <f t="shared" si="16"/>
        <v>4.5318625823369249E-2</v>
      </c>
      <c r="K20" s="1034">
        <f t="shared" si="17"/>
        <v>4.0875526252072327E-3</v>
      </c>
      <c r="L20" s="1034">
        <f t="shared" si="18"/>
        <v>4.8010434790041693E-3</v>
      </c>
      <c r="M20" s="1035">
        <f t="shared" si="19"/>
        <v>41.065265994421523</v>
      </c>
    </row>
    <row r="21" spans="1:13">
      <c r="A21" s="1032">
        <v>2030</v>
      </c>
      <c r="B21" s="1033">
        <f t="shared" si="8"/>
        <v>126826.25891329831</v>
      </c>
      <c r="C21" s="1034">
        <f t="shared" si="9"/>
        <v>161773.21109371149</v>
      </c>
      <c r="D21" s="1034">
        <f t="shared" si="10"/>
        <v>34946.95218041318</v>
      </c>
      <c r="E21" s="1034">
        <f t="shared" si="11"/>
        <v>26678.951620129967</v>
      </c>
      <c r="F21" s="1034">
        <f t="shared" si="12"/>
        <v>30786.714328252099</v>
      </c>
      <c r="G21" s="1034">
        <f t="shared" si="13"/>
        <v>4107.7627081221326</v>
      </c>
      <c r="H21" s="1034">
        <f t="shared" si="14"/>
        <v>5.4890264416734783E-3</v>
      </c>
      <c r="I21" s="1034">
        <f t="shared" si="15"/>
        <v>4.5773795585721741E-2</v>
      </c>
      <c r="J21" s="1034">
        <f t="shared" si="16"/>
        <v>4.1166252248914723E-2</v>
      </c>
      <c r="K21" s="1034">
        <f t="shared" si="17"/>
        <v>3.651484999830304E-3</v>
      </c>
      <c r="L21" s="1034">
        <f t="shared" si="18"/>
        <v>4.303769140604906E-3</v>
      </c>
      <c r="M21" s="1035">
        <f t="shared" si="19"/>
        <v>40.797349611973878</v>
      </c>
    </row>
    <row r="22" spans="1:13">
      <c r="A22" s="1032">
        <v>2031</v>
      </c>
      <c r="B22" s="1033">
        <f t="shared" si="8"/>
        <v>127608.29983777468</v>
      </c>
      <c r="C22" s="1034">
        <f t="shared" si="9"/>
        <v>162925.15525253135</v>
      </c>
      <c r="D22" s="1034">
        <f t="shared" si="10"/>
        <v>35316.855414756661</v>
      </c>
      <c r="E22" s="1034">
        <f t="shared" si="11"/>
        <v>26457.873541757301</v>
      </c>
      <c r="F22" s="1034">
        <f t="shared" si="12"/>
        <v>30540.75751410345</v>
      </c>
      <c r="G22" s="1034">
        <f t="shared" si="13"/>
        <v>4082.8839723461497</v>
      </c>
      <c r="H22" s="1034">
        <f t="shared" si="14"/>
        <v>5.2345838214354849E-3</v>
      </c>
      <c r="I22" s="1034">
        <f t="shared" si="15"/>
        <v>4.3735255478420471E-2</v>
      </c>
      <c r="J22" s="1034">
        <f t="shared" si="16"/>
        <v>3.9498217023682426E-2</v>
      </c>
      <c r="K22" s="1034">
        <f t="shared" si="17"/>
        <v>3.332240265893625E-3</v>
      </c>
      <c r="L22" s="1034">
        <f t="shared" si="18"/>
        <v>3.9604981244907725E-3</v>
      </c>
      <c r="M22" s="1035">
        <f t="shared" si="19"/>
        <v>40.538470549429334</v>
      </c>
    </row>
    <row r="23" spans="1:13">
      <c r="A23" s="1032">
        <v>2032</v>
      </c>
      <c r="B23" s="1033">
        <f t="shared" si="8"/>
        <v>128397.62238317609</v>
      </c>
      <c r="C23" s="1034">
        <f t="shared" si="9"/>
        <v>164089.27950590255</v>
      </c>
      <c r="D23" s="1034">
        <f t="shared" si="10"/>
        <v>35691.657122726465</v>
      </c>
      <c r="E23" s="1034">
        <f t="shared" si="11"/>
        <v>26242.947519981637</v>
      </c>
      <c r="F23" s="1034">
        <f t="shared" si="12"/>
        <v>30301.821687921827</v>
      </c>
      <c r="G23" s="1034">
        <f t="shared" si="13"/>
        <v>4058.8741679401901</v>
      </c>
      <c r="H23" s="1034">
        <f t="shared" si="14"/>
        <v>4.9919432666152433E-3</v>
      </c>
      <c r="I23" s="1034">
        <f t="shared" si="15"/>
        <v>4.1794315154267181E-2</v>
      </c>
      <c r="J23" s="1034">
        <f t="shared" si="16"/>
        <v>3.7898926964936561E-2</v>
      </c>
      <c r="K23" s="1034">
        <f t="shared" si="17"/>
        <v>3.0410750266790798E-3</v>
      </c>
      <c r="L23" s="1034">
        <f t="shared" si="18"/>
        <v>3.6446753245042403E-3</v>
      </c>
      <c r="M23" s="1035">
        <f t="shared" si="19"/>
        <v>40.288322002454954</v>
      </c>
    </row>
    <row r="24" spans="1:13">
      <c r="A24" s="1032">
        <v>2033</v>
      </c>
      <c r="B24" s="1033">
        <f t="shared" si="8"/>
        <v>129194.31729909239</v>
      </c>
      <c r="C24" s="1034">
        <f t="shared" si="9"/>
        <v>165265.74465545668</v>
      </c>
      <c r="D24" s="1034">
        <f t="shared" si="10"/>
        <v>36071.427356364293</v>
      </c>
      <c r="E24" s="1034">
        <f t="shared" si="11"/>
        <v>26033.95129464308</v>
      </c>
      <c r="F24" s="1034">
        <f t="shared" si="12"/>
        <v>30069.655982848599</v>
      </c>
      <c r="G24" s="1034">
        <f t="shared" si="13"/>
        <v>4035.7046882055183</v>
      </c>
      <c r="H24" s="1034">
        <f t="shared" si="14"/>
        <v>4.760556952728901E-3</v>
      </c>
      <c r="I24" s="1034">
        <f t="shared" si="15"/>
        <v>3.9945983480879341E-2</v>
      </c>
      <c r="J24" s="1034">
        <f t="shared" si="16"/>
        <v>3.6365449332877824E-2</v>
      </c>
      <c r="K24" s="1034">
        <f t="shared" si="17"/>
        <v>2.7755096937861026E-3</v>
      </c>
      <c r="L24" s="1034">
        <f t="shared" si="18"/>
        <v>3.3541018137500296E-3</v>
      </c>
      <c r="M24" s="1035">
        <f t="shared" si="19"/>
        <v>40.046612643969269</v>
      </c>
    </row>
    <row r="25" spans="1:13">
      <c r="A25" s="1032">
        <v>2034</v>
      </c>
      <c r="B25" s="1033">
        <f t="shared" si="8"/>
        <v>129998.47660793914</v>
      </c>
      <c r="C25" s="1034">
        <f t="shared" si="9"/>
        <v>166454.71379976632</v>
      </c>
      <c r="D25" s="1034">
        <f t="shared" si="10"/>
        <v>36456.237191827182</v>
      </c>
      <c r="E25" s="1034">
        <f t="shared" si="11"/>
        <v>25830.673498759566</v>
      </c>
      <c r="F25" s="1034">
        <f t="shared" si="12"/>
        <v>29844.021857933567</v>
      </c>
      <c r="G25" s="1034">
        <f t="shared" si="13"/>
        <v>4013.3483591740005</v>
      </c>
      <c r="H25" s="1034">
        <f t="shared" si="14"/>
        <v>4.5399025054364862E-3</v>
      </c>
      <c r="I25" s="1034">
        <f t="shared" si="15"/>
        <v>3.8185538411637548E-2</v>
      </c>
      <c r="J25" s="1034">
        <f t="shared" si="16"/>
        <v>3.4894984921479445E-2</v>
      </c>
      <c r="K25" s="1034">
        <f t="shared" si="17"/>
        <v>2.5332842119274775E-3</v>
      </c>
      <c r="L25" s="1034">
        <f t="shared" si="18"/>
        <v>3.0867550749363055E-3</v>
      </c>
      <c r="M25" s="1035">
        <f t="shared" si="19"/>
        <v>39.813065690240343</v>
      </c>
    </row>
    <row r="26" spans="1:13">
      <c r="A26" s="1032">
        <v>2035</v>
      </c>
      <c r="B26" s="1033">
        <f t="shared" si="8"/>
        <v>130810.19362346479</v>
      </c>
      <c r="C26" s="1034">
        <f t="shared" si="9"/>
        <v>167656.35236791376</v>
      </c>
      <c r="D26" s="1034">
        <f t="shared" si="10"/>
        <v>36846.158744448971</v>
      </c>
      <c r="E26" s="1034">
        <f t="shared" si="11"/>
        <v>25632.913003618251</v>
      </c>
      <c r="F26" s="1034">
        <f t="shared" si="12"/>
        <v>29624.692357998283</v>
      </c>
      <c r="G26" s="1034">
        <f t="shared" si="13"/>
        <v>3991.7793543800326</v>
      </c>
      <c r="H26" s="1034">
        <f t="shared" si="14"/>
        <v>4.3294818170498007E-3</v>
      </c>
      <c r="I26" s="1034">
        <f t="shared" si="15"/>
        <v>3.6508511914174861E-2</v>
      </c>
      <c r="J26" s="1034">
        <f t="shared" si="16"/>
        <v>3.3484861289815052E-2</v>
      </c>
      <c r="K26" s="1034">
        <f t="shared" si="17"/>
        <v>2.3123385893201779E-3</v>
      </c>
      <c r="L26" s="1034">
        <f t="shared" si="18"/>
        <v>2.8407748328665001E-3</v>
      </c>
      <c r="M26" s="1035">
        <f t="shared" si="19"/>
        <v>39.58741803439122</v>
      </c>
    </row>
    <row r="27" spans="1:13">
      <c r="A27" s="1032">
        <v>2036</v>
      </c>
      <c r="B27" s="1033">
        <f t="shared" si="8"/>
        <v>131629.56296952936</v>
      </c>
      <c r="C27" s="1034">
        <f t="shared" si="9"/>
        <v>168870.82815355281</v>
      </c>
      <c r="D27" s="1034">
        <f t="shared" si="10"/>
        <v>37241.265184023447</v>
      </c>
      <c r="E27" s="1034">
        <f t="shared" si="11"/>
        <v>25440.478310635364</v>
      </c>
      <c r="F27" s="1034">
        <f t="shared" si="12"/>
        <v>29411.451426345222</v>
      </c>
      <c r="G27" s="1034">
        <f t="shared" si="13"/>
        <v>3970.9731157098577</v>
      </c>
      <c r="H27" s="1034">
        <f t="shared" si="14"/>
        <v>4.1288199181390263E-3</v>
      </c>
      <c r="I27" s="1034">
        <f t="shared" si="15"/>
        <v>3.4910675764868379E-2</v>
      </c>
      <c r="J27" s="1034">
        <f t="shared" si="16"/>
        <v>3.2132526389289429E-2</v>
      </c>
      <c r="K27" s="1034">
        <f t="shared" si="17"/>
        <v>2.110795156671176E-3</v>
      </c>
      <c r="L27" s="1034">
        <f t="shared" si="18"/>
        <v>2.6144500256275152E-3</v>
      </c>
      <c r="M27" s="1035">
        <f t="shared" si="19"/>
        <v>39.369419441705382</v>
      </c>
    </row>
    <row r="28" spans="1:13">
      <c r="A28" s="1032">
        <v>2037</v>
      </c>
      <c r="B28" s="1033">
        <f t="shared" si="8"/>
        <v>132456.68059915933</v>
      </c>
      <c r="C28" s="1034">
        <f t="shared" si="9"/>
        <v>170098.31134947221</v>
      </c>
      <c r="D28" s="1034">
        <f t="shared" si="10"/>
        <v>37641.630750312877</v>
      </c>
      <c r="E28" s="1034">
        <f t="shared" si="11"/>
        <v>25253.186986134555</v>
      </c>
      <c r="F28" s="1034">
        <f t="shared" si="12"/>
        <v>29204.093265963835</v>
      </c>
      <c r="G28" s="1034">
        <f t="shared" si="13"/>
        <v>3950.9062798292798</v>
      </c>
      <c r="H28" s="1034">
        <f t="shared" si="14"/>
        <v>3.9374639016693793E-3</v>
      </c>
      <c r="I28" s="1034">
        <f t="shared" si="15"/>
        <v>3.3388028158757702E-2</v>
      </c>
      <c r="J28" s="1034">
        <f t="shared" si="16"/>
        <v>3.083554255997193E-2</v>
      </c>
      <c r="K28" s="1034">
        <f t="shared" si="17"/>
        <v>1.9269424011763359E-3</v>
      </c>
      <c r="L28" s="1034">
        <f t="shared" si="18"/>
        <v>2.406206822899098E-3</v>
      </c>
      <c r="M28" s="1035">
        <f t="shared" si="19"/>
        <v>39.158831801657207</v>
      </c>
    </row>
    <row r="29" spans="1:13">
      <c r="A29" s="1032">
        <v>2038</v>
      </c>
      <c r="B29" s="1033">
        <f t="shared" si="8"/>
        <v>133291.64381388196</v>
      </c>
      <c r="C29" s="1034">
        <f t="shared" si="9"/>
        <v>171338.97458266688</v>
      </c>
      <c r="D29" s="1034">
        <f t="shared" si="10"/>
        <v>38047.330768784916</v>
      </c>
      <c r="E29" s="1034">
        <f t="shared" si="11"/>
        <v>25070.865135551729</v>
      </c>
      <c r="F29" s="1034">
        <f t="shared" si="12"/>
        <v>29002.42174528855</v>
      </c>
      <c r="G29" s="1034">
        <f t="shared" si="13"/>
        <v>3931.556609736821</v>
      </c>
      <c r="H29" s="1034">
        <f t="shared" si="14"/>
        <v>3.7549818972191034E-3</v>
      </c>
      <c r="I29" s="1034">
        <f t="shared" si="15"/>
        <v>3.1936781087298353E-2</v>
      </c>
      <c r="J29" s="1034">
        <f t="shared" si="16"/>
        <v>2.9591580871270041E-2</v>
      </c>
      <c r="K29" s="1034">
        <f t="shared" si="17"/>
        <v>1.7592202356023572E-3</v>
      </c>
      <c r="L29" s="1034">
        <f t="shared" si="18"/>
        <v>2.2145976071769108E-3</v>
      </c>
      <c r="M29" s="1035">
        <f t="shared" si="19"/>
        <v>38.955428432059776</v>
      </c>
    </row>
    <row r="30" spans="1:13">
      <c r="A30" s="1032">
        <v>2039</v>
      </c>
      <c r="B30" s="1033">
        <f t="shared" si="8"/>
        <v>134134.55128334393</v>
      </c>
      <c r="C30" s="1034">
        <f t="shared" si="9"/>
        <v>172592.9929499249</v>
      </c>
      <c r="D30" s="1034">
        <f t="shared" si="10"/>
        <v>38458.441666580969</v>
      </c>
      <c r="E30" s="1034">
        <f t="shared" si="11"/>
        <v>24893.346913895497</v>
      </c>
      <c r="F30" s="1034">
        <f t="shared" si="12"/>
        <v>28806.249844926646</v>
      </c>
      <c r="G30" s="1034">
        <f t="shared" si="13"/>
        <v>3912.9029310311489</v>
      </c>
      <c r="H30" s="1034">
        <f t="shared" si="14"/>
        <v>3.5809620929443198E-3</v>
      </c>
      <c r="I30" s="1034">
        <f t="shared" si="15"/>
        <v>3.0553348439164348E-2</v>
      </c>
      <c r="J30" s="1034">
        <f t="shared" si="16"/>
        <v>2.8398415784038861E-2</v>
      </c>
      <c r="K30" s="1034">
        <f t="shared" si="17"/>
        <v>1.6062065749594483E-3</v>
      </c>
      <c r="L30" s="1034">
        <f t="shared" si="18"/>
        <v>2.0382908404765819E-3</v>
      </c>
      <c r="M30" s="1035">
        <f t="shared" si="19"/>
        <v>38.75899343114677</v>
      </c>
    </row>
    <row r="31" spans="1:13">
      <c r="A31" s="1032">
        <v>2040</v>
      </c>
      <c r="B31" s="1033">
        <f t="shared" si="8"/>
        <v>134985.50306521778</v>
      </c>
      <c r="C31" s="1034">
        <f t="shared" si="9"/>
        <v>173860.54405393836</v>
      </c>
      <c r="D31" s="1034">
        <f t="shared" si="10"/>
        <v>38875.040988720575</v>
      </c>
      <c r="E31" s="1034">
        <f t="shared" si="11"/>
        <v>24720.474069580432</v>
      </c>
      <c r="F31" s="1034">
        <f t="shared" si="12"/>
        <v>28615.399142099315</v>
      </c>
      <c r="G31" s="1034">
        <f t="shared" si="13"/>
        <v>3894.9250725188831</v>
      </c>
      <c r="H31" s="1034">
        <f t="shared" si="14"/>
        <v>3.4150118030653862E-3</v>
      </c>
      <c r="I31" s="1034">
        <f t="shared" si="15"/>
        <v>2.9234334781954543E-2</v>
      </c>
      <c r="J31" s="1034">
        <f t="shared" si="16"/>
        <v>2.7253920112946386E-2</v>
      </c>
      <c r="K31" s="1034">
        <f t="shared" si="17"/>
        <v>1.4666051046046079E-3</v>
      </c>
      <c r="L31" s="1034">
        <f t="shared" si="18"/>
        <v>1.8760617453158718E-3</v>
      </c>
      <c r="M31" s="1035">
        <f t="shared" si="19"/>
        <v>38.569321073786796</v>
      </c>
    </row>
    <row r="32" spans="1:13">
      <c r="A32" s="1032">
        <v>2041</v>
      </c>
      <c r="B32" s="1033">
        <f t="shared" si="8"/>
        <v>135844.60062540101</v>
      </c>
      <c r="C32" s="1034">
        <f t="shared" si="9"/>
        <v>175141.80803994476</v>
      </c>
      <c r="D32" s="1034">
        <f t="shared" si="10"/>
        <v>39297.207414543751</v>
      </c>
      <c r="E32" s="1034">
        <f t="shared" si="11"/>
        <v>24552.095519009556</v>
      </c>
      <c r="F32" s="1034">
        <f t="shared" si="12"/>
        <v>28429.699329831845</v>
      </c>
      <c r="G32" s="1034">
        <f t="shared" si="13"/>
        <v>3877.6038108222892</v>
      </c>
      <c r="H32" s="1034">
        <f t="shared" si="14"/>
        <v>3.4274413379324774E-3</v>
      </c>
      <c r="I32" s="1034">
        <f t="shared" si="15"/>
        <v>2.9386391509227741E-2</v>
      </c>
      <c r="J32" s="1034">
        <f t="shared" si="16"/>
        <v>2.7342900482483268E-2</v>
      </c>
      <c r="K32" s="1034">
        <f t="shared" si="17"/>
        <v>1.4718018416818091E-3</v>
      </c>
      <c r="L32" s="1034">
        <f t="shared" si="18"/>
        <v>1.8827685798987123E-3</v>
      </c>
      <c r="M32" s="1035">
        <f t="shared" si="19"/>
        <v>38.386215248365353</v>
      </c>
    </row>
    <row r="33" spans="1:13">
      <c r="A33" s="1032">
        <v>2042</v>
      </c>
      <c r="B33" s="1033">
        <f t="shared" si="8"/>
        <v>136711.94685851183</v>
      </c>
      <c r="C33" s="1034">
        <f t="shared" si="9"/>
        <v>176436.96763290747</v>
      </c>
      <c r="D33" s="1034">
        <f t="shared" si="10"/>
        <v>39725.020774395642</v>
      </c>
      <c r="E33" s="1034">
        <f t="shared" si="11"/>
        <v>24388.066949515473</v>
      </c>
      <c r="F33" s="1034">
        <f t="shared" si="12"/>
        <v>28248.987768192219</v>
      </c>
      <c r="G33" s="1034">
        <f t="shared" si="13"/>
        <v>3860.9208186767464</v>
      </c>
      <c r="H33" s="1034">
        <f t="shared" si="14"/>
        <v>3.4399164433212255E-3</v>
      </c>
      <c r="I33" s="1034">
        <f t="shared" si="15"/>
        <v>2.9539323911391153E-2</v>
      </c>
      <c r="J33" s="1034">
        <f t="shared" si="16"/>
        <v>2.7432187895473855E-2</v>
      </c>
      <c r="K33" s="1034">
        <f t="shared" si="17"/>
        <v>1.4770174971807718E-3</v>
      </c>
      <c r="L33" s="1034">
        <f t="shared" si="18"/>
        <v>1.8894998548393555E-3</v>
      </c>
      <c r="M33" s="1035">
        <f t="shared" si="19"/>
        <v>38.209488931181426</v>
      </c>
    </row>
    <row r="34" spans="1:13">
      <c r="A34" s="1032">
        <v>2043</v>
      </c>
      <c r="B34" s="1033">
        <f t="shared" si="8"/>
        <v>137587.64610868582</v>
      </c>
      <c r="C34" s="1034">
        <f t="shared" si="9"/>
        <v>177746.20817524326</v>
      </c>
      <c r="D34" s="1034">
        <f t="shared" si="10"/>
        <v>40158.562066557439</v>
      </c>
      <c r="E34" s="1034">
        <f t="shared" si="11"/>
        <v>24228.250448479721</v>
      </c>
      <c r="F34" s="1034">
        <f t="shared" si="12"/>
        <v>28073.109065114895</v>
      </c>
      <c r="G34" s="1034">
        <f t="shared" si="13"/>
        <v>3844.8586166351743</v>
      </c>
      <c r="H34" s="1034">
        <f t="shared" si="14"/>
        <v>3.4524372830735083E-3</v>
      </c>
      <c r="I34" s="1034">
        <f t="shared" si="15"/>
        <v>2.9693136848857681E-2</v>
      </c>
      <c r="J34" s="1034">
        <f t="shared" si="16"/>
        <v>2.7521783303793471E-2</v>
      </c>
      <c r="K34" s="1034">
        <f t="shared" si="17"/>
        <v>1.4822521369109169E-3</v>
      </c>
      <c r="L34" s="1034">
        <f t="shared" si="18"/>
        <v>1.8962556564140014E-3</v>
      </c>
      <c r="M34" s="1035">
        <f t="shared" si="19"/>
        <v>38.038963695481335</v>
      </c>
    </row>
    <row r="35" spans="1:13">
      <c r="A35" s="1032">
        <v>2044</v>
      </c>
      <c r="B35" s="1033">
        <f t="shared" si="8"/>
        <v>138471.80419067823</v>
      </c>
      <c r="C35" s="1034">
        <f t="shared" si="9"/>
        <v>179069.71766510437</v>
      </c>
      <c r="D35" s="1034">
        <f t="shared" si="10"/>
        <v>40597.913474426139</v>
      </c>
      <c r="E35" s="1034">
        <f t="shared" si="11"/>
        <v>24072.514156639521</v>
      </c>
      <c r="F35" s="1034">
        <f t="shared" si="12"/>
        <v>27901.914684560314</v>
      </c>
      <c r="G35" s="1034">
        <f t="shared" si="13"/>
        <v>3829.4005279207922</v>
      </c>
      <c r="H35" s="1034">
        <f t="shared" si="14"/>
        <v>3.4650040216525112E-3</v>
      </c>
      <c r="I35" s="1034">
        <f t="shared" si="15"/>
        <v>2.98478352122378E-2</v>
      </c>
      <c r="J35" s="1034">
        <f t="shared" si="16"/>
        <v>2.7611687663164991E-2</v>
      </c>
      <c r="K35" s="1034">
        <f t="shared" si="17"/>
        <v>1.4875058269503577E-3</v>
      </c>
      <c r="L35" s="1034">
        <f t="shared" si="18"/>
        <v>1.9030360712397562E-3</v>
      </c>
      <c r="M35" s="1035">
        <f t="shared" si="19"/>
        <v>37.874469252499843</v>
      </c>
    </row>
    <row r="36" spans="1:13">
      <c r="A36" s="1032">
        <v>2045</v>
      </c>
      <c r="B36" s="1033">
        <f t="shared" si="8"/>
        <v>139364.52841127635</v>
      </c>
      <c r="C36" s="1034">
        <f t="shared" si="9"/>
        <v>180407.68679522406</v>
      </c>
      <c r="D36" s="1034">
        <f t="shared" si="10"/>
        <v>41043.15838394771</v>
      </c>
      <c r="E36" s="1034">
        <f t="shared" si="11"/>
        <v>23920.731943762228</v>
      </c>
      <c r="F36" s="1034">
        <f t="shared" si="12"/>
        <v>27735.262579954418</v>
      </c>
      <c r="G36" s="1034">
        <f t="shared" si="13"/>
        <v>3814.5306361921903</v>
      </c>
      <c r="H36" s="1034">
        <f t="shared" si="14"/>
        <v>3.4776168241448338E-3</v>
      </c>
      <c r="I36" s="1034">
        <f t="shared" si="15"/>
        <v>3.0003423922510101E-2</v>
      </c>
      <c r="J36" s="1034">
        <f t="shared" si="16"/>
        <v>2.7701901933162944E-2</v>
      </c>
      <c r="K36" s="1034">
        <f t="shared" si="17"/>
        <v>1.4927786336465837E-3</v>
      </c>
      <c r="L36" s="1034">
        <f t="shared" si="18"/>
        <v>1.9098411862756204E-3</v>
      </c>
      <c r="M36" s="1035">
        <f t="shared" si="19"/>
        <v>37.715843022107954</v>
      </c>
    </row>
    <row r="37" spans="1:13">
      <c r="A37" s="1032">
        <v>2046</v>
      </c>
      <c r="B37" s="1033">
        <f t="shared" si="8"/>
        <v>140265.92759102612</v>
      </c>
      <c r="C37" s="1034">
        <f t="shared" si="9"/>
        <v>181760.30899233304</v>
      </c>
      <c r="D37" s="1034">
        <f t="shared" si="10"/>
        <v>41494.38140130692</v>
      </c>
      <c r="E37" s="1034">
        <f t="shared" si="11"/>
        <v>23772.78310502267</v>
      </c>
      <c r="F37" s="1034">
        <f t="shared" si="12"/>
        <v>27573.016851027172</v>
      </c>
      <c r="G37" s="1034">
        <f t="shared" si="13"/>
        <v>3800.2337460045019</v>
      </c>
      <c r="H37" s="1034">
        <f t="shared" si="14"/>
        <v>3.490275856262453E-3</v>
      </c>
      <c r="I37" s="1034">
        <f t="shared" si="15"/>
        <v>3.0159907931192866E-2</v>
      </c>
      <c r="J37" s="1034">
        <f t="shared" si="16"/>
        <v>2.7792427077216852E-2</v>
      </c>
      <c r="K37" s="1034">
        <f t="shared" si="17"/>
        <v>1.4980706236170816E-3</v>
      </c>
      <c r="L37" s="1034">
        <f t="shared" si="18"/>
        <v>1.9166710888233911E-3</v>
      </c>
      <c r="M37" s="1035">
        <f t="shared" si="19"/>
        <v>37.562929730868255</v>
      </c>
    </row>
    <row r="38" spans="1:13">
      <c r="A38" s="1032">
        <v>2047</v>
      </c>
      <c r="B38" s="1033">
        <f t="shared" si="8"/>
        <v>141176.11208627842</v>
      </c>
      <c r="C38" s="1034">
        <f t="shared" si="9"/>
        <v>183127.78045715619</v>
      </c>
      <c r="D38" s="1034">
        <f t="shared" si="10"/>
        <v>41951.668370877771</v>
      </c>
      <c r="E38" s="1034">
        <f t="shared" si="11"/>
        <v>23628.552076558713</v>
      </c>
      <c r="F38" s="1034">
        <f t="shared" si="12"/>
        <v>27415.047422327418</v>
      </c>
      <c r="G38" s="1034">
        <f t="shared" si="13"/>
        <v>3786.4953457687043</v>
      </c>
      <c r="H38" s="1034">
        <f t="shared" si="14"/>
        <v>3.5029812843448273E-3</v>
      </c>
      <c r="I38" s="1034">
        <f t="shared" si="15"/>
        <v>3.0317292220516632E-2</v>
      </c>
      <c r="J38" s="1034">
        <f t="shared" si="16"/>
        <v>2.7883264062615435E-2</v>
      </c>
      <c r="K38" s="1034">
        <f t="shared" si="17"/>
        <v>1.5033818637499976E-3</v>
      </c>
      <c r="L38" s="1034">
        <f t="shared" si="18"/>
        <v>1.9235258665286322E-3</v>
      </c>
      <c r="M38" s="1035">
        <f t="shared" si="19"/>
        <v>37.415581035484927</v>
      </c>
    </row>
    <row r="39" spans="1:13">
      <c r="A39" s="1032">
        <v>2048</v>
      </c>
      <c r="B39" s="1033">
        <f t="shared" si="8"/>
        <v>0</v>
      </c>
      <c r="C39" s="1034">
        <f t="shared" si="9"/>
        <v>0</v>
      </c>
      <c r="D39" s="1034">
        <f t="shared" si="10"/>
        <v>0</v>
      </c>
      <c r="E39" s="1034">
        <f t="shared" si="11"/>
        <v>0</v>
      </c>
      <c r="F39" s="1034">
        <f t="shared" si="12"/>
        <v>0</v>
      </c>
      <c r="G39" s="1034">
        <f t="shared" si="13"/>
        <v>0</v>
      </c>
      <c r="H39" s="1034">
        <f t="shared" si="14"/>
        <v>0</v>
      </c>
      <c r="I39" s="1034">
        <f t="shared" si="15"/>
        <v>0</v>
      </c>
      <c r="J39" s="1034">
        <f t="shared" si="16"/>
        <v>0</v>
      </c>
      <c r="K39" s="1034">
        <f t="shared" si="17"/>
        <v>0</v>
      </c>
      <c r="L39" s="1034">
        <f t="shared" si="18"/>
        <v>0</v>
      </c>
      <c r="M39" s="1035">
        <f t="shared" si="19"/>
        <v>0</v>
      </c>
    </row>
    <row r="40" spans="1:13">
      <c r="A40" s="1032">
        <v>2049</v>
      </c>
      <c r="B40" s="1033">
        <f t="shared" si="8"/>
        <v>0</v>
      </c>
      <c r="C40" s="1034">
        <f t="shared" si="9"/>
        <v>0</v>
      </c>
      <c r="D40" s="1034">
        <f t="shared" si="10"/>
        <v>0</v>
      </c>
      <c r="E40" s="1034">
        <f t="shared" si="11"/>
        <v>0</v>
      </c>
      <c r="F40" s="1034">
        <f t="shared" si="12"/>
        <v>0</v>
      </c>
      <c r="G40" s="1034">
        <f t="shared" si="13"/>
        <v>0</v>
      </c>
      <c r="H40" s="1034">
        <f t="shared" si="14"/>
        <v>0</v>
      </c>
      <c r="I40" s="1034">
        <f t="shared" si="15"/>
        <v>0</v>
      </c>
      <c r="J40" s="1034">
        <f t="shared" si="16"/>
        <v>0</v>
      </c>
      <c r="K40" s="1034">
        <f t="shared" si="17"/>
        <v>0</v>
      </c>
      <c r="L40" s="1034">
        <f t="shared" si="18"/>
        <v>0</v>
      </c>
      <c r="M40" s="1035">
        <f t="shared" si="19"/>
        <v>0</v>
      </c>
    </row>
    <row r="41" spans="1:13">
      <c r="A41" s="1032">
        <v>2050</v>
      </c>
      <c r="B41" s="1033">
        <f t="shared" si="8"/>
        <v>0</v>
      </c>
      <c r="C41" s="1034">
        <f t="shared" si="9"/>
        <v>0</v>
      </c>
      <c r="D41" s="1034">
        <f t="shared" si="10"/>
        <v>0</v>
      </c>
      <c r="E41" s="1034">
        <f t="shared" si="11"/>
        <v>0</v>
      </c>
      <c r="F41" s="1034">
        <f t="shared" si="12"/>
        <v>0</v>
      </c>
      <c r="G41" s="1034">
        <f t="shared" si="13"/>
        <v>0</v>
      </c>
      <c r="H41" s="1034">
        <f t="shared" si="14"/>
        <v>0</v>
      </c>
      <c r="I41" s="1034">
        <f t="shared" si="15"/>
        <v>0</v>
      </c>
      <c r="J41" s="1034">
        <f t="shared" si="16"/>
        <v>0</v>
      </c>
      <c r="K41" s="1034">
        <f t="shared" si="17"/>
        <v>0</v>
      </c>
      <c r="L41" s="1034">
        <f t="shared" si="18"/>
        <v>0</v>
      </c>
      <c r="M41" s="1035">
        <f t="shared" si="19"/>
        <v>0</v>
      </c>
    </row>
    <row r="42" spans="1:13">
      <c r="A42" s="1032">
        <v>2051</v>
      </c>
      <c r="B42" s="1033">
        <f t="shared" si="8"/>
        <v>0</v>
      </c>
      <c r="C42" s="1034">
        <f t="shared" si="9"/>
        <v>0</v>
      </c>
      <c r="D42" s="1034">
        <f t="shared" si="10"/>
        <v>0</v>
      </c>
      <c r="E42" s="1034">
        <f t="shared" si="11"/>
        <v>0</v>
      </c>
      <c r="F42" s="1034">
        <f t="shared" si="12"/>
        <v>0</v>
      </c>
      <c r="G42" s="1034">
        <f t="shared" si="13"/>
        <v>0</v>
      </c>
      <c r="H42" s="1034">
        <f t="shared" si="14"/>
        <v>0</v>
      </c>
      <c r="I42" s="1034">
        <f t="shared" si="15"/>
        <v>0</v>
      </c>
      <c r="J42" s="1034">
        <f t="shared" si="16"/>
        <v>0</v>
      </c>
      <c r="K42" s="1034">
        <f t="shared" si="17"/>
        <v>0</v>
      </c>
      <c r="L42" s="1034">
        <f t="shared" si="18"/>
        <v>0</v>
      </c>
      <c r="M42" s="1035">
        <f t="shared" si="19"/>
        <v>0</v>
      </c>
    </row>
    <row r="43" spans="1:13">
      <c r="A43" s="1032">
        <v>2052</v>
      </c>
      <c r="B43" s="1033">
        <f t="shared" si="8"/>
        <v>0</v>
      </c>
      <c r="C43" s="1034">
        <f t="shared" si="9"/>
        <v>0</v>
      </c>
      <c r="D43" s="1034">
        <f t="shared" si="10"/>
        <v>0</v>
      </c>
      <c r="E43" s="1034">
        <f t="shared" si="11"/>
        <v>0</v>
      </c>
      <c r="F43" s="1034">
        <f t="shared" si="12"/>
        <v>0</v>
      </c>
      <c r="G43" s="1034">
        <f t="shared" si="13"/>
        <v>0</v>
      </c>
      <c r="H43" s="1034">
        <f t="shared" si="14"/>
        <v>0</v>
      </c>
      <c r="I43" s="1034">
        <f t="shared" si="15"/>
        <v>0</v>
      </c>
      <c r="J43" s="1034">
        <f t="shared" si="16"/>
        <v>0</v>
      </c>
      <c r="K43" s="1034">
        <f t="shared" si="17"/>
        <v>0</v>
      </c>
      <c r="L43" s="1034">
        <f t="shared" si="18"/>
        <v>0</v>
      </c>
      <c r="M43" s="1035">
        <f t="shared" si="19"/>
        <v>0</v>
      </c>
    </row>
    <row r="44" spans="1:13">
      <c r="A44" s="1032">
        <v>2053</v>
      </c>
      <c r="B44" s="1033">
        <f t="shared" si="8"/>
        <v>0</v>
      </c>
      <c r="C44" s="1034">
        <f t="shared" si="9"/>
        <v>0</v>
      </c>
      <c r="D44" s="1034">
        <f t="shared" si="10"/>
        <v>0</v>
      </c>
      <c r="E44" s="1034">
        <f t="shared" si="11"/>
        <v>0</v>
      </c>
      <c r="F44" s="1034">
        <f t="shared" si="12"/>
        <v>0</v>
      </c>
      <c r="G44" s="1034">
        <f t="shared" si="13"/>
        <v>0</v>
      </c>
      <c r="H44" s="1034">
        <f t="shared" si="14"/>
        <v>0</v>
      </c>
      <c r="I44" s="1034">
        <f t="shared" si="15"/>
        <v>0</v>
      </c>
      <c r="J44" s="1034">
        <f t="shared" si="16"/>
        <v>0</v>
      </c>
      <c r="K44" s="1034">
        <f t="shared" si="17"/>
        <v>0</v>
      </c>
      <c r="L44" s="1034">
        <f t="shared" si="18"/>
        <v>0</v>
      </c>
      <c r="M44" s="1035">
        <f t="shared" si="19"/>
        <v>0</v>
      </c>
    </row>
    <row r="45" spans="1:13">
      <c r="A45" s="1032">
        <v>2054</v>
      </c>
      <c r="B45" s="1033">
        <f t="shared" si="8"/>
        <v>0</v>
      </c>
      <c r="C45" s="1034">
        <f t="shared" si="9"/>
        <v>0</v>
      </c>
      <c r="D45" s="1034">
        <f t="shared" si="10"/>
        <v>0</v>
      </c>
      <c r="E45" s="1034">
        <f t="shared" si="11"/>
        <v>0</v>
      </c>
      <c r="F45" s="1034">
        <f t="shared" si="12"/>
        <v>0</v>
      </c>
      <c r="G45" s="1034">
        <f t="shared" si="13"/>
        <v>0</v>
      </c>
      <c r="H45" s="1034">
        <f t="shared" si="14"/>
        <v>0</v>
      </c>
      <c r="I45" s="1034">
        <f t="shared" si="15"/>
        <v>0</v>
      </c>
      <c r="J45" s="1034">
        <f t="shared" si="16"/>
        <v>0</v>
      </c>
      <c r="K45" s="1034">
        <f t="shared" si="17"/>
        <v>0</v>
      </c>
      <c r="L45" s="1034">
        <f t="shared" si="18"/>
        <v>0</v>
      </c>
      <c r="M45" s="1035">
        <f t="shared" si="19"/>
        <v>0</v>
      </c>
    </row>
    <row r="46" spans="1:13">
      <c r="A46" s="1032">
        <v>2055</v>
      </c>
      <c r="B46" s="1033">
        <f t="shared" si="8"/>
        <v>0</v>
      </c>
      <c r="C46" s="1034">
        <f t="shared" si="9"/>
        <v>0</v>
      </c>
      <c r="D46" s="1034">
        <f t="shared" si="10"/>
        <v>0</v>
      </c>
      <c r="E46" s="1034">
        <f t="shared" si="11"/>
        <v>0</v>
      </c>
      <c r="F46" s="1034">
        <f t="shared" si="12"/>
        <v>0</v>
      </c>
      <c r="G46" s="1034">
        <f t="shared" si="13"/>
        <v>0</v>
      </c>
      <c r="H46" s="1034">
        <f t="shared" si="14"/>
        <v>0</v>
      </c>
      <c r="I46" s="1034">
        <f t="shared" si="15"/>
        <v>0</v>
      </c>
      <c r="J46" s="1034">
        <f t="shared" si="16"/>
        <v>0</v>
      </c>
      <c r="K46" s="1034">
        <f t="shared" si="17"/>
        <v>0</v>
      </c>
      <c r="L46" s="1034">
        <f t="shared" si="18"/>
        <v>0</v>
      </c>
      <c r="M46" s="1035">
        <f t="shared" si="19"/>
        <v>0</v>
      </c>
    </row>
    <row r="47" spans="1:13">
      <c r="A47" s="1032">
        <v>2056</v>
      </c>
      <c r="B47" s="1033">
        <f t="shared" si="8"/>
        <v>0</v>
      </c>
      <c r="C47" s="1034">
        <f t="shared" si="9"/>
        <v>0</v>
      </c>
      <c r="D47" s="1034">
        <f t="shared" si="10"/>
        <v>0</v>
      </c>
      <c r="E47" s="1034">
        <f t="shared" si="11"/>
        <v>0</v>
      </c>
      <c r="F47" s="1034">
        <f t="shared" si="12"/>
        <v>0</v>
      </c>
      <c r="G47" s="1034">
        <f t="shared" si="13"/>
        <v>0</v>
      </c>
      <c r="H47" s="1034">
        <f t="shared" si="14"/>
        <v>0</v>
      </c>
      <c r="I47" s="1034">
        <f t="shared" si="15"/>
        <v>0</v>
      </c>
      <c r="J47" s="1034">
        <f t="shared" si="16"/>
        <v>0</v>
      </c>
      <c r="K47" s="1034">
        <f t="shared" si="17"/>
        <v>0</v>
      </c>
      <c r="L47" s="1034">
        <f t="shared" si="18"/>
        <v>0</v>
      </c>
      <c r="M47" s="1035">
        <f t="shared" si="19"/>
        <v>0</v>
      </c>
    </row>
    <row r="48" spans="1:13">
      <c r="A48" s="1032">
        <v>2057</v>
      </c>
      <c r="B48" s="1033">
        <f t="shared" si="8"/>
        <v>0</v>
      </c>
      <c r="C48" s="1034">
        <f t="shared" si="9"/>
        <v>0</v>
      </c>
      <c r="D48" s="1034">
        <f t="shared" si="10"/>
        <v>0</v>
      </c>
      <c r="E48" s="1034">
        <f t="shared" si="11"/>
        <v>0</v>
      </c>
      <c r="F48" s="1034">
        <f t="shared" si="12"/>
        <v>0</v>
      </c>
      <c r="G48" s="1034">
        <f t="shared" si="13"/>
        <v>0</v>
      </c>
      <c r="H48" s="1034">
        <f t="shared" si="14"/>
        <v>0</v>
      </c>
      <c r="I48" s="1034">
        <f t="shared" si="15"/>
        <v>0</v>
      </c>
      <c r="J48" s="1034">
        <f t="shared" si="16"/>
        <v>0</v>
      </c>
      <c r="K48" s="1034">
        <f t="shared" si="17"/>
        <v>0</v>
      </c>
      <c r="L48" s="1034">
        <f t="shared" si="18"/>
        <v>0</v>
      </c>
      <c r="M48" s="1035">
        <f t="shared" si="19"/>
        <v>0</v>
      </c>
    </row>
    <row r="49" spans="1:21">
      <c r="A49" s="1032">
        <v>2058</v>
      </c>
      <c r="B49" s="1033">
        <f t="shared" si="8"/>
        <v>0</v>
      </c>
      <c r="C49" s="1034">
        <f t="shared" si="9"/>
        <v>0</v>
      </c>
      <c r="D49" s="1034">
        <f t="shared" si="10"/>
        <v>0</v>
      </c>
      <c r="E49" s="1034">
        <f t="shared" si="11"/>
        <v>0</v>
      </c>
      <c r="F49" s="1034">
        <f t="shared" si="12"/>
        <v>0</v>
      </c>
      <c r="G49" s="1034">
        <f t="shared" si="13"/>
        <v>0</v>
      </c>
      <c r="H49" s="1034">
        <f t="shared" si="14"/>
        <v>0</v>
      </c>
      <c r="I49" s="1034">
        <f t="shared" si="15"/>
        <v>0</v>
      </c>
      <c r="J49" s="1034">
        <f t="shared" si="16"/>
        <v>0</v>
      </c>
      <c r="K49" s="1034">
        <f t="shared" si="17"/>
        <v>0</v>
      </c>
      <c r="L49" s="1034">
        <f t="shared" si="18"/>
        <v>0</v>
      </c>
      <c r="M49" s="1035">
        <f t="shared" si="19"/>
        <v>0</v>
      </c>
    </row>
    <row r="50" spans="1:21">
      <c r="A50" s="1032">
        <v>2059</v>
      </c>
      <c r="B50" s="1033">
        <f t="shared" si="8"/>
        <v>0</v>
      </c>
      <c r="C50" s="1034">
        <f t="shared" si="9"/>
        <v>0</v>
      </c>
      <c r="D50" s="1034">
        <f t="shared" si="10"/>
        <v>0</v>
      </c>
      <c r="E50" s="1034">
        <f t="shared" si="11"/>
        <v>0</v>
      </c>
      <c r="F50" s="1034">
        <f t="shared" si="12"/>
        <v>0</v>
      </c>
      <c r="G50" s="1034">
        <f t="shared" si="13"/>
        <v>0</v>
      </c>
      <c r="H50" s="1034">
        <f t="shared" si="14"/>
        <v>0</v>
      </c>
      <c r="I50" s="1034">
        <f t="shared" si="15"/>
        <v>0</v>
      </c>
      <c r="J50" s="1034">
        <f t="shared" si="16"/>
        <v>0</v>
      </c>
      <c r="K50" s="1034">
        <f t="shared" si="17"/>
        <v>0</v>
      </c>
      <c r="L50" s="1034">
        <f t="shared" si="18"/>
        <v>0</v>
      </c>
      <c r="M50" s="1035">
        <f t="shared" si="19"/>
        <v>0</v>
      </c>
    </row>
    <row r="51" spans="1:21">
      <c r="A51" s="1032">
        <v>2060</v>
      </c>
      <c r="B51" s="1033">
        <f t="shared" si="8"/>
        <v>0</v>
      </c>
      <c r="C51" s="1034">
        <f t="shared" si="9"/>
        <v>0</v>
      </c>
      <c r="D51" s="1034">
        <f t="shared" si="10"/>
        <v>0</v>
      </c>
      <c r="E51" s="1034">
        <f t="shared" si="11"/>
        <v>0</v>
      </c>
      <c r="F51" s="1034">
        <f t="shared" si="12"/>
        <v>0</v>
      </c>
      <c r="G51" s="1034">
        <f t="shared" si="13"/>
        <v>0</v>
      </c>
      <c r="H51" s="1034">
        <f t="shared" si="14"/>
        <v>0</v>
      </c>
      <c r="I51" s="1034">
        <f t="shared" si="15"/>
        <v>0</v>
      </c>
      <c r="J51" s="1034">
        <f t="shared" si="16"/>
        <v>0</v>
      </c>
      <c r="K51" s="1034">
        <f t="shared" si="17"/>
        <v>0</v>
      </c>
      <c r="L51" s="1034">
        <f t="shared" si="18"/>
        <v>0</v>
      </c>
      <c r="M51" s="1035">
        <f t="shared" si="19"/>
        <v>0</v>
      </c>
    </row>
    <row r="52" spans="1:21">
      <c r="A52" s="1049" t="s">
        <v>473</v>
      </c>
      <c r="B52" s="1443">
        <f>SUMIFS(B11:B51,$A11:$A51,"&gt;="&amp;$B$3,$A11:$A51,"&lt;="&amp;$B$4)</f>
        <v>2660090.7515661977</v>
      </c>
      <c r="C52" s="1443">
        <f>SUMIFS(C11:C51,$A11:$A51,"&gt;="&amp;$B$3,$A11:$A51,"&lt;="&amp;$B$4)</f>
        <v>3418755.1051543118</v>
      </c>
      <c r="D52" s="1443">
        <f t="shared" ref="D52:L52" si="20">SUMIFS(D11:D51,$A11:$A51,"&gt;="&amp;$B$3,$A11:$A51,"&lt;="&amp;$B$4)</f>
        <v>758664.35358811461</v>
      </c>
      <c r="E52" s="1443">
        <f t="shared" si="20"/>
        <v>504865.58345251181</v>
      </c>
      <c r="F52" s="1443">
        <f t="shared" si="20"/>
        <v>583925.03384268912</v>
      </c>
      <c r="G52" s="1443">
        <f t="shared" si="20"/>
        <v>79059.450390177415</v>
      </c>
      <c r="H52" s="1443">
        <f t="shared" si="20"/>
        <v>8.490937725761967E-2</v>
      </c>
      <c r="I52" s="1443">
        <f t="shared" si="20"/>
        <v>0.71768148901455808</v>
      </c>
      <c r="J52" s="1443">
        <f t="shared" si="20"/>
        <v>0.6600153071749465</v>
      </c>
      <c r="K52" s="1443">
        <f t="shared" si="20"/>
        <v>4.5592165375528043E-2</v>
      </c>
      <c r="L52" s="1443">
        <f t="shared" si="20"/>
        <v>5.5818855819975796E-2</v>
      </c>
      <c r="M52" s="1443">
        <f>SUMIFS(M11:M51,$A11:$A51,"&gt;="&amp;$B$3,$A11:$A51,"&lt;="&amp;$B$4)</f>
        <v>783.49453260908342</v>
      </c>
    </row>
    <row r="53" spans="1:21" ht="13.8" thickBot="1">
      <c r="A53" s="1049" t="s">
        <v>7289</v>
      </c>
      <c r="B53" s="1444">
        <f>AVERAGEIFS(B11:B51,$A11:$A51,"&gt;="&amp;$B$3,$A11:$A51,"&lt;="&amp;$B$4)</f>
        <v>102311.18275254607</v>
      </c>
      <c r="C53" s="1445">
        <f t="shared" ref="C53:M53" si="21">AVERAGEIFS(C11:C51,$A11:$A51,"&gt;="&amp;$B$3,$A11:$A51,"&lt;="&amp;$B$4)</f>
        <v>131490.58096747354</v>
      </c>
      <c r="D53" s="1445">
        <f t="shared" si="21"/>
        <v>29179.398214927485</v>
      </c>
      <c r="E53" s="1445">
        <f t="shared" si="21"/>
        <v>19417.907055865839</v>
      </c>
      <c r="F53" s="1445">
        <f t="shared" si="21"/>
        <v>22458.655147795736</v>
      </c>
      <c r="G53" s="1445">
        <f t="shared" si="21"/>
        <v>3040.7480919299005</v>
      </c>
      <c r="H53" s="1445">
        <f t="shared" si="21"/>
        <v>3.2657452791392183E-3</v>
      </c>
      <c r="I53" s="1445">
        <f t="shared" si="21"/>
        <v>2.7603134192867619E-2</v>
      </c>
      <c r="J53" s="1445">
        <f t="shared" si="21"/>
        <v>2.5385204122113328E-2</v>
      </c>
      <c r="K53" s="1445">
        <f t="shared" si="21"/>
        <v>1.7535448221356941E-3</v>
      </c>
      <c r="L53" s="1445">
        <f t="shared" si="21"/>
        <v>2.146879069999069E-3</v>
      </c>
      <c r="M53" s="1445">
        <f t="shared" si="21"/>
        <v>30.134405100349362</v>
      </c>
    </row>
    <row r="54" spans="1:21">
      <c r="A54" s="1049"/>
      <c r="B54" s="1446"/>
      <c r="C54" s="1049"/>
    </row>
    <row r="55" spans="1:21">
      <c r="A55" s="1049"/>
      <c r="B55" s="1049"/>
      <c r="C55" s="1049"/>
    </row>
    <row r="56" spans="1:21" ht="13.8" thickBot="1">
      <c r="B56" s="1049"/>
      <c r="C56" s="1049"/>
      <c r="D56" s="1049"/>
    </row>
    <row r="57" spans="1:21" ht="13.8" thickBot="1">
      <c r="A57" s="1050" t="s">
        <v>7278</v>
      </c>
      <c r="B57" s="1051"/>
      <c r="C57" s="1051"/>
      <c r="D57" s="2108" t="s">
        <v>7290</v>
      </c>
      <c r="E57" s="2109"/>
      <c r="F57" s="2109"/>
      <c r="G57" s="2109"/>
      <c r="H57" s="2110"/>
      <c r="I57" s="2102" t="s">
        <v>7291</v>
      </c>
      <c r="J57" s="2103"/>
      <c r="K57" s="2103"/>
      <c r="L57" s="2103"/>
      <c r="M57" s="2104"/>
      <c r="N57" s="2105" t="s">
        <v>7292</v>
      </c>
      <c r="O57" s="2106"/>
      <c r="P57" s="2106"/>
      <c r="Q57" s="2106"/>
      <c r="R57" s="2107"/>
      <c r="S57" s="2105" t="s">
        <v>7293</v>
      </c>
      <c r="T57" s="2106"/>
      <c r="U57" s="2107"/>
    </row>
    <row r="58" spans="1:21">
      <c r="A58" s="2111" t="s">
        <v>510</v>
      </c>
      <c r="B58" s="1052" t="s">
        <v>7294</v>
      </c>
      <c r="C58" s="1052" t="s">
        <v>7295</v>
      </c>
      <c r="D58" s="1053" t="s">
        <v>66</v>
      </c>
      <c r="E58" s="1447" t="s">
        <v>131</v>
      </c>
      <c r="F58" s="1448" t="s">
        <v>487</v>
      </c>
      <c r="G58" s="1055" t="s">
        <v>131</v>
      </c>
      <c r="H58" s="1056" t="s">
        <v>7296</v>
      </c>
      <c r="I58" s="1057" t="s">
        <v>66</v>
      </c>
      <c r="J58" s="1058" t="s">
        <v>131</v>
      </c>
      <c r="K58" s="1059" t="s">
        <v>487</v>
      </c>
      <c r="L58" s="1059" t="s">
        <v>131</v>
      </c>
      <c r="M58" s="1060" t="s">
        <v>7296</v>
      </c>
      <c r="N58" s="1057" t="s">
        <v>66</v>
      </c>
      <c r="O58" s="1058" t="s">
        <v>131</v>
      </c>
      <c r="P58" s="1061" t="s">
        <v>487</v>
      </c>
      <c r="Q58" s="1061" t="s">
        <v>131</v>
      </c>
      <c r="R58" s="1062" t="s">
        <v>7296</v>
      </c>
      <c r="S58" s="1063" t="s">
        <v>487</v>
      </c>
      <c r="T58" s="1064" t="s">
        <v>131</v>
      </c>
      <c r="U58" s="1065" t="s">
        <v>7296</v>
      </c>
    </row>
    <row r="59" spans="1:21" ht="39.6">
      <c r="A59" s="2112"/>
      <c r="B59" s="1066" t="s">
        <v>7297</v>
      </c>
      <c r="C59" s="1066" t="s">
        <v>7297</v>
      </c>
      <c r="D59" s="1067" t="s">
        <v>7298</v>
      </c>
      <c r="E59" s="1449" t="s">
        <v>7298</v>
      </c>
      <c r="F59" s="1450" t="s">
        <v>7299</v>
      </c>
      <c r="G59" s="1069" t="s">
        <v>7299</v>
      </c>
      <c r="H59" s="1070" t="s">
        <v>7300</v>
      </c>
      <c r="I59" s="1067" t="s">
        <v>7298</v>
      </c>
      <c r="J59" s="1068" t="s">
        <v>7298</v>
      </c>
      <c r="K59" s="1071" t="s">
        <v>7299</v>
      </c>
      <c r="L59" s="1071" t="s">
        <v>7299</v>
      </c>
      <c r="M59" s="1072" t="s">
        <v>7300</v>
      </c>
      <c r="N59" s="1067" t="s">
        <v>7298</v>
      </c>
      <c r="O59" s="1068" t="s">
        <v>7298</v>
      </c>
      <c r="P59" s="1073" t="s">
        <v>7299</v>
      </c>
      <c r="Q59" s="1073" t="s">
        <v>7299</v>
      </c>
      <c r="R59" s="1074" t="s">
        <v>7300</v>
      </c>
      <c r="S59" s="1075" t="s">
        <v>7299</v>
      </c>
      <c r="T59" s="1076" t="s">
        <v>7299</v>
      </c>
      <c r="U59" s="1077" t="s">
        <v>7300</v>
      </c>
    </row>
    <row r="60" spans="1:21" outlineLevel="1">
      <c r="A60" s="1451">
        <f>A11</f>
        <v>2020</v>
      </c>
      <c r="B60" s="1078">
        <f>VLOOKUP($B$5,'Emission Factors'!$A$5:$F$21,2,FALSE)</f>
        <v>2.1432960823098837E-2</v>
      </c>
      <c r="C60" s="1078">
        <f>VLOOKUP($B$6,'Emission Factors'!$A$28:$F$44,2,FALSE)</f>
        <v>1.0040270425379276</v>
      </c>
      <c r="D60" s="1038">
        <f>IF(AND(A11&gt;=$B$2,A11&lt;=$B$4),_xlfn.XLOOKUP(A60,'VMT Reduction Supporting'!$A:$A,'VMT Reduction Supporting'!$C:$C,,0),0)</f>
        <v>0</v>
      </c>
      <c r="E60" s="1039">
        <f>IF(AND(A11&gt;=$B$2,A11&lt;=$B$4),_xlfn.XLOOKUP(A60,'VMT Reduction Supporting'!$A:$A,'VMT Reduction Supporting'!$F:$F,,0),0)</f>
        <v>0</v>
      </c>
      <c r="F60" s="1452">
        <f t="shared" ref="F60" si="22">($B60*D60)/1000000</f>
        <v>0</v>
      </c>
      <c r="G60" s="1040">
        <f>IFERROR(($B60*E60)/1000000,"N/A")</f>
        <v>0</v>
      </c>
      <c r="H60" s="1041">
        <f>IF(AND($A60&gt;=MIN('Major Assumption Key'!$B$4),$A60&lt;=MAX('Major Assumption Key'!$B$6)),G60-F60,0)</f>
        <v>0</v>
      </c>
      <c r="I60" s="1038">
        <f>IF(AND(A11&gt;=$B$2,A11&lt;=$B$4),_xlfn.XLOOKUP(A60,'VMT Reduction Supporting'!$A:$A,'VMT Reduction Supporting'!$B:$B,,0),0)</f>
        <v>0</v>
      </c>
      <c r="J60" s="1042">
        <f>IF(AND(A11&gt;=$B$2,A11&lt;=$B$4),_xlfn.XLOOKUP(A60,'VMT Reduction Supporting'!$A:$A,'VMT Reduction Supporting'!$E:$E,,0),0)</f>
        <v>0</v>
      </c>
      <c r="K60" s="1043">
        <f>($B60*I60)/1000000</f>
        <v>0</v>
      </c>
      <c r="L60" s="1043">
        <f>IFERROR(($B60*J60)/1000000,"N/A")</f>
        <v>0</v>
      </c>
      <c r="M60" s="1044">
        <f>IF(AND($A60&gt;=MIN('Major Assumption Key'!$B$4),$A60&lt;=MAX('Major Assumption Key'!$B$6)),L60-K60,0)</f>
        <v>0</v>
      </c>
      <c r="N60" s="1038">
        <f>IF(AND(A11&gt;=$B$2,A11&lt;=$B$4),_xlfn.XLOOKUP(A60,'VMT Reduction Supporting'!$A:$A,'VMT Reduction Supporting'!$D:$D,,0),0)</f>
        <v>0</v>
      </c>
      <c r="O60" s="1042">
        <f>IF(AND(A11&gt;=$B$2,A11&lt;=$B$4),_xlfn.XLOOKUP(A60,'VMT Reduction Supporting'!$A:$A,'VMT Reduction Supporting'!$G:$G,,0),0)</f>
        <v>0</v>
      </c>
      <c r="P60" s="1045">
        <f t="shared" ref="P60" si="23">($C60*N60)/1000000</f>
        <v>0</v>
      </c>
      <c r="Q60" s="1045">
        <f t="shared" ref="Q60" si="24">($C60*O60)/1000000</f>
        <v>0</v>
      </c>
      <c r="R60" s="1046">
        <f>IF(AND($A60&gt;=MIN('Major Assumption Key'!$B$4),$A60&lt;=MAX('Major Assumption Key'!$B$6)),Q60-P60,0)</f>
        <v>0</v>
      </c>
      <c r="S60" s="1047" t="s">
        <v>1244</v>
      </c>
      <c r="T60" s="1079" t="s">
        <v>1244</v>
      </c>
      <c r="U60" s="1048">
        <v>0</v>
      </c>
    </row>
    <row r="61" spans="1:21" outlineLevel="1">
      <c r="A61" s="1036">
        <f t="shared" ref="A61:A100" si="25">A12</f>
        <v>2021</v>
      </c>
      <c r="B61" s="1037">
        <f>$B$60*(($B$70/$B$60)^(1/($A$70-$A$60))^(A61-$A$60))</f>
        <v>1.9748178448352704E-2</v>
      </c>
      <c r="C61" s="1037">
        <f>$C$60*(($C$70/$C$60)^(1/($A$70-$A$60))^(A61-$A$60))</f>
        <v>0.91755857069232549</v>
      </c>
      <c r="D61" s="1038">
        <f>IF(AND(A12&gt;=$B$2,A12&lt;=$B$4),_xlfn.XLOOKUP(A61,'VMT Reduction Supporting'!$A:$A,'VMT Reduction Supporting'!$C:$C,,0),0)</f>
        <v>0</v>
      </c>
      <c r="E61" s="1039">
        <f>IF(AND(A12&gt;=$B$2,A12&lt;=$B$4),_xlfn.XLOOKUP(A61,'VMT Reduction Supporting'!$A:$A,'VMT Reduction Supporting'!$F:$F,,0),0)</f>
        <v>0</v>
      </c>
      <c r="F61" s="1452">
        <f t="shared" ref="F61:F100" si="26">($B61*D61)/1000000</f>
        <v>0</v>
      </c>
      <c r="G61" s="1040">
        <f t="shared" ref="G61:G100" si="27">IFERROR(($B61*E61)/1000000,"N/A")</f>
        <v>0</v>
      </c>
      <c r="H61" s="1041">
        <f>IF(AND($A61&gt;=MIN('Major Assumption Key'!$B$4),$A61&lt;=MAX('Major Assumption Key'!$B$6)),G61-F61,0)</f>
        <v>0</v>
      </c>
      <c r="I61" s="1038">
        <f>IF(AND(A12&gt;=$B$2,A12&lt;=$B$4),_xlfn.XLOOKUP(A61,'VMT Reduction Supporting'!$A:$A,'VMT Reduction Supporting'!$B:$B,,0),0)</f>
        <v>0</v>
      </c>
      <c r="J61" s="1042">
        <f>IF(AND(A12&gt;=$B$2,A12&lt;=$B$4),_xlfn.XLOOKUP(A61,'VMT Reduction Supporting'!$A:$A,'VMT Reduction Supporting'!$E:$E,,0),0)</f>
        <v>0</v>
      </c>
      <c r="K61" s="1043">
        <f t="shared" ref="K61:K100" si="28">($B61*I61)/1000000</f>
        <v>0</v>
      </c>
      <c r="L61" s="1043">
        <f t="shared" ref="L61:L100" si="29">IFERROR(($B61*J61)/1000000,"N/A")</f>
        <v>0</v>
      </c>
      <c r="M61" s="1044">
        <f>IF(AND($A61&gt;=MIN('Major Assumption Key'!$B$4),$A61&lt;=MAX('Major Assumption Key'!$B$6)),L61-K61,0)</f>
        <v>0</v>
      </c>
      <c r="N61" s="1038">
        <f>IF(AND(A12&gt;=$B$2,A12&lt;=$B$4),_xlfn.XLOOKUP(A61,'VMT Reduction Supporting'!$A:$A,'VMT Reduction Supporting'!$D:$D,,0),0)</f>
        <v>0</v>
      </c>
      <c r="O61" s="1042">
        <f>IF(AND(A12&gt;=$B$2,A12&lt;=$B$4),_xlfn.XLOOKUP(A61,'VMT Reduction Supporting'!$A:$A,'VMT Reduction Supporting'!$G:$G,,0),0)</f>
        <v>0</v>
      </c>
      <c r="P61" s="1045">
        <f t="shared" ref="P61:P100" si="30">($C61*N61)/1000000</f>
        <v>0</v>
      </c>
      <c r="Q61" s="1045">
        <f t="shared" ref="Q61:Q100" si="31">($C61*O61)/1000000</f>
        <v>0</v>
      </c>
      <c r="R61" s="1046">
        <f>IF(AND($A61&gt;=MIN('Major Assumption Key'!$B$4),$A61&lt;=MAX('Major Assumption Key'!$B$6)),Q61-P61,0)</f>
        <v>0</v>
      </c>
      <c r="S61" s="1047" t="s">
        <v>1244</v>
      </c>
      <c r="T61" s="1079" t="s">
        <v>1244</v>
      </c>
      <c r="U61" s="1048">
        <v>0</v>
      </c>
    </row>
    <row r="62" spans="1:21" outlineLevel="1">
      <c r="A62" s="1036">
        <f t="shared" si="25"/>
        <v>2022</v>
      </c>
      <c r="B62" s="1037">
        <f t="shared" ref="B62:B69" si="32">$B$60*(($B$70/$B$60)^(1/($A$70-$A$60))^(A62-$A$60))</f>
        <v>1.8195831889343053E-2</v>
      </c>
      <c r="C62" s="1037">
        <f t="shared" ref="C62:C69" si="33">$C$60*(($C$70/$C$60)^(1/($A$70-$A$60))^(A62-$A$60))</f>
        <v>0.83853690685740623</v>
      </c>
      <c r="D62" s="1038">
        <f>IF(AND(A13&gt;=$B$2,A13&lt;=$B$4),_xlfn.XLOOKUP(A62,'VMT Reduction Supporting'!$A:$A,'VMT Reduction Supporting'!$C:$C,,0),0)</f>
        <v>0</v>
      </c>
      <c r="E62" s="1039">
        <f>IF(AND(A13&gt;=$B$2,A13&lt;=$B$4),_xlfn.XLOOKUP(A62,'VMT Reduction Supporting'!$A:$A,'VMT Reduction Supporting'!$F:$F,,0),0)</f>
        <v>0</v>
      </c>
      <c r="F62" s="1452">
        <f t="shared" si="26"/>
        <v>0</v>
      </c>
      <c r="G62" s="1040">
        <f t="shared" si="27"/>
        <v>0</v>
      </c>
      <c r="H62" s="1041">
        <f>IF(AND($A62&gt;=MIN('Major Assumption Key'!$B$4),$A62&lt;=MAX('Major Assumption Key'!$B$6)),G62-F62,0)</f>
        <v>0</v>
      </c>
      <c r="I62" s="1038">
        <f>IF(AND(A13&gt;=$B$2,A13&lt;=$B$4),_xlfn.XLOOKUP(A62,'VMT Reduction Supporting'!$A:$A,'VMT Reduction Supporting'!$B:$B,,0),0)</f>
        <v>0</v>
      </c>
      <c r="J62" s="1042">
        <f>IF(AND(A13&gt;=$B$2,A13&lt;=$B$4),_xlfn.XLOOKUP(A62,'VMT Reduction Supporting'!$A:$A,'VMT Reduction Supporting'!$E:$E,,0),0)</f>
        <v>0</v>
      </c>
      <c r="K62" s="1043">
        <f t="shared" si="28"/>
        <v>0</v>
      </c>
      <c r="L62" s="1043">
        <f t="shared" si="29"/>
        <v>0</v>
      </c>
      <c r="M62" s="1044">
        <f>IF(AND($A62&gt;=MIN('Major Assumption Key'!$B$4),$A62&lt;=MAX('Major Assumption Key'!$B$6)),L62-K62,0)</f>
        <v>0</v>
      </c>
      <c r="N62" s="1038">
        <f>IF(AND(A13&gt;=$B$2,A13&lt;=$B$4),_xlfn.XLOOKUP(A62,'VMT Reduction Supporting'!$A:$A,'VMT Reduction Supporting'!$D:$D,,0),0)</f>
        <v>0</v>
      </c>
      <c r="O62" s="1042">
        <f>IF(AND(A13&gt;=$B$2,A13&lt;=$B$4),_xlfn.XLOOKUP(A62,'VMT Reduction Supporting'!$A:$A,'VMT Reduction Supporting'!$G:$G,,0),0)</f>
        <v>0</v>
      </c>
      <c r="P62" s="1045">
        <f t="shared" si="30"/>
        <v>0</v>
      </c>
      <c r="Q62" s="1045">
        <f t="shared" si="31"/>
        <v>0</v>
      </c>
      <c r="R62" s="1046">
        <f>IF(AND($A62&gt;=MIN('Major Assumption Key'!$B$4),$A62&lt;=MAX('Major Assumption Key'!$B$6)),Q62-P62,0)</f>
        <v>0</v>
      </c>
      <c r="S62" s="1047" t="s">
        <v>1244</v>
      </c>
      <c r="T62" s="1079" t="s">
        <v>1244</v>
      </c>
      <c r="U62" s="1048">
        <v>0</v>
      </c>
    </row>
    <row r="63" spans="1:21" outlineLevel="1">
      <c r="A63" s="1036">
        <f t="shared" si="25"/>
        <v>2023</v>
      </c>
      <c r="B63" s="1037">
        <f t="shared" si="32"/>
        <v>1.676551075387165E-2</v>
      </c>
      <c r="C63" s="1037">
        <f t="shared" si="33"/>
        <v>0.76632071959334769</v>
      </c>
      <c r="D63" s="1038">
        <f>IF(AND(A14&gt;=$B$2,A14&lt;=$B$4),_xlfn.XLOOKUP(A63,'VMT Reduction Supporting'!$A:$A,'VMT Reduction Supporting'!$C:$C,,0),0)</f>
        <v>0</v>
      </c>
      <c r="E63" s="1039">
        <f>IF(AND(A14&gt;=$B$2,A14&lt;=$B$4),_xlfn.XLOOKUP(A63,'VMT Reduction Supporting'!$A:$A,'VMT Reduction Supporting'!$F:$F,,0),0)</f>
        <v>0</v>
      </c>
      <c r="F63" s="1452">
        <f t="shared" si="26"/>
        <v>0</v>
      </c>
      <c r="G63" s="1040">
        <f t="shared" si="27"/>
        <v>0</v>
      </c>
      <c r="H63" s="1041">
        <f>IF(AND($A63&gt;=MIN('Major Assumption Key'!$B$4),$A63&lt;=MAX('Major Assumption Key'!$B$6)),G63-F63,0)</f>
        <v>0</v>
      </c>
      <c r="I63" s="1038">
        <f>IF(AND(A14&gt;=$B$2,A14&lt;=$B$4),_xlfn.XLOOKUP(A63,'VMT Reduction Supporting'!$A:$A,'VMT Reduction Supporting'!$B:$B,,0),0)</f>
        <v>0</v>
      </c>
      <c r="J63" s="1042">
        <f>IF(AND(A14&gt;=$B$2,A14&lt;=$B$4),_xlfn.XLOOKUP(A63,'VMT Reduction Supporting'!$A:$A,'VMT Reduction Supporting'!$E:$E,,0),0)</f>
        <v>0</v>
      </c>
      <c r="K63" s="1043">
        <f t="shared" si="28"/>
        <v>0</v>
      </c>
      <c r="L63" s="1043">
        <f t="shared" si="29"/>
        <v>0</v>
      </c>
      <c r="M63" s="1044">
        <f>IF(AND($A63&gt;=MIN('Major Assumption Key'!$B$4),$A63&lt;=MAX('Major Assumption Key'!$B$6)),L63-K63,0)</f>
        <v>0</v>
      </c>
      <c r="N63" s="1038">
        <f>IF(AND(A14&gt;=$B$2,A14&lt;=$B$4),_xlfn.XLOOKUP(A63,'VMT Reduction Supporting'!$A:$A,'VMT Reduction Supporting'!$D:$D,,0),0)</f>
        <v>0</v>
      </c>
      <c r="O63" s="1042">
        <f>IF(AND(A14&gt;=$B$2,A14&lt;=$B$4),_xlfn.XLOOKUP(A63,'VMT Reduction Supporting'!$A:$A,'VMT Reduction Supporting'!$G:$G,,0),0)</f>
        <v>0</v>
      </c>
      <c r="P63" s="1045">
        <f t="shared" si="30"/>
        <v>0</v>
      </c>
      <c r="Q63" s="1045">
        <f t="shared" si="31"/>
        <v>0</v>
      </c>
      <c r="R63" s="1046">
        <f>IF(AND($A63&gt;=MIN('Major Assumption Key'!$B$4),$A63&lt;=MAX('Major Assumption Key'!$B$6)),Q63-P63,0)</f>
        <v>0</v>
      </c>
      <c r="S63" s="1047" t="s">
        <v>1244</v>
      </c>
      <c r="T63" s="1079" t="s">
        <v>1244</v>
      </c>
      <c r="U63" s="1048">
        <v>0</v>
      </c>
    </row>
    <row r="64" spans="1:21" outlineLevel="1">
      <c r="A64" s="1036">
        <f t="shared" si="25"/>
        <v>2024</v>
      </c>
      <c r="B64" s="1037">
        <f t="shared" si="32"/>
        <v>1.5447622980228261E-2</v>
      </c>
      <c r="C64" s="1037">
        <f t="shared" si="33"/>
        <v>0.70032390998614447</v>
      </c>
      <c r="D64" s="1038">
        <f>IF(AND(A15&gt;=$B$2,A15&lt;=$B$4),_xlfn.XLOOKUP(A64,'VMT Reduction Supporting'!$A:$A,'VMT Reduction Supporting'!$C:$C,,0),0)</f>
        <v>0</v>
      </c>
      <c r="E64" s="1039">
        <f>IF(AND(A15&gt;=$B$2,A15&lt;=$B$4),_xlfn.XLOOKUP(A64,'VMT Reduction Supporting'!$A:$A,'VMT Reduction Supporting'!$F:$F,,0),0)</f>
        <v>0</v>
      </c>
      <c r="F64" s="1452">
        <f t="shared" si="26"/>
        <v>0</v>
      </c>
      <c r="G64" s="1040">
        <f t="shared" si="27"/>
        <v>0</v>
      </c>
      <c r="H64" s="1041">
        <f>IF(AND($A64&gt;=MIN('Major Assumption Key'!$B$4),$A64&lt;=MAX('Major Assumption Key'!$B$6)),G64-F64,0)</f>
        <v>0</v>
      </c>
      <c r="I64" s="1038">
        <f>IF(AND(A15&gt;=$B$2,A15&lt;=$B$4),_xlfn.XLOOKUP(A64,'VMT Reduction Supporting'!$A:$A,'VMT Reduction Supporting'!$B:$B,,0),0)</f>
        <v>0</v>
      </c>
      <c r="J64" s="1042">
        <f>IF(AND(A15&gt;=$B$2,A15&lt;=$B$4),_xlfn.XLOOKUP(A64,'VMT Reduction Supporting'!$A:$A,'VMT Reduction Supporting'!$E:$E,,0),0)</f>
        <v>0</v>
      </c>
      <c r="K64" s="1043">
        <f t="shared" si="28"/>
        <v>0</v>
      </c>
      <c r="L64" s="1043">
        <f t="shared" si="29"/>
        <v>0</v>
      </c>
      <c r="M64" s="1044">
        <f>IF(AND($A64&gt;=MIN('Major Assumption Key'!$B$4),$A64&lt;=MAX('Major Assumption Key'!$B$6)),L64-K64,0)</f>
        <v>0</v>
      </c>
      <c r="N64" s="1038">
        <f>IF(AND(A15&gt;=$B$2,A15&lt;=$B$4),_xlfn.XLOOKUP(A64,'VMT Reduction Supporting'!$A:$A,'VMT Reduction Supporting'!$D:$D,,0),0)</f>
        <v>0</v>
      </c>
      <c r="O64" s="1042">
        <f>IF(AND(A15&gt;=$B$2,A15&lt;=$B$4),_xlfn.XLOOKUP(A64,'VMT Reduction Supporting'!$A:$A,'VMT Reduction Supporting'!$G:$G,,0),0)</f>
        <v>0</v>
      </c>
      <c r="P64" s="1045">
        <f t="shared" si="30"/>
        <v>0</v>
      </c>
      <c r="Q64" s="1045">
        <f t="shared" si="31"/>
        <v>0</v>
      </c>
      <c r="R64" s="1046">
        <f>IF(AND($A64&gt;=MIN('Major Assumption Key'!$B$4),$A64&lt;=MAX('Major Assumption Key'!$B$6)),Q64-P64,0)</f>
        <v>0</v>
      </c>
      <c r="S64" s="1047" t="s">
        <v>1244</v>
      </c>
      <c r="T64" s="1079" t="s">
        <v>1244</v>
      </c>
      <c r="U64" s="1048">
        <v>0</v>
      </c>
    </row>
    <row r="65" spans="1:21" outlineLevel="1">
      <c r="A65" s="1036">
        <f t="shared" si="25"/>
        <v>2025</v>
      </c>
      <c r="B65" s="1037">
        <f t="shared" si="32"/>
        <v>1.4233330510624007E-2</v>
      </c>
      <c r="C65" s="1037">
        <f t="shared" si="33"/>
        <v>0.64001085493100496</v>
      </c>
      <c r="D65" s="1038">
        <f>IF(AND(A16&gt;=$B$2,A16&lt;=$B$4),_xlfn.XLOOKUP(A65,'VMT Reduction Supporting'!$A:$A,'VMT Reduction Supporting'!$C:$C,,0),0)</f>
        <v>0</v>
      </c>
      <c r="E65" s="1039">
        <f>IF(AND(A16&gt;=$B$2,A16&lt;=$B$4),_xlfn.XLOOKUP(A65,'VMT Reduction Supporting'!$A:$A,'VMT Reduction Supporting'!$F:$F,,0),0)</f>
        <v>0</v>
      </c>
      <c r="F65" s="1452">
        <f t="shared" si="26"/>
        <v>0</v>
      </c>
      <c r="G65" s="1040">
        <f t="shared" si="27"/>
        <v>0</v>
      </c>
      <c r="H65" s="1041">
        <f>IF(AND($A65&gt;=MIN('Major Assumption Key'!$B$4),$A65&lt;=MAX('Major Assumption Key'!$B$6)),G65-F65,0)</f>
        <v>0</v>
      </c>
      <c r="I65" s="1038">
        <f>IF(AND(A16&gt;=$B$2,A16&lt;=$B$4),_xlfn.XLOOKUP(A65,'VMT Reduction Supporting'!$A:$A,'VMT Reduction Supporting'!$B:$B,,0),0)</f>
        <v>0</v>
      </c>
      <c r="J65" s="1042">
        <f>IF(AND(A16&gt;=$B$2,A16&lt;=$B$4),_xlfn.XLOOKUP(A65,'VMT Reduction Supporting'!$A:$A,'VMT Reduction Supporting'!$E:$E,,0),0)</f>
        <v>0</v>
      </c>
      <c r="K65" s="1043">
        <f t="shared" si="28"/>
        <v>0</v>
      </c>
      <c r="L65" s="1043">
        <f t="shared" si="29"/>
        <v>0</v>
      </c>
      <c r="M65" s="1044">
        <f>IF(AND($A65&gt;=MIN('Major Assumption Key'!$B$4),$A65&lt;=MAX('Major Assumption Key'!$B$6)),L65-K65,0)</f>
        <v>0</v>
      </c>
      <c r="N65" s="1038">
        <f>IF(AND(A16&gt;=$B$2,A16&lt;=$B$4),_xlfn.XLOOKUP(A65,'VMT Reduction Supporting'!$A:$A,'VMT Reduction Supporting'!$D:$D,,0),0)</f>
        <v>0</v>
      </c>
      <c r="O65" s="1042">
        <f>IF(AND(A16&gt;=$B$2,A16&lt;=$B$4),_xlfn.XLOOKUP(A65,'VMT Reduction Supporting'!$A:$A,'VMT Reduction Supporting'!$G:$G,,0),0)</f>
        <v>0</v>
      </c>
      <c r="P65" s="1045">
        <f t="shared" si="30"/>
        <v>0</v>
      </c>
      <c r="Q65" s="1045">
        <f t="shared" si="31"/>
        <v>0</v>
      </c>
      <c r="R65" s="1046">
        <f>IF(AND($A65&gt;=MIN('Major Assumption Key'!$B$4),$A65&lt;=MAX('Major Assumption Key'!$B$6)),Q65-P65,0)</f>
        <v>0</v>
      </c>
      <c r="S65" s="1047" t="s">
        <v>1244</v>
      </c>
      <c r="T65" s="1079" t="s">
        <v>1244</v>
      </c>
      <c r="U65" s="1048">
        <v>0</v>
      </c>
    </row>
    <row r="66" spans="1:21" outlineLevel="1">
      <c r="A66" s="1036">
        <f t="shared" si="25"/>
        <v>2026</v>
      </c>
      <c r="B66" s="1037">
        <f t="shared" si="32"/>
        <v>1.3114490021148012E-2</v>
      </c>
      <c r="C66" s="1037">
        <f t="shared" si="33"/>
        <v>0.58489206007205985</v>
      </c>
      <c r="D66" s="1038">
        <f>IF(AND(A17&gt;=$B$2,A17&lt;=$B$4),_xlfn.XLOOKUP(A66,'VMT Reduction Supporting'!$A:$A,'VMT Reduction Supporting'!$C:$C,,0),0)</f>
        <v>0</v>
      </c>
      <c r="E66" s="1039">
        <f>IF(AND(A17&gt;=$B$2,A17&lt;=$B$4),_xlfn.XLOOKUP(A66,'VMT Reduction Supporting'!$A:$A,'VMT Reduction Supporting'!$F:$F,,0),0)</f>
        <v>0</v>
      </c>
      <c r="F66" s="1452">
        <f t="shared" si="26"/>
        <v>0</v>
      </c>
      <c r="G66" s="1040">
        <f t="shared" si="27"/>
        <v>0</v>
      </c>
      <c r="H66" s="1041">
        <f>IF(AND($A66&gt;=MIN('Major Assumption Key'!$B$4),$A66&lt;=MAX('Major Assumption Key'!$B$6)),G66-F66,0)</f>
        <v>0</v>
      </c>
      <c r="I66" s="1038">
        <f>IF(AND(A17&gt;=$B$2,A17&lt;=$B$4),_xlfn.XLOOKUP(A66,'VMT Reduction Supporting'!$A:$A,'VMT Reduction Supporting'!$B:$B,,0),0)</f>
        <v>0</v>
      </c>
      <c r="J66" s="1042">
        <f>IF(AND(A17&gt;=$B$2,A17&lt;=$B$4),_xlfn.XLOOKUP(A66,'VMT Reduction Supporting'!$A:$A,'VMT Reduction Supporting'!$E:$E,,0),0)</f>
        <v>0</v>
      </c>
      <c r="K66" s="1043">
        <f t="shared" si="28"/>
        <v>0</v>
      </c>
      <c r="L66" s="1043">
        <f t="shared" si="29"/>
        <v>0</v>
      </c>
      <c r="M66" s="1044">
        <f>IF(AND($A66&gt;=MIN('Major Assumption Key'!$B$4),$A66&lt;=MAX('Major Assumption Key'!$B$6)),L66-K66,0)</f>
        <v>0</v>
      </c>
      <c r="N66" s="1038">
        <f>IF(AND(A17&gt;=$B$2,A17&lt;=$B$4),_xlfn.XLOOKUP(A66,'VMT Reduction Supporting'!$A:$A,'VMT Reduction Supporting'!$D:$D,,0),0)</f>
        <v>0</v>
      </c>
      <c r="O66" s="1042">
        <f>IF(AND(A17&gt;=$B$2,A17&lt;=$B$4),_xlfn.XLOOKUP(A66,'VMT Reduction Supporting'!$A:$A,'VMT Reduction Supporting'!$G:$G,,0),0)</f>
        <v>0</v>
      </c>
      <c r="P66" s="1045">
        <f t="shared" si="30"/>
        <v>0</v>
      </c>
      <c r="Q66" s="1045">
        <f t="shared" si="31"/>
        <v>0</v>
      </c>
      <c r="R66" s="1046">
        <f>IF(AND($A66&gt;=MIN('Major Assumption Key'!$B$4),$A66&lt;=MAX('Major Assumption Key'!$B$6)),Q66-P66,0)</f>
        <v>0</v>
      </c>
      <c r="S66" s="1047" t="s">
        <v>1244</v>
      </c>
      <c r="T66" s="1079" t="s">
        <v>1244</v>
      </c>
      <c r="U66" s="1048">
        <v>0</v>
      </c>
    </row>
    <row r="67" spans="1:21" outlineLevel="1">
      <c r="A67" s="1036">
        <f t="shared" si="25"/>
        <v>2027</v>
      </c>
      <c r="B67" s="1037">
        <f t="shared" si="32"/>
        <v>1.2083598310768837E-2</v>
      </c>
      <c r="C67" s="1037">
        <f t="shared" si="33"/>
        <v>0.53452018711810345</v>
      </c>
      <c r="D67" s="1038">
        <f>IF(AND(A18&gt;=$B$2,A18&lt;=$B$4),_xlfn.XLOOKUP(A67,'VMT Reduction Supporting'!$A:$A,'VMT Reduction Supporting'!$C:$C,,0),0)</f>
        <v>0</v>
      </c>
      <c r="E67" s="1039">
        <f>IF(AND(A18&gt;=$B$2,A18&lt;=$B$4),_xlfn.XLOOKUP(A67,'VMT Reduction Supporting'!$A:$A,'VMT Reduction Supporting'!$F:$F,,0),0)</f>
        <v>0</v>
      </c>
      <c r="F67" s="1452">
        <f t="shared" si="26"/>
        <v>0</v>
      </c>
      <c r="G67" s="1040">
        <f t="shared" si="27"/>
        <v>0</v>
      </c>
      <c r="H67" s="1041">
        <f>IF(AND($A67&gt;=MIN('Major Assumption Key'!$B$4),$A67&lt;=MAX('Major Assumption Key'!$B$6)),G67-F67,0)</f>
        <v>0</v>
      </c>
      <c r="I67" s="1038">
        <f>IF(AND(A18&gt;=$B$2,A18&lt;=$B$4),_xlfn.XLOOKUP(A67,'VMT Reduction Supporting'!$A:$A,'VMT Reduction Supporting'!$B:$B,,0),0)</f>
        <v>0</v>
      </c>
      <c r="J67" s="1042">
        <f>IF(AND(A18&gt;=$B$2,A18&lt;=$B$4),_xlfn.XLOOKUP(A67,'VMT Reduction Supporting'!$A:$A,'VMT Reduction Supporting'!$E:$E,,0),0)</f>
        <v>0</v>
      </c>
      <c r="K67" s="1043">
        <f t="shared" si="28"/>
        <v>0</v>
      </c>
      <c r="L67" s="1043">
        <f t="shared" si="29"/>
        <v>0</v>
      </c>
      <c r="M67" s="1044">
        <f>IF(AND($A67&gt;=MIN('Major Assumption Key'!$B$4),$A67&lt;=MAX('Major Assumption Key'!$B$6)),L67-K67,0)</f>
        <v>0</v>
      </c>
      <c r="N67" s="1038">
        <f>IF(AND(A18&gt;=$B$2,A18&lt;=$B$4),_xlfn.XLOOKUP(A67,'VMT Reduction Supporting'!$A:$A,'VMT Reduction Supporting'!$D:$D,,0),0)</f>
        <v>0</v>
      </c>
      <c r="O67" s="1042">
        <f>IF(AND(A18&gt;=$B$2,A18&lt;=$B$4),_xlfn.XLOOKUP(A67,'VMT Reduction Supporting'!$A:$A,'VMT Reduction Supporting'!$G:$G,,0),0)</f>
        <v>0</v>
      </c>
      <c r="P67" s="1045">
        <f t="shared" si="30"/>
        <v>0</v>
      </c>
      <c r="Q67" s="1045">
        <f t="shared" si="31"/>
        <v>0</v>
      </c>
      <c r="R67" s="1046">
        <f>IF(AND($A67&gt;=MIN('Major Assumption Key'!$B$4),$A67&lt;=MAX('Major Assumption Key'!$B$6)),Q67-P67,0)</f>
        <v>0</v>
      </c>
      <c r="S67" s="1047" t="s">
        <v>1244</v>
      </c>
      <c r="T67" s="1079" t="s">
        <v>1244</v>
      </c>
      <c r="U67" s="1048">
        <v>0</v>
      </c>
    </row>
    <row r="68" spans="1:21" outlineLevel="1">
      <c r="A68" s="1036">
        <f t="shared" si="25"/>
        <v>2028</v>
      </c>
      <c r="B68" s="1037">
        <f t="shared" si="32"/>
        <v>1.1133741983146806E-2</v>
      </c>
      <c r="C68" s="1037">
        <f t="shared" si="33"/>
        <v>0.48848642329248243</v>
      </c>
      <c r="D68" s="1038">
        <f>IF(AND(A19&gt;=$B$2,A19&lt;=$B$4),_xlfn.XLOOKUP(A68,'VMT Reduction Supporting'!$A:$A,'VMT Reduction Supporting'!$C:$C,,0),0)</f>
        <v>1659.1097408404594</v>
      </c>
      <c r="E68" s="1039">
        <f>IF(AND(A19&gt;=$B$2,A19&lt;=$B$4),_xlfn.XLOOKUP(A68,'VMT Reduction Supporting'!$A:$A,'VMT Reduction Supporting'!$F:$F,,0),0)</f>
        <v>22674.499791486269</v>
      </c>
      <c r="F68" s="1452">
        <f t="shared" si="26"/>
        <v>1.8472099776243239E-5</v>
      </c>
      <c r="G68" s="1040">
        <f t="shared" si="27"/>
        <v>2.524520302753242E-4</v>
      </c>
      <c r="H68" s="1041">
        <f>IF(AND($A68&gt;=MIN('Major Assumption Key'!$B$4),$A68&lt;=MAX('Major Assumption Key'!$B$6)),G68-F68,0)</f>
        <v>2.3397993049908096E-4</v>
      </c>
      <c r="I68" s="1038">
        <f>IF(AND(A19&gt;=$B$2,A19&lt;=$B$4),_xlfn.XLOOKUP(A68,'VMT Reduction Supporting'!$A:$A,'VMT Reduction Supporting'!$B:$B,,0),0)</f>
        <v>24057.091242186652</v>
      </c>
      <c r="J68" s="1042">
        <f>IF(AND(A19&gt;=$B$2,A19&lt;=$B$4),_xlfn.XLOOKUP(A68,'VMT Reduction Supporting'!$A:$A,'VMT Reduction Supporting'!$E:$E,,0),0)</f>
        <v>24419.06426582468</v>
      </c>
      <c r="K68" s="1043">
        <f t="shared" si="28"/>
        <v>2.678454467555269E-4</v>
      </c>
      <c r="L68" s="1043">
        <f t="shared" si="29"/>
        <v>2.7187556100557222E-4</v>
      </c>
      <c r="M68" s="1044">
        <f>IF(AND($A68&gt;=MIN('Major Assumption Key'!$B$4),$A68&lt;=MAX('Major Assumption Key'!$B$6)),L68-K68,0)</f>
        <v>4.0301142500453243E-6</v>
      </c>
      <c r="N68" s="1038">
        <f>IF(AND(A19&gt;=$B$2,A19&lt;=$B$4),_xlfn.XLOOKUP(A68,'VMT Reduction Supporting'!$A:$A,'VMT Reduction Supporting'!$D:$D,,0),0)</f>
        <v>99567.464200691262</v>
      </c>
      <c r="O68" s="1042">
        <f>IF(AND(A19&gt;=$B$2,A19&lt;=$B$4),_xlfn.XLOOKUP(A68,'VMT Reduction Supporting'!$A:$A,'VMT Reduction Supporting'!$G:$G,,0),0)</f>
        <v>112411.66708258043</v>
      </c>
      <c r="P68" s="1045">
        <f t="shared" si="30"/>
        <v>4.8637354463697963E-2</v>
      </c>
      <c r="Q68" s="1045">
        <f t="shared" si="31"/>
        <v>5.4911573189514999E-2</v>
      </c>
      <c r="R68" s="1046">
        <f>IF(AND($A68&gt;=MIN('Major Assumption Key'!$B$4),$A68&lt;=MAX('Major Assumption Key'!$B$6)),Q68-P68,0)</f>
        <v>6.2742187258170365E-3</v>
      </c>
      <c r="S68" s="1047" t="s">
        <v>1244</v>
      </c>
      <c r="T68" s="1079" t="s">
        <v>1244</v>
      </c>
      <c r="U68" s="1048">
        <v>0</v>
      </c>
    </row>
    <row r="69" spans="1:21" outlineLevel="1">
      <c r="A69" s="1036">
        <f t="shared" si="25"/>
        <v>2029</v>
      </c>
      <c r="B69" s="1037">
        <f t="shared" si="32"/>
        <v>1.0258551083811941E-2</v>
      </c>
      <c r="C69" s="1037">
        <f t="shared" si="33"/>
        <v>0.44641716345197435</v>
      </c>
      <c r="D69" s="1038">
        <f>IF(AND(A20&gt;=$B$2,A20&lt;=$B$4),_xlfn.XLOOKUP(A69,'VMT Reduction Supporting'!$A:$A,'VMT Reduction Supporting'!$C:$C,,0),0)</f>
        <v>1683.5627039429303</v>
      </c>
      <c r="E69" s="1039">
        <f>IF(AND(A20&gt;=$B$2,A20&lt;=$B$4),_xlfn.XLOOKUP(A69,'VMT Reduction Supporting'!$A:$A,'VMT Reduction Supporting'!$F:$F,,0),0)</f>
        <v>23008.690287220044</v>
      </c>
      <c r="F69" s="1452">
        <f t="shared" si="26"/>
        <v>1.727091400119911E-5</v>
      </c>
      <c r="G69" s="1040">
        <f t="shared" si="27"/>
        <v>2.3603582468305448E-4</v>
      </c>
      <c r="H69" s="1041">
        <f>IF(AND($A69&gt;=MIN('Major Assumption Key'!$B$4),$A69&lt;=MAX('Major Assumption Key'!$B$6)),G69-F69,0)</f>
        <v>2.1876491068185537E-4</v>
      </c>
      <c r="I69" s="1038">
        <f>IF(AND(A20&gt;=$B$2,A20&lt;=$B$4),_xlfn.XLOOKUP(A69,'VMT Reduction Supporting'!$A:$A,'VMT Reduction Supporting'!$B:$B,,0),0)</f>
        <v>24411.659207172481</v>
      </c>
      <c r="J69" s="1042">
        <f>IF(AND(A20&gt;=$B$2,A20&lt;=$B$4),_xlfn.XLOOKUP(A69,'VMT Reduction Supporting'!$A:$A,'VMT Reduction Supporting'!$E:$E,,0),0)</f>
        <v>24774.061722553986</v>
      </c>
      <c r="K69" s="1043">
        <f t="shared" si="28"/>
        <v>2.5042825301738701E-4</v>
      </c>
      <c r="L69" s="1043">
        <f t="shared" si="29"/>
        <v>2.5414597773433013E-4</v>
      </c>
      <c r="M69" s="1044">
        <f>IF(AND($A69&gt;=MIN('Major Assumption Key'!$B$4),$A69&lt;=MAX('Major Assumption Key'!$B$6)),L69-K69,0)</f>
        <v>3.717724716943119E-6</v>
      </c>
      <c r="N69" s="1038">
        <f>IF(AND(A20&gt;=$B$2,A20&lt;=$B$4),_xlfn.XLOOKUP(A69,'VMT Reduction Supporting'!$A:$A,'VMT Reduction Supporting'!$D:$D,,0),0)</f>
        <v>99956.18820362819</v>
      </c>
      <c r="O69" s="1042">
        <f>IF(AND(A20&gt;=$B$2,A20&lt;=$B$4),_xlfn.XLOOKUP(A69,'VMT Reduction Supporting'!$A:$A,'VMT Reduction Supporting'!$G:$G,,0),0)</f>
        <v>112850.53648189623</v>
      </c>
      <c r="P69" s="1045">
        <f t="shared" si="30"/>
        <v>4.4622158007335398E-2</v>
      </c>
      <c r="Q69" s="1045">
        <f t="shared" si="31"/>
        <v>5.0378416390281663E-2</v>
      </c>
      <c r="R69" s="1046">
        <f>IF(AND($A69&gt;=MIN('Major Assumption Key'!$B$4),$A69&lt;=MAX('Major Assumption Key'!$B$6)),Q69-P69,0)</f>
        <v>5.7562583829462652E-3</v>
      </c>
      <c r="S69" s="1047" t="s">
        <v>1244</v>
      </c>
      <c r="T69" s="1079" t="s">
        <v>1244</v>
      </c>
      <c r="U69" s="1048">
        <v>0</v>
      </c>
    </row>
    <row r="70" spans="1:21" outlineLevel="1">
      <c r="A70" s="1451">
        <f t="shared" si="25"/>
        <v>2030</v>
      </c>
      <c r="B70" s="1078">
        <f>VLOOKUP($B$5,'Emission Factors'!$H$5:$M$21,2,FALSE)</f>
        <v>9.4521563817877453E-3</v>
      </c>
      <c r="C70" s="1078">
        <f>VLOOKUP($B$6,'Emission Factors'!$H$28:$M$44,2,FALSE)</f>
        <v>0.40797097794708281</v>
      </c>
      <c r="D70" s="1038">
        <f>IF(AND(A21&gt;=$B$2,A21&lt;=$B$4),_xlfn.XLOOKUP(A70,'VMT Reduction Supporting'!$A:$A,'VMT Reduction Supporting'!$C:$C,,0),0)</f>
        <v>1708.376069609362</v>
      </c>
      <c r="E70" s="1039">
        <f>IF(AND(A21&gt;=$B$2,A21&lt;=$B$4),_xlfn.XLOOKUP(A70,'VMT Reduction Supporting'!$A:$A,'VMT Reduction Supporting'!$F:$F,,0),0)</f>
        <v>23347.806284661274</v>
      </c>
      <c r="F70" s="1452">
        <f t="shared" si="26"/>
        <v>1.6147837768851599E-5</v>
      </c>
      <c r="G70" s="1040">
        <f t="shared" si="27"/>
        <v>2.2068711617430508E-4</v>
      </c>
      <c r="H70" s="1041">
        <f>IF(AND($A70&gt;=MIN('Major Assumption Key'!$B$4),$A70&lt;=MAX('Major Assumption Key'!$B$6)),G70-F70,0)</f>
        <v>2.0453927840545348E-4</v>
      </c>
      <c r="I70" s="1038">
        <f>IF(AND(A21&gt;=$B$2,A21&lt;=$B$4),_xlfn.XLOOKUP(A70,'VMT Reduction Supporting'!$A:$A,'VMT Reduction Supporting'!$B:$B,,0),0)</f>
        <v>24771.453009335743</v>
      </c>
      <c r="J70" s="1042">
        <f>IF(AND(A21&gt;=$B$2,A21&lt;=$B$4),_xlfn.XLOOKUP(A70,'VMT Reduction Supporting'!$A:$A,'VMT Reduction Supporting'!$E:$E,,0),0)</f>
        <v>25134.285526065429</v>
      </c>
      <c r="K70" s="1043">
        <f t="shared" si="28"/>
        <v>2.3414364764834809E-4</v>
      </c>
      <c r="L70" s="1043">
        <f t="shared" si="29"/>
        <v>2.3757319733687469E-4</v>
      </c>
      <c r="M70" s="1044">
        <f>IF(AND($A70&gt;=MIN('Major Assumption Key'!$B$4),$A70&lt;=MAX('Major Assumption Key'!$B$6)),L70-K70,0)</f>
        <v>3.4295496885266002E-6</v>
      </c>
      <c r="N70" s="1038">
        <f>IF(AND(A21&gt;=$B$2,A21&lt;=$B$4),_xlfn.XLOOKUP(A70,'VMT Reduction Supporting'!$A:$A,'VMT Reduction Supporting'!$D:$D,,0),0)</f>
        <v>100346.42983435321</v>
      </c>
      <c r="O70" s="1042">
        <f>IF(AND(A21&gt;=$B$2,A21&lt;=$B$4),_xlfn.XLOOKUP(A70,'VMT Reduction Supporting'!$A:$A,'VMT Reduction Supporting'!$G:$G,,0),0)</f>
        <v>113291.11928298477</v>
      </c>
      <c r="P70" s="1045">
        <f t="shared" si="30"/>
        <v>4.0938431113019411E-2</v>
      </c>
      <c r="Q70" s="1045">
        <f t="shared" si="31"/>
        <v>4.6219488726598909E-2</v>
      </c>
      <c r="R70" s="1046">
        <f>IF(AND($A70&gt;=MIN('Major Assumption Key'!$B$4),$A70&lt;=MAX('Major Assumption Key'!$B$6)),Q70-P70,0)</f>
        <v>5.2810576135794984E-3</v>
      </c>
      <c r="S70" s="1047" t="s">
        <v>1244</v>
      </c>
      <c r="T70" s="1079" t="s">
        <v>1244</v>
      </c>
      <c r="U70" s="1048">
        <v>0</v>
      </c>
    </row>
    <row r="71" spans="1:21" outlineLevel="1">
      <c r="A71" s="1036">
        <f t="shared" si="25"/>
        <v>2031</v>
      </c>
      <c r="B71" s="1037">
        <f>$B$70*(($B$80/$B$70)^(1/($A$80-$A$70))^($A71-$A$70))</f>
        <v>8.8324256365690055E-3</v>
      </c>
      <c r="C71" s="1037">
        <f>$C$70*(($C$80/$C$70)^(1/($A$80-$A$70))^($A71-$A$70))</f>
        <v>0.38763690998138944</v>
      </c>
      <c r="D71" s="1038">
        <f>IF(AND(A22&gt;=$B$2,A22&lt;=$B$4),_xlfn.XLOOKUP(A71,'VMT Reduction Supporting'!$A:$A,'VMT Reduction Supporting'!$C:$C,,0),0)</f>
        <v>1733.555149670781</v>
      </c>
      <c r="E71" s="1039">
        <f>IF(AND(A22&gt;=$B$2,A22&lt;=$B$4),_xlfn.XLOOKUP(A71,'VMT Reduction Supporting'!$A:$A,'VMT Reduction Supporting'!$F:$F,,0),0)</f>
        <v>23691.920378833998</v>
      </c>
      <c r="F71" s="1452">
        <f t="shared" si="26"/>
        <v>1.5311496946358426E-5</v>
      </c>
      <c r="G71" s="1040">
        <f t="shared" si="27"/>
        <v>2.0925712493356509E-4</v>
      </c>
      <c r="H71" s="1041">
        <f>IF(AND($A71&gt;=MIN('Major Assumption Key'!$B$4),$A71&lt;=MAX('Major Assumption Key'!$B$6)),G71-F71,0)</f>
        <v>1.9394562798720667E-4</v>
      </c>
      <c r="I71" s="1038">
        <f>IF(AND(A22&gt;=$B$2,A22&lt;=$B$4),_xlfn.XLOOKUP(A71,'VMT Reduction Supporting'!$A:$A,'VMT Reduction Supporting'!$B:$B,,0),0)</f>
        <v>25136.549670226323</v>
      </c>
      <c r="J71" s="1042">
        <f>IF(AND(A22&gt;=$B$2,A22&lt;=$B$4),_xlfn.XLOOKUP(A71,'VMT Reduction Supporting'!$A:$A,'VMT Reduction Supporting'!$E:$E,,0),0)</f>
        <v>25499.812698513557</v>
      </c>
      <c r="K71" s="1043">
        <f t="shared" si="28"/>
        <v>2.2201670572219714E-4</v>
      </c>
      <c r="L71" s="1043">
        <f t="shared" si="29"/>
        <v>2.2522519940605901E-4</v>
      </c>
      <c r="M71" s="1044">
        <f>IF(AND($A71&gt;=MIN('Major Assumption Key'!$B$4),$A71&lt;=MAX('Major Assumption Key'!$B$6)),L71-K71,0)</f>
        <v>3.2084936838618712E-6</v>
      </c>
      <c r="N71" s="1038">
        <f>IF(AND(A22&gt;=$B$2,A22&lt;=$B$4),_xlfn.XLOOKUP(A71,'VMT Reduction Supporting'!$A:$A,'VMT Reduction Supporting'!$D:$D,,0),0)</f>
        <v>100738.19501787757</v>
      </c>
      <c r="O71" s="1042">
        <f>IF(AND(A22&gt;=$B$2,A22&lt;=$B$4),_xlfn.XLOOKUP(A71,'VMT Reduction Supporting'!$A:$A,'VMT Reduction Supporting'!$G:$G,,0),0)</f>
        <v>113733.42217518379</v>
      </c>
      <c r="P71" s="1045">
        <f t="shared" si="30"/>
        <v>3.9049842633832661E-2</v>
      </c>
      <c r="Q71" s="1045">
        <f t="shared" si="31"/>
        <v>4.4087272333597077E-2</v>
      </c>
      <c r="R71" s="1046">
        <f>IF(AND($A71&gt;=MIN('Major Assumption Key'!$B$4),$A71&lt;=MAX('Major Assumption Key'!$B$6)),Q71-P71,0)</f>
        <v>5.0374296997644161E-3</v>
      </c>
      <c r="S71" s="1047" t="s">
        <v>1244</v>
      </c>
      <c r="T71" s="1079" t="s">
        <v>1244</v>
      </c>
      <c r="U71" s="1048">
        <v>0</v>
      </c>
    </row>
    <row r="72" spans="1:21" outlineLevel="1">
      <c r="A72" s="1036">
        <f t="shared" si="25"/>
        <v>2032</v>
      </c>
      <c r="B72" s="1037">
        <f t="shared" ref="B72:B79" si="34">$B$70*(($B$80/$B$70)^(1/($A$80-$A$70))^(A72-$A$70))</f>
        <v>8.2533275450068829E-3</v>
      </c>
      <c r="C72" s="1037">
        <f t="shared" ref="C72:C79" si="35">$C$70*(($C$80/$C$70)^(1/($A$80-$A$70))^($A72-$A$70))</f>
        <v>0.36831633155878574</v>
      </c>
      <c r="D72" s="1038">
        <f>IF(AND(A23&gt;=$B$2,A23&lt;=$B$4),_xlfn.XLOOKUP(A72,'VMT Reduction Supporting'!$A:$A,'VMT Reduction Supporting'!$C:$C,,0),0)</f>
        <v>1759.1053342471942</v>
      </c>
      <c r="E72" s="1039">
        <f>IF(AND(A23&gt;=$B$2,A23&lt;=$B$4),_xlfn.XLOOKUP(A72,'VMT Reduction Supporting'!$A:$A,'VMT Reduction Supporting'!$F:$F,,0),0)</f>
        <v>24041.106234711646</v>
      </c>
      <c r="F72" s="1452">
        <f t="shared" si="26"/>
        <v>1.4518472509710907E-5</v>
      </c>
      <c r="G72" s="1040">
        <f t="shared" si="27"/>
        <v>1.9841912429938234E-4</v>
      </c>
      <c r="H72" s="1041">
        <f>IF(AND($A72&gt;=MIN('Major Assumption Key'!$B$4),$A72&lt;=MAX('Major Assumption Key'!$B$6)),G72-F72,0)</f>
        <v>1.8390065178967144E-4</v>
      </c>
      <c r="I72" s="1038">
        <f>IF(AND(A23&gt;=$B$2,A23&lt;=$B$4),_xlfn.XLOOKUP(A72,'VMT Reduction Supporting'!$A:$A,'VMT Reduction Supporting'!$B:$B,,0),0)</f>
        <v>25507.027346584309</v>
      </c>
      <c r="J72" s="1042">
        <f>IF(AND(A23&gt;=$B$2,A23&lt;=$B$4),_xlfn.XLOOKUP(A72,'VMT Reduction Supporting'!$A:$A,'VMT Reduction Supporting'!$E:$E,,0),0)</f>
        <v>25870.721397243851</v>
      </c>
      <c r="K72" s="1043">
        <f t="shared" si="28"/>
        <v>2.1051785139080808E-4</v>
      </c>
      <c r="L72" s="1043">
        <f t="shared" si="29"/>
        <v>2.1351953751707164E-4</v>
      </c>
      <c r="M72" s="1044">
        <f>IF(AND($A72&gt;=MIN('Major Assumption Key'!$B$4),$A72&lt;=MAX('Major Assumption Key'!$B$6)),L72-K72,0)</f>
        <v>3.0016861262635597E-6</v>
      </c>
      <c r="N72" s="1038">
        <f>IF(AND(A23&gt;=$B$2,A23&lt;=$B$4),_xlfn.XLOOKUP(A72,'VMT Reduction Supporting'!$A:$A,'VMT Reduction Supporting'!$D:$D,,0),0)</f>
        <v>101131.48970234458</v>
      </c>
      <c r="O72" s="1042">
        <f>IF(AND(A23&gt;=$B$2,A23&lt;=$B$4),_xlfn.XLOOKUP(A72,'VMT Reduction Supporting'!$A:$A,'VMT Reduction Supporting'!$G:$G,,0),0)</f>
        <v>114177.45187394704</v>
      </c>
      <c r="P72" s="1045">
        <f t="shared" si="30"/>
        <v>3.7248379292242673E-2</v>
      </c>
      <c r="Q72" s="1045">
        <f t="shared" si="31"/>
        <v>4.2053420220941981E-2</v>
      </c>
      <c r="R72" s="1046">
        <f>IF(AND($A72&gt;=MIN('Major Assumption Key'!$B$4),$A72&lt;=MAX('Major Assumption Key'!$B$6)),Q72-P72,0)</f>
        <v>4.8050409286993084E-3</v>
      </c>
      <c r="S72" s="1047" t="s">
        <v>1244</v>
      </c>
      <c r="T72" s="1079" t="s">
        <v>1244</v>
      </c>
      <c r="U72" s="1048">
        <v>0</v>
      </c>
    </row>
    <row r="73" spans="1:21" outlineLevel="1">
      <c r="A73" s="1036">
        <f t="shared" si="25"/>
        <v>2033</v>
      </c>
      <c r="B73" s="1037">
        <f t="shared" si="34"/>
        <v>7.7121980266827185E-3</v>
      </c>
      <c r="C73" s="1037">
        <f t="shared" si="35"/>
        <v>0.34995872838691838</v>
      </c>
      <c r="D73" s="1038">
        <f>IF(AND(A24&gt;=$B$2,A24&lt;=$B$4),_xlfn.XLOOKUP(A73,'VMT Reduction Supporting'!$A:$A,'VMT Reduction Supporting'!$C:$C,,0),0)</f>
        <v>1785.0320929014565</v>
      </c>
      <c r="E73" s="1039">
        <f>IF(AND(A24&gt;=$B$2,A24&lt;=$B$4),_xlfn.XLOOKUP(A73,'VMT Reduction Supporting'!$A:$A,'VMT Reduction Supporting'!$F:$F,,0),0)</f>
        <v>24395.438602986567</v>
      </c>
      <c r="F73" s="1452">
        <f t="shared" si="26"/>
        <v>1.3766520984439935E-5</v>
      </c>
      <c r="G73" s="1040">
        <f t="shared" si="27"/>
        <v>1.8814245345401241E-4</v>
      </c>
      <c r="H73" s="1041">
        <f>IF(AND($A73&gt;=MIN('Major Assumption Key'!$B$4),$A73&lt;=MAX('Major Assumption Key'!$B$6)),G73-F73,0)</f>
        <v>1.7437593246957247E-4</v>
      </c>
      <c r="I73" s="1038">
        <f>IF(AND(A24&gt;=$B$2,A24&lt;=$B$4),_xlfn.XLOOKUP(A73,'VMT Reduction Supporting'!$A:$A,'VMT Reduction Supporting'!$B:$B,,0),0)</f>
        <v>25882.965347071113</v>
      </c>
      <c r="J73" s="1042">
        <f>IF(AND(A24&gt;=$B$2,A24&lt;=$B$4),_xlfn.XLOOKUP(A73,'VMT Reduction Supporting'!$A:$A,'VMT Reduction Supporting'!$E:$E,,0),0)</f>
        <v>26247.09093152381</v>
      </c>
      <c r="K73" s="1043">
        <f t="shared" si="28"/>
        <v>1.9961455427437903E-4</v>
      </c>
      <c r="L73" s="1043">
        <f t="shared" si="29"/>
        <v>2.0242276288825979E-4</v>
      </c>
      <c r="M73" s="1044">
        <f>IF(AND($A73&gt;=MIN('Major Assumption Key'!$B$4),$A73&lt;=MAX('Major Assumption Key'!$B$6)),L73-K73,0)</f>
        <v>2.8082086138807587E-6</v>
      </c>
      <c r="N73" s="1038">
        <f>IF(AND(A24&gt;=$B$2,A24&lt;=$B$4),_xlfn.XLOOKUP(A73,'VMT Reduction Supporting'!$A:$A,'VMT Reduction Supporting'!$D:$D,,0),0)</f>
        <v>101526.31985911982</v>
      </c>
      <c r="O73" s="1042">
        <f>IF(AND(A24&gt;=$B$2,A24&lt;=$B$4),_xlfn.XLOOKUP(A73,'VMT Reduction Supporting'!$A:$A,'VMT Reduction Supporting'!$G:$G,,0),0)</f>
        <v>114623.21512094629</v>
      </c>
      <c r="P73" s="1045">
        <f t="shared" si="30"/>
        <v>3.5530021795701111E-2</v>
      </c>
      <c r="Q73" s="1045">
        <f t="shared" si="31"/>
        <v>4.0113394607346559E-2</v>
      </c>
      <c r="R73" s="1046">
        <f>IF(AND($A73&gt;=MIN('Major Assumption Key'!$B$4),$A73&lt;=MAX('Major Assumption Key'!$B$6)),Q73-P73,0)</f>
        <v>4.5833728116454475E-3</v>
      </c>
      <c r="S73" s="1047" t="s">
        <v>1244</v>
      </c>
      <c r="T73" s="1079" t="s">
        <v>1244</v>
      </c>
      <c r="U73" s="1048">
        <v>0</v>
      </c>
    </row>
    <row r="74" spans="1:21" outlineLevel="1">
      <c r="A74" s="1036">
        <f t="shared" si="25"/>
        <v>2034</v>
      </c>
      <c r="B74" s="1037">
        <f t="shared" si="34"/>
        <v>7.206547671642082E-3</v>
      </c>
      <c r="C74" s="1037">
        <f t="shared" si="35"/>
        <v>0.33251610390412922</v>
      </c>
      <c r="D74" s="1038">
        <f>IF(AND(A25&gt;=$B$2,A25&lt;=$B$4),_xlfn.XLOOKUP(A74,'VMT Reduction Supporting'!$A:$A,'VMT Reduction Supporting'!$C:$C,,0),0)</f>
        <v>1811.3409758101511</v>
      </c>
      <c r="E74" s="1039">
        <f>IF(AND(A25&gt;=$B$2,A25&lt;=$B$4),_xlfn.XLOOKUP(A74,'VMT Reduction Supporting'!$A:$A,'VMT Reduction Supporting'!$F:$F,,0),0)</f>
        <v>24754.993336072057</v>
      </c>
      <c r="F74" s="1452">
        <f t="shared" si="26"/>
        <v>1.3053515091774542E-5</v>
      </c>
      <c r="G74" s="1040">
        <f t="shared" si="27"/>
        <v>1.7839803958758535E-4</v>
      </c>
      <c r="H74" s="1041">
        <f>IF(AND($A74&gt;=MIN('Major Assumption Key'!$B$4),$A74&lt;=MAX('Major Assumption Key'!$B$6)),G74-F74,0)</f>
        <v>1.6534452449581082E-4</v>
      </c>
      <c r="I74" s="1038">
        <f>IF(AND(A25&gt;=$B$2,A25&lt;=$B$4),_xlfn.XLOOKUP(A74,'VMT Reduction Supporting'!$A:$A,'VMT Reduction Supporting'!$B:$B,,0),0)</f>
        <v>26264.444149247185</v>
      </c>
      <c r="J74" s="1042">
        <f>IF(AND(A25&gt;=$B$2,A25&lt;=$B$4),_xlfn.XLOOKUP(A74,'VMT Reduction Supporting'!$A:$A,'VMT Reduction Supporting'!$E:$E,,0),0)</f>
        <v>26629.001779520695</v>
      </c>
      <c r="K74" s="1043">
        <f t="shared" si="28"/>
        <v>1.8927596883073082E-4</v>
      </c>
      <c r="L74" s="1043">
        <f t="shared" si="29"/>
        <v>1.9190317077235773E-4</v>
      </c>
      <c r="M74" s="1044">
        <f>IF(AND($A74&gt;=MIN('Major Assumption Key'!$B$4),$A74&lt;=MAX('Major Assumption Key'!$B$6)),L74-K74,0)</f>
        <v>2.6272019416269138E-6</v>
      </c>
      <c r="N74" s="1038">
        <f>IF(AND(A25&gt;=$B$2,A25&lt;=$B$4),_xlfn.XLOOKUP(A74,'VMT Reduction Supporting'!$A:$A,'VMT Reduction Supporting'!$D:$D,,0),0)</f>
        <v>101922.69148288181</v>
      </c>
      <c r="O74" s="1042">
        <f>IF(AND(A25&gt;=$B$2,A25&lt;=$B$4),_xlfn.XLOOKUP(A74,'VMT Reduction Supporting'!$A:$A,'VMT Reduction Supporting'!$G:$G,,0),0)</f>
        <v>115070.71868417358</v>
      </c>
      <c r="P74" s="1045">
        <f t="shared" si="30"/>
        <v>3.3890936271310436E-2</v>
      </c>
      <c r="Q74" s="1045">
        <f t="shared" si="31"/>
        <v>3.8262867050309485E-2</v>
      </c>
      <c r="R74" s="1046">
        <f>IF(AND($A74&gt;=MIN('Major Assumption Key'!$B$4),$A74&lt;=MAX('Major Assumption Key'!$B$6)),Q74-P74,0)</f>
        <v>4.3719307789990489E-3</v>
      </c>
      <c r="S74" s="1047" t="s">
        <v>1244</v>
      </c>
      <c r="T74" s="1079" t="s">
        <v>1244</v>
      </c>
      <c r="U74" s="1048">
        <v>0</v>
      </c>
    </row>
    <row r="75" spans="1:21" outlineLevel="1">
      <c r="A75" s="1036">
        <f t="shared" si="25"/>
        <v>2035</v>
      </c>
      <c r="B75" s="1037">
        <f t="shared" si="34"/>
        <v>6.7340502881237168E-3</v>
      </c>
      <c r="C75" s="1037">
        <f t="shared" si="35"/>
        <v>0.31594285379085496</v>
      </c>
      <c r="D75" s="1038">
        <f>IF(AND(A26&gt;=$B$2,A26&lt;=$B$4),_xlfn.XLOOKUP(A75,'VMT Reduction Supporting'!$A:$A,'VMT Reduction Supporting'!$C:$C,,0),0)</f>
        <v>1838.0376149517199</v>
      </c>
      <c r="E75" s="1039">
        <f>IF(AND(A26&gt;=$B$2,A26&lt;=$B$4),_xlfn.XLOOKUP(A75,'VMT Reduction Supporting'!$A:$A,'VMT Reduction Supporting'!$F:$F,,0),0)</f>
        <v>25119.847404340166</v>
      </c>
      <c r="F75" s="1452">
        <f t="shared" si="26"/>
        <v>1.2377437730547859E-5</v>
      </c>
      <c r="G75" s="1040">
        <f t="shared" si="27"/>
        <v>1.691583156508207E-4</v>
      </c>
      <c r="H75" s="1041">
        <f>IF(AND($A75&gt;=MIN('Major Assumption Key'!$B$4),$A75&lt;=MAX('Major Assumption Key'!$B$6)),G75-F75,0)</f>
        <v>1.5678087792027286E-4</v>
      </c>
      <c r="I75" s="1038">
        <f>IF(AND(A26&gt;=$B$2,A26&lt;=$B$4),_xlfn.XLOOKUP(A75,'VMT Reduction Supporting'!$A:$A,'VMT Reduction Supporting'!$B:$B,,0),0)</f>
        <v>26651.545416799934</v>
      </c>
      <c r="J75" s="1042">
        <f>IF(AND(A26&gt;=$B$2,A26&lt;=$B$4),_xlfn.XLOOKUP(A75,'VMT Reduction Supporting'!$A:$A,'VMT Reduction Supporting'!$E:$E,,0),0)</f>
        <v>27016.535605529451</v>
      </c>
      <c r="K75" s="1043">
        <f t="shared" si="28"/>
        <v>1.794728470929439E-4</v>
      </c>
      <c r="L75" s="1043">
        <f t="shared" si="29"/>
        <v>1.8193070937852024E-4</v>
      </c>
      <c r="M75" s="1044">
        <f>IF(AND($A75&gt;=MIN('Major Assumption Key'!$B$4),$A75&lt;=MAX('Major Assumption Key'!$B$6)),L75-K75,0)</f>
        <v>2.4578622855763366E-6</v>
      </c>
      <c r="N75" s="1038">
        <f>IF(AND(A26&gt;=$B$2,A26&lt;=$B$4),_xlfn.XLOOKUP(A75,'VMT Reduction Supporting'!$A:$A,'VMT Reduction Supporting'!$D:$D,,0),0)</f>
        <v>102320.61059171314</v>
      </c>
      <c r="O75" s="1042">
        <f>IF(AND(A26&gt;=$B$2,A26&lt;=$B$4),_xlfn.XLOOKUP(A75,'VMT Reduction Supporting'!$A:$A,'VMT Reduction Supporting'!$G:$G,,0),0)</f>
        <v>115519.96935804414</v>
      </c>
      <c r="P75" s="1045">
        <f t="shared" si="30"/>
        <v>3.232746571196863E-2</v>
      </c>
      <c r="Q75" s="1045">
        <f t="shared" si="31"/>
        <v>3.6497708788812581E-2</v>
      </c>
      <c r="R75" s="1046">
        <f>IF(AND($A75&gt;=MIN('Major Assumption Key'!$B$4),$A75&lt;=MAX('Major Assumption Key'!$B$6)),Q75-P75,0)</f>
        <v>4.1702430768439519E-3</v>
      </c>
      <c r="S75" s="1047" t="s">
        <v>1244</v>
      </c>
      <c r="T75" s="1079" t="s">
        <v>1244</v>
      </c>
      <c r="U75" s="1048">
        <v>0</v>
      </c>
    </row>
    <row r="76" spans="1:21" outlineLevel="1">
      <c r="A76" s="1036">
        <f t="shared" si="25"/>
        <v>2036</v>
      </c>
      <c r="B76" s="1037">
        <f t="shared" si="34"/>
        <v>6.2925322011567657E-3</v>
      </c>
      <c r="C76" s="1037">
        <f t="shared" si="35"/>
        <v>0.30019564673562255</v>
      </c>
      <c r="D76" s="1038">
        <f>IF(AND(A27&gt;=$B$2,A27&lt;=$B$4),_xlfn.XLOOKUP(A76,'VMT Reduction Supporting'!$A:$A,'VMT Reduction Supporting'!$C:$C,,0),0)</f>
        <v>1865.1277253121111</v>
      </c>
      <c r="E76" s="1039">
        <f>IF(AND(A27&gt;=$B$2,A27&lt;=$B$4),_xlfn.XLOOKUP(A76,'VMT Reduction Supporting'!$A:$A,'VMT Reduction Supporting'!$F:$F,,0),0)</f>
        <v>25490.078912598849</v>
      </c>
      <c r="F76" s="1452">
        <f t="shared" si="26"/>
        <v>1.1736376270796731E-5</v>
      </c>
      <c r="G76" s="1040">
        <f t="shared" si="27"/>
        <v>1.603971423675553E-4</v>
      </c>
      <c r="H76" s="1041">
        <f>IF(AND($A76&gt;=MIN('Major Assumption Key'!$B$4),$A76&lt;=MAX('Major Assumption Key'!$B$6)),G76-F76,0)</f>
        <v>1.4866076609675857E-4</v>
      </c>
      <c r="I76" s="1038">
        <f>IF(AND(A27&gt;=$B$2,A27&lt;=$B$4),_xlfn.XLOOKUP(A76,'VMT Reduction Supporting'!$A:$A,'VMT Reduction Supporting'!$B:$B,,0),0)</f>
        <v>27044.352017025605</v>
      </c>
      <c r="J76" s="1042">
        <f>IF(AND(A27&gt;=$B$2,A27&lt;=$B$4),_xlfn.XLOOKUP(A76,'VMT Reduction Supporting'!$A:$A,'VMT Reduction Supporting'!$E:$E,,0),0)</f>
        <v>27409.775277454592</v>
      </c>
      <c r="K76" s="1043">
        <f t="shared" si="28"/>
        <v>1.7017745592655254E-4</v>
      </c>
      <c r="L76" s="1043">
        <f t="shared" si="29"/>
        <v>1.7247689355985363E-4</v>
      </c>
      <c r="M76" s="1044">
        <f>IF(AND($A76&gt;=MIN('Major Assumption Key'!$B$4),$A76&lt;=MAX('Major Assumption Key'!$B$6)),L76-K76,0)</f>
        <v>2.2994376333010846E-6</v>
      </c>
      <c r="N76" s="1038">
        <f>IF(AND(A27&gt;=$B$2,A27&lt;=$B$4),_xlfn.XLOOKUP(A76,'VMT Reduction Supporting'!$A:$A,'VMT Reduction Supporting'!$D:$D,,0),0)</f>
        <v>102720.08322719164</v>
      </c>
      <c r="O76" s="1042">
        <f>IF(AND(A27&gt;=$B$2,A27&lt;=$B$4),_xlfn.XLOOKUP(A76,'VMT Reduction Supporting'!$A:$A,'VMT Reduction Supporting'!$G:$G,,0),0)</f>
        <v>115970.97396349937</v>
      </c>
      <c r="P76" s="1045">
        <f t="shared" si="30"/>
        <v>3.0836121817123769E-2</v>
      </c>
      <c r="Q76" s="1045">
        <f t="shared" si="31"/>
        <v>3.4813981531532735E-2</v>
      </c>
      <c r="R76" s="1046">
        <f>IF(AND($A76&gt;=MIN('Major Assumption Key'!$B$4),$A76&lt;=MAX('Major Assumption Key'!$B$6)),Q76-P76,0)</f>
        <v>3.9778597144089663E-3</v>
      </c>
      <c r="S76" s="1047" t="s">
        <v>1244</v>
      </c>
      <c r="T76" s="1079" t="s">
        <v>1244</v>
      </c>
      <c r="U76" s="1048">
        <v>0</v>
      </c>
    </row>
    <row r="77" spans="1:21" outlineLevel="1">
      <c r="A77" s="1036">
        <f t="shared" si="25"/>
        <v>2037</v>
      </c>
      <c r="B77" s="1037">
        <f t="shared" si="34"/>
        <v>5.8799622527956029E-3</v>
      </c>
      <c r="C77" s="1037">
        <f t="shared" si="35"/>
        <v>0.28523331114390016</v>
      </c>
      <c r="D77" s="1038">
        <f>IF(AND(A28&gt;=$B$2,A28&lt;=$B$4),_xlfn.XLOOKUP(A77,'VMT Reduction Supporting'!$A:$A,'VMT Reduction Supporting'!$C:$C,,0),0)</f>
        <v>1892.6171061081936</v>
      </c>
      <c r="E77" s="1039">
        <f>IF(AND(A28&gt;=$B$2,A28&lt;=$B$4),_xlfn.XLOOKUP(A77,'VMT Reduction Supporting'!$A:$A,'VMT Reduction Supporting'!$F:$F,,0),0)</f>
        <v>25865.76711681197</v>
      </c>
      <c r="F77" s="1452">
        <f t="shared" si="26"/>
        <v>1.1128517142911429E-5</v>
      </c>
      <c r="G77" s="1040">
        <f t="shared" si="27"/>
        <v>1.5208973428645616E-4</v>
      </c>
      <c r="H77" s="1041">
        <f>IF(AND($A77&gt;=MIN('Major Assumption Key'!$B$4),$A77&lt;=MAX('Major Assumption Key'!$B$6)),G77-F77,0)</f>
        <v>1.4096121714354473E-4</v>
      </c>
      <c r="I77" s="1038">
        <f>IF(AND(A28&gt;=$B$2,A28&lt;=$B$4),_xlfn.XLOOKUP(A77,'VMT Reduction Supporting'!$A:$A,'VMT Reduction Supporting'!$B:$B,,0),0)</f>
        <v>27442.948038568797</v>
      </c>
      <c r="J77" s="1042">
        <f>IF(AND(A28&gt;=$B$2,A28&lt;=$B$4),_xlfn.XLOOKUP(A77,'VMT Reduction Supporting'!$A:$A,'VMT Reduction Supporting'!$E:$E,,0),0)</f>
        <v>27808.804884549685</v>
      </c>
      <c r="K77" s="1043">
        <f t="shared" si="28"/>
        <v>1.6136349857221566E-4</v>
      </c>
      <c r="L77" s="1043">
        <f t="shared" si="29"/>
        <v>1.6351472301651013E-4</v>
      </c>
      <c r="M77" s="1044">
        <f>IF(AND($A77&gt;=MIN('Major Assumption Key'!$B$4),$A77&lt;=MAX('Major Assumption Key'!$B$6)),L77-K77,0)</f>
        <v>2.1512244442944625E-6</v>
      </c>
      <c r="N77" s="1038">
        <f>IF(AND(A28&gt;=$B$2,A28&lt;=$B$4),_xlfn.XLOOKUP(A77,'VMT Reduction Supporting'!$A:$A,'VMT Reduction Supporting'!$D:$D,,0),0)</f>
        <v>103121.11545448234</v>
      </c>
      <c r="O77" s="1042">
        <f>IF(AND(A28&gt;=$B$2,A28&lt;=$B$4),_xlfn.XLOOKUP(A77,'VMT Reduction Supporting'!$A:$A,'VMT Reduction Supporting'!$G:$G,,0),0)</f>
        <v>116423.73934811057</v>
      </c>
      <c r="P77" s="1045">
        <f t="shared" si="30"/>
        <v>2.941357720993441E-2</v>
      </c>
      <c r="Q77" s="1045">
        <f t="shared" si="31"/>
        <v>3.320792867001595E-2</v>
      </c>
      <c r="R77" s="1046">
        <f>IF(AND($A77&gt;=MIN('Major Assumption Key'!$B$4),$A77&lt;=MAX('Major Assumption Key'!$B$6)),Q77-P77,0)</f>
        <v>3.7943514600815402E-3</v>
      </c>
      <c r="S77" s="1047" t="s">
        <v>1244</v>
      </c>
      <c r="T77" s="1079" t="s">
        <v>1244</v>
      </c>
      <c r="U77" s="1048">
        <v>0</v>
      </c>
    </row>
    <row r="78" spans="1:21" outlineLevel="1">
      <c r="A78" s="1036">
        <f t="shared" si="25"/>
        <v>2038</v>
      </c>
      <c r="B78" s="1037">
        <f t="shared" si="34"/>
        <v>5.4944424579893856E-3</v>
      </c>
      <c r="C78" s="1037">
        <f t="shared" si="35"/>
        <v>0.27101672749359906</v>
      </c>
      <c r="D78" s="1038">
        <f>IF(AND(A29&gt;=$B$2,A29&lt;=$B$4),_xlfn.XLOOKUP(A78,'VMT Reduction Supporting'!$A:$A,'VMT Reduction Supporting'!$C:$C,,0),0)</f>
        <v>1920.511642029202</v>
      </c>
      <c r="E78" s="1039">
        <f>IF(AND(A29&gt;=$B$2,A29&lt;=$B$4),_xlfn.XLOOKUP(A78,'VMT Reduction Supporting'!$A:$A,'VMT Reduction Supporting'!$F:$F,,0),0)</f>
        <v>26246.992441065755</v>
      </c>
      <c r="F78" s="1452">
        <f t="shared" si="26"/>
        <v>1.055214070702816E-5</v>
      </c>
      <c r="G78" s="1040">
        <f t="shared" si="27"/>
        <v>1.4421258966271816E-4</v>
      </c>
      <c r="H78" s="1041">
        <f>IF(AND($A78&gt;=MIN('Major Assumption Key'!$B$4),$A78&lt;=MAX('Major Assumption Key'!$B$6)),G78-F78,0)</f>
        <v>1.3366044895569E-4</v>
      </c>
      <c r="I78" s="1038">
        <f>IF(AND(A29&gt;=$B$2,A29&lt;=$B$4),_xlfn.XLOOKUP(A78,'VMT Reduction Supporting'!$A:$A,'VMT Reduction Supporting'!$B:$B,,0),0)</f>
        <v>27847.41880942342</v>
      </c>
      <c r="J78" s="1042">
        <f>IF(AND(A29&gt;=$B$2,A29&lt;=$B$4),_xlfn.XLOOKUP(A78,'VMT Reduction Supporting'!$A:$A,'VMT Reduction Supporting'!$E:$E,,0),0)</f>
        <v>28213.709755418346</v>
      </c>
      <c r="K78" s="1043">
        <f t="shared" si="28"/>
        <v>1.5300604025190827E-4</v>
      </c>
      <c r="L78" s="1043">
        <f t="shared" si="29"/>
        <v>1.5501860477755989E-4</v>
      </c>
      <c r="M78" s="1044">
        <f>IF(AND($A78&gt;=MIN('Major Assumption Key'!$B$4),$A78&lt;=MAX('Major Assumption Key'!$B$6)),L78-K78,0)</f>
        <v>2.0125645256516148E-6</v>
      </c>
      <c r="N78" s="1038">
        <f>IF(AND(A29&gt;=$B$2,A29&lt;=$B$4),_xlfn.XLOOKUP(A78,'VMT Reduction Supporting'!$A:$A,'VMT Reduction Supporting'!$D:$D,,0),0)</f>
        <v>103523.71336242935</v>
      </c>
      <c r="O78" s="1042">
        <f>IF(AND(A29&gt;=$B$2,A29&lt;=$B$4),_xlfn.XLOOKUP(A78,'VMT Reduction Supporting'!$A:$A,'VMT Reduction Supporting'!$G:$G,,0),0)</f>
        <v>116878.27238618277</v>
      </c>
      <c r="P78" s="1045">
        <f t="shared" si="30"/>
        <v>2.8056658013470976E-2</v>
      </c>
      <c r="Q78" s="1045">
        <f t="shared" si="31"/>
        <v>3.1675966897208738E-2</v>
      </c>
      <c r="R78" s="1046">
        <f>IF(AND($A78&gt;=MIN('Major Assumption Key'!$B$4),$A78&lt;=MAX('Major Assumption Key'!$B$6)),Q78-P78,0)</f>
        <v>3.6193088837377617E-3</v>
      </c>
      <c r="S78" s="1047" t="s">
        <v>1244</v>
      </c>
      <c r="T78" s="1079" t="s">
        <v>1244</v>
      </c>
      <c r="U78" s="1048">
        <v>0</v>
      </c>
    </row>
    <row r="79" spans="1:21" outlineLevel="1">
      <c r="A79" s="1036">
        <f t="shared" si="25"/>
        <v>2039</v>
      </c>
      <c r="B79" s="1037">
        <f t="shared" si="34"/>
        <v>5.1341992730996296E-3</v>
      </c>
      <c r="C79" s="1037">
        <f t="shared" si="35"/>
        <v>0.2575087260557874</v>
      </c>
      <c r="D79" s="1038">
        <f>IF(AND(A30&gt;=$B$2,A30&lt;=$B$4),_xlfn.XLOOKUP(A79,'VMT Reduction Supporting'!$A:$A,'VMT Reduction Supporting'!$C:$C,,0),0)</f>
        <v>1948.8173044964817</v>
      </c>
      <c r="E79" s="1039">
        <f>IF(AND(A30&gt;=$B$2,A30&lt;=$B$4),_xlfn.XLOOKUP(A79,'VMT Reduction Supporting'!$A:$A,'VMT Reduction Supporting'!$F:$F,,0),0)</f>
        <v>26633.83649478525</v>
      </c>
      <c r="F79" s="1452">
        <f t="shared" si="26"/>
        <v>1.0005616388149816E-5</v>
      </c>
      <c r="G79" s="1040">
        <f t="shared" si="27"/>
        <v>1.3674342397138083E-4</v>
      </c>
      <c r="H79" s="1041">
        <f>IF(AND($A79&gt;=MIN('Major Assumption Key'!$B$4),$A79&lt;=MAX('Major Assumption Key'!$B$6)),G79-F79,0)</f>
        <v>1.26737807583231E-4</v>
      </c>
      <c r="I79" s="1038">
        <f>IF(AND(A30&gt;=$B$2,A30&lt;=$B$4),_xlfn.XLOOKUP(A79,'VMT Reduction Supporting'!$A:$A,'VMT Reduction Supporting'!$B:$B,,0),0)</f>
        <v>28257.850915198978</v>
      </c>
      <c r="J79" s="1042">
        <f>IF(AND(A30&gt;=$B$2,A30&lt;=$B$4),_xlfn.XLOOKUP(A79,'VMT Reduction Supporting'!$A:$A,'VMT Reduction Supporting'!$E:$E,,0),0)</f>
        <v>28624.576476280497</v>
      </c>
      <c r="K79" s="1043">
        <f t="shared" si="28"/>
        <v>1.4508143762817228E-4</v>
      </c>
      <c r="L79" s="1043">
        <f t="shared" si="29"/>
        <v>1.4696427973730409E-4</v>
      </c>
      <c r="M79" s="1044">
        <f>IF(AND($A79&gt;=MIN('Major Assumption Key'!$B$4),$A79&lt;=MAX('Major Assumption Key'!$B$6)),L79-K79,0)</f>
        <v>1.8828421091318095E-6</v>
      </c>
      <c r="N79" s="1038">
        <f>IF(AND(A30&gt;=$B$2,A30&lt;=$B$4),_xlfn.XLOOKUP(A79,'VMT Reduction Supporting'!$A:$A,'VMT Reduction Supporting'!$D:$D,,0),0)</f>
        <v>103927.88306364848</v>
      </c>
      <c r="O79" s="1042">
        <f>IF(AND(A30&gt;=$B$2,A30&lt;=$B$4),_xlfn.XLOOKUP(A79,'VMT Reduction Supporting'!$A:$A,'VMT Reduction Supporting'!$G:$G,,0),0)</f>
        <v>117334.57997885915</v>
      </c>
      <c r="P79" s="1045">
        <f t="shared" si="30"/>
        <v>2.6762336769394962E-2</v>
      </c>
      <c r="Q79" s="1045">
        <f t="shared" si="31"/>
        <v>3.0214678212646919E-2</v>
      </c>
      <c r="R79" s="1046">
        <f>IF(AND($A79&gt;=MIN('Major Assumption Key'!$B$4),$A79&lt;=MAX('Major Assumption Key'!$B$6)),Q79-P79,0)</f>
        <v>3.4523414432519571E-3</v>
      </c>
      <c r="S79" s="1047" t="s">
        <v>1244</v>
      </c>
      <c r="T79" s="1079" t="s">
        <v>1244</v>
      </c>
      <c r="U79" s="1048">
        <v>0</v>
      </c>
    </row>
    <row r="80" spans="1:21" outlineLevel="1">
      <c r="A80" s="1451">
        <f t="shared" si="25"/>
        <v>2040</v>
      </c>
      <c r="B80" s="1078">
        <f>VLOOKUP($B$5,'Emission Factors'!$O$5:$T$21,2,FALSE)</f>
        <v>4.7975754368975295E-3</v>
      </c>
      <c r="C80" s="1078">
        <f>VLOOKUP($B$6,'Emission Factors'!$O$28:$T$44,2,FALSE)</f>
        <v>0.24467398971320209</v>
      </c>
      <c r="D80" s="1038">
        <f>IF(AND(A31&gt;=$B$2,A31&lt;=$B$4),_xlfn.XLOOKUP(A80,'VMT Reduction Supporting'!$A:$A,'VMT Reduction Supporting'!$C:$C,,0),0)</f>
        <v>1977.5401529417989</v>
      </c>
      <c r="E80" s="1039">
        <f>IF(AND(A31&gt;=$B$2,A31&lt;=$B$4),_xlfn.XLOOKUP(A80,'VMT Reduction Supporting'!$A:$A,'VMT Reduction Supporting'!$F:$F,,0),0)</f>
        <v>27026.382090204577</v>
      </c>
      <c r="F80" s="1452">
        <f t="shared" si="26"/>
        <v>9.4873980632321576E-6</v>
      </c>
      <c r="G80" s="1040">
        <f t="shared" si="27"/>
        <v>1.2966110686417277E-4</v>
      </c>
      <c r="H80" s="1041">
        <f>IF(AND($A80&gt;=MIN('Major Assumption Key'!$B$4),$A80&lt;=MAX('Major Assumption Key'!$B$6)),G80-F80,0)</f>
        <v>1.2017370880094062E-4</v>
      </c>
      <c r="I80" s="1038">
        <f>IF(AND(A31&gt;=$B$2,A31&lt;=$B$4),_xlfn.XLOOKUP(A80,'VMT Reduction Supporting'!$A:$A,'VMT Reduction Supporting'!$B:$B,,0),0)</f>
        <v>28674.332217656076</v>
      </c>
      <c r="J80" s="1042">
        <f>IF(AND(A31&gt;=$B$2,A31&lt;=$B$4),_xlfn.XLOOKUP(A80,'VMT Reduction Supporting'!$A:$A,'VMT Reduction Supporting'!$E:$E,,0),0)</f>
        <v>29041.492909507902</v>
      </c>
      <c r="K80" s="1043">
        <f t="shared" si="28"/>
        <v>1.3756727191686625E-4</v>
      </c>
      <c r="L80" s="1043">
        <f t="shared" si="29"/>
        <v>1.3932875303348887E-4</v>
      </c>
      <c r="M80" s="1044">
        <f>IF(AND($A80&gt;=MIN('Major Assumption Key'!$B$4),$A80&lt;=MAX('Major Assumption Key'!$B$6)),L80-K80,0)</f>
        <v>1.7614811166226146E-6</v>
      </c>
      <c r="N80" s="1038">
        <f>IF(AND(A31&gt;=$B$2,A31&lt;=$B$4),_xlfn.XLOOKUP(A80,'VMT Reduction Supporting'!$A:$A,'VMT Reduction Supporting'!$D:$D,,0),0)</f>
        <v>104333.63069461992</v>
      </c>
      <c r="O80" s="1042">
        <f>IF(AND(A31&gt;=$B$2,A31&lt;=$B$4),_xlfn.XLOOKUP(A80,'VMT Reduction Supporting'!$A:$A,'VMT Reduction Supporting'!$G:$G,,0),0)</f>
        <v>117792.66905422589</v>
      </c>
      <c r="P80" s="1045">
        <f t="shared" si="30"/>
        <v>2.552772568331646E-2</v>
      </c>
      <c r="Q80" s="1045">
        <f t="shared" si="31"/>
        <v>2.8820802296464283E-2</v>
      </c>
      <c r="R80" s="1046">
        <f>IF(AND($A80&gt;=MIN('Major Assumption Key'!$B$4),$A80&lt;=MAX('Major Assumption Key'!$B$6)),Q80-P80,0)</f>
        <v>3.2930766131478231E-3</v>
      </c>
      <c r="S80" s="1047" t="s">
        <v>1244</v>
      </c>
      <c r="T80" s="1079" t="s">
        <v>1244</v>
      </c>
      <c r="U80" s="1048">
        <v>0</v>
      </c>
    </row>
    <row r="81" spans="1:21" outlineLevel="1">
      <c r="A81" s="1036">
        <f t="shared" si="25"/>
        <v>2041</v>
      </c>
      <c r="B81" s="1037">
        <f>$B$80*(($B$85/$B$80)^(1/($A$85-$A$80)))^($A81-$A$80)</f>
        <v>4.7441705927407677E-3</v>
      </c>
      <c r="C81" s="1037">
        <f>$C$80*(($C$85/$C$80)^(1/($A$85-$A$80)))^($A81-$A$80)</f>
        <v>0.2446130598189665</v>
      </c>
      <c r="D81" s="1038">
        <f>IF(AND(A32&gt;=$B$2,A32&lt;=$B$4),_xlfn.XLOOKUP(A81,'VMT Reduction Supporting'!$A:$A,'VMT Reduction Supporting'!$C:$C,,0),0)</f>
        <v>2006.68633610449</v>
      </c>
      <c r="E81" s="1039">
        <f>IF(AND(A32&gt;=$B$2,A32&lt;=$B$4),_xlfn.XLOOKUP(A81,'VMT Reduction Supporting'!$A:$A,'VMT Reduction Supporting'!$F:$F,,0),0)</f>
        <v>27424.713260094686</v>
      </c>
      <c r="F81" s="1452">
        <f t="shared" si="26"/>
        <v>9.5200623046016367E-6</v>
      </c>
      <c r="G81" s="1040">
        <f t="shared" si="27"/>
        <v>1.30107518162889E-4</v>
      </c>
      <c r="H81" s="1041">
        <f>IF(AND($A81&gt;=MIN('Major Assumption Key'!$B$4),$A81&lt;=MAX('Major Assumption Key'!$B$6)),G81-F81,0)</f>
        <v>1.2058745585828736E-4</v>
      </c>
      <c r="I81" s="1038">
        <f>IF(AND(A32&gt;=$B$2,A32&lt;=$B$4),_xlfn.XLOOKUP(A81,'VMT Reduction Supporting'!$A:$A,'VMT Reduction Supporting'!$B:$B,,0),0)</f>
        <v>29096.9518735151</v>
      </c>
      <c r="J81" s="1042">
        <f>IF(AND(A32&gt;=$B$2,A32&lt;=$B$4),_xlfn.XLOOKUP(A81,'VMT Reduction Supporting'!$A:$A,'VMT Reduction Supporting'!$E:$E,,0),0)</f>
        <v>29464.548212432808</v>
      </c>
      <c r="K81" s="1043">
        <f t="shared" si="28"/>
        <v>1.3804090341672373E-4</v>
      </c>
      <c r="L81" s="1043">
        <f t="shared" si="29"/>
        <v>1.3978484315781627E-4</v>
      </c>
      <c r="M81" s="1044">
        <f>IF(AND($A81&gt;=MIN('Major Assumption Key'!$B$4),$A81&lt;=MAX('Major Assumption Key'!$B$6)),L81-K81,0)</f>
        <v>1.7439397410925464E-6</v>
      </c>
      <c r="N81" s="1038">
        <f>IF(AND(A32&gt;=$B$2,A32&lt;=$B$4),_xlfn.XLOOKUP(A81,'VMT Reduction Supporting'!$A:$A,'VMT Reduction Supporting'!$D:$D,,0),0)</f>
        <v>104740.96241578144</v>
      </c>
      <c r="O81" s="1042">
        <f>IF(AND(A32&gt;=$B$2,A32&lt;=$B$4),_xlfn.XLOOKUP(A81,'VMT Reduction Supporting'!$A:$A,'VMT Reduction Supporting'!$G:$G,,0),0)</f>
        <v>118252.54656741727</v>
      </c>
      <c r="P81" s="1045">
        <f t="shared" si="30"/>
        <v>2.5621007304907666E-2</v>
      </c>
      <c r="Q81" s="1045">
        <f t="shared" si="31"/>
        <v>2.8926117247240764E-2</v>
      </c>
      <c r="R81" s="1046">
        <f>IF(AND($A81&gt;=MIN('Major Assumption Key'!$B$4),$A81&lt;=MAX('Major Assumption Key'!$B$6)),Q81-P81,0)</f>
        <v>3.3051099423330975E-3</v>
      </c>
      <c r="S81" s="1047" t="s">
        <v>1244</v>
      </c>
      <c r="T81" s="1079" t="s">
        <v>1244</v>
      </c>
      <c r="U81" s="1048">
        <v>0</v>
      </c>
    </row>
    <row r="82" spans="1:21" outlineLevel="1">
      <c r="A82" s="1036">
        <f t="shared" si="25"/>
        <v>2042</v>
      </c>
      <c r="B82" s="1037">
        <f t="shared" ref="B82:B97" si="36">$B$80*(($B$85/$B$80)^(1/($A$85-$A$80)))^($A82-$A$80)</f>
        <v>4.6913602316550739E-3</v>
      </c>
      <c r="C82" s="1037">
        <f t="shared" ref="C82:C100" si="37">$C$80*(($C$85/$C$80)^(1/($A$85-$A$80)))^($A82-$A$80)</f>
        <v>0.24455214509778639</v>
      </c>
      <c r="D82" s="1038">
        <f>IF(AND(A33&gt;=$B$2,A33&lt;=$B$4),_xlfn.XLOOKUP(A82,'VMT Reduction Supporting'!$A:$A,'VMT Reduction Supporting'!$C:$C,,0),0)</f>
        <v>2036.2620933477322</v>
      </c>
      <c r="E82" s="1039">
        <f>IF(AND(A33&gt;=$B$2,A33&lt;=$B$4),_xlfn.XLOOKUP(A82,'VMT Reduction Supporting'!$A:$A,'VMT Reduction Supporting'!$F:$F,,0),0)</f>
        <v>27828.91527575233</v>
      </c>
      <c r="F82" s="1452">
        <f t="shared" si="26"/>
        <v>9.5528390059582613E-6</v>
      </c>
      <c r="G82" s="1040">
        <f t="shared" si="27"/>
        <v>1.3055546641476285E-4</v>
      </c>
      <c r="H82" s="1041">
        <f>IF(AND($A82&gt;=MIN('Major Assumption Key'!$B$4),$A82&lt;=MAX('Major Assumption Key'!$B$6)),G82-F82,0)</f>
        <v>1.2100262740880459E-4</v>
      </c>
      <c r="I82" s="1038">
        <f>IF(AND(A33&gt;=$B$2,A33&lt;=$B$4),_xlfn.XLOOKUP(A82,'VMT Reduction Supporting'!$A:$A,'VMT Reduction Supporting'!$B:$B,,0),0)</f>
        <v>29525.800353542108</v>
      </c>
      <c r="J82" s="1042">
        <f>IF(AND(A33&gt;=$B$2,A33&lt;=$B$4),_xlfn.XLOOKUP(A82,'VMT Reduction Supporting'!$A:$A,'VMT Reduction Supporting'!$E:$E,,0),0)</f>
        <v>29893.832856433892</v>
      </c>
      <c r="K82" s="1043">
        <f t="shared" si="28"/>
        <v>1.3851616558639479E-4</v>
      </c>
      <c r="L82" s="1043">
        <f t="shared" si="29"/>
        <v>1.4024273863441777E-4</v>
      </c>
      <c r="M82" s="1044">
        <f>IF(AND($A82&gt;=MIN('Major Assumption Key'!$B$4),$A82&lt;=MAX('Major Assumption Key'!$B$6)),L82-K82,0)</f>
        <v>1.7265730480229776E-6</v>
      </c>
      <c r="N82" s="1038">
        <f>IF(AND(A33&gt;=$B$2,A33&lt;=$B$4),_xlfn.XLOOKUP(A82,'VMT Reduction Supporting'!$A:$A,'VMT Reduction Supporting'!$D:$D,,0),0)</f>
        <v>105149.884411622</v>
      </c>
      <c r="O82" s="1042">
        <f>IF(AND(A33&gt;=$B$2,A33&lt;=$B$4),_xlfn.XLOOKUP(A82,'VMT Reduction Supporting'!$A:$A,'VMT Reduction Supporting'!$G:$G,,0),0)</f>
        <v>118714.21950072126</v>
      </c>
      <c r="P82" s="1045">
        <f t="shared" si="30"/>
        <v>2.5714629789646448E-2</v>
      </c>
      <c r="Q82" s="1045">
        <f t="shared" si="31"/>
        <v>2.9031817032510846E-2</v>
      </c>
      <c r="R82" s="1046">
        <f>IF(AND($A82&gt;=MIN('Major Assumption Key'!$B$4),$A82&lt;=MAX('Major Assumption Key'!$B$6)),Q82-P82,0)</f>
        <v>3.317187242864398E-3</v>
      </c>
      <c r="S82" s="1047" t="s">
        <v>1244</v>
      </c>
      <c r="T82" s="1079" t="s">
        <v>1244</v>
      </c>
      <c r="U82" s="1048">
        <v>0</v>
      </c>
    </row>
    <row r="83" spans="1:21" outlineLevel="1">
      <c r="A83" s="1036">
        <f t="shared" si="25"/>
        <v>2043</v>
      </c>
      <c r="B83" s="1037">
        <f t="shared" si="36"/>
        <v>4.6391377360736827E-3</v>
      </c>
      <c r="C83" s="1037">
        <f t="shared" si="37"/>
        <v>0.24449124554588322</v>
      </c>
      <c r="D83" s="1038">
        <f>IF(AND(A34&gt;=$B$2,A34&lt;=$B$4),_xlfn.XLOOKUP(A83,'VMT Reduction Supporting'!$A:$A,'VMT Reduction Supporting'!$C:$C,,0),0)</f>
        <v>2066.273755994212</v>
      </c>
      <c r="E83" s="1039">
        <f>IF(AND(A34&gt;=$B$2,A34&lt;=$B$4),_xlfn.XLOOKUP(A83,'VMT Reduction Supporting'!$A:$A,'VMT Reduction Supporting'!$F:$F,,0),0)</f>
        <v>28239.074665254226</v>
      </c>
      <c r="F83" s="1452">
        <f t="shared" si="26"/>
        <v>9.585728554491454E-6</v>
      </c>
      <c r="G83" s="1040">
        <f t="shared" si="27"/>
        <v>1.3100495691138319E-4</v>
      </c>
      <c r="H83" s="1041">
        <f>IF(AND($A83&gt;=MIN('Major Assumption Key'!$B$4),$A83&lt;=MAX('Major Assumption Key'!$B$6)),G83-F83,0)</f>
        <v>1.2141922835689173E-4</v>
      </c>
      <c r="I83" s="1038">
        <f>IF(AND(A34&gt;=$B$2,A34&lt;=$B$4),_xlfn.XLOOKUP(A83,'VMT Reduction Supporting'!$A:$A,'VMT Reduction Supporting'!$B:$B,,0),0)</f>
        <v>29960.969461916065</v>
      </c>
      <c r="J83" s="1042">
        <f>IF(AND(A34&gt;=$B$2,A34&lt;=$B$4),_xlfn.XLOOKUP(A83,'VMT Reduction Supporting'!$A:$A,'VMT Reduction Supporting'!$E:$E,,0),0)</f>
        <v>30329.438646303432</v>
      </c>
      <c r="K83" s="1043">
        <f t="shared" si="28"/>
        <v>1.3899306404012603E-4</v>
      </c>
      <c r="L83" s="1043">
        <f t="shared" si="29"/>
        <v>1.4070244333799775E-4</v>
      </c>
      <c r="M83" s="1044">
        <f>IF(AND($A83&gt;=MIN('Major Assumption Key'!$B$4),$A83&lt;=MAX('Major Assumption Key'!$B$6)),L83-K83,0)</f>
        <v>1.709379297871723E-6</v>
      </c>
      <c r="N83" s="1038">
        <f>IF(AND(A34&gt;=$B$2,A34&lt;=$B$4),_xlfn.XLOOKUP(A83,'VMT Reduction Supporting'!$A:$A,'VMT Reduction Supporting'!$D:$D,,0),0)</f>
        <v>105560.40289077553</v>
      </c>
      <c r="O83" s="1042">
        <f>IF(AND(A34&gt;=$B$2,A34&lt;=$B$4),_xlfn.XLOOKUP(A83,'VMT Reduction Supporting'!$A:$A,'VMT Reduction Supporting'!$G:$G,,0),0)</f>
        <v>119177.6948636856</v>
      </c>
      <c r="P83" s="1045">
        <f t="shared" si="30"/>
        <v>2.5808594383090959E-2</v>
      </c>
      <c r="Q83" s="1045">
        <f t="shared" si="31"/>
        <v>2.9137903058509704E-2</v>
      </c>
      <c r="R83" s="1046">
        <f>IF(AND($A83&gt;=MIN('Major Assumption Key'!$B$4),$A83&lt;=MAX('Major Assumption Key'!$B$6)),Q83-P83,0)</f>
        <v>3.3293086754187448E-3</v>
      </c>
      <c r="S83" s="1047" t="s">
        <v>1244</v>
      </c>
      <c r="T83" s="1079" t="s">
        <v>1244</v>
      </c>
      <c r="U83" s="1048">
        <v>0</v>
      </c>
    </row>
    <row r="84" spans="1:21" outlineLevel="1">
      <c r="A84" s="1036">
        <f t="shared" si="25"/>
        <v>2044</v>
      </c>
      <c r="B84" s="1037">
        <f t="shared" si="36"/>
        <v>4.5874965620941481E-3</v>
      </c>
      <c r="C84" s="1037">
        <f t="shared" si="37"/>
        <v>0.2444303611594795</v>
      </c>
      <c r="D84" s="1038">
        <f>IF(AND(A35&gt;=$B$2,A35&lt;=$B$4),_xlfn.XLOOKUP(A84,'VMT Reduction Supporting'!$A:$A,'VMT Reduction Supporting'!$C:$C,,0),0)</f>
        <v>2096.7277486814805</v>
      </c>
      <c r="E84" s="1039">
        <f>IF(AND(A35&gt;=$B$2,A35&lt;=$B$4),_xlfn.XLOOKUP(A84,'VMT Reduction Supporting'!$A:$A,'VMT Reduction Supporting'!$F:$F,,0),0)</f>
        <v>28655.279231980225</v>
      </c>
      <c r="F84" s="1452">
        <f t="shared" si="26"/>
        <v>9.6187313387236947E-6</v>
      </c>
      <c r="G84" s="1040">
        <f t="shared" si="27"/>
        <v>1.3145599496255713E-4</v>
      </c>
      <c r="H84" s="1041">
        <f>IF(AND($A84&gt;=MIN('Major Assumption Key'!$B$4),$A84&lt;=MAX('Major Assumption Key'!$B$6)),G84-F84,0)</f>
        <v>1.2183726362383344E-4</v>
      </c>
      <c r="I84" s="1038">
        <f>IF(AND(A35&gt;=$B$2,A35&lt;=$B$4),_xlfn.XLOOKUP(A84,'VMT Reduction Supporting'!$A:$A,'VMT Reduction Supporting'!$B:$B,,0),0)</f>
        <v>30402.552355881457</v>
      </c>
      <c r="J84" s="1042">
        <f>IF(AND(A35&gt;=$B$2,A35&lt;=$B$4),_xlfn.XLOOKUP(A84,'VMT Reduction Supporting'!$A:$A,'VMT Reduction Supporting'!$E:$E,,0),0)</f>
        <v>30771.458739899965</v>
      </c>
      <c r="K84" s="1043">
        <f t="shared" si="28"/>
        <v>1.3947160441149352E-4</v>
      </c>
      <c r="L84" s="1043">
        <f t="shared" si="29"/>
        <v>1.4116396117991301E-4</v>
      </c>
      <c r="M84" s="1044">
        <f>IF(AND($A84&gt;=MIN('Major Assumption Key'!$B$4),$A84&lt;=MAX('Major Assumption Key'!$B$6)),L84-K84,0)</f>
        <v>1.6923567684194913E-6</v>
      </c>
      <c r="N84" s="1038">
        <f>IF(AND(A35&gt;=$B$2,A35&lt;=$B$4),_xlfn.XLOOKUP(A84,'VMT Reduction Supporting'!$A:$A,'VMT Reduction Supporting'!$D:$D,,0),0)</f>
        <v>105972.5240861153</v>
      </c>
      <c r="O84" s="1042">
        <f>IF(AND(A35&gt;=$B$2,A35&lt;=$B$4),_xlfn.XLOOKUP(A84,'VMT Reduction Supporting'!$A:$A,'VMT Reduction Supporting'!$G:$G,,0),0)</f>
        <v>119642.97969322419</v>
      </c>
      <c r="P84" s="1045">
        <f t="shared" si="30"/>
        <v>2.5902902335350801E-2</v>
      </c>
      <c r="Q84" s="1045">
        <f t="shared" si="31"/>
        <v>2.9244376736611059E-2</v>
      </c>
      <c r="R84" s="1046">
        <f>IF(AND($A84&gt;=MIN('Major Assumption Key'!$B$4),$A84&lt;=MAX('Major Assumption Key'!$B$6)),Q84-P84,0)</f>
        <v>3.3414744012602582E-3</v>
      </c>
      <c r="S84" s="1047" t="s">
        <v>1244</v>
      </c>
      <c r="T84" s="1079" t="s">
        <v>1244</v>
      </c>
      <c r="U84" s="1048">
        <v>0</v>
      </c>
    </row>
    <row r="85" spans="1:21" outlineLevel="1">
      <c r="A85" s="1451">
        <f t="shared" si="25"/>
        <v>2045</v>
      </c>
      <c r="B85" s="1078">
        <f>VLOOKUP($B$5,'Emission Factors'!$V$5:$AA$21,2,FALSE)</f>
        <v>4.5364302386583346E-3</v>
      </c>
      <c r="C85" s="1078">
        <f>VLOOKUP($B$6,'Emission Factors'!$V$28:$AA$44,2,FALSE)</f>
        <v>0.2443694919347987</v>
      </c>
      <c r="D85" s="1038">
        <f>IF(AND(A36&gt;=$B$2,A36&lt;=$B$4),_xlfn.XLOOKUP(A85,'VMT Reduction Supporting'!$A:$A,'VMT Reduction Supporting'!$C:$C,,0),0)</f>
        <v>2127.6305907372825</v>
      </c>
      <c r="E85" s="1039">
        <f>IF(AND(A36&gt;=$B$2,A36&lt;=$B$4),_xlfn.XLOOKUP(A85,'VMT Reduction Supporting'!$A:$A,'VMT Reduction Supporting'!$F:$F,,0),0)</f>
        <v>29077.618073409518</v>
      </c>
      <c r="F85" s="1452">
        <f t="shared" si="26"/>
        <v>9.6518477485151041E-6</v>
      </c>
      <c r="G85" s="1040">
        <f t="shared" si="27"/>
        <v>1.3190858589637303E-4</v>
      </c>
      <c r="H85" s="1041">
        <f>IF(AND($A85&gt;=MIN('Major Assumption Key'!$B$4),$A85&lt;=MAX('Major Assumption Key'!$B$6)),G85-F85,0)</f>
        <v>1.2225673814785792E-4</v>
      </c>
      <c r="I85" s="1038">
        <f>IF(AND(A36&gt;=$B$2,A36&lt;=$B$4),_xlfn.XLOOKUP(A85,'VMT Reduction Supporting'!$A:$A,'VMT Reduction Supporting'!$B:$B,,0),0)</f>
        <v>30850.643565690589</v>
      </c>
      <c r="J85" s="1042">
        <f>IF(AND(A36&gt;=$B$2,A36&lt;=$B$4),_xlfn.XLOOKUP(A85,'VMT Reduction Supporting'!$A:$A,'VMT Reduction Supporting'!$E:$E,,0),0)</f>
        <v>31219.987668090587</v>
      </c>
      <c r="K85" s="1043">
        <f t="shared" si="28"/>
        <v>1.3995179235346897E-4</v>
      </c>
      <c r="L85" s="1043">
        <f t="shared" si="29"/>
        <v>1.4162729610806644E-4</v>
      </c>
      <c r="M85" s="1044">
        <f>IF(AND($A85&gt;=MIN('Major Assumption Key'!$B$4),$A85&lt;=MAX('Major Assumption Key'!$B$6)),L85-K85,0)</f>
        <v>1.6755037545974709E-6</v>
      </c>
      <c r="N85" s="1038">
        <f>IF(AND(A36&gt;=$B$2,A36&lt;=$B$4),_xlfn.XLOOKUP(A85,'VMT Reduction Supporting'!$A:$A,'VMT Reduction Supporting'!$D:$D,,0),0)</f>
        <v>106386.25425484846</v>
      </c>
      <c r="O85" s="1042">
        <f>IF(AND(A36&gt;=$B$2,A36&lt;=$B$4),_xlfn.XLOOKUP(A85,'VMT Reduction Supporting'!$A:$A,'VMT Reduction Supporting'!$G:$G,,0),0)</f>
        <v>120110.08105372394</v>
      </c>
      <c r="P85" s="1045">
        <f t="shared" si="30"/>
        <v>2.5997554901103635E-2</v>
      </c>
      <c r="Q85" s="1045">
        <f t="shared" si="31"/>
        <v>2.9351239483346014E-2</v>
      </c>
      <c r="R85" s="1046">
        <f>IF(AND($A85&gt;=MIN('Major Assumption Key'!$B$4),$A85&lt;=MAX('Major Assumption Key'!$B$6)),Q85-P85,0)</f>
        <v>3.3536845822423784E-3</v>
      </c>
      <c r="S85" s="1047" t="s">
        <v>1244</v>
      </c>
      <c r="T85" s="1079" t="s">
        <v>1244</v>
      </c>
      <c r="U85" s="1048">
        <v>0</v>
      </c>
    </row>
    <row r="86" spans="1:21" outlineLevel="1">
      <c r="A86" s="1036">
        <f t="shared" si="25"/>
        <v>2046</v>
      </c>
      <c r="B86" s="1037">
        <f t="shared" si="36"/>
        <v>4.4859323667415501E-3</v>
      </c>
      <c r="C86" s="1037">
        <f t="shared" si="37"/>
        <v>0.24430863786806506</v>
      </c>
      <c r="D86" s="1038">
        <f>IF(AND(A37&gt;=$B$2,A37&lt;=$B$4),_xlfn.XLOOKUP(A86,'VMT Reduction Supporting'!$A:$A,'VMT Reduction Supporting'!$C:$C,,0),0)</f>
        <v>2158.9888975751605</v>
      </c>
      <c r="E86" s="1039">
        <f>IF(AND(A37&gt;=$B$2,A37&lt;=$B$4),_xlfn.XLOOKUP(A86,'VMT Reduction Supporting'!$A:$A,'VMT Reduction Supporting'!$F:$F,,0),0)</f>
        <v>29506.181600193853</v>
      </c>
      <c r="F86" s="1452">
        <f t="shared" si="26"/>
        <v>9.6850781750680692E-6</v>
      </c>
      <c r="G86" s="1040">
        <f t="shared" si="27"/>
        <v>1.3236273505926361E-4</v>
      </c>
      <c r="H86" s="1041">
        <f>IF(AND($A86&gt;=MIN('Major Assumption Key'!$B$4),$A86&lt;=MAX('Major Assumption Key'!$B$6)),G86-F86,0)</f>
        <v>1.2267765688419555E-4</v>
      </c>
      <c r="I86" s="1038">
        <f>IF(AND(A37&gt;=$B$2,A37&lt;=$B$4),_xlfn.XLOOKUP(A86,'VMT Reduction Supporting'!$A:$A,'VMT Reduction Supporting'!$B:$B,,0),0)</f>
        <v>31305.339014839818</v>
      </c>
      <c r="J86" s="1042">
        <f>IF(AND(A37&gt;=$B$2,A37&lt;=$B$4),_xlfn.XLOOKUP(A86,'VMT Reduction Supporting'!$A:$A,'VMT Reduction Supporting'!$E:$E,,0),0)</f>
        <v>31675.121354987172</v>
      </c>
      <c r="K86" s="1043">
        <f t="shared" si="28"/>
        <v>1.4043363353848695E-4</v>
      </c>
      <c r="L86" s="1043">
        <f t="shared" si="29"/>
        <v>1.4209245210680343E-4</v>
      </c>
      <c r="M86" s="1044">
        <f>IF(AND($A86&gt;=MIN('Major Assumption Key'!$B$4),$A86&lt;=MAX('Major Assumption Key'!$B$6)),L86-K86,0)</f>
        <v>1.6588185683164859E-6</v>
      </c>
      <c r="N86" s="1038">
        <f>IF(AND(A37&gt;=$B$2,A37&lt;=$B$4),_xlfn.XLOOKUP(A86,'VMT Reduction Supporting'!$A:$A,'VMT Reduction Supporting'!$D:$D,,0),0)</f>
        <v>106801.59967861114</v>
      </c>
      <c r="O86" s="1042">
        <f>IF(AND(A37&gt;=$B$2,A37&lt;=$B$4),_xlfn.XLOOKUP(A86,'VMT Reduction Supporting'!$A:$A,'VMT Reduction Supporting'!$G:$G,,0),0)</f>
        <v>120579.00603715202</v>
      </c>
      <c r="P86" s="1045">
        <f t="shared" si="30"/>
        <v>2.6092553339611864E-2</v>
      </c>
      <c r="Q86" s="1045">
        <f t="shared" si="31"/>
        <v>2.9458492720421805E-2</v>
      </c>
      <c r="R86" s="1046">
        <f>IF(AND($A86&gt;=MIN('Major Assumption Key'!$B$4),$A86&lt;=MAX('Major Assumption Key'!$B$6)),Q86-P86,0)</f>
        <v>3.365939380809941E-3</v>
      </c>
      <c r="S86" s="1047" t="s">
        <v>1244</v>
      </c>
      <c r="T86" s="1079" t="s">
        <v>1244</v>
      </c>
      <c r="U86" s="1048">
        <v>0</v>
      </c>
    </row>
    <row r="87" spans="1:21" outlineLevel="1">
      <c r="A87" s="1036">
        <f t="shared" si="25"/>
        <v>2047</v>
      </c>
      <c r="B87" s="1037">
        <f t="shared" si="36"/>
        <v>4.4359966185506822E-3</v>
      </c>
      <c r="C87" s="1037">
        <f t="shared" si="37"/>
        <v>0.24424779895550391</v>
      </c>
      <c r="D87" s="1038">
        <f>IF(AND(A38&gt;=$B$2,A38&lt;=$B$4),_xlfn.XLOOKUP(A87,'VMT Reduction Supporting'!$A:$A,'VMT Reduction Supporting'!$C:$C,,0),0)</f>
        <v>2190.809382110624</v>
      </c>
      <c r="E87" s="1039">
        <f>IF(AND(A38&gt;=$B$2,A38&lt;=$B$4),_xlfn.XLOOKUP(A87,'VMT Reduction Supporting'!$A:$A,'VMT Reduction Supporting'!$F:$F,,0),0)</f>
        <v>29941.061555511849</v>
      </c>
      <c r="F87" s="1452">
        <f t="shared" si="26"/>
        <v>9.718423010931839E-6</v>
      </c>
      <c r="G87" s="1040">
        <f t="shared" si="27"/>
        <v>1.3281844781606839E-4</v>
      </c>
      <c r="H87" s="1041">
        <f>IF(AND($A87&gt;=MIN('Major Assumption Key'!$B$4),$A87&lt;=MAX('Major Assumption Key'!$B$6)),G87-F87,0)</f>
        <v>1.2310002480513655E-4</v>
      </c>
      <c r="I87" s="1038">
        <f>IF(AND(A38&gt;=$B$2,A38&lt;=$B$4),_xlfn.XLOOKUP(A87,'VMT Reduction Supporting'!$A:$A,'VMT Reduction Supporting'!$B:$B,,0),0)</f>
        <v>31766.736040604035</v>
      </c>
      <c r="J87" s="1042">
        <f>IF(AND(A38&gt;=$B$2,A38&lt;=$B$4),_xlfn.XLOOKUP(A87,'VMT Reduction Supporting'!$A:$A,'VMT Reduction Supporting'!$E:$E,,0),0)</f>
        <v>32136.957138480837</v>
      </c>
      <c r="K87" s="1043">
        <f t="shared" si="28"/>
        <v>1.4091713365851159E-4</v>
      </c>
      <c r="L87" s="1043">
        <f t="shared" si="29"/>
        <v>1.4255943319680921E-4</v>
      </c>
      <c r="M87" s="1044">
        <f>IF(AND($A87&gt;=MIN('Major Assumption Key'!$B$4),$A87&lt;=MAX('Major Assumption Key'!$B$6)),L87-K87,0)</f>
        <v>1.642299538297617E-6</v>
      </c>
      <c r="N87" s="1038">
        <f>IF(AND(A38&gt;=$B$2,A38&lt;=$B$4),_xlfn.XLOOKUP(A87,'VMT Reduction Supporting'!$A:$A,'VMT Reduction Supporting'!$D:$D,,0),0)</f>
        <v>107218.56666356375</v>
      </c>
      <c r="O87" s="1042">
        <f>IF(AND(A38&gt;=$B$2,A38&lt;=$B$4),_xlfn.XLOOKUP(A87,'VMT Reduction Supporting'!$A:$A,'VMT Reduction Supporting'!$G:$G,,0),0)</f>
        <v>121049.76176316351</v>
      </c>
      <c r="P87" s="1045">
        <f t="shared" si="30"/>
        <v>2.6187898914739414E-2</v>
      </c>
      <c r="Q87" s="1045">
        <f t="shared" si="31"/>
        <v>2.9566137874740807E-2</v>
      </c>
      <c r="R87" s="1046">
        <f>IF(AND($A87&gt;=MIN('Major Assumption Key'!$B$4),$A87&lt;=MAX('Major Assumption Key'!$B$6)),Q87-P87,0)</f>
        <v>3.378238960001393E-3</v>
      </c>
      <c r="S87" s="1047" t="s">
        <v>1244</v>
      </c>
      <c r="T87" s="1079" t="s">
        <v>1244</v>
      </c>
      <c r="U87" s="1048">
        <v>0</v>
      </c>
    </row>
    <row r="88" spans="1:21" outlineLevel="1">
      <c r="A88" s="1036">
        <f t="shared" si="25"/>
        <v>2048</v>
      </c>
      <c r="B88" s="1037">
        <f t="shared" si="36"/>
        <v>4.38661673673129E-3</v>
      </c>
      <c r="C88" s="1037">
        <f t="shared" si="37"/>
        <v>0.24418697519334157</v>
      </c>
      <c r="D88" s="1038">
        <f>IF(AND(A39&gt;=$B$2,A39&lt;=$B$4),_xlfn.XLOOKUP(A88,'VMT Reduction Supporting'!$A:$A,'VMT Reduction Supporting'!$C:$C,,0),0)</f>
        <v>0</v>
      </c>
      <c r="E88" s="1039">
        <f>IF(AND(A39&gt;=$B$2,A39&lt;=$B$4),_xlfn.XLOOKUP(A88,'VMT Reduction Supporting'!$A:$A,'VMT Reduction Supporting'!$F:$F,,0),0)</f>
        <v>0</v>
      </c>
      <c r="F88" s="1452">
        <f t="shared" si="26"/>
        <v>0</v>
      </c>
      <c r="G88" s="1040">
        <f t="shared" si="27"/>
        <v>0</v>
      </c>
      <c r="H88" s="1041">
        <f>IF(AND($A88&gt;=MIN('Major Assumption Key'!$B$4),$A88&lt;=MAX('Major Assumption Key'!$B$6)),G88-F88,0)</f>
        <v>0</v>
      </c>
      <c r="I88" s="1038">
        <f>IF(AND(A39&gt;=$B$2,A39&lt;=$B$4),_xlfn.XLOOKUP(A88,'VMT Reduction Supporting'!$A:$A,'VMT Reduction Supporting'!$B:$B,,0),0)</f>
        <v>0</v>
      </c>
      <c r="J88" s="1042">
        <f>IF(AND(A39&gt;=$B$2,A39&lt;=$B$4),_xlfn.XLOOKUP(A88,'VMT Reduction Supporting'!$A:$A,'VMT Reduction Supporting'!$E:$E,,0),0)</f>
        <v>0</v>
      </c>
      <c r="K88" s="1043">
        <f t="shared" si="28"/>
        <v>0</v>
      </c>
      <c r="L88" s="1043">
        <f t="shared" si="29"/>
        <v>0</v>
      </c>
      <c r="M88" s="1044">
        <f>IF(AND($A88&gt;=MIN('Major Assumption Key'!$B$4),$A88&lt;=MAX('Major Assumption Key'!$B$6)),L88-K88,0)</f>
        <v>0</v>
      </c>
      <c r="N88" s="1038">
        <f>IF(AND(A39&gt;=$B$2,A39&lt;=$B$4),_xlfn.XLOOKUP(A88,'VMT Reduction Supporting'!$A:$A,'VMT Reduction Supporting'!$D:$D,,0),0)</f>
        <v>0</v>
      </c>
      <c r="O88" s="1042">
        <f>IF(AND(A39&gt;=$B$2,A39&lt;=$B$4),_xlfn.XLOOKUP(A88,'VMT Reduction Supporting'!$A:$A,'VMT Reduction Supporting'!$G:$G,,0),0)</f>
        <v>0</v>
      </c>
      <c r="P88" s="1045">
        <f t="shared" si="30"/>
        <v>0</v>
      </c>
      <c r="Q88" s="1045">
        <f t="shared" si="31"/>
        <v>0</v>
      </c>
      <c r="R88" s="1046">
        <f>IF(AND($A88&gt;=MIN('Major Assumption Key'!$B$4),$A88&lt;=MAX('Major Assumption Key'!$B$6)),Q88-P88,0)</f>
        <v>0</v>
      </c>
      <c r="S88" s="1047" t="s">
        <v>1244</v>
      </c>
      <c r="T88" s="1079" t="s">
        <v>1244</v>
      </c>
      <c r="U88" s="1048">
        <v>0</v>
      </c>
    </row>
    <row r="89" spans="1:21" outlineLevel="1">
      <c r="A89" s="1036">
        <f t="shared" si="25"/>
        <v>2049</v>
      </c>
      <c r="B89" s="1037">
        <f t="shared" si="36"/>
        <v>4.3377865335834948E-3</v>
      </c>
      <c r="C89" s="1037">
        <f t="shared" si="37"/>
        <v>0.24412616657780511</v>
      </c>
      <c r="D89" s="1038">
        <f>IF(AND(A40&gt;=$B$2,A40&lt;=$B$4),_xlfn.XLOOKUP(A89,'VMT Reduction Supporting'!$A:$A,'VMT Reduction Supporting'!$C:$C,,0),0)</f>
        <v>0</v>
      </c>
      <c r="E89" s="1039">
        <f>IF(AND(A40&gt;=$B$2,A40&lt;=$B$4),_xlfn.XLOOKUP(A89,'VMT Reduction Supporting'!$A:$A,'VMT Reduction Supporting'!$F:$F,,0),0)</f>
        <v>0</v>
      </c>
      <c r="F89" s="1452">
        <f t="shared" si="26"/>
        <v>0</v>
      </c>
      <c r="G89" s="1040">
        <f t="shared" si="27"/>
        <v>0</v>
      </c>
      <c r="H89" s="1041">
        <f>IF(AND($A89&gt;=MIN('Major Assumption Key'!$B$4),$A89&lt;=MAX('Major Assumption Key'!$B$6)),G89-F89,0)</f>
        <v>0</v>
      </c>
      <c r="I89" s="1038">
        <f>IF(AND(A40&gt;=$B$2,A40&lt;=$B$4),_xlfn.XLOOKUP(A89,'VMT Reduction Supporting'!$A:$A,'VMT Reduction Supporting'!$B:$B,,0),0)</f>
        <v>0</v>
      </c>
      <c r="J89" s="1042">
        <f>IF(AND(A40&gt;=$B$2,A40&lt;=$B$4),_xlfn.XLOOKUP(A89,'VMT Reduction Supporting'!$A:$A,'VMT Reduction Supporting'!$E:$E,,0),0)</f>
        <v>0</v>
      </c>
      <c r="K89" s="1043">
        <f t="shared" si="28"/>
        <v>0</v>
      </c>
      <c r="L89" s="1043">
        <f t="shared" si="29"/>
        <v>0</v>
      </c>
      <c r="M89" s="1044">
        <f>IF(AND($A89&gt;=MIN('Major Assumption Key'!$B$4),$A89&lt;=MAX('Major Assumption Key'!$B$6)),L89-K89,0)</f>
        <v>0</v>
      </c>
      <c r="N89" s="1038">
        <f>IF(AND(A40&gt;=$B$2,A40&lt;=$B$4),_xlfn.XLOOKUP(A89,'VMT Reduction Supporting'!$A:$A,'VMT Reduction Supporting'!$D:$D,,0),0)</f>
        <v>0</v>
      </c>
      <c r="O89" s="1042">
        <f>IF(AND(A40&gt;=$B$2,A40&lt;=$B$4),_xlfn.XLOOKUP(A89,'VMT Reduction Supporting'!$A:$A,'VMT Reduction Supporting'!$G:$G,,0),0)</f>
        <v>0</v>
      </c>
      <c r="P89" s="1045">
        <f t="shared" si="30"/>
        <v>0</v>
      </c>
      <c r="Q89" s="1045">
        <f t="shared" si="31"/>
        <v>0</v>
      </c>
      <c r="R89" s="1046">
        <f>IF(AND($A89&gt;=MIN('Major Assumption Key'!$B$4),$A89&lt;=MAX('Major Assumption Key'!$B$6)),Q89-P89,0)</f>
        <v>0</v>
      </c>
      <c r="S89" s="1047" t="s">
        <v>1244</v>
      </c>
      <c r="T89" s="1079" t="s">
        <v>1244</v>
      </c>
      <c r="U89" s="1048">
        <v>0</v>
      </c>
    </row>
    <row r="90" spans="1:21" outlineLevel="1">
      <c r="A90" s="1036">
        <f t="shared" si="25"/>
        <v>2050</v>
      </c>
      <c r="B90" s="1037">
        <f t="shared" si="36"/>
        <v>4.2894998902866183E-3</v>
      </c>
      <c r="C90" s="1037">
        <f t="shared" si="37"/>
        <v>0.24406537310512272</v>
      </c>
      <c r="D90" s="1038">
        <f>IF(AND(A41&gt;=$B$2,A41&lt;=$B$4),_xlfn.XLOOKUP(A90,'VMT Reduction Supporting'!$A:$A,'VMT Reduction Supporting'!$C:$C,,0),0)</f>
        <v>0</v>
      </c>
      <c r="E90" s="1039">
        <f>IF(AND(A41&gt;=$B$2,A41&lt;=$B$4),_xlfn.XLOOKUP(A90,'VMT Reduction Supporting'!$A:$A,'VMT Reduction Supporting'!$F:$F,,0),0)</f>
        <v>0</v>
      </c>
      <c r="F90" s="1452">
        <f t="shared" si="26"/>
        <v>0</v>
      </c>
      <c r="G90" s="1040">
        <f t="shared" si="27"/>
        <v>0</v>
      </c>
      <c r="H90" s="1041">
        <f>IF(AND($A90&gt;=MIN('Major Assumption Key'!$B$4),$A90&lt;=MAX('Major Assumption Key'!$B$6)),G90-F90,0)</f>
        <v>0</v>
      </c>
      <c r="I90" s="1038">
        <f>IF(AND(A41&gt;=$B$2,A41&lt;=$B$4),_xlfn.XLOOKUP(A90,'VMT Reduction Supporting'!$A:$A,'VMT Reduction Supporting'!$B:$B,,0),0)</f>
        <v>0</v>
      </c>
      <c r="J90" s="1042">
        <f>IF(AND(A41&gt;=$B$2,A41&lt;=$B$4),_xlfn.XLOOKUP(A90,'VMT Reduction Supporting'!$A:$A,'VMT Reduction Supporting'!$E:$E,,0),0)</f>
        <v>0</v>
      </c>
      <c r="K90" s="1043">
        <f t="shared" si="28"/>
        <v>0</v>
      </c>
      <c r="L90" s="1043">
        <f t="shared" si="29"/>
        <v>0</v>
      </c>
      <c r="M90" s="1044">
        <f>IF(AND($A90&gt;=MIN('Major Assumption Key'!$B$4),$A90&lt;=MAX('Major Assumption Key'!$B$6)),L90-K90,0)</f>
        <v>0</v>
      </c>
      <c r="N90" s="1038">
        <f>IF(AND(A41&gt;=$B$2,A41&lt;=$B$4),_xlfn.XLOOKUP(A90,'VMT Reduction Supporting'!$A:$A,'VMT Reduction Supporting'!$D:$D,,0),0)</f>
        <v>0</v>
      </c>
      <c r="O90" s="1042">
        <f>IF(AND(A41&gt;=$B$2,A41&lt;=$B$4),_xlfn.XLOOKUP(A90,'VMT Reduction Supporting'!$A:$A,'VMT Reduction Supporting'!$G:$G,,0),0)</f>
        <v>0</v>
      </c>
      <c r="P90" s="1045">
        <f t="shared" si="30"/>
        <v>0</v>
      </c>
      <c r="Q90" s="1045">
        <f t="shared" si="31"/>
        <v>0</v>
      </c>
      <c r="R90" s="1046">
        <f>IF(AND($A90&gt;=MIN('Major Assumption Key'!$B$4),$A90&lt;=MAX('Major Assumption Key'!$B$6)),Q90-P90,0)</f>
        <v>0</v>
      </c>
      <c r="S90" s="1047" t="s">
        <v>1244</v>
      </c>
      <c r="T90" s="1079" t="s">
        <v>1244</v>
      </c>
      <c r="U90" s="1048">
        <v>0</v>
      </c>
    </row>
    <row r="91" spans="1:21" outlineLevel="1">
      <c r="A91" s="1036">
        <f t="shared" si="25"/>
        <v>2051</v>
      </c>
      <c r="B91" s="1037">
        <f t="shared" si="36"/>
        <v>4.2417507561324412E-3</v>
      </c>
      <c r="C91" s="1037">
        <f t="shared" si="37"/>
        <v>0.24400459477152342</v>
      </c>
      <c r="D91" s="1038">
        <f>IF(AND(A42&gt;=$B$2,A42&lt;=$B$4),_xlfn.XLOOKUP(A91,'VMT Reduction Supporting'!$A:$A,'VMT Reduction Supporting'!$C:$C,,0),0)</f>
        <v>0</v>
      </c>
      <c r="E91" s="1039">
        <f>IF(AND(A42&gt;=$B$2,A42&lt;=$B$4),_xlfn.XLOOKUP(A91,'VMT Reduction Supporting'!$A:$A,'VMT Reduction Supporting'!$F:$F,,0),0)</f>
        <v>0</v>
      </c>
      <c r="F91" s="1452">
        <f t="shared" si="26"/>
        <v>0</v>
      </c>
      <c r="G91" s="1040">
        <f t="shared" si="27"/>
        <v>0</v>
      </c>
      <c r="H91" s="1041">
        <f>IF(AND($A91&gt;=MIN('Major Assumption Key'!$B$4),$A91&lt;=MAX('Major Assumption Key'!$B$6)),G91-F91,0)</f>
        <v>0</v>
      </c>
      <c r="I91" s="1038">
        <f>IF(AND(A42&gt;=$B$2,A42&lt;=$B$4),_xlfn.XLOOKUP(A91,'VMT Reduction Supporting'!$A:$A,'VMT Reduction Supporting'!$B:$B,,0),0)</f>
        <v>0</v>
      </c>
      <c r="J91" s="1042">
        <f>IF(AND(A42&gt;=$B$2,A42&lt;=$B$4),_xlfn.XLOOKUP(A91,'VMT Reduction Supporting'!$A:$A,'VMT Reduction Supporting'!$E:$E,,0),0)</f>
        <v>0</v>
      </c>
      <c r="K91" s="1043">
        <f t="shared" si="28"/>
        <v>0</v>
      </c>
      <c r="L91" s="1043">
        <f t="shared" si="29"/>
        <v>0</v>
      </c>
      <c r="M91" s="1044">
        <f>IF(AND($A91&gt;=MIN('Major Assumption Key'!$B$4),$A91&lt;=MAX('Major Assumption Key'!$B$6)),L91-K91,0)</f>
        <v>0</v>
      </c>
      <c r="N91" s="1038">
        <f>IF(AND(A42&gt;=$B$2,A42&lt;=$B$4),_xlfn.XLOOKUP(A91,'VMT Reduction Supporting'!$A:$A,'VMT Reduction Supporting'!$D:$D,,0),0)</f>
        <v>0</v>
      </c>
      <c r="O91" s="1042">
        <f>IF(AND(A42&gt;=$B$2,A42&lt;=$B$4),_xlfn.XLOOKUP(A91,'VMT Reduction Supporting'!$A:$A,'VMT Reduction Supporting'!$G:$G,,0),0)</f>
        <v>0</v>
      </c>
      <c r="P91" s="1045">
        <f t="shared" si="30"/>
        <v>0</v>
      </c>
      <c r="Q91" s="1045">
        <f t="shared" si="31"/>
        <v>0</v>
      </c>
      <c r="R91" s="1046">
        <f>IF(AND($A91&gt;=MIN('Major Assumption Key'!$B$4),$A91&lt;=MAX('Major Assumption Key'!$B$6)),Q91-P91,0)</f>
        <v>0</v>
      </c>
      <c r="S91" s="1047" t="s">
        <v>1244</v>
      </c>
      <c r="T91" s="1079" t="s">
        <v>1244</v>
      </c>
      <c r="U91" s="1048">
        <v>0</v>
      </c>
    </row>
    <row r="92" spans="1:21" outlineLevel="1">
      <c r="A92" s="1036">
        <f t="shared" si="25"/>
        <v>2052</v>
      </c>
      <c r="B92" s="1037">
        <f t="shared" si="36"/>
        <v>4.194533147767002E-3</v>
      </c>
      <c r="C92" s="1037">
        <f t="shared" si="37"/>
        <v>0.24394383157323721</v>
      </c>
      <c r="D92" s="1038">
        <f>IF(AND(A43&gt;=$B$2,A43&lt;=$B$4),_xlfn.XLOOKUP(A92,'VMT Reduction Supporting'!$A:$A,'VMT Reduction Supporting'!$C:$C,,0),0)</f>
        <v>0</v>
      </c>
      <c r="E92" s="1039">
        <f>IF(AND(A43&gt;=$B$2,A43&lt;=$B$4),_xlfn.XLOOKUP(A92,'VMT Reduction Supporting'!$A:$A,'VMT Reduction Supporting'!$F:$F,,0),0)</f>
        <v>0</v>
      </c>
      <c r="F92" s="1452">
        <f t="shared" si="26"/>
        <v>0</v>
      </c>
      <c r="G92" s="1040">
        <f t="shared" si="27"/>
        <v>0</v>
      </c>
      <c r="H92" s="1041">
        <f>IF(AND($A92&gt;=MIN('Major Assumption Key'!$B$4),$A92&lt;=MAX('Major Assumption Key'!$B$6)),G92-F92,0)</f>
        <v>0</v>
      </c>
      <c r="I92" s="1038">
        <f>IF(AND(A43&gt;=$B$2,A43&lt;=$B$4),_xlfn.XLOOKUP(A92,'VMT Reduction Supporting'!$A:$A,'VMT Reduction Supporting'!$B:$B,,0),0)</f>
        <v>0</v>
      </c>
      <c r="J92" s="1042">
        <f>IF(AND(A43&gt;=$B$2,A43&lt;=$B$4),_xlfn.XLOOKUP(A92,'VMT Reduction Supporting'!$A:$A,'VMT Reduction Supporting'!$E:$E,,0),0)</f>
        <v>0</v>
      </c>
      <c r="K92" s="1043">
        <f t="shared" si="28"/>
        <v>0</v>
      </c>
      <c r="L92" s="1043">
        <f t="shared" si="29"/>
        <v>0</v>
      </c>
      <c r="M92" s="1044">
        <f>IF(AND($A92&gt;=MIN('Major Assumption Key'!$B$4),$A92&lt;=MAX('Major Assumption Key'!$B$6)),L92-K92,0)</f>
        <v>0</v>
      </c>
      <c r="N92" s="1038">
        <f>IF(AND(A43&gt;=$B$2,A43&lt;=$B$4),_xlfn.XLOOKUP(A92,'VMT Reduction Supporting'!$A:$A,'VMT Reduction Supporting'!$D:$D,,0),0)</f>
        <v>0</v>
      </c>
      <c r="O92" s="1042">
        <f>IF(AND(A43&gt;=$B$2,A43&lt;=$B$4),_xlfn.XLOOKUP(A92,'VMT Reduction Supporting'!$A:$A,'VMT Reduction Supporting'!$G:$G,,0),0)</f>
        <v>0</v>
      </c>
      <c r="P92" s="1045">
        <f t="shared" si="30"/>
        <v>0</v>
      </c>
      <c r="Q92" s="1045">
        <f t="shared" si="31"/>
        <v>0</v>
      </c>
      <c r="R92" s="1046">
        <f>IF(AND($A92&gt;=MIN('Major Assumption Key'!$B$4),$A92&lt;=MAX('Major Assumption Key'!$B$6)),Q92-P92,0)</f>
        <v>0</v>
      </c>
      <c r="S92" s="1047" t="s">
        <v>1244</v>
      </c>
      <c r="T92" s="1079" t="s">
        <v>1244</v>
      </c>
      <c r="U92" s="1048">
        <v>0</v>
      </c>
    </row>
    <row r="93" spans="1:21" outlineLevel="1">
      <c r="A93" s="1036">
        <f t="shared" si="25"/>
        <v>2053</v>
      </c>
      <c r="B93" s="1037">
        <f t="shared" si="36"/>
        <v>4.1478411484408319E-3</v>
      </c>
      <c r="C93" s="1037">
        <f t="shared" si="37"/>
        <v>0.24388308350649499</v>
      </c>
      <c r="D93" s="1038">
        <f>IF(AND(A44&gt;=$B$2,A44&lt;=$B$4),_xlfn.XLOOKUP(A93,'VMT Reduction Supporting'!$A:$A,'VMT Reduction Supporting'!$C:$C,,0),0)</f>
        <v>0</v>
      </c>
      <c r="E93" s="1039">
        <f>IF(AND(A44&gt;=$B$2,A44&lt;=$B$4),_xlfn.XLOOKUP(A93,'VMT Reduction Supporting'!$A:$A,'VMT Reduction Supporting'!$F:$F,,0),0)</f>
        <v>0</v>
      </c>
      <c r="F93" s="1452">
        <f t="shared" si="26"/>
        <v>0</v>
      </c>
      <c r="G93" s="1040">
        <f t="shared" si="27"/>
        <v>0</v>
      </c>
      <c r="H93" s="1041">
        <f>IF(AND($A93&gt;=MIN('Major Assumption Key'!$B$4),$A93&lt;=MAX('Major Assumption Key'!$B$6)),G93-F93,0)</f>
        <v>0</v>
      </c>
      <c r="I93" s="1038">
        <f>IF(AND(A44&gt;=$B$2,A44&lt;=$B$4),_xlfn.XLOOKUP(A93,'VMT Reduction Supporting'!$A:$A,'VMT Reduction Supporting'!$B:$B,,0),0)</f>
        <v>0</v>
      </c>
      <c r="J93" s="1042">
        <f>IF(AND(A44&gt;=$B$2,A44&lt;=$B$4),_xlfn.XLOOKUP(A93,'VMT Reduction Supporting'!$A:$A,'VMT Reduction Supporting'!$E:$E,,0),0)</f>
        <v>0</v>
      </c>
      <c r="K93" s="1043">
        <f t="shared" si="28"/>
        <v>0</v>
      </c>
      <c r="L93" s="1043">
        <f t="shared" si="29"/>
        <v>0</v>
      </c>
      <c r="M93" s="1044">
        <f>IF(AND($A93&gt;=MIN('Major Assumption Key'!$B$4),$A93&lt;=MAX('Major Assumption Key'!$B$6)),L93-K93,0)</f>
        <v>0</v>
      </c>
      <c r="N93" s="1038">
        <f>IF(AND(A44&gt;=$B$2,A44&lt;=$B$4),_xlfn.XLOOKUP(A93,'VMT Reduction Supporting'!$A:$A,'VMT Reduction Supporting'!$D:$D,,0),0)</f>
        <v>0</v>
      </c>
      <c r="O93" s="1042">
        <f>IF(AND(A44&gt;=$B$2,A44&lt;=$B$4),_xlfn.XLOOKUP(A93,'VMT Reduction Supporting'!$A:$A,'VMT Reduction Supporting'!$G:$G,,0),0)</f>
        <v>0</v>
      </c>
      <c r="P93" s="1045">
        <f t="shared" si="30"/>
        <v>0</v>
      </c>
      <c r="Q93" s="1045">
        <f t="shared" si="31"/>
        <v>0</v>
      </c>
      <c r="R93" s="1046">
        <f>IF(AND($A93&gt;=MIN('Major Assumption Key'!$B$4),$A93&lt;=MAX('Major Assumption Key'!$B$6)),Q93-P93,0)</f>
        <v>0</v>
      </c>
      <c r="S93" s="1047" t="s">
        <v>1244</v>
      </c>
      <c r="T93" s="1079" t="s">
        <v>1244</v>
      </c>
      <c r="U93" s="1048">
        <v>0</v>
      </c>
    </row>
    <row r="94" spans="1:21" outlineLevel="1">
      <c r="A94" s="1036">
        <f t="shared" si="25"/>
        <v>2054</v>
      </c>
      <c r="B94" s="1037">
        <f t="shared" si="36"/>
        <v>4.1016689072675416E-3</v>
      </c>
      <c r="C94" s="1037">
        <f t="shared" si="37"/>
        <v>0.24382235056752868</v>
      </c>
      <c r="D94" s="1038">
        <f>IF(AND(A45&gt;=$B$2,A45&lt;=$B$4),_xlfn.XLOOKUP(A94,'VMT Reduction Supporting'!$A:$A,'VMT Reduction Supporting'!$C:$C,,0),0)</f>
        <v>0</v>
      </c>
      <c r="E94" s="1039">
        <f>IF(AND(A45&gt;=$B$2,A45&lt;=$B$4),_xlfn.XLOOKUP(A94,'VMT Reduction Supporting'!$A:$A,'VMT Reduction Supporting'!$F:$F,,0),0)</f>
        <v>0</v>
      </c>
      <c r="F94" s="1452">
        <f t="shared" si="26"/>
        <v>0</v>
      </c>
      <c r="G94" s="1040">
        <f t="shared" si="27"/>
        <v>0</v>
      </c>
      <c r="H94" s="1041">
        <f>IF(AND($A94&gt;=MIN('Major Assumption Key'!$B$4),$A94&lt;=MAX('Major Assumption Key'!$B$6)),G94-F94,0)</f>
        <v>0</v>
      </c>
      <c r="I94" s="1038">
        <f>IF(AND(A45&gt;=$B$2,A45&lt;=$B$4),_xlfn.XLOOKUP(A94,'VMT Reduction Supporting'!$A:$A,'VMT Reduction Supporting'!$B:$B,,0),0)</f>
        <v>0</v>
      </c>
      <c r="J94" s="1042">
        <f>IF(AND(A45&gt;=$B$2,A45&lt;=$B$4),_xlfn.XLOOKUP(A94,'VMT Reduction Supporting'!$A:$A,'VMT Reduction Supporting'!$E:$E,,0),0)</f>
        <v>0</v>
      </c>
      <c r="K94" s="1043">
        <f t="shared" si="28"/>
        <v>0</v>
      </c>
      <c r="L94" s="1043">
        <f t="shared" si="29"/>
        <v>0</v>
      </c>
      <c r="M94" s="1044">
        <f>IF(AND($A94&gt;=MIN('Major Assumption Key'!$B$4),$A94&lt;=MAX('Major Assumption Key'!$B$6)),L94-K94,0)</f>
        <v>0</v>
      </c>
      <c r="N94" s="1038">
        <f>IF(AND(A45&gt;=$B$2,A45&lt;=$B$4),_xlfn.XLOOKUP(A94,'VMT Reduction Supporting'!$A:$A,'VMT Reduction Supporting'!$D:$D,,0),0)</f>
        <v>0</v>
      </c>
      <c r="O94" s="1042">
        <f>IF(AND(A45&gt;=$B$2,A45&lt;=$B$4),_xlfn.XLOOKUP(A94,'VMT Reduction Supporting'!$A:$A,'VMT Reduction Supporting'!$G:$G,,0),0)</f>
        <v>0</v>
      </c>
      <c r="P94" s="1045">
        <f t="shared" si="30"/>
        <v>0</v>
      </c>
      <c r="Q94" s="1045">
        <f t="shared" si="31"/>
        <v>0</v>
      </c>
      <c r="R94" s="1046">
        <f>IF(AND($A94&gt;=MIN('Major Assumption Key'!$B$4),$A94&lt;=MAX('Major Assumption Key'!$B$6)),Q94-P94,0)</f>
        <v>0</v>
      </c>
      <c r="S94" s="1047" t="s">
        <v>1244</v>
      </c>
      <c r="T94" s="1079" t="s">
        <v>1244</v>
      </c>
      <c r="U94" s="1048">
        <v>0</v>
      </c>
    </row>
    <row r="95" spans="1:21" outlineLevel="1">
      <c r="A95" s="1036">
        <f t="shared" si="25"/>
        <v>2055</v>
      </c>
      <c r="B95" s="1037">
        <f t="shared" si="36"/>
        <v>4.0560106384906541E-3</v>
      </c>
      <c r="C95" s="1037">
        <f t="shared" si="37"/>
        <v>0.24376163275257101</v>
      </c>
      <c r="D95" s="1038">
        <f>IF(AND(A46&gt;=$B$2,A46&lt;=$B$4),_xlfn.XLOOKUP(A95,'VMT Reduction Supporting'!$A:$A,'VMT Reduction Supporting'!$C:$C,,0),0)</f>
        <v>0</v>
      </c>
      <c r="E95" s="1039">
        <f>IF(AND(A46&gt;=$B$2,A46&lt;=$B$4),_xlfn.XLOOKUP(A95,'VMT Reduction Supporting'!$A:$A,'VMT Reduction Supporting'!$F:$F,,0),0)</f>
        <v>0</v>
      </c>
      <c r="F95" s="1452">
        <f t="shared" si="26"/>
        <v>0</v>
      </c>
      <c r="G95" s="1040">
        <f t="shared" si="27"/>
        <v>0</v>
      </c>
      <c r="H95" s="1041">
        <f>IF(AND($A95&gt;=MIN('Major Assumption Key'!$B$4),$A95&lt;=MAX('Major Assumption Key'!$B$6)),G95-F95,0)</f>
        <v>0</v>
      </c>
      <c r="I95" s="1038">
        <f>IF(AND(A46&gt;=$B$2,A46&lt;=$B$4),_xlfn.XLOOKUP(A95,'VMT Reduction Supporting'!$A:$A,'VMT Reduction Supporting'!$B:$B,,0),0)</f>
        <v>0</v>
      </c>
      <c r="J95" s="1042">
        <f>IF(AND(A46&gt;=$B$2,A46&lt;=$B$4),_xlfn.XLOOKUP(A95,'VMT Reduction Supporting'!$A:$A,'VMT Reduction Supporting'!$E:$E,,0),0)</f>
        <v>0</v>
      </c>
      <c r="K95" s="1043">
        <f t="shared" si="28"/>
        <v>0</v>
      </c>
      <c r="L95" s="1043">
        <f t="shared" si="29"/>
        <v>0</v>
      </c>
      <c r="M95" s="1044">
        <f>IF(AND($A95&gt;=MIN('Major Assumption Key'!$B$4),$A95&lt;=MAX('Major Assumption Key'!$B$6)),L95-K95,0)</f>
        <v>0</v>
      </c>
      <c r="N95" s="1038">
        <f>IF(AND(A46&gt;=$B$2,A46&lt;=$B$4),_xlfn.XLOOKUP(A95,'VMT Reduction Supporting'!$A:$A,'VMT Reduction Supporting'!$D:$D,,0),0)</f>
        <v>0</v>
      </c>
      <c r="O95" s="1042">
        <f>IF(AND(A46&gt;=$B$2,A46&lt;=$B$4),_xlfn.XLOOKUP(A95,'VMT Reduction Supporting'!$A:$A,'VMT Reduction Supporting'!$G:$G,,0),0)</f>
        <v>0</v>
      </c>
      <c r="P95" s="1045">
        <f t="shared" si="30"/>
        <v>0</v>
      </c>
      <c r="Q95" s="1045">
        <f t="shared" si="31"/>
        <v>0</v>
      </c>
      <c r="R95" s="1046">
        <f>IF(AND($A95&gt;=MIN('Major Assumption Key'!$B$4),$A95&lt;=MAX('Major Assumption Key'!$B$6)),Q95-P95,0)</f>
        <v>0</v>
      </c>
      <c r="S95" s="1047" t="s">
        <v>1244</v>
      </c>
      <c r="T95" s="1079" t="s">
        <v>1244</v>
      </c>
      <c r="U95" s="1048">
        <v>0</v>
      </c>
    </row>
    <row r="96" spans="1:21" outlineLevel="1">
      <c r="A96" s="1036">
        <f t="shared" si="25"/>
        <v>2056</v>
      </c>
      <c r="B96" s="1037">
        <f t="shared" si="36"/>
        <v>4.0108606207586066E-3</v>
      </c>
      <c r="C96" s="1037">
        <f t="shared" si="37"/>
        <v>0.24370093005785584</v>
      </c>
      <c r="D96" s="1038">
        <f>IF(AND(A47&gt;=$B$2,A47&lt;=$B$4),_xlfn.XLOOKUP(A96,'VMT Reduction Supporting'!$A:$A,'VMT Reduction Supporting'!$C:$C,,0),0)</f>
        <v>0</v>
      </c>
      <c r="E96" s="1039">
        <f>IF(AND(A47&gt;=$B$2,A47&lt;=$B$4),_xlfn.XLOOKUP(A96,'VMT Reduction Supporting'!$A:$A,'VMT Reduction Supporting'!$F:$F,,0),0)</f>
        <v>0</v>
      </c>
      <c r="F96" s="1452">
        <f t="shared" si="26"/>
        <v>0</v>
      </c>
      <c r="G96" s="1040">
        <f t="shared" si="27"/>
        <v>0</v>
      </c>
      <c r="H96" s="1041">
        <f>IF(AND($A96&gt;=MIN('Major Assumption Key'!$B$4),$A96&lt;=MAX('Major Assumption Key'!$B$6)),G96-F96,0)</f>
        <v>0</v>
      </c>
      <c r="I96" s="1038">
        <f>IF(AND(A47&gt;=$B$2,A47&lt;=$B$4),_xlfn.XLOOKUP(A96,'VMT Reduction Supporting'!$A:$A,'VMT Reduction Supporting'!$B:$B,,0),0)</f>
        <v>0</v>
      </c>
      <c r="J96" s="1042">
        <f>IF(AND(A47&gt;=$B$2,A47&lt;=$B$4),_xlfn.XLOOKUP(A96,'VMT Reduction Supporting'!$A:$A,'VMT Reduction Supporting'!$E:$E,,0),0)</f>
        <v>0</v>
      </c>
      <c r="K96" s="1043">
        <f t="shared" si="28"/>
        <v>0</v>
      </c>
      <c r="L96" s="1043">
        <f t="shared" si="29"/>
        <v>0</v>
      </c>
      <c r="M96" s="1044">
        <f>IF(AND($A96&gt;=MIN('Major Assumption Key'!$B$4),$A96&lt;=MAX('Major Assumption Key'!$B$6)),L96-K96,0)</f>
        <v>0</v>
      </c>
      <c r="N96" s="1038">
        <f>IF(AND(A47&gt;=$B$2,A47&lt;=$B$4),_xlfn.XLOOKUP(A96,'VMT Reduction Supporting'!$A:$A,'VMT Reduction Supporting'!$D:$D,,0),0)</f>
        <v>0</v>
      </c>
      <c r="O96" s="1042">
        <f>IF(AND(A47&gt;=$B$2,A47&lt;=$B$4),_xlfn.XLOOKUP(A96,'VMT Reduction Supporting'!$A:$A,'VMT Reduction Supporting'!$G:$G,,0),0)</f>
        <v>0</v>
      </c>
      <c r="P96" s="1045">
        <f t="shared" si="30"/>
        <v>0</v>
      </c>
      <c r="Q96" s="1045">
        <f t="shared" si="31"/>
        <v>0</v>
      </c>
      <c r="R96" s="1046">
        <f>IF(AND($A96&gt;=MIN('Major Assumption Key'!$B$4),$A96&lt;=MAX('Major Assumption Key'!$B$6)),Q96-P96,0)</f>
        <v>0</v>
      </c>
      <c r="S96" s="1047" t="s">
        <v>1244</v>
      </c>
      <c r="T96" s="1079" t="s">
        <v>1244</v>
      </c>
      <c r="U96" s="1048">
        <v>0</v>
      </c>
    </row>
    <row r="97" spans="1:21" outlineLevel="1">
      <c r="A97" s="1036">
        <f t="shared" si="25"/>
        <v>2057</v>
      </c>
      <c r="B97" s="1037">
        <f t="shared" si="36"/>
        <v>3.9662131964078133E-3</v>
      </c>
      <c r="C97" s="1037">
        <f t="shared" si="37"/>
        <v>0.2436402424796178</v>
      </c>
      <c r="D97" s="1038">
        <f>IF(AND(A48&gt;=$B$2,A48&lt;=$B$4),_xlfn.XLOOKUP(A97,'VMT Reduction Supporting'!$A:$A,'VMT Reduction Supporting'!$C:$C,,0),0)</f>
        <v>0</v>
      </c>
      <c r="E97" s="1039">
        <f>IF(AND(A48&gt;=$B$2,A48&lt;=$B$4),_xlfn.XLOOKUP(A97,'VMT Reduction Supporting'!$A:$A,'VMT Reduction Supporting'!$F:$F,,0),0)</f>
        <v>0</v>
      </c>
      <c r="F97" s="1452">
        <f t="shared" si="26"/>
        <v>0</v>
      </c>
      <c r="G97" s="1040">
        <f t="shared" si="27"/>
        <v>0</v>
      </c>
      <c r="H97" s="1041">
        <f>IF(AND($A97&gt;=MIN('Major Assumption Key'!$B$4),$A97&lt;=MAX('Major Assumption Key'!$B$6)),G97-F97,0)</f>
        <v>0</v>
      </c>
      <c r="I97" s="1038">
        <f>IF(AND(A48&gt;=$B$2,A48&lt;=$B$4),_xlfn.XLOOKUP(A97,'VMT Reduction Supporting'!$A:$A,'VMT Reduction Supporting'!$B:$B,,0),0)</f>
        <v>0</v>
      </c>
      <c r="J97" s="1042">
        <f>IF(AND(A48&gt;=$B$2,A48&lt;=$B$4),_xlfn.XLOOKUP(A97,'VMT Reduction Supporting'!$A:$A,'VMT Reduction Supporting'!$E:$E,,0),0)</f>
        <v>0</v>
      </c>
      <c r="K97" s="1043">
        <f t="shared" si="28"/>
        <v>0</v>
      </c>
      <c r="L97" s="1043">
        <f t="shared" si="29"/>
        <v>0</v>
      </c>
      <c r="M97" s="1044">
        <f>IF(AND($A97&gt;=MIN('Major Assumption Key'!$B$4),$A97&lt;=MAX('Major Assumption Key'!$B$6)),L97-K97,0)</f>
        <v>0</v>
      </c>
      <c r="N97" s="1038">
        <f>IF(AND(A48&gt;=$B$2,A48&lt;=$B$4),_xlfn.XLOOKUP(A97,'VMT Reduction Supporting'!$A:$A,'VMT Reduction Supporting'!$D:$D,,0),0)</f>
        <v>0</v>
      </c>
      <c r="O97" s="1042">
        <f>IF(AND(A48&gt;=$B$2,A48&lt;=$B$4),_xlfn.XLOOKUP(A97,'VMT Reduction Supporting'!$A:$A,'VMT Reduction Supporting'!$G:$G,,0),0)</f>
        <v>0</v>
      </c>
      <c r="P97" s="1045">
        <f t="shared" si="30"/>
        <v>0</v>
      </c>
      <c r="Q97" s="1045">
        <f t="shared" si="31"/>
        <v>0</v>
      </c>
      <c r="R97" s="1046">
        <f>IF(AND($A97&gt;=MIN('Major Assumption Key'!$B$4),$A97&lt;=MAX('Major Assumption Key'!$B$6)),Q97-P97,0)</f>
        <v>0</v>
      </c>
      <c r="S97" s="1047" t="s">
        <v>1244</v>
      </c>
      <c r="T97" s="1079" t="s">
        <v>1244</v>
      </c>
      <c r="U97" s="1048">
        <v>0</v>
      </c>
    </row>
    <row r="98" spans="1:21" outlineLevel="1">
      <c r="A98" s="1036">
        <f t="shared" si="25"/>
        <v>2058</v>
      </c>
      <c r="B98" s="1037">
        <f t="shared" ref="B98:B100" si="38">$B$80*(($B$85/$B$80)^(1/($A$85-$A$80)))^($A98-$A$80)</f>
        <v>3.9220627707537191E-3</v>
      </c>
      <c r="C98" s="1037">
        <f t="shared" si="37"/>
        <v>0.2435795700140925</v>
      </c>
      <c r="D98" s="1038">
        <f>IF(AND(A49&gt;=$B$2,A49&lt;=$B$4),_xlfn.XLOOKUP(A98,'VMT Reduction Supporting'!$A:$A,'VMT Reduction Supporting'!$C:$C,,0),0)</f>
        <v>0</v>
      </c>
      <c r="E98" s="1039">
        <f>IF(AND(A49&gt;=$B$2,A49&lt;=$B$4),_xlfn.XLOOKUP(A98,'VMT Reduction Supporting'!$A:$A,'VMT Reduction Supporting'!$F:$F,,0),0)</f>
        <v>0</v>
      </c>
      <c r="F98" s="1452">
        <f t="shared" si="26"/>
        <v>0</v>
      </c>
      <c r="G98" s="1040">
        <f t="shared" si="27"/>
        <v>0</v>
      </c>
      <c r="H98" s="1041">
        <f>IF(AND($A98&gt;=MIN('Major Assumption Key'!$B$4),$A98&lt;=MAX('Major Assumption Key'!$B$6)),G98-F98,0)</f>
        <v>0</v>
      </c>
      <c r="I98" s="1038">
        <f>IF(AND(A49&gt;=$B$2,A49&lt;=$B$4),_xlfn.XLOOKUP(A98,'VMT Reduction Supporting'!$A:$A,'VMT Reduction Supporting'!$B:$B,,0),0)</f>
        <v>0</v>
      </c>
      <c r="J98" s="1042">
        <f>IF(AND(A49&gt;=$B$2,A49&lt;=$B$4),_xlfn.XLOOKUP(A98,'VMT Reduction Supporting'!$A:$A,'VMT Reduction Supporting'!$E:$E,,0),0)</f>
        <v>0</v>
      </c>
      <c r="K98" s="1043">
        <f t="shared" si="28"/>
        <v>0</v>
      </c>
      <c r="L98" s="1043">
        <f t="shared" si="29"/>
        <v>0</v>
      </c>
      <c r="M98" s="1044">
        <f>IF(AND($A98&gt;=MIN('Major Assumption Key'!$B$4),$A98&lt;=MAX('Major Assumption Key'!$B$6)),L98-K98,0)</f>
        <v>0</v>
      </c>
      <c r="N98" s="1038">
        <f>IF(AND(A49&gt;=$B$2,A49&lt;=$B$4),_xlfn.XLOOKUP(A98,'VMT Reduction Supporting'!$A:$A,'VMT Reduction Supporting'!$D:$D,,0),0)</f>
        <v>0</v>
      </c>
      <c r="O98" s="1042">
        <f>IF(AND(A49&gt;=$B$2,A49&lt;=$B$4),_xlfn.XLOOKUP(A98,'VMT Reduction Supporting'!$A:$A,'VMT Reduction Supporting'!$G:$G,,0),0)</f>
        <v>0</v>
      </c>
      <c r="P98" s="1045">
        <f t="shared" si="30"/>
        <v>0</v>
      </c>
      <c r="Q98" s="1045">
        <f t="shared" si="31"/>
        <v>0</v>
      </c>
      <c r="R98" s="1046">
        <f>IF(AND($A98&gt;=MIN('Major Assumption Key'!$B$4),$A98&lt;=MAX('Major Assumption Key'!$B$6)),Q98-P98,0)</f>
        <v>0</v>
      </c>
      <c r="S98" s="1047" t="s">
        <v>1244</v>
      </c>
      <c r="T98" s="1079" t="s">
        <v>1244</v>
      </c>
      <c r="U98" s="1048">
        <v>0</v>
      </c>
    </row>
    <row r="99" spans="1:21" outlineLevel="1">
      <c r="A99" s="1036">
        <f t="shared" si="25"/>
        <v>2059</v>
      </c>
      <c r="B99" s="1037">
        <f t="shared" si="38"/>
        <v>3.8784038113897387E-3</v>
      </c>
      <c r="C99" s="1037">
        <f t="shared" si="37"/>
        <v>0.24351891265751649</v>
      </c>
      <c r="D99" s="1038">
        <f>IF(AND(A50&gt;=$B$2,A50&lt;=$B$4),_xlfn.XLOOKUP(A99,'VMT Reduction Supporting'!$A:$A,'VMT Reduction Supporting'!$C:$C,,0),0)</f>
        <v>0</v>
      </c>
      <c r="E99" s="1039">
        <f>IF(AND(A50&gt;=$B$2,A50&lt;=$B$4),_xlfn.XLOOKUP(A99,'VMT Reduction Supporting'!$A:$A,'VMT Reduction Supporting'!$F:$F,,0),0)</f>
        <v>0</v>
      </c>
      <c r="F99" s="1452">
        <f t="shared" si="26"/>
        <v>0</v>
      </c>
      <c r="G99" s="1040">
        <f t="shared" si="27"/>
        <v>0</v>
      </c>
      <c r="H99" s="1041">
        <f>IF(AND($A99&gt;=MIN('Major Assumption Key'!$B$4),$A99&lt;=MAX('Major Assumption Key'!$B$6)),G99-F99,0)</f>
        <v>0</v>
      </c>
      <c r="I99" s="1038">
        <f>IF(AND(A50&gt;=$B$2,A50&lt;=$B$4),_xlfn.XLOOKUP(A99,'VMT Reduction Supporting'!$A:$A,'VMT Reduction Supporting'!$B:$B,,0),0)</f>
        <v>0</v>
      </c>
      <c r="J99" s="1042">
        <f>IF(AND(A50&gt;=$B$2,A50&lt;=$B$4),_xlfn.XLOOKUP(A99,'VMT Reduction Supporting'!$A:$A,'VMT Reduction Supporting'!$E:$E,,0),0)</f>
        <v>0</v>
      </c>
      <c r="K99" s="1043">
        <f t="shared" si="28"/>
        <v>0</v>
      </c>
      <c r="L99" s="1043">
        <f t="shared" si="29"/>
        <v>0</v>
      </c>
      <c r="M99" s="1044">
        <f>IF(AND($A99&gt;=MIN('Major Assumption Key'!$B$4),$A99&lt;=MAX('Major Assumption Key'!$B$6)),L99-K99,0)</f>
        <v>0</v>
      </c>
      <c r="N99" s="1038">
        <f>IF(AND(A50&gt;=$B$2,A50&lt;=$B$4),_xlfn.XLOOKUP(A99,'VMT Reduction Supporting'!$A:$A,'VMT Reduction Supporting'!$D:$D,,0),0)</f>
        <v>0</v>
      </c>
      <c r="O99" s="1042">
        <f>IF(AND(A50&gt;=$B$2,A50&lt;=$B$4),_xlfn.XLOOKUP(A99,'VMT Reduction Supporting'!$A:$A,'VMT Reduction Supporting'!$G:$G,,0),0)</f>
        <v>0</v>
      </c>
      <c r="P99" s="1045">
        <f t="shared" si="30"/>
        <v>0</v>
      </c>
      <c r="Q99" s="1045">
        <f t="shared" si="31"/>
        <v>0</v>
      </c>
      <c r="R99" s="1046">
        <f>IF(AND($A99&gt;=MIN('Major Assumption Key'!$B$4),$A99&lt;=MAX('Major Assumption Key'!$B$6)),Q99-P99,0)</f>
        <v>0</v>
      </c>
      <c r="S99" s="1047" t="s">
        <v>1244</v>
      </c>
      <c r="T99" s="1079" t="s">
        <v>1244</v>
      </c>
      <c r="U99" s="1048">
        <v>0</v>
      </c>
    </row>
    <row r="100" spans="1:21" ht="13.8" outlineLevel="1" thickBot="1">
      <c r="A100" s="1036">
        <f t="shared" si="25"/>
        <v>2060</v>
      </c>
      <c r="B100" s="1037">
        <f t="shared" si="38"/>
        <v>3.8352308474939997E-3</v>
      </c>
      <c r="C100" s="1037">
        <f t="shared" si="37"/>
        <v>0.24345827040612728</v>
      </c>
      <c r="D100" s="1038">
        <f>IF(AND(A51&gt;=$B$2,A51&lt;=$B$4),_xlfn.XLOOKUP(A100,'VMT Reduction Supporting'!$A:$A,'VMT Reduction Supporting'!$C:$C,,0),0)</f>
        <v>0</v>
      </c>
      <c r="E100" s="1039">
        <f>IF(AND(A51&gt;=$B$2,A51&lt;=$B$4),_xlfn.XLOOKUP(A100,'VMT Reduction Supporting'!$A:$A,'VMT Reduction Supporting'!$F:$F,,0),0)</f>
        <v>0</v>
      </c>
      <c r="F100" s="1453">
        <f t="shared" si="26"/>
        <v>0</v>
      </c>
      <c r="G100" s="1454">
        <f t="shared" si="27"/>
        <v>0</v>
      </c>
      <c r="H100" s="1455">
        <f>IF(AND($A100&gt;=MIN('Major Assumption Key'!$B$4),$A100&lt;=MAX('Major Assumption Key'!$B$6)),G100-F100,0)</f>
        <v>0</v>
      </c>
      <c r="I100" s="1038">
        <f>IF(AND(A51&gt;=$B$2,A51&lt;=$B$4),_xlfn.XLOOKUP(A100,'VMT Reduction Supporting'!$A:$A,'VMT Reduction Supporting'!$B:$B,,0),0)</f>
        <v>0</v>
      </c>
      <c r="J100" s="1042">
        <f>IF(AND(A51&gt;=$B$2,A51&lt;=$B$4),_xlfn.XLOOKUP(A100,'VMT Reduction Supporting'!$A:$A,'VMT Reduction Supporting'!$E:$E,,0),0)</f>
        <v>0</v>
      </c>
      <c r="K100" s="1043">
        <f t="shared" si="28"/>
        <v>0</v>
      </c>
      <c r="L100" s="1043">
        <f t="shared" si="29"/>
        <v>0</v>
      </c>
      <c r="M100" s="1044">
        <f>IF(AND($A100&gt;=MIN('Major Assumption Key'!$B$4),$A100&lt;=MAX('Major Assumption Key'!$B$6)),L100-K100,0)</f>
        <v>0</v>
      </c>
      <c r="N100" s="1038">
        <f>IF(AND(A51&gt;=$B$2,A51&lt;=$B$4),_xlfn.XLOOKUP(A100,'VMT Reduction Supporting'!$A:$A,'VMT Reduction Supporting'!$D:$D,,0),0)</f>
        <v>0</v>
      </c>
      <c r="O100" s="1042">
        <f>IF(AND(A51&gt;=$B$2,A51&lt;=$B$4),_xlfn.XLOOKUP(A100,'VMT Reduction Supporting'!$A:$A,'VMT Reduction Supporting'!$G:$G,,0),0)</f>
        <v>0</v>
      </c>
      <c r="P100" s="1045">
        <f t="shared" si="30"/>
        <v>0</v>
      </c>
      <c r="Q100" s="1045">
        <f t="shared" si="31"/>
        <v>0</v>
      </c>
      <c r="R100" s="1046">
        <f>IF(AND($A100&gt;=MIN('Major Assumption Key'!$B$4),$A100&lt;=MAX('Major Assumption Key'!$B$6)),Q100-P100,0)</f>
        <v>0</v>
      </c>
      <c r="S100" s="1047" t="s">
        <v>1244</v>
      </c>
      <c r="T100" s="1079" t="s">
        <v>1244</v>
      </c>
      <c r="U100" s="1048">
        <v>0</v>
      </c>
    </row>
    <row r="101" spans="1:21">
      <c r="A101" s="2120" t="s">
        <v>7301</v>
      </c>
      <c r="B101" s="2120"/>
      <c r="C101" s="2121"/>
      <c r="D101" s="1080">
        <f>SUMIFS(D60:D100,$A$60:$A$100,"&gt;="&amp;$B$3,$A$60:$A$100,"&lt;="&amp;$B$4)</f>
        <v>38266.112417412827</v>
      </c>
      <c r="E101" s="1080">
        <f>SUMIFS(E60:E100,$A$60:$A$100,"&gt;="&amp;$B$3,$A$60:$A$100,"&lt;="&amp;$B$4)</f>
        <v>522970.20303797506</v>
      </c>
      <c r="G101" s="1081"/>
      <c r="H101" s="1456">
        <f>SUMIFS(H60:H100,$A$60:$A$100,"&gt;="&amp;$B$3,$A$60:$A$100,"&lt;="&amp;$B$4)</f>
        <v>3.0547066779140954E-3</v>
      </c>
      <c r="I101" s="1080">
        <f t="shared" ref="I101:J101" si="39">SUMIFS(I60:I100,$A$60:$A$100,"&gt;="&amp;$B$3,$A$60:$A$100,"&lt;="&amp;$B$4)</f>
        <v>554858.63005248574</v>
      </c>
      <c r="J101" s="1080">
        <f t="shared" si="39"/>
        <v>562180.27784661518</v>
      </c>
      <c r="L101" s="1081"/>
      <c r="M101" s="1456">
        <f t="shared" ref="M101" si="40">SUMIFS(M60:M100,$A$60:$A$100,"&gt;="&amp;$B$3,$A$60:$A$100,"&lt;="&amp;$B$4)</f>
        <v>4.7237261852344382E-5</v>
      </c>
      <c r="N101" s="1080">
        <f t="shared" ref="N101" si="41">SUMIFS(N60:N100,$A$60:$A$100,"&gt;="&amp;$B$3,$A$60:$A$100,"&lt;="&amp;$B$4)</f>
        <v>2066966.0090962988</v>
      </c>
      <c r="O101" s="1080">
        <f t="shared" ref="O101" si="42">SUMIFS(O60:O100,$A$60:$A$100,"&gt;="&amp;$B$3,$A$60:$A$100,"&lt;="&amp;$B$4)</f>
        <v>2333604.6242697216</v>
      </c>
      <c r="Q101" s="1081"/>
      <c r="R101" s="1456">
        <f>SUMIFS(R60:R100,$A$60:$A$100,"&gt;="&amp;$B$3,$A$60:$A$100,"&lt;="&amp;$B$4)</f>
        <v>8.1807433317853229E-2</v>
      </c>
      <c r="S101" s="2113"/>
      <c r="T101" s="2114"/>
      <c r="U101" s="1456">
        <f>SUMIFS(U60:U100,$A$60:$A$100,"&gt;="&amp;$B$3,$A$60:$A$100,"&lt;="&amp;$B$4)</f>
        <v>0</v>
      </c>
    </row>
    <row r="102" spans="1:21" ht="13.8" thickBot="1">
      <c r="A102" s="2117" t="s">
        <v>7289</v>
      </c>
      <c r="B102" s="2117"/>
      <c r="C102" s="2118"/>
      <c r="D102" s="1087">
        <f>AVERAGEIFS(D60:D100,$A$60:$A$100,"&gt;="&amp;$B$3,$A$60:$A$100,"&lt;="&amp;$B$4)</f>
        <v>1471.773554515878</v>
      </c>
      <c r="E102" s="1087">
        <f>AVERAGEIFS(E60:E100,$A$60:$A$100,"&gt;="&amp;$B$3,$A$60:$A$100,"&lt;="&amp;$B$4)</f>
        <v>20114.238578383658</v>
      </c>
      <c r="H102" s="1457">
        <f>AVERAGEIFS(H60:H100,$A$60:$A$100,"&gt;="&amp;$B$3,$A$60:$A$100,"&lt;="&amp;$B$4)</f>
        <v>1.1748871838131136E-4</v>
      </c>
      <c r="I102" s="1087">
        <f t="shared" ref="I102:J102" si="43">AVERAGEIFS(I60:I100,$A$60:$A$100,"&gt;="&amp;$B$3,$A$60:$A$100,"&lt;="&amp;$B$4)</f>
        <v>21340.716540480222</v>
      </c>
      <c r="J102" s="1087">
        <f t="shared" si="43"/>
        <v>21622.318378715969</v>
      </c>
      <c r="M102" s="1457">
        <f t="shared" ref="M102:O102" si="44">AVERAGEIFS(M60:M100,$A$60:$A$100,"&gt;="&amp;$B$3,$A$60:$A$100,"&lt;="&amp;$B$4)</f>
        <v>1.8168177635517069E-6</v>
      </c>
      <c r="N102" s="1087">
        <f t="shared" si="44"/>
        <v>79498.692657549953</v>
      </c>
      <c r="O102" s="1087">
        <f t="shared" si="44"/>
        <v>89754.024010373905</v>
      </c>
      <c r="R102" s="1457">
        <f t="shared" ref="R102" si="45">AVERAGEIFS(R60:R100,$A$60:$A$100,"&gt;="&amp;$B$3,$A$60:$A$100,"&lt;="&amp;$B$4)</f>
        <v>3.1464397429943548E-3</v>
      </c>
      <c r="U102" s="1457">
        <f t="shared" ref="U102" si="46">AVERAGEIFS(U60:U100,$A$60:$A$100,"&gt;="&amp;$B$3,$A$60:$A$100,"&lt;="&amp;$B$4)</f>
        <v>0</v>
      </c>
    </row>
    <row r="103" spans="1:21" ht="13.8" thickBot="1">
      <c r="A103" s="1049"/>
      <c r="B103" s="1049"/>
      <c r="C103" s="1049"/>
    </row>
    <row r="104" spans="1:21" ht="13.8" thickBot="1">
      <c r="A104" s="1050" t="str">
        <f>I9</f>
        <v>Carbon Monoxide</v>
      </c>
      <c r="B104" s="1051"/>
      <c r="C104" s="1051"/>
      <c r="D104" s="2108" t="s">
        <v>7290</v>
      </c>
      <c r="E104" s="2109"/>
      <c r="F104" s="2109"/>
      <c r="G104" s="2109"/>
      <c r="H104" s="2110"/>
      <c r="I104" s="2102" t="s">
        <v>7291</v>
      </c>
      <c r="J104" s="2103"/>
      <c r="K104" s="2103"/>
      <c r="L104" s="2103"/>
      <c r="M104" s="2104"/>
      <c r="N104" s="2105" t="s">
        <v>7292</v>
      </c>
      <c r="O104" s="2106"/>
      <c r="P104" s="2106"/>
      <c r="Q104" s="2106"/>
      <c r="R104" s="2107"/>
      <c r="S104" s="2105" t="s">
        <v>7293</v>
      </c>
      <c r="T104" s="2106"/>
      <c r="U104" s="2107"/>
    </row>
    <row r="105" spans="1:21">
      <c r="A105" s="2111" t="s">
        <v>510</v>
      </c>
      <c r="B105" s="1052" t="s">
        <v>7294</v>
      </c>
      <c r="C105" s="1052" t="s">
        <v>7295</v>
      </c>
      <c r="D105" s="1053" t="s">
        <v>66</v>
      </c>
      <c r="E105" s="1054" t="s">
        <v>131</v>
      </c>
      <c r="F105" s="1055" t="s">
        <v>487</v>
      </c>
      <c r="G105" s="1055" t="s">
        <v>131</v>
      </c>
      <c r="H105" s="1056" t="s">
        <v>7296</v>
      </c>
      <c r="I105" s="1057" t="s">
        <v>66</v>
      </c>
      <c r="J105" s="1058" t="s">
        <v>131</v>
      </c>
      <c r="K105" s="1059" t="s">
        <v>487</v>
      </c>
      <c r="L105" s="1059" t="s">
        <v>131</v>
      </c>
      <c r="M105" s="1060" t="s">
        <v>7296</v>
      </c>
      <c r="N105" s="1057" t="s">
        <v>66</v>
      </c>
      <c r="O105" s="1058" t="s">
        <v>131</v>
      </c>
      <c r="P105" s="1061" t="s">
        <v>487</v>
      </c>
      <c r="Q105" s="1061" t="s">
        <v>131</v>
      </c>
      <c r="R105" s="1062" t="s">
        <v>7296</v>
      </c>
      <c r="S105" s="1063" t="s">
        <v>487</v>
      </c>
      <c r="T105" s="1064" t="s">
        <v>131</v>
      </c>
      <c r="U105" s="1065" t="s">
        <v>7296</v>
      </c>
    </row>
    <row r="106" spans="1:21" ht="39.6">
      <c r="A106" s="2112"/>
      <c r="B106" s="1066" t="s">
        <v>7297</v>
      </c>
      <c r="C106" s="1066" t="s">
        <v>7297</v>
      </c>
      <c r="D106" s="1067" t="s">
        <v>7298</v>
      </c>
      <c r="E106" s="1068" t="s">
        <v>7298</v>
      </c>
      <c r="F106" s="1069" t="s">
        <v>7299</v>
      </c>
      <c r="G106" s="1069" t="s">
        <v>7299</v>
      </c>
      <c r="H106" s="1070" t="s">
        <v>7300</v>
      </c>
      <c r="I106" s="1067" t="s">
        <v>7298</v>
      </c>
      <c r="J106" s="1068" t="s">
        <v>7298</v>
      </c>
      <c r="K106" s="1071" t="s">
        <v>7299</v>
      </c>
      <c r="L106" s="1071" t="s">
        <v>7299</v>
      </c>
      <c r="M106" s="1072" t="s">
        <v>7300</v>
      </c>
      <c r="N106" s="1067" t="s">
        <v>7298</v>
      </c>
      <c r="O106" s="1068" t="s">
        <v>7298</v>
      </c>
      <c r="P106" s="1073" t="s">
        <v>7299</v>
      </c>
      <c r="Q106" s="1073" t="s">
        <v>7299</v>
      </c>
      <c r="R106" s="1074" t="s">
        <v>7300</v>
      </c>
      <c r="S106" s="1075" t="s">
        <v>7299</v>
      </c>
      <c r="T106" s="1076" t="s">
        <v>7299</v>
      </c>
      <c r="U106" s="1077" t="s">
        <v>7300</v>
      </c>
    </row>
    <row r="107" spans="1:21" outlineLevel="1">
      <c r="A107" s="1451">
        <f>A11</f>
        <v>2020</v>
      </c>
      <c r="B107" s="1078">
        <f>VLOOKUP($B$5,'Emission Factors'!$A$5:$F$21,3,FALSE)</f>
        <v>2.5055261499558887</v>
      </c>
      <c r="C107" s="1078">
        <f>VLOOKUP($B$6,'Emission Factors'!$A$28:$F$44,3,FALSE)</f>
        <v>4.3731710811456033</v>
      </c>
      <c r="D107" s="1038">
        <f>IF(AND(A11&gt;=$B$2,A11&lt;=$B$4),_xlfn.XLOOKUP(A107,'VMT Reduction Supporting'!$A:$A,'VMT Reduction Supporting'!$C:$C,,0),0)</f>
        <v>0</v>
      </c>
      <c r="E107" s="1039">
        <f>IF(AND(A11&gt;=$B$2,A11&lt;=$B$4),_xlfn.XLOOKUP(A107,'VMT Reduction Supporting'!$A:$A,'VMT Reduction Supporting'!$F:$F,,0),0)</f>
        <v>0</v>
      </c>
      <c r="F107" s="1040">
        <f t="shared" ref="F107" si="47">($B107*D107)/1000000</f>
        <v>0</v>
      </c>
      <c r="G107" s="1040">
        <f>IFERROR(($B107*E107)/1000000,0)</f>
        <v>0</v>
      </c>
      <c r="H107" s="1041">
        <f>IF(AND($A107&gt;=MIN('Major Assumption Key'!$B$4),$A107&lt;=MAX('Major Assumption Key'!$B$6)),G107-F107,0)</f>
        <v>0</v>
      </c>
      <c r="I107" s="1038">
        <f>IF(AND(A11&gt;=$B$2,A11&lt;=$B$4),_xlfn.XLOOKUP(A107,'VMT Reduction Supporting'!$A:$A,'VMT Reduction Supporting'!$B:$B,,0),0)</f>
        <v>0</v>
      </c>
      <c r="J107" s="1042">
        <f>IF(AND(A11&gt;=$B$2,A11&lt;=$B$4),_xlfn.XLOOKUP(A107,'VMT Reduction Supporting'!$A:$A,'VMT Reduction Supporting'!$E:$E,,0),0)</f>
        <v>0</v>
      </c>
      <c r="K107" s="1043">
        <f>($B107*I107)/1000000</f>
        <v>0</v>
      </c>
      <c r="L107" s="1043">
        <f>($B107*J107)/1000000</f>
        <v>0</v>
      </c>
      <c r="M107" s="1044">
        <f>IF(AND($A107&gt;=MIN('Major Assumption Key'!$B$4),$A107&lt;=MAX('Major Assumption Key'!$B$6)),L107-K107,0)</f>
        <v>0</v>
      </c>
      <c r="N107" s="1038">
        <f>IF(AND(A11&gt;=$B$2,A11&lt;=$B$4),_xlfn.XLOOKUP(A107,'VMT Reduction Supporting'!$A:$A,'VMT Reduction Supporting'!$D:$D,,0),0)</f>
        <v>0</v>
      </c>
      <c r="O107" s="1042">
        <f>IF(AND(A11&gt;=$B$2,A11&lt;=$B$4),_xlfn.XLOOKUP(A107,'VMT Reduction Supporting'!$A:$A,'VMT Reduction Supporting'!$G:$G,,0),0)</f>
        <v>0</v>
      </c>
      <c r="P107" s="1045">
        <f t="shared" ref="P107" si="48">($C107*N107)/1000000</f>
        <v>0</v>
      </c>
      <c r="Q107" s="1045">
        <f t="shared" ref="Q107" si="49">($C107*O107)/1000000</f>
        <v>0</v>
      </c>
      <c r="R107" s="1046">
        <f>IF(AND($A107&gt;=MIN('Major Assumption Key'!$B$4),$A107&lt;=MAX('Major Assumption Key'!$B$6)),Q107-P107,0)</f>
        <v>0</v>
      </c>
      <c r="S107" s="1047" cm="1">
        <f t="array" ref="S107">IF(AND(A11&gt;=$B$2,A11&lt;=$B$4),_xlfn.XLOOKUP(A107,'Auto Idling Supporting'!$A$28:$A$68,'Auto Idling Supporting'!$D$28:$D$68*365,,0),0)</f>
        <v>0</v>
      </c>
      <c r="T107" s="1047" cm="1">
        <f t="array" ref="T107">IF(AND(A11&gt;=$B$2,A11&lt;=$B$4),_xlfn.XLOOKUP(A107,'Auto Idling Supporting'!$A$28:$A$68,'Auto Idling Supporting'!$G$28:$G$68*365,,0),0)</f>
        <v>0</v>
      </c>
      <c r="U107" s="1048">
        <f>S107-T107</f>
        <v>0</v>
      </c>
    </row>
    <row r="108" spans="1:21" outlineLevel="1">
      <c r="A108" s="1036">
        <f t="shared" ref="A108:A147" si="50">A12</f>
        <v>2021</v>
      </c>
      <c r="B108" s="1037">
        <f>$B$107*(($B$117/$B$107)^(1/($A$117-$A$107))^(A108-$A$107))</f>
        <v>2.3429570136569406</v>
      </c>
      <c r="C108" s="1037">
        <f>$C$107*(($C$117/$C$107)^(1/($A$117-$A$107))^(A108-$A$107))</f>
        <v>3.8907286051794054</v>
      </c>
      <c r="D108" s="1038">
        <f>IF(AND(A12&gt;=$B$2,A12&lt;=$B$4),_xlfn.XLOOKUP(A108,'VMT Reduction Supporting'!$A:$A,'VMT Reduction Supporting'!$C:$C,,0),0)</f>
        <v>0</v>
      </c>
      <c r="E108" s="1039">
        <f>IF(AND(A12&gt;=$B$2,A12&lt;=$B$4),_xlfn.XLOOKUP(A108,'VMT Reduction Supporting'!$A:$A,'VMT Reduction Supporting'!$F:$F,,0),0)</f>
        <v>0</v>
      </c>
      <c r="F108" s="1040">
        <f t="shared" ref="F108:F147" si="51">($B108*D108)/1000000</f>
        <v>0</v>
      </c>
      <c r="G108" s="1040">
        <f t="shared" ref="G108:G147" si="52">IFERROR(($B108*E108)/1000000,0)</f>
        <v>0</v>
      </c>
      <c r="H108" s="1041">
        <f>IF(AND($A108&gt;=MIN('Major Assumption Key'!$B$4),$A108&lt;=MAX('Major Assumption Key'!$B$6)),G108-F108,0)</f>
        <v>0</v>
      </c>
      <c r="I108" s="1038">
        <f>IF(AND(A12&gt;=$B$2,A12&lt;=$B$4),_xlfn.XLOOKUP(A108,'VMT Reduction Supporting'!$A:$A,'VMT Reduction Supporting'!$B:$B,,0),0)</f>
        <v>0</v>
      </c>
      <c r="J108" s="1042">
        <f>IF(AND(A12&gt;=$B$2,A12&lt;=$B$4),_xlfn.XLOOKUP(A108,'VMT Reduction Supporting'!$A:$A,'VMT Reduction Supporting'!$E:$E,,0),0)</f>
        <v>0</v>
      </c>
      <c r="K108" s="1043">
        <f t="shared" ref="K108:K147" si="53">($B108*I108)/1000000</f>
        <v>0</v>
      </c>
      <c r="L108" s="1043">
        <f t="shared" ref="L108:L147" si="54">($B108*J108)/1000000</f>
        <v>0</v>
      </c>
      <c r="M108" s="1044">
        <f>IF(AND($A108&gt;=MIN('Major Assumption Key'!$B$4),$A108&lt;=MAX('Major Assumption Key'!$B$6)),L108-K108,0)</f>
        <v>0</v>
      </c>
      <c r="N108" s="1038">
        <f>IF(AND(A12&gt;=$B$2,A12&lt;=$B$4),_xlfn.XLOOKUP(A108,'VMT Reduction Supporting'!$A:$A,'VMT Reduction Supporting'!$D:$D,,0),0)</f>
        <v>0</v>
      </c>
      <c r="O108" s="1042">
        <f>IF(AND(A12&gt;=$B$2,A12&lt;=$B$4),_xlfn.XLOOKUP(A108,'VMT Reduction Supporting'!$A:$A,'VMT Reduction Supporting'!$G:$G,,0),0)</f>
        <v>0</v>
      </c>
      <c r="P108" s="1045">
        <f t="shared" ref="P108:P147" si="55">($C108*N108)/1000000</f>
        <v>0</v>
      </c>
      <c r="Q108" s="1045">
        <f t="shared" ref="Q108:Q147" si="56">($C108*O108)/1000000</f>
        <v>0</v>
      </c>
      <c r="R108" s="1046">
        <f>IF(AND($A108&gt;=MIN('Major Assumption Key'!$B$4),$A108&lt;=MAX('Major Assumption Key'!$B$6)),Q108-P108,0)</f>
        <v>0</v>
      </c>
      <c r="S108" s="1047" cm="1">
        <f t="array" ref="S108">IF(AND(A12&gt;=$B$2,A12&lt;=$B$4),_xlfn.XLOOKUP(A108,'Auto Idling Supporting'!$A$28:$A$68,'Auto Idling Supporting'!$D$28:$D$68*365,,0),0)</f>
        <v>0</v>
      </c>
      <c r="T108" s="1047" cm="1">
        <f t="array" ref="T108">IF(AND(A12&gt;=$B$2,A12&lt;=$B$4),_xlfn.XLOOKUP(A108,'Auto Idling Supporting'!$A$28:$A$68,'Auto Idling Supporting'!$G$28:$G$68*365,,0),0)</f>
        <v>0</v>
      </c>
      <c r="U108" s="1048">
        <f t="shared" ref="U108:U147" si="57">S108-T108</f>
        <v>0</v>
      </c>
    </row>
    <row r="109" spans="1:21" outlineLevel="1">
      <c r="A109" s="1036">
        <f t="shared" si="50"/>
        <v>2022</v>
      </c>
      <c r="B109" s="1037">
        <f t="shared" ref="B109:B116" si="58">$B$107*(($B$117/$B$107)^(1/($A$117-$A$107))^(A109-$A$107))</f>
        <v>2.1909360506737854</v>
      </c>
      <c r="C109" s="1037">
        <f t="shared" ref="C109:C116" si="59">$C$107*(($C$117/$C$107)^(1/($A$117-$A$107))^(A109-$A$107))</f>
        <v>3.4615085479792764</v>
      </c>
      <c r="D109" s="1038">
        <f>IF(AND(A13&gt;=$B$2,A13&lt;=$B$4),_xlfn.XLOOKUP(A109,'VMT Reduction Supporting'!$A:$A,'VMT Reduction Supporting'!$C:$C,,0),0)</f>
        <v>0</v>
      </c>
      <c r="E109" s="1039">
        <f>IF(AND(A13&gt;=$B$2,A13&lt;=$B$4),_xlfn.XLOOKUP(A109,'VMT Reduction Supporting'!$A:$A,'VMT Reduction Supporting'!$F:$F,,0),0)</f>
        <v>0</v>
      </c>
      <c r="F109" s="1040">
        <f t="shared" si="51"/>
        <v>0</v>
      </c>
      <c r="G109" s="1040">
        <f t="shared" si="52"/>
        <v>0</v>
      </c>
      <c r="H109" s="1041">
        <f>IF(AND($A109&gt;=MIN('Major Assumption Key'!$B$4),$A109&lt;=MAX('Major Assumption Key'!$B$6)),G109-F109,0)</f>
        <v>0</v>
      </c>
      <c r="I109" s="1038">
        <f>IF(AND(A13&gt;=$B$2,A13&lt;=$B$4),_xlfn.XLOOKUP(A109,'VMT Reduction Supporting'!$A:$A,'VMT Reduction Supporting'!$B:$B,,0),0)</f>
        <v>0</v>
      </c>
      <c r="J109" s="1042">
        <f>IF(AND(A13&gt;=$B$2,A13&lt;=$B$4),_xlfn.XLOOKUP(A109,'VMT Reduction Supporting'!$A:$A,'VMT Reduction Supporting'!$E:$E,,0),0)</f>
        <v>0</v>
      </c>
      <c r="K109" s="1043">
        <f t="shared" si="53"/>
        <v>0</v>
      </c>
      <c r="L109" s="1043">
        <f t="shared" si="54"/>
        <v>0</v>
      </c>
      <c r="M109" s="1044">
        <f>IF(AND($A109&gt;=MIN('Major Assumption Key'!$B$4),$A109&lt;=MAX('Major Assumption Key'!$B$6)),L109-K109,0)</f>
        <v>0</v>
      </c>
      <c r="N109" s="1038">
        <f>IF(AND(A13&gt;=$B$2,A13&lt;=$B$4),_xlfn.XLOOKUP(A109,'VMT Reduction Supporting'!$A:$A,'VMT Reduction Supporting'!$D:$D,,0),0)</f>
        <v>0</v>
      </c>
      <c r="O109" s="1042">
        <f>IF(AND(A13&gt;=$B$2,A13&lt;=$B$4),_xlfn.XLOOKUP(A109,'VMT Reduction Supporting'!$A:$A,'VMT Reduction Supporting'!$G:$G,,0),0)</f>
        <v>0</v>
      </c>
      <c r="P109" s="1045">
        <f t="shared" si="55"/>
        <v>0</v>
      </c>
      <c r="Q109" s="1045">
        <f t="shared" si="56"/>
        <v>0</v>
      </c>
      <c r="R109" s="1046">
        <f>IF(AND($A109&gt;=MIN('Major Assumption Key'!$B$4),$A109&lt;=MAX('Major Assumption Key'!$B$6)),Q109-P109,0)</f>
        <v>0</v>
      </c>
      <c r="S109" s="1047" cm="1">
        <f t="array" ref="S109">IF(AND(A13&gt;=$B$2,A13&lt;=$B$4),_xlfn.XLOOKUP(A109,'Auto Idling Supporting'!$A$28:$A$68,'Auto Idling Supporting'!$D$28:$D$68*365,,0),0)</f>
        <v>0</v>
      </c>
      <c r="T109" s="1047" cm="1">
        <f t="array" ref="T109">IF(AND(A13&gt;=$B$2,A13&lt;=$B$4),_xlfn.XLOOKUP(A109,'Auto Idling Supporting'!$A$28:$A$68,'Auto Idling Supporting'!$G$28:$G$68*365,,0),0)</f>
        <v>0</v>
      </c>
      <c r="U109" s="1048">
        <f t="shared" si="57"/>
        <v>0</v>
      </c>
    </row>
    <row r="110" spans="1:21" outlineLevel="1">
      <c r="A110" s="1036">
        <f t="shared" si="50"/>
        <v>2023</v>
      </c>
      <c r="B110" s="1037">
        <f t="shared" si="58"/>
        <v>2.0487788508973885</v>
      </c>
      <c r="C110" s="1037">
        <f t="shared" si="59"/>
        <v>3.0796394823794442</v>
      </c>
      <c r="D110" s="1038">
        <f>IF(AND(A14&gt;=$B$2,A14&lt;=$B$4),_xlfn.XLOOKUP(A110,'VMT Reduction Supporting'!$A:$A,'VMT Reduction Supporting'!$C:$C,,0),0)</f>
        <v>0</v>
      </c>
      <c r="E110" s="1039">
        <f>IF(AND(A14&gt;=$B$2,A14&lt;=$B$4),_xlfn.XLOOKUP(A110,'VMT Reduction Supporting'!$A:$A,'VMT Reduction Supporting'!$F:$F,,0),0)</f>
        <v>0</v>
      </c>
      <c r="F110" s="1040">
        <f t="shared" si="51"/>
        <v>0</v>
      </c>
      <c r="G110" s="1040">
        <f t="shared" si="52"/>
        <v>0</v>
      </c>
      <c r="H110" s="1041">
        <f>IF(AND($A110&gt;=MIN('Major Assumption Key'!$B$4),$A110&lt;=MAX('Major Assumption Key'!$B$6)),G110-F110,0)</f>
        <v>0</v>
      </c>
      <c r="I110" s="1038">
        <f>IF(AND(A14&gt;=$B$2,A14&lt;=$B$4),_xlfn.XLOOKUP(A110,'VMT Reduction Supporting'!$A:$A,'VMT Reduction Supporting'!$B:$B,,0),0)</f>
        <v>0</v>
      </c>
      <c r="J110" s="1042">
        <f>IF(AND(A14&gt;=$B$2,A14&lt;=$B$4),_xlfn.XLOOKUP(A110,'VMT Reduction Supporting'!$A:$A,'VMT Reduction Supporting'!$E:$E,,0),0)</f>
        <v>0</v>
      </c>
      <c r="K110" s="1043">
        <f t="shared" si="53"/>
        <v>0</v>
      </c>
      <c r="L110" s="1043">
        <f t="shared" si="54"/>
        <v>0</v>
      </c>
      <c r="M110" s="1044">
        <f>IF(AND($A110&gt;=MIN('Major Assumption Key'!$B$4),$A110&lt;=MAX('Major Assumption Key'!$B$6)),L110-K110,0)</f>
        <v>0</v>
      </c>
      <c r="N110" s="1038">
        <f>IF(AND(A14&gt;=$B$2,A14&lt;=$B$4),_xlfn.XLOOKUP(A110,'VMT Reduction Supporting'!$A:$A,'VMT Reduction Supporting'!$D:$D,,0),0)</f>
        <v>0</v>
      </c>
      <c r="O110" s="1042">
        <f>IF(AND(A14&gt;=$B$2,A14&lt;=$B$4),_xlfn.XLOOKUP(A110,'VMT Reduction Supporting'!$A:$A,'VMT Reduction Supporting'!$G:$G,,0),0)</f>
        <v>0</v>
      </c>
      <c r="P110" s="1045">
        <f t="shared" si="55"/>
        <v>0</v>
      </c>
      <c r="Q110" s="1045">
        <f t="shared" si="56"/>
        <v>0</v>
      </c>
      <c r="R110" s="1046">
        <f>IF(AND($A110&gt;=MIN('Major Assumption Key'!$B$4),$A110&lt;=MAX('Major Assumption Key'!$B$6)),Q110-P110,0)</f>
        <v>0</v>
      </c>
      <c r="S110" s="1047" cm="1">
        <f t="array" ref="S110">IF(AND(A14&gt;=$B$2,A14&lt;=$B$4),_xlfn.XLOOKUP(A110,'Auto Idling Supporting'!$A$28:$A$68,'Auto Idling Supporting'!$D$28:$D$68*365,,0),0)</f>
        <v>0</v>
      </c>
      <c r="T110" s="1047" cm="1">
        <f t="array" ref="T110">IF(AND(A14&gt;=$B$2,A14&lt;=$B$4),_xlfn.XLOOKUP(A110,'Auto Idling Supporting'!$A$28:$A$68,'Auto Idling Supporting'!$G$28:$G$68*365,,0),0)</f>
        <v>0</v>
      </c>
      <c r="U110" s="1048">
        <f t="shared" si="57"/>
        <v>0</v>
      </c>
    </row>
    <row r="111" spans="1:21" outlineLevel="1">
      <c r="A111" s="1036">
        <f t="shared" si="50"/>
        <v>2024</v>
      </c>
      <c r="B111" s="1037">
        <f t="shared" si="58"/>
        <v>1.9158454116420034</v>
      </c>
      <c r="C111" s="1037">
        <f t="shared" si="59"/>
        <v>2.7398977093287562</v>
      </c>
      <c r="D111" s="1038">
        <f>IF(AND(A15&gt;=$B$2,A15&lt;=$B$4),_xlfn.XLOOKUP(A111,'VMT Reduction Supporting'!$A:$A,'VMT Reduction Supporting'!$C:$C,,0),0)</f>
        <v>0</v>
      </c>
      <c r="E111" s="1039">
        <f>IF(AND(A15&gt;=$B$2,A15&lt;=$B$4),_xlfn.XLOOKUP(A111,'VMT Reduction Supporting'!$A:$A,'VMT Reduction Supporting'!$F:$F,,0),0)</f>
        <v>0</v>
      </c>
      <c r="F111" s="1040">
        <f t="shared" si="51"/>
        <v>0</v>
      </c>
      <c r="G111" s="1040">
        <f t="shared" si="52"/>
        <v>0</v>
      </c>
      <c r="H111" s="1041">
        <f>IF(AND($A111&gt;=MIN('Major Assumption Key'!$B$4),$A111&lt;=MAX('Major Assumption Key'!$B$6)),G111-F111,0)</f>
        <v>0</v>
      </c>
      <c r="I111" s="1038">
        <f>IF(AND(A15&gt;=$B$2,A15&lt;=$B$4),_xlfn.XLOOKUP(A111,'VMT Reduction Supporting'!$A:$A,'VMT Reduction Supporting'!$B:$B,,0),0)</f>
        <v>0</v>
      </c>
      <c r="J111" s="1042">
        <f>IF(AND(A15&gt;=$B$2,A15&lt;=$B$4),_xlfn.XLOOKUP(A111,'VMT Reduction Supporting'!$A:$A,'VMT Reduction Supporting'!$E:$E,,0),0)</f>
        <v>0</v>
      </c>
      <c r="K111" s="1043">
        <f t="shared" si="53"/>
        <v>0</v>
      </c>
      <c r="L111" s="1043">
        <f t="shared" si="54"/>
        <v>0</v>
      </c>
      <c r="M111" s="1044">
        <f>IF(AND($A111&gt;=MIN('Major Assumption Key'!$B$4),$A111&lt;=MAX('Major Assumption Key'!$B$6)),L111-K111,0)</f>
        <v>0</v>
      </c>
      <c r="N111" s="1038">
        <f>IF(AND(A15&gt;=$B$2,A15&lt;=$B$4),_xlfn.XLOOKUP(A111,'VMT Reduction Supporting'!$A:$A,'VMT Reduction Supporting'!$D:$D,,0),0)</f>
        <v>0</v>
      </c>
      <c r="O111" s="1042">
        <f>IF(AND(A15&gt;=$B$2,A15&lt;=$B$4),_xlfn.XLOOKUP(A111,'VMT Reduction Supporting'!$A:$A,'VMT Reduction Supporting'!$G:$G,,0),0)</f>
        <v>0</v>
      </c>
      <c r="P111" s="1045">
        <f t="shared" si="55"/>
        <v>0</v>
      </c>
      <c r="Q111" s="1045">
        <f t="shared" si="56"/>
        <v>0</v>
      </c>
      <c r="R111" s="1046">
        <f>IF(AND($A111&gt;=MIN('Major Assumption Key'!$B$4),$A111&lt;=MAX('Major Assumption Key'!$B$6)),Q111-P111,0)</f>
        <v>0</v>
      </c>
      <c r="S111" s="1047" cm="1">
        <f t="array" ref="S111">IF(AND(A15&gt;=$B$2,A15&lt;=$B$4),_xlfn.XLOOKUP(A111,'Auto Idling Supporting'!$A$28:$A$68,'Auto Idling Supporting'!$D$28:$D$68*365,,0),0)</f>
        <v>0</v>
      </c>
      <c r="T111" s="1047" cm="1">
        <f t="array" ref="T111">IF(AND(A15&gt;=$B$2,A15&lt;=$B$4),_xlfn.XLOOKUP(A111,'Auto Idling Supporting'!$A$28:$A$68,'Auto Idling Supporting'!$G$28:$G$68*365,,0),0)</f>
        <v>0</v>
      </c>
      <c r="U111" s="1048">
        <f t="shared" si="57"/>
        <v>0</v>
      </c>
    </row>
    <row r="112" spans="1:21" outlineLevel="1">
      <c r="A112" s="1036">
        <f t="shared" si="50"/>
        <v>2025</v>
      </c>
      <c r="B112" s="1037">
        <f t="shared" si="58"/>
        <v>1.791537256303682</v>
      </c>
      <c r="C112" s="1037">
        <f t="shared" si="59"/>
        <v>2.4376358013778772</v>
      </c>
      <c r="D112" s="1038">
        <f>IF(AND(A16&gt;=$B$2,A16&lt;=$B$4),_xlfn.XLOOKUP(A112,'VMT Reduction Supporting'!$A:$A,'VMT Reduction Supporting'!$C:$C,,0),0)</f>
        <v>0</v>
      </c>
      <c r="E112" s="1039">
        <f>IF(AND(A16&gt;=$B$2,A16&lt;=$B$4),_xlfn.XLOOKUP(A112,'VMT Reduction Supporting'!$A:$A,'VMT Reduction Supporting'!$F:$F,,0),0)</f>
        <v>0</v>
      </c>
      <c r="F112" s="1040">
        <f t="shared" si="51"/>
        <v>0</v>
      </c>
      <c r="G112" s="1040">
        <f t="shared" si="52"/>
        <v>0</v>
      </c>
      <c r="H112" s="1041">
        <f>IF(AND($A112&gt;=MIN('Major Assumption Key'!$B$4),$A112&lt;=MAX('Major Assumption Key'!$B$6)),G112-F112,0)</f>
        <v>0</v>
      </c>
      <c r="I112" s="1038">
        <f>IF(AND(A16&gt;=$B$2,A16&lt;=$B$4),_xlfn.XLOOKUP(A112,'VMT Reduction Supporting'!$A:$A,'VMT Reduction Supporting'!$B:$B,,0),0)</f>
        <v>0</v>
      </c>
      <c r="J112" s="1042">
        <f>IF(AND(A16&gt;=$B$2,A16&lt;=$B$4),_xlfn.XLOOKUP(A112,'VMT Reduction Supporting'!$A:$A,'VMT Reduction Supporting'!$E:$E,,0),0)</f>
        <v>0</v>
      </c>
      <c r="K112" s="1043">
        <f t="shared" si="53"/>
        <v>0</v>
      </c>
      <c r="L112" s="1043">
        <f t="shared" si="54"/>
        <v>0</v>
      </c>
      <c r="M112" s="1044">
        <f>IF(AND($A112&gt;=MIN('Major Assumption Key'!$B$4),$A112&lt;=MAX('Major Assumption Key'!$B$6)),L112-K112,0)</f>
        <v>0</v>
      </c>
      <c r="N112" s="1038">
        <f>IF(AND(A16&gt;=$B$2,A16&lt;=$B$4),_xlfn.XLOOKUP(A112,'VMT Reduction Supporting'!$A:$A,'VMT Reduction Supporting'!$D:$D,,0),0)</f>
        <v>0</v>
      </c>
      <c r="O112" s="1042">
        <f>IF(AND(A16&gt;=$B$2,A16&lt;=$B$4),_xlfn.XLOOKUP(A112,'VMT Reduction Supporting'!$A:$A,'VMT Reduction Supporting'!$G:$G,,0),0)</f>
        <v>0</v>
      </c>
      <c r="P112" s="1045">
        <f t="shared" si="55"/>
        <v>0</v>
      </c>
      <c r="Q112" s="1045">
        <f t="shared" si="56"/>
        <v>0</v>
      </c>
      <c r="R112" s="1046">
        <f>IF(AND($A112&gt;=MIN('Major Assumption Key'!$B$4),$A112&lt;=MAX('Major Assumption Key'!$B$6)),Q112-P112,0)</f>
        <v>0</v>
      </c>
      <c r="S112" s="1047" cm="1">
        <f t="array" ref="S112">IF(AND(A16&gt;=$B$2,A16&lt;=$B$4),_xlfn.XLOOKUP(A112,'Auto Idling Supporting'!$A$28:$A$68,'Auto Idling Supporting'!$D$28:$D$68*365,,0),0)</f>
        <v>0</v>
      </c>
      <c r="T112" s="1047" cm="1">
        <f t="array" ref="T112">IF(AND(A16&gt;=$B$2,A16&lt;=$B$4),_xlfn.XLOOKUP(A112,'Auto Idling Supporting'!$A$28:$A$68,'Auto Idling Supporting'!$G$28:$G$68*365,,0),0)</f>
        <v>0</v>
      </c>
      <c r="U112" s="1048">
        <f t="shared" si="57"/>
        <v>0</v>
      </c>
    </row>
    <row r="113" spans="1:21" outlineLevel="1">
      <c r="A113" s="1036">
        <f t="shared" si="50"/>
        <v>2026</v>
      </c>
      <c r="B113" s="1037">
        <f t="shared" si="58"/>
        <v>1.6752947399724096</v>
      </c>
      <c r="C113" s="1037">
        <f t="shared" si="59"/>
        <v>2.168719029154889</v>
      </c>
      <c r="D113" s="1038">
        <f>IF(AND(A17&gt;=$B$2,A17&lt;=$B$4),_xlfn.XLOOKUP(A113,'VMT Reduction Supporting'!$A:$A,'VMT Reduction Supporting'!$C:$C,,0),0)</f>
        <v>0</v>
      </c>
      <c r="E113" s="1039">
        <f>IF(AND(A17&gt;=$B$2,A17&lt;=$B$4),_xlfn.XLOOKUP(A113,'VMT Reduction Supporting'!$A:$A,'VMT Reduction Supporting'!$F:$F,,0),0)</f>
        <v>0</v>
      </c>
      <c r="F113" s="1040">
        <f t="shared" si="51"/>
        <v>0</v>
      </c>
      <c r="G113" s="1040">
        <f t="shared" si="52"/>
        <v>0</v>
      </c>
      <c r="H113" s="1041">
        <f>IF(AND($A113&gt;=MIN('Major Assumption Key'!$B$4),$A113&lt;=MAX('Major Assumption Key'!$B$6)),G113-F113,0)</f>
        <v>0</v>
      </c>
      <c r="I113" s="1038">
        <f>IF(AND(A17&gt;=$B$2,A17&lt;=$B$4),_xlfn.XLOOKUP(A113,'VMT Reduction Supporting'!$A:$A,'VMT Reduction Supporting'!$B:$B,,0),0)</f>
        <v>0</v>
      </c>
      <c r="J113" s="1042">
        <f>IF(AND(A17&gt;=$B$2,A17&lt;=$B$4),_xlfn.XLOOKUP(A113,'VMT Reduction Supporting'!$A:$A,'VMT Reduction Supporting'!$E:$E,,0),0)</f>
        <v>0</v>
      </c>
      <c r="K113" s="1043">
        <f t="shared" si="53"/>
        <v>0</v>
      </c>
      <c r="L113" s="1043">
        <f t="shared" si="54"/>
        <v>0</v>
      </c>
      <c r="M113" s="1044">
        <f>IF(AND($A113&gt;=MIN('Major Assumption Key'!$B$4),$A113&lt;=MAX('Major Assumption Key'!$B$6)),L113-K113,0)</f>
        <v>0</v>
      </c>
      <c r="N113" s="1038">
        <f>IF(AND(A17&gt;=$B$2,A17&lt;=$B$4),_xlfn.XLOOKUP(A113,'VMT Reduction Supporting'!$A:$A,'VMT Reduction Supporting'!$D:$D,,0),0)</f>
        <v>0</v>
      </c>
      <c r="O113" s="1042">
        <f>IF(AND(A17&gt;=$B$2,A17&lt;=$B$4),_xlfn.XLOOKUP(A113,'VMT Reduction Supporting'!$A:$A,'VMT Reduction Supporting'!$G:$G,,0),0)</f>
        <v>0</v>
      </c>
      <c r="P113" s="1045">
        <f t="shared" si="55"/>
        <v>0</v>
      </c>
      <c r="Q113" s="1045">
        <f t="shared" si="56"/>
        <v>0</v>
      </c>
      <c r="R113" s="1046">
        <f>IF(AND($A113&gt;=MIN('Major Assumption Key'!$B$4),$A113&lt;=MAX('Major Assumption Key'!$B$6)),Q113-P113,0)</f>
        <v>0</v>
      </c>
      <c r="S113" s="1047" cm="1">
        <f t="array" ref="S113">IF(AND(A17&gt;=$B$2,A17&lt;=$B$4),_xlfn.XLOOKUP(A113,'Auto Idling Supporting'!$A$28:$A$68,'Auto Idling Supporting'!$D$28:$D$68*365,,0),0)</f>
        <v>0</v>
      </c>
      <c r="T113" s="1047" cm="1">
        <f t="array" ref="T113">IF(AND(A17&gt;=$B$2,A17&lt;=$B$4),_xlfn.XLOOKUP(A113,'Auto Idling Supporting'!$A$28:$A$68,'Auto Idling Supporting'!$G$28:$G$68*365,,0),0)</f>
        <v>0</v>
      </c>
      <c r="U113" s="1048">
        <f t="shared" si="57"/>
        <v>0</v>
      </c>
    </row>
    <row r="114" spans="1:21" outlineLevel="1">
      <c r="A114" s="1036">
        <f t="shared" si="50"/>
        <v>2027</v>
      </c>
      <c r="B114" s="1037">
        <f t="shared" si="58"/>
        <v>1.5665945298675261</v>
      </c>
      <c r="C114" s="1037">
        <f t="shared" si="59"/>
        <v>1.9294688011884114</v>
      </c>
      <c r="D114" s="1038">
        <f>IF(AND(A18&gt;=$B$2,A18&lt;=$B$4),_xlfn.XLOOKUP(A114,'VMT Reduction Supporting'!$A:$A,'VMT Reduction Supporting'!$C:$C,,0),0)</f>
        <v>0</v>
      </c>
      <c r="E114" s="1039">
        <f>IF(AND(A18&gt;=$B$2,A18&lt;=$B$4),_xlfn.XLOOKUP(A114,'VMT Reduction Supporting'!$A:$A,'VMT Reduction Supporting'!$F:$F,,0),0)</f>
        <v>0</v>
      </c>
      <c r="F114" s="1040">
        <f t="shared" si="51"/>
        <v>0</v>
      </c>
      <c r="G114" s="1040">
        <f t="shared" si="52"/>
        <v>0</v>
      </c>
      <c r="H114" s="1041">
        <f>IF(AND($A114&gt;=MIN('Major Assumption Key'!$B$4),$A114&lt;=MAX('Major Assumption Key'!$B$6)),G114-F114,0)</f>
        <v>0</v>
      </c>
      <c r="I114" s="1038">
        <f>IF(AND(A18&gt;=$B$2,A18&lt;=$B$4),_xlfn.XLOOKUP(A114,'VMT Reduction Supporting'!$A:$A,'VMT Reduction Supporting'!$B:$B,,0),0)</f>
        <v>0</v>
      </c>
      <c r="J114" s="1042">
        <f>IF(AND(A18&gt;=$B$2,A18&lt;=$B$4),_xlfn.XLOOKUP(A114,'VMT Reduction Supporting'!$A:$A,'VMT Reduction Supporting'!$E:$E,,0),0)</f>
        <v>0</v>
      </c>
      <c r="K114" s="1043">
        <f t="shared" si="53"/>
        <v>0</v>
      </c>
      <c r="L114" s="1043">
        <f t="shared" si="54"/>
        <v>0</v>
      </c>
      <c r="M114" s="1044">
        <f>IF(AND($A114&gt;=MIN('Major Assumption Key'!$B$4),$A114&lt;=MAX('Major Assumption Key'!$B$6)),L114-K114,0)</f>
        <v>0</v>
      </c>
      <c r="N114" s="1038">
        <f>IF(AND(A18&gt;=$B$2,A18&lt;=$B$4),_xlfn.XLOOKUP(A114,'VMT Reduction Supporting'!$A:$A,'VMT Reduction Supporting'!$D:$D,,0),0)</f>
        <v>0</v>
      </c>
      <c r="O114" s="1042">
        <f>IF(AND(A18&gt;=$B$2,A18&lt;=$B$4),_xlfn.XLOOKUP(A114,'VMT Reduction Supporting'!$A:$A,'VMT Reduction Supporting'!$G:$G,,0),0)</f>
        <v>0</v>
      </c>
      <c r="P114" s="1045">
        <f t="shared" si="55"/>
        <v>0</v>
      </c>
      <c r="Q114" s="1045">
        <f t="shared" si="56"/>
        <v>0</v>
      </c>
      <c r="R114" s="1046">
        <f>IF(AND($A114&gt;=MIN('Major Assumption Key'!$B$4),$A114&lt;=MAX('Major Assumption Key'!$B$6)),Q114-P114,0)</f>
        <v>0</v>
      </c>
      <c r="S114" s="1047" cm="1">
        <f t="array" ref="S114">IF(AND(A18&gt;=$B$2,A18&lt;=$B$4),_xlfn.XLOOKUP(A114,'Auto Idling Supporting'!$A$28:$A$68,'Auto Idling Supporting'!$D$28:$D$68*365,,0),0)</f>
        <v>0</v>
      </c>
      <c r="T114" s="1047" cm="1">
        <f t="array" ref="T114">IF(AND(A18&gt;=$B$2,A18&lt;=$B$4),_xlfn.XLOOKUP(A114,'Auto Idling Supporting'!$A$28:$A$68,'Auto Idling Supporting'!$G$28:$G$68*365,,0),0)</f>
        <v>0</v>
      </c>
      <c r="U114" s="1048">
        <f t="shared" si="57"/>
        <v>0</v>
      </c>
    </row>
    <row r="115" spans="1:21" outlineLevel="1">
      <c r="A115" s="1036">
        <f t="shared" si="50"/>
        <v>2028</v>
      </c>
      <c r="B115" s="1037">
        <f t="shared" si="58"/>
        <v>1.464947249253151</v>
      </c>
      <c r="C115" s="1037">
        <f t="shared" si="59"/>
        <v>1.7166123433749609</v>
      </c>
      <c r="D115" s="1038">
        <f>IF(AND(A19&gt;=$B$2,A19&lt;=$B$4),_xlfn.XLOOKUP(A115,'VMT Reduction Supporting'!$A:$A,'VMT Reduction Supporting'!$C:$C,,0),0)</f>
        <v>1659.1097408404594</v>
      </c>
      <c r="E115" s="1039">
        <f>IF(AND(A19&gt;=$B$2,A19&lt;=$B$4),_xlfn.XLOOKUP(A115,'VMT Reduction Supporting'!$A:$A,'VMT Reduction Supporting'!$F:$F,,0),0)</f>
        <v>22674.499791486269</v>
      </c>
      <c r="F115" s="1040">
        <f t="shared" si="51"/>
        <v>2.4305082510533392E-3</v>
      </c>
      <c r="G115" s="1040">
        <f t="shared" si="52"/>
        <v>3.3216946097728954E-2</v>
      </c>
      <c r="H115" s="1041">
        <f>IF(AND($A115&gt;=MIN('Major Assumption Key'!$B$4),$A115&lt;=MAX('Major Assumption Key'!$B$6)),G115-F115,0)</f>
        <v>3.0786437846675615E-2</v>
      </c>
      <c r="I115" s="1038">
        <f>IF(AND(A19&gt;=$B$2,A19&lt;=$B$4),_xlfn.XLOOKUP(A115,'VMT Reduction Supporting'!$A:$A,'VMT Reduction Supporting'!$B:$B,,0),0)</f>
        <v>24057.091242186652</v>
      </c>
      <c r="J115" s="1042">
        <f>IF(AND(A19&gt;=$B$2,A19&lt;=$B$4),_xlfn.XLOOKUP(A115,'VMT Reduction Supporting'!$A:$A,'VMT Reduction Supporting'!$E:$E,,0),0)</f>
        <v>24419.06426582468</v>
      </c>
      <c r="K115" s="1043">
        <f t="shared" si="53"/>
        <v>3.5242369640273406E-2</v>
      </c>
      <c r="L115" s="1043">
        <f t="shared" si="54"/>
        <v>3.5772641025555781E-2</v>
      </c>
      <c r="M115" s="1044">
        <f>IF(AND($A115&gt;=MIN('Major Assumption Key'!$B$4),$A115&lt;=MAX('Major Assumption Key'!$B$6)),L115-K115,0)</f>
        <v>5.3027138528237427E-4</v>
      </c>
      <c r="N115" s="1038">
        <f>IF(AND(A19&gt;=$B$2,A19&lt;=$B$4),_xlfn.XLOOKUP(A115,'VMT Reduction Supporting'!$A:$A,'VMT Reduction Supporting'!$D:$D,,0),0)</f>
        <v>99567.464200691262</v>
      </c>
      <c r="O115" s="1042">
        <f>IF(AND(A19&gt;=$B$2,A19&lt;=$B$4),_xlfn.XLOOKUP(A115,'VMT Reduction Supporting'!$A:$A,'VMT Reduction Supporting'!$G:$G,,0),0)</f>
        <v>112411.66708258043</v>
      </c>
      <c r="P115" s="1045">
        <f t="shared" si="55"/>
        <v>0.17091873804545119</v>
      </c>
      <c r="Q115" s="1045">
        <f t="shared" si="56"/>
        <v>0.19296725525331437</v>
      </c>
      <c r="R115" s="1046">
        <f>IF(AND($A115&gt;=MIN('Major Assumption Key'!$B$4),$A115&lt;=MAX('Major Assumption Key'!$B$6)),Q115-P115,0)</f>
        <v>2.2048517207863189E-2</v>
      </c>
      <c r="S115" s="1047" cm="1">
        <f t="array" ref="S115">IF(AND(A19&gt;=$B$2,A19&lt;=$B$4),_xlfn.XLOOKUP(A115,'Auto Idling Supporting'!$A$28:$A$68,'Auto Idling Supporting'!$D$28:$D$68*365,,0),0)</f>
        <v>0</v>
      </c>
      <c r="T115" s="1047" cm="1">
        <f t="array" ref="T115">IF(AND(A19&gt;=$B$2,A19&lt;=$B$4),_xlfn.XLOOKUP(A115,'Auto Idling Supporting'!$A$28:$A$68,'Auto Idling Supporting'!$G$28:$G$68*365,,0),0)</f>
        <v>0</v>
      </c>
      <c r="U115" s="1048">
        <f t="shared" si="57"/>
        <v>0</v>
      </c>
    </row>
    <row r="116" spans="1:21" outlineLevel="1">
      <c r="A116" s="1036">
        <f t="shared" si="50"/>
        <v>2029</v>
      </c>
      <c r="B116" s="1037">
        <f t="shared" si="58"/>
        <v>1.3698952742263499</v>
      </c>
      <c r="C116" s="1037">
        <f t="shared" si="59"/>
        <v>1.5272379297412264</v>
      </c>
      <c r="D116" s="1038">
        <f>IF(AND(A20&gt;=$B$2,A20&lt;=$B$4),_xlfn.XLOOKUP(A116,'VMT Reduction Supporting'!$A:$A,'VMT Reduction Supporting'!$C:$C,,0),0)</f>
        <v>1683.5627039429303</v>
      </c>
      <c r="E116" s="1039">
        <f>IF(AND(A20&gt;=$B$2,A20&lt;=$B$4),_xlfn.XLOOKUP(A116,'VMT Reduction Supporting'!$A:$A,'VMT Reduction Supporting'!$F:$F,,0),0)</f>
        <v>23008.690287220044</v>
      </c>
      <c r="F116" s="1040">
        <f t="shared" si="51"/>
        <v>2.3063045919951555E-3</v>
      </c>
      <c r="G116" s="1040">
        <f t="shared" si="52"/>
        <v>3.1519496090600459E-2</v>
      </c>
      <c r="H116" s="1041">
        <f>IF(AND($A116&gt;=MIN('Major Assumption Key'!$B$4),$A116&lt;=MAX('Major Assumption Key'!$B$6)),G116-F116,0)</f>
        <v>2.9213191498605302E-2</v>
      </c>
      <c r="I116" s="1038">
        <f>IF(AND(A20&gt;=$B$2,A20&lt;=$B$4),_xlfn.XLOOKUP(A116,'VMT Reduction Supporting'!$A:$A,'VMT Reduction Supporting'!$B:$B,,0),0)</f>
        <v>24411.659207172481</v>
      </c>
      <c r="J116" s="1042">
        <f>IF(AND(A20&gt;=$B$2,A20&lt;=$B$4),_xlfn.XLOOKUP(A116,'VMT Reduction Supporting'!$A:$A,'VMT Reduction Supporting'!$E:$E,,0),0)</f>
        <v>24774.061722553986</v>
      </c>
      <c r="K116" s="1043">
        <f t="shared" si="53"/>
        <v>3.3441416583929746E-2</v>
      </c>
      <c r="L116" s="1043">
        <f t="shared" si="54"/>
        <v>3.3937870077118612E-2</v>
      </c>
      <c r="M116" s="1044">
        <f>IF(AND($A116&gt;=MIN('Major Assumption Key'!$B$4),$A116&lt;=MAX('Major Assumption Key'!$B$6)),L116-K116,0)</f>
        <v>4.9645349318886561E-4</v>
      </c>
      <c r="N116" s="1038">
        <f>IF(AND(A20&gt;=$B$2,A20&lt;=$B$4),_xlfn.XLOOKUP(A116,'VMT Reduction Supporting'!$A:$A,'VMT Reduction Supporting'!$D:$D,,0),0)</f>
        <v>99956.18820362819</v>
      </c>
      <c r="O116" s="1042">
        <f>IF(AND(A20&gt;=$B$2,A20&lt;=$B$4),_xlfn.XLOOKUP(A116,'VMT Reduction Supporting'!$A:$A,'VMT Reduction Supporting'!$G:$G,,0),0)</f>
        <v>112850.53648189623</v>
      </c>
      <c r="P116" s="1045">
        <f t="shared" si="55"/>
        <v>0.15265688193693353</v>
      </c>
      <c r="Q116" s="1045">
        <f t="shared" si="56"/>
        <v>0.17234961970679794</v>
      </c>
      <c r="R116" s="1046">
        <f>IF(AND($A116&gt;=MIN('Major Assumption Key'!$B$4),$A116&lt;=MAX('Major Assumption Key'!$B$6)),Q116-P116,0)</f>
        <v>1.969273776986441E-2</v>
      </c>
      <c r="S116" s="1047" cm="1">
        <f t="array" ref="S116">IF(AND(A20&gt;=$B$2,A20&lt;=$B$4),_xlfn.XLOOKUP(A116,'Auto Idling Supporting'!$A$28:$A$68,'Auto Idling Supporting'!$D$28:$D$68*365,,0),0)</f>
        <v>0</v>
      </c>
      <c r="T116" s="1047" cm="1">
        <f t="array" ref="T116">IF(AND(A20&gt;=$B$2,A20&lt;=$B$4),_xlfn.XLOOKUP(A116,'Auto Idling Supporting'!$A$28:$A$68,'Auto Idling Supporting'!$G$28:$G$68*365,,0),0)</f>
        <v>0</v>
      </c>
      <c r="U116" s="1048">
        <f t="shared" si="57"/>
        <v>0</v>
      </c>
    </row>
    <row r="117" spans="1:21" outlineLevel="1">
      <c r="A117" s="1451">
        <f t="shared" si="50"/>
        <v>2030</v>
      </c>
      <c r="B117" s="1078">
        <f>VLOOKUP($B$5,'Emission Factors'!$H$5:$M$21,3,FALSE)</f>
        <v>1.2810106734589985</v>
      </c>
      <c r="C117" s="1078">
        <f>VLOOKUP($B$6,'Emission Factors'!$H$28:$M$44,3,FALSE)</f>
        <v>1.3587550520896998</v>
      </c>
      <c r="D117" s="1038">
        <f>IF(AND(A21&gt;=$B$2,A21&lt;=$B$4),_xlfn.XLOOKUP(A117,'VMT Reduction Supporting'!$A:$A,'VMT Reduction Supporting'!$C:$C,,0),0)</f>
        <v>1708.376069609362</v>
      </c>
      <c r="E117" s="1039">
        <f>IF(AND(A21&gt;=$B$2,A21&lt;=$B$4),_xlfn.XLOOKUP(A117,'VMT Reduction Supporting'!$A:$A,'VMT Reduction Supporting'!$F:$F,,0),0)</f>
        <v>23347.806284661274</v>
      </c>
      <c r="F117" s="1040">
        <f t="shared" si="51"/>
        <v>2.188447979451526E-3</v>
      </c>
      <c r="G117" s="1040">
        <f t="shared" si="52"/>
        <v>2.9908789052504176E-2</v>
      </c>
      <c r="H117" s="1041">
        <f>IF(AND($A117&gt;=MIN('Major Assumption Key'!$B$4),$A117&lt;=MAX('Major Assumption Key'!$B$6)),G117-F117,0)</f>
        <v>2.772034107305265E-2</v>
      </c>
      <c r="I117" s="1038">
        <f>IF(AND(A21&gt;=$B$2,A21&lt;=$B$4),_xlfn.XLOOKUP(A117,'VMT Reduction Supporting'!$A:$A,'VMT Reduction Supporting'!$B:$B,,0),0)</f>
        <v>24771.453009335743</v>
      </c>
      <c r="J117" s="1042">
        <f>IF(AND(A21&gt;=$B$2,A21&lt;=$B$4),_xlfn.XLOOKUP(A117,'VMT Reduction Supporting'!$A:$A,'VMT Reduction Supporting'!$E:$E,,0),0)</f>
        <v>25134.285526065429</v>
      </c>
      <c r="K117" s="1043">
        <f t="shared" si="53"/>
        <v>3.1732495702047114E-2</v>
      </c>
      <c r="L117" s="1043">
        <f t="shared" si="54"/>
        <v>3.2197288028655839E-2</v>
      </c>
      <c r="M117" s="1044">
        <f>IF(AND($A117&gt;=MIN('Major Assumption Key'!$B$4),$A117&lt;=MAX('Major Assumption Key'!$B$6)),L117-K117,0)</f>
        <v>4.6479232660872477E-4</v>
      </c>
      <c r="N117" s="1038">
        <f>IF(AND(A21&gt;=$B$2,A21&lt;=$B$4),_xlfn.XLOOKUP(A117,'VMT Reduction Supporting'!$A:$A,'VMT Reduction Supporting'!$D:$D,,0),0)</f>
        <v>100346.42983435321</v>
      </c>
      <c r="O117" s="1042">
        <f>IF(AND(A21&gt;=$B$2,A21&lt;=$B$4),_xlfn.XLOOKUP(A117,'VMT Reduction Supporting'!$A:$A,'VMT Reduction Supporting'!$G:$G,,0),0)</f>
        <v>113291.11928298477</v>
      </c>
      <c r="P117" s="1045">
        <f t="shared" si="55"/>
        <v>0.13634621849659201</v>
      </c>
      <c r="Q117" s="1045">
        <f t="shared" si="56"/>
        <v>0.15393488068265238</v>
      </c>
      <c r="R117" s="1046">
        <f>IF(AND($A117&gt;=MIN('Major Assumption Key'!$B$4),$A117&lt;=MAX('Major Assumption Key'!$B$6)),Q117-P117,0)</f>
        <v>1.7588662186060366E-2</v>
      </c>
      <c r="S117" s="1047" cm="1">
        <f t="array" ref="S117">IF(AND(A21&gt;=$B$2,A21&lt;=$B$4),_xlfn.XLOOKUP(A117,'Auto Idling Supporting'!$A$28:$A$68,'Auto Idling Supporting'!$D$28:$D$68*365,,0),0)</f>
        <v>0</v>
      </c>
      <c r="T117" s="1047" cm="1">
        <f t="array" ref="T117">IF(AND(A21&gt;=$B$2,A21&lt;=$B$4),_xlfn.XLOOKUP(A117,'Auto Idling Supporting'!$A$28:$A$68,'Auto Idling Supporting'!$G$28:$G$68*365,,0),0)</f>
        <v>0</v>
      </c>
      <c r="U117" s="1048">
        <f t="shared" si="57"/>
        <v>0</v>
      </c>
    </row>
    <row r="118" spans="1:21" outlineLevel="1">
      <c r="A118" s="1036">
        <f t="shared" si="50"/>
        <v>2031</v>
      </c>
      <c r="B118" s="1037">
        <f>$B$117*(($B$127/$B$117)^(1/($A$127-$A$117))^(A118-$A$117))</f>
        <v>1.2185503313668138</v>
      </c>
      <c r="C118" s="1037">
        <f>$C$117*(($C$127/$C$117)^(1/($A$127-$A$117))^(A118-$A$117))</f>
        <v>1.272407766982427</v>
      </c>
      <c r="D118" s="1038">
        <f>IF(AND(A22&gt;=$B$2,A22&lt;=$B$4),_xlfn.XLOOKUP(A118,'VMT Reduction Supporting'!$A:$A,'VMT Reduction Supporting'!$C:$C,,0),0)</f>
        <v>1733.555149670781</v>
      </c>
      <c r="E118" s="1039">
        <f>IF(AND(A22&gt;=$B$2,A22&lt;=$B$4),_xlfn.XLOOKUP(A118,'VMT Reduction Supporting'!$A:$A,'VMT Reduction Supporting'!$F:$F,,0),0)</f>
        <v>23691.920378833998</v>
      </c>
      <c r="F118" s="1040">
        <f t="shared" si="51"/>
        <v>2.1124242020739768E-3</v>
      </c>
      <c r="G118" s="1040">
        <f t="shared" si="52"/>
        <v>2.8869797428344335E-2</v>
      </c>
      <c r="H118" s="1041">
        <f>IF(AND($A118&gt;=MIN('Major Assumption Key'!$B$4),$A118&lt;=MAX('Major Assumption Key'!$B$6)),G118-F118,0)</f>
        <v>2.6757373226270358E-2</v>
      </c>
      <c r="I118" s="1038">
        <f>IF(AND(A22&gt;=$B$2,A22&lt;=$B$4),_xlfn.XLOOKUP(A118,'VMT Reduction Supporting'!$A:$A,'VMT Reduction Supporting'!$B:$B,,0),0)</f>
        <v>25136.549670226323</v>
      </c>
      <c r="J118" s="1042">
        <f>IF(AND(A22&gt;=$B$2,A22&lt;=$B$4),_xlfn.XLOOKUP(A118,'VMT Reduction Supporting'!$A:$A,'VMT Reduction Supporting'!$E:$E,,0),0)</f>
        <v>25499.812698513557</v>
      </c>
      <c r="K118" s="1043">
        <f t="shared" si="53"/>
        <v>3.0630150930072656E-2</v>
      </c>
      <c r="L118" s="1043">
        <f t="shared" si="54"/>
        <v>3.1072805213565383E-2</v>
      </c>
      <c r="M118" s="1044">
        <f>IF(AND($A118&gt;=MIN('Major Assumption Key'!$B$4),$A118&lt;=MAX('Major Assumption Key'!$B$6)),L118-K118,0)</f>
        <v>4.4265428349272648E-4</v>
      </c>
      <c r="N118" s="1038">
        <f>IF(AND(A22&gt;=$B$2,A22&lt;=$B$4),_xlfn.XLOOKUP(A118,'VMT Reduction Supporting'!$A:$A,'VMT Reduction Supporting'!$D:$D,,0),0)</f>
        <v>100738.19501787757</v>
      </c>
      <c r="O118" s="1042">
        <f>IF(AND(A22&gt;=$B$2,A22&lt;=$B$4),_xlfn.XLOOKUP(A118,'VMT Reduction Supporting'!$A:$A,'VMT Reduction Supporting'!$G:$G,,0),0)</f>
        <v>113733.42217518379</v>
      </c>
      <c r="P118" s="1045">
        <f t="shared" si="55"/>
        <v>0.12818006177253785</v>
      </c>
      <c r="Q118" s="1045">
        <f t="shared" si="56"/>
        <v>0.14471528974119524</v>
      </c>
      <c r="R118" s="1046">
        <f>IF(AND($A118&gt;=MIN('Major Assumption Key'!$B$4),$A118&lt;=MAX('Major Assumption Key'!$B$6)),Q118-P118,0)</f>
        <v>1.653522796865739E-2</v>
      </c>
      <c r="S118" s="1047" cm="1">
        <f t="array" ref="S118">IF(AND(A22&gt;=$B$2,A22&lt;=$B$4),_xlfn.XLOOKUP(A118,'Auto Idling Supporting'!$A$28:$A$68,'Auto Idling Supporting'!$D$28:$D$68*365,,0),0)</f>
        <v>0</v>
      </c>
      <c r="T118" s="1047" cm="1">
        <f t="array" ref="T118">IF(AND(A22&gt;=$B$2,A22&lt;=$B$4),_xlfn.XLOOKUP(A118,'Auto Idling Supporting'!$A$28:$A$68,'Auto Idling Supporting'!$G$28:$G$68*365,,0),0)</f>
        <v>0</v>
      </c>
      <c r="U118" s="1048">
        <f t="shared" si="57"/>
        <v>0</v>
      </c>
    </row>
    <row r="119" spans="1:21" outlineLevel="1">
      <c r="A119" s="1036">
        <f t="shared" si="50"/>
        <v>2032</v>
      </c>
      <c r="B119" s="1037">
        <f t="shared" ref="B119:B126" si="60">$B$117*(($B$127/$B$117)^(1/($A$127-$A$117))^(A119-$A$117))</f>
        <v>1.1591354707956676</v>
      </c>
      <c r="C119" s="1037">
        <f t="shared" ref="C119:C126" si="61">$C$117*(($C$127/$C$117)^(1/($A$127-$A$117))^(A119-$A$117))</f>
        <v>1.1915477502639118</v>
      </c>
      <c r="D119" s="1038">
        <f>IF(AND(A23&gt;=$B$2,A23&lt;=$B$4),_xlfn.XLOOKUP(A119,'VMT Reduction Supporting'!$A:$A,'VMT Reduction Supporting'!$C:$C,,0),0)</f>
        <v>1759.1053342471942</v>
      </c>
      <c r="E119" s="1039">
        <f>IF(AND(A23&gt;=$B$2,A23&lt;=$B$4),_xlfn.XLOOKUP(A119,'VMT Reduction Supporting'!$A:$A,'VMT Reduction Supporting'!$F:$F,,0),0)</f>
        <v>24041.106234711646</v>
      </c>
      <c r="F119" s="1040">
        <f t="shared" si="51"/>
        <v>2.0390413897917914E-3</v>
      </c>
      <c r="G119" s="1040">
        <f t="shared" si="52"/>
        <v>2.7866898993821141E-2</v>
      </c>
      <c r="H119" s="1041">
        <f>IF(AND($A119&gt;=MIN('Major Assumption Key'!$B$4),$A119&lt;=MAX('Major Assumption Key'!$B$6)),G119-F119,0)</f>
        <v>2.582785760402935E-2</v>
      </c>
      <c r="I119" s="1038">
        <f>IF(AND(A23&gt;=$B$2,A23&lt;=$B$4),_xlfn.XLOOKUP(A119,'VMT Reduction Supporting'!$A:$A,'VMT Reduction Supporting'!$B:$B,,0),0)</f>
        <v>25507.027346584309</v>
      </c>
      <c r="J119" s="1042">
        <f>IF(AND(A23&gt;=$B$2,A23&lt;=$B$4),_xlfn.XLOOKUP(A119,'VMT Reduction Supporting'!$A:$A,'VMT Reduction Supporting'!$E:$E,,0),0)</f>
        <v>25870.721397243851</v>
      </c>
      <c r="K119" s="1043">
        <f t="shared" si="53"/>
        <v>2.9566100151980971E-2</v>
      </c>
      <c r="L119" s="1043">
        <f t="shared" si="54"/>
        <v>2.9987670826617803E-2</v>
      </c>
      <c r="M119" s="1044">
        <f>IF(AND($A119&gt;=MIN('Major Assumption Key'!$B$4),$A119&lt;=MAX('Major Assumption Key'!$B$6)),L119-K119,0)</f>
        <v>4.2157067463683209E-4</v>
      </c>
      <c r="N119" s="1038">
        <f>IF(AND(A23&gt;=$B$2,A23&lt;=$B$4),_xlfn.XLOOKUP(A119,'VMT Reduction Supporting'!$A:$A,'VMT Reduction Supporting'!$D:$D,,0),0)</f>
        <v>101131.48970234458</v>
      </c>
      <c r="O119" s="1042">
        <f>IF(AND(A23&gt;=$B$2,A23&lt;=$B$4),_xlfn.XLOOKUP(A119,'VMT Reduction Supporting'!$A:$A,'VMT Reduction Supporting'!$G:$G,,0),0)</f>
        <v>114177.45187394704</v>
      </c>
      <c r="P119" s="1045">
        <f t="shared" si="55"/>
        <v>0.12050299903566665</v>
      </c>
      <c r="Q119" s="1045">
        <f t="shared" si="56"/>
        <v>0.13604788591126765</v>
      </c>
      <c r="R119" s="1046">
        <f>IF(AND($A119&gt;=MIN('Major Assumption Key'!$B$4),$A119&lt;=MAX('Major Assumption Key'!$B$6)),Q119-P119,0)</f>
        <v>1.5544886875601002E-2</v>
      </c>
      <c r="S119" s="1047" cm="1">
        <f t="array" ref="S119">IF(AND(A23&gt;=$B$2,A23&lt;=$B$4),_xlfn.XLOOKUP(A119,'Auto Idling Supporting'!$A$28:$A$68,'Auto Idling Supporting'!$D$28:$D$68*365,,0),0)</f>
        <v>0</v>
      </c>
      <c r="T119" s="1047" cm="1">
        <f t="array" ref="T119">IF(AND(A23&gt;=$B$2,A23&lt;=$B$4),_xlfn.XLOOKUP(A119,'Auto Idling Supporting'!$A$28:$A$68,'Auto Idling Supporting'!$G$28:$G$68*365,,0),0)</f>
        <v>0</v>
      </c>
      <c r="U119" s="1048">
        <f t="shared" si="57"/>
        <v>0</v>
      </c>
    </row>
    <row r="120" spans="1:21" outlineLevel="1">
      <c r="A120" s="1036">
        <f t="shared" si="50"/>
        <v>2033</v>
      </c>
      <c r="B120" s="1037">
        <f t="shared" si="60"/>
        <v>1.1026175981993467</v>
      </c>
      <c r="C120" s="1037">
        <f t="shared" si="61"/>
        <v>1.1158262924833264</v>
      </c>
      <c r="D120" s="1038">
        <f>IF(AND(A24&gt;=$B$2,A24&lt;=$B$4),_xlfn.XLOOKUP(A120,'VMT Reduction Supporting'!$A:$A,'VMT Reduction Supporting'!$C:$C,,0),0)</f>
        <v>1785.0320929014565</v>
      </c>
      <c r="E120" s="1039">
        <f>IF(AND(A24&gt;=$B$2,A24&lt;=$B$4),_xlfn.XLOOKUP(A120,'VMT Reduction Supporting'!$A:$A,'VMT Reduction Supporting'!$F:$F,,0),0)</f>
        <v>24395.438602986567</v>
      </c>
      <c r="F120" s="1040">
        <f t="shared" si="51"/>
        <v>1.9682077989837572E-3</v>
      </c>
      <c r="G120" s="1040">
        <f t="shared" si="52"/>
        <v>2.6898839919444674E-2</v>
      </c>
      <c r="H120" s="1041">
        <f>IF(AND($A120&gt;=MIN('Major Assumption Key'!$B$4),$A120&lt;=MAX('Major Assumption Key'!$B$6)),G120-F120,0)</f>
        <v>2.4930632120460917E-2</v>
      </c>
      <c r="I120" s="1038">
        <f>IF(AND(A24&gt;=$B$2,A24&lt;=$B$4),_xlfn.XLOOKUP(A120,'VMT Reduction Supporting'!$A:$A,'VMT Reduction Supporting'!$B:$B,,0),0)</f>
        <v>25882.965347071113</v>
      </c>
      <c r="J120" s="1042">
        <f>IF(AND(A24&gt;=$B$2,A24&lt;=$B$4),_xlfn.XLOOKUP(A120,'VMT Reduction Supporting'!$A:$A,'VMT Reduction Supporting'!$E:$E,,0),0)</f>
        <v>26247.09093152381</v>
      </c>
      <c r="K120" s="1043">
        <f t="shared" si="53"/>
        <v>2.8539013085264468E-2</v>
      </c>
      <c r="L120" s="1043">
        <f t="shared" si="54"/>
        <v>2.8940504362636635E-2</v>
      </c>
      <c r="M120" s="1044">
        <f>IF(AND($A120&gt;=MIN('Major Assumption Key'!$B$4),$A120&lt;=MAX('Major Assumption Key'!$B$6)),L120-K120,0)</f>
        <v>4.0149127737216725E-4</v>
      </c>
      <c r="N120" s="1038">
        <f>IF(AND(A24&gt;=$B$2,A24&lt;=$B$4),_xlfn.XLOOKUP(A120,'VMT Reduction Supporting'!$A:$A,'VMT Reduction Supporting'!$D:$D,,0),0)</f>
        <v>101526.31985911982</v>
      </c>
      <c r="O120" s="1042">
        <f>IF(AND(A24&gt;=$B$2,A24&lt;=$B$4),_xlfn.XLOOKUP(A120,'VMT Reduction Supporting'!$A:$A,'VMT Reduction Supporting'!$G:$G,,0),0)</f>
        <v>114623.21512094629</v>
      </c>
      <c r="P120" s="1045">
        <f t="shared" si="55"/>
        <v>0.11328573707787799</v>
      </c>
      <c r="Q120" s="1045">
        <f t="shared" si="56"/>
        <v>0.12789959716092425</v>
      </c>
      <c r="R120" s="1046">
        <f>IF(AND($A120&gt;=MIN('Major Assumption Key'!$B$4),$A120&lt;=MAX('Major Assumption Key'!$B$6)),Q120-P120,0)</f>
        <v>1.4613860083046257E-2</v>
      </c>
      <c r="S120" s="1047" cm="1">
        <f t="array" ref="S120">IF(AND(A24&gt;=$B$2,A24&lt;=$B$4),_xlfn.XLOOKUP(A120,'Auto Idling Supporting'!$A$28:$A$68,'Auto Idling Supporting'!$D$28:$D$68*365,,0),0)</f>
        <v>0</v>
      </c>
      <c r="T120" s="1047" cm="1">
        <f t="array" ref="T120">IF(AND(A24&gt;=$B$2,A24&lt;=$B$4),_xlfn.XLOOKUP(A120,'Auto Idling Supporting'!$A$28:$A$68,'Auto Idling Supporting'!$G$28:$G$68*365,,0),0)</f>
        <v>0</v>
      </c>
      <c r="U120" s="1048">
        <f t="shared" si="57"/>
        <v>0</v>
      </c>
    </row>
    <row r="121" spans="1:21" outlineLevel="1">
      <c r="A121" s="1036">
        <f t="shared" si="50"/>
        <v>2034</v>
      </c>
      <c r="B121" s="1037">
        <f t="shared" si="60"/>
        <v>1.048855460375443</v>
      </c>
      <c r="C121" s="1037">
        <f t="shared" si="61"/>
        <v>1.044916844265217</v>
      </c>
      <c r="D121" s="1038">
        <f>IF(AND(A25&gt;=$B$2,A25&lt;=$B$4),_xlfn.XLOOKUP(A121,'VMT Reduction Supporting'!$A:$A,'VMT Reduction Supporting'!$C:$C,,0),0)</f>
        <v>1811.3409758101511</v>
      </c>
      <c r="E121" s="1039">
        <f>IF(AND(A25&gt;=$B$2,A25&lt;=$B$4),_xlfn.XLOOKUP(A121,'VMT Reduction Supporting'!$A:$A,'VMT Reduction Supporting'!$F:$F,,0),0)</f>
        <v>24754.993336072057</v>
      </c>
      <c r="F121" s="1040">
        <f t="shared" si="51"/>
        <v>1.8998348730802602E-3</v>
      </c>
      <c r="G121" s="1040">
        <f t="shared" si="52"/>
        <v>2.5964409932096883E-2</v>
      </c>
      <c r="H121" s="1041">
        <f>IF(AND($A121&gt;=MIN('Major Assumption Key'!$B$4),$A121&lt;=MAX('Major Assumption Key'!$B$6)),G121-F121,0)</f>
        <v>2.4064575059016623E-2</v>
      </c>
      <c r="I121" s="1038">
        <f>IF(AND(A25&gt;=$B$2,A25&lt;=$B$4),_xlfn.XLOOKUP(A121,'VMT Reduction Supporting'!$A:$A,'VMT Reduction Supporting'!$B:$B,,0),0)</f>
        <v>26264.444149247185</v>
      </c>
      <c r="J121" s="1042">
        <f>IF(AND(A25&gt;=$B$2,A25&lt;=$B$4),_xlfn.XLOOKUP(A121,'VMT Reduction Supporting'!$A:$A,'VMT Reduction Supporting'!$E:$E,,0),0)</f>
        <v>26629.001779520695</v>
      </c>
      <c r="K121" s="1043">
        <f t="shared" si="53"/>
        <v>2.7547605659663764E-2</v>
      </c>
      <c r="L121" s="1043">
        <f t="shared" si="54"/>
        <v>2.7929973920797668E-2</v>
      </c>
      <c r="M121" s="1044">
        <f>IF(AND($A121&gt;=MIN('Major Assumption Key'!$B$4),$A121&lt;=MAX('Major Assumption Key'!$B$6)),L121-K121,0)</f>
        <v>3.8236826113390368E-4</v>
      </c>
      <c r="N121" s="1038">
        <f>IF(AND(A25&gt;=$B$2,A25&lt;=$B$4),_xlfn.XLOOKUP(A121,'VMT Reduction Supporting'!$A:$A,'VMT Reduction Supporting'!$D:$D,,0),0)</f>
        <v>101922.69148288181</v>
      </c>
      <c r="O121" s="1042">
        <f>IF(AND(A25&gt;=$B$2,A25&lt;=$B$4),_xlfn.XLOOKUP(A121,'VMT Reduction Supporting'!$A:$A,'VMT Reduction Supporting'!$G:$G,,0),0)</f>
        <v>115070.71868417358</v>
      </c>
      <c r="P121" s="1045">
        <f t="shared" si="55"/>
        <v>0.10650073714331018</v>
      </c>
      <c r="Q121" s="1045">
        <f t="shared" si="56"/>
        <v>0.1202393322347972</v>
      </c>
      <c r="R121" s="1046">
        <f>IF(AND($A121&gt;=MIN('Major Assumption Key'!$B$4),$A121&lt;=MAX('Major Assumption Key'!$B$6)),Q121-P121,0)</f>
        <v>1.3738595091487019E-2</v>
      </c>
      <c r="S121" s="1047" cm="1">
        <f t="array" ref="S121">IF(AND(A25&gt;=$B$2,A25&lt;=$B$4),_xlfn.XLOOKUP(A121,'Auto Idling Supporting'!$A$28:$A$68,'Auto Idling Supporting'!$D$28:$D$68*365,,0),0)</f>
        <v>0</v>
      </c>
      <c r="T121" s="1047" cm="1">
        <f t="array" ref="T121">IF(AND(A25&gt;=$B$2,A25&lt;=$B$4),_xlfn.XLOOKUP(A121,'Auto Idling Supporting'!$A$28:$A$68,'Auto Idling Supporting'!$G$28:$G$68*365,,0),0)</f>
        <v>0</v>
      </c>
      <c r="U121" s="1048">
        <f t="shared" si="57"/>
        <v>0</v>
      </c>
    </row>
    <row r="122" spans="1:21" outlineLevel="1">
      <c r="A122" s="1036">
        <f t="shared" si="50"/>
        <v>2035</v>
      </c>
      <c r="B122" s="1037">
        <f t="shared" si="60"/>
        <v>0.9977146914360161</v>
      </c>
      <c r="C122" s="1037">
        <f t="shared" si="61"/>
        <v>0.97851360806278476</v>
      </c>
      <c r="D122" s="1038">
        <f>IF(AND(A26&gt;=$B$2,A26&lt;=$B$4),_xlfn.XLOOKUP(A122,'VMT Reduction Supporting'!$A:$A,'VMT Reduction Supporting'!$C:$C,,0),0)</f>
        <v>1838.0376149517199</v>
      </c>
      <c r="E122" s="1039">
        <f>IF(AND(A26&gt;=$B$2,A26&lt;=$B$4),_xlfn.XLOOKUP(A122,'VMT Reduction Supporting'!$A:$A,'VMT Reduction Supporting'!$F:$F,,0),0)</f>
        <v>25119.847404340166</v>
      </c>
      <c r="F122" s="1040">
        <f t="shared" si="51"/>
        <v>1.8338371318493462E-3</v>
      </c>
      <c r="G122" s="1040">
        <f t="shared" si="52"/>
        <v>2.5062440801941057E-2</v>
      </c>
      <c r="H122" s="1041">
        <f>IF(AND($A122&gt;=MIN('Major Assumption Key'!$B$4),$A122&lt;=MAX('Major Assumption Key'!$B$6)),G122-F122,0)</f>
        <v>2.3228603670091712E-2</v>
      </c>
      <c r="I122" s="1038">
        <f>IF(AND(A26&gt;=$B$2,A26&lt;=$B$4),_xlfn.XLOOKUP(A122,'VMT Reduction Supporting'!$A:$A,'VMT Reduction Supporting'!$B:$B,,0),0)</f>
        <v>26651.545416799934</v>
      </c>
      <c r="J122" s="1042">
        <f>IF(AND(A26&gt;=$B$2,A26&lt;=$B$4),_xlfn.XLOOKUP(A122,'VMT Reduction Supporting'!$A:$A,'VMT Reduction Supporting'!$E:$E,,0),0)</f>
        <v>27016.535605529451</v>
      </c>
      <c r="K122" s="1043">
        <f t="shared" si="53"/>
        <v>2.6590638411815515E-2</v>
      </c>
      <c r="L122" s="1043">
        <f t="shared" si="54"/>
        <v>2.6954794485340956E-2</v>
      </c>
      <c r="M122" s="1044">
        <f>IF(AND($A122&gt;=MIN('Major Assumption Key'!$B$4),$A122&lt;=MAX('Major Assumption Key'!$B$6)),L122-K122,0)</f>
        <v>3.641560735254401E-4</v>
      </c>
      <c r="N122" s="1038">
        <f>IF(AND(A26&gt;=$B$2,A26&lt;=$B$4),_xlfn.XLOOKUP(A122,'VMT Reduction Supporting'!$A:$A,'VMT Reduction Supporting'!$D:$D,,0),0)</f>
        <v>102320.61059171314</v>
      </c>
      <c r="O122" s="1042">
        <f>IF(AND(A26&gt;=$B$2,A26&lt;=$B$4),_xlfn.XLOOKUP(A122,'VMT Reduction Supporting'!$A:$A,'VMT Reduction Supporting'!$G:$G,,0),0)</f>
        <v>115519.96935804414</v>
      </c>
      <c r="P122" s="1045">
        <f t="shared" si="55"/>
        <v>0.10012210984928441</v>
      </c>
      <c r="Q122" s="1045">
        <f t="shared" si="56"/>
        <v>0.11303786201984212</v>
      </c>
      <c r="R122" s="1046">
        <f>IF(AND($A122&gt;=MIN('Major Assumption Key'!$B$4),$A122&lt;=MAX('Major Assumption Key'!$B$6)),Q122-P122,0)</f>
        <v>1.2915752170557709E-2</v>
      </c>
      <c r="S122" s="1047" cm="1">
        <f t="array" ref="S122">IF(AND(A26&gt;=$B$2,A26&lt;=$B$4),_xlfn.XLOOKUP(A122,'Auto Idling Supporting'!$A$28:$A$68,'Auto Idling Supporting'!$D$28:$D$68*365,,0),0)</f>
        <v>0</v>
      </c>
      <c r="T122" s="1047" cm="1">
        <f t="array" ref="T122">IF(AND(A26&gt;=$B$2,A26&lt;=$B$4),_xlfn.XLOOKUP(A122,'Auto Idling Supporting'!$A$28:$A$68,'Auto Idling Supporting'!$G$28:$G$68*365,,0),0)</f>
        <v>0</v>
      </c>
      <c r="U122" s="1048">
        <f t="shared" si="57"/>
        <v>0</v>
      </c>
    </row>
    <row r="123" spans="1:21" outlineLevel="1">
      <c r="A123" s="1036">
        <f t="shared" si="50"/>
        <v>2036</v>
      </c>
      <c r="B123" s="1037">
        <f t="shared" si="60"/>
        <v>0.94906747699148575</v>
      </c>
      <c r="C123" s="1037">
        <f t="shared" si="61"/>
        <v>0.91633021940358605</v>
      </c>
      <c r="D123" s="1038">
        <f>IF(AND(A27&gt;=$B$2,A27&lt;=$B$4),_xlfn.XLOOKUP(A123,'VMT Reduction Supporting'!$A:$A,'VMT Reduction Supporting'!$C:$C,,0),0)</f>
        <v>1865.1277253121111</v>
      </c>
      <c r="E123" s="1039">
        <f>IF(AND(A27&gt;=$B$2,A27&lt;=$B$4),_xlfn.XLOOKUP(A123,'VMT Reduction Supporting'!$A:$A,'VMT Reduction Supporting'!$F:$F,,0),0)</f>
        <v>25490.078912598849</v>
      </c>
      <c r="F123" s="1040">
        <f t="shared" si="51"/>
        <v>1.7701320645288343E-3</v>
      </c>
      <c r="G123" s="1040">
        <f t="shared" si="52"/>
        <v>2.4191804881894062E-2</v>
      </c>
      <c r="H123" s="1041">
        <f>IF(AND($A123&gt;=MIN('Major Assumption Key'!$B$4),$A123&lt;=MAX('Major Assumption Key'!$B$6)),G123-F123,0)</f>
        <v>2.2421672817365228E-2</v>
      </c>
      <c r="I123" s="1038">
        <f>IF(AND(A27&gt;=$B$2,A27&lt;=$B$4),_xlfn.XLOOKUP(A123,'VMT Reduction Supporting'!$A:$A,'VMT Reduction Supporting'!$B:$B,,0),0)</f>
        <v>27044.352017025605</v>
      </c>
      <c r="J123" s="1042">
        <f>IF(AND(A27&gt;=$B$2,A27&lt;=$B$4),_xlfn.XLOOKUP(A123,'VMT Reduction Supporting'!$A:$A,'VMT Reduction Supporting'!$E:$E,,0),0)</f>
        <v>27409.775277454592</v>
      </c>
      <c r="K123" s="1043">
        <f t="shared" si="53"/>
        <v>2.5666914935668091E-2</v>
      </c>
      <c r="L123" s="1043">
        <f t="shared" si="54"/>
        <v>2.6013726267477433E-2</v>
      </c>
      <c r="M123" s="1044">
        <f>IF(AND($A123&gt;=MIN('Major Assumption Key'!$B$4),$A123&lt;=MAX('Major Assumption Key'!$B$6)),L123-K123,0)</f>
        <v>3.4681133180934284E-4</v>
      </c>
      <c r="N123" s="1038">
        <f>IF(AND(A27&gt;=$B$2,A27&lt;=$B$4),_xlfn.XLOOKUP(A123,'VMT Reduction Supporting'!$A:$A,'VMT Reduction Supporting'!$D:$D,,0),0)</f>
        <v>102720.08322719164</v>
      </c>
      <c r="O123" s="1042">
        <f>IF(AND(A27&gt;=$B$2,A27&lt;=$B$4),_xlfn.XLOOKUP(A123,'VMT Reduction Supporting'!$A:$A,'VMT Reduction Supporting'!$G:$G,,0),0)</f>
        <v>115970.97396349937</v>
      </c>
      <c r="P123" s="1045">
        <f t="shared" si="55"/>
        <v>9.4125516400727138E-2</v>
      </c>
      <c r="Q123" s="1045">
        <f t="shared" si="56"/>
        <v>0.10626770801642095</v>
      </c>
      <c r="R123" s="1046">
        <f>IF(AND($A123&gt;=MIN('Major Assumption Key'!$B$4),$A123&lt;=MAX('Major Assumption Key'!$B$6)),Q123-P123,0)</f>
        <v>1.2142191615693812E-2</v>
      </c>
      <c r="S123" s="1047" cm="1">
        <f t="array" ref="S123">IF(AND(A27&gt;=$B$2,A27&lt;=$B$4),_xlfn.XLOOKUP(A123,'Auto Idling Supporting'!$A$28:$A$68,'Auto Idling Supporting'!$D$28:$D$68*365,,0),0)</f>
        <v>0</v>
      </c>
      <c r="T123" s="1047" cm="1">
        <f t="array" ref="T123">IF(AND(A27&gt;=$B$2,A27&lt;=$B$4),_xlfn.XLOOKUP(A123,'Auto Idling Supporting'!$A$28:$A$68,'Auto Idling Supporting'!$G$28:$G$68*365,,0),0)</f>
        <v>0</v>
      </c>
      <c r="U123" s="1048">
        <f t="shared" si="57"/>
        <v>0</v>
      </c>
    </row>
    <row r="124" spans="1:21" outlineLevel="1">
      <c r="A124" s="1036">
        <f t="shared" si="50"/>
        <v>2037</v>
      </c>
      <c r="B124" s="1037">
        <f t="shared" si="60"/>
        <v>0.9027922347084617</v>
      </c>
      <c r="C124" s="1037">
        <f t="shared" si="61"/>
        <v>0.85809851194051945</v>
      </c>
      <c r="D124" s="1038">
        <f>IF(AND(A28&gt;=$B$2,A28&lt;=$B$4),_xlfn.XLOOKUP(A124,'VMT Reduction Supporting'!$A:$A,'VMT Reduction Supporting'!$C:$C,,0),0)</f>
        <v>1892.6171061081936</v>
      </c>
      <c r="E124" s="1039">
        <f>IF(AND(A28&gt;=$B$2,A28&lt;=$B$4),_xlfn.XLOOKUP(A124,'VMT Reduction Supporting'!$A:$A,'VMT Reduction Supporting'!$F:$F,,0),0)</f>
        <v>25865.76711681197</v>
      </c>
      <c r="F124" s="1040">
        <f t="shared" si="51"/>
        <v>1.7086400266708779E-3</v>
      </c>
      <c r="G124" s="1040">
        <f t="shared" si="52"/>
        <v>2.3351413697835322E-2</v>
      </c>
      <c r="H124" s="1041">
        <f>IF(AND($A124&gt;=MIN('Major Assumption Key'!$B$4),$A124&lt;=MAX('Major Assumption Key'!$B$6)),G124-F124,0)</f>
        <v>2.1642773671164444E-2</v>
      </c>
      <c r="I124" s="1038">
        <f>IF(AND(A28&gt;=$B$2,A28&lt;=$B$4),_xlfn.XLOOKUP(A124,'VMT Reduction Supporting'!$A:$A,'VMT Reduction Supporting'!$B:$B,,0),0)</f>
        <v>27442.948038568797</v>
      </c>
      <c r="J124" s="1042">
        <f>IF(AND(A28&gt;=$B$2,A28&lt;=$B$4),_xlfn.XLOOKUP(A124,'VMT Reduction Supporting'!$A:$A,'VMT Reduction Supporting'!$E:$E,,0),0)</f>
        <v>27808.804884549685</v>
      </c>
      <c r="K124" s="1043">
        <f t="shared" si="53"/>
        <v>2.4775280386727723E-2</v>
      </c>
      <c r="L124" s="1043">
        <f t="shared" si="54"/>
        <v>2.5105573106294195E-2</v>
      </c>
      <c r="M124" s="1044">
        <f>IF(AND($A124&gt;=MIN('Major Assumption Key'!$B$4),$A124&lt;=MAX('Major Assumption Key'!$B$6)),L124-K124,0)</f>
        <v>3.3029271956647177E-4</v>
      </c>
      <c r="N124" s="1038">
        <f>IF(AND(A28&gt;=$B$2,A28&lt;=$B$4),_xlfn.XLOOKUP(A124,'VMT Reduction Supporting'!$A:$A,'VMT Reduction Supporting'!$D:$D,,0),0)</f>
        <v>103121.11545448234</v>
      </c>
      <c r="O124" s="1042">
        <f>IF(AND(A28&gt;=$B$2,A28&lt;=$B$4),_xlfn.XLOOKUP(A124,'VMT Reduction Supporting'!$A:$A,'VMT Reduction Supporting'!$G:$G,,0),0)</f>
        <v>116423.73934811057</v>
      </c>
      <c r="P124" s="1045">
        <f t="shared" si="55"/>
        <v>8.8488075721137788E-2</v>
      </c>
      <c r="Q124" s="1045">
        <f t="shared" si="56"/>
        <v>9.990303748916457E-2</v>
      </c>
      <c r="R124" s="1046">
        <f>IF(AND($A124&gt;=MIN('Major Assumption Key'!$B$4),$A124&lt;=MAX('Major Assumption Key'!$B$6)),Q124-P124,0)</f>
        <v>1.1414961768026782E-2</v>
      </c>
      <c r="S124" s="1047" cm="1">
        <f t="array" ref="S124">IF(AND(A28&gt;=$B$2,A28&lt;=$B$4),_xlfn.XLOOKUP(A124,'Auto Idling Supporting'!$A$28:$A$68,'Auto Idling Supporting'!$D$28:$D$68*365,,0),0)</f>
        <v>0</v>
      </c>
      <c r="T124" s="1047" cm="1">
        <f t="array" ref="T124">IF(AND(A28&gt;=$B$2,A28&lt;=$B$4),_xlfn.XLOOKUP(A124,'Auto Idling Supporting'!$A$28:$A$68,'Auto Idling Supporting'!$G$28:$G$68*365,,0),0)</f>
        <v>0</v>
      </c>
      <c r="U124" s="1048">
        <f t="shared" si="57"/>
        <v>0</v>
      </c>
    </row>
    <row r="125" spans="1:21" outlineLevel="1">
      <c r="A125" s="1036">
        <f t="shared" si="50"/>
        <v>2038</v>
      </c>
      <c r="B125" s="1037">
        <f t="shared" si="60"/>
        <v>0.85877331044314154</v>
      </c>
      <c r="C125" s="1037">
        <f t="shared" si="61"/>
        <v>0.80356736098236792</v>
      </c>
      <c r="D125" s="1038">
        <f>IF(AND(A29&gt;=$B$2,A29&lt;=$B$4),_xlfn.XLOOKUP(A125,'VMT Reduction Supporting'!$A:$A,'VMT Reduction Supporting'!$C:$C,,0),0)</f>
        <v>1920.511642029202</v>
      </c>
      <c r="E125" s="1039">
        <f>IF(AND(A29&gt;=$B$2,A29&lt;=$B$4),_xlfn.XLOOKUP(A125,'VMT Reduction Supporting'!$A:$A,'VMT Reduction Supporting'!$F:$F,,0),0)</f>
        <v>26246.992441065755</v>
      </c>
      <c r="F125" s="1040">
        <f t="shared" si="51"/>
        <v>1.6492841405700114E-3</v>
      </c>
      <c r="G125" s="1040">
        <f t="shared" si="52"/>
        <v>2.2540216587790148E-2</v>
      </c>
      <c r="H125" s="1041">
        <f>IF(AND($A125&gt;=MIN('Major Assumption Key'!$B$4),$A125&lt;=MAX('Major Assumption Key'!$B$6)),G125-F125,0)</f>
        <v>2.0890932447220137E-2</v>
      </c>
      <c r="I125" s="1038">
        <f>IF(AND(A29&gt;=$B$2,A29&lt;=$B$4),_xlfn.XLOOKUP(A125,'VMT Reduction Supporting'!$A:$A,'VMT Reduction Supporting'!$B:$B,,0),0)</f>
        <v>27847.41880942342</v>
      </c>
      <c r="J125" s="1042">
        <f>IF(AND(A29&gt;=$B$2,A29&lt;=$B$4),_xlfn.XLOOKUP(A125,'VMT Reduction Supporting'!$A:$A,'VMT Reduction Supporting'!$E:$E,,0),0)</f>
        <v>28213.709755418346</v>
      </c>
      <c r="K125" s="1043">
        <f t="shared" si="53"/>
        <v>2.3914620038265159E-2</v>
      </c>
      <c r="L125" s="1043">
        <f t="shared" si="54"/>
        <v>2.4229180926542568E-2</v>
      </c>
      <c r="M125" s="1044">
        <f>IF(AND($A125&gt;=MIN('Major Assumption Key'!$B$4),$A125&lt;=MAX('Major Assumption Key'!$B$6)),L125-K125,0)</f>
        <v>3.1456088827740841E-4</v>
      </c>
      <c r="N125" s="1038">
        <f>IF(AND(A29&gt;=$B$2,A29&lt;=$B$4),_xlfn.XLOOKUP(A125,'VMT Reduction Supporting'!$A:$A,'VMT Reduction Supporting'!$D:$D,,0),0)</f>
        <v>103523.71336242935</v>
      </c>
      <c r="O125" s="1042">
        <f>IF(AND(A29&gt;=$B$2,A29&lt;=$B$4),_xlfn.XLOOKUP(A125,'VMT Reduction Supporting'!$A:$A,'VMT Reduction Supporting'!$G:$G,,0),0)</f>
        <v>116878.27238618277</v>
      </c>
      <c r="P125" s="1045">
        <f t="shared" si="55"/>
        <v>8.3188277145742451E-2</v>
      </c>
      <c r="Q125" s="1045">
        <f t="shared" si="56"/>
        <v>9.3919564897543259E-2</v>
      </c>
      <c r="R125" s="1046">
        <f>IF(AND($A125&gt;=MIN('Major Assumption Key'!$B$4),$A125&lt;=MAX('Major Assumption Key'!$B$6)),Q125-P125,0)</f>
        <v>1.0731287751800808E-2</v>
      </c>
      <c r="S125" s="1047" cm="1">
        <f t="array" ref="S125">IF(AND(A29&gt;=$B$2,A29&lt;=$B$4),_xlfn.XLOOKUP(A125,'Auto Idling Supporting'!$A$28:$A$68,'Auto Idling Supporting'!$D$28:$D$68*365,,0),0)</f>
        <v>0</v>
      </c>
      <c r="T125" s="1047" cm="1">
        <f t="array" ref="T125">IF(AND(A29&gt;=$B$2,A29&lt;=$B$4),_xlfn.XLOOKUP(A125,'Auto Idling Supporting'!$A$28:$A$68,'Auto Idling Supporting'!$G$28:$G$68*365,,0),0)</f>
        <v>0</v>
      </c>
      <c r="U125" s="1048">
        <f t="shared" si="57"/>
        <v>0</v>
      </c>
    </row>
    <row r="126" spans="1:21" outlineLevel="1">
      <c r="A126" s="1036">
        <f t="shared" si="50"/>
        <v>2039</v>
      </c>
      <c r="B126" s="1037">
        <f t="shared" si="60"/>
        <v>0.81690068919083025</v>
      </c>
      <c r="C126" s="1037">
        <f t="shared" si="61"/>
        <v>0.75250160051661574</v>
      </c>
      <c r="D126" s="1038">
        <f>IF(AND(A30&gt;=$B$2,A30&lt;=$B$4),_xlfn.XLOOKUP(A126,'VMT Reduction Supporting'!$A:$A,'VMT Reduction Supporting'!$C:$C,,0),0)</f>
        <v>1948.8173044964817</v>
      </c>
      <c r="E126" s="1039">
        <f>IF(AND(A30&gt;=$B$2,A30&lt;=$B$4),_xlfn.XLOOKUP(A126,'VMT Reduction Supporting'!$A:$A,'VMT Reduction Supporting'!$F:$F,,0),0)</f>
        <v>26633.83649478525</v>
      </c>
      <c r="F126" s="1040">
        <f t="shared" si="51"/>
        <v>1.5919901991501919E-3</v>
      </c>
      <c r="G126" s="1040">
        <f t="shared" si="52"/>
        <v>2.1757199388385957E-2</v>
      </c>
      <c r="H126" s="1041">
        <f>IF(AND($A126&gt;=MIN('Major Assumption Key'!$B$4),$A126&lt;=MAX('Major Assumption Key'!$B$6)),G126-F126,0)</f>
        <v>2.0165209189235766E-2</v>
      </c>
      <c r="I126" s="1038">
        <f>IF(AND(A30&gt;=$B$2,A30&lt;=$B$4),_xlfn.XLOOKUP(A126,'VMT Reduction Supporting'!$A:$A,'VMT Reduction Supporting'!$B:$B,,0),0)</f>
        <v>28257.850915198978</v>
      </c>
      <c r="J126" s="1042">
        <f>IF(AND(A30&gt;=$B$2,A30&lt;=$B$4),_xlfn.XLOOKUP(A126,'VMT Reduction Supporting'!$A:$A,'VMT Reduction Supporting'!$E:$E,,0),0)</f>
        <v>28624.576476280497</v>
      </c>
      <c r="K126" s="1043">
        <f t="shared" si="53"/>
        <v>2.3083857887677778E-2</v>
      </c>
      <c r="L126" s="1043">
        <f t="shared" si="54"/>
        <v>2.3383436251269166E-2</v>
      </c>
      <c r="M126" s="1044">
        <f>IF(AND($A126&gt;=MIN('Major Assumption Key'!$B$4),$A126&lt;=MAX('Major Assumption Key'!$B$6)),L126-K126,0)</f>
        <v>2.995783635913879E-4</v>
      </c>
      <c r="N126" s="1038">
        <f>IF(AND(A30&gt;=$B$2,A30&lt;=$B$4),_xlfn.XLOOKUP(A126,'VMT Reduction Supporting'!$A:$A,'VMT Reduction Supporting'!$D:$D,,0),0)</f>
        <v>103927.88306364848</v>
      </c>
      <c r="O126" s="1042">
        <f>IF(AND(A30&gt;=$B$2,A30&lt;=$B$4),_xlfn.XLOOKUP(A126,'VMT Reduction Supporting'!$A:$A,'VMT Reduction Supporting'!$G:$G,,0),0)</f>
        <v>117334.57997885915</v>
      </c>
      <c r="P126" s="1045">
        <f t="shared" si="55"/>
        <v>7.8205898343699176E-2</v>
      </c>
      <c r="Q126" s="1045">
        <f t="shared" si="56"/>
        <v>8.8294459230036371E-2</v>
      </c>
      <c r="R126" s="1046">
        <f>IF(AND($A126&gt;=MIN('Major Assumption Key'!$B$4),$A126&lt;=MAX('Major Assumption Key'!$B$6)),Q126-P126,0)</f>
        <v>1.0088560886337194E-2</v>
      </c>
      <c r="S126" s="1047" cm="1">
        <f t="array" ref="S126">IF(AND(A30&gt;=$B$2,A30&lt;=$B$4),_xlfn.XLOOKUP(A126,'Auto Idling Supporting'!$A$28:$A$68,'Auto Idling Supporting'!$D$28:$D$68*365,,0),0)</f>
        <v>0</v>
      </c>
      <c r="T126" s="1047" cm="1">
        <f t="array" ref="T126">IF(AND(A30&gt;=$B$2,A30&lt;=$B$4),_xlfn.XLOOKUP(A126,'Auto Idling Supporting'!$A$28:$A$68,'Auto Idling Supporting'!$G$28:$G$68*365,,0),0)</f>
        <v>0</v>
      </c>
      <c r="U126" s="1048">
        <f t="shared" si="57"/>
        <v>0</v>
      </c>
    </row>
    <row r="127" spans="1:21" outlineLevel="1">
      <c r="A127" s="1451">
        <f t="shared" si="50"/>
        <v>2040</v>
      </c>
      <c r="B127" s="1078">
        <f>VLOOKUP($B$5,'Emission Factors'!$O$5:$T$21,3,FALSE)</f>
        <v>0.7770697201291713</v>
      </c>
      <c r="C127" s="1078">
        <f>VLOOKUP($B$6,'Emission Factors'!$O$28:$T$44,3,FALSE)</f>
        <v>0.70468100905419073</v>
      </c>
      <c r="D127" s="1038">
        <f>IF(AND(A31&gt;=$B$2,A31&lt;=$B$4),_xlfn.XLOOKUP(A127,'VMT Reduction Supporting'!$A:$A,'VMT Reduction Supporting'!$C:$C,,0),0)</f>
        <v>1977.5401529417989</v>
      </c>
      <c r="E127" s="1039">
        <f>IF(AND(A31&gt;=$B$2,A31&lt;=$B$4),_xlfn.XLOOKUP(A127,'VMT Reduction Supporting'!$A:$A,'VMT Reduction Supporting'!$F:$F,,0),0)</f>
        <v>27026.382090204577</v>
      </c>
      <c r="F127" s="1040">
        <f t="shared" si="51"/>
        <v>1.5366865731906824E-3</v>
      </c>
      <c r="G127" s="1040">
        <f t="shared" si="52"/>
        <v>2.1001383166939318E-2</v>
      </c>
      <c r="H127" s="1041">
        <f>IF(AND($A127&gt;=MIN('Major Assumption Key'!$B$4),$A127&lt;=MAX('Major Assumption Key'!$B$6)),G127-F127,0)</f>
        <v>1.9464696593748637E-2</v>
      </c>
      <c r="I127" s="1038">
        <f>IF(AND(A31&gt;=$B$2,A31&lt;=$B$4),_xlfn.XLOOKUP(A127,'VMT Reduction Supporting'!$A:$A,'VMT Reduction Supporting'!$B:$B,,0),0)</f>
        <v>28674.332217656076</v>
      </c>
      <c r="J127" s="1042">
        <f>IF(AND(A31&gt;=$B$2,A31&lt;=$B$4),_xlfn.XLOOKUP(A127,'VMT Reduction Supporting'!$A:$A,'VMT Reduction Supporting'!$E:$E,,0),0)</f>
        <v>29041.492909507902</v>
      </c>
      <c r="K127" s="1043">
        <f t="shared" si="53"/>
        <v>2.2281955311264888E-2</v>
      </c>
      <c r="L127" s="1043">
        <f t="shared" si="54"/>
        <v>2.2567264767324617E-2</v>
      </c>
      <c r="M127" s="1044">
        <f>IF(AND($A127&gt;=MIN('Major Assumption Key'!$B$4),$A127&lt;=MAX('Major Assumption Key'!$B$6)),L127-K127,0)</f>
        <v>2.8530945605972913E-4</v>
      </c>
      <c r="N127" s="1038">
        <f>IF(AND(A31&gt;=$B$2,A31&lt;=$B$4),_xlfn.XLOOKUP(A127,'VMT Reduction Supporting'!$A:$A,'VMT Reduction Supporting'!$D:$D,,0),0)</f>
        <v>104333.63069461992</v>
      </c>
      <c r="O127" s="1042">
        <f>IF(AND(A31&gt;=$B$2,A31&lt;=$B$4),_xlfn.XLOOKUP(A127,'VMT Reduction Supporting'!$A:$A,'VMT Reduction Supporting'!$G:$G,,0),0)</f>
        <v>117792.66905422589</v>
      </c>
      <c r="P127" s="1045">
        <f t="shared" si="55"/>
        <v>7.3521928156172062E-2</v>
      </c>
      <c r="Q127" s="1045">
        <f t="shared" si="56"/>
        <v>8.3006256888318239E-2</v>
      </c>
      <c r="R127" s="1046">
        <f>IF(AND($A127&gt;=MIN('Major Assumption Key'!$B$4),$A127&lt;=MAX('Major Assumption Key'!$B$6)),Q127-P127,0)</f>
        <v>9.4843287321461772E-3</v>
      </c>
      <c r="S127" s="1047" cm="1">
        <f t="array" ref="S127">IF(AND(A31&gt;=$B$2,A31&lt;=$B$4),_xlfn.XLOOKUP(A127,'Auto Idling Supporting'!$A$28:$A$68,'Auto Idling Supporting'!$D$28:$D$68*365,,0),0)</f>
        <v>0</v>
      </c>
      <c r="T127" s="1047" cm="1">
        <f t="array" ref="T127">IF(AND(A31&gt;=$B$2,A31&lt;=$B$4),_xlfn.XLOOKUP(A127,'Auto Idling Supporting'!$A$28:$A$68,'Auto Idling Supporting'!$G$28:$G$68*365,,0),0)</f>
        <v>0</v>
      </c>
      <c r="U127" s="1048">
        <f t="shared" si="57"/>
        <v>0</v>
      </c>
    </row>
    <row r="128" spans="1:21" outlineLevel="1">
      <c r="A128" s="1036">
        <f t="shared" si="50"/>
        <v>2041</v>
      </c>
      <c r="B128" s="1037">
        <f>$B$127*(($B$132/$B$127)^(1/($A$132-$A$127))^(A128-$A$127))</f>
        <v>0.77048724397433022</v>
      </c>
      <c r="C128" s="1037">
        <f>$C$127*(($C$132/$C$127)^(1/($A$132-$A$127))^(A128-$A$127))</f>
        <v>0.70449901361692058</v>
      </c>
      <c r="D128" s="1038">
        <f>IF(AND(A32&gt;=$B$2,A32&lt;=$B$4),_xlfn.XLOOKUP(A128,'VMT Reduction Supporting'!$A:$A,'VMT Reduction Supporting'!$C:$C,,0),0)</f>
        <v>2006.68633610449</v>
      </c>
      <c r="E128" s="1039">
        <f>IF(AND(A32&gt;=$B$2,A32&lt;=$B$4),_xlfn.XLOOKUP(A128,'VMT Reduction Supporting'!$A:$A,'VMT Reduction Supporting'!$F:$F,,0),0)</f>
        <v>27424.713260094686</v>
      </c>
      <c r="F128" s="1040">
        <f t="shared" si="51"/>
        <v>1.5461262246260952E-3</v>
      </c>
      <c r="G128" s="1040">
        <f t="shared" si="52"/>
        <v>2.1130391736556623E-2</v>
      </c>
      <c r="H128" s="1041">
        <f>IF(AND($A128&gt;=MIN('Major Assumption Key'!$B$4),$A128&lt;=MAX('Major Assumption Key'!$B$6)),G128-F128,0)</f>
        <v>1.9584265511930529E-2</v>
      </c>
      <c r="I128" s="1038">
        <f>IF(AND(A32&gt;=$B$2,A32&lt;=$B$4),_xlfn.XLOOKUP(A128,'VMT Reduction Supporting'!$A:$A,'VMT Reduction Supporting'!$B:$B,,0),0)</f>
        <v>29096.9518735151</v>
      </c>
      <c r="J128" s="1042">
        <f>IF(AND(A32&gt;=$B$2,A32&lt;=$B$4),_xlfn.XLOOKUP(A128,'VMT Reduction Supporting'!$A:$A,'VMT Reduction Supporting'!$E:$E,,0),0)</f>
        <v>29464.548212432808</v>
      </c>
      <c r="K128" s="1043">
        <f t="shared" si="53"/>
        <v>2.2418830257078373E-2</v>
      </c>
      <c r="L128" s="1043">
        <f t="shared" si="54"/>
        <v>2.2702058547146131E-2</v>
      </c>
      <c r="M128" s="1044">
        <f>IF(AND($A128&gt;=MIN('Major Assumption Key'!$B$4),$A128&lt;=MAX('Major Assumption Key'!$B$6)),L128-K128,0)</f>
        <v>2.8322829006775796E-4</v>
      </c>
      <c r="N128" s="1038">
        <f>IF(AND(A32&gt;=$B$2,A32&lt;=$B$4),_xlfn.XLOOKUP(A128,'VMT Reduction Supporting'!$A:$A,'VMT Reduction Supporting'!$D:$D,,0),0)</f>
        <v>104740.96241578144</v>
      </c>
      <c r="O128" s="1042">
        <f>IF(AND(A32&gt;=$B$2,A32&lt;=$B$4),_xlfn.XLOOKUP(A128,'VMT Reduction Supporting'!$A:$A,'VMT Reduction Supporting'!$G:$G,,0),0)</f>
        <v>118252.54656741727</v>
      </c>
      <c r="P128" s="1045">
        <f t="shared" si="55"/>
        <v>7.3789904707204979E-2</v>
      </c>
      <c r="Q128" s="1045">
        <f t="shared" si="56"/>
        <v>8.3308802414434432E-2</v>
      </c>
      <c r="R128" s="1046">
        <f>IF(AND($A128&gt;=MIN('Major Assumption Key'!$B$4),$A128&lt;=MAX('Major Assumption Key'!$B$6)),Q128-P128,0)</f>
        <v>9.5188977072294539E-3</v>
      </c>
      <c r="S128" s="1047" cm="1">
        <f t="array" ref="S128">IF(AND(A32&gt;=$B$2,A32&lt;=$B$4),_xlfn.XLOOKUP(A128,'Auto Idling Supporting'!$A$28:$A$68,'Auto Idling Supporting'!$D$28:$D$68*365,,0),0)</f>
        <v>0</v>
      </c>
      <c r="T128" s="1047" cm="1">
        <f t="array" ref="T128">IF(AND(A32&gt;=$B$2,A32&lt;=$B$4),_xlfn.XLOOKUP(A128,'Auto Idling Supporting'!$A$28:$A$68,'Auto Idling Supporting'!$G$28:$G$68*365,,0),0)</f>
        <v>0</v>
      </c>
      <c r="U128" s="1048">
        <f t="shared" si="57"/>
        <v>0</v>
      </c>
    </row>
    <row r="129" spans="1:21" outlineLevel="1">
      <c r="A129" s="1036">
        <f t="shared" si="50"/>
        <v>2042</v>
      </c>
      <c r="B129" s="1037">
        <f t="shared" ref="B129:B131" si="62">$B$127*(($B$132/$B$127)^(1/($A$132-$A$127))^(A129-$A$127))</f>
        <v>0.76396052728509001</v>
      </c>
      <c r="C129" s="1037">
        <f t="shared" ref="C129:C131" si="63">$C$127*(($C$132/$C$127)^(1/($A$132-$A$127))^(A129-$A$127))</f>
        <v>0.70431706518295933</v>
      </c>
      <c r="D129" s="1038">
        <f>IF(AND(A33&gt;=$B$2,A33&lt;=$B$4),_xlfn.XLOOKUP(A129,'VMT Reduction Supporting'!$A:$A,'VMT Reduction Supporting'!$C:$C,,0),0)</f>
        <v>2036.2620933477322</v>
      </c>
      <c r="E129" s="1039">
        <f>IF(AND(A33&gt;=$B$2,A33&lt;=$B$4),_xlfn.XLOOKUP(A129,'VMT Reduction Supporting'!$A:$A,'VMT Reduction Supporting'!$F:$F,,0),0)</f>
        <v>27828.91527575233</v>
      </c>
      <c r="F129" s="1040">
        <f t="shared" si="51"/>
        <v>1.5556238625245747E-3</v>
      </c>
      <c r="G129" s="1040">
        <f t="shared" si="52"/>
        <v>2.1260192787835846E-2</v>
      </c>
      <c r="H129" s="1041">
        <f>IF(AND($A129&gt;=MIN('Major Assumption Key'!$B$4),$A129&lt;=MAX('Major Assumption Key'!$B$6)),G129-F129,0)</f>
        <v>1.9704568925311271E-2</v>
      </c>
      <c r="I129" s="1038">
        <f>IF(AND(A33&gt;=$B$2,A33&lt;=$B$4),_xlfn.XLOOKUP(A129,'VMT Reduction Supporting'!$A:$A,'VMT Reduction Supporting'!$B:$B,,0),0)</f>
        <v>29525.800353542108</v>
      </c>
      <c r="J129" s="1042">
        <f>IF(AND(A33&gt;=$B$2,A33&lt;=$B$4),_xlfn.XLOOKUP(A129,'VMT Reduction Supporting'!$A:$A,'VMT Reduction Supporting'!$E:$E,,0),0)</f>
        <v>29893.832856433892</v>
      </c>
      <c r="K129" s="1043">
        <f t="shared" si="53"/>
        <v>2.2556546006606327E-2</v>
      </c>
      <c r="L129" s="1043">
        <f t="shared" si="54"/>
        <v>2.2837708311573585E-2</v>
      </c>
      <c r="M129" s="1044">
        <f>IF(AND($A129&gt;=MIN('Major Assumption Key'!$B$4),$A129&lt;=MAX('Major Assumption Key'!$B$6)),L129-K129,0)</f>
        <v>2.8116230496725778E-4</v>
      </c>
      <c r="N129" s="1038">
        <f>IF(AND(A33&gt;=$B$2,A33&lt;=$B$4),_xlfn.XLOOKUP(A129,'VMT Reduction Supporting'!$A:$A,'VMT Reduction Supporting'!$D:$D,,0),0)</f>
        <v>105149.884411622</v>
      </c>
      <c r="O129" s="1042">
        <f>IF(AND(A33&gt;=$B$2,A33&lt;=$B$4),_xlfn.XLOOKUP(A129,'VMT Reduction Supporting'!$A:$A,'VMT Reduction Supporting'!$G:$G,,0),0)</f>
        <v>118714.21950072126</v>
      </c>
      <c r="P129" s="1045">
        <f t="shared" si="55"/>
        <v>7.4058857993121008E-2</v>
      </c>
      <c r="Q129" s="1045">
        <f t="shared" si="56"/>
        <v>8.3612450674233632E-2</v>
      </c>
      <c r="R129" s="1046">
        <f>IF(AND($A129&gt;=MIN('Major Assumption Key'!$B$4),$A129&lt;=MAX('Major Assumption Key'!$B$6)),Q129-P129,0)</f>
        <v>9.5535926811126243E-3</v>
      </c>
      <c r="S129" s="1047" cm="1">
        <f t="array" ref="S129">IF(AND(A33&gt;=$B$2,A33&lt;=$B$4),_xlfn.XLOOKUP(A129,'Auto Idling Supporting'!$A$28:$A$68,'Auto Idling Supporting'!$D$28:$D$68*365,,0),0)</f>
        <v>0</v>
      </c>
      <c r="T129" s="1047" cm="1">
        <f t="array" ref="T129">IF(AND(A33&gt;=$B$2,A33&lt;=$B$4),_xlfn.XLOOKUP(A129,'Auto Idling Supporting'!$A$28:$A$68,'Auto Idling Supporting'!$G$28:$G$68*365,,0),0)</f>
        <v>0</v>
      </c>
      <c r="U129" s="1048">
        <f t="shared" si="57"/>
        <v>0</v>
      </c>
    </row>
    <row r="130" spans="1:21" outlineLevel="1">
      <c r="A130" s="1036">
        <f t="shared" si="50"/>
        <v>2043</v>
      </c>
      <c r="B130" s="1037">
        <f t="shared" si="62"/>
        <v>0.75748909772886164</v>
      </c>
      <c r="C130" s="1037">
        <f t="shared" si="63"/>
        <v>0.70413516374016771</v>
      </c>
      <c r="D130" s="1038">
        <f>IF(AND(A34&gt;=$B$2,A34&lt;=$B$4),_xlfn.XLOOKUP(A130,'VMT Reduction Supporting'!$A:$A,'VMT Reduction Supporting'!$C:$C,,0),0)</f>
        <v>2066.273755994212</v>
      </c>
      <c r="E130" s="1039">
        <f>IF(AND(A34&gt;=$B$2,A34&lt;=$B$4),_xlfn.XLOOKUP(A130,'VMT Reduction Supporting'!$A:$A,'VMT Reduction Supporting'!$F:$F,,0),0)</f>
        <v>28239.074665254226</v>
      </c>
      <c r="F130" s="1040">
        <f t="shared" si="51"/>
        <v>1.5651798430888816E-3</v>
      </c>
      <c r="G130" s="1040">
        <f t="shared" si="52"/>
        <v>2.1390791188881379E-2</v>
      </c>
      <c r="H130" s="1041">
        <f>IF(AND($A130&gt;=MIN('Major Assumption Key'!$B$4),$A130&lt;=MAX('Major Assumption Key'!$B$6)),G130-F130,0)</f>
        <v>1.9825611345792499E-2</v>
      </c>
      <c r="I130" s="1038">
        <f>IF(AND(A34&gt;=$B$2,A34&lt;=$B$4),_xlfn.XLOOKUP(A130,'VMT Reduction Supporting'!$A:$A,'VMT Reduction Supporting'!$B:$B,,0),0)</f>
        <v>29960.969461916065</v>
      </c>
      <c r="J130" s="1042">
        <f>IF(AND(A34&gt;=$B$2,A34&lt;=$B$4),_xlfn.XLOOKUP(A130,'VMT Reduction Supporting'!$A:$A,'VMT Reduction Supporting'!$E:$E,,0),0)</f>
        <v>30329.438646303432</v>
      </c>
      <c r="K130" s="1043">
        <f t="shared" si="53"/>
        <v>2.2695107724788777E-2</v>
      </c>
      <c r="L130" s="1043">
        <f t="shared" si="54"/>
        <v>2.2974219114811255E-2</v>
      </c>
      <c r="M130" s="1044">
        <f>IF(AND($A130&gt;=MIN('Major Assumption Key'!$B$4),$A130&lt;=MAX('Major Assumption Key'!$B$6)),L130-K130,0)</f>
        <v>2.7911139002247815E-4</v>
      </c>
      <c r="N130" s="1038">
        <f>IF(AND(A34&gt;=$B$2,A34&lt;=$B$4),_xlfn.XLOOKUP(A130,'VMT Reduction Supporting'!$A:$A,'VMT Reduction Supporting'!$D:$D,,0),0)</f>
        <v>105560.40289077553</v>
      </c>
      <c r="O130" s="1042">
        <f>IF(AND(A34&gt;=$B$2,A34&lt;=$B$4),_xlfn.XLOOKUP(A130,'VMT Reduction Supporting'!$A:$A,'VMT Reduction Supporting'!$G:$G,,0),0)</f>
        <v>119177.6948636856</v>
      </c>
      <c r="P130" s="1045">
        <f t="shared" si="55"/>
        <v>7.4328791573974304E-2</v>
      </c>
      <c r="Q130" s="1045">
        <f t="shared" si="56"/>
        <v>8.3917205687017007E-2</v>
      </c>
      <c r="R130" s="1046">
        <f>IF(AND($A130&gt;=MIN('Major Assumption Key'!$B$4),$A130&lt;=MAX('Major Assumption Key'!$B$6)),Q130-P130,0)</f>
        <v>9.5884141130427036E-3</v>
      </c>
      <c r="S130" s="1047" cm="1">
        <f t="array" ref="S130">IF(AND(A34&gt;=$B$2,A34&lt;=$B$4),_xlfn.XLOOKUP(A130,'Auto Idling Supporting'!$A$28:$A$68,'Auto Idling Supporting'!$D$28:$D$68*365,,0),0)</f>
        <v>0</v>
      </c>
      <c r="T130" s="1047" cm="1">
        <f t="array" ref="T130">IF(AND(A34&gt;=$B$2,A34&lt;=$B$4),_xlfn.XLOOKUP(A130,'Auto Idling Supporting'!$A$28:$A$68,'Auto Idling Supporting'!$G$28:$G$68*365,,0),0)</f>
        <v>0</v>
      </c>
      <c r="U130" s="1048">
        <f t="shared" si="57"/>
        <v>0</v>
      </c>
    </row>
    <row r="131" spans="1:21" outlineLevel="1">
      <c r="A131" s="1036">
        <f t="shared" si="50"/>
        <v>2044</v>
      </c>
      <c r="B131" s="1037">
        <f t="shared" si="62"/>
        <v>0.7510724869741362</v>
      </c>
      <c r="C131" s="1037">
        <f t="shared" si="63"/>
        <v>0.70395330927640942</v>
      </c>
      <c r="D131" s="1038">
        <f>IF(AND(A35&gt;=$B$2,A35&lt;=$B$4),_xlfn.XLOOKUP(A131,'VMT Reduction Supporting'!$A:$A,'VMT Reduction Supporting'!$C:$C,,0),0)</f>
        <v>2096.7277486814805</v>
      </c>
      <c r="E131" s="1039">
        <f>IF(AND(A35&gt;=$B$2,A35&lt;=$B$4),_xlfn.XLOOKUP(A131,'VMT Reduction Supporting'!$A:$A,'VMT Reduction Supporting'!$F:$F,,0),0)</f>
        <v>28655.279231980225</v>
      </c>
      <c r="F131" s="1040">
        <f t="shared" si="51"/>
        <v>1.5747945247098813E-3</v>
      </c>
      <c r="G131" s="1040">
        <f t="shared" si="52"/>
        <v>2.1522191837701703E-2</v>
      </c>
      <c r="H131" s="1041">
        <f>IF(AND($A131&gt;=MIN('Major Assumption Key'!$B$4),$A131&lt;=MAX('Major Assumption Key'!$B$6)),G131-F131,0)</f>
        <v>1.9947397312991822E-2</v>
      </c>
      <c r="I131" s="1038">
        <f>IF(AND(A35&gt;=$B$2,A35&lt;=$B$4),_xlfn.XLOOKUP(A131,'VMT Reduction Supporting'!$A:$A,'VMT Reduction Supporting'!$B:$B,,0),0)</f>
        <v>30402.552355881457</v>
      </c>
      <c r="J131" s="1042">
        <f>IF(AND(A35&gt;=$B$2,A35&lt;=$B$4),_xlfn.XLOOKUP(A131,'VMT Reduction Supporting'!$A:$A,'VMT Reduction Supporting'!$E:$E,,0),0)</f>
        <v>30771.458739899965</v>
      </c>
      <c r="K131" s="1043">
        <f t="shared" si="53"/>
        <v>2.283452060829327E-2</v>
      </c>
      <c r="L131" s="1043">
        <f t="shared" si="54"/>
        <v>2.3111596043598685E-2</v>
      </c>
      <c r="M131" s="1044">
        <f>IF(AND($A131&gt;=MIN('Major Assumption Key'!$B$4),$A131&lt;=MAX('Major Assumption Key'!$B$6)),L131-K131,0)</f>
        <v>2.7707543530541487E-4</v>
      </c>
      <c r="N131" s="1038">
        <f>IF(AND(A35&gt;=$B$2,A35&lt;=$B$4),_xlfn.XLOOKUP(A131,'VMT Reduction Supporting'!$A:$A,'VMT Reduction Supporting'!$D:$D,,0),0)</f>
        <v>105972.5240861153</v>
      </c>
      <c r="O131" s="1042">
        <f>IF(AND(A35&gt;=$B$2,A35&lt;=$B$4),_xlfn.XLOOKUP(A131,'VMT Reduction Supporting'!$A:$A,'VMT Reduction Supporting'!$G:$G,,0),0)</f>
        <v>119642.97969322419</v>
      </c>
      <c r="P131" s="1045">
        <f t="shared" si="55"/>
        <v>7.4599709022794863E-2</v>
      </c>
      <c r="Q131" s="1045">
        <f t="shared" si="56"/>
        <v>8.4223071486735426E-2</v>
      </c>
      <c r="R131" s="1046">
        <f>IF(AND($A131&gt;=MIN('Major Assumption Key'!$B$4),$A131&lt;=MAX('Major Assumption Key'!$B$6)),Q131-P131,0)</f>
        <v>9.6233624639405629E-3</v>
      </c>
      <c r="S131" s="1047" cm="1">
        <f t="array" ref="S131">IF(AND(A35&gt;=$B$2,A35&lt;=$B$4),_xlfn.XLOOKUP(A131,'Auto Idling Supporting'!$A$28:$A$68,'Auto Idling Supporting'!$D$28:$D$68*365,,0),0)</f>
        <v>0</v>
      </c>
      <c r="T131" s="1047" cm="1">
        <f t="array" ref="T131">IF(AND(A35&gt;=$B$2,A35&lt;=$B$4),_xlfn.XLOOKUP(A131,'Auto Idling Supporting'!$A$28:$A$68,'Auto Idling Supporting'!$G$28:$G$68*365,,0),0)</f>
        <v>0</v>
      </c>
      <c r="U131" s="1048">
        <f t="shared" si="57"/>
        <v>0</v>
      </c>
    </row>
    <row r="132" spans="1:21" outlineLevel="1">
      <c r="A132" s="1451">
        <f t="shared" si="50"/>
        <v>2045</v>
      </c>
      <c r="B132" s="1078">
        <f>VLOOKUP($B$5,'Emission Factors'!$V$5:$AA$21,3,FALSE)</f>
        <v>0.74471023065659159</v>
      </c>
      <c r="C132" s="1078">
        <f>VLOOKUP($B$6,'Emission Factors'!$V$28:$AA$44,3,FALSE)</f>
        <v>0.70377150177955139</v>
      </c>
      <c r="D132" s="1038">
        <f>IF(AND(A36&gt;=$B$2,A36&lt;=$B$4),_xlfn.XLOOKUP(A132,'VMT Reduction Supporting'!$A:$A,'VMT Reduction Supporting'!$C:$C,,0),0)</f>
        <v>2127.6305907372825</v>
      </c>
      <c r="E132" s="1039">
        <f>IF(AND(A36&gt;=$B$2,A36&lt;=$B$4),_xlfn.XLOOKUP(A132,'VMT Reduction Supporting'!$A:$A,'VMT Reduction Supporting'!$F:$F,,0),0)</f>
        <v>29077.618073409518</v>
      </c>
      <c r="F132" s="1040">
        <f t="shared" si="51"/>
        <v>1.5844682679799819E-3</v>
      </c>
      <c r="G132" s="1040">
        <f t="shared" si="52"/>
        <v>2.1654399662393079E-2</v>
      </c>
      <c r="H132" s="1041">
        <f>IF(AND($A132&gt;=MIN('Major Assumption Key'!$B$4),$A132&lt;=MAX('Major Assumption Key'!$B$6)),G132-F132,0)</f>
        <v>2.0069931394413099E-2</v>
      </c>
      <c r="I132" s="1038">
        <f>IF(AND(A36&gt;=$B$2,A36&lt;=$B$4),_xlfn.XLOOKUP(A132,'VMT Reduction Supporting'!$A:$A,'VMT Reduction Supporting'!$B:$B,,0),0)</f>
        <v>30850.643565690589</v>
      </c>
      <c r="J132" s="1042">
        <f>IF(AND(A36&gt;=$B$2,A36&lt;=$B$4),_xlfn.XLOOKUP(A132,'VMT Reduction Supporting'!$A:$A,'VMT Reduction Supporting'!$E:$E,,0),0)</f>
        <v>31219.987668090587</v>
      </c>
      <c r="K132" s="1043">
        <f t="shared" si="53"/>
        <v>2.297478988570973E-2</v>
      </c>
      <c r="L132" s="1043">
        <f t="shared" si="54"/>
        <v>2.3249844217399684E-2</v>
      </c>
      <c r="M132" s="1044">
        <f>IF(AND($A132&gt;=MIN('Major Assumption Key'!$B$4),$A132&lt;=MAX('Major Assumption Key'!$B$6)),L132-K132,0)</f>
        <v>2.7505433168995355E-4</v>
      </c>
      <c r="N132" s="1038">
        <f>IF(AND(A36&gt;=$B$2,A36&lt;=$B$4),_xlfn.XLOOKUP(A132,'VMT Reduction Supporting'!$A:$A,'VMT Reduction Supporting'!$D:$D,,0),0)</f>
        <v>106386.25425484846</v>
      </c>
      <c r="O132" s="1042">
        <f>IF(AND(A36&gt;=$B$2,A36&lt;=$B$4),_xlfn.XLOOKUP(A132,'VMT Reduction Supporting'!$A:$A,'VMT Reduction Supporting'!$G:$G,,0),0)</f>
        <v>120110.08105372394</v>
      </c>
      <c r="P132" s="1045">
        <f t="shared" si="55"/>
        <v>7.4871613925635891E-2</v>
      </c>
      <c r="Q132" s="1045">
        <f t="shared" si="56"/>
        <v>8.453005212204294E-2</v>
      </c>
      <c r="R132" s="1046">
        <f>IF(AND($A132&gt;=MIN('Major Assumption Key'!$B$4),$A132&lt;=MAX('Major Assumption Key'!$B$6)),Q132-P132,0)</f>
        <v>9.6584381964070487E-3</v>
      </c>
      <c r="S132" s="1047" cm="1">
        <f t="array" ref="S132">IF(AND(A36&gt;=$B$2,A36&lt;=$B$4),_xlfn.XLOOKUP(A132,'Auto Idling Supporting'!$A$28:$A$68,'Auto Idling Supporting'!$D$28:$D$68*365,,0),0)</f>
        <v>0</v>
      </c>
      <c r="T132" s="1047" cm="1">
        <f t="array" ref="T132">IF(AND(A36&gt;=$B$2,A36&lt;=$B$4),_xlfn.XLOOKUP(A132,'Auto Idling Supporting'!$A$28:$A$68,'Auto Idling Supporting'!$G$28:$G$68*365,,0),0)</f>
        <v>0</v>
      </c>
      <c r="U132" s="1048">
        <f t="shared" si="57"/>
        <v>0</v>
      </c>
    </row>
    <row r="133" spans="1:21" outlineLevel="1">
      <c r="A133" s="1036">
        <f t="shared" si="50"/>
        <v>2046</v>
      </c>
      <c r="B133" s="1037">
        <f>$B$127*(($B$132/$B$127)^(1/($A$132-$A$127))^(A133-$A$127))</f>
        <v>0.73840186834548727</v>
      </c>
      <c r="C133" s="1037">
        <f>$C$127*(($C$132/$C$127)^(1/($A$132-$A$127))^(A133-$A$127))</f>
        <v>0.70358974123746365</v>
      </c>
      <c r="D133" s="1038">
        <f>IF(AND(A37&gt;=$B$2,A37&lt;=$B$4),_xlfn.XLOOKUP(A133,'VMT Reduction Supporting'!$A:$A,'VMT Reduction Supporting'!$C:$C,,0),0)</f>
        <v>2158.9888975751605</v>
      </c>
      <c r="E133" s="1039">
        <f>IF(AND(A37&gt;=$B$2,A37&lt;=$B$4),_xlfn.XLOOKUP(A133,'VMT Reduction Supporting'!$A:$A,'VMT Reduction Supporting'!$F:$F,,0),0)</f>
        <v>29506.181600193853</v>
      </c>
      <c r="F133" s="1040">
        <f t="shared" si="51"/>
        <v>1.5942014357066623E-3</v>
      </c>
      <c r="G133" s="1040">
        <f t="shared" si="52"/>
        <v>2.178741962132438E-2</v>
      </c>
      <c r="H133" s="1041">
        <f>IF(AND($A133&gt;=MIN('Major Assumption Key'!$B$4),$A133&lt;=MAX('Major Assumption Key'!$B$6)),G133-F133,0)</f>
        <v>2.0193218185617718E-2</v>
      </c>
      <c r="I133" s="1038">
        <f>IF(AND(A37&gt;=$B$2,A37&lt;=$B$4),_xlfn.XLOOKUP(A133,'VMT Reduction Supporting'!$A:$A,'VMT Reduction Supporting'!$B:$B,,0),0)</f>
        <v>31305.339014839818</v>
      </c>
      <c r="J133" s="1042">
        <f>IF(AND(A37&gt;=$B$2,A37&lt;=$B$4),_xlfn.XLOOKUP(A133,'VMT Reduction Supporting'!$A:$A,'VMT Reduction Supporting'!$E:$E,,0),0)</f>
        <v>31675.121354987172</v>
      </c>
      <c r="K133" s="1043">
        <f t="shared" si="53"/>
        <v>2.3115920817746594E-2</v>
      </c>
      <c r="L133" s="1043">
        <f t="shared" si="54"/>
        <v>2.3388968788592569E-2</v>
      </c>
      <c r="M133" s="1044">
        <f>IF(AND($A133&gt;=MIN('Major Assumption Key'!$B$4),$A133&lt;=MAX('Major Assumption Key'!$B$6)),L133-K133,0)</f>
        <v>2.7304797084597501E-4</v>
      </c>
      <c r="N133" s="1038">
        <f>IF(AND(A37&gt;=$B$2,A37&lt;=$B$4),_xlfn.XLOOKUP(A133,'VMT Reduction Supporting'!$A:$A,'VMT Reduction Supporting'!$D:$D,,0),0)</f>
        <v>106801.59967861114</v>
      </c>
      <c r="O133" s="1042">
        <f>IF(AND(A37&gt;=$B$2,A37&lt;=$B$4),_xlfn.XLOOKUP(A133,'VMT Reduction Supporting'!$A:$A,'VMT Reduction Supporting'!$G:$G,,0),0)</f>
        <v>120579.00603715202</v>
      </c>
      <c r="P133" s="1045">
        <f t="shared" si="55"/>
        <v>7.5144509881621177E-2</v>
      </c>
      <c r="Q133" s="1045">
        <f t="shared" si="56"/>
        <v>8.483815165635035E-2</v>
      </c>
      <c r="R133" s="1046">
        <f>IF(AND($A133&gt;=MIN('Major Assumption Key'!$B$4),$A133&lt;=MAX('Major Assumption Key'!$B$6)),Q133-P133,0)</f>
        <v>9.6936417747291725E-3</v>
      </c>
      <c r="S133" s="1047" cm="1">
        <f t="array" ref="S133">IF(AND(A37&gt;=$B$2,A37&lt;=$B$4),_xlfn.XLOOKUP(A133,'Auto Idling Supporting'!$A$28:$A$68,'Auto Idling Supporting'!$D$28:$D$68*365,,0),0)</f>
        <v>0</v>
      </c>
      <c r="T133" s="1047" cm="1">
        <f t="array" ref="T133">IF(AND(A37&gt;=$B$2,A37&lt;=$B$4),_xlfn.XLOOKUP(A133,'Auto Idling Supporting'!$A$28:$A$68,'Auto Idling Supporting'!$G$28:$G$68*365,,0),0)</f>
        <v>0</v>
      </c>
      <c r="U133" s="1048">
        <f t="shared" si="57"/>
        <v>0</v>
      </c>
    </row>
    <row r="134" spans="1:21" outlineLevel="1">
      <c r="A134" s="1036">
        <f t="shared" si="50"/>
        <v>2047</v>
      </c>
      <c r="B134" s="1037">
        <f t="shared" ref="B134:B147" si="64">$B$127*(($B$132/$B$127)^(1/($A$132-$A$127))^(A134-$A$127))</f>
        <v>0.73214694351034326</v>
      </c>
      <c r="C134" s="1037">
        <f t="shared" ref="C134:C147" si="65">$C$127*(($C$132/$C$127)^(1/($A$132-$A$127))^(A134-$A$127))</f>
        <v>0.70340802763801924</v>
      </c>
      <c r="D134" s="1038">
        <f>IF(AND(A38&gt;=$B$2,A38&lt;=$B$4),_xlfn.XLOOKUP(A134,'VMT Reduction Supporting'!$A:$A,'VMT Reduction Supporting'!$C:$C,,0),0)</f>
        <v>2190.809382110624</v>
      </c>
      <c r="E134" s="1039">
        <f>IF(AND(A38&gt;=$B$2,A38&lt;=$B$4),_xlfn.XLOOKUP(A134,'VMT Reduction Supporting'!$A:$A,'VMT Reduction Supporting'!$F:$F,,0),0)</f>
        <v>29941.061555511849</v>
      </c>
      <c r="F134" s="1040">
        <f t="shared" si="51"/>
        <v>1.6039943929260772E-3</v>
      </c>
      <c r="G134" s="1040">
        <f t="shared" si="52"/>
        <v>2.1921256703323046E-2</v>
      </c>
      <c r="H134" s="1041">
        <f>IF(AND($A134&gt;=MIN('Major Assumption Key'!$B$4),$A134&lt;=MAX('Major Assumption Key'!$B$6)),G134-F134,0)</f>
        <v>2.0317262310396968E-2</v>
      </c>
      <c r="I134" s="1038">
        <f>IF(AND(A38&gt;=$B$2,A38&lt;=$B$4),_xlfn.XLOOKUP(A134,'VMT Reduction Supporting'!$A:$A,'VMT Reduction Supporting'!$B:$B,,0),0)</f>
        <v>31766.736040604035</v>
      </c>
      <c r="J134" s="1042">
        <f>IF(AND(A38&gt;=$B$2,A38&lt;=$B$4),_xlfn.XLOOKUP(A134,'VMT Reduction Supporting'!$A:$A,'VMT Reduction Supporting'!$E:$E,,0),0)</f>
        <v>32136.957138480837</v>
      </c>
      <c r="K134" s="1043">
        <f t="shared" si="53"/>
        <v>2.3257918697428107E-2</v>
      </c>
      <c r="L134" s="1043">
        <f t="shared" si="54"/>
        <v>2.3528974942661651E-2</v>
      </c>
      <c r="M134" s="1044">
        <f>IF(AND($A134&gt;=MIN('Major Assumption Key'!$B$4),$A134&lt;=MAX('Major Assumption Key'!$B$6)),L134-K134,0)</f>
        <v>2.7105624523354396E-4</v>
      </c>
      <c r="N134" s="1038">
        <f>IF(AND(A38&gt;=$B$2,A38&lt;=$B$4),_xlfn.XLOOKUP(A134,'VMT Reduction Supporting'!$A:$A,'VMT Reduction Supporting'!$D:$D,,0),0)</f>
        <v>107218.56666356375</v>
      </c>
      <c r="O134" s="1042">
        <f>IF(AND(A38&gt;=$B$2,A38&lt;=$B$4),_xlfn.XLOOKUP(A134,'VMT Reduction Supporting'!$A:$A,'VMT Reduction Supporting'!$G:$G,,0),0)</f>
        <v>121049.76176316351</v>
      </c>
      <c r="P134" s="1045">
        <f t="shared" si="55"/>
        <v>7.5418400502992852E-2</v>
      </c>
      <c r="Q134" s="1045">
        <f t="shared" si="56"/>
        <v>8.5147374167878973E-2</v>
      </c>
      <c r="R134" s="1046">
        <f>IF(AND($A134&gt;=MIN('Major Assumption Key'!$B$4),$A134&lt;=MAX('Major Assumption Key'!$B$6)),Q134-P134,0)</f>
        <v>9.7289736648861203E-3</v>
      </c>
      <c r="S134" s="1047" cm="1">
        <f t="array" ref="S134">IF(AND(A38&gt;=$B$2,A38&lt;=$B$4),_xlfn.XLOOKUP(A134,'Auto Idling Supporting'!$A$28:$A$68,'Auto Idling Supporting'!$D$28:$D$68*365,,0),0)</f>
        <v>0</v>
      </c>
      <c r="T134" s="1047" cm="1">
        <f t="array" ref="T134">IF(AND(A38&gt;=$B$2,A38&lt;=$B$4),_xlfn.XLOOKUP(A134,'Auto Idling Supporting'!$A$28:$A$68,'Auto Idling Supporting'!$G$28:$G$68*365,,0),0)</f>
        <v>0</v>
      </c>
      <c r="U134" s="1048">
        <f t="shared" si="57"/>
        <v>0</v>
      </c>
    </row>
    <row r="135" spans="1:21" outlineLevel="1">
      <c r="A135" s="1036">
        <f t="shared" si="50"/>
        <v>2048</v>
      </c>
      <c r="B135" s="1037">
        <f t="shared" si="64"/>
        <v>0.7259450034879017</v>
      </c>
      <c r="C135" s="1037">
        <f t="shared" si="65"/>
        <v>0.70322636096909452</v>
      </c>
      <c r="D135" s="1038">
        <f>IF(AND(A39&gt;=$B$2,A39&lt;=$B$4),_xlfn.XLOOKUP(A135,'VMT Reduction Supporting'!$A:$A,'VMT Reduction Supporting'!$C:$C,,0),0)</f>
        <v>0</v>
      </c>
      <c r="E135" s="1039">
        <f>IF(AND(A39&gt;=$B$2,A39&lt;=$B$4),_xlfn.XLOOKUP(A135,'VMT Reduction Supporting'!$A:$A,'VMT Reduction Supporting'!$F:$F,,0),0)</f>
        <v>0</v>
      </c>
      <c r="F135" s="1040">
        <f t="shared" si="51"/>
        <v>0</v>
      </c>
      <c r="G135" s="1040">
        <f t="shared" si="52"/>
        <v>0</v>
      </c>
      <c r="H135" s="1041">
        <f>IF(AND($A135&gt;=MIN('Major Assumption Key'!$B$4),$A135&lt;=MAX('Major Assumption Key'!$B$6)),G135-F135,0)</f>
        <v>0</v>
      </c>
      <c r="I135" s="1038">
        <f>IF(AND(A39&gt;=$B$2,A39&lt;=$B$4),_xlfn.XLOOKUP(A135,'VMT Reduction Supporting'!$A:$A,'VMT Reduction Supporting'!$B:$B,,0),0)</f>
        <v>0</v>
      </c>
      <c r="J135" s="1042">
        <f>IF(AND(A39&gt;=$B$2,A39&lt;=$B$4),_xlfn.XLOOKUP(A135,'VMT Reduction Supporting'!$A:$A,'VMT Reduction Supporting'!$E:$E,,0),0)</f>
        <v>0</v>
      </c>
      <c r="K135" s="1043">
        <f t="shared" si="53"/>
        <v>0</v>
      </c>
      <c r="L135" s="1043">
        <f t="shared" si="54"/>
        <v>0</v>
      </c>
      <c r="M135" s="1044">
        <f>IF(AND($A135&gt;=MIN('Major Assumption Key'!$B$4),$A135&lt;=MAX('Major Assumption Key'!$B$6)),L135-K135,0)</f>
        <v>0</v>
      </c>
      <c r="N135" s="1038">
        <f>IF(AND(A39&gt;=$B$2,A39&lt;=$B$4),_xlfn.XLOOKUP(A135,'VMT Reduction Supporting'!$A:$A,'VMT Reduction Supporting'!$D:$D,,0),0)</f>
        <v>0</v>
      </c>
      <c r="O135" s="1042">
        <f>IF(AND(A39&gt;=$B$2,A39&lt;=$B$4),_xlfn.XLOOKUP(A135,'VMT Reduction Supporting'!$A:$A,'VMT Reduction Supporting'!$G:$G,,0),0)</f>
        <v>0</v>
      </c>
      <c r="P135" s="1045">
        <f t="shared" si="55"/>
        <v>0</v>
      </c>
      <c r="Q135" s="1045">
        <f t="shared" si="56"/>
        <v>0</v>
      </c>
      <c r="R135" s="1046">
        <f>IF(AND($A135&gt;=MIN('Major Assumption Key'!$B$4),$A135&lt;=MAX('Major Assumption Key'!$B$6)),Q135-P135,0)</f>
        <v>0</v>
      </c>
      <c r="S135" s="1047" cm="1">
        <f t="array" ref="S135">IF(AND(A39&gt;=$B$2,A39&lt;=$B$4),_xlfn.XLOOKUP(A135,'Auto Idling Supporting'!$A$28:$A$68,'Auto Idling Supporting'!$D$28:$D$68*365,,0),0)</f>
        <v>0</v>
      </c>
      <c r="T135" s="1047" cm="1">
        <f t="array" ref="T135">IF(AND(A39&gt;=$B$2,A39&lt;=$B$4),_xlfn.XLOOKUP(A135,'Auto Idling Supporting'!$A$28:$A$68,'Auto Idling Supporting'!$G$28:$G$68*365,,0),0)</f>
        <v>0</v>
      </c>
      <c r="U135" s="1048">
        <f t="shared" si="57"/>
        <v>0</v>
      </c>
    </row>
    <row r="136" spans="1:21" outlineLevel="1">
      <c r="A136" s="1036">
        <f t="shared" si="50"/>
        <v>2049</v>
      </c>
      <c r="B136" s="1037">
        <f t="shared" si="64"/>
        <v>0.71979559944936722</v>
      </c>
      <c r="C136" s="1037">
        <f t="shared" si="65"/>
        <v>0.70304474121856908</v>
      </c>
      <c r="D136" s="1038">
        <f>IF(AND(A40&gt;=$B$2,A40&lt;=$B$4),_xlfn.XLOOKUP(A136,'VMT Reduction Supporting'!$A:$A,'VMT Reduction Supporting'!$C:$C,,0),0)</f>
        <v>0</v>
      </c>
      <c r="E136" s="1039">
        <f>IF(AND(A40&gt;=$B$2,A40&lt;=$B$4),_xlfn.XLOOKUP(A136,'VMT Reduction Supporting'!$A:$A,'VMT Reduction Supporting'!$F:$F,,0),0)</f>
        <v>0</v>
      </c>
      <c r="F136" s="1040">
        <f t="shared" si="51"/>
        <v>0</v>
      </c>
      <c r="G136" s="1040">
        <f t="shared" si="52"/>
        <v>0</v>
      </c>
      <c r="H136" s="1041">
        <f>IF(AND($A136&gt;=MIN('Major Assumption Key'!$B$4),$A136&lt;=MAX('Major Assumption Key'!$B$6)),G136-F136,0)</f>
        <v>0</v>
      </c>
      <c r="I136" s="1038">
        <f>IF(AND(A40&gt;=$B$2,A40&lt;=$B$4),_xlfn.XLOOKUP(A136,'VMT Reduction Supporting'!$A:$A,'VMT Reduction Supporting'!$B:$B,,0),0)</f>
        <v>0</v>
      </c>
      <c r="J136" s="1042">
        <f>IF(AND(A40&gt;=$B$2,A40&lt;=$B$4),_xlfn.XLOOKUP(A136,'VMT Reduction Supporting'!$A:$A,'VMT Reduction Supporting'!$E:$E,,0),0)</f>
        <v>0</v>
      </c>
      <c r="K136" s="1043">
        <f t="shared" si="53"/>
        <v>0</v>
      </c>
      <c r="L136" s="1043">
        <f t="shared" si="54"/>
        <v>0</v>
      </c>
      <c r="M136" s="1044">
        <f>IF(AND($A136&gt;=MIN('Major Assumption Key'!$B$4),$A136&lt;=MAX('Major Assumption Key'!$B$6)),L136-K136,0)</f>
        <v>0</v>
      </c>
      <c r="N136" s="1038">
        <f>IF(AND(A40&gt;=$B$2,A40&lt;=$B$4),_xlfn.XLOOKUP(A136,'VMT Reduction Supporting'!$A:$A,'VMT Reduction Supporting'!$D:$D,,0),0)</f>
        <v>0</v>
      </c>
      <c r="O136" s="1042">
        <f>IF(AND(A40&gt;=$B$2,A40&lt;=$B$4),_xlfn.XLOOKUP(A136,'VMT Reduction Supporting'!$A:$A,'VMT Reduction Supporting'!$G:$G,,0),0)</f>
        <v>0</v>
      </c>
      <c r="P136" s="1045">
        <f t="shared" si="55"/>
        <v>0</v>
      </c>
      <c r="Q136" s="1045">
        <f t="shared" si="56"/>
        <v>0</v>
      </c>
      <c r="R136" s="1046">
        <f>IF(AND($A136&gt;=MIN('Major Assumption Key'!$B$4),$A136&lt;=MAX('Major Assumption Key'!$B$6)),Q136-P136,0)</f>
        <v>0</v>
      </c>
      <c r="S136" s="1047" cm="1">
        <f t="array" ref="S136">IF(AND(A40&gt;=$B$2,A40&lt;=$B$4),_xlfn.XLOOKUP(A136,'Auto Idling Supporting'!$A$28:$A$68,'Auto Idling Supporting'!$D$28:$D$68*365,,0),0)</f>
        <v>0</v>
      </c>
      <c r="T136" s="1047" cm="1">
        <f t="array" ref="T136">IF(AND(A40&gt;=$B$2,A40&lt;=$B$4),_xlfn.XLOOKUP(A136,'Auto Idling Supporting'!$A$28:$A$68,'Auto Idling Supporting'!$G$28:$G$68*365,,0),0)</f>
        <v>0</v>
      </c>
      <c r="U136" s="1048">
        <f t="shared" si="57"/>
        <v>0</v>
      </c>
    </row>
    <row r="137" spans="1:21" outlineLevel="1">
      <c r="A137" s="1036">
        <f t="shared" si="50"/>
        <v>2050</v>
      </c>
      <c r="B137" s="1037">
        <f t="shared" si="64"/>
        <v>0.71369828636792654</v>
      </c>
      <c r="C137" s="1037">
        <f t="shared" si="65"/>
        <v>0.70286316837432516</v>
      </c>
      <c r="D137" s="1038">
        <f>IF(AND(A41&gt;=$B$2,A41&lt;=$B$4),_xlfn.XLOOKUP(A137,'VMT Reduction Supporting'!$A:$A,'VMT Reduction Supporting'!$C:$C,,0),0)</f>
        <v>0</v>
      </c>
      <c r="E137" s="1039">
        <f>IF(AND(A41&gt;=$B$2,A41&lt;=$B$4),_xlfn.XLOOKUP(A137,'VMT Reduction Supporting'!$A:$A,'VMT Reduction Supporting'!$F:$F,,0),0)</f>
        <v>0</v>
      </c>
      <c r="F137" s="1040">
        <f t="shared" si="51"/>
        <v>0</v>
      </c>
      <c r="G137" s="1040">
        <f t="shared" si="52"/>
        <v>0</v>
      </c>
      <c r="H137" s="1041">
        <f>IF(AND($A137&gt;=MIN('Major Assumption Key'!$B$4),$A137&lt;=MAX('Major Assumption Key'!$B$6)),G137-F137,0)</f>
        <v>0</v>
      </c>
      <c r="I137" s="1038">
        <f>IF(AND(A41&gt;=$B$2,A41&lt;=$B$4),_xlfn.XLOOKUP(A137,'VMT Reduction Supporting'!$A:$A,'VMT Reduction Supporting'!$B:$B,,0),0)</f>
        <v>0</v>
      </c>
      <c r="J137" s="1042">
        <f>IF(AND(A41&gt;=$B$2,A41&lt;=$B$4),_xlfn.XLOOKUP(A137,'VMT Reduction Supporting'!$A:$A,'VMT Reduction Supporting'!$E:$E,,0),0)</f>
        <v>0</v>
      </c>
      <c r="K137" s="1043">
        <f t="shared" si="53"/>
        <v>0</v>
      </c>
      <c r="L137" s="1043">
        <f t="shared" si="54"/>
        <v>0</v>
      </c>
      <c r="M137" s="1044">
        <f>IF(AND($A137&gt;=MIN('Major Assumption Key'!$B$4),$A137&lt;=MAX('Major Assumption Key'!$B$6)),L137-K137,0)</f>
        <v>0</v>
      </c>
      <c r="N137" s="1038">
        <f>IF(AND(A41&gt;=$B$2,A41&lt;=$B$4),_xlfn.XLOOKUP(A137,'VMT Reduction Supporting'!$A:$A,'VMT Reduction Supporting'!$D:$D,,0),0)</f>
        <v>0</v>
      </c>
      <c r="O137" s="1042">
        <f>IF(AND(A41&gt;=$B$2,A41&lt;=$B$4),_xlfn.XLOOKUP(A137,'VMT Reduction Supporting'!$A:$A,'VMT Reduction Supporting'!$G:$G,,0),0)</f>
        <v>0</v>
      </c>
      <c r="P137" s="1045">
        <f t="shared" si="55"/>
        <v>0</v>
      </c>
      <c r="Q137" s="1045">
        <f t="shared" si="56"/>
        <v>0</v>
      </c>
      <c r="R137" s="1046">
        <f>IF(AND($A137&gt;=MIN('Major Assumption Key'!$B$4),$A137&lt;=MAX('Major Assumption Key'!$B$6)),Q137-P137,0)</f>
        <v>0</v>
      </c>
      <c r="S137" s="1047" cm="1">
        <f t="array" ref="S137">IF(AND(A41&gt;=$B$2,A41&lt;=$B$4),_xlfn.XLOOKUP(A137,'Auto Idling Supporting'!$A$28:$A$68,'Auto Idling Supporting'!$D$28:$D$68*365,,0),0)</f>
        <v>0</v>
      </c>
      <c r="T137" s="1047" cm="1">
        <f t="array" ref="T137">IF(AND(A41&gt;=$B$2,A41&lt;=$B$4),_xlfn.XLOOKUP(A137,'Auto Idling Supporting'!$A$28:$A$68,'Auto Idling Supporting'!$G$28:$G$68*365,,0),0)</f>
        <v>0</v>
      </c>
      <c r="U137" s="1048">
        <f t="shared" si="57"/>
        <v>0</v>
      </c>
    </row>
    <row r="138" spans="1:21" outlineLevel="1">
      <c r="A138" s="1036">
        <f t="shared" si="50"/>
        <v>2051</v>
      </c>
      <c r="B138" s="1037">
        <f t="shared" si="64"/>
        <v>0.70765262298654175</v>
      </c>
      <c r="C138" s="1037">
        <f t="shared" si="65"/>
        <v>0.7026816424242488</v>
      </c>
      <c r="D138" s="1038">
        <f>IF(AND(A42&gt;=$B$2,A42&lt;=$B$4),_xlfn.XLOOKUP(A138,'VMT Reduction Supporting'!$A:$A,'VMT Reduction Supporting'!$C:$C,,0),0)</f>
        <v>0</v>
      </c>
      <c r="E138" s="1039">
        <f>IF(AND(A42&gt;=$B$2,A42&lt;=$B$4),_xlfn.XLOOKUP(A138,'VMT Reduction Supporting'!$A:$A,'VMT Reduction Supporting'!$F:$F,,0),0)</f>
        <v>0</v>
      </c>
      <c r="F138" s="1040">
        <f t="shared" si="51"/>
        <v>0</v>
      </c>
      <c r="G138" s="1040">
        <f t="shared" si="52"/>
        <v>0</v>
      </c>
      <c r="H138" s="1041">
        <f>IF(AND($A138&gt;=MIN('Major Assumption Key'!$B$4),$A138&lt;=MAX('Major Assumption Key'!$B$6)),G138-F138,0)</f>
        <v>0</v>
      </c>
      <c r="I138" s="1038">
        <f>IF(AND(A42&gt;=$B$2,A42&lt;=$B$4),_xlfn.XLOOKUP(A138,'VMT Reduction Supporting'!$A:$A,'VMT Reduction Supporting'!$B:$B,,0),0)</f>
        <v>0</v>
      </c>
      <c r="J138" s="1042">
        <f>IF(AND(A42&gt;=$B$2,A42&lt;=$B$4),_xlfn.XLOOKUP(A138,'VMT Reduction Supporting'!$A:$A,'VMT Reduction Supporting'!$E:$E,,0),0)</f>
        <v>0</v>
      </c>
      <c r="K138" s="1043">
        <f t="shared" si="53"/>
        <v>0</v>
      </c>
      <c r="L138" s="1043">
        <f t="shared" si="54"/>
        <v>0</v>
      </c>
      <c r="M138" s="1044">
        <f>IF(AND($A138&gt;=MIN('Major Assumption Key'!$B$4),$A138&lt;=MAX('Major Assumption Key'!$B$6)),L138-K138,0)</f>
        <v>0</v>
      </c>
      <c r="N138" s="1038">
        <f>IF(AND(A42&gt;=$B$2,A42&lt;=$B$4),_xlfn.XLOOKUP(A138,'VMT Reduction Supporting'!$A:$A,'VMT Reduction Supporting'!$D:$D,,0),0)</f>
        <v>0</v>
      </c>
      <c r="O138" s="1042">
        <f>IF(AND(A42&gt;=$B$2,A42&lt;=$B$4),_xlfn.XLOOKUP(A138,'VMT Reduction Supporting'!$A:$A,'VMT Reduction Supporting'!$G:$G,,0),0)</f>
        <v>0</v>
      </c>
      <c r="P138" s="1045">
        <f t="shared" si="55"/>
        <v>0</v>
      </c>
      <c r="Q138" s="1045">
        <f t="shared" si="56"/>
        <v>0</v>
      </c>
      <c r="R138" s="1046">
        <f>IF(AND($A138&gt;=MIN('Major Assumption Key'!$B$4),$A138&lt;=MAX('Major Assumption Key'!$B$6)),Q138-P138,0)</f>
        <v>0</v>
      </c>
      <c r="S138" s="1047" cm="1">
        <f t="array" ref="S138">IF(AND(A42&gt;=$B$2,A42&lt;=$B$4),_xlfn.XLOOKUP(A138,'Auto Idling Supporting'!$A$28:$A$68,'Auto Idling Supporting'!$D$28:$D$68*365,,0),0)</f>
        <v>0</v>
      </c>
      <c r="T138" s="1047" cm="1">
        <f t="array" ref="T138">IF(AND(A42&gt;=$B$2,A42&lt;=$B$4),_xlfn.XLOOKUP(A138,'Auto Idling Supporting'!$A$28:$A$68,'Auto Idling Supporting'!$G$28:$G$68*365,,0),0)</f>
        <v>0</v>
      </c>
      <c r="U138" s="1048">
        <f t="shared" si="57"/>
        <v>0</v>
      </c>
    </row>
    <row r="139" spans="1:21" outlineLevel="1">
      <c r="A139" s="1036">
        <f t="shared" si="50"/>
        <v>2052</v>
      </c>
      <c r="B139" s="1037">
        <f t="shared" si="64"/>
        <v>0.70165817178601708</v>
      </c>
      <c r="C139" s="1037">
        <f t="shared" si="65"/>
        <v>0.70250016335622856</v>
      </c>
      <c r="D139" s="1038">
        <f>IF(AND(A43&gt;=$B$2,A43&lt;=$B$4),_xlfn.XLOOKUP(A139,'VMT Reduction Supporting'!$A:$A,'VMT Reduction Supporting'!$C:$C,,0),0)</f>
        <v>0</v>
      </c>
      <c r="E139" s="1039">
        <f>IF(AND(A43&gt;=$B$2,A43&lt;=$B$4),_xlfn.XLOOKUP(A139,'VMT Reduction Supporting'!$A:$A,'VMT Reduction Supporting'!$F:$F,,0),0)</f>
        <v>0</v>
      </c>
      <c r="F139" s="1040">
        <f t="shared" si="51"/>
        <v>0</v>
      </c>
      <c r="G139" s="1040">
        <f t="shared" si="52"/>
        <v>0</v>
      </c>
      <c r="H139" s="1041">
        <f>IF(AND($A139&gt;=MIN('Major Assumption Key'!$B$4),$A139&lt;=MAX('Major Assumption Key'!$B$6)),G139-F139,0)</f>
        <v>0</v>
      </c>
      <c r="I139" s="1038">
        <f>IF(AND(A43&gt;=$B$2,A43&lt;=$B$4),_xlfn.XLOOKUP(A139,'VMT Reduction Supporting'!$A:$A,'VMT Reduction Supporting'!$B:$B,,0),0)</f>
        <v>0</v>
      </c>
      <c r="J139" s="1042">
        <f>IF(AND(A43&gt;=$B$2,A43&lt;=$B$4),_xlfn.XLOOKUP(A139,'VMT Reduction Supporting'!$A:$A,'VMT Reduction Supporting'!$E:$E,,0),0)</f>
        <v>0</v>
      </c>
      <c r="K139" s="1043">
        <f t="shared" si="53"/>
        <v>0</v>
      </c>
      <c r="L139" s="1043">
        <f t="shared" si="54"/>
        <v>0</v>
      </c>
      <c r="M139" s="1044">
        <f>IF(AND($A139&gt;=MIN('Major Assumption Key'!$B$4),$A139&lt;=MAX('Major Assumption Key'!$B$6)),L139-K139,0)</f>
        <v>0</v>
      </c>
      <c r="N139" s="1038">
        <f>IF(AND(A43&gt;=$B$2,A43&lt;=$B$4),_xlfn.XLOOKUP(A139,'VMT Reduction Supporting'!$A:$A,'VMT Reduction Supporting'!$D:$D,,0),0)</f>
        <v>0</v>
      </c>
      <c r="O139" s="1042">
        <f>IF(AND(A43&gt;=$B$2,A43&lt;=$B$4),_xlfn.XLOOKUP(A139,'VMT Reduction Supporting'!$A:$A,'VMT Reduction Supporting'!$G:$G,,0),0)</f>
        <v>0</v>
      </c>
      <c r="P139" s="1045">
        <f t="shared" si="55"/>
        <v>0</v>
      </c>
      <c r="Q139" s="1045">
        <f t="shared" si="56"/>
        <v>0</v>
      </c>
      <c r="R139" s="1046">
        <f>IF(AND($A139&gt;=MIN('Major Assumption Key'!$B$4),$A139&lt;=MAX('Major Assumption Key'!$B$6)),Q139-P139,0)</f>
        <v>0</v>
      </c>
      <c r="S139" s="1047" cm="1">
        <f t="array" ref="S139">IF(AND(A43&gt;=$B$2,A43&lt;=$B$4),_xlfn.XLOOKUP(A139,'Auto Idling Supporting'!$A$28:$A$68,'Auto Idling Supporting'!$D$28:$D$68*365,,0),0)</f>
        <v>0</v>
      </c>
      <c r="T139" s="1047" cm="1">
        <f t="array" ref="T139">IF(AND(A43&gt;=$B$2,A43&lt;=$B$4),_xlfn.XLOOKUP(A139,'Auto Idling Supporting'!$A$28:$A$68,'Auto Idling Supporting'!$G$28:$G$68*365,,0),0)</f>
        <v>0</v>
      </c>
      <c r="U139" s="1048">
        <f t="shared" si="57"/>
        <v>0</v>
      </c>
    </row>
    <row r="140" spans="1:21" outlineLevel="1">
      <c r="A140" s="1036">
        <f t="shared" si="50"/>
        <v>2053</v>
      </c>
      <c r="B140" s="1037">
        <f t="shared" si="64"/>
        <v>0.69571449895333604</v>
      </c>
      <c r="C140" s="1037">
        <f t="shared" si="65"/>
        <v>0.70231873115815635</v>
      </c>
      <c r="D140" s="1038">
        <f>IF(AND(A44&gt;=$B$2,A44&lt;=$B$4),_xlfn.XLOOKUP(A140,'VMT Reduction Supporting'!$A:$A,'VMT Reduction Supporting'!$C:$C,,0),0)</f>
        <v>0</v>
      </c>
      <c r="E140" s="1039">
        <f>IF(AND(A44&gt;=$B$2,A44&lt;=$B$4),_xlfn.XLOOKUP(A140,'VMT Reduction Supporting'!$A:$A,'VMT Reduction Supporting'!$F:$F,,0),0)</f>
        <v>0</v>
      </c>
      <c r="F140" s="1040">
        <f t="shared" si="51"/>
        <v>0</v>
      </c>
      <c r="G140" s="1040">
        <f t="shared" si="52"/>
        <v>0</v>
      </c>
      <c r="H140" s="1041">
        <f>IF(AND($A140&gt;=MIN('Major Assumption Key'!$B$4),$A140&lt;=MAX('Major Assumption Key'!$B$6)),G140-F140,0)</f>
        <v>0</v>
      </c>
      <c r="I140" s="1038">
        <f>IF(AND(A44&gt;=$B$2,A44&lt;=$B$4),_xlfn.XLOOKUP(A140,'VMT Reduction Supporting'!$A:$A,'VMT Reduction Supporting'!$B:$B,,0),0)</f>
        <v>0</v>
      </c>
      <c r="J140" s="1042">
        <f>IF(AND(A44&gt;=$B$2,A44&lt;=$B$4),_xlfn.XLOOKUP(A140,'VMT Reduction Supporting'!$A:$A,'VMT Reduction Supporting'!$E:$E,,0),0)</f>
        <v>0</v>
      </c>
      <c r="K140" s="1043">
        <f t="shared" si="53"/>
        <v>0</v>
      </c>
      <c r="L140" s="1043">
        <f t="shared" si="54"/>
        <v>0</v>
      </c>
      <c r="M140" s="1044">
        <f>IF(AND($A140&gt;=MIN('Major Assumption Key'!$B$4),$A140&lt;=MAX('Major Assumption Key'!$B$6)),L140-K140,0)</f>
        <v>0</v>
      </c>
      <c r="N140" s="1038">
        <f>IF(AND(A44&gt;=$B$2,A44&lt;=$B$4),_xlfn.XLOOKUP(A140,'VMT Reduction Supporting'!$A:$A,'VMT Reduction Supporting'!$D:$D,,0),0)</f>
        <v>0</v>
      </c>
      <c r="O140" s="1042">
        <f>IF(AND(A44&gt;=$B$2,A44&lt;=$B$4),_xlfn.XLOOKUP(A140,'VMT Reduction Supporting'!$A:$A,'VMT Reduction Supporting'!$G:$G,,0),0)</f>
        <v>0</v>
      </c>
      <c r="P140" s="1045">
        <f t="shared" si="55"/>
        <v>0</v>
      </c>
      <c r="Q140" s="1045">
        <f t="shared" si="56"/>
        <v>0</v>
      </c>
      <c r="R140" s="1046">
        <f>IF(AND($A140&gt;=MIN('Major Assumption Key'!$B$4),$A140&lt;=MAX('Major Assumption Key'!$B$6)),Q140-P140,0)</f>
        <v>0</v>
      </c>
      <c r="S140" s="1047" cm="1">
        <f t="array" ref="S140">IF(AND(A44&gt;=$B$2,A44&lt;=$B$4),_xlfn.XLOOKUP(A140,'Auto Idling Supporting'!$A$28:$A$68,'Auto Idling Supporting'!$D$28:$D$68*365,,0),0)</f>
        <v>0</v>
      </c>
      <c r="T140" s="1047" cm="1">
        <f t="array" ref="T140">IF(AND(A44&gt;=$B$2,A44&lt;=$B$4),_xlfn.XLOOKUP(A140,'Auto Idling Supporting'!$A$28:$A$68,'Auto Idling Supporting'!$G$28:$G$68*365,,0),0)</f>
        <v>0</v>
      </c>
      <c r="U140" s="1048">
        <f t="shared" si="57"/>
        <v>0</v>
      </c>
    </row>
    <row r="141" spans="1:21" outlineLevel="1">
      <c r="A141" s="1036">
        <f t="shared" si="50"/>
        <v>2054</v>
      </c>
      <c r="B141" s="1037">
        <f t="shared" si="64"/>
        <v>0.68982117435026646</v>
      </c>
      <c r="C141" s="1037">
        <f t="shared" si="65"/>
        <v>0.70213734581792753</v>
      </c>
      <c r="D141" s="1038">
        <f>IF(AND(A45&gt;=$B$2,A45&lt;=$B$4),_xlfn.XLOOKUP(A141,'VMT Reduction Supporting'!$A:$A,'VMT Reduction Supporting'!$C:$C,,0),0)</f>
        <v>0</v>
      </c>
      <c r="E141" s="1039">
        <f>IF(AND(A45&gt;=$B$2,A45&lt;=$B$4),_xlfn.XLOOKUP(A141,'VMT Reduction Supporting'!$A:$A,'VMT Reduction Supporting'!$F:$F,,0),0)</f>
        <v>0</v>
      </c>
      <c r="F141" s="1040">
        <f t="shared" si="51"/>
        <v>0</v>
      </c>
      <c r="G141" s="1040">
        <f t="shared" si="52"/>
        <v>0</v>
      </c>
      <c r="H141" s="1041">
        <f>IF(AND($A141&gt;=MIN('Major Assumption Key'!$B$4),$A141&lt;=MAX('Major Assumption Key'!$B$6)),G141-F141,0)</f>
        <v>0</v>
      </c>
      <c r="I141" s="1038">
        <f>IF(AND(A45&gt;=$B$2,A45&lt;=$B$4),_xlfn.XLOOKUP(A141,'VMT Reduction Supporting'!$A:$A,'VMT Reduction Supporting'!$B:$B,,0),0)</f>
        <v>0</v>
      </c>
      <c r="J141" s="1042">
        <f>IF(AND(A45&gt;=$B$2,A45&lt;=$B$4),_xlfn.XLOOKUP(A141,'VMT Reduction Supporting'!$A:$A,'VMT Reduction Supporting'!$E:$E,,0),0)</f>
        <v>0</v>
      </c>
      <c r="K141" s="1043">
        <f t="shared" si="53"/>
        <v>0</v>
      </c>
      <c r="L141" s="1043">
        <f t="shared" si="54"/>
        <v>0</v>
      </c>
      <c r="M141" s="1044">
        <f>IF(AND($A141&gt;=MIN('Major Assumption Key'!$B$4),$A141&lt;=MAX('Major Assumption Key'!$B$6)),L141-K141,0)</f>
        <v>0</v>
      </c>
      <c r="N141" s="1038">
        <f>IF(AND(A45&gt;=$B$2,A45&lt;=$B$4),_xlfn.XLOOKUP(A141,'VMT Reduction Supporting'!$A:$A,'VMT Reduction Supporting'!$D:$D,,0),0)</f>
        <v>0</v>
      </c>
      <c r="O141" s="1042">
        <f>IF(AND(A45&gt;=$B$2,A45&lt;=$B$4),_xlfn.XLOOKUP(A141,'VMT Reduction Supporting'!$A:$A,'VMT Reduction Supporting'!$G:$G,,0),0)</f>
        <v>0</v>
      </c>
      <c r="P141" s="1045">
        <f t="shared" si="55"/>
        <v>0</v>
      </c>
      <c r="Q141" s="1045">
        <f t="shared" si="56"/>
        <v>0</v>
      </c>
      <c r="R141" s="1046">
        <f>IF(AND($A141&gt;=MIN('Major Assumption Key'!$B$4),$A141&lt;=MAX('Major Assumption Key'!$B$6)),Q141-P141,0)</f>
        <v>0</v>
      </c>
      <c r="S141" s="1047" cm="1">
        <f t="array" ref="S141">IF(AND(A45&gt;=$B$2,A45&lt;=$B$4),_xlfn.XLOOKUP(A141,'Auto Idling Supporting'!$A$28:$A$68,'Auto Idling Supporting'!$D$28:$D$68*365,,0),0)</f>
        <v>0</v>
      </c>
      <c r="T141" s="1047" cm="1">
        <f t="array" ref="T141">IF(AND(A45&gt;=$B$2,A45&lt;=$B$4),_xlfn.XLOOKUP(A141,'Auto Idling Supporting'!$A$28:$A$68,'Auto Idling Supporting'!$G$28:$G$68*365,,0),0)</f>
        <v>0</v>
      </c>
      <c r="U141" s="1048">
        <f t="shared" si="57"/>
        <v>0</v>
      </c>
    </row>
    <row r="142" spans="1:21" outlineLevel="1">
      <c r="A142" s="1036">
        <f t="shared" si="50"/>
        <v>2055</v>
      </c>
      <c r="B142" s="1037">
        <f t="shared" si="64"/>
        <v>0.68397777148223249</v>
      </c>
      <c r="C142" s="1037">
        <f t="shared" si="65"/>
        <v>0.70195600732343988</v>
      </c>
      <c r="D142" s="1038">
        <f>IF(AND(A46&gt;=$B$2,A46&lt;=$B$4),_xlfn.XLOOKUP(A142,'VMT Reduction Supporting'!$A:$A,'VMT Reduction Supporting'!$C:$C,,0),0)</f>
        <v>0</v>
      </c>
      <c r="E142" s="1039">
        <f>IF(AND(A46&gt;=$B$2,A46&lt;=$B$4),_xlfn.XLOOKUP(A142,'VMT Reduction Supporting'!$A:$A,'VMT Reduction Supporting'!$F:$F,,0),0)</f>
        <v>0</v>
      </c>
      <c r="F142" s="1040">
        <f t="shared" si="51"/>
        <v>0</v>
      </c>
      <c r="G142" s="1040">
        <f t="shared" si="52"/>
        <v>0</v>
      </c>
      <c r="H142" s="1041">
        <f>IF(AND($A142&gt;=MIN('Major Assumption Key'!$B$4),$A142&lt;=MAX('Major Assumption Key'!$B$6)),G142-F142,0)</f>
        <v>0</v>
      </c>
      <c r="I142" s="1038">
        <f>IF(AND(A46&gt;=$B$2,A46&lt;=$B$4),_xlfn.XLOOKUP(A142,'VMT Reduction Supporting'!$A:$A,'VMT Reduction Supporting'!$B:$B,,0),0)</f>
        <v>0</v>
      </c>
      <c r="J142" s="1042">
        <f>IF(AND(A46&gt;=$B$2,A46&lt;=$B$4),_xlfn.XLOOKUP(A142,'VMT Reduction Supporting'!$A:$A,'VMT Reduction Supporting'!$E:$E,,0),0)</f>
        <v>0</v>
      </c>
      <c r="K142" s="1043">
        <f t="shared" si="53"/>
        <v>0</v>
      </c>
      <c r="L142" s="1043">
        <f t="shared" si="54"/>
        <v>0</v>
      </c>
      <c r="M142" s="1044">
        <f>IF(AND($A142&gt;=MIN('Major Assumption Key'!$B$4),$A142&lt;=MAX('Major Assumption Key'!$B$6)),L142-K142,0)</f>
        <v>0</v>
      </c>
      <c r="N142" s="1038">
        <f>IF(AND(A46&gt;=$B$2,A46&lt;=$B$4),_xlfn.XLOOKUP(A142,'VMT Reduction Supporting'!$A:$A,'VMT Reduction Supporting'!$D:$D,,0),0)</f>
        <v>0</v>
      </c>
      <c r="O142" s="1042">
        <f>IF(AND(A46&gt;=$B$2,A46&lt;=$B$4),_xlfn.XLOOKUP(A142,'VMT Reduction Supporting'!$A:$A,'VMT Reduction Supporting'!$G:$G,,0),0)</f>
        <v>0</v>
      </c>
      <c r="P142" s="1045">
        <f t="shared" si="55"/>
        <v>0</v>
      </c>
      <c r="Q142" s="1045">
        <f t="shared" si="56"/>
        <v>0</v>
      </c>
      <c r="R142" s="1046">
        <f>IF(AND($A142&gt;=MIN('Major Assumption Key'!$B$4),$A142&lt;=MAX('Major Assumption Key'!$B$6)),Q142-P142,0)</f>
        <v>0</v>
      </c>
      <c r="S142" s="1047" cm="1">
        <f t="array" ref="S142">IF(AND(A46&gt;=$B$2,A46&lt;=$B$4),_xlfn.XLOOKUP(A142,'Auto Idling Supporting'!$A$28:$A$68,'Auto Idling Supporting'!$D$28:$D$68*365,,0),0)</f>
        <v>0</v>
      </c>
      <c r="T142" s="1047" cm="1">
        <f t="array" ref="T142">IF(AND(A46&gt;=$B$2,A46&lt;=$B$4),_xlfn.XLOOKUP(A142,'Auto Idling Supporting'!$A$28:$A$68,'Auto Idling Supporting'!$G$28:$G$68*365,,0),0)</f>
        <v>0</v>
      </c>
      <c r="U142" s="1048">
        <f t="shared" si="57"/>
        <v>0</v>
      </c>
    </row>
    <row r="143" spans="1:21" outlineLevel="1">
      <c r="A143" s="1036">
        <f t="shared" si="50"/>
        <v>2056</v>
      </c>
      <c r="B143" s="1037">
        <f t="shared" si="64"/>
        <v>0.67818386746744896</v>
      </c>
      <c r="C143" s="1037">
        <f t="shared" si="65"/>
        <v>0.70177471566259508</v>
      </c>
      <c r="D143" s="1038">
        <f>IF(AND(A47&gt;=$B$2,A47&lt;=$B$4),_xlfn.XLOOKUP(A143,'VMT Reduction Supporting'!$A:$A,'VMT Reduction Supporting'!$C:$C,,0),0)</f>
        <v>0</v>
      </c>
      <c r="E143" s="1039">
        <f>IF(AND(A47&gt;=$B$2,A47&lt;=$B$4),_xlfn.XLOOKUP(A143,'VMT Reduction Supporting'!$A:$A,'VMT Reduction Supporting'!$F:$F,,0),0)</f>
        <v>0</v>
      </c>
      <c r="F143" s="1040">
        <f t="shared" si="51"/>
        <v>0</v>
      </c>
      <c r="G143" s="1040">
        <f t="shared" si="52"/>
        <v>0</v>
      </c>
      <c r="H143" s="1041">
        <f>IF(AND($A143&gt;=MIN('Major Assumption Key'!$B$4),$A143&lt;=MAX('Major Assumption Key'!$B$6)),G143-F143,0)</f>
        <v>0</v>
      </c>
      <c r="I143" s="1038">
        <f>IF(AND(A47&gt;=$B$2,A47&lt;=$B$4),_xlfn.XLOOKUP(A143,'VMT Reduction Supporting'!$A:$A,'VMT Reduction Supporting'!$B:$B,,0),0)</f>
        <v>0</v>
      </c>
      <c r="J143" s="1042">
        <f>IF(AND(A47&gt;=$B$2,A47&lt;=$B$4),_xlfn.XLOOKUP(A143,'VMT Reduction Supporting'!$A:$A,'VMT Reduction Supporting'!$E:$E,,0),0)</f>
        <v>0</v>
      </c>
      <c r="K143" s="1043">
        <f t="shared" si="53"/>
        <v>0</v>
      </c>
      <c r="L143" s="1043">
        <f t="shared" si="54"/>
        <v>0</v>
      </c>
      <c r="M143" s="1044">
        <f>IF(AND($A143&gt;=MIN('Major Assumption Key'!$B$4),$A143&lt;=MAX('Major Assumption Key'!$B$6)),L143-K143,0)</f>
        <v>0</v>
      </c>
      <c r="N143" s="1038">
        <f>IF(AND(A47&gt;=$B$2,A47&lt;=$B$4),_xlfn.XLOOKUP(A143,'VMT Reduction Supporting'!$A:$A,'VMT Reduction Supporting'!$D:$D,,0),0)</f>
        <v>0</v>
      </c>
      <c r="O143" s="1042">
        <f>IF(AND(A47&gt;=$B$2,A47&lt;=$B$4),_xlfn.XLOOKUP(A143,'VMT Reduction Supporting'!$A:$A,'VMT Reduction Supporting'!$G:$G,,0),0)</f>
        <v>0</v>
      </c>
      <c r="P143" s="1045">
        <f t="shared" si="55"/>
        <v>0</v>
      </c>
      <c r="Q143" s="1045">
        <f t="shared" si="56"/>
        <v>0</v>
      </c>
      <c r="R143" s="1046">
        <f>IF(AND($A143&gt;=MIN('Major Assumption Key'!$B$4),$A143&lt;=MAX('Major Assumption Key'!$B$6)),Q143-P143,0)</f>
        <v>0</v>
      </c>
      <c r="S143" s="1047" cm="1">
        <f t="array" ref="S143">IF(AND(A47&gt;=$B$2,A47&lt;=$B$4),_xlfn.XLOOKUP(A143,'Auto Idling Supporting'!$A$28:$A$68,'Auto Idling Supporting'!$D$28:$D$68*365,,0),0)</f>
        <v>0</v>
      </c>
      <c r="T143" s="1047" cm="1">
        <f t="array" ref="T143">IF(AND(A47&gt;=$B$2,A47&lt;=$B$4),_xlfn.XLOOKUP(A143,'Auto Idling Supporting'!$A$28:$A$68,'Auto Idling Supporting'!$G$28:$G$68*365,,0),0)</f>
        <v>0</v>
      </c>
      <c r="U143" s="1048">
        <f t="shared" si="57"/>
        <v>0</v>
      </c>
    </row>
    <row r="144" spans="1:21" outlineLevel="1">
      <c r="A144" s="1036">
        <f t="shared" si="50"/>
        <v>2057</v>
      </c>
      <c r="B144" s="1037">
        <f t="shared" si="64"/>
        <v>0.67243904300631785</v>
      </c>
      <c r="C144" s="1037">
        <f t="shared" si="65"/>
        <v>0.70159347082329737</v>
      </c>
      <c r="D144" s="1038">
        <f>IF(AND(A48&gt;=$B$2,A48&lt;=$B$4),_xlfn.XLOOKUP(A144,'VMT Reduction Supporting'!$A:$A,'VMT Reduction Supporting'!$C:$C,,0),0)</f>
        <v>0</v>
      </c>
      <c r="E144" s="1039">
        <f>IF(AND(A48&gt;=$B$2,A48&lt;=$B$4),_xlfn.XLOOKUP(A144,'VMT Reduction Supporting'!$A:$A,'VMT Reduction Supporting'!$F:$F,,0),0)</f>
        <v>0</v>
      </c>
      <c r="F144" s="1040">
        <f t="shared" si="51"/>
        <v>0</v>
      </c>
      <c r="G144" s="1040">
        <f t="shared" si="52"/>
        <v>0</v>
      </c>
      <c r="H144" s="1041">
        <f>IF(AND($A144&gt;=MIN('Major Assumption Key'!$B$4),$A144&lt;=MAX('Major Assumption Key'!$B$6)),G144-F144,0)</f>
        <v>0</v>
      </c>
      <c r="I144" s="1038">
        <f>IF(AND(A48&gt;=$B$2,A48&lt;=$B$4),_xlfn.XLOOKUP(A144,'VMT Reduction Supporting'!$A:$A,'VMT Reduction Supporting'!$B:$B,,0),0)</f>
        <v>0</v>
      </c>
      <c r="J144" s="1042">
        <f>IF(AND(A48&gt;=$B$2,A48&lt;=$B$4),_xlfn.XLOOKUP(A144,'VMT Reduction Supporting'!$A:$A,'VMT Reduction Supporting'!$E:$E,,0),0)</f>
        <v>0</v>
      </c>
      <c r="K144" s="1043">
        <f t="shared" si="53"/>
        <v>0</v>
      </c>
      <c r="L144" s="1043">
        <f t="shared" si="54"/>
        <v>0</v>
      </c>
      <c r="M144" s="1044">
        <f>IF(AND($A144&gt;=MIN('Major Assumption Key'!$B$4),$A144&lt;=MAX('Major Assumption Key'!$B$6)),L144-K144,0)</f>
        <v>0</v>
      </c>
      <c r="N144" s="1038">
        <f>IF(AND(A48&gt;=$B$2,A48&lt;=$B$4),_xlfn.XLOOKUP(A144,'VMT Reduction Supporting'!$A:$A,'VMT Reduction Supporting'!$D:$D,,0),0)</f>
        <v>0</v>
      </c>
      <c r="O144" s="1042">
        <f>IF(AND(A48&gt;=$B$2,A48&lt;=$B$4),_xlfn.XLOOKUP(A144,'VMT Reduction Supporting'!$A:$A,'VMT Reduction Supporting'!$G:$G,,0),0)</f>
        <v>0</v>
      </c>
      <c r="P144" s="1045">
        <f t="shared" si="55"/>
        <v>0</v>
      </c>
      <c r="Q144" s="1045">
        <f t="shared" si="56"/>
        <v>0</v>
      </c>
      <c r="R144" s="1046">
        <f>IF(AND($A144&gt;=MIN('Major Assumption Key'!$B$4),$A144&lt;=MAX('Major Assumption Key'!$B$6)),Q144-P144,0)</f>
        <v>0</v>
      </c>
      <c r="S144" s="1047" cm="1">
        <f t="array" ref="S144">IF(AND(A48&gt;=$B$2,A48&lt;=$B$4),_xlfn.XLOOKUP(A144,'Auto Idling Supporting'!$A$28:$A$68,'Auto Idling Supporting'!$D$28:$D$68*365,,0),0)</f>
        <v>0</v>
      </c>
      <c r="T144" s="1047" cm="1">
        <f t="array" ref="T144">IF(AND(A48&gt;=$B$2,A48&lt;=$B$4),_xlfn.XLOOKUP(A144,'Auto Idling Supporting'!$A$28:$A$68,'Auto Idling Supporting'!$G$28:$G$68*365,,0),0)</f>
        <v>0</v>
      </c>
      <c r="U144" s="1048">
        <f t="shared" si="57"/>
        <v>0</v>
      </c>
    </row>
    <row r="145" spans="1:21" outlineLevel="1">
      <c r="A145" s="1036">
        <f t="shared" si="50"/>
        <v>2058</v>
      </c>
      <c r="B145" s="1037">
        <f t="shared" si="64"/>
        <v>0.66674288235108414</v>
      </c>
      <c r="C145" s="1037">
        <f t="shared" si="65"/>
        <v>0.70141227279345442</v>
      </c>
      <c r="D145" s="1038">
        <f>IF(AND(A49&gt;=$B$2,A49&lt;=$B$4),_xlfn.XLOOKUP(A145,'VMT Reduction Supporting'!$A:$A,'VMT Reduction Supporting'!$C:$C,,0),0)</f>
        <v>0</v>
      </c>
      <c r="E145" s="1039">
        <f>IF(AND(A49&gt;=$B$2,A49&lt;=$B$4),_xlfn.XLOOKUP(A145,'VMT Reduction Supporting'!$A:$A,'VMT Reduction Supporting'!$F:$F,,0),0)</f>
        <v>0</v>
      </c>
      <c r="F145" s="1040">
        <f t="shared" si="51"/>
        <v>0</v>
      </c>
      <c r="G145" s="1040">
        <f t="shared" si="52"/>
        <v>0</v>
      </c>
      <c r="H145" s="1041">
        <f>IF(AND($A145&gt;=MIN('Major Assumption Key'!$B$4),$A145&lt;=MAX('Major Assumption Key'!$B$6)),G145-F145,0)</f>
        <v>0</v>
      </c>
      <c r="I145" s="1038">
        <f>IF(AND(A49&gt;=$B$2,A49&lt;=$B$4),_xlfn.XLOOKUP(A145,'VMT Reduction Supporting'!$A:$A,'VMT Reduction Supporting'!$B:$B,,0),0)</f>
        <v>0</v>
      </c>
      <c r="J145" s="1042">
        <f>IF(AND(A49&gt;=$B$2,A49&lt;=$B$4),_xlfn.XLOOKUP(A145,'VMT Reduction Supporting'!$A:$A,'VMT Reduction Supporting'!$E:$E,,0),0)</f>
        <v>0</v>
      </c>
      <c r="K145" s="1043">
        <f t="shared" si="53"/>
        <v>0</v>
      </c>
      <c r="L145" s="1043">
        <f t="shared" si="54"/>
        <v>0</v>
      </c>
      <c r="M145" s="1044">
        <f>IF(AND($A145&gt;=MIN('Major Assumption Key'!$B$4),$A145&lt;=MAX('Major Assumption Key'!$B$6)),L145-K145,0)</f>
        <v>0</v>
      </c>
      <c r="N145" s="1038">
        <f>IF(AND(A49&gt;=$B$2,A49&lt;=$B$4),_xlfn.XLOOKUP(A145,'VMT Reduction Supporting'!$A:$A,'VMT Reduction Supporting'!$D:$D,,0),0)</f>
        <v>0</v>
      </c>
      <c r="O145" s="1042">
        <f>IF(AND(A49&gt;=$B$2,A49&lt;=$B$4),_xlfn.XLOOKUP(A145,'VMT Reduction Supporting'!$A:$A,'VMT Reduction Supporting'!$G:$G,,0),0)</f>
        <v>0</v>
      </c>
      <c r="P145" s="1045">
        <f t="shared" si="55"/>
        <v>0</v>
      </c>
      <c r="Q145" s="1045">
        <f t="shared" si="56"/>
        <v>0</v>
      </c>
      <c r="R145" s="1046">
        <f>IF(AND($A145&gt;=MIN('Major Assumption Key'!$B$4),$A145&lt;=MAX('Major Assumption Key'!$B$6)),Q145-P145,0)</f>
        <v>0</v>
      </c>
      <c r="S145" s="1047" cm="1">
        <f t="array" ref="S145">IF(AND(A49&gt;=$B$2,A49&lt;=$B$4),_xlfn.XLOOKUP(A145,'Auto Idling Supporting'!$A$28:$A$68,'Auto Idling Supporting'!$D$28:$D$68*365,,0),0)</f>
        <v>0</v>
      </c>
      <c r="T145" s="1047" cm="1">
        <f t="array" ref="T145">IF(AND(A49&gt;=$B$2,A49&lt;=$B$4),_xlfn.XLOOKUP(A145,'Auto Idling Supporting'!$A$28:$A$68,'Auto Idling Supporting'!$G$28:$G$68*365,,0),0)</f>
        <v>0</v>
      </c>
      <c r="U145" s="1048">
        <f t="shared" si="57"/>
        <v>0</v>
      </c>
    </row>
    <row r="146" spans="1:21" outlineLevel="1">
      <c r="A146" s="1036">
        <f t="shared" si="50"/>
        <v>2059</v>
      </c>
      <c r="B146" s="1037">
        <f t="shared" si="64"/>
        <v>0.6610949732757484</v>
      </c>
      <c r="C146" s="1037">
        <f t="shared" si="65"/>
        <v>0.70123112156097678</v>
      </c>
      <c r="D146" s="1038">
        <f>IF(AND(A50&gt;=$B$2,A50&lt;=$B$4),_xlfn.XLOOKUP(A146,'VMT Reduction Supporting'!$A:$A,'VMT Reduction Supporting'!$C:$C,,0),0)</f>
        <v>0</v>
      </c>
      <c r="E146" s="1039">
        <f>IF(AND(A50&gt;=$B$2,A50&lt;=$B$4),_xlfn.XLOOKUP(A146,'VMT Reduction Supporting'!$A:$A,'VMT Reduction Supporting'!$F:$F,,0),0)</f>
        <v>0</v>
      </c>
      <c r="F146" s="1040">
        <f t="shared" si="51"/>
        <v>0</v>
      </c>
      <c r="G146" s="1040">
        <f t="shared" si="52"/>
        <v>0</v>
      </c>
      <c r="H146" s="1041">
        <f>IF(AND($A146&gt;=MIN('Major Assumption Key'!$B$4),$A146&lt;=MAX('Major Assumption Key'!$B$6)),G146-F146,0)</f>
        <v>0</v>
      </c>
      <c r="I146" s="1038">
        <f>IF(AND(A50&gt;=$B$2,A50&lt;=$B$4),_xlfn.XLOOKUP(A146,'VMT Reduction Supporting'!$A:$A,'VMT Reduction Supporting'!$B:$B,,0),0)</f>
        <v>0</v>
      </c>
      <c r="J146" s="1042">
        <f>IF(AND(A50&gt;=$B$2,A50&lt;=$B$4),_xlfn.XLOOKUP(A146,'VMT Reduction Supporting'!$A:$A,'VMT Reduction Supporting'!$E:$E,,0),0)</f>
        <v>0</v>
      </c>
      <c r="K146" s="1043">
        <f t="shared" si="53"/>
        <v>0</v>
      </c>
      <c r="L146" s="1043">
        <f t="shared" si="54"/>
        <v>0</v>
      </c>
      <c r="M146" s="1044">
        <f>IF(AND($A146&gt;=MIN('Major Assumption Key'!$B$4),$A146&lt;=MAX('Major Assumption Key'!$B$6)),L146-K146,0)</f>
        <v>0</v>
      </c>
      <c r="N146" s="1038">
        <f>IF(AND(A50&gt;=$B$2,A50&lt;=$B$4),_xlfn.XLOOKUP(A146,'VMT Reduction Supporting'!$A:$A,'VMT Reduction Supporting'!$D:$D,,0),0)</f>
        <v>0</v>
      </c>
      <c r="O146" s="1042">
        <f>IF(AND(A50&gt;=$B$2,A50&lt;=$B$4),_xlfn.XLOOKUP(A146,'VMT Reduction Supporting'!$A:$A,'VMT Reduction Supporting'!$G:$G,,0),0)</f>
        <v>0</v>
      </c>
      <c r="P146" s="1045">
        <f t="shared" si="55"/>
        <v>0</v>
      </c>
      <c r="Q146" s="1045">
        <f t="shared" si="56"/>
        <v>0</v>
      </c>
      <c r="R146" s="1046">
        <f>IF(AND($A146&gt;=MIN('Major Assumption Key'!$B$4),$A146&lt;=MAX('Major Assumption Key'!$B$6)),Q146-P146,0)</f>
        <v>0</v>
      </c>
      <c r="S146" s="1047" cm="1">
        <f t="array" ref="S146">IF(AND(A50&gt;=$B$2,A50&lt;=$B$4),_xlfn.XLOOKUP(A146,'Auto Idling Supporting'!$A$28:$A$68,'Auto Idling Supporting'!$D$28:$D$68*365,,0),0)</f>
        <v>0</v>
      </c>
      <c r="T146" s="1047" cm="1">
        <f t="array" ref="T146">IF(AND(A50&gt;=$B$2,A50&lt;=$B$4),_xlfn.XLOOKUP(A146,'Auto Idling Supporting'!$A$28:$A$68,'Auto Idling Supporting'!$G$28:$G$68*365,,0),0)</f>
        <v>0</v>
      </c>
      <c r="U146" s="1048">
        <f t="shared" si="57"/>
        <v>0</v>
      </c>
    </row>
    <row r="147" spans="1:21" ht="13.8" outlineLevel="1" thickBot="1">
      <c r="A147" s="1036">
        <f t="shared" si="50"/>
        <v>2060</v>
      </c>
      <c r="B147" s="1037">
        <f t="shared" si="64"/>
        <v>0.65549490704623492</v>
      </c>
      <c r="C147" s="1037">
        <f t="shared" si="65"/>
        <v>0.70105001711377846</v>
      </c>
      <c r="D147" s="1038">
        <f>IF(AND(A51&gt;=$B$2,A51&lt;=$B$4),_xlfn.XLOOKUP(A147,'VMT Reduction Supporting'!$A:$A,'VMT Reduction Supporting'!$C:$C,,0),0)</f>
        <v>0</v>
      </c>
      <c r="E147" s="1039">
        <f>IF(AND(A51&gt;=$B$2,A51&lt;=$B$4),_xlfn.XLOOKUP(A147,'VMT Reduction Supporting'!$A:$A,'VMT Reduction Supporting'!$F:$F,,0),0)</f>
        <v>0</v>
      </c>
      <c r="F147" s="1040">
        <f t="shared" si="51"/>
        <v>0</v>
      </c>
      <c r="G147" s="1040">
        <f t="shared" si="52"/>
        <v>0</v>
      </c>
      <c r="H147" s="1041">
        <f>IF(AND($A147&gt;=MIN('Major Assumption Key'!$B$4),$A147&lt;=MAX('Major Assumption Key'!$B$6)),G147-F147,0)</f>
        <v>0</v>
      </c>
      <c r="I147" s="1038">
        <f>IF(AND(A51&gt;=$B$2,A51&lt;=$B$4),_xlfn.XLOOKUP(A147,'VMT Reduction Supporting'!$A:$A,'VMT Reduction Supporting'!$B:$B,,0),0)</f>
        <v>0</v>
      </c>
      <c r="J147" s="1042">
        <f>IF(AND(A51&gt;=$B$2,A51&lt;=$B$4),_xlfn.XLOOKUP(A147,'VMT Reduction Supporting'!$A:$A,'VMT Reduction Supporting'!$E:$E,,0),0)</f>
        <v>0</v>
      </c>
      <c r="K147" s="1043">
        <f t="shared" si="53"/>
        <v>0</v>
      </c>
      <c r="L147" s="1043">
        <f t="shared" si="54"/>
        <v>0</v>
      </c>
      <c r="M147" s="1044">
        <f>IF(AND($A147&gt;=MIN('Major Assumption Key'!$B$4),$A147&lt;=MAX('Major Assumption Key'!$B$6)),L147-K147,0)</f>
        <v>0</v>
      </c>
      <c r="N147" s="1038">
        <f>IF(AND(A51&gt;=$B$2,A51&lt;=$B$4),_xlfn.XLOOKUP(A147,'VMT Reduction Supporting'!$A:$A,'VMT Reduction Supporting'!$D:$D,,0),0)</f>
        <v>0</v>
      </c>
      <c r="O147" s="1042">
        <f>IF(AND(A51&gt;=$B$2,A51&lt;=$B$4),_xlfn.XLOOKUP(A147,'VMT Reduction Supporting'!$A:$A,'VMT Reduction Supporting'!$G:$G,,0),0)</f>
        <v>0</v>
      </c>
      <c r="P147" s="1045">
        <f t="shared" si="55"/>
        <v>0</v>
      </c>
      <c r="Q147" s="1045">
        <f t="shared" si="56"/>
        <v>0</v>
      </c>
      <c r="R147" s="1046">
        <f>IF(AND($A147&gt;=MIN('Major Assumption Key'!$B$4),$A147&lt;=MAX('Major Assumption Key'!$B$6)),Q147-P147,0)</f>
        <v>0</v>
      </c>
      <c r="S147" s="1047" cm="1">
        <f t="array" ref="S147">IF(AND(A51&gt;=$B$2,A51&lt;=$B$4),_xlfn.XLOOKUP(A147,'Auto Idling Supporting'!$A$28:$A$68,'Auto Idling Supporting'!$D$28:$D$68*365,,0),0)</f>
        <v>0</v>
      </c>
      <c r="T147" s="1047" cm="1">
        <f t="array" ref="T147">IF(AND(A51&gt;=$B$2,A51&lt;=$B$4),_xlfn.XLOOKUP(A147,'Auto Idling Supporting'!$A$28:$A$68,'Auto Idling Supporting'!$G$28:$G$68*365,,0),0)</f>
        <v>0</v>
      </c>
      <c r="U147" s="1048">
        <f t="shared" si="57"/>
        <v>0</v>
      </c>
    </row>
    <row r="148" spans="1:21">
      <c r="A148" s="2120" t="s">
        <v>7301</v>
      </c>
      <c r="B148" s="2120"/>
      <c r="C148" s="2121"/>
      <c r="D148" s="1080">
        <f>SUMIFS(D107:D147,$A107:$A147,"&gt;="&amp;$B$3,$A107:$A147,"&lt;="&amp;$B$4)</f>
        <v>38266.112417412827</v>
      </c>
      <c r="E148" s="1080">
        <f>SUMIFS(E107:E147,$A107:$A147,"&gt;="&amp;$B$3,$A107:$A147,"&lt;="&amp;$B$4)</f>
        <v>522970.20303797506</v>
      </c>
      <c r="G148" s="1081"/>
      <c r="H148" s="1082">
        <f>SUMIFS(H107:H147,$A107:$A147,"&gt;="&amp;$B$3,$A107:$A147,"&lt;="&amp;$B$4)</f>
        <v>0.45675655180339059</v>
      </c>
      <c r="I148" s="1080">
        <f>SUMIFS(I107:I147,$A107:$A147,"&gt;="&amp;$B$3,$A107:$A147,"&lt;="&amp;$B$4)</f>
        <v>554858.63005248574</v>
      </c>
      <c r="J148" s="1080">
        <f>SUMIFS(J107:J147,$A107:$A147,"&gt;="&amp;$B$3,$A107:$A147,"&lt;="&amp;$B$4)</f>
        <v>562180.27784661518</v>
      </c>
      <c r="L148" s="1081"/>
      <c r="M148" s="1083">
        <f>SUMIFS(M107:M147,$A107:$A147,"&gt;="&amp;$B$3,$A107:$A147,"&lt;="&amp;$B$4)</f>
        <v>7.0200465026777556E-3</v>
      </c>
      <c r="N148" s="1080">
        <f>SUMIFS(N107:N147,$A107:$A147,"&gt;="&amp;$B$3,$A107:$A147,"&lt;="&amp;$B$4)</f>
        <v>2066966.0090962988</v>
      </c>
      <c r="O148" s="1080">
        <f>SUMIFS(O107:O147,$A107:$A147,"&gt;="&amp;$B$3,$A107:$A147,"&lt;="&amp;$B$4)</f>
        <v>2333604.6242697216</v>
      </c>
      <c r="Q148" s="1081"/>
      <c r="R148" s="1084">
        <f>SUMIFS(R107:R147,$A107:$A147,"&gt;="&amp;$B$3,$A107:$A147,"&lt;="&amp;$B$4)</f>
        <v>0.25390489070848976</v>
      </c>
      <c r="S148" s="2113"/>
      <c r="T148" s="2114"/>
      <c r="U148" s="1085">
        <f>SUMIFS(U107:U147,$A107:$A147,"&gt;="&amp;$B$3,$A107:$A147,"&lt;="&amp;$B$4)</f>
        <v>0</v>
      </c>
    </row>
    <row r="149" spans="1:21" ht="13.8" thickBot="1">
      <c r="A149" s="2117" t="s">
        <v>7289</v>
      </c>
      <c r="B149" s="2117"/>
      <c r="C149" s="2118"/>
      <c r="D149" s="1087">
        <f>AVERAGEIFS(D107:D147,$A107:$A147,"&gt;="&amp;$B$3,$A107:$A147,"&lt;="&amp;$B$4)</f>
        <v>1471.773554515878</v>
      </c>
      <c r="E149" s="1087">
        <f>AVERAGEIFS(E107:E147,$A107:$A147,"&gt;="&amp;$B$3,$A107:$A147,"&lt;="&amp;$B$4)</f>
        <v>20114.238578383658</v>
      </c>
      <c r="H149" s="1088">
        <f>AVERAGEIFS(H107:H147,$A107:$A147,"&gt;="&amp;$B$3,$A107:$A147,"&lt;="&amp;$B$4)</f>
        <v>1.7567559684745791E-2</v>
      </c>
      <c r="I149" s="1087">
        <f>AVERAGEIFS(I107:I147,$A107:$A147,"&gt;="&amp;$B$3,$A107:$A147,"&lt;="&amp;$B$4)</f>
        <v>21340.716540480222</v>
      </c>
      <c r="J149" s="1087">
        <f>AVERAGEIFS(J107:J147,$A107:$A147,"&gt;="&amp;$B$3,$A107:$A147,"&lt;="&amp;$B$4)</f>
        <v>21622.318378715969</v>
      </c>
      <c r="M149" s="1089">
        <f>AVERAGEIFS(M107:M147,$A107:$A147,"&gt;="&amp;$B$3,$A107:$A147,"&lt;="&amp;$B$4)</f>
        <v>2.7000178856452907E-4</v>
      </c>
      <c r="N149" s="1087">
        <f>AVERAGEIFS(N107:N147,$A107:$A147,"&gt;="&amp;$B$3,$A107:$A147,"&lt;="&amp;$B$4)</f>
        <v>79498.692657549953</v>
      </c>
      <c r="O149" s="1087">
        <f>AVERAGEIFS(O107:O147,$A107:$A147,"&gt;="&amp;$B$3,$A107:$A147,"&lt;="&amp;$B$4)</f>
        <v>89754.024010373905</v>
      </c>
      <c r="R149" s="1090">
        <f>AVERAGEIFS(R107:R147,$A107:$A147,"&gt;="&amp;$B$3,$A107:$A147,"&lt;="&amp;$B$4)</f>
        <v>9.7655727195572993E-3</v>
      </c>
      <c r="U149" s="1091">
        <f>AVERAGEIFS(U107:U147,$A107:$A147,"&gt;="&amp;$B$3,$A107:$A147,"&lt;="&amp;$B$4)</f>
        <v>0</v>
      </c>
    </row>
    <row r="150" spans="1:21" ht="13.8" thickBot="1">
      <c r="A150" s="1049"/>
      <c r="B150" s="1049"/>
      <c r="C150" s="1049"/>
    </row>
    <row r="151" spans="1:21" ht="13.8" thickBot="1">
      <c r="A151" s="1050" t="str">
        <f>J9</f>
        <v>NOx</v>
      </c>
      <c r="B151" s="1051"/>
      <c r="C151" s="1051"/>
      <c r="D151" s="2108" t="s">
        <v>7290</v>
      </c>
      <c r="E151" s="2109"/>
      <c r="F151" s="2109"/>
      <c r="G151" s="2109"/>
      <c r="H151" s="2110"/>
      <c r="I151" s="2102" t="s">
        <v>7291</v>
      </c>
      <c r="J151" s="2103"/>
      <c r="K151" s="2103"/>
      <c r="L151" s="2103"/>
      <c r="M151" s="2104"/>
      <c r="N151" s="2105" t="s">
        <v>7292</v>
      </c>
      <c r="O151" s="2106"/>
      <c r="P151" s="2106"/>
      <c r="Q151" s="2106"/>
      <c r="R151" s="2107"/>
      <c r="S151" s="2105" t="s">
        <v>7293</v>
      </c>
      <c r="T151" s="2106"/>
      <c r="U151" s="2107"/>
    </row>
    <row r="152" spans="1:21">
      <c r="A152" s="2111" t="s">
        <v>510</v>
      </c>
      <c r="B152" s="1052" t="s">
        <v>7294</v>
      </c>
      <c r="C152" s="1052" t="s">
        <v>7295</v>
      </c>
      <c r="D152" s="1053" t="s">
        <v>66</v>
      </c>
      <c r="E152" s="1054" t="s">
        <v>131</v>
      </c>
      <c r="F152" s="1055" t="s">
        <v>487</v>
      </c>
      <c r="G152" s="1055" t="s">
        <v>131</v>
      </c>
      <c r="H152" s="1056" t="s">
        <v>7296</v>
      </c>
      <c r="I152" s="1057" t="s">
        <v>66</v>
      </c>
      <c r="J152" s="1058" t="s">
        <v>131</v>
      </c>
      <c r="K152" s="1059" t="s">
        <v>487</v>
      </c>
      <c r="L152" s="1059" t="s">
        <v>131</v>
      </c>
      <c r="M152" s="1060" t="s">
        <v>7296</v>
      </c>
      <c r="N152" s="1057" t="s">
        <v>66</v>
      </c>
      <c r="O152" s="1058" t="s">
        <v>131</v>
      </c>
      <c r="P152" s="1061" t="s">
        <v>487</v>
      </c>
      <c r="Q152" s="1061" t="s">
        <v>131</v>
      </c>
      <c r="R152" s="1062" t="s">
        <v>7296</v>
      </c>
      <c r="S152" s="1063" t="s">
        <v>487</v>
      </c>
      <c r="T152" s="1064" t="s">
        <v>131</v>
      </c>
      <c r="U152" s="1065" t="s">
        <v>7296</v>
      </c>
    </row>
    <row r="153" spans="1:21" ht="39.6">
      <c r="A153" s="2112"/>
      <c r="B153" s="1066" t="s">
        <v>7297</v>
      </c>
      <c r="C153" s="1066" t="s">
        <v>7297</v>
      </c>
      <c r="D153" s="1067" t="s">
        <v>7298</v>
      </c>
      <c r="E153" s="1068" t="s">
        <v>7298</v>
      </c>
      <c r="F153" s="1069" t="s">
        <v>7299</v>
      </c>
      <c r="G153" s="1069" t="s">
        <v>7299</v>
      </c>
      <c r="H153" s="1070" t="s">
        <v>7300</v>
      </c>
      <c r="I153" s="1067" t="s">
        <v>7298</v>
      </c>
      <c r="J153" s="1068" t="s">
        <v>7298</v>
      </c>
      <c r="K153" s="1071" t="s">
        <v>7299</v>
      </c>
      <c r="L153" s="1071" t="s">
        <v>7299</v>
      </c>
      <c r="M153" s="1072" t="s">
        <v>7300</v>
      </c>
      <c r="N153" s="1067" t="s">
        <v>7298</v>
      </c>
      <c r="O153" s="1068" t="s">
        <v>7298</v>
      </c>
      <c r="P153" s="1073" t="s">
        <v>7299</v>
      </c>
      <c r="Q153" s="1073" t="s">
        <v>7299</v>
      </c>
      <c r="R153" s="1074" t="s">
        <v>7300</v>
      </c>
      <c r="S153" s="1075" t="s">
        <v>7299</v>
      </c>
      <c r="T153" s="1076" t="s">
        <v>7299</v>
      </c>
      <c r="U153" s="1077" t="s">
        <v>7300</v>
      </c>
    </row>
    <row r="154" spans="1:21" outlineLevel="1">
      <c r="A154" s="1451">
        <f>A11</f>
        <v>2020</v>
      </c>
      <c r="B154" s="1078">
        <f>VLOOKUP($B$5,'Emission Factors'!$A$5:$F$21,4,FALSE)</f>
        <v>7.431409853840662E-2</v>
      </c>
      <c r="C154" s="1078">
        <f>VLOOKUP($B$6,'Emission Factors'!$A$28:$F$44,4,FALSE)</f>
        <v>8.5305706262588501</v>
      </c>
      <c r="D154" s="1038">
        <f>IF(AND(A11&gt;=$B$2,A11&lt;=$B$4),_xlfn.XLOOKUP(A154,'VMT Reduction Supporting'!$A:$A,'VMT Reduction Supporting'!$C:$C,,0),0)</f>
        <v>0</v>
      </c>
      <c r="E154" s="1039">
        <f>IF(AND(A11&gt;=$B$2,A11&lt;=$B$4),_xlfn.XLOOKUP(A154,'VMT Reduction Supporting'!$A:$A,'VMT Reduction Supporting'!$F:$F,,0),0)</f>
        <v>0</v>
      </c>
      <c r="F154" s="1040">
        <f t="shared" ref="F154" si="66">($B154*D154)/1000000</f>
        <v>0</v>
      </c>
      <c r="G154" s="1040">
        <f>IFERROR(($B154*E154)/1000000,"N/A")</f>
        <v>0</v>
      </c>
      <c r="H154" s="1041">
        <f>IF(AND($A154&gt;=MIN('Major Assumption Key'!$B$4),$A154&lt;=MAX('Major Assumption Key'!$B$6)),G154-F154,0)</f>
        <v>0</v>
      </c>
      <c r="I154" s="1038">
        <f>IF(AND(A11&gt;=$B$2,A11&lt;=$B$4),_xlfn.XLOOKUP(A154,'VMT Reduction Supporting'!$A:$A,'VMT Reduction Supporting'!$B:$B,,0),0)</f>
        <v>0</v>
      </c>
      <c r="J154" s="1042">
        <f>IF(AND(A11&gt;=$B$2,A11&lt;=$B$4),_xlfn.XLOOKUP(A154,'VMT Reduction Supporting'!$A:$A,'VMT Reduction Supporting'!$E:$E,,0),0)</f>
        <v>0</v>
      </c>
      <c r="K154" s="1043">
        <f>($B154*I154)/1000000</f>
        <v>0</v>
      </c>
      <c r="L154" s="1043">
        <f>($B154*J154)/1000000</f>
        <v>0</v>
      </c>
      <c r="M154" s="1044">
        <f>IF(AND($A154&gt;=MIN('Major Assumption Key'!$B$4),$A154&lt;=MAX('Major Assumption Key'!$B$6)),L154-K154,0)</f>
        <v>0</v>
      </c>
      <c r="N154" s="1038">
        <f>IF(AND(A11&gt;=$B$2,A11&lt;=$B$4),_xlfn.XLOOKUP(A154,'VMT Reduction Supporting'!$A:$A,'VMT Reduction Supporting'!$D:$D,,0),0)</f>
        <v>0</v>
      </c>
      <c r="O154" s="1042">
        <f>IF(AND(A11&gt;=$B$2,A11&lt;=$B$4),_xlfn.XLOOKUP(A154,'VMT Reduction Supporting'!$A:$A,'VMT Reduction Supporting'!$G:$G,,0),0)</f>
        <v>0</v>
      </c>
      <c r="P154" s="1045">
        <f t="shared" ref="P154" si="67">($C154*N154)/1000000</f>
        <v>0</v>
      </c>
      <c r="Q154" s="1045">
        <f t="shared" ref="Q154" si="68">($C154*O154)/1000000</f>
        <v>0</v>
      </c>
      <c r="R154" s="1046">
        <f>IF(AND($A154&gt;=MIN('Major Assumption Key'!$B$4),$A154&lt;=MAX('Major Assumption Key'!$B$6)),Q154-P154,0)</f>
        <v>0</v>
      </c>
      <c r="S154" s="1047">
        <f>_xlfn.XLOOKUP(A154,'Auto Idling Env. Benefits'!F:F,'Auto Idling Env. Benefits'!J:J,,0)</f>
        <v>0</v>
      </c>
      <c r="T154" s="1047">
        <f>_xlfn.XLOOKUP(A154,'Auto Idling Env. Benefits'!F:F,'Auto Idling Env. Benefits'!Q:Q,,0)</f>
        <v>0</v>
      </c>
      <c r="U154" s="1048">
        <f>IF(AND($A154&gt;=MIN('Major Assumption Key'!$B$4),$A154&lt;=MAX('Major Assumption Key'!$B$6)),S154-T154,0)</f>
        <v>0</v>
      </c>
    </row>
    <row r="155" spans="1:21" outlineLevel="1">
      <c r="A155" s="1036">
        <f t="shared" ref="A155:A194" si="69">A12</f>
        <v>2021</v>
      </c>
      <c r="B155" s="1037">
        <f>$B$164*(($B$154/$B$164)^(1/($A$154-$A$164))^(A155-$A$164))</f>
        <v>6.6322124058755663E-2</v>
      </c>
      <c r="C155" s="1037">
        <f>$C$164*(($C$154/$C$164)^(1/($A$154-$A$164))^(A155-$A$164))</f>
        <v>7.7191376482052965</v>
      </c>
      <c r="D155" s="1038">
        <f>IF(AND(A12&gt;=$B$2,A12&lt;=$B$4),_xlfn.XLOOKUP(A155,'VMT Reduction Supporting'!$A:$A,'VMT Reduction Supporting'!$C:$C,,0),0)</f>
        <v>0</v>
      </c>
      <c r="E155" s="1039">
        <f>IF(AND(A12&gt;=$B$2,A12&lt;=$B$4),_xlfn.XLOOKUP(A155,'VMT Reduction Supporting'!$A:$A,'VMT Reduction Supporting'!$F:$F,,0),0)</f>
        <v>0</v>
      </c>
      <c r="F155" s="1040">
        <f t="shared" ref="F155:F194" si="70">($B155*D155)/1000000</f>
        <v>0</v>
      </c>
      <c r="G155" s="1040">
        <f t="shared" ref="G155:G194" si="71">IFERROR(($B155*E155)/1000000,"N/A")</f>
        <v>0</v>
      </c>
      <c r="H155" s="1041">
        <f>IF(AND($A155&gt;=MIN('Major Assumption Key'!$B$4),$A155&lt;=MAX('Major Assumption Key'!$B$6)),G155-F155,0)</f>
        <v>0</v>
      </c>
      <c r="I155" s="1038">
        <f>IF(AND(A12&gt;=$B$2,A12&lt;=$B$4),_xlfn.XLOOKUP(A155,'VMT Reduction Supporting'!$A:$A,'VMT Reduction Supporting'!$B:$B,,0),0)</f>
        <v>0</v>
      </c>
      <c r="J155" s="1042">
        <f>IF(AND(A12&gt;=$B$2,A12&lt;=$B$4),_xlfn.XLOOKUP(A155,'VMT Reduction Supporting'!$A:$A,'VMT Reduction Supporting'!$E:$E,,0),0)</f>
        <v>0</v>
      </c>
      <c r="K155" s="1043">
        <f t="shared" ref="K155:K193" si="72">($B155*I155)/1000000</f>
        <v>0</v>
      </c>
      <c r="L155" s="1043">
        <f t="shared" ref="L155:L193" si="73">($B155*J155)/1000000</f>
        <v>0</v>
      </c>
      <c r="M155" s="1044">
        <f>IF(AND($A155&gt;=MIN('Major Assumption Key'!$B$4),$A155&lt;=MAX('Major Assumption Key'!$B$6)),L155-K155,0)</f>
        <v>0</v>
      </c>
      <c r="N155" s="1038">
        <f>IF(AND(A12&gt;=$B$2,A12&lt;=$B$4),_xlfn.XLOOKUP(A155,'VMT Reduction Supporting'!$A:$A,'VMT Reduction Supporting'!$D:$D,,0),0)</f>
        <v>0</v>
      </c>
      <c r="O155" s="1042">
        <f>IF(AND(A12&gt;=$B$2,A12&lt;=$B$4),_xlfn.XLOOKUP(A155,'VMT Reduction Supporting'!$A:$A,'VMT Reduction Supporting'!$G:$G,,0),0)</f>
        <v>0</v>
      </c>
      <c r="P155" s="1045">
        <f t="shared" ref="P155:P194" si="74">($C155*N155)/1000000</f>
        <v>0</v>
      </c>
      <c r="Q155" s="1045">
        <f t="shared" ref="Q155:Q194" si="75">($C155*O155)/1000000</f>
        <v>0</v>
      </c>
      <c r="R155" s="1046">
        <f>IF(AND($A155&gt;=MIN('Major Assumption Key'!$B$4),$A155&lt;=MAX('Major Assumption Key'!$B$6)),Q155-P155,0)</f>
        <v>0</v>
      </c>
      <c r="S155" s="1047">
        <f>_xlfn.XLOOKUP(A155,'Auto Idling Env. Benefits'!F:F,'Auto Idling Env. Benefits'!J:J,,0)</f>
        <v>0</v>
      </c>
      <c r="T155" s="1047">
        <f>_xlfn.XLOOKUP(A155,'Auto Idling Env. Benefits'!F:F,'Auto Idling Env. Benefits'!Q:Q,,0)</f>
        <v>0</v>
      </c>
      <c r="U155" s="1048">
        <f>IF(AND($A155&gt;=MIN('Major Assumption Key'!$B$4),$A155&lt;=MAX('Major Assumption Key'!$B$6)),S155-T155,0)</f>
        <v>0</v>
      </c>
    </row>
    <row r="156" spans="1:21" outlineLevel="1">
      <c r="A156" s="1036">
        <f t="shared" si="69"/>
        <v>2022</v>
      </c>
      <c r="B156" s="1037">
        <f t="shared" ref="B156:B163" si="76">$B$164*(($B$154/$B$164)^(1/($A$154-$A$164))^(A156-$A$164))</f>
        <v>5.9189631929555148E-2</v>
      </c>
      <c r="C156" s="1037">
        <f t="shared" ref="C156:C163" si="77">$C$164*(($C$154/$C$164)^(1/($A$154-$A$164))^(A156-$A$164))</f>
        <v>6.9848886601472184</v>
      </c>
      <c r="D156" s="1038">
        <f>IF(AND(A13&gt;=$B$2,A13&lt;=$B$4),_xlfn.XLOOKUP(A156,'VMT Reduction Supporting'!$A:$A,'VMT Reduction Supporting'!$C:$C,,0),0)</f>
        <v>0</v>
      </c>
      <c r="E156" s="1039">
        <f>IF(AND(A13&gt;=$B$2,A13&lt;=$B$4),_xlfn.XLOOKUP(A156,'VMT Reduction Supporting'!$A:$A,'VMT Reduction Supporting'!$F:$F,,0),0)</f>
        <v>0</v>
      </c>
      <c r="F156" s="1040">
        <f t="shared" si="70"/>
        <v>0</v>
      </c>
      <c r="G156" s="1040">
        <f t="shared" si="71"/>
        <v>0</v>
      </c>
      <c r="H156" s="1041">
        <f>IF(AND($A156&gt;=MIN('Major Assumption Key'!$B$4),$A156&lt;=MAX('Major Assumption Key'!$B$6)),G156-F156,0)</f>
        <v>0</v>
      </c>
      <c r="I156" s="1038">
        <f>IF(AND(A13&gt;=$B$2,A13&lt;=$B$4),_xlfn.XLOOKUP(A156,'VMT Reduction Supporting'!$A:$A,'VMT Reduction Supporting'!$B:$B,,0),0)</f>
        <v>0</v>
      </c>
      <c r="J156" s="1042">
        <f>IF(AND(A13&gt;=$B$2,A13&lt;=$B$4),_xlfn.XLOOKUP(A156,'VMT Reduction Supporting'!$A:$A,'VMT Reduction Supporting'!$E:$E,,0),0)</f>
        <v>0</v>
      </c>
      <c r="K156" s="1043">
        <f t="shared" si="72"/>
        <v>0</v>
      </c>
      <c r="L156" s="1043">
        <f t="shared" si="73"/>
        <v>0</v>
      </c>
      <c r="M156" s="1044">
        <f>IF(AND($A156&gt;=MIN('Major Assumption Key'!$B$4),$A156&lt;=MAX('Major Assumption Key'!$B$6)),L156-K156,0)</f>
        <v>0</v>
      </c>
      <c r="N156" s="1038">
        <f>IF(AND(A13&gt;=$B$2,A13&lt;=$B$4),_xlfn.XLOOKUP(A156,'VMT Reduction Supporting'!$A:$A,'VMT Reduction Supporting'!$D:$D,,0),0)</f>
        <v>0</v>
      </c>
      <c r="O156" s="1042">
        <f>IF(AND(A13&gt;=$B$2,A13&lt;=$B$4),_xlfn.XLOOKUP(A156,'VMT Reduction Supporting'!$A:$A,'VMT Reduction Supporting'!$G:$G,,0),0)</f>
        <v>0</v>
      </c>
      <c r="P156" s="1045">
        <f t="shared" si="74"/>
        <v>0</v>
      </c>
      <c r="Q156" s="1045">
        <f t="shared" si="75"/>
        <v>0</v>
      </c>
      <c r="R156" s="1046">
        <f>IF(AND($A156&gt;=MIN('Major Assumption Key'!$B$4),$A156&lt;=MAX('Major Assumption Key'!$B$6)),Q156-P156,0)</f>
        <v>0</v>
      </c>
      <c r="S156" s="1047">
        <f>_xlfn.XLOOKUP(A156,'Auto Idling Env. Benefits'!F:F,'Auto Idling Env. Benefits'!J:J,,0)</f>
        <v>0</v>
      </c>
      <c r="T156" s="1047">
        <f>_xlfn.XLOOKUP(A156,'Auto Idling Env. Benefits'!F:F,'Auto Idling Env. Benefits'!Q:Q,,0)</f>
        <v>0</v>
      </c>
      <c r="U156" s="1048">
        <f>IF(AND($A156&gt;=MIN('Major Assumption Key'!$B$4),$A156&lt;=MAX('Major Assumption Key'!$B$6)),S156-T156,0)</f>
        <v>0</v>
      </c>
    </row>
    <row r="157" spans="1:21" outlineLevel="1">
      <c r="A157" s="1036">
        <f t="shared" si="69"/>
        <v>2023</v>
      </c>
      <c r="B157" s="1037">
        <f t="shared" si="76"/>
        <v>5.2824190685637491E-2</v>
      </c>
      <c r="C157" s="1037">
        <f t="shared" si="77"/>
        <v>6.3204818748110521</v>
      </c>
      <c r="D157" s="1038">
        <f>IF(AND(A14&gt;=$B$2,A14&lt;=$B$4),_xlfn.XLOOKUP(A157,'VMT Reduction Supporting'!$A:$A,'VMT Reduction Supporting'!$C:$C,,0),0)</f>
        <v>0</v>
      </c>
      <c r="E157" s="1039">
        <f>IF(AND(A14&gt;=$B$2,A14&lt;=$B$4),_xlfn.XLOOKUP(A157,'VMT Reduction Supporting'!$A:$A,'VMT Reduction Supporting'!$F:$F,,0),0)</f>
        <v>0</v>
      </c>
      <c r="F157" s="1040">
        <f t="shared" si="70"/>
        <v>0</v>
      </c>
      <c r="G157" s="1040">
        <f t="shared" si="71"/>
        <v>0</v>
      </c>
      <c r="H157" s="1041">
        <f>IF(AND($A157&gt;=MIN('Major Assumption Key'!$B$4),$A157&lt;=MAX('Major Assumption Key'!$B$6)),G157-F157,0)</f>
        <v>0</v>
      </c>
      <c r="I157" s="1038">
        <f>IF(AND(A14&gt;=$B$2,A14&lt;=$B$4),_xlfn.XLOOKUP(A157,'VMT Reduction Supporting'!$A:$A,'VMT Reduction Supporting'!$B:$B,,0),0)</f>
        <v>0</v>
      </c>
      <c r="J157" s="1042">
        <f>IF(AND(A14&gt;=$B$2,A14&lt;=$B$4),_xlfn.XLOOKUP(A157,'VMT Reduction Supporting'!$A:$A,'VMT Reduction Supporting'!$E:$E,,0),0)</f>
        <v>0</v>
      </c>
      <c r="K157" s="1043">
        <f t="shared" si="72"/>
        <v>0</v>
      </c>
      <c r="L157" s="1043">
        <f t="shared" si="73"/>
        <v>0</v>
      </c>
      <c r="M157" s="1044">
        <f>IF(AND($A157&gt;=MIN('Major Assumption Key'!$B$4),$A157&lt;=MAX('Major Assumption Key'!$B$6)),L157-K157,0)</f>
        <v>0</v>
      </c>
      <c r="N157" s="1038">
        <f>IF(AND(A14&gt;=$B$2,A14&lt;=$B$4),_xlfn.XLOOKUP(A157,'VMT Reduction Supporting'!$A:$A,'VMT Reduction Supporting'!$D:$D,,0),0)</f>
        <v>0</v>
      </c>
      <c r="O157" s="1042">
        <f>IF(AND(A14&gt;=$B$2,A14&lt;=$B$4),_xlfn.XLOOKUP(A157,'VMT Reduction Supporting'!$A:$A,'VMT Reduction Supporting'!$G:$G,,0),0)</f>
        <v>0</v>
      </c>
      <c r="P157" s="1045">
        <f t="shared" si="74"/>
        <v>0</v>
      </c>
      <c r="Q157" s="1045">
        <f t="shared" si="75"/>
        <v>0</v>
      </c>
      <c r="R157" s="1046">
        <f>IF(AND($A157&gt;=MIN('Major Assumption Key'!$B$4),$A157&lt;=MAX('Major Assumption Key'!$B$6)),Q157-P157,0)</f>
        <v>0</v>
      </c>
      <c r="S157" s="1047">
        <f>_xlfn.XLOOKUP(A157,'Auto Idling Env. Benefits'!F:F,'Auto Idling Env. Benefits'!J:J,,0)</f>
        <v>0</v>
      </c>
      <c r="T157" s="1047">
        <f>_xlfn.XLOOKUP(A157,'Auto Idling Env. Benefits'!F:F,'Auto Idling Env. Benefits'!Q:Q,,0)</f>
        <v>0</v>
      </c>
      <c r="U157" s="1048">
        <f>IF(AND($A157&gt;=MIN('Major Assumption Key'!$B$4),$A157&lt;=MAX('Major Assumption Key'!$B$6)),S157-T157,0)</f>
        <v>0</v>
      </c>
    </row>
    <row r="158" spans="1:21" outlineLevel="1">
      <c r="A158" s="1036">
        <f t="shared" si="69"/>
        <v>2024</v>
      </c>
      <c r="B158" s="1037">
        <f t="shared" si="76"/>
        <v>4.7143309235536279E-2</v>
      </c>
      <c r="C158" s="1037">
        <f t="shared" si="77"/>
        <v>5.7192738601180606</v>
      </c>
      <c r="D158" s="1038">
        <f>IF(AND(A15&gt;=$B$2,A15&lt;=$B$4),_xlfn.XLOOKUP(A158,'VMT Reduction Supporting'!$A:$A,'VMT Reduction Supporting'!$C:$C,,0),0)</f>
        <v>0</v>
      </c>
      <c r="E158" s="1039">
        <f>IF(AND(A15&gt;=$B$2,A15&lt;=$B$4),_xlfn.XLOOKUP(A158,'VMT Reduction Supporting'!$A:$A,'VMT Reduction Supporting'!$F:$F,,0),0)</f>
        <v>0</v>
      </c>
      <c r="F158" s="1040">
        <f t="shared" si="70"/>
        <v>0</v>
      </c>
      <c r="G158" s="1040">
        <f t="shared" si="71"/>
        <v>0</v>
      </c>
      <c r="H158" s="1041">
        <f>IF(AND($A158&gt;=MIN('Major Assumption Key'!$B$4),$A158&lt;=MAX('Major Assumption Key'!$B$6)),G158-F158,0)</f>
        <v>0</v>
      </c>
      <c r="I158" s="1038">
        <f>IF(AND(A15&gt;=$B$2,A15&lt;=$B$4),_xlfn.XLOOKUP(A158,'VMT Reduction Supporting'!$A:$A,'VMT Reduction Supporting'!$B:$B,,0),0)</f>
        <v>0</v>
      </c>
      <c r="J158" s="1042">
        <f>IF(AND(A15&gt;=$B$2,A15&lt;=$B$4),_xlfn.XLOOKUP(A158,'VMT Reduction Supporting'!$A:$A,'VMT Reduction Supporting'!$E:$E,,0),0)</f>
        <v>0</v>
      </c>
      <c r="K158" s="1043">
        <f t="shared" si="72"/>
        <v>0</v>
      </c>
      <c r="L158" s="1043">
        <f t="shared" si="73"/>
        <v>0</v>
      </c>
      <c r="M158" s="1044">
        <f>IF(AND($A158&gt;=MIN('Major Assumption Key'!$B$4),$A158&lt;=MAX('Major Assumption Key'!$B$6)),L158-K158,0)</f>
        <v>0</v>
      </c>
      <c r="N158" s="1038">
        <f>IF(AND(A15&gt;=$B$2,A15&lt;=$B$4),_xlfn.XLOOKUP(A158,'VMT Reduction Supporting'!$A:$A,'VMT Reduction Supporting'!$D:$D,,0),0)</f>
        <v>0</v>
      </c>
      <c r="O158" s="1042">
        <f>IF(AND(A15&gt;=$B$2,A15&lt;=$B$4),_xlfn.XLOOKUP(A158,'VMT Reduction Supporting'!$A:$A,'VMT Reduction Supporting'!$G:$G,,0),0)</f>
        <v>0</v>
      </c>
      <c r="P158" s="1045">
        <f t="shared" si="74"/>
        <v>0</v>
      </c>
      <c r="Q158" s="1045">
        <f t="shared" si="75"/>
        <v>0</v>
      </c>
      <c r="R158" s="1046">
        <f>IF(AND($A158&gt;=MIN('Major Assumption Key'!$B$4),$A158&lt;=MAX('Major Assumption Key'!$B$6)),Q158-P158,0)</f>
        <v>0</v>
      </c>
      <c r="S158" s="1047">
        <f>_xlfn.XLOOKUP(A158,'Auto Idling Env. Benefits'!F:F,'Auto Idling Env. Benefits'!J:J,,0)</f>
        <v>0</v>
      </c>
      <c r="T158" s="1047">
        <f>_xlfn.XLOOKUP(A158,'Auto Idling Env. Benefits'!F:F,'Auto Idling Env. Benefits'!Q:Q,,0)</f>
        <v>0</v>
      </c>
      <c r="U158" s="1048">
        <f>IF(AND($A158&gt;=MIN('Major Assumption Key'!$B$4),$A158&lt;=MAX('Major Assumption Key'!$B$6)),S158-T158,0)</f>
        <v>0</v>
      </c>
    </row>
    <row r="159" spans="1:21" outlineLevel="1">
      <c r="A159" s="1036">
        <f t="shared" si="69"/>
        <v>2025</v>
      </c>
      <c r="B159" s="1037">
        <f t="shared" si="76"/>
        <v>4.2073367842087525E-2</v>
      </c>
      <c r="C159" s="1037">
        <f t="shared" si="77"/>
        <v>5.1752531112206679</v>
      </c>
      <c r="D159" s="1038">
        <f>IF(AND(A16&gt;=$B$2,A16&lt;=$B$4),_xlfn.XLOOKUP(A159,'VMT Reduction Supporting'!$A:$A,'VMT Reduction Supporting'!$C:$C,,0),0)</f>
        <v>0</v>
      </c>
      <c r="E159" s="1039">
        <f>IF(AND(A16&gt;=$B$2,A16&lt;=$B$4),_xlfn.XLOOKUP(A159,'VMT Reduction Supporting'!$A:$A,'VMT Reduction Supporting'!$F:$F,,0),0)</f>
        <v>0</v>
      </c>
      <c r="F159" s="1040">
        <f t="shared" si="70"/>
        <v>0</v>
      </c>
      <c r="G159" s="1040">
        <f t="shared" si="71"/>
        <v>0</v>
      </c>
      <c r="H159" s="1041">
        <f>IF(AND($A159&gt;=MIN('Major Assumption Key'!$B$4),$A159&lt;=MAX('Major Assumption Key'!$B$6)),G159-F159,0)</f>
        <v>0</v>
      </c>
      <c r="I159" s="1038">
        <f>IF(AND(A16&gt;=$B$2,A16&lt;=$B$4),_xlfn.XLOOKUP(A159,'VMT Reduction Supporting'!$A:$A,'VMT Reduction Supporting'!$B:$B,,0),0)</f>
        <v>0</v>
      </c>
      <c r="J159" s="1042">
        <f>IF(AND(A16&gt;=$B$2,A16&lt;=$B$4),_xlfn.XLOOKUP(A159,'VMT Reduction Supporting'!$A:$A,'VMT Reduction Supporting'!$E:$E,,0),0)</f>
        <v>0</v>
      </c>
      <c r="K159" s="1043">
        <f t="shared" si="72"/>
        <v>0</v>
      </c>
      <c r="L159" s="1043">
        <f t="shared" si="73"/>
        <v>0</v>
      </c>
      <c r="M159" s="1044">
        <f>IF(AND($A159&gt;=MIN('Major Assumption Key'!$B$4),$A159&lt;=MAX('Major Assumption Key'!$B$6)),L159-K159,0)</f>
        <v>0</v>
      </c>
      <c r="N159" s="1038">
        <f>IF(AND(A16&gt;=$B$2,A16&lt;=$B$4),_xlfn.XLOOKUP(A159,'VMT Reduction Supporting'!$A:$A,'VMT Reduction Supporting'!$D:$D,,0),0)</f>
        <v>0</v>
      </c>
      <c r="O159" s="1042">
        <f>IF(AND(A16&gt;=$B$2,A16&lt;=$B$4),_xlfn.XLOOKUP(A159,'VMT Reduction Supporting'!$A:$A,'VMT Reduction Supporting'!$G:$G,,0),0)</f>
        <v>0</v>
      </c>
      <c r="P159" s="1045">
        <f t="shared" si="74"/>
        <v>0</v>
      </c>
      <c r="Q159" s="1045">
        <f t="shared" si="75"/>
        <v>0</v>
      </c>
      <c r="R159" s="1046">
        <f>IF(AND($A159&gt;=MIN('Major Assumption Key'!$B$4),$A159&lt;=MAX('Major Assumption Key'!$B$6)),Q159-P159,0)</f>
        <v>0</v>
      </c>
      <c r="S159" s="1047">
        <f>_xlfn.XLOOKUP(A159,'Auto Idling Env. Benefits'!F:F,'Auto Idling Env. Benefits'!J:J,,0)</f>
        <v>0</v>
      </c>
      <c r="T159" s="1047">
        <f>_xlfn.XLOOKUP(A159,'Auto Idling Env. Benefits'!F:F,'Auto Idling Env. Benefits'!Q:Q,,0)</f>
        <v>0</v>
      </c>
      <c r="U159" s="1048">
        <f>IF(AND($A159&gt;=MIN('Major Assumption Key'!$B$4),$A159&lt;=MAX('Major Assumption Key'!$B$6)),S159-T159,0)</f>
        <v>0</v>
      </c>
    </row>
    <row r="160" spans="1:21" outlineLevel="1">
      <c r="A160" s="1036">
        <f t="shared" si="69"/>
        <v>2026</v>
      </c>
      <c r="B160" s="1037">
        <f t="shared" si="76"/>
        <v>3.7548664068776605E-2</v>
      </c>
      <c r="C160" s="1037">
        <f t="shared" si="77"/>
        <v>4.6829799412064395</v>
      </c>
      <c r="D160" s="1038">
        <f>IF(AND(A17&gt;=$B$2,A17&lt;=$B$4),_xlfn.XLOOKUP(A160,'VMT Reduction Supporting'!$A:$A,'VMT Reduction Supporting'!$C:$C,,0),0)</f>
        <v>0</v>
      </c>
      <c r="E160" s="1039">
        <f>IF(AND(A17&gt;=$B$2,A17&lt;=$B$4),_xlfn.XLOOKUP(A160,'VMT Reduction Supporting'!$A:$A,'VMT Reduction Supporting'!$F:$F,,0),0)</f>
        <v>0</v>
      </c>
      <c r="F160" s="1040">
        <f t="shared" si="70"/>
        <v>0</v>
      </c>
      <c r="G160" s="1040">
        <f t="shared" si="71"/>
        <v>0</v>
      </c>
      <c r="H160" s="1041">
        <f>IF(AND($A160&gt;=MIN('Major Assumption Key'!$B$4),$A160&lt;=MAX('Major Assumption Key'!$B$6)),G160-F160,0)</f>
        <v>0</v>
      </c>
      <c r="I160" s="1038">
        <f>IF(AND(A17&gt;=$B$2,A17&lt;=$B$4),_xlfn.XLOOKUP(A160,'VMT Reduction Supporting'!$A:$A,'VMT Reduction Supporting'!$B:$B,,0),0)</f>
        <v>0</v>
      </c>
      <c r="J160" s="1042">
        <f>IF(AND(A17&gt;=$B$2,A17&lt;=$B$4),_xlfn.XLOOKUP(A160,'VMT Reduction Supporting'!$A:$A,'VMT Reduction Supporting'!$E:$E,,0),0)</f>
        <v>0</v>
      </c>
      <c r="K160" s="1043">
        <f t="shared" si="72"/>
        <v>0</v>
      </c>
      <c r="L160" s="1043">
        <f t="shared" si="73"/>
        <v>0</v>
      </c>
      <c r="M160" s="1044">
        <f>IF(AND($A160&gt;=MIN('Major Assumption Key'!$B$4),$A160&lt;=MAX('Major Assumption Key'!$B$6)),L160-K160,0)</f>
        <v>0</v>
      </c>
      <c r="N160" s="1038">
        <f>IF(AND(A17&gt;=$B$2,A17&lt;=$B$4),_xlfn.XLOOKUP(A160,'VMT Reduction Supporting'!$A:$A,'VMT Reduction Supporting'!$D:$D,,0),0)</f>
        <v>0</v>
      </c>
      <c r="O160" s="1042">
        <f>IF(AND(A17&gt;=$B$2,A17&lt;=$B$4),_xlfn.XLOOKUP(A160,'VMT Reduction Supporting'!$A:$A,'VMT Reduction Supporting'!$G:$G,,0),0)</f>
        <v>0</v>
      </c>
      <c r="P160" s="1045">
        <f t="shared" si="74"/>
        <v>0</v>
      </c>
      <c r="Q160" s="1045">
        <f t="shared" si="75"/>
        <v>0</v>
      </c>
      <c r="R160" s="1046">
        <f>IF(AND($A160&gt;=MIN('Major Assumption Key'!$B$4),$A160&lt;=MAX('Major Assumption Key'!$B$6)),Q160-P160,0)</f>
        <v>0</v>
      </c>
      <c r="S160" s="1047">
        <f>_xlfn.XLOOKUP(A160,'Auto Idling Env. Benefits'!F:F,'Auto Idling Env. Benefits'!J:J,,0)</f>
        <v>0</v>
      </c>
      <c r="T160" s="1047">
        <f>_xlfn.XLOOKUP(A160,'Auto Idling Env. Benefits'!F:F,'Auto Idling Env. Benefits'!Q:Q,,0)</f>
        <v>0</v>
      </c>
      <c r="U160" s="1048">
        <f>IF(AND($A160&gt;=MIN('Major Assumption Key'!$B$4),$A160&lt;=MAX('Major Assumption Key'!$B$6)),S160-T160,0)</f>
        <v>0</v>
      </c>
    </row>
    <row r="161" spans="1:21" outlineLevel="1">
      <c r="A161" s="1036">
        <f t="shared" si="69"/>
        <v>2027</v>
      </c>
      <c r="B161" s="1037">
        <f t="shared" si="76"/>
        <v>3.3510561328048916E-2</v>
      </c>
      <c r="C161" s="1037">
        <f t="shared" si="77"/>
        <v>4.2375320894342199</v>
      </c>
      <c r="D161" s="1038">
        <f>IF(AND(A18&gt;=$B$2,A18&lt;=$B$4),_xlfn.XLOOKUP(A161,'VMT Reduction Supporting'!$A:$A,'VMT Reduction Supporting'!$C:$C,,0),0)</f>
        <v>0</v>
      </c>
      <c r="E161" s="1039">
        <f>IF(AND(A18&gt;=$B$2,A18&lt;=$B$4),_xlfn.XLOOKUP(A161,'VMT Reduction Supporting'!$A:$A,'VMT Reduction Supporting'!$F:$F,,0),0)</f>
        <v>0</v>
      </c>
      <c r="F161" s="1040">
        <f t="shared" si="70"/>
        <v>0</v>
      </c>
      <c r="G161" s="1040">
        <f t="shared" si="71"/>
        <v>0</v>
      </c>
      <c r="H161" s="1041">
        <f>IF(AND($A161&gt;=MIN('Major Assumption Key'!$B$4),$A161&lt;=MAX('Major Assumption Key'!$B$6)),G161-F161,0)</f>
        <v>0</v>
      </c>
      <c r="I161" s="1038">
        <f>IF(AND(A18&gt;=$B$2,A18&lt;=$B$4),_xlfn.XLOOKUP(A161,'VMT Reduction Supporting'!$A:$A,'VMT Reduction Supporting'!$B:$B,,0),0)</f>
        <v>0</v>
      </c>
      <c r="J161" s="1042">
        <f>IF(AND(A18&gt;=$B$2,A18&lt;=$B$4),_xlfn.XLOOKUP(A161,'VMT Reduction Supporting'!$A:$A,'VMT Reduction Supporting'!$E:$E,,0),0)</f>
        <v>0</v>
      </c>
      <c r="K161" s="1043">
        <f t="shared" si="72"/>
        <v>0</v>
      </c>
      <c r="L161" s="1043">
        <f t="shared" si="73"/>
        <v>0</v>
      </c>
      <c r="M161" s="1044">
        <f>IF(AND($A161&gt;=MIN('Major Assumption Key'!$B$4),$A161&lt;=MAX('Major Assumption Key'!$B$6)),L161-K161,0)</f>
        <v>0</v>
      </c>
      <c r="N161" s="1038">
        <f>IF(AND(A18&gt;=$B$2,A18&lt;=$B$4),_xlfn.XLOOKUP(A161,'VMT Reduction Supporting'!$A:$A,'VMT Reduction Supporting'!$D:$D,,0),0)</f>
        <v>0</v>
      </c>
      <c r="O161" s="1042">
        <f>IF(AND(A18&gt;=$B$2,A18&lt;=$B$4),_xlfn.XLOOKUP(A161,'VMT Reduction Supporting'!$A:$A,'VMT Reduction Supporting'!$G:$G,,0),0)</f>
        <v>0</v>
      </c>
      <c r="P161" s="1045">
        <f t="shared" si="74"/>
        <v>0</v>
      </c>
      <c r="Q161" s="1045">
        <f t="shared" si="75"/>
        <v>0</v>
      </c>
      <c r="R161" s="1046">
        <f>IF(AND($A161&gt;=MIN('Major Assumption Key'!$B$4),$A161&lt;=MAX('Major Assumption Key'!$B$6)),Q161-P161,0)</f>
        <v>0</v>
      </c>
      <c r="S161" s="1047">
        <f>_xlfn.XLOOKUP(A161,'Auto Idling Env. Benefits'!F:F,'Auto Idling Env. Benefits'!J:J,,0)</f>
        <v>0</v>
      </c>
      <c r="T161" s="1047">
        <f>_xlfn.XLOOKUP(A161,'Auto Idling Env. Benefits'!F:F,'Auto Idling Env. Benefits'!Q:Q,,0)</f>
        <v>0</v>
      </c>
      <c r="U161" s="1048">
        <f>IF(AND($A161&gt;=MIN('Major Assumption Key'!$B$4),$A161&lt;=MAX('Major Assumption Key'!$B$6)),S161-T161,0)</f>
        <v>0</v>
      </c>
    </row>
    <row r="162" spans="1:21" outlineLevel="1">
      <c r="A162" s="1036">
        <f t="shared" si="69"/>
        <v>2028</v>
      </c>
      <c r="B162" s="1037">
        <f t="shared" si="76"/>
        <v>2.9906728997443007E-2</v>
      </c>
      <c r="C162" s="1037">
        <f t="shared" si="77"/>
        <v>3.8344555036378631</v>
      </c>
      <c r="D162" s="1038">
        <f>IF(AND(A19&gt;=$B$2,A19&lt;=$B$4),_xlfn.XLOOKUP(A162,'VMT Reduction Supporting'!$A:$A,'VMT Reduction Supporting'!$C:$C,,0),0)</f>
        <v>1659.1097408404594</v>
      </c>
      <c r="E162" s="1039">
        <f>IF(AND(A19&gt;=$B$2,A19&lt;=$B$4),_xlfn.XLOOKUP(A162,'VMT Reduction Supporting'!$A:$A,'VMT Reduction Supporting'!$F:$F,,0),0)</f>
        <v>22674.499791486269</v>
      </c>
      <c r="F162" s="1040">
        <f t="shared" si="70"/>
        <v>4.9618545396333515E-5</v>
      </c>
      <c r="G162" s="1040">
        <f t="shared" si="71"/>
        <v>6.7812012041655785E-4</v>
      </c>
      <c r="H162" s="1041">
        <f>IF(AND($A162&gt;=MIN('Major Assumption Key'!$B$4),$A162&lt;=MAX('Major Assumption Key'!$B$6)),G162-F162,0)</f>
        <v>6.2850157502022431E-4</v>
      </c>
      <c r="I162" s="1038">
        <f>IF(AND(A19&gt;=$B$2,A19&lt;=$B$4),_xlfn.XLOOKUP(A162,'VMT Reduction Supporting'!$A:$A,'VMT Reduction Supporting'!$B:$B,,0),0)</f>
        <v>24057.091242186652</v>
      </c>
      <c r="J162" s="1042">
        <f>IF(AND(A19&gt;=$B$2,A19&lt;=$B$4),_xlfn.XLOOKUP(A162,'VMT Reduction Supporting'!$A:$A,'VMT Reduction Supporting'!$E:$E,,0),0)</f>
        <v>24419.06426582468</v>
      </c>
      <c r="K162" s="1043">
        <f t="shared" si="72"/>
        <v>7.1946890824683583E-4</v>
      </c>
      <c r="L162" s="1043">
        <f t="shared" si="73"/>
        <v>7.3029433736916324E-4</v>
      </c>
      <c r="M162" s="1044">
        <f>IF(AND($A162&gt;=MIN('Major Assumption Key'!$B$4),$A162&lt;=MAX('Major Assumption Key'!$B$6)),L162-K162,0)</f>
        <v>1.0825429122327413E-5</v>
      </c>
      <c r="N162" s="1038">
        <f>IF(AND(A19&gt;=$B$2,A19&lt;=$B$4),_xlfn.XLOOKUP(A162,'VMT Reduction Supporting'!$A:$A,'VMT Reduction Supporting'!$D:$D,,0),0)</f>
        <v>99567.464200691262</v>
      </c>
      <c r="O162" s="1042">
        <f>IF(AND(A19&gt;=$B$2,A19&lt;=$B$4),_xlfn.XLOOKUP(A162,'VMT Reduction Supporting'!$A:$A,'VMT Reduction Supporting'!$G:$G,,0),0)</f>
        <v>112411.66708258043</v>
      </c>
      <c r="P162" s="1045">
        <f t="shared" si="74"/>
        <v>0.38178701108760654</v>
      </c>
      <c r="Q162" s="1045">
        <f t="shared" si="75"/>
        <v>0.43103753551790774</v>
      </c>
      <c r="R162" s="1046">
        <f>IF(AND($A162&gt;=MIN('Major Assumption Key'!$B$4),$A162&lt;=MAX('Major Assumption Key'!$B$6)),Q162-P162,0)</f>
        <v>4.9250524430301201E-2</v>
      </c>
      <c r="S162" s="1047">
        <f>_xlfn.XLOOKUP(A162,'Auto Idling Env. Benefits'!F:F,'Auto Idling Env. Benefits'!J:J,,0)</f>
        <v>0</v>
      </c>
      <c r="T162" s="1047">
        <f>_xlfn.XLOOKUP(A162,'Auto Idling Env. Benefits'!F:F,'Auto Idling Env. Benefits'!Q:Q,,0)</f>
        <v>0</v>
      </c>
      <c r="U162" s="1048">
        <f>IF(AND($A162&gt;=MIN('Major Assumption Key'!$B$4),$A162&lt;=MAX('Major Assumption Key'!$B$6)),S162-T162,0)</f>
        <v>0</v>
      </c>
    </row>
    <row r="163" spans="1:21" outlineLevel="1">
      <c r="A163" s="1036">
        <f t="shared" si="69"/>
        <v>2029</v>
      </c>
      <c r="B163" s="1037">
        <f t="shared" si="76"/>
        <v>2.6690464256051111E-2</v>
      </c>
      <c r="C163" s="1037">
        <f t="shared" si="77"/>
        <v>3.4697198036656753</v>
      </c>
      <c r="D163" s="1038">
        <f>IF(AND(A20&gt;=$B$2,A20&lt;=$B$4),_xlfn.XLOOKUP(A163,'VMT Reduction Supporting'!$A:$A,'VMT Reduction Supporting'!$C:$C,,0),0)</f>
        <v>1683.5627039429303</v>
      </c>
      <c r="E163" s="1039">
        <f>IF(AND(A20&gt;=$B$2,A20&lt;=$B$4),_xlfn.XLOOKUP(A163,'VMT Reduction Supporting'!$A:$A,'VMT Reduction Supporting'!$F:$F,,0),0)</f>
        <v>23008.690287220044</v>
      </c>
      <c r="F163" s="1040">
        <f t="shared" si="70"/>
        <v>4.4935070172409539E-5</v>
      </c>
      <c r="G163" s="1040">
        <f t="shared" si="71"/>
        <v>6.1411262568959691E-4</v>
      </c>
      <c r="H163" s="1041">
        <f>IF(AND($A163&gt;=MIN('Major Assumption Key'!$B$4),$A163&lt;=MAX('Major Assumption Key'!$B$6)),G163-F163,0)</f>
        <v>5.691775555171874E-4</v>
      </c>
      <c r="I163" s="1038">
        <f>IF(AND(A20&gt;=$B$2,A20&lt;=$B$4),_xlfn.XLOOKUP(A163,'VMT Reduction Supporting'!$A:$A,'VMT Reduction Supporting'!$B:$B,,0),0)</f>
        <v>24411.659207172481</v>
      </c>
      <c r="J163" s="1042">
        <f>IF(AND(A20&gt;=$B$2,A20&lt;=$B$4),_xlfn.XLOOKUP(A163,'VMT Reduction Supporting'!$A:$A,'VMT Reduction Supporting'!$E:$E,,0),0)</f>
        <v>24774.061722553986</v>
      </c>
      <c r="K163" s="1043">
        <f t="shared" si="72"/>
        <v>6.5155851749993819E-4</v>
      </c>
      <c r="L163" s="1043">
        <f t="shared" si="73"/>
        <v>6.6123120888303118E-4</v>
      </c>
      <c r="M163" s="1044">
        <f>IF(AND($A163&gt;=MIN('Major Assumption Key'!$B$4),$A163&lt;=MAX('Major Assumption Key'!$B$6)),L163-K163,0)</f>
        <v>9.6726913830929868E-6</v>
      </c>
      <c r="N163" s="1038">
        <f>IF(AND(A20&gt;=$B$2,A20&lt;=$B$4),_xlfn.XLOOKUP(A163,'VMT Reduction Supporting'!$A:$A,'VMT Reduction Supporting'!$D:$D,,0),0)</f>
        <v>99956.18820362819</v>
      </c>
      <c r="O163" s="1042">
        <f>IF(AND(A20&gt;=$B$2,A20&lt;=$B$4),_xlfn.XLOOKUP(A163,'VMT Reduction Supporting'!$A:$A,'VMT Reduction Supporting'!$G:$G,,0),0)</f>
        <v>112850.53648189623</v>
      </c>
      <c r="P163" s="1045">
        <f t="shared" si="74"/>
        <v>0.34681996570906209</v>
      </c>
      <c r="Q163" s="1045">
        <f t="shared" si="75"/>
        <v>0.39155974128553106</v>
      </c>
      <c r="R163" s="1046">
        <f>IF(AND($A163&gt;=MIN('Major Assumption Key'!$B$4),$A163&lt;=MAX('Major Assumption Key'!$B$6)),Q163-P163,0)</f>
        <v>4.4739775576468965E-2</v>
      </c>
      <c r="S163" s="1047">
        <f>_xlfn.XLOOKUP(A163,'Auto Idling Env. Benefits'!F:F,'Auto Idling Env. Benefits'!J:J,,0)</f>
        <v>0</v>
      </c>
      <c r="T163" s="1047">
        <f>_xlfn.XLOOKUP(A163,'Auto Idling Env. Benefits'!F:F,'Auto Idling Env. Benefits'!Q:Q,,0)</f>
        <v>0</v>
      </c>
      <c r="U163" s="1048">
        <f>IF(AND($A163&gt;=MIN('Major Assumption Key'!$B$4),$A163&lt;=MAX('Major Assumption Key'!$B$6)),S163-T163,0)</f>
        <v>0</v>
      </c>
    </row>
    <row r="164" spans="1:21" outlineLevel="1">
      <c r="A164" s="1451">
        <f t="shared" si="69"/>
        <v>2030</v>
      </c>
      <c r="B164" s="1078">
        <f>VLOOKUP($B$5,'Emission Factors'!$H$5:$M$21,4,FALSE)</f>
        <v>2.382008685284338E-2</v>
      </c>
      <c r="C164" s="1078">
        <f>VLOOKUP($B$6,'Emission Factors'!$H$28:$M$44,4,FALSE)</f>
        <v>3.1396779815355926</v>
      </c>
      <c r="D164" s="1038">
        <f>IF(AND(A21&gt;=$B$2,A21&lt;=$B$4),_xlfn.XLOOKUP(A164,'VMT Reduction Supporting'!$A:$A,'VMT Reduction Supporting'!$C:$C,,0),0)</f>
        <v>1708.376069609362</v>
      </c>
      <c r="E164" s="1039">
        <f>IF(AND(A21&gt;=$B$2,A21&lt;=$B$4),_xlfn.XLOOKUP(A164,'VMT Reduction Supporting'!$A:$A,'VMT Reduction Supporting'!$F:$F,,0),0)</f>
        <v>23347.806284661274</v>
      </c>
      <c r="F164" s="1040">
        <f t="shared" si="70"/>
        <v>4.0693666355414212E-5</v>
      </c>
      <c r="G164" s="1040">
        <f t="shared" si="71"/>
        <v>5.5614677352399408E-4</v>
      </c>
      <c r="H164" s="1041">
        <f>IF(AND($A164&gt;=MIN('Major Assumption Key'!$B$4),$A164&lt;=MAX('Major Assumption Key'!$B$6)),G164-F164,0)</f>
        <v>5.1545310716857992E-4</v>
      </c>
      <c r="I164" s="1038">
        <f>IF(AND(A21&gt;=$B$2,A21&lt;=$B$4),_xlfn.XLOOKUP(A164,'VMT Reduction Supporting'!$A:$A,'VMT Reduction Supporting'!$B:$B,,0),0)</f>
        <v>24771.453009335743</v>
      </c>
      <c r="J164" s="1042">
        <f>IF(AND(A21&gt;=$B$2,A21&lt;=$B$4),_xlfn.XLOOKUP(A164,'VMT Reduction Supporting'!$A:$A,'VMT Reduction Supporting'!$E:$E,,0),0)</f>
        <v>25134.285526065429</v>
      </c>
      <c r="K164" s="1043">
        <f t="shared" si="72"/>
        <v>5.9005816215350587E-4</v>
      </c>
      <c r="L164" s="1043">
        <f t="shared" si="73"/>
        <v>5.9870086421504281E-4</v>
      </c>
      <c r="M164" s="1044">
        <f>IF(AND($A164&gt;=MIN('Major Assumption Key'!$B$4),$A164&lt;=MAX('Major Assumption Key'!$B$6)),L164-K164,0)</f>
        <v>8.6427020615369469E-6</v>
      </c>
      <c r="N164" s="1038">
        <f>IF(AND(A21&gt;=$B$2,A21&lt;=$B$4),_xlfn.XLOOKUP(A164,'VMT Reduction Supporting'!$A:$A,'VMT Reduction Supporting'!$D:$D,,0),0)</f>
        <v>100346.42983435321</v>
      </c>
      <c r="O164" s="1042">
        <f>IF(AND(A21&gt;=$B$2,A21&lt;=$B$4),_xlfn.XLOOKUP(A164,'VMT Reduction Supporting'!$A:$A,'VMT Reduction Supporting'!$G:$G,,0),0)</f>
        <v>113291.11928298477</v>
      </c>
      <c r="P164" s="1045">
        <f t="shared" si="74"/>
        <v>0.31505547627662506</v>
      </c>
      <c r="Q164" s="1045">
        <f t="shared" si="75"/>
        <v>0.35569763271630966</v>
      </c>
      <c r="R164" s="1046">
        <f>IF(AND($A164&gt;=MIN('Major Assumption Key'!$B$4),$A164&lt;=MAX('Major Assumption Key'!$B$6)),Q164-P164,0)</f>
        <v>4.0642156439684607E-2</v>
      </c>
      <c r="S164" s="1047">
        <f>_xlfn.XLOOKUP(A164,'Auto Idling Env. Benefits'!F:F,'Auto Idling Env. Benefits'!J:J,,0)</f>
        <v>0</v>
      </c>
      <c r="T164" s="1047">
        <f>_xlfn.XLOOKUP(A164,'Auto Idling Env. Benefits'!F:F,'Auto Idling Env. Benefits'!Q:Q,,0)</f>
        <v>0</v>
      </c>
      <c r="U164" s="1048">
        <f>IF(AND($A164&gt;=MIN('Major Assumption Key'!$B$4),$A164&lt;=MAX('Major Assumption Key'!$B$6)),S164-T164,0)</f>
        <v>0</v>
      </c>
    </row>
    <row r="165" spans="1:21" outlineLevel="1">
      <c r="A165" s="1036">
        <f t="shared" si="69"/>
        <v>2031</v>
      </c>
      <c r="B165" s="1037">
        <f>$B$174*(($B$164/$B$174)^(1/($A$164-$A$174))^(A165-$A$174))</f>
        <v>2.1432263057489145E-2</v>
      </c>
      <c r="C165" s="1037">
        <f>$C$174*(($C$164/$C$174)^(1/($A$164-$A$174))^(A165-$A$174))</f>
        <v>3.0026265445509717</v>
      </c>
      <c r="D165" s="1038">
        <f>IF(AND(A22&gt;=$B$2,A22&lt;=$B$4),_xlfn.XLOOKUP(A165,'VMT Reduction Supporting'!$A:$A,'VMT Reduction Supporting'!$C:$C,,0),0)</f>
        <v>1733.555149670781</v>
      </c>
      <c r="E165" s="1039">
        <f>IF(AND(A22&gt;=$B$2,A22&lt;=$B$4),_xlfn.XLOOKUP(A165,'VMT Reduction Supporting'!$A:$A,'VMT Reduction Supporting'!$F:$F,,0),0)</f>
        <v>23691.920378833998</v>
      </c>
      <c r="F165" s="1040">
        <f t="shared" si="70"/>
        <v>3.7154009992409146E-5</v>
      </c>
      <c r="G165" s="1040">
        <f t="shared" si="71"/>
        <v>5.0777146989625815E-4</v>
      </c>
      <c r="H165" s="1041">
        <f>IF(AND($A165&gt;=MIN('Major Assumption Key'!$B$4),$A165&lt;=MAX('Major Assumption Key'!$B$6)),G165-F165,0)</f>
        <v>4.70617459903849E-4</v>
      </c>
      <c r="I165" s="1038">
        <f>IF(AND(A22&gt;=$B$2,A22&lt;=$B$4),_xlfn.XLOOKUP(A165,'VMT Reduction Supporting'!$A:$A,'VMT Reduction Supporting'!$B:$B,,0),0)</f>
        <v>25136.549670226323</v>
      </c>
      <c r="J165" s="1042">
        <f>IF(AND(A22&gt;=$B$2,A22&lt;=$B$4),_xlfn.XLOOKUP(A165,'VMT Reduction Supporting'!$A:$A,'VMT Reduction Supporting'!$E:$E,,0),0)</f>
        <v>25499.812698513557</v>
      </c>
      <c r="K165" s="1043">
        <f t="shared" si="72"/>
        <v>5.3873314488993252E-4</v>
      </c>
      <c r="L165" s="1043">
        <f t="shared" si="73"/>
        <v>5.4651869367124475E-4</v>
      </c>
      <c r="M165" s="1044">
        <f>IF(AND($A165&gt;=MIN('Major Assumption Key'!$B$4),$A165&lt;=MAX('Major Assumption Key'!$B$6)),L165-K165,0)</f>
        <v>7.78554878131223E-6</v>
      </c>
      <c r="N165" s="1038">
        <f>IF(AND(A22&gt;=$B$2,A22&lt;=$B$4),_xlfn.XLOOKUP(A165,'VMT Reduction Supporting'!$A:$A,'VMT Reduction Supporting'!$D:$D,,0),0)</f>
        <v>100738.19501787757</v>
      </c>
      <c r="O165" s="1042">
        <f>IF(AND(A22&gt;=$B$2,A22&lt;=$B$4),_xlfn.XLOOKUP(A165,'VMT Reduction Supporting'!$A:$A,'VMT Reduction Supporting'!$G:$G,,0),0)</f>
        <v>113733.42217518379</v>
      </c>
      <c r="P165" s="1045">
        <f t="shared" si="74"/>
        <v>0.30247917841083166</v>
      </c>
      <c r="Q165" s="1045">
        <f t="shared" si="75"/>
        <v>0.34149899242582893</v>
      </c>
      <c r="R165" s="1046">
        <f>IF(AND($A165&gt;=MIN('Major Assumption Key'!$B$4),$A165&lt;=MAX('Major Assumption Key'!$B$6)),Q165-P165,0)</f>
        <v>3.9019814014997267E-2</v>
      </c>
      <c r="S165" s="1047">
        <f>_xlfn.XLOOKUP(A165,'Auto Idling Env. Benefits'!F:F,'Auto Idling Env. Benefits'!J:J,,0)</f>
        <v>0</v>
      </c>
      <c r="T165" s="1047">
        <f>_xlfn.XLOOKUP(A165,'Auto Idling Env. Benefits'!F:F,'Auto Idling Env. Benefits'!Q:Q,,0)</f>
        <v>0</v>
      </c>
      <c r="U165" s="1048">
        <f>IF(AND($A165&gt;=MIN('Major Assumption Key'!$B$4),$A165&lt;=MAX('Major Assumption Key'!$B$6)),S165-T165,0)</f>
        <v>0</v>
      </c>
    </row>
    <row r="166" spans="1:21" outlineLevel="1">
      <c r="A166" s="1036">
        <f t="shared" si="69"/>
        <v>2032</v>
      </c>
      <c r="B166" s="1037">
        <f t="shared" ref="B166:B173" si="78">$B$174*(($B$164/$B$174)^(1/($A$164-$A$174))^(A166-$A$174))</f>
        <v>1.9283804572298714E-2</v>
      </c>
      <c r="C166" s="1037">
        <f t="shared" ref="C166:C173" si="79">$C$174*(($C$164/$C$174)^(1/($A$164-$A$174))^(A166-$A$174))</f>
        <v>2.8715575989205626</v>
      </c>
      <c r="D166" s="1038">
        <f>IF(AND(A23&gt;=$B$2,A23&lt;=$B$4),_xlfn.XLOOKUP(A166,'VMT Reduction Supporting'!$A:$A,'VMT Reduction Supporting'!$C:$C,,0),0)</f>
        <v>1759.1053342471942</v>
      </c>
      <c r="E166" s="1039">
        <f>IF(AND(A23&gt;=$B$2,A23&lt;=$B$4),_xlfn.XLOOKUP(A166,'VMT Reduction Supporting'!$A:$A,'VMT Reduction Supporting'!$F:$F,,0),0)</f>
        <v>24041.106234711646</v>
      </c>
      <c r="F166" s="1040">
        <f t="shared" si="70"/>
        <v>3.3922243487711098E-5</v>
      </c>
      <c r="G166" s="1040">
        <f t="shared" si="71"/>
        <v>4.6360399433205158E-4</v>
      </c>
      <c r="H166" s="1041">
        <f>IF(AND($A166&gt;=MIN('Major Assumption Key'!$B$4),$A166&lt;=MAX('Major Assumption Key'!$B$6)),G166-F166,0)</f>
        <v>4.2968175084434049E-4</v>
      </c>
      <c r="I166" s="1038">
        <f>IF(AND(A23&gt;=$B$2,A23&lt;=$B$4),_xlfn.XLOOKUP(A166,'VMT Reduction Supporting'!$A:$A,'VMT Reduction Supporting'!$B:$B,,0),0)</f>
        <v>25507.027346584309</v>
      </c>
      <c r="J166" s="1042">
        <f>IF(AND(A23&gt;=$B$2,A23&lt;=$B$4),_xlfn.XLOOKUP(A166,'VMT Reduction Supporting'!$A:$A,'VMT Reduction Supporting'!$E:$E,,0),0)</f>
        <v>25870.721397243851</v>
      </c>
      <c r="K166" s="1043">
        <f t="shared" si="72"/>
        <v>4.9187253057181085E-4</v>
      </c>
      <c r="L166" s="1043">
        <f t="shared" si="73"/>
        <v>4.9888593556883716E-4</v>
      </c>
      <c r="M166" s="1044">
        <f>IF(AND($A166&gt;=MIN('Major Assumption Key'!$B$4),$A166&lt;=MAX('Major Assumption Key'!$B$6)),L166-K166,0)</f>
        <v>7.0134049970263079E-6</v>
      </c>
      <c r="N166" s="1038">
        <f>IF(AND(A23&gt;=$B$2,A23&lt;=$B$4),_xlfn.XLOOKUP(A166,'VMT Reduction Supporting'!$A:$A,'VMT Reduction Supporting'!$D:$D,,0),0)</f>
        <v>101131.48970234458</v>
      </c>
      <c r="O166" s="1042">
        <f>IF(AND(A23&gt;=$B$2,A23&lt;=$B$4),_xlfn.XLOOKUP(A166,'VMT Reduction Supporting'!$A:$A,'VMT Reduction Supporting'!$G:$G,,0),0)</f>
        <v>114177.45187394704</v>
      </c>
      <c r="P166" s="1045">
        <f t="shared" si="74"/>
        <v>0.29040489774492423</v>
      </c>
      <c r="Q166" s="1045">
        <f t="shared" si="75"/>
        <v>0.32786712955401942</v>
      </c>
      <c r="R166" s="1046">
        <f>IF(AND($A166&gt;=MIN('Major Assumption Key'!$B$4),$A166&lt;=MAX('Major Assumption Key'!$B$6)),Q166-P166,0)</f>
        <v>3.7462231809095192E-2</v>
      </c>
      <c r="S166" s="1047">
        <f>_xlfn.XLOOKUP(A166,'Auto Idling Env. Benefits'!F:F,'Auto Idling Env. Benefits'!J:J,,0)</f>
        <v>0</v>
      </c>
      <c r="T166" s="1047">
        <f>_xlfn.XLOOKUP(A166,'Auto Idling Env. Benefits'!F:F,'Auto Idling Env. Benefits'!Q:Q,,0)</f>
        <v>0</v>
      </c>
      <c r="U166" s="1048">
        <f>IF(AND($A166&gt;=MIN('Major Assumption Key'!$B$4),$A166&lt;=MAX('Major Assumption Key'!$B$6)),S166-T166,0)</f>
        <v>0</v>
      </c>
    </row>
    <row r="167" spans="1:21" outlineLevel="1">
      <c r="A167" s="1036">
        <f t="shared" si="69"/>
        <v>2033</v>
      </c>
      <c r="B167" s="1037">
        <f t="shared" si="78"/>
        <v>1.7350716430884174E-2</v>
      </c>
      <c r="C167" s="1037">
        <f t="shared" si="79"/>
        <v>2.7462100003354077</v>
      </c>
      <c r="D167" s="1038">
        <f>IF(AND(A24&gt;=$B$2,A24&lt;=$B$4),_xlfn.XLOOKUP(A167,'VMT Reduction Supporting'!$A:$A,'VMT Reduction Supporting'!$C:$C,,0),0)</f>
        <v>1785.0320929014565</v>
      </c>
      <c r="E167" s="1039">
        <f>IF(AND(A24&gt;=$B$2,A24&lt;=$B$4),_xlfn.XLOOKUP(A167,'VMT Reduction Supporting'!$A:$A,'VMT Reduction Supporting'!$F:$F,,0),0)</f>
        <v>24395.438602986567</v>
      </c>
      <c r="F167" s="1040">
        <f t="shared" si="70"/>
        <v>3.0971585663960869E-5</v>
      </c>
      <c r="G167" s="1040">
        <f t="shared" si="71"/>
        <v>4.2327833740746505E-4</v>
      </c>
      <c r="H167" s="1041">
        <f>IF(AND($A167&gt;=MIN('Major Assumption Key'!$B$4),$A167&lt;=MAX('Major Assumption Key'!$B$6)),G167-F167,0)</f>
        <v>3.9230675174350418E-4</v>
      </c>
      <c r="I167" s="1038">
        <f>IF(AND(A24&gt;=$B$2,A24&lt;=$B$4),_xlfn.XLOOKUP(A167,'VMT Reduction Supporting'!$A:$A,'VMT Reduction Supporting'!$B:$B,,0),0)</f>
        <v>25882.965347071113</v>
      </c>
      <c r="J167" s="1042">
        <f>IF(AND(A24&gt;=$B$2,A24&lt;=$B$4),_xlfn.XLOOKUP(A167,'VMT Reduction Supporting'!$A:$A,'VMT Reduction Supporting'!$E:$E,,0),0)</f>
        <v>26247.09093152381</v>
      </c>
      <c r="K167" s="1043">
        <f t="shared" si="72"/>
        <v>4.4908799212743249E-4</v>
      </c>
      <c r="L167" s="1043">
        <f t="shared" si="73"/>
        <v>4.5540583188850115E-4</v>
      </c>
      <c r="M167" s="1044">
        <f>IF(AND($A167&gt;=MIN('Major Assumption Key'!$B$4),$A167&lt;=MAX('Major Assumption Key'!$B$6)),L167-K167,0)</f>
        <v>6.3178397610686669E-6</v>
      </c>
      <c r="N167" s="1038">
        <f>IF(AND(A24&gt;=$B$2,A24&lt;=$B$4),_xlfn.XLOOKUP(A167,'VMT Reduction Supporting'!$A:$A,'VMT Reduction Supporting'!$D:$D,,0),0)</f>
        <v>101526.31985911982</v>
      </c>
      <c r="O167" s="1042">
        <f>IF(AND(A24&gt;=$B$2,A24&lt;=$B$4),_xlfn.XLOOKUP(A167,'VMT Reduction Supporting'!$A:$A,'VMT Reduction Supporting'!$G:$G,,0),0)</f>
        <v>114623.21512094629</v>
      </c>
      <c r="P167" s="1045">
        <f t="shared" si="74"/>
        <v>0.27881259489436616</v>
      </c>
      <c r="Q167" s="1045">
        <f t="shared" si="75"/>
        <v>0.31477941963573941</v>
      </c>
      <c r="R167" s="1046">
        <f>IF(AND($A167&gt;=MIN('Major Assumption Key'!$B$4),$A167&lt;=MAX('Major Assumption Key'!$B$6)),Q167-P167,0)</f>
        <v>3.5966824741373249E-2</v>
      </c>
      <c r="S167" s="1047">
        <f>_xlfn.XLOOKUP(A167,'Auto Idling Env. Benefits'!F:F,'Auto Idling Env. Benefits'!J:J,,0)</f>
        <v>0</v>
      </c>
      <c r="T167" s="1047">
        <f>_xlfn.XLOOKUP(A167,'Auto Idling Env. Benefits'!F:F,'Auto Idling Env. Benefits'!Q:Q,,0)</f>
        <v>0</v>
      </c>
      <c r="U167" s="1048">
        <f>IF(AND($A167&gt;=MIN('Major Assumption Key'!$B$4),$A167&lt;=MAX('Major Assumption Key'!$B$6)),S167-T167,0)</f>
        <v>0</v>
      </c>
    </row>
    <row r="168" spans="1:21" outlineLevel="1">
      <c r="A168" s="1036">
        <f t="shared" si="69"/>
        <v>2034</v>
      </c>
      <c r="B168" s="1037">
        <f t="shared" si="78"/>
        <v>1.5611409021299157E-2</v>
      </c>
      <c r="C168" s="1037">
        <f t="shared" si="79"/>
        <v>2.6263340038093483</v>
      </c>
      <c r="D168" s="1038">
        <f>IF(AND(A25&gt;=$B$2,A25&lt;=$B$4),_xlfn.XLOOKUP(A168,'VMT Reduction Supporting'!$A:$A,'VMT Reduction Supporting'!$C:$C,,0),0)</f>
        <v>1811.3409758101511</v>
      </c>
      <c r="E168" s="1039">
        <f>IF(AND(A25&gt;=$B$2,A25&lt;=$B$4),_xlfn.XLOOKUP(A168,'VMT Reduction Supporting'!$A:$A,'VMT Reduction Supporting'!$F:$F,,0),0)</f>
        <v>24754.993336072057</v>
      </c>
      <c r="F168" s="1040">
        <f t="shared" si="70"/>
        <v>2.8277584850411411E-5</v>
      </c>
      <c r="G168" s="1040">
        <f t="shared" si="71"/>
        <v>3.864603262889558E-4</v>
      </c>
      <c r="H168" s="1041">
        <f>IF(AND($A168&gt;=MIN('Major Assumption Key'!$B$4),$A168&lt;=MAX('Major Assumption Key'!$B$6)),G168-F168,0)</f>
        <v>3.5818274143854437E-4</v>
      </c>
      <c r="I168" s="1038">
        <f>IF(AND(A25&gt;=$B$2,A25&lt;=$B$4),_xlfn.XLOOKUP(A168,'VMT Reduction Supporting'!$A:$A,'VMT Reduction Supporting'!$B:$B,,0),0)</f>
        <v>26264.444149247185</v>
      </c>
      <c r="J168" s="1042">
        <f>IF(AND(A25&gt;=$B$2,A25&lt;=$B$4),_xlfn.XLOOKUP(A168,'VMT Reduction Supporting'!$A:$A,'VMT Reduction Supporting'!$E:$E,,0),0)</f>
        <v>26629.001779520695</v>
      </c>
      <c r="K168" s="1043">
        <f t="shared" si="72"/>
        <v>4.1002498033096538E-4</v>
      </c>
      <c r="L168" s="1043">
        <f t="shared" si="73"/>
        <v>4.1571623860900072E-4</v>
      </c>
      <c r="M168" s="1044">
        <f>IF(AND($A168&gt;=MIN('Major Assumption Key'!$B$4),$A168&lt;=MAX('Major Assumption Key'!$B$6)),L168-K168,0)</f>
        <v>5.6912582780353489E-6</v>
      </c>
      <c r="N168" s="1038">
        <f>IF(AND(A25&gt;=$B$2,A25&lt;=$B$4),_xlfn.XLOOKUP(A168,'VMT Reduction Supporting'!$A:$A,'VMT Reduction Supporting'!$D:$D,,0),0)</f>
        <v>101922.69148288181</v>
      </c>
      <c r="O168" s="1042">
        <f>IF(AND(A25&gt;=$B$2,A25&lt;=$B$4),_xlfn.XLOOKUP(A168,'VMT Reduction Supporting'!$A:$A,'VMT Reduction Supporting'!$G:$G,,0),0)</f>
        <v>115070.71868417358</v>
      </c>
      <c r="P168" s="1045">
        <f t="shared" si="74"/>
        <v>0.26768303040126196</v>
      </c>
      <c r="Q168" s="1045">
        <f t="shared" si="75"/>
        <v>0.30221414132302482</v>
      </c>
      <c r="R168" s="1046">
        <f>IF(AND($A168&gt;=MIN('Major Assumption Key'!$B$4),$A168&lt;=MAX('Major Assumption Key'!$B$6)),Q168-P168,0)</f>
        <v>3.4531110921762864E-2</v>
      </c>
      <c r="S168" s="1047">
        <f>_xlfn.XLOOKUP(A168,'Auto Idling Env. Benefits'!F:F,'Auto Idling Env. Benefits'!J:J,,0)</f>
        <v>0</v>
      </c>
      <c r="T168" s="1047">
        <f>_xlfn.XLOOKUP(A168,'Auto Idling Env. Benefits'!F:F,'Auto Idling Env. Benefits'!Q:Q,,0)</f>
        <v>0</v>
      </c>
      <c r="U168" s="1048">
        <f>IF(AND($A168&gt;=MIN('Major Assumption Key'!$B$4),$A168&lt;=MAX('Major Assumption Key'!$B$6)),S168-T168,0)</f>
        <v>0</v>
      </c>
    </row>
    <row r="169" spans="1:21" outlineLevel="1">
      <c r="A169" s="1036">
        <f t="shared" si="69"/>
        <v>2035</v>
      </c>
      <c r="B169" s="1037">
        <f t="shared" si="78"/>
        <v>1.4046456963384375E-2</v>
      </c>
      <c r="C169" s="1037">
        <f t="shared" si="79"/>
        <v>2.5116907660822738</v>
      </c>
      <c r="D169" s="1038">
        <f>IF(AND(A26&gt;=$B$2,A26&lt;=$B$4),_xlfn.XLOOKUP(A169,'VMT Reduction Supporting'!$A:$A,'VMT Reduction Supporting'!$C:$C,,0),0)</f>
        <v>1838.0376149517199</v>
      </c>
      <c r="E169" s="1039">
        <f>IF(AND(A26&gt;=$B$2,A26&lt;=$B$4),_xlfn.XLOOKUP(A169,'VMT Reduction Supporting'!$A:$A,'VMT Reduction Supporting'!$F:$F,,0),0)</f>
        <v>25119.847404340166</v>
      </c>
      <c r="F169" s="1040">
        <f t="shared" si="70"/>
        <v>2.5817916255500993E-5</v>
      </c>
      <c r="G169" s="1040">
        <f t="shared" si="71"/>
        <v>3.5284485549184685E-4</v>
      </c>
      <c r="H169" s="1041">
        <f>IF(AND($A169&gt;=MIN('Major Assumption Key'!$B$4),$A169&lt;=MAX('Major Assumption Key'!$B$6)),G169-F169,0)</f>
        <v>3.2702693923634588E-4</v>
      </c>
      <c r="I169" s="1038">
        <f>IF(AND(A26&gt;=$B$2,A26&lt;=$B$4),_xlfn.XLOOKUP(A169,'VMT Reduction Supporting'!$A:$A,'VMT Reduction Supporting'!$B:$B,,0),0)</f>
        <v>26651.545416799934</v>
      </c>
      <c r="J169" s="1042">
        <f>IF(AND(A26&gt;=$B$2,A26&lt;=$B$4),_xlfn.XLOOKUP(A169,'VMT Reduction Supporting'!$A:$A,'VMT Reduction Supporting'!$E:$E,,0),0)</f>
        <v>27016.535605529451</v>
      </c>
      <c r="K169" s="1043">
        <f t="shared" si="72"/>
        <v>3.7435978570476438E-4</v>
      </c>
      <c r="L169" s="1043">
        <f t="shared" si="73"/>
        <v>3.7948660468281104E-4</v>
      </c>
      <c r="M169" s="1044">
        <f>IF(AND($A169&gt;=MIN('Major Assumption Key'!$B$4),$A169&lt;=MAX('Major Assumption Key'!$B$6)),L169-K169,0)</f>
        <v>5.1268189780466662E-6</v>
      </c>
      <c r="N169" s="1038">
        <f>IF(AND(A26&gt;=$B$2,A26&lt;=$B$4),_xlfn.XLOOKUP(A169,'VMT Reduction Supporting'!$A:$A,'VMT Reduction Supporting'!$D:$D,,0),0)</f>
        <v>102320.61059171314</v>
      </c>
      <c r="O169" s="1042">
        <f>IF(AND(A26&gt;=$B$2,A26&lt;=$B$4),_xlfn.XLOOKUP(A169,'VMT Reduction Supporting'!$A:$A,'VMT Reduction Supporting'!$G:$G,,0),0)</f>
        <v>115519.96935804414</v>
      </c>
      <c r="P169" s="1045">
        <f t="shared" si="74"/>
        <v>0.256997732803106</v>
      </c>
      <c r="Q169" s="1045">
        <f t="shared" si="75"/>
        <v>0.29015044033470666</v>
      </c>
      <c r="R169" s="1046">
        <f>IF(AND($A169&gt;=MIN('Major Assumption Key'!$B$4),$A169&lt;=MAX('Major Assumption Key'!$B$6)),Q169-P169,0)</f>
        <v>3.3152707531600656E-2</v>
      </c>
      <c r="S169" s="1047">
        <f>_xlfn.XLOOKUP(A169,'Auto Idling Env. Benefits'!F:F,'Auto Idling Env. Benefits'!J:J,,0)</f>
        <v>0</v>
      </c>
      <c r="T169" s="1047">
        <f>_xlfn.XLOOKUP(A169,'Auto Idling Env. Benefits'!F:F,'Auto Idling Env. Benefits'!Q:Q,,0)</f>
        <v>0</v>
      </c>
      <c r="U169" s="1048">
        <f>IF(AND($A169&gt;=MIN('Major Assumption Key'!$B$4),$A169&lt;=MAX('Major Assumption Key'!$B$6)),S169-T169,0)</f>
        <v>0</v>
      </c>
    </row>
    <row r="170" spans="1:21" outlineLevel="1">
      <c r="A170" s="1036">
        <f t="shared" si="69"/>
        <v>2036</v>
      </c>
      <c r="B170" s="1037">
        <f t="shared" si="78"/>
        <v>1.2638382157242981E-2</v>
      </c>
      <c r="C170" s="1037">
        <f t="shared" si="79"/>
        <v>2.4020518697441782</v>
      </c>
      <c r="D170" s="1038">
        <f>IF(AND(A27&gt;=$B$2,A27&lt;=$B$4),_xlfn.XLOOKUP(A170,'VMT Reduction Supporting'!$A:$A,'VMT Reduction Supporting'!$C:$C,,0),0)</f>
        <v>1865.1277253121111</v>
      </c>
      <c r="E170" s="1039">
        <f>IF(AND(A27&gt;=$B$2,A27&lt;=$B$4),_xlfn.XLOOKUP(A170,'VMT Reduction Supporting'!$A:$A,'VMT Reduction Supporting'!$F:$F,,0),0)</f>
        <v>25490.078912598849</v>
      </c>
      <c r="F170" s="1040">
        <f t="shared" si="70"/>
        <v>2.3572196964563773E-5</v>
      </c>
      <c r="G170" s="1040">
        <f t="shared" si="71"/>
        <v>3.2215335851570485E-4</v>
      </c>
      <c r="H170" s="1041">
        <f>IF(AND($A170&gt;=MIN('Major Assumption Key'!$B$4),$A170&lt;=MAX('Major Assumption Key'!$B$6)),G170-F170,0)</f>
        <v>2.9858116155114108E-4</v>
      </c>
      <c r="I170" s="1038">
        <f>IF(AND(A27&gt;=$B$2,A27&lt;=$B$4),_xlfn.XLOOKUP(A170,'VMT Reduction Supporting'!$A:$A,'VMT Reduction Supporting'!$B:$B,,0),0)</f>
        <v>27044.352017025605</v>
      </c>
      <c r="J170" s="1042">
        <f>IF(AND(A27&gt;=$B$2,A27&lt;=$B$4),_xlfn.XLOOKUP(A170,'VMT Reduction Supporting'!$A:$A,'VMT Reduction Supporting'!$E:$E,,0),0)</f>
        <v>27409.775277454592</v>
      </c>
      <c r="K170" s="1043">
        <f t="shared" si="72"/>
        <v>3.4179685598617463E-4</v>
      </c>
      <c r="L170" s="1043">
        <f t="shared" si="73"/>
        <v>3.4641521480062188E-4</v>
      </c>
      <c r="M170" s="1044">
        <f>IF(AND($A170&gt;=MIN('Major Assumption Key'!$B$4),$A170&lt;=MAX('Major Assumption Key'!$B$6)),L170-K170,0)</f>
        <v>4.6183588144472457E-6</v>
      </c>
      <c r="N170" s="1038">
        <f>IF(AND(A27&gt;=$B$2,A27&lt;=$B$4),_xlfn.XLOOKUP(A170,'VMT Reduction Supporting'!$A:$A,'VMT Reduction Supporting'!$D:$D,,0),0)</f>
        <v>102720.08322719164</v>
      </c>
      <c r="O170" s="1042">
        <f>IF(AND(A27&gt;=$B$2,A27&lt;=$B$4),_xlfn.XLOOKUP(A170,'VMT Reduction Supporting'!$A:$A,'VMT Reduction Supporting'!$G:$G,,0),0)</f>
        <v>115970.97396349937</v>
      </c>
      <c r="P170" s="1045">
        <f t="shared" si="74"/>
        <v>0.24673896797615327</v>
      </c>
      <c r="Q170" s="1045">
        <f t="shared" si="75"/>
        <v>0.27856829484507711</v>
      </c>
      <c r="R170" s="1046">
        <f>IF(AND($A170&gt;=MIN('Major Assumption Key'!$B$4),$A170&lt;=MAX('Major Assumption Key'!$B$6)),Q170-P170,0)</f>
        <v>3.1829326868923841E-2</v>
      </c>
      <c r="S170" s="1047">
        <f>_xlfn.XLOOKUP(A170,'Auto Idling Env. Benefits'!F:F,'Auto Idling Env. Benefits'!J:J,,0)</f>
        <v>0</v>
      </c>
      <c r="T170" s="1047">
        <f>_xlfn.XLOOKUP(A170,'Auto Idling Env. Benefits'!F:F,'Auto Idling Env. Benefits'!Q:Q,,0)</f>
        <v>0</v>
      </c>
      <c r="U170" s="1048">
        <f>IF(AND($A170&gt;=MIN('Major Assumption Key'!$B$4),$A170&lt;=MAX('Major Assumption Key'!$B$6)),S170-T170,0)</f>
        <v>0</v>
      </c>
    </row>
    <row r="171" spans="1:21" outlineLevel="1">
      <c r="A171" s="1036">
        <f t="shared" si="69"/>
        <v>2037</v>
      </c>
      <c r="B171" s="1037">
        <f t="shared" si="78"/>
        <v>1.1371458579831968E-2</v>
      </c>
      <c r="C171" s="1037">
        <f t="shared" si="79"/>
        <v>2.2971988681318836</v>
      </c>
      <c r="D171" s="1038">
        <f>IF(AND(A28&gt;=$B$2,A28&lt;=$B$4),_xlfn.XLOOKUP(A171,'VMT Reduction Supporting'!$A:$A,'VMT Reduction Supporting'!$C:$C,,0),0)</f>
        <v>1892.6171061081936</v>
      </c>
      <c r="E171" s="1039">
        <f>IF(AND(A28&gt;=$B$2,A28&lt;=$B$4),_xlfn.XLOOKUP(A171,'VMT Reduction Supporting'!$A:$A,'VMT Reduction Supporting'!$F:$F,,0),0)</f>
        <v>25865.76711681197</v>
      </c>
      <c r="F171" s="1040">
        <f t="shared" si="70"/>
        <v>2.1521817029590768E-5</v>
      </c>
      <c r="G171" s="1040">
        <f t="shared" si="71"/>
        <v>2.9413149940440709E-4</v>
      </c>
      <c r="H171" s="1041">
        <f>IF(AND($A171&gt;=MIN('Major Assumption Key'!$B$4),$A171&lt;=MAX('Major Assumption Key'!$B$6)),G171-F171,0)</f>
        <v>2.7260968237481631E-4</v>
      </c>
      <c r="I171" s="1038">
        <f>IF(AND(A28&gt;=$B$2,A28&lt;=$B$4),_xlfn.XLOOKUP(A171,'VMT Reduction Supporting'!$A:$A,'VMT Reduction Supporting'!$B:$B,,0),0)</f>
        <v>27442.948038568797</v>
      </c>
      <c r="J171" s="1042">
        <f>IF(AND(A28&gt;=$B$2,A28&lt;=$B$4),_xlfn.XLOOKUP(A171,'VMT Reduction Supporting'!$A:$A,'VMT Reduction Supporting'!$E:$E,,0),0)</f>
        <v>27808.804884549685</v>
      </c>
      <c r="K171" s="1043">
        <f t="shared" si="72"/>
        <v>3.1206634692906599E-4</v>
      </c>
      <c r="L171" s="1043">
        <f t="shared" si="73"/>
        <v>3.1622667289928568E-4</v>
      </c>
      <c r="M171" s="1044">
        <f>IF(AND($A171&gt;=MIN('Major Assumption Key'!$B$4),$A171&lt;=MAX('Major Assumption Key'!$B$6)),L171-K171,0)</f>
        <v>4.1603259702196896E-6</v>
      </c>
      <c r="N171" s="1038">
        <f>IF(AND(A28&gt;=$B$2,A28&lt;=$B$4),_xlfn.XLOOKUP(A171,'VMT Reduction Supporting'!$A:$A,'VMT Reduction Supporting'!$D:$D,,0),0)</f>
        <v>103121.11545448234</v>
      </c>
      <c r="O171" s="1042">
        <f>IF(AND(A28&gt;=$B$2,A28&lt;=$B$4),_xlfn.XLOOKUP(A171,'VMT Reduction Supporting'!$A:$A,'VMT Reduction Supporting'!$G:$G,,0),0)</f>
        <v>116423.73934811057</v>
      </c>
      <c r="P171" s="1045">
        <f t="shared" si="74"/>
        <v>0.23688970970253412</v>
      </c>
      <c r="Q171" s="1045">
        <f t="shared" si="75"/>
        <v>0.26744848225416101</v>
      </c>
      <c r="R171" s="1046">
        <f>IF(AND($A171&gt;=MIN('Major Assumption Key'!$B$4),$A171&lt;=MAX('Major Assumption Key'!$B$6)),Q171-P171,0)</f>
        <v>3.0558772551626895E-2</v>
      </c>
      <c r="S171" s="1047">
        <f>_xlfn.XLOOKUP(A171,'Auto Idling Env. Benefits'!F:F,'Auto Idling Env. Benefits'!J:J,,0)</f>
        <v>0</v>
      </c>
      <c r="T171" s="1047">
        <f>_xlfn.XLOOKUP(A171,'Auto Idling Env. Benefits'!F:F,'Auto Idling Env. Benefits'!Q:Q,,0)</f>
        <v>0</v>
      </c>
      <c r="U171" s="1048">
        <f>IF(AND($A171&gt;=MIN('Major Assumption Key'!$B$4),$A171&lt;=MAX('Major Assumption Key'!$B$6)),S171-T171,0)</f>
        <v>0</v>
      </c>
    </row>
    <row r="172" spans="1:21" outlineLevel="1">
      <c r="A172" s="1036">
        <f t="shared" si="69"/>
        <v>2038</v>
      </c>
      <c r="B172" s="1037">
        <f t="shared" si="78"/>
        <v>1.0231536649548715E-2</v>
      </c>
      <c r="C172" s="1037">
        <f t="shared" si="79"/>
        <v>2.1969228500916707</v>
      </c>
      <c r="D172" s="1038">
        <f>IF(AND(A29&gt;=$B$2,A29&lt;=$B$4),_xlfn.XLOOKUP(A172,'VMT Reduction Supporting'!$A:$A,'VMT Reduction Supporting'!$C:$C,,0),0)</f>
        <v>1920.511642029202</v>
      </c>
      <c r="E172" s="1039">
        <f>IF(AND(A29&gt;=$B$2,A29&lt;=$B$4),_xlfn.XLOOKUP(A172,'VMT Reduction Supporting'!$A:$A,'VMT Reduction Supporting'!$F:$F,,0),0)</f>
        <v>26246.992441065755</v>
      </c>
      <c r="F172" s="1040">
        <f t="shared" si="70"/>
        <v>1.9649785251306759E-5</v>
      </c>
      <c r="G172" s="1040">
        <f t="shared" si="71"/>
        <v>2.6854706510119234E-4</v>
      </c>
      <c r="H172" s="1041">
        <f>IF(AND($A172&gt;=MIN('Major Assumption Key'!$B$4),$A172&lt;=MAX('Major Assumption Key'!$B$6)),G172-F172,0)</f>
        <v>2.488972798498856E-4</v>
      </c>
      <c r="I172" s="1038">
        <f>IF(AND(A29&gt;=$B$2,A29&lt;=$B$4),_xlfn.XLOOKUP(A172,'VMT Reduction Supporting'!$A:$A,'VMT Reduction Supporting'!$B:$B,,0),0)</f>
        <v>27847.41880942342</v>
      </c>
      <c r="J172" s="1042">
        <f>IF(AND(A29&gt;=$B$2,A29&lt;=$B$4),_xlfn.XLOOKUP(A172,'VMT Reduction Supporting'!$A:$A,'VMT Reduction Supporting'!$E:$E,,0),0)</f>
        <v>28213.709755418346</v>
      </c>
      <c r="K172" s="1043">
        <f t="shared" si="72"/>
        <v>2.8492188614394798E-4</v>
      </c>
      <c r="L172" s="1043">
        <f t="shared" si="73"/>
        <v>2.8866960538229288E-4</v>
      </c>
      <c r="M172" s="1044">
        <f>IF(AND($A172&gt;=MIN('Major Assumption Key'!$B$4),$A172&lt;=MAX('Major Assumption Key'!$B$6)),L172-K172,0)</f>
        <v>3.7477192383448968E-6</v>
      </c>
      <c r="N172" s="1038">
        <f>IF(AND(A29&gt;=$B$2,A29&lt;=$B$4),_xlfn.XLOOKUP(A172,'VMT Reduction Supporting'!$A:$A,'VMT Reduction Supporting'!$D:$D,,0),0)</f>
        <v>103523.71336242935</v>
      </c>
      <c r="O172" s="1042">
        <f>IF(AND(A29&gt;=$B$2,A29&lt;=$B$4),_xlfn.XLOOKUP(A172,'VMT Reduction Supporting'!$A:$A,'VMT Reduction Supporting'!$G:$G,,0),0)</f>
        <v>116878.27238618277</v>
      </c>
      <c r="P172" s="1045">
        <f t="shared" si="74"/>
        <v>0.22743361141226145</v>
      </c>
      <c r="Q172" s="1045">
        <f t="shared" si="75"/>
        <v>0.25677254728444326</v>
      </c>
      <c r="R172" s="1046">
        <f>IF(AND($A172&gt;=MIN('Major Assumption Key'!$B$4),$A172&lt;=MAX('Major Assumption Key'!$B$6)),Q172-P172,0)</f>
        <v>2.9338935872181809E-2</v>
      </c>
      <c r="S172" s="1047">
        <f>_xlfn.XLOOKUP(A172,'Auto Idling Env. Benefits'!F:F,'Auto Idling Env. Benefits'!J:J,,0)</f>
        <v>0</v>
      </c>
      <c r="T172" s="1047">
        <f>_xlfn.XLOOKUP(A172,'Auto Idling Env. Benefits'!F:F,'Auto Idling Env. Benefits'!Q:Q,,0)</f>
        <v>0</v>
      </c>
      <c r="U172" s="1048">
        <f>IF(AND($A172&gt;=MIN('Major Assumption Key'!$B$4),$A172&lt;=MAX('Major Assumption Key'!$B$6)),S172-T172,0)</f>
        <v>0</v>
      </c>
    </row>
    <row r="173" spans="1:21" outlineLevel="1">
      <c r="A173" s="1036">
        <f t="shared" si="69"/>
        <v>2039</v>
      </c>
      <c r="B173" s="1037">
        <f t="shared" si="78"/>
        <v>9.205885197236096E-3</v>
      </c>
      <c r="C173" s="1037">
        <f t="shared" si="79"/>
        <v>2.101024023740647</v>
      </c>
      <c r="D173" s="1038">
        <f>IF(AND(A30&gt;=$B$2,A30&lt;=$B$4),_xlfn.XLOOKUP(A173,'VMT Reduction Supporting'!$A:$A,'VMT Reduction Supporting'!$C:$C,,0),0)</f>
        <v>1948.8173044964817</v>
      </c>
      <c r="E173" s="1039">
        <f>IF(AND(A30&gt;=$B$2,A30&lt;=$B$4),_xlfn.XLOOKUP(A173,'VMT Reduction Supporting'!$A:$A,'VMT Reduction Supporting'!$F:$F,,0),0)</f>
        <v>26633.83649478525</v>
      </c>
      <c r="F173" s="1040">
        <f t="shared" si="70"/>
        <v>1.7940588375581713E-5</v>
      </c>
      <c r="G173" s="1040">
        <f t="shared" si="71"/>
        <v>2.4518804113295004E-4</v>
      </c>
      <c r="H173" s="1041">
        <f>IF(AND($A173&gt;=MIN('Major Assumption Key'!$B$4),$A173&lt;=MAX('Major Assumption Key'!$B$6)),G173-F173,0)</f>
        <v>2.2724745275736833E-4</v>
      </c>
      <c r="I173" s="1038">
        <f>IF(AND(A30&gt;=$B$2,A30&lt;=$B$4),_xlfn.XLOOKUP(A173,'VMT Reduction Supporting'!$A:$A,'VMT Reduction Supporting'!$B:$B,,0),0)</f>
        <v>28257.850915198978</v>
      </c>
      <c r="J173" s="1042">
        <f>IF(AND(A30&gt;=$B$2,A30&lt;=$B$4),_xlfn.XLOOKUP(A173,'VMT Reduction Supporting'!$A:$A,'VMT Reduction Supporting'!$E:$E,,0),0)</f>
        <v>28624.576476280497</v>
      </c>
      <c r="K173" s="1043">
        <f t="shared" si="72"/>
        <v>2.6013853144593477E-4</v>
      </c>
      <c r="L173" s="1043">
        <f t="shared" si="73"/>
        <v>2.6351456486014321E-4</v>
      </c>
      <c r="M173" s="1044">
        <f>IF(AND($A173&gt;=MIN('Major Assumption Key'!$B$4),$A173&lt;=MAX('Major Assumption Key'!$B$6)),L173-K173,0)</f>
        <v>3.3760334142084419E-6</v>
      </c>
      <c r="N173" s="1038">
        <f>IF(AND(A30&gt;=$B$2,A30&lt;=$B$4),_xlfn.XLOOKUP(A173,'VMT Reduction Supporting'!$A:$A,'VMT Reduction Supporting'!$D:$D,,0),0)</f>
        <v>103927.88306364848</v>
      </c>
      <c r="O173" s="1042">
        <f>IF(AND(A30&gt;=$B$2,A30&lt;=$B$4),_xlfn.XLOOKUP(A173,'VMT Reduction Supporting'!$A:$A,'VMT Reduction Supporting'!$G:$G,,0),0)</f>
        <v>117334.57997885915</v>
      </c>
      <c r="P173" s="1045">
        <f t="shared" si="74"/>
        <v>0.21835497905323414</v>
      </c>
      <c r="Q173" s="1045">
        <f t="shared" si="75"/>
        <v>0.24652277135110143</v>
      </c>
      <c r="R173" s="1046">
        <f>IF(AND($A173&gt;=MIN('Major Assumption Key'!$B$4),$A173&lt;=MAX('Major Assumption Key'!$B$6)),Q173-P173,0)</f>
        <v>2.8167792297867283E-2</v>
      </c>
      <c r="S173" s="1047">
        <f>_xlfn.XLOOKUP(A173,'Auto Idling Env. Benefits'!F:F,'Auto Idling Env. Benefits'!J:J,,0)</f>
        <v>0</v>
      </c>
      <c r="T173" s="1047">
        <f>_xlfn.XLOOKUP(A173,'Auto Idling Env. Benefits'!F:F,'Auto Idling Env. Benefits'!Q:Q,,0)</f>
        <v>0</v>
      </c>
      <c r="U173" s="1048">
        <f>IF(AND($A173&gt;=MIN('Major Assumption Key'!$B$4),$A173&lt;=MAX('Major Assumption Key'!$B$6)),S173-T173,0)</f>
        <v>0</v>
      </c>
    </row>
    <row r="174" spans="1:21" outlineLevel="1">
      <c r="A174" s="1451">
        <f t="shared" si="69"/>
        <v>2040</v>
      </c>
      <c r="B174" s="1078">
        <f>VLOOKUP($B$5,'Emission Factors'!$O$5:$T$21,4,FALSE)</f>
        <v>8.2830492786661429E-3</v>
      </c>
      <c r="C174" s="1078">
        <f>VLOOKUP($B$6,'Emission Factors'!$O$28:$T$44,4,FALSE)</f>
        <v>2.0093113183975233</v>
      </c>
      <c r="D174" s="1038">
        <f>IF(AND(A31&gt;=$B$2,A31&lt;=$B$4),_xlfn.XLOOKUP(A174,'VMT Reduction Supporting'!$A:$A,'VMT Reduction Supporting'!$C:$C,,0),0)</f>
        <v>1977.5401529417989</v>
      </c>
      <c r="E174" s="1039">
        <f>IF(AND(A31&gt;=$B$2,A31&lt;=$B$4),_xlfn.XLOOKUP(A174,'VMT Reduction Supporting'!$A:$A,'VMT Reduction Supporting'!$F:$F,,0),0)</f>
        <v>27026.382090204577</v>
      </c>
      <c r="F174" s="1040">
        <f t="shared" si="70"/>
        <v>1.63800625373579E-5</v>
      </c>
      <c r="G174" s="1040">
        <f t="shared" si="71"/>
        <v>2.2386085467722457E-4</v>
      </c>
      <c r="H174" s="1041">
        <f>IF(AND($A174&gt;=MIN('Major Assumption Key'!$B$4),$A174&lt;=MAX('Major Assumption Key'!$B$6)),G174-F174,0)</f>
        <v>2.0748079213986668E-4</v>
      </c>
      <c r="I174" s="1038">
        <f>IF(AND(A31&gt;=$B$2,A31&lt;=$B$4),_xlfn.XLOOKUP(A174,'VMT Reduction Supporting'!$A:$A,'VMT Reduction Supporting'!$B:$B,,0),0)</f>
        <v>28674.332217656076</v>
      </c>
      <c r="J174" s="1042">
        <f>IF(AND(A31&gt;=$B$2,A31&lt;=$B$4),_xlfn.XLOOKUP(A174,'VMT Reduction Supporting'!$A:$A,'VMT Reduction Supporting'!$E:$E,,0),0)</f>
        <v>29041.492909507902</v>
      </c>
      <c r="K174" s="1043">
        <f t="shared" si="72"/>
        <v>2.375109067916895E-4</v>
      </c>
      <c r="L174" s="1043">
        <f t="shared" si="73"/>
        <v>2.4055211689548732E-4</v>
      </c>
      <c r="M174" s="1044">
        <f>IF(AND($A174&gt;=MIN('Major Assumption Key'!$B$4),$A174&lt;=MAX('Major Assumption Key'!$B$6)),L174-K174,0)</f>
        <v>3.0412101037978175E-6</v>
      </c>
      <c r="N174" s="1038">
        <f>IF(AND(A31&gt;=$B$2,A31&lt;=$B$4),_xlfn.XLOOKUP(A174,'VMT Reduction Supporting'!$A:$A,'VMT Reduction Supporting'!$D:$D,,0),0)</f>
        <v>104333.63069461992</v>
      </c>
      <c r="O174" s="1042">
        <f>IF(AND(A31&gt;=$B$2,A31&lt;=$B$4),_xlfn.XLOOKUP(A174,'VMT Reduction Supporting'!$A:$A,'VMT Reduction Supporting'!$G:$G,,0),0)</f>
        <v>117792.66905422589</v>
      </c>
      <c r="P174" s="1045">
        <f t="shared" si="74"/>
        <v>0.20963874504420704</v>
      </c>
      <c r="Q174" s="1045">
        <f t="shared" si="75"/>
        <v>0.23668214315490976</v>
      </c>
      <c r="R174" s="1046">
        <f>IF(AND($A174&gt;=MIN('Major Assumption Key'!$B$4),$A174&lt;=MAX('Major Assumption Key'!$B$6)),Q174-P174,0)</f>
        <v>2.7043398110702721E-2</v>
      </c>
      <c r="S174" s="1047">
        <f>_xlfn.XLOOKUP(A174,'Auto Idling Env. Benefits'!F:F,'Auto Idling Env. Benefits'!J:J,,0)</f>
        <v>0</v>
      </c>
      <c r="T174" s="1047">
        <f>_xlfn.XLOOKUP(A174,'Auto Idling Env. Benefits'!F:F,'Auto Idling Env. Benefits'!Q:Q,,0)</f>
        <v>0</v>
      </c>
      <c r="U174" s="1048">
        <f>IF(AND($A174&gt;=MIN('Major Assumption Key'!$B$4),$A174&lt;=MAX('Major Assumption Key'!$B$6)),S174-T174,0)</f>
        <v>0</v>
      </c>
    </row>
    <row r="175" spans="1:21" outlineLevel="1">
      <c r="A175" s="1036">
        <f t="shared" si="69"/>
        <v>2041</v>
      </c>
      <c r="B175" s="1037">
        <f>$B$179*(($B$174/$B$179)^(1/($A$174-$A$179))^(A175-$A$179))</f>
        <v>8.1200599597960419E-3</v>
      </c>
      <c r="C175" s="1037">
        <f>$C$179*(($C$174/$C$179)^(1/($A$174-$A$179))^(A175-$A$179))</f>
        <v>2.0081671675932036</v>
      </c>
      <c r="D175" s="1038">
        <f>IF(AND(A32&gt;=$B$2,A32&lt;=$B$4),_xlfn.XLOOKUP(A175,'VMT Reduction Supporting'!$A:$A,'VMT Reduction Supporting'!$C:$C,,0),0)</f>
        <v>2006.68633610449</v>
      </c>
      <c r="E175" s="1039">
        <f>IF(AND(A32&gt;=$B$2,A32&lt;=$B$4),_xlfn.XLOOKUP(A175,'VMT Reduction Supporting'!$A:$A,'VMT Reduction Supporting'!$F:$F,,0),0)</f>
        <v>27424.713260094686</v>
      </c>
      <c r="F175" s="1040">
        <f t="shared" si="70"/>
        <v>1.629441336967189E-5</v>
      </c>
      <c r="G175" s="1040">
        <f t="shared" si="71"/>
        <v>2.2269031605218242E-4</v>
      </c>
      <c r="H175" s="1041">
        <f>IF(AND($A175&gt;=MIN('Major Assumption Key'!$B$4),$A175&lt;=MAX('Major Assumption Key'!$B$6)),G175-F175,0)</f>
        <v>2.0639590268251053E-4</v>
      </c>
      <c r="I175" s="1038">
        <f>IF(AND(A32&gt;=$B$2,A32&lt;=$B$4),_xlfn.XLOOKUP(A175,'VMT Reduction Supporting'!$A:$A,'VMT Reduction Supporting'!$B:$B,,0),0)</f>
        <v>29096.9518735151</v>
      </c>
      <c r="J175" s="1042">
        <f>IF(AND(A32&gt;=$B$2,A32&lt;=$B$4),_xlfn.XLOOKUP(A175,'VMT Reduction Supporting'!$A:$A,'VMT Reduction Supporting'!$E:$E,,0),0)</f>
        <v>29464.548212432808</v>
      </c>
      <c r="K175" s="1043">
        <f t="shared" si="72"/>
        <v>2.3626899386024238E-4</v>
      </c>
      <c r="L175" s="1043">
        <f t="shared" si="73"/>
        <v>2.3925389817325569E-4</v>
      </c>
      <c r="M175" s="1044">
        <f>IF(AND($A175&gt;=MIN('Major Assumption Key'!$B$4),$A175&lt;=MAX('Major Assumption Key'!$B$6)),L175-K175,0)</f>
        <v>2.9849043130133178E-6</v>
      </c>
      <c r="N175" s="1038">
        <f>IF(AND(A32&gt;=$B$2,A32&lt;=$B$4),_xlfn.XLOOKUP(A175,'VMT Reduction Supporting'!$A:$A,'VMT Reduction Supporting'!$D:$D,,0),0)</f>
        <v>104740.96241578144</v>
      </c>
      <c r="O175" s="1042">
        <f>IF(AND(A32&gt;=$B$2,A32&lt;=$B$4),_xlfn.XLOOKUP(A175,'VMT Reduction Supporting'!$A:$A,'VMT Reduction Supporting'!$G:$G,,0),0)</f>
        <v>118252.54656741727</v>
      </c>
      <c r="P175" s="1045">
        <f t="shared" si="74"/>
        <v>0.21033736182548601</v>
      </c>
      <c r="Q175" s="1045">
        <f t="shared" si="75"/>
        <v>0.23747088150097376</v>
      </c>
      <c r="R175" s="1046">
        <f>IF(AND($A175&gt;=MIN('Major Assumption Key'!$B$4),$A175&lt;=MAX('Major Assumption Key'!$B$6)),Q175-P175,0)</f>
        <v>2.7133519675487744E-2</v>
      </c>
      <c r="S175" s="1047">
        <f>_xlfn.XLOOKUP(A175,'Auto Idling Env. Benefits'!F:F,'Auto Idling Env. Benefits'!J:J,,0)</f>
        <v>0</v>
      </c>
      <c r="T175" s="1047">
        <f>_xlfn.XLOOKUP(A175,'Auto Idling Env. Benefits'!F:F,'Auto Idling Env. Benefits'!Q:Q,,0)</f>
        <v>0</v>
      </c>
      <c r="U175" s="1048">
        <f>IF(AND($A175&gt;=MIN('Major Assumption Key'!$B$4),$A175&lt;=MAX('Major Assumption Key'!$B$6)),S175-T175,0)</f>
        <v>0</v>
      </c>
    </row>
    <row r="176" spans="1:21" outlineLevel="1">
      <c r="A176" s="1036">
        <f t="shared" si="69"/>
        <v>2042</v>
      </c>
      <c r="B176" s="1037">
        <f t="shared" ref="B176:B178" si="80">$B$179*(($B$174/$B$179)^(1/($A$174-$A$179))^(A176-$A$179))</f>
        <v>7.9602778557054284E-3</v>
      </c>
      <c r="C176" s="1037">
        <f t="shared" ref="C176:C178" si="81">$C$179*(($C$174/$C$179)^(1/($A$174-$A$179))^(A176-$A$179))</f>
        <v>2.007023668296219</v>
      </c>
      <c r="D176" s="1038">
        <f>IF(AND(A33&gt;=$B$2,A33&lt;=$B$4),_xlfn.XLOOKUP(A176,'VMT Reduction Supporting'!$A:$A,'VMT Reduction Supporting'!$C:$C,,0),0)</f>
        <v>2036.2620933477322</v>
      </c>
      <c r="E176" s="1039">
        <f>IF(AND(A33&gt;=$B$2,A33&lt;=$B$4),_xlfn.XLOOKUP(A176,'VMT Reduction Supporting'!$A:$A,'VMT Reduction Supporting'!$F:$F,,0),0)</f>
        <v>27828.91527575233</v>
      </c>
      <c r="F176" s="1040">
        <f t="shared" si="70"/>
        <v>1.6209212050088331E-5</v>
      </c>
      <c r="G176" s="1040">
        <f t="shared" si="71"/>
        <v>2.215258980178738E-4</v>
      </c>
      <c r="H176" s="1041">
        <f>IF(AND($A176&gt;=MIN('Major Assumption Key'!$B$4),$A176&lt;=MAX('Major Assumption Key'!$B$6)),G176-F176,0)</f>
        <v>2.0531668596778546E-4</v>
      </c>
      <c r="I176" s="1038">
        <f>IF(AND(A33&gt;=$B$2,A33&lt;=$B$4),_xlfn.XLOOKUP(A176,'VMT Reduction Supporting'!$A:$A,'VMT Reduction Supporting'!$B:$B,,0),0)</f>
        <v>29525.800353542108</v>
      </c>
      <c r="J176" s="1042">
        <f>IF(AND(A33&gt;=$B$2,A33&lt;=$B$4),_xlfn.XLOOKUP(A176,'VMT Reduction Supporting'!$A:$A,'VMT Reduction Supporting'!$E:$E,,0),0)</f>
        <v>29893.832856433892</v>
      </c>
      <c r="K176" s="1043">
        <f t="shared" si="72"/>
        <v>2.3503357472628075E-4</v>
      </c>
      <c r="L176" s="1043">
        <f t="shared" si="73"/>
        <v>2.3796321570923007E-4</v>
      </c>
      <c r="M176" s="1044">
        <f>IF(AND($A176&gt;=MIN('Major Assumption Key'!$B$4),$A176&lt;=MAX('Major Assumption Key'!$B$6)),L176-K176,0)</f>
        <v>2.9296409829493203E-6</v>
      </c>
      <c r="N176" s="1038">
        <f>IF(AND(A33&gt;=$B$2,A33&lt;=$B$4),_xlfn.XLOOKUP(A176,'VMT Reduction Supporting'!$A:$A,'VMT Reduction Supporting'!$D:$D,,0),0)</f>
        <v>105149.884411622</v>
      </c>
      <c r="O176" s="1042">
        <f>IF(AND(A33&gt;=$B$2,A33&lt;=$B$4),_xlfn.XLOOKUP(A176,'VMT Reduction Supporting'!$A:$A,'VMT Reduction Supporting'!$G:$G,,0),0)</f>
        <v>118714.21950072126</v>
      </c>
      <c r="P176" s="1045">
        <f t="shared" si="74"/>
        <v>0.21103830673273699</v>
      </c>
      <c r="Q176" s="1045">
        <f t="shared" si="75"/>
        <v>0.23826224830126011</v>
      </c>
      <c r="R176" s="1046">
        <f>IF(AND($A176&gt;=MIN('Major Assumption Key'!$B$4),$A176&lt;=MAX('Major Assumption Key'!$B$6)),Q176-P176,0)</f>
        <v>2.7223941568523119E-2</v>
      </c>
      <c r="S176" s="1047">
        <f>_xlfn.XLOOKUP(A176,'Auto Idling Env. Benefits'!F:F,'Auto Idling Env. Benefits'!J:J,,0)</f>
        <v>0</v>
      </c>
      <c r="T176" s="1047">
        <f>_xlfn.XLOOKUP(A176,'Auto Idling Env. Benefits'!F:F,'Auto Idling Env. Benefits'!Q:Q,,0)</f>
        <v>0</v>
      </c>
      <c r="U176" s="1048">
        <f>IF(AND($A176&gt;=MIN('Major Assumption Key'!$B$4),$A176&lt;=MAX('Major Assumption Key'!$B$6)),S176-T176,0)</f>
        <v>0</v>
      </c>
    </row>
    <row r="177" spans="1:21" outlineLevel="1">
      <c r="A177" s="1036">
        <f t="shared" si="69"/>
        <v>2043</v>
      </c>
      <c r="B177" s="1037">
        <f t="shared" si="80"/>
        <v>7.8036398565738962E-3</v>
      </c>
      <c r="C177" s="1037">
        <f t="shared" si="81"/>
        <v>2.005880820135586</v>
      </c>
      <c r="D177" s="1038">
        <f>IF(AND(A34&gt;=$B$2,A34&lt;=$B$4),_xlfn.XLOOKUP(A177,'VMT Reduction Supporting'!$A:$A,'VMT Reduction Supporting'!$C:$C,,0),0)</f>
        <v>2066.273755994212</v>
      </c>
      <c r="E177" s="1039">
        <f>IF(AND(A34&gt;=$B$2,A34&lt;=$B$4),_xlfn.XLOOKUP(A177,'VMT Reduction Supporting'!$A:$A,'VMT Reduction Supporting'!$F:$F,,0),0)</f>
        <v>28239.074665254226</v>
      </c>
      <c r="F177" s="1040">
        <f t="shared" si="70"/>
        <v>1.6124456236869078E-5</v>
      </c>
      <c r="G177" s="1040">
        <f t="shared" si="71"/>
        <v>2.2036756857054401E-4</v>
      </c>
      <c r="H177" s="1041">
        <f>IF(AND($A177&gt;=MIN('Major Assumption Key'!$B$4),$A177&lt;=MAX('Major Assumption Key'!$B$6)),G177-F177,0)</f>
        <v>2.0424311233367494E-4</v>
      </c>
      <c r="I177" s="1038">
        <f>IF(AND(A34&gt;=$B$2,A34&lt;=$B$4),_xlfn.XLOOKUP(A177,'VMT Reduction Supporting'!$A:$A,'VMT Reduction Supporting'!$B:$B,,0),0)</f>
        <v>29960.969461916065</v>
      </c>
      <c r="J177" s="1042">
        <f>IF(AND(A34&gt;=$B$2,A34&lt;=$B$4),_xlfn.XLOOKUP(A177,'VMT Reduction Supporting'!$A:$A,'VMT Reduction Supporting'!$E:$E,,0),0)</f>
        <v>30329.438646303432</v>
      </c>
      <c r="K177" s="1043">
        <f t="shared" si="72"/>
        <v>2.3380461543460158E-4</v>
      </c>
      <c r="L177" s="1043">
        <f t="shared" si="73"/>
        <v>2.366800162478061E-4</v>
      </c>
      <c r="M177" s="1044">
        <f>IF(AND($A177&gt;=MIN('Major Assumption Key'!$B$4),$A177&lt;=MAX('Major Assumption Key'!$B$6)),L177-K177,0)</f>
        <v>2.8754008132045143E-6</v>
      </c>
      <c r="N177" s="1038">
        <f>IF(AND(A34&gt;=$B$2,A34&lt;=$B$4),_xlfn.XLOOKUP(A177,'VMT Reduction Supporting'!$A:$A,'VMT Reduction Supporting'!$D:$D,,0),0)</f>
        <v>105560.40289077553</v>
      </c>
      <c r="O177" s="1042">
        <f>IF(AND(A34&gt;=$B$2,A34&lt;=$B$4),_xlfn.XLOOKUP(A177,'VMT Reduction Supporting'!$A:$A,'VMT Reduction Supporting'!$G:$G,,0),0)</f>
        <v>119177.6948636856</v>
      </c>
      <c r="P177" s="1045">
        <f t="shared" si="74"/>
        <v>0.21174158752439171</v>
      </c>
      <c r="Q177" s="1045">
        <f t="shared" si="75"/>
        <v>0.2390562523150383</v>
      </c>
      <c r="R177" s="1046">
        <f>IF(AND($A177&gt;=MIN('Major Assumption Key'!$B$4),$A177&lt;=MAX('Major Assumption Key'!$B$6)),Q177-P177,0)</f>
        <v>2.7314664790646592E-2</v>
      </c>
      <c r="S177" s="1047">
        <f>_xlfn.XLOOKUP(A177,'Auto Idling Env. Benefits'!F:F,'Auto Idling Env. Benefits'!J:J,,0)</f>
        <v>0</v>
      </c>
      <c r="T177" s="1047">
        <f>_xlfn.XLOOKUP(A177,'Auto Idling Env. Benefits'!F:F,'Auto Idling Env. Benefits'!Q:Q,,0)</f>
        <v>0</v>
      </c>
      <c r="U177" s="1048">
        <f>IF(AND($A177&gt;=MIN('Major Assumption Key'!$B$4),$A177&lt;=MAX('Major Assumption Key'!$B$6)),S177-T177,0)</f>
        <v>0</v>
      </c>
    </row>
    <row r="178" spans="1:21" outlineLevel="1">
      <c r="A178" s="1036">
        <f t="shared" si="69"/>
        <v>2044</v>
      </c>
      <c r="B178" s="1037">
        <f t="shared" si="80"/>
        <v>7.65008409442161E-3</v>
      </c>
      <c r="C178" s="1037">
        <f t="shared" si="81"/>
        <v>2.0047386227405313</v>
      </c>
      <c r="D178" s="1038">
        <f>IF(AND(A35&gt;=$B$2,A35&lt;=$B$4),_xlfn.XLOOKUP(A178,'VMT Reduction Supporting'!$A:$A,'VMT Reduction Supporting'!$C:$C,,0),0)</f>
        <v>2096.7277486814805</v>
      </c>
      <c r="E178" s="1039">
        <f>IF(AND(A35&gt;=$B$2,A35&lt;=$B$4),_xlfn.XLOOKUP(A178,'VMT Reduction Supporting'!$A:$A,'VMT Reduction Supporting'!$F:$F,,0),0)</f>
        <v>28655.279231980225</v>
      </c>
      <c r="F178" s="1040">
        <f t="shared" si="70"/>
        <v>1.6040143600520627E-5</v>
      </c>
      <c r="G178" s="1040">
        <f t="shared" si="71"/>
        <v>2.1921529587378181E-4</v>
      </c>
      <c r="H178" s="1041">
        <f>IF(AND($A178&gt;=MIN('Major Assumption Key'!$B$4),$A178&lt;=MAX('Major Assumption Key'!$B$6)),G178-F178,0)</f>
        <v>2.0317515227326119E-4</v>
      </c>
      <c r="I178" s="1038">
        <f>IF(AND(A35&gt;=$B$2,A35&lt;=$B$4),_xlfn.XLOOKUP(A178,'VMT Reduction Supporting'!$A:$A,'VMT Reduction Supporting'!$B:$B,,0),0)</f>
        <v>30402.552355881457</v>
      </c>
      <c r="J178" s="1042">
        <f>IF(AND(A35&gt;=$B$2,A35&lt;=$B$4),_xlfn.XLOOKUP(A178,'VMT Reduction Supporting'!$A:$A,'VMT Reduction Supporting'!$E:$E,,0),0)</f>
        <v>30771.458739899965</v>
      </c>
      <c r="K178" s="1043">
        <f t="shared" si="72"/>
        <v>2.3258208220754899E-4</v>
      </c>
      <c r="L178" s="1043">
        <f t="shared" si="73"/>
        <v>2.3540424706825955E-4</v>
      </c>
      <c r="M178" s="1044">
        <f>IF(AND($A178&gt;=MIN('Major Assumption Key'!$B$4),$A178&lt;=MAX('Major Assumption Key'!$B$6)),L178-K178,0)</f>
        <v>2.8221648607105673E-6</v>
      </c>
      <c r="N178" s="1038">
        <f>IF(AND(A35&gt;=$B$2,A35&lt;=$B$4),_xlfn.XLOOKUP(A178,'VMT Reduction Supporting'!$A:$A,'VMT Reduction Supporting'!$D:$D,,0),0)</f>
        <v>105972.5240861153</v>
      </c>
      <c r="O178" s="1042">
        <f>IF(AND(A35&gt;=$B$2,A35&lt;=$B$4),_xlfn.XLOOKUP(A178,'VMT Reduction Supporting'!$A:$A,'VMT Reduction Supporting'!$G:$G,,0),0)</f>
        <v>119642.97969322419</v>
      </c>
      <c r="P178" s="1045">
        <f t="shared" si="74"/>
        <v>0.21244721198473657</v>
      </c>
      <c r="Q178" s="1045">
        <f t="shared" si="75"/>
        <v>0.23985290233076759</v>
      </c>
      <c r="R178" s="1046">
        <f>IF(AND($A178&gt;=MIN('Major Assumption Key'!$B$4),$A178&lt;=MAX('Major Assumption Key'!$B$6)),Q178-P178,0)</f>
        <v>2.740569034603102E-2</v>
      </c>
      <c r="S178" s="1047">
        <f>_xlfn.XLOOKUP(A178,'Auto Idling Env. Benefits'!F:F,'Auto Idling Env. Benefits'!J:J,,0)</f>
        <v>0</v>
      </c>
      <c r="T178" s="1047">
        <f>_xlfn.XLOOKUP(A178,'Auto Idling Env. Benefits'!F:F,'Auto Idling Env. Benefits'!Q:Q,,0)</f>
        <v>0</v>
      </c>
      <c r="U178" s="1048">
        <f>IF(AND($A178&gt;=MIN('Major Assumption Key'!$B$4),$A178&lt;=MAX('Major Assumption Key'!$B$6)),S178-T178,0)</f>
        <v>0</v>
      </c>
    </row>
    <row r="179" spans="1:21" outlineLevel="1">
      <c r="A179" s="1451">
        <f t="shared" si="69"/>
        <v>2045</v>
      </c>
      <c r="B179" s="1078">
        <f>VLOOKUP($B$5,'Emission Factors'!$V$5:$AA$21,4,FALSE)</f>
        <v>7.4995499186730451E-3</v>
      </c>
      <c r="C179" s="1078">
        <f>VLOOKUP($B$6,'Emission Factors'!$V$28:$AA$44,4,FALSE)</f>
        <v>2.0035970757404931</v>
      </c>
      <c r="D179" s="1038">
        <f>IF(AND(A36&gt;=$B$2,A36&lt;=$B$4),_xlfn.XLOOKUP(A179,'VMT Reduction Supporting'!$A:$A,'VMT Reduction Supporting'!$C:$C,,0),0)</f>
        <v>2127.6305907372825</v>
      </c>
      <c r="E179" s="1039">
        <f>IF(AND(A36&gt;=$B$2,A36&lt;=$B$4),_xlfn.XLOOKUP(A179,'VMT Reduction Supporting'!$A:$A,'VMT Reduction Supporting'!$F:$F,,0),0)</f>
        <v>29077.618073409518</v>
      </c>
      <c r="F179" s="1040">
        <f t="shared" si="70"/>
        <v>1.595627182373007E-5</v>
      </c>
      <c r="G179" s="1040">
        <f t="shared" si="71"/>
        <v>2.1806904825764423E-4</v>
      </c>
      <c r="H179" s="1041">
        <f>IF(AND($A179&gt;=MIN('Major Assumption Key'!$B$4),$A179&lt;=MAX('Major Assumption Key'!$B$6)),G179-F179,0)</f>
        <v>2.0211277643391416E-4</v>
      </c>
      <c r="I179" s="1038">
        <f>IF(AND(A36&gt;=$B$2,A36&lt;=$B$4),_xlfn.XLOOKUP(A179,'VMT Reduction Supporting'!$A:$A,'VMT Reduction Supporting'!$B:$B,,0),0)</f>
        <v>30850.643565690589</v>
      </c>
      <c r="J179" s="1042">
        <f>IF(AND(A36&gt;=$B$2,A36&lt;=$B$4),_xlfn.XLOOKUP(A179,'VMT Reduction Supporting'!$A:$A,'VMT Reduction Supporting'!$E:$E,,0),0)</f>
        <v>31219.987668090587</v>
      </c>
      <c r="K179" s="1043">
        <f t="shared" si="72"/>
        <v>2.3136594144408597E-4</v>
      </c>
      <c r="L179" s="1043">
        <f t="shared" si="73"/>
        <v>2.3413585597720224E-4</v>
      </c>
      <c r="M179" s="1044">
        <f>IF(AND($A179&gt;=MIN('Major Assumption Key'!$B$4),$A179&lt;=MAX('Major Assumption Key'!$B$6)),L179-K179,0)</f>
        <v>2.7699145331162693E-6</v>
      </c>
      <c r="N179" s="1038">
        <f>IF(AND(A36&gt;=$B$2,A36&lt;=$B$4),_xlfn.XLOOKUP(A179,'VMT Reduction Supporting'!$A:$A,'VMT Reduction Supporting'!$D:$D,,0),0)</f>
        <v>106386.25425484846</v>
      </c>
      <c r="O179" s="1042">
        <f>IF(AND(A36&gt;=$B$2,A36&lt;=$B$4),_xlfn.XLOOKUP(A179,'VMT Reduction Supporting'!$A:$A,'VMT Reduction Supporting'!$G:$G,,0),0)</f>
        <v>120110.08105372394</v>
      </c>
      <c r="P179" s="1045">
        <f t="shared" si="74"/>
        <v>0.21315518792399898</v>
      </c>
      <c r="Q179" s="1045">
        <f t="shared" si="75"/>
        <v>0.2406522071661949</v>
      </c>
      <c r="R179" s="1046">
        <f>IF(AND($A179&gt;=MIN('Major Assumption Key'!$B$4),$A179&lt;=MAX('Major Assumption Key'!$B$6)),Q179-P179,0)</f>
        <v>2.7497019242195914E-2</v>
      </c>
      <c r="S179" s="1047">
        <f>_xlfn.XLOOKUP(A179,'Auto Idling Env. Benefits'!F:F,'Auto Idling Env. Benefits'!J:J,,0)</f>
        <v>0</v>
      </c>
      <c r="T179" s="1047">
        <f>_xlfn.XLOOKUP(A179,'Auto Idling Env. Benefits'!F:F,'Auto Idling Env. Benefits'!Q:Q,,0)</f>
        <v>0</v>
      </c>
      <c r="U179" s="1048">
        <f>IF(AND($A179&gt;=MIN('Major Assumption Key'!$B$4),$A179&lt;=MAX('Major Assumption Key'!$B$6)),S179-T179,0)</f>
        <v>0</v>
      </c>
    </row>
    <row r="180" spans="1:21" outlineLevel="1">
      <c r="A180" s="1036">
        <f t="shared" si="69"/>
        <v>2046</v>
      </c>
      <c r="B180" s="1037">
        <f>$B$179*(($B$174/$B$179)^(1/($A$174-$A$179))^(A180-$A$179))</f>
        <v>7.3519778722015722E-3</v>
      </c>
      <c r="C180" s="1037">
        <f>$C$179*(($C$174/$C$179)^(1/($A$174-$A$179))^(A180-$A$179))</f>
        <v>2.0024561787651205</v>
      </c>
      <c r="D180" s="1038">
        <f>IF(AND(A37&gt;=$B$2,A37&lt;=$B$4),_xlfn.XLOOKUP(A180,'VMT Reduction Supporting'!$A:$A,'VMT Reduction Supporting'!$C:$C,,0),0)</f>
        <v>2158.9888975751605</v>
      </c>
      <c r="E180" s="1039">
        <f>IF(AND(A37&gt;=$B$2,A37&lt;=$B$4),_xlfn.XLOOKUP(A180,'VMT Reduction Supporting'!$A:$A,'VMT Reduction Supporting'!$F:$F,,0),0)</f>
        <v>29506.181600193853</v>
      </c>
      <c r="F180" s="1040">
        <f t="shared" si="70"/>
        <v>1.5872838601301448E-5</v>
      </c>
      <c r="G180" s="1040">
        <f t="shared" si="71"/>
        <v>2.1692879421778639E-4</v>
      </c>
      <c r="H180" s="1041">
        <f>IF(AND($A180&gt;=MIN('Major Assumption Key'!$B$4),$A180&lt;=MAX('Major Assumption Key'!$B$6)),G180-F180,0)</f>
        <v>2.0105595561648496E-4</v>
      </c>
      <c r="I180" s="1038">
        <f>IF(AND(A37&gt;=$B$2,A37&lt;=$B$4),_xlfn.XLOOKUP(A180,'VMT Reduction Supporting'!$A:$A,'VMT Reduction Supporting'!$B:$B,,0),0)</f>
        <v>31305.339014839818</v>
      </c>
      <c r="J180" s="1042">
        <f>IF(AND(A37&gt;=$B$2,A37&lt;=$B$4),_xlfn.XLOOKUP(A180,'VMT Reduction Supporting'!$A:$A,'VMT Reduction Supporting'!$E:$E,,0),0)</f>
        <v>31675.121354987172</v>
      </c>
      <c r="K180" s="1043">
        <f t="shared" si="72"/>
        <v>2.3015615971887088E-4</v>
      </c>
      <c r="L180" s="1043">
        <f t="shared" si="73"/>
        <v>2.3287479130116518E-4</v>
      </c>
      <c r="M180" s="1044">
        <f>IF(AND($A180&gt;=MIN('Major Assumption Key'!$B$4),$A180&lt;=MAX('Major Assumption Key'!$B$6)),L180-K180,0)</f>
        <v>2.7186315822943E-6</v>
      </c>
      <c r="N180" s="1038">
        <f>IF(AND(A37&gt;=$B$2,A37&lt;=$B$4),_xlfn.XLOOKUP(A180,'VMT Reduction Supporting'!$A:$A,'VMT Reduction Supporting'!$D:$D,,0),0)</f>
        <v>106801.59967861114</v>
      </c>
      <c r="O180" s="1042">
        <f>IF(AND(A37&gt;=$B$2,A37&lt;=$B$4),_xlfn.XLOOKUP(A180,'VMT Reduction Supporting'!$A:$A,'VMT Reduction Supporting'!$G:$G,,0),0)</f>
        <v>120579.00603715202</v>
      </c>
      <c r="P180" s="1045">
        <f t="shared" si="74"/>
        <v>0.21386552317843377</v>
      </c>
      <c r="Q180" s="1045">
        <f t="shared" si="75"/>
        <v>0.24145417566845184</v>
      </c>
      <c r="R180" s="1046">
        <f>IF(AND($A180&gt;=MIN('Major Assumption Key'!$B$4),$A180&lt;=MAX('Major Assumption Key'!$B$6)),Q180-P180,0)</f>
        <v>2.7588652490018073E-2</v>
      </c>
      <c r="S180" s="1047">
        <f>_xlfn.XLOOKUP(A180,'Auto Idling Env. Benefits'!F:F,'Auto Idling Env. Benefits'!J:J,,0)</f>
        <v>0</v>
      </c>
      <c r="T180" s="1047">
        <f>_xlfn.XLOOKUP(A180,'Auto Idling Env. Benefits'!F:F,'Auto Idling Env. Benefits'!Q:Q,,0)</f>
        <v>0</v>
      </c>
      <c r="U180" s="1048">
        <f>IF(AND($A180&gt;=MIN('Major Assumption Key'!$B$4),$A180&lt;=MAX('Major Assumption Key'!$B$6)),S180-T180,0)</f>
        <v>0</v>
      </c>
    </row>
    <row r="181" spans="1:21" outlineLevel="1">
      <c r="A181" s="1036">
        <f t="shared" si="69"/>
        <v>2047</v>
      </c>
      <c r="B181" s="1037">
        <f t="shared" ref="B181:B194" si="82">$B$179*(($B$174/$B$179)^(1/($A$174-$A$179))^(A181-$A$179))</f>
        <v>7.207309667845419E-3</v>
      </c>
      <c r="C181" s="1037">
        <f t="shared" ref="C181:C194" si="83">$C$179*(($C$174/$C$179)^(1/($A$174-$A$179))^(A181-$A$179))</f>
        <v>2.0013159314442741</v>
      </c>
      <c r="D181" s="1038">
        <f>IF(AND(A38&gt;=$B$2,A38&lt;=$B$4),_xlfn.XLOOKUP(A181,'VMT Reduction Supporting'!$A:$A,'VMT Reduction Supporting'!$C:$C,,0),0)</f>
        <v>2190.809382110624</v>
      </c>
      <c r="E181" s="1039">
        <f>IF(AND(A38&gt;=$B$2,A38&lt;=$B$4),_xlfn.XLOOKUP(A181,'VMT Reduction Supporting'!$A:$A,'VMT Reduction Supporting'!$F:$F,,0),0)</f>
        <v>29941.061555511849</v>
      </c>
      <c r="F181" s="1040">
        <f t="shared" si="70"/>
        <v>1.5789841640092351E-5</v>
      </c>
      <c r="G181" s="1040">
        <f t="shared" si="71"/>
        <v>2.1579450241459533E-4</v>
      </c>
      <c r="H181" s="1041">
        <f>IF(AND($A181&gt;=MIN('Major Assumption Key'!$B$4),$A181&lt;=MAX('Major Assumption Key'!$B$6)),G181-F181,0)</f>
        <v>2.0000466077450298E-4</v>
      </c>
      <c r="I181" s="1038">
        <f>IF(AND(A38&gt;=$B$2,A38&lt;=$B$4),_xlfn.XLOOKUP(A181,'VMT Reduction Supporting'!$A:$A,'VMT Reduction Supporting'!$B:$B,,0),0)</f>
        <v>31766.736040604035</v>
      </c>
      <c r="J181" s="1042">
        <f>IF(AND(A38&gt;=$B$2,A38&lt;=$B$4),_xlfn.XLOOKUP(A181,'VMT Reduction Supporting'!$A:$A,'VMT Reduction Supporting'!$E:$E,,0),0)</f>
        <v>32136.957138480837</v>
      </c>
      <c r="K181" s="1043">
        <f t="shared" si="72"/>
        <v>2.2895270378133899E-4</v>
      </c>
      <c r="L181" s="1043">
        <f t="shared" si="73"/>
        <v>2.3162100187930679E-4</v>
      </c>
      <c r="M181" s="1044">
        <f>IF(AND($A181&gt;=MIN('Major Assumption Key'!$B$4),$A181&lt;=MAX('Major Assumption Key'!$B$6)),L181-K181,0)</f>
        <v>2.6682980979678009E-6</v>
      </c>
      <c r="N181" s="1038">
        <f>IF(AND(A38&gt;=$B$2,A38&lt;=$B$4),_xlfn.XLOOKUP(A181,'VMT Reduction Supporting'!$A:$A,'VMT Reduction Supporting'!$D:$D,,0),0)</f>
        <v>107218.56666356375</v>
      </c>
      <c r="O181" s="1042">
        <f>IF(AND(A38&gt;=$B$2,A38&lt;=$B$4),_xlfn.XLOOKUP(A181,'VMT Reduction Supporting'!$A:$A,'VMT Reduction Supporting'!$G:$G,,0),0)</f>
        <v>121049.76176316351</v>
      </c>
      <c r="P181" s="1045">
        <f t="shared" si="74"/>
        <v>0.21457822561041007</v>
      </c>
      <c r="Q181" s="1045">
        <f t="shared" si="75"/>
        <v>0.24225881671415303</v>
      </c>
      <c r="R181" s="1046">
        <f>IF(AND($A181&gt;=MIN('Major Assumption Key'!$B$4),$A181&lt;=MAX('Major Assumption Key'!$B$6)),Q181-P181,0)</f>
        <v>2.7680591103742963E-2</v>
      </c>
      <c r="S181" s="1047">
        <f>_xlfn.XLOOKUP(A181,'Auto Idling Env. Benefits'!F:F,'Auto Idling Env. Benefits'!J:J,,0)</f>
        <v>0</v>
      </c>
      <c r="T181" s="1047">
        <f>_xlfn.XLOOKUP(A181,'Auto Idling Env. Benefits'!F:F,'Auto Idling Env. Benefits'!Q:Q,,0)</f>
        <v>0</v>
      </c>
      <c r="U181" s="1048">
        <f>IF(AND($A181&gt;=MIN('Major Assumption Key'!$B$4),$A181&lt;=MAX('Major Assumption Key'!$B$6)),S181-T181,0)</f>
        <v>0</v>
      </c>
    </row>
    <row r="182" spans="1:21" outlineLevel="1">
      <c r="A182" s="1036">
        <f t="shared" si="69"/>
        <v>2048</v>
      </c>
      <c r="B182" s="1037">
        <f t="shared" si="82"/>
        <v>7.0654881653857389E-3</v>
      </c>
      <c r="C182" s="1037">
        <f t="shared" si="83"/>
        <v>2.0001763334080245</v>
      </c>
      <c r="D182" s="1038">
        <f>IF(AND(A39&gt;=$B$2,A39&lt;=$B$4),_xlfn.XLOOKUP(A182,'VMT Reduction Supporting'!$A:$A,'VMT Reduction Supporting'!$C:$C,,0),0)</f>
        <v>0</v>
      </c>
      <c r="E182" s="1039">
        <f>IF(AND(A39&gt;=$B$2,A39&lt;=$B$4),_xlfn.XLOOKUP(A182,'VMT Reduction Supporting'!$A:$A,'VMT Reduction Supporting'!$F:$F,,0),0)</f>
        <v>0</v>
      </c>
      <c r="F182" s="1040">
        <f t="shared" si="70"/>
        <v>0</v>
      </c>
      <c r="G182" s="1040">
        <f t="shared" si="71"/>
        <v>0</v>
      </c>
      <c r="H182" s="1041">
        <f>IF(AND($A182&gt;=MIN('Major Assumption Key'!$B$4),$A182&lt;=MAX('Major Assumption Key'!$B$6)),G182-F182,0)</f>
        <v>0</v>
      </c>
      <c r="I182" s="1038">
        <f>IF(AND(A39&gt;=$B$2,A39&lt;=$B$4),_xlfn.XLOOKUP(A182,'VMT Reduction Supporting'!$A:$A,'VMT Reduction Supporting'!$B:$B,,0),0)</f>
        <v>0</v>
      </c>
      <c r="J182" s="1042">
        <f>IF(AND(A39&gt;=$B$2,A39&lt;=$B$4),_xlfn.XLOOKUP(A182,'VMT Reduction Supporting'!$A:$A,'VMT Reduction Supporting'!$E:$E,,0),0)</f>
        <v>0</v>
      </c>
      <c r="K182" s="1043">
        <f t="shared" si="72"/>
        <v>0</v>
      </c>
      <c r="L182" s="1043">
        <f t="shared" si="73"/>
        <v>0</v>
      </c>
      <c r="M182" s="1044">
        <f>IF(AND($A182&gt;=MIN('Major Assumption Key'!$B$4),$A182&lt;=MAX('Major Assumption Key'!$B$6)),L182-K182,0)</f>
        <v>0</v>
      </c>
      <c r="N182" s="1038">
        <f>IF(AND(A39&gt;=$B$2,A39&lt;=$B$4),_xlfn.XLOOKUP(A182,'VMT Reduction Supporting'!$A:$A,'VMT Reduction Supporting'!$D:$D,,0),0)</f>
        <v>0</v>
      </c>
      <c r="O182" s="1042">
        <f>IF(AND(A39&gt;=$B$2,A39&lt;=$B$4),_xlfn.XLOOKUP(A182,'VMT Reduction Supporting'!$A:$A,'VMT Reduction Supporting'!$G:$G,,0),0)</f>
        <v>0</v>
      </c>
      <c r="P182" s="1045">
        <f t="shared" si="74"/>
        <v>0</v>
      </c>
      <c r="Q182" s="1045">
        <f t="shared" si="75"/>
        <v>0</v>
      </c>
      <c r="R182" s="1046">
        <f>IF(AND($A182&gt;=MIN('Major Assumption Key'!$B$4),$A182&lt;=MAX('Major Assumption Key'!$B$6)),Q182-P182,0)</f>
        <v>0</v>
      </c>
      <c r="S182" s="1047">
        <f>_xlfn.XLOOKUP(A182,'Auto Idling Env. Benefits'!F:F,'Auto Idling Env. Benefits'!J:J,,0)</f>
        <v>0</v>
      </c>
      <c r="T182" s="1047">
        <f>_xlfn.XLOOKUP(A182,'Auto Idling Env. Benefits'!F:F,'Auto Idling Env. Benefits'!Q:Q,,0)</f>
        <v>0</v>
      </c>
      <c r="U182" s="1048">
        <f>IF(AND($A182&gt;=MIN('Major Assumption Key'!$B$4),$A182&lt;=MAX('Major Assumption Key'!$B$6)),S182-T182,0)</f>
        <v>0</v>
      </c>
    </row>
    <row r="183" spans="1:21" outlineLevel="1">
      <c r="A183" s="1036">
        <f t="shared" si="69"/>
        <v>2049</v>
      </c>
      <c r="B183" s="1037">
        <f t="shared" si="82"/>
        <v>6.9264573489777014E-3</v>
      </c>
      <c r="C183" s="1037">
        <f t="shared" si="83"/>
        <v>1.9990373842866536</v>
      </c>
      <c r="D183" s="1038">
        <f>IF(AND(A40&gt;=$B$2,A40&lt;=$B$4),_xlfn.XLOOKUP(A183,'VMT Reduction Supporting'!$A:$A,'VMT Reduction Supporting'!$C:$C,,0),0)</f>
        <v>0</v>
      </c>
      <c r="E183" s="1039">
        <f>IF(AND(A40&gt;=$B$2,A40&lt;=$B$4),_xlfn.XLOOKUP(A183,'VMT Reduction Supporting'!$A:$A,'VMT Reduction Supporting'!$F:$F,,0),0)</f>
        <v>0</v>
      </c>
      <c r="F183" s="1040">
        <f t="shared" si="70"/>
        <v>0</v>
      </c>
      <c r="G183" s="1040">
        <f t="shared" si="71"/>
        <v>0</v>
      </c>
      <c r="H183" s="1041">
        <f>IF(AND($A183&gt;=MIN('Major Assumption Key'!$B$4),$A183&lt;=MAX('Major Assumption Key'!$B$6)),G183-F183,0)</f>
        <v>0</v>
      </c>
      <c r="I183" s="1038">
        <f>IF(AND(A40&gt;=$B$2,A40&lt;=$B$4),_xlfn.XLOOKUP(A183,'VMT Reduction Supporting'!$A:$A,'VMT Reduction Supporting'!$B:$B,,0),0)</f>
        <v>0</v>
      </c>
      <c r="J183" s="1042">
        <f>IF(AND(A40&gt;=$B$2,A40&lt;=$B$4),_xlfn.XLOOKUP(A183,'VMT Reduction Supporting'!$A:$A,'VMT Reduction Supporting'!$E:$E,,0),0)</f>
        <v>0</v>
      </c>
      <c r="K183" s="1043">
        <f t="shared" si="72"/>
        <v>0</v>
      </c>
      <c r="L183" s="1043">
        <f t="shared" si="73"/>
        <v>0</v>
      </c>
      <c r="M183" s="1044">
        <f>IF(AND($A183&gt;=MIN('Major Assumption Key'!$B$4),$A183&lt;=MAX('Major Assumption Key'!$B$6)),L183-K183,0)</f>
        <v>0</v>
      </c>
      <c r="N183" s="1038">
        <f>IF(AND(A40&gt;=$B$2,A40&lt;=$B$4),_xlfn.XLOOKUP(A183,'VMT Reduction Supporting'!$A:$A,'VMT Reduction Supporting'!$D:$D,,0),0)</f>
        <v>0</v>
      </c>
      <c r="O183" s="1042">
        <f>IF(AND(A40&gt;=$B$2,A40&lt;=$B$4),_xlfn.XLOOKUP(A183,'VMT Reduction Supporting'!$A:$A,'VMT Reduction Supporting'!$G:$G,,0),0)</f>
        <v>0</v>
      </c>
      <c r="P183" s="1045">
        <f t="shared" si="74"/>
        <v>0</v>
      </c>
      <c r="Q183" s="1045">
        <f t="shared" si="75"/>
        <v>0</v>
      </c>
      <c r="R183" s="1046">
        <f>IF(AND($A183&gt;=MIN('Major Assumption Key'!$B$4),$A183&lt;=MAX('Major Assumption Key'!$B$6)),Q183-P183,0)</f>
        <v>0</v>
      </c>
      <c r="S183" s="1047">
        <f>_xlfn.XLOOKUP(A183,'Auto Idling Env. Benefits'!F:F,'Auto Idling Env. Benefits'!J:J,,0)</f>
        <v>0</v>
      </c>
      <c r="T183" s="1047">
        <f>_xlfn.XLOOKUP(A183,'Auto Idling Env. Benefits'!F:F,'Auto Idling Env. Benefits'!Q:Q,,0)</f>
        <v>0</v>
      </c>
      <c r="U183" s="1048">
        <f>IF(AND($A183&gt;=MIN('Major Assumption Key'!$B$4),$A183&lt;=MAX('Major Assumption Key'!$B$6)),S183-T183,0)</f>
        <v>0</v>
      </c>
    </row>
    <row r="184" spans="1:21" outlineLevel="1">
      <c r="A184" s="1036">
        <f t="shared" si="69"/>
        <v>2050</v>
      </c>
      <c r="B184" s="1037">
        <f t="shared" si="82"/>
        <v>6.7901623050256685E-3</v>
      </c>
      <c r="C184" s="1037">
        <f t="shared" si="83"/>
        <v>1.9978990837106527</v>
      </c>
      <c r="D184" s="1038">
        <f>IF(AND(A41&gt;=$B$2,A41&lt;=$B$4),_xlfn.XLOOKUP(A184,'VMT Reduction Supporting'!$A:$A,'VMT Reduction Supporting'!$C:$C,,0),0)</f>
        <v>0</v>
      </c>
      <c r="E184" s="1039">
        <f>IF(AND(A41&gt;=$B$2,A41&lt;=$B$4),_xlfn.XLOOKUP(A184,'VMT Reduction Supporting'!$A:$A,'VMT Reduction Supporting'!$F:$F,,0),0)</f>
        <v>0</v>
      </c>
      <c r="F184" s="1040">
        <f t="shared" si="70"/>
        <v>0</v>
      </c>
      <c r="G184" s="1040">
        <f t="shared" si="71"/>
        <v>0</v>
      </c>
      <c r="H184" s="1041">
        <f>IF(AND($A184&gt;=MIN('Major Assumption Key'!$B$4),$A184&lt;=MAX('Major Assumption Key'!$B$6)),G184-F184,0)</f>
        <v>0</v>
      </c>
      <c r="I184" s="1038">
        <f>IF(AND(A41&gt;=$B$2,A41&lt;=$B$4),_xlfn.XLOOKUP(A184,'VMT Reduction Supporting'!$A:$A,'VMT Reduction Supporting'!$B:$B,,0),0)</f>
        <v>0</v>
      </c>
      <c r="J184" s="1042">
        <f>IF(AND(A41&gt;=$B$2,A41&lt;=$B$4),_xlfn.XLOOKUP(A184,'VMT Reduction Supporting'!$A:$A,'VMT Reduction Supporting'!$E:$E,,0),0)</f>
        <v>0</v>
      </c>
      <c r="K184" s="1043">
        <f t="shared" si="72"/>
        <v>0</v>
      </c>
      <c r="L184" s="1043">
        <f t="shared" si="73"/>
        <v>0</v>
      </c>
      <c r="M184" s="1044">
        <f>IF(AND($A184&gt;=MIN('Major Assumption Key'!$B$4),$A184&lt;=MAX('Major Assumption Key'!$B$6)),L184-K184,0)</f>
        <v>0</v>
      </c>
      <c r="N184" s="1038">
        <f>IF(AND(A41&gt;=$B$2,A41&lt;=$B$4),_xlfn.XLOOKUP(A184,'VMT Reduction Supporting'!$A:$A,'VMT Reduction Supporting'!$D:$D,,0),0)</f>
        <v>0</v>
      </c>
      <c r="O184" s="1042">
        <f>IF(AND(A41&gt;=$B$2,A41&lt;=$B$4),_xlfn.XLOOKUP(A184,'VMT Reduction Supporting'!$A:$A,'VMT Reduction Supporting'!$G:$G,,0),0)</f>
        <v>0</v>
      </c>
      <c r="P184" s="1045">
        <f t="shared" si="74"/>
        <v>0</v>
      </c>
      <c r="Q184" s="1045">
        <f t="shared" si="75"/>
        <v>0</v>
      </c>
      <c r="R184" s="1046">
        <f>IF(AND($A184&gt;=MIN('Major Assumption Key'!$B$4),$A184&lt;=MAX('Major Assumption Key'!$B$6)),Q184-P184,0)</f>
        <v>0</v>
      </c>
      <c r="S184" s="1047">
        <f>_xlfn.XLOOKUP(A184,'Auto Idling Env. Benefits'!F:F,'Auto Idling Env. Benefits'!J:J,,0)</f>
        <v>0</v>
      </c>
      <c r="T184" s="1047">
        <f>_xlfn.XLOOKUP(A184,'Auto Idling Env. Benefits'!F:F,'Auto Idling Env. Benefits'!Q:Q,,0)</f>
        <v>0</v>
      </c>
      <c r="U184" s="1048">
        <f>IF(AND($A184&gt;=MIN('Major Assumption Key'!$B$4),$A184&lt;=MAX('Major Assumption Key'!$B$6)),S184-T184,0)</f>
        <v>0</v>
      </c>
    </row>
    <row r="185" spans="1:21" ht="12" customHeight="1" outlineLevel="1">
      <c r="A185" s="1036">
        <f t="shared" si="69"/>
        <v>2051</v>
      </c>
      <c r="B185" s="1037">
        <f t="shared" si="82"/>
        <v>6.6565492004937383E-3</v>
      </c>
      <c r="C185" s="1037">
        <f t="shared" si="83"/>
        <v>1.9967614313107247</v>
      </c>
      <c r="D185" s="1038">
        <f>IF(AND(A42&gt;=$B$2,A42&lt;=$B$4),_xlfn.XLOOKUP(A185,'VMT Reduction Supporting'!$A:$A,'VMT Reduction Supporting'!$C:$C,,0),0)</f>
        <v>0</v>
      </c>
      <c r="E185" s="1039">
        <f>IF(AND(A42&gt;=$B$2,A42&lt;=$B$4),_xlfn.XLOOKUP(A185,'VMT Reduction Supporting'!$A:$A,'VMT Reduction Supporting'!$F:$F,,0),0)</f>
        <v>0</v>
      </c>
      <c r="F185" s="1040">
        <f t="shared" si="70"/>
        <v>0</v>
      </c>
      <c r="G185" s="1040">
        <f t="shared" si="71"/>
        <v>0</v>
      </c>
      <c r="H185" s="1041">
        <f>IF(AND($A185&gt;=MIN('Major Assumption Key'!$B$4),$A185&lt;=MAX('Major Assumption Key'!$B$6)),G185-F185,0)</f>
        <v>0</v>
      </c>
      <c r="I185" s="1038">
        <f>IF(AND(A42&gt;=$B$2,A42&lt;=$B$4),_xlfn.XLOOKUP(A185,'VMT Reduction Supporting'!$A:$A,'VMT Reduction Supporting'!$B:$B,,0),0)</f>
        <v>0</v>
      </c>
      <c r="J185" s="1042">
        <f>IF(AND(A42&gt;=$B$2,A42&lt;=$B$4),_xlfn.XLOOKUP(A185,'VMT Reduction Supporting'!$A:$A,'VMT Reduction Supporting'!$E:$E,,0),0)</f>
        <v>0</v>
      </c>
      <c r="K185" s="1043">
        <f t="shared" si="72"/>
        <v>0</v>
      </c>
      <c r="L185" s="1043">
        <f t="shared" si="73"/>
        <v>0</v>
      </c>
      <c r="M185" s="1044">
        <f>IF(AND($A185&gt;=MIN('Major Assumption Key'!$B$4),$A185&lt;=MAX('Major Assumption Key'!$B$6)),L185-K185,0)</f>
        <v>0</v>
      </c>
      <c r="N185" s="1038">
        <f>IF(AND(A42&gt;=$B$2,A42&lt;=$B$4),_xlfn.XLOOKUP(A185,'VMT Reduction Supporting'!$A:$A,'VMT Reduction Supporting'!$D:$D,,0),0)</f>
        <v>0</v>
      </c>
      <c r="O185" s="1042">
        <f>IF(AND(A42&gt;=$B$2,A42&lt;=$B$4),_xlfn.XLOOKUP(A185,'VMT Reduction Supporting'!$A:$A,'VMT Reduction Supporting'!$G:$G,,0),0)</f>
        <v>0</v>
      </c>
      <c r="P185" s="1045">
        <f t="shared" si="74"/>
        <v>0</v>
      </c>
      <c r="Q185" s="1045">
        <f t="shared" si="75"/>
        <v>0</v>
      </c>
      <c r="R185" s="1046">
        <f>IF(AND($A185&gt;=MIN('Major Assumption Key'!$B$4),$A185&lt;=MAX('Major Assumption Key'!$B$6)),Q185-P185,0)</f>
        <v>0</v>
      </c>
      <c r="S185" s="1047">
        <f>_xlfn.XLOOKUP(A185,'Auto Idling Env. Benefits'!F:F,'Auto Idling Env. Benefits'!J:J,,0)</f>
        <v>0</v>
      </c>
      <c r="T185" s="1047">
        <f>_xlfn.XLOOKUP(A185,'Auto Idling Env. Benefits'!F:F,'Auto Idling Env. Benefits'!Q:Q,,0)</f>
        <v>0</v>
      </c>
      <c r="U185" s="1048">
        <f>IF(AND($A185&gt;=MIN('Major Assumption Key'!$B$4),$A185&lt;=MAX('Major Assumption Key'!$B$6)),S185-T185,0)</f>
        <v>0</v>
      </c>
    </row>
    <row r="186" spans="1:21" ht="12" customHeight="1" outlineLevel="1">
      <c r="A186" s="1036">
        <f t="shared" si="69"/>
        <v>2052</v>
      </c>
      <c r="B186" s="1037">
        <f t="shared" si="82"/>
        <v>6.5255652616430827E-3</v>
      </c>
      <c r="C186" s="1037">
        <f t="shared" si="83"/>
        <v>1.9956244267177823</v>
      </c>
      <c r="D186" s="1038">
        <f>IF(AND(A43&gt;=$B$2,A43&lt;=$B$4),_xlfn.XLOOKUP(A186,'VMT Reduction Supporting'!$A:$A,'VMT Reduction Supporting'!$C:$C,,0),0)</f>
        <v>0</v>
      </c>
      <c r="E186" s="1039">
        <f>IF(AND(A43&gt;=$B$2,A43&lt;=$B$4),_xlfn.XLOOKUP(A186,'VMT Reduction Supporting'!$A:$A,'VMT Reduction Supporting'!$F:$F,,0),0)</f>
        <v>0</v>
      </c>
      <c r="F186" s="1040">
        <f t="shared" si="70"/>
        <v>0</v>
      </c>
      <c r="G186" s="1040">
        <f t="shared" si="71"/>
        <v>0</v>
      </c>
      <c r="H186" s="1041">
        <f>IF(AND($A186&gt;=MIN('Major Assumption Key'!$B$4),$A186&lt;=MAX('Major Assumption Key'!$B$6)),G186-F186,0)</f>
        <v>0</v>
      </c>
      <c r="I186" s="1038">
        <f>IF(AND(A43&gt;=$B$2,A43&lt;=$B$4),_xlfn.XLOOKUP(A186,'VMT Reduction Supporting'!$A:$A,'VMT Reduction Supporting'!$B:$B,,0),0)</f>
        <v>0</v>
      </c>
      <c r="J186" s="1042">
        <f>IF(AND(A43&gt;=$B$2,A43&lt;=$B$4),_xlfn.XLOOKUP(A186,'VMT Reduction Supporting'!$A:$A,'VMT Reduction Supporting'!$E:$E,,0),0)</f>
        <v>0</v>
      </c>
      <c r="K186" s="1043">
        <f t="shared" si="72"/>
        <v>0</v>
      </c>
      <c r="L186" s="1043">
        <f t="shared" si="73"/>
        <v>0</v>
      </c>
      <c r="M186" s="1044">
        <f>IF(AND($A186&gt;=MIN('Major Assumption Key'!$B$4),$A186&lt;=MAX('Major Assumption Key'!$B$6)),L186-K186,0)</f>
        <v>0</v>
      </c>
      <c r="N186" s="1038">
        <f>IF(AND(A43&gt;=$B$2,A43&lt;=$B$4),_xlfn.XLOOKUP(A186,'VMT Reduction Supporting'!$A:$A,'VMT Reduction Supporting'!$D:$D,,0),0)</f>
        <v>0</v>
      </c>
      <c r="O186" s="1042">
        <f>IF(AND(A43&gt;=$B$2,A43&lt;=$B$4),_xlfn.XLOOKUP(A186,'VMT Reduction Supporting'!$A:$A,'VMT Reduction Supporting'!$G:$G,,0),0)</f>
        <v>0</v>
      </c>
      <c r="P186" s="1045">
        <f t="shared" si="74"/>
        <v>0</v>
      </c>
      <c r="Q186" s="1045">
        <f t="shared" si="75"/>
        <v>0</v>
      </c>
      <c r="R186" s="1046">
        <f>IF(AND($A186&gt;=MIN('Major Assumption Key'!$B$4),$A186&lt;=MAX('Major Assumption Key'!$B$6)),Q186-P186,0)</f>
        <v>0</v>
      </c>
      <c r="S186" s="1047">
        <f>_xlfn.XLOOKUP(A186,'Auto Idling Env. Benefits'!F:F,'Auto Idling Env. Benefits'!J:J,,0)</f>
        <v>0</v>
      </c>
      <c r="T186" s="1047">
        <f>_xlfn.XLOOKUP(A186,'Auto Idling Env. Benefits'!F:F,'Auto Idling Env. Benefits'!Q:Q,,0)</f>
        <v>0</v>
      </c>
      <c r="U186" s="1048">
        <f>IF(AND($A186&gt;=MIN('Major Assumption Key'!$B$4),$A186&lt;=MAX('Major Assumption Key'!$B$6)),S186-T186,0)</f>
        <v>0</v>
      </c>
    </row>
    <row r="187" spans="1:21" ht="12" customHeight="1" outlineLevel="1">
      <c r="A187" s="1036">
        <f t="shared" si="69"/>
        <v>2053</v>
      </c>
      <c r="B187" s="1037">
        <f t="shared" si="82"/>
        <v>6.397158753187678E-3</v>
      </c>
      <c r="C187" s="1037">
        <f t="shared" si="83"/>
        <v>1.994488069562949</v>
      </c>
      <c r="D187" s="1038">
        <f>IF(AND(A44&gt;=$B$2,A44&lt;=$B$4),_xlfn.XLOOKUP(A187,'VMT Reduction Supporting'!$A:$A,'VMT Reduction Supporting'!$C:$C,,0),0)</f>
        <v>0</v>
      </c>
      <c r="E187" s="1039">
        <f>IF(AND(A44&gt;=$B$2,A44&lt;=$B$4),_xlfn.XLOOKUP(A187,'VMT Reduction Supporting'!$A:$A,'VMT Reduction Supporting'!$F:$F,,0),0)</f>
        <v>0</v>
      </c>
      <c r="F187" s="1040">
        <f t="shared" si="70"/>
        <v>0</v>
      </c>
      <c r="G187" s="1040">
        <f t="shared" si="71"/>
        <v>0</v>
      </c>
      <c r="H187" s="1041">
        <f>IF(AND($A187&gt;=MIN('Major Assumption Key'!$B$4),$A187&lt;=MAX('Major Assumption Key'!$B$6)),G187-F187,0)</f>
        <v>0</v>
      </c>
      <c r="I187" s="1038">
        <f>IF(AND(A44&gt;=$B$2,A44&lt;=$B$4),_xlfn.XLOOKUP(A187,'VMT Reduction Supporting'!$A:$A,'VMT Reduction Supporting'!$B:$B,,0),0)</f>
        <v>0</v>
      </c>
      <c r="J187" s="1042">
        <f>IF(AND(A44&gt;=$B$2,A44&lt;=$B$4),_xlfn.XLOOKUP(A187,'VMT Reduction Supporting'!$A:$A,'VMT Reduction Supporting'!$E:$E,,0),0)</f>
        <v>0</v>
      </c>
      <c r="K187" s="1043">
        <f t="shared" si="72"/>
        <v>0</v>
      </c>
      <c r="L187" s="1043">
        <f t="shared" si="73"/>
        <v>0</v>
      </c>
      <c r="M187" s="1044">
        <f>IF(AND($A187&gt;=MIN('Major Assumption Key'!$B$4),$A187&lt;=MAX('Major Assumption Key'!$B$6)),L187-K187,0)</f>
        <v>0</v>
      </c>
      <c r="N187" s="1038">
        <f>IF(AND(A44&gt;=$B$2,A44&lt;=$B$4),_xlfn.XLOOKUP(A187,'VMT Reduction Supporting'!$A:$A,'VMT Reduction Supporting'!$D:$D,,0),0)</f>
        <v>0</v>
      </c>
      <c r="O187" s="1042">
        <f>IF(AND(A44&gt;=$B$2,A44&lt;=$B$4),_xlfn.XLOOKUP(A187,'VMT Reduction Supporting'!$A:$A,'VMT Reduction Supporting'!$G:$G,,0),0)</f>
        <v>0</v>
      </c>
      <c r="P187" s="1045">
        <f t="shared" si="74"/>
        <v>0</v>
      </c>
      <c r="Q187" s="1045">
        <f t="shared" si="75"/>
        <v>0</v>
      </c>
      <c r="R187" s="1046">
        <f>IF(AND($A187&gt;=MIN('Major Assumption Key'!$B$4),$A187&lt;=MAX('Major Assumption Key'!$B$6)),Q187-P187,0)</f>
        <v>0</v>
      </c>
      <c r="S187" s="1047">
        <f>_xlfn.XLOOKUP(A187,'Auto Idling Env. Benefits'!F:F,'Auto Idling Env. Benefits'!J:J,,0)</f>
        <v>0</v>
      </c>
      <c r="T187" s="1047">
        <f>_xlfn.XLOOKUP(A187,'Auto Idling Env. Benefits'!F:F,'Auto Idling Env. Benefits'!Q:Q,,0)</f>
        <v>0</v>
      </c>
      <c r="U187" s="1048">
        <f>IF(AND($A187&gt;=MIN('Major Assumption Key'!$B$4),$A187&lt;=MAX('Major Assumption Key'!$B$6)),S187-T187,0)</f>
        <v>0</v>
      </c>
    </row>
    <row r="188" spans="1:21" ht="12" customHeight="1" outlineLevel="1">
      <c r="A188" s="1036">
        <f t="shared" si="69"/>
        <v>2054</v>
      </c>
      <c r="B188" s="1037">
        <f t="shared" si="82"/>
        <v>6.2712789578601956E-3</v>
      </c>
      <c r="C188" s="1037">
        <f t="shared" si="83"/>
        <v>1.9933523594775568</v>
      </c>
      <c r="D188" s="1038">
        <f>IF(AND(A45&gt;=$B$2,A45&lt;=$B$4),_xlfn.XLOOKUP(A188,'VMT Reduction Supporting'!$A:$A,'VMT Reduction Supporting'!$C:$C,,0),0)</f>
        <v>0</v>
      </c>
      <c r="E188" s="1039">
        <f>IF(AND(A45&gt;=$B$2,A45&lt;=$B$4),_xlfn.XLOOKUP(A188,'VMT Reduction Supporting'!$A:$A,'VMT Reduction Supporting'!$F:$F,,0),0)</f>
        <v>0</v>
      </c>
      <c r="F188" s="1040">
        <f t="shared" si="70"/>
        <v>0</v>
      </c>
      <c r="G188" s="1040">
        <f t="shared" si="71"/>
        <v>0</v>
      </c>
      <c r="H188" s="1041">
        <f>IF(AND($A188&gt;=MIN('Major Assumption Key'!$B$4),$A188&lt;=MAX('Major Assumption Key'!$B$6)),G188-F188,0)</f>
        <v>0</v>
      </c>
      <c r="I188" s="1038">
        <f>IF(AND(A45&gt;=$B$2,A45&lt;=$B$4),_xlfn.XLOOKUP(A188,'VMT Reduction Supporting'!$A:$A,'VMT Reduction Supporting'!$B:$B,,0),0)</f>
        <v>0</v>
      </c>
      <c r="J188" s="1042">
        <f>IF(AND(A45&gt;=$B$2,A45&lt;=$B$4),_xlfn.XLOOKUP(A188,'VMT Reduction Supporting'!$A:$A,'VMT Reduction Supporting'!$E:$E,,0),0)</f>
        <v>0</v>
      </c>
      <c r="K188" s="1043">
        <f t="shared" si="72"/>
        <v>0</v>
      </c>
      <c r="L188" s="1043">
        <f t="shared" si="73"/>
        <v>0</v>
      </c>
      <c r="M188" s="1044">
        <f>IF(AND($A188&gt;=MIN('Major Assumption Key'!$B$4),$A188&lt;=MAX('Major Assumption Key'!$B$6)),L188-K188,0)</f>
        <v>0</v>
      </c>
      <c r="N188" s="1038">
        <f>IF(AND(A45&gt;=$B$2,A45&lt;=$B$4),_xlfn.XLOOKUP(A188,'VMT Reduction Supporting'!$A:$A,'VMT Reduction Supporting'!$D:$D,,0),0)</f>
        <v>0</v>
      </c>
      <c r="O188" s="1042">
        <f>IF(AND(A45&gt;=$B$2,A45&lt;=$B$4),_xlfn.XLOOKUP(A188,'VMT Reduction Supporting'!$A:$A,'VMT Reduction Supporting'!$G:$G,,0),0)</f>
        <v>0</v>
      </c>
      <c r="P188" s="1045">
        <f t="shared" si="74"/>
        <v>0</v>
      </c>
      <c r="Q188" s="1045">
        <f t="shared" si="75"/>
        <v>0</v>
      </c>
      <c r="R188" s="1046">
        <f>IF(AND($A188&gt;=MIN('Major Assumption Key'!$B$4),$A188&lt;=MAX('Major Assumption Key'!$B$6)),Q188-P188,0)</f>
        <v>0</v>
      </c>
      <c r="S188" s="1047">
        <f>_xlfn.XLOOKUP(A188,'Auto Idling Env. Benefits'!F:F,'Auto Idling Env. Benefits'!J:J,,0)</f>
        <v>0</v>
      </c>
      <c r="T188" s="1047">
        <f>_xlfn.XLOOKUP(A188,'Auto Idling Env. Benefits'!F:F,'Auto Idling Env. Benefits'!Q:Q,,0)</f>
        <v>0</v>
      </c>
      <c r="U188" s="1048">
        <f>IF(AND($A188&gt;=MIN('Major Assumption Key'!$B$4),$A188&lt;=MAX('Major Assumption Key'!$B$6)),S188-T188,0)</f>
        <v>0</v>
      </c>
    </row>
    <row r="189" spans="1:21" ht="12" customHeight="1" outlineLevel="1">
      <c r="A189" s="1036">
        <f t="shared" si="69"/>
        <v>2055</v>
      </c>
      <c r="B189" s="1037">
        <f t="shared" si="82"/>
        <v>6.1478761563799889E-3</v>
      </c>
      <c r="C189" s="1037">
        <f t="shared" si="83"/>
        <v>1.992217296093149</v>
      </c>
      <c r="D189" s="1038">
        <f>IF(AND(A46&gt;=$B$2,A46&lt;=$B$4),_xlfn.XLOOKUP(A189,'VMT Reduction Supporting'!$A:$A,'VMT Reduction Supporting'!$C:$C,,0),0)</f>
        <v>0</v>
      </c>
      <c r="E189" s="1039">
        <f>IF(AND(A46&gt;=$B$2,A46&lt;=$B$4),_xlfn.XLOOKUP(A189,'VMT Reduction Supporting'!$A:$A,'VMT Reduction Supporting'!$F:$F,,0),0)</f>
        <v>0</v>
      </c>
      <c r="F189" s="1040">
        <f t="shared" si="70"/>
        <v>0</v>
      </c>
      <c r="G189" s="1040">
        <f t="shared" si="71"/>
        <v>0</v>
      </c>
      <c r="H189" s="1041">
        <f>IF(AND($A189&gt;=MIN('Major Assumption Key'!$B$4),$A189&lt;=MAX('Major Assumption Key'!$B$6)),G189-F189,0)</f>
        <v>0</v>
      </c>
      <c r="I189" s="1038">
        <f>IF(AND(A46&gt;=$B$2,A46&lt;=$B$4),_xlfn.XLOOKUP(A189,'VMT Reduction Supporting'!$A:$A,'VMT Reduction Supporting'!$B:$B,,0),0)</f>
        <v>0</v>
      </c>
      <c r="J189" s="1042">
        <f>IF(AND(A46&gt;=$B$2,A46&lt;=$B$4),_xlfn.XLOOKUP(A189,'VMT Reduction Supporting'!$A:$A,'VMT Reduction Supporting'!$E:$E,,0),0)</f>
        <v>0</v>
      </c>
      <c r="K189" s="1043">
        <f t="shared" si="72"/>
        <v>0</v>
      </c>
      <c r="L189" s="1043">
        <f t="shared" si="73"/>
        <v>0</v>
      </c>
      <c r="M189" s="1044">
        <f>IF(AND($A189&gt;=MIN('Major Assumption Key'!$B$4),$A189&lt;=MAX('Major Assumption Key'!$B$6)),L189-K189,0)</f>
        <v>0</v>
      </c>
      <c r="N189" s="1038">
        <f>IF(AND(A46&gt;=$B$2,A46&lt;=$B$4),_xlfn.XLOOKUP(A189,'VMT Reduction Supporting'!$A:$A,'VMT Reduction Supporting'!$D:$D,,0),0)</f>
        <v>0</v>
      </c>
      <c r="O189" s="1042">
        <f>IF(AND(A46&gt;=$B$2,A46&lt;=$B$4),_xlfn.XLOOKUP(A189,'VMT Reduction Supporting'!$A:$A,'VMT Reduction Supporting'!$G:$G,,0),0)</f>
        <v>0</v>
      </c>
      <c r="P189" s="1045">
        <f t="shared" si="74"/>
        <v>0</v>
      </c>
      <c r="Q189" s="1045">
        <f t="shared" si="75"/>
        <v>0</v>
      </c>
      <c r="R189" s="1046">
        <f>IF(AND($A189&gt;=MIN('Major Assumption Key'!$B$4),$A189&lt;=MAX('Major Assumption Key'!$B$6)),Q189-P189,0)</f>
        <v>0</v>
      </c>
      <c r="S189" s="1047">
        <f>_xlfn.XLOOKUP(A189,'Auto Idling Env. Benefits'!F:F,'Auto Idling Env. Benefits'!J:J,,0)</f>
        <v>0</v>
      </c>
      <c r="T189" s="1047">
        <f>_xlfn.XLOOKUP(A189,'Auto Idling Env. Benefits'!F:F,'Auto Idling Env. Benefits'!Q:Q,,0)</f>
        <v>0</v>
      </c>
      <c r="U189" s="1048">
        <f>IF(AND($A189&gt;=MIN('Major Assumption Key'!$B$4),$A189&lt;=MAX('Major Assumption Key'!$B$6)),S189-T189,0)</f>
        <v>0</v>
      </c>
    </row>
    <row r="190" spans="1:21" ht="12" customHeight="1" outlineLevel="1">
      <c r="A190" s="1036">
        <f t="shared" si="69"/>
        <v>2056</v>
      </c>
      <c r="B190" s="1037">
        <f t="shared" si="82"/>
        <v>6.0269016078152533E-3</v>
      </c>
      <c r="C190" s="1037">
        <f t="shared" si="83"/>
        <v>1.9910828790414785</v>
      </c>
      <c r="D190" s="1038">
        <f>IF(AND(A47&gt;=$B$2,A47&lt;=$B$4),_xlfn.XLOOKUP(A190,'VMT Reduction Supporting'!$A:$A,'VMT Reduction Supporting'!$C:$C,,0),0)</f>
        <v>0</v>
      </c>
      <c r="E190" s="1039">
        <f>IF(AND(A47&gt;=$B$2,A47&lt;=$B$4),_xlfn.XLOOKUP(A190,'VMT Reduction Supporting'!$A:$A,'VMT Reduction Supporting'!$F:$F,,0),0)</f>
        <v>0</v>
      </c>
      <c r="F190" s="1040">
        <f t="shared" si="70"/>
        <v>0</v>
      </c>
      <c r="G190" s="1040">
        <f t="shared" si="71"/>
        <v>0</v>
      </c>
      <c r="H190" s="1041">
        <f>IF(AND($A190&gt;=MIN('Major Assumption Key'!$B$4),$A190&lt;=MAX('Major Assumption Key'!$B$6)),G190-F190,0)</f>
        <v>0</v>
      </c>
      <c r="I190" s="1038">
        <f>IF(AND(A47&gt;=$B$2,A47&lt;=$B$4),_xlfn.XLOOKUP(A190,'VMT Reduction Supporting'!$A:$A,'VMT Reduction Supporting'!$B:$B,,0),0)</f>
        <v>0</v>
      </c>
      <c r="J190" s="1042">
        <f>IF(AND(A47&gt;=$B$2,A47&lt;=$B$4),_xlfn.XLOOKUP(A190,'VMT Reduction Supporting'!$A:$A,'VMT Reduction Supporting'!$E:$E,,0),0)</f>
        <v>0</v>
      </c>
      <c r="K190" s="1043">
        <f t="shared" si="72"/>
        <v>0</v>
      </c>
      <c r="L190" s="1043">
        <f t="shared" si="73"/>
        <v>0</v>
      </c>
      <c r="M190" s="1044">
        <f>IF(AND($A190&gt;=MIN('Major Assumption Key'!$B$4),$A190&lt;=MAX('Major Assumption Key'!$B$6)),L190-K190,0)</f>
        <v>0</v>
      </c>
      <c r="N190" s="1038">
        <f>IF(AND(A47&gt;=$B$2,A47&lt;=$B$4),_xlfn.XLOOKUP(A190,'VMT Reduction Supporting'!$A:$A,'VMT Reduction Supporting'!$D:$D,,0),0)</f>
        <v>0</v>
      </c>
      <c r="O190" s="1042">
        <f>IF(AND(A47&gt;=$B$2,A47&lt;=$B$4),_xlfn.XLOOKUP(A190,'VMT Reduction Supporting'!$A:$A,'VMT Reduction Supporting'!$G:$G,,0),0)</f>
        <v>0</v>
      </c>
      <c r="P190" s="1045">
        <f t="shared" si="74"/>
        <v>0</v>
      </c>
      <c r="Q190" s="1045">
        <f t="shared" si="75"/>
        <v>0</v>
      </c>
      <c r="R190" s="1046">
        <f>IF(AND($A190&gt;=MIN('Major Assumption Key'!$B$4),$A190&lt;=MAX('Major Assumption Key'!$B$6)),Q190-P190,0)</f>
        <v>0</v>
      </c>
      <c r="S190" s="1047">
        <f>_xlfn.XLOOKUP(A190,'Auto Idling Env. Benefits'!F:F,'Auto Idling Env. Benefits'!J:J,,0)</f>
        <v>0</v>
      </c>
      <c r="T190" s="1047">
        <f>_xlfn.XLOOKUP(A190,'Auto Idling Env. Benefits'!F:F,'Auto Idling Env. Benefits'!Q:Q,,0)</f>
        <v>0</v>
      </c>
      <c r="U190" s="1048">
        <f>IF(AND($A190&gt;=MIN('Major Assumption Key'!$B$4),$A190&lt;=MAX('Major Assumption Key'!$B$6)),S190-T190,0)</f>
        <v>0</v>
      </c>
    </row>
    <row r="191" spans="1:21" ht="12" customHeight="1" outlineLevel="1">
      <c r="A191" s="1036">
        <f t="shared" si="69"/>
        <v>2057</v>
      </c>
      <c r="B191" s="1037">
        <f t="shared" si="82"/>
        <v>5.9083075303316178E-3</v>
      </c>
      <c r="C191" s="1037">
        <f t="shared" si="83"/>
        <v>1.9899491079545077</v>
      </c>
      <c r="D191" s="1038">
        <f>IF(AND(A48&gt;=$B$2,A48&lt;=$B$4),_xlfn.XLOOKUP(A191,'VMT Reduction Supporting'!$A:$A,'VMT Reduction Supporting'!$C:$C,,0),0)</f>
        <v>0</v>
      </c>
      <c r="E191" s="1039">
        <f>IF(AND(A48&gt;=$B$2,A48&lt;=$B$4),_xlfn.XLOOKUP(A191,'VMT Reduction Supporting'!$A:$A,'VMT Reduction Supporting'!$F:$F,,0),0)</f>
        <v>0</v>
      </c>
      <c r="F191" s="1040">
        <f t="shared" si="70"/>
        <v>0</v>
      </c>
      <c r="G191" s="1040">
        <f t="shared" si="71"/>
        <v>0</v>
      </c>
      <c r="H191" s="1041">
        <f>IF(AND($A191&gt;=MIN('Major Assumption Key'!$B$4),$A191&lt;=MAX('Major Assumption Key'!$B$6)),G191-F191,0)</f>
        <v>0</v>
      </c>
      <c r="I191" s="1038">
        <f>IF(AND(A48&gt;=$B$2,A48&lt;=$B$4),_xlfn.XLOOKUP(A191,'VMT Reduction Supporting'!$A:$A,'VMT Reduction Supporting'!$B:$B,,0),0)</f>
        <v>0</v>
      </c>
      <c r="J191" s="1042">
        <f>IF(AND(A48&gt;=$B$2,A48&lt;=$B$4),_xlfn.XLOOKUP(A191,'VMT Reduction Supporting'!$A:$A,'VMT Reduction Supporting'!$E:$E,,0),0)</f>
        <v>0</v>
      </c>
      <c r="K191" s="1043">
        <f t="shared" si="72"/>
        <v>0</v>
      </c>
      <c r="L191" s="1043">
        <f t="shared" si="73"/>
        <v>0</v>
      </c>
      <c r="M191" s="1044">
        <f>IF(AND($A191&gt;=MIN('Major Assumption Key'!$B$4),$A191&lt;=MAX('Major Assumption Key'!$B$6)),L191-K191,0)</f>
        <v>0</v>
      </c>
      <c r="N191" s="1038">
        <f>IF(AND(A48&gt;=$B$2,A48&lt;=$B$4),_xlfn.XLOOKUP(A191,'VMT Reduction Supporting'!$A:$A,'VMT Reduction Supporting'!$D:$D,,0),0)</f>
        <v>0</v>
      </c>
      <c r="O191" s="1042">
        <f>IF(AND(A48&gt;=$B$2,A48&lt;=$B$4),_xlfn.XLOOKUP(A191,'VMT Reduction Supporting'!$A:$A,'VMT Reduction Supporting'!$G:$G,,0),0)</f>
        <v>0</v>
      </c>
      <c r="P191" s="1045">
        <f t="shared" si="74"/>
        <v>0</v>
      </c>
      <c r="Q191" s="1045">
        <f t="shared" si="75"/>
        <v>0</v>
      </c>
      <c r="R191" s="1046">
        <f>IF(AND($A191&gt;=MIN('Major Assumption Key'!$B$4),$A191&lt;=MAX('Major Assumption Key'!$B$6)),Q191-P191,0)</f>
        <v>0</v>
      </c>
      <c r="S191" s="1047">
        <f>_xlfn.XLOOKUP(A191,'Auto Idling Env. Benefits'!F:F,'Auto Idling Env. Benefits'!J:J,,0)</f>
        <v>0</v>
      </c>
      <c r="T191" s="1047">
        <f>_xlfn.XLOOKUP(A191,'Auto Idling Env. Benefits'!F:F,'Auto Idling Env. Benefits'!Q:Q,,0)</f>
        <v>0</v>
      </c>
      <c r="U191" s="1048">
        <f>IF(AND($A191&gt;=MIN('Major Assumption Key'!$B$4),$A191&lt;=MAX('Major Assumption Key'!$B$6)),S191-T191,0)</f>
        <v>0</v>
      </c>
    </row>
    <row r="192" spans="1:21" ht="12" customHeight="1" outlineLevel="1">
      <c r="A192" s="1036">
        <f t="shared" si="69"/>
        <v>2058</v>
      </c>
      <c r="B192" s="1037">
        <f t="shared" si="82"/>
        <v>5.7920470823195425E-3</v>
      </c>
      <c r="C192" s="1037">
        <f t="shared" si="83"/>
        <v>1.9888159824644083</v>
      </c>
      <c r="D192" s="1038">
        <f>IF(AND(A49&gt;=$B$2,A49&lt;=$B$4),_xlfn.XLOOKUP(A192,'VMT Reduction Supporting'!$A:$A,'VMT Reduction Supporting'!$C:$C,,0),0)</f>
        <v>0</v>
      </c>
      <c r="E192" s="1039">
        <f>IF(AND(A49&gt;=$B$2,A49&lt;=$B$4),_xlfn.XLOOKUP(A192,'VMT Reduction Supporting'!$A:$A,'VMT Reduction Supporting'!$F:$F,,0),0)</f>
        <v>0</v>
      </c>
      <c r="F192" s="1040">
        <f t="shared" si="70"/>
        <v>0</v>
      </c>
      <c r="G192" s="1040">
        <f t="shared" si="71"/>
        <v>0</v>
      </c>
      <c r="H192" s="1041">
        <f>IF(AND($A192&gt;=MIN('Major Assumption Key'!$B$4),$A192&lt;=MAX('Major Assumption Key'!$B$6)),G192-F192,0)</f>
        <v>0</v>
      </c>
      <c r="I192" s="1038">
        <f>IF(AND(A49&gt;=$B$2,A49&lt;=$B$4),_xlfn.XLOOKUP(A192,'VMT Reduction Supporting'!$A:$A,'VMT Reduction Supporting'!$B:$B,,0),0)</f>
        <v>0</v>
      </c>
      <c r="J192" s="1042">
        <f>IF(AND(A49&gt;=$B$2,A49&lt;=$B$4),_xlfn.XLOOKUP(A192,'VMT Reduction Supporting'!$A:$A,'VMT Reduction Supporting'!$E:$E,,0),0)</f>
        <v>0</v>
      </c>
      <c r="K192" s="1043">
        <f t="shared" si="72"/>
        <v>0</v>
      </c>
      <c r="L192" s="1043">
        <f t="shared" si="73"/>
        <v>0</v>
      </c>
      <c r="M192" s="1044">
        <f>IF(AND($A192&gt;=MIN('Major Assumption Key'!$B$4),$A192&lt;=MAX('Major Assumption Key'!$B$6)),L192-K192,0)</f>
        <v>0</v>
      </c>
      <c r="N192" s="1038">
        <f>IF(AND(A49&gt;=$B$2,A49&lt;=$B$4),_xlfn.XLOOKUP(A192,'VMT Reduction Supporting'!$A:$A,'VMT Reduction Supporting'!$D:$D,,0),0)</f>
        <v>0</v>
      </c>
      <c r="O192" s="1042">
        <f>IF(AND(A49&gt;=$B$2,A49&lt;=$B$4),_xlfn.XLOOKUP(A192,'VMT Reduction Supporting'!$A:$A,'VMT Reduction Supporting'!$G:$G,,0),0)</f>
        <v>0</v>
      </c>
      <c r="P192" s="1045">
        <f t="shared" si="74"/>
        <v>0</v>
      </c>
      <c r="Q192" s="1045">
        <f t="shared" si="75"/>
        <v>0</v>
      </c>
      <c r="R192" s="1046">
        <f>IF(AND($A192&gt;=MIN('Major Assumption Key'!$B$4),$A192&lt;=MAX('Major Assumption Key'!$B$6)),Q192-P192,0)</f>
        <v>0</v>
      </c>
      <c r="S192" s="1047">
        <f>_xlfn.XLOOKUP(A192,'Auto Idling Env. Benefits'!F:F,'Auto Idling Env. Benefits'!J:J,,0)</f>
        <v>0</v>
      </c>
      <c r="T192" s="1047">
        <f>_xlfn.XLOOKUP(A192,'Auto Idling Env. Benefits'!F:F,'Auto Idling Env. Benefits'!Q:Q,,0)</f>
        <v>0</v>
      </c>
      <c r="U192" s="1048">
        <f>IF(AND($A192&gt;=MIN('Major Assumption Key'!$B$4),$A192&lt;=MAX('Major Assumption Key'!$B$6)),S192-T192,0)</f>
        <v>0</v>
      </c>
    </row>
    <row r="193" spans="1:21" ht="12" customHeight="1" outlineLevel="1">
      <c r="A193" s="1036">
        <f t="shared" si="69"/>
        <v>2059</v>
      </c>
      <c r="B193" s="1037">
        <f t="shared" si="82"/>
        <v>5.6780743438930945E-3</v>
      </c>
      <c r="C193" s="1037">
        <f t="shared" si="83"/>
        <v>1.9876835022035617</v>
      </c>
      <c r="D193" s="1038">
        <f>IF(AND(A50&gt;=$B$2,A50&lt;=$B$4),_xlfn.XLOOKUP(A193,'VMT Reduction Supporting'!$A:$A,'VMT Reduction Supporting'!$C:$C,,0),0)</f>
        <v>0</v>
      </c>
      <c r="E193" s="1039">
        <f>IF(AND(A50&gt;=$B$2,A50&lt;=$B$4),_xlfn.XLOOKUP(A193,'VMT Reduction Supporting'!$A:$A,'VMT Reduction Supporting'!$F:$F,,0),0)</f>
        <v>0</v>
      </c>
      <c r="F193" s="1040">
        <f t="shared" si="70"/>
        <v>0</v>
      </c>
      <c r="G193" s="1040">
        <f t="shared" si="71"/>
        <v>0</v>
      </c>
      <c r="H193" s="1041">
        <f>IF(AND($A193&gt;=MIN('Major Assumption Key'!$B$4),$A193&lt;=MAX('Major Assumption Key'!$B$6)),G193-F193,0)</f>
        <v>0</v>
      </c>
      <c r="I193" s="1038">
        <f>IF(AND(A50&gt;=$B$2,A50&lt;=$B$4),_xlfn.XLOOKUP(A193,'VMT Reduction Supporting'!$A:$A,'VMT Reduction Supporting'!$B:$B,,0),0)</f>
        <v>0</v>
      </c>
      <c r="J193" s="1042">
        <f>IF(AND(A50&gt;=$B$2,A50&lt;=$B$4),_xlfn.XLOOKUP(A193,'VMT Reduction Supporting'!$A:$A,'VMT Reduction Supporting'!$E:$E,,0),0)</f>
        <v>0</v>
      </c>
      <c r="K193" s="1043">
        <f t="shared" si="72"/>
        <v>0</v>
      </c>
      <c r="L193" s="1043">
        <f t="shared" si="73"/>
        <v>0</v>
      </c>
      <c r="M193" s="1044">
        <f>IF(AND($A193&gt;=MIN('Major Assumption Key'!$B$4),$A193&lt;=MAX('Major Assumption Key'!$B$6)),L193-K193,0)</f>
        <v>0</v>
      </c>
      <c r="N193" s="1038">
        <f>IF(AND(A50&gt;=$B$2,A50&lt;=$B$4),_xlfn.XLOOKUP(A193,'VMT Reduction Supporting'!$A:$A,'VMT Reduction Supporting'!$D:$D,,0),0)</f>
        <v>0</v>
      </c>
      <c r="O193" s="1042">
        <f>IF(AND(A50&gt;=$B$2,A50&lt;=$B$4),_xlfn.XLOOKUP(A193,'VMT Reduction Supporting'!$A:$A,'VMT Reduction Supporting'!$G:$G,,0),0)</f>
        <v>0</v>
      </c>
      <c r="P193" s="1045">
        <f t="shared" si="74"/>
        <v>0</v>
      </c>
      <c r="Q193" s="1045">
        <f t="shared" si="75"/>
        <v>0</v>
      </c>
      <c r="R193" s="1046">
        <f>IF(AND($A193&gt;=MIN('Major Assumption Key'!$B$4),$A193&lt;=MAX('Major Assumption Key'!$B$6)),Q193-P193,0)</f>
        <v>0</v>
      </c>
      <c r="S193" s="1047">
        <f>_xlfn.XLOOKUP(A193,'Auto Idling Env. Benefits'!F:F,'Auto Idling Env. Benefits'!J:J,,0)</f>
        <v>0</v>
      </c>
      <c r="T193" s="1047">
        <f>_xlfn.XLOOKUP(A193,'Auto Idling Env. Benefits'!F:F,'Auto Idling Env. Benefits'!Q:Q,,0)</f>
        <v>0</v>
      </c>
      <c r="U193" s="1048">
        <f>IF(AND($A193&gt;=MIN('Major Assumption Key'!$B$4),$A193&lt;=MAX('Major Assumption Key'!$B$6)),S193-T193,0)</f>
        <v>0</v>
      </c>
    </row>
    <row r="194" spans="1:21" ht="12" customHeight="1" outlineLevel="1" thickBot="1">
      <c r="A194" s="1036">
        <f t="shared" si="69"/>
        <v>2060</v>
      </c>
      <c r="B194" s="1037">
        <f t="shared" si="82"/>
        <v>5.5663442987527673E-3</v>
      </c>
      <c r="C194" s="1037">
        <f t="shared" si="83"/>
        <v>1.9865516668045589</v>
      </c>
      <c r="D194" s="1038">
        <f>IF(AND(A51&gt;=$B$2,A51&lt;=$B$4),_xlfn.XLOOKUP(A194,'VMT Reduction Supporting'!$A:$A,'VMT Reduction Supporting'!$C:$C,,0),0)</f>
        <v>0</v>
      </c>
      <c r="E194" s="1039">
        <f>IF(AND(A51&gt;=$B$2,A51&lt;=$B$4),_xlfn.XLOOKUP(A194,'VMT Reduction Supporting'!$A:$A,'VMT Reduction Supporting'!$F:$F,,0),0)</f>
        <v>0</v>
      </c>
      <c r="F194" s="1040">
        <f t="shared" si="70"/>
        <v>0</v>
      </c>
      <c r="G194" s="1040">
        <f t="shared" si="71"/>
        <v>0</v>
      </c>
      <c r="H194" s="1041">
        <f>IF(AND($A194&gt;=MIN('Major Assumption Key'!$B$4),$A194&lt;=MAX('Major Assumption Key'!$B$6)),G194-F194,0)</f>
        <v>0</v>
      </c>
      <c r="I194" s="1038">
        <f>IF(AND(A51&gt;=$B$2,A51&lt;=$B$4),_xlfn.XLOOKUP(A194,'VMT Reduction Supporting'!$A:$A,'VMT Reduction Supporting'!$B:$B,,0),0)</f>
        <v>0</v>
      </c>
      <c r="J194" s="1042">
        <f>IF(AND(A51&gt;=$B$2,A51&lt;=$B$4),_xlfn.XLOOKUP(A194,'VMT Reduction Supporting'!$A:$A,'VMT Reduction Supporting'!$E:$E,,0),0)</f>
        <v>0</v>
      </c>
      <c r="K194" s="1043">
        <f>($B194*I194)/1000000</f>
        <v>0</v>
      </c>
      <c r="L194" s="1043">
        <f>($B194*J194)/1000000</f>
        <v>0</v>
      </c>
      <c r="M194" s="1044">
        <f>IF(AND($A194&gt;=MIN('Major Assumption Key'!$B$4),$A194&lt;=MAX('Major Assumption Key'!$B$6)),L194-K194,0)</f>
        <v>0</v>
      </c>
      <c r="N194" s="1038">
        <f>IF(AND(A51&gt;=$B$2,A51&lt;=$B$4),_xlfn.XLOOKUP(A194,'VMT Reduction Supporting'!$A:$A,'VMT Reduction Supporting'!$D:$D,,0),0)</f>
        <v>0</v>
      </c>
      <c r="O194" s="1042">
        <f>IF(AND(A51&gt;=$B$2,A51&lt;=$B$4),_xlfn.XLOOKUP(A194,'VMT Reduction Supporting'!$A:$A,'VMT Reduction Supporting'!$G:$G,,0),0)</f>
        <v>0</v>
      </c>
      <c r="P194" s="1045">
        <f t="shared" si="74"/>
        <v>0</v>
      </c>
      <c r="Q194" s="1045">
        <f t="shared" si="75"/>
        <v>0</v>
      </c>
      <c r="R194" s="1046">
        <f>IF(AND($A194&gt;=MIN('Major Assumption Key'!$B$4),$A194&lt;=MAX('Major Assumption Key'!$B$6)),Q194-P194,0)</f>
        <v>0</v>
      </c>
      <c r="S194" s="1047">
        <f>_xlfn.XLOOKUP(A194,'Auto Idling Env. Benefits'!F:F,'Auto Idling Env. Benefits'!J:J,,0)</f>
        <v>0</v>
      </c>
      <c r="T194" s="1047">
        <f>_xlfn.XLOOKUP(A194,'Auto Idling Env. Benefits'!F:F,'Auto Idling Env. Benefits'!Q:Q,,0)</f>
        <v>0</v>
      </c>
      <c r="U194" s="1048">
        <f>IF(AND($A194&gt;=MIN('Major Assumption Key'!$B$4),$A194&lt;=MAX('Major Assumption Key'!$B$6)),S194-T194,0)</f>
        <v>0</v>
      </c>
    </row>
    <row r="195" spans="1:21" ht="12" customHeight="1">
      <c r="A195" s="2120" t="s">
        <v>7301</v>
      </c>
      <c r="B195" s="2120"/>
      <c r="C195" s="2121"/>
      <c r="D195" s="1080">
        <f>SUMIFS(D154:D194,$A154:$A194,"&gt;="&amp;$B$3,$A154:$A194,"&lt;="&amp;$B$4)</f>
        <v>38266.112417412827</v>
      </c>
      <c r="E195" s="1080">
        <f>SUMIFS(E154:E194,$A154:$A194,"&gt;="&amp;$B$3,$A154:$A194,"&lt;="&amp;$B$4)</f>
        <v>522970.20303797506</v>
      </c>
      <c r="G195" s="1081"/>
      <c r="H195" s="1082">
        <f>SUMIFS(H154:H194,$A154:$A194,"&gt;="&amp;$B$3,$A154:$A194,"&lt;="&amp;$B$4)</f>
        <v>6.368068495627789E-3</v>
      </c>
      <c r="I195" s="1080">
        <f>SUMIFS(I154:I194,$A154:$A194,"&gt;="&amp;$B$3,$A154:$A194,"&lt;="&amp;$B$4)</f>
        <v>554858.63005248574</v>
      </c>
      <c r="J195" s="1080">
        <f>SUMIFS(J154:J194,$A154:$A194,"&gt;="&amp;$B$3,$A154:$A194,"&lt;="&amp;$B$4)</f>
        <v>562180.27784661518</v>
      </c>
      <c r="L195" s="1081"/>
      <c r="M195" s="1083">
        <f>SUMIFS(M154:M194,$A154:$A194,"&gt;="&amp;$B$3,$A154:$A194,"&lt;="&amp;$B$4)</f>
        <v>9.9788296086720748E-5</v>
      </c>
      <c r="N195" s="1080">
        <f>SUMIFS(N154:N194,$A154:$A194,"&gt;="&amp;$B$3,$A154:$A194,"&lt;="&amp;$B$4)</f>
        <v>2066966.0090962988</v>
      </c>
      <c r="O195" s="1080">
        <f>SUMIFS(O154:O194,$A154:$A194,"&gt;="&amp;$B$3,$A154:$A194,"&lt;="&amp;$B$4)</f>
        <v>2333604.6242697216</v>
      </c>
      <c r="Q195" s="1081"/>
      <c r="R195" s="1084">
        <f>SUMIFS(R154:R194,$A154:$A194,"&gt;="&amp;$B$3,$A154:$A194,"&lt;="&amp;$B$4)</f>
        <v>0.65354745038323203</v>
      </c>
      <c r="S195" s="2113"/>
      <c r="T195" s="2114"/>
      <c r="U195" s="1085">
        <f>SUMIFS(U154:U194,$A154:$A194,"&gt;="&amp;$B$3,$A154:$A194,"&lt;="&amp;$B$4)</f>
        <v>0</v>
      </c>
    </row>
    <row r="196" spans="1:21" ht="12" customHeight="1" thickBot="1">
      <c r="A196" s="2117" t="s">
        <v>7289</v>
      </c>
      <c r="B196" s="2117"/>
      <c r="C196" s="2118"/>
      <c r="D196" s="1087">
        <f>AVERAGEIFS(D154:D194,$A154:$A194,"&gt;="&amp;$B$3,$A154:$A194,"&lt;="&amp;$B$4)</f>
        <v>1471.773554515878</v>
      </c>
      <c r="E196" s="1087">
        <f>AVERAGEIFS(E154:E194,$A154:$A194,"&gt;="&amp;$B$3,$A154:$A194,"&lt;="&amp;$B$4)</f>
        <v>20114.238578383658</v>
      </c>
      <c r="H196" s="1088">
        <f>AVERAGEIFS(H154:H194,$A154:$A194,"&gt;="&amp;$B$3,$A154:$A194,"&lt;="&amp;$B$4)</f>
        <v>2.4492571137029958E-4</v>
      </c>
      <c r="I196" s="1087">
        <f>AVERAGEIFS(I154:I194,$A154:$A194,"&gt;="&amp;$B$3,$A154:$A194,"&lt;="&amp;$B$4)</f>
        <v>21340.716540480222</v>
      </c>
      <c r="J196" s="1087">
        <f>AVERAGEIFS(J154:J194,$A154:$A194,"&gt;="&amp;$B$3,$A154:$A194,"&lt;="&amp;$B$4)</f>
        <v>21622.318378715969</v>
      </c>
      <c r="M196" s="1089">
        <f>AVERAGEIFS(M154:M194,$A154:$A194,"&gt;="&amp;$B$3,$A154:$A194,"&lt;="&amp;$B$4)</f>
        <v>3.8380113879507981E-6</v>
      </c>
      <c r="N196" s="1087">
        <f>AVERAGEIFS(N154:N194,$A154:$A194,"&gt;="&amp;$B$3,$A154:$A194,"&lt;="&amp;$B$4)</f>
        <v>79498.692657549953</v>
      </c>
      <c r="O196" s="1087">
        <f>AVERAGEIFS(O154:O194,$A154:$A194,"&gt;="&amp;$B$3,$A154:$A194,"&lt;="&amp;$B$4)</f>
        <v>89754.024010373905</v>
      </c>
      <c r="R196" s="1090">
        <f>AVERAGEIFS(R154:R194,$A154:$A194,"&gt;="&amp;$B$3,$A154:$A194,"&lt;="&amp;$B$4)</f>
        <v>2.513644039935508E-2</v>
      </c>
      <c r="U196" s="1091">
        <f>AVERAGEIFS(U154:U194,$A154:$A194,"&gt;="&amp;$B$3,$A154:$A194,"&lt;="&amp;$B$4)</f>
        <v>0</v>
      </c>
    </row>
    <row r="197" spans="1:21" ht="12" customHeight="1" thickBot="1">
      <c r="A197" s="1049"/>
      <c r="B197" s="1049"/>
      <c r="C197" s="1049"/>
    </row>
    <row r="198" spans="1:21" ht="12" customHeight="1" thickBot="1">
      <c r="A198" s="1050" t="str">
        <f>K9</f>
        <v>Non-Methane Hydrocarbons</v>
      </c>
      <c r="B198" s="1051"/>
      <c r="C198" s="1051"/>
      <c r="D198" s="2108" t="s">
        <v>7290</v>
      </c>
      <c r="E198" s="2109"/>
      <c r="F198" s="2109"/>
      <c r="G198" s="2109"/>
      <c r="H198" s="2110"/>
      <c r="I198" s="2102" t="s">
        <v>7291</v>
      </c>
      <c r="J198" s="2103"/>
      <c r="K198" s="2103"/>
      <c r="L198" s="2103"/>
      <c r="M198" s="2104"/>
      <c r="N198" s="2105" t="s">
        <v>7292</v>
      </c>
      <c r="O198" s="2106"/>
      <c r="P198" s="2106"/>
      <c r="Q198" s="2106"/>
      <c r="R198" s="2107"/>
      <c r="S198" s="2105" t="s">
        <v>7293</v>
      </c>
      <c r="T198" s="2106"/>
      <c r="U198" s="2107"/>
    </row>
    <row r="199" spans="1:21" ht="12" customHeight="1">
      <c r="A199" s="2111" t="s">
        <v>510</v>
      </c>
      <c r="B199" s="1052" t="s">
        <v>7294</v>
      </c>
      <c r="C199" s="1052" t="s">
        <v>7295</v>
      </c>
      <c r="D199" s="1053" t="s">
        <v>66</v>
      </c>
      <c r="E199" s="1054" t="s">
        <v>131</v>
      </c>
      <c r="F199" s="1055" t="s">
        <v>487</v>
      </c>
      <c r="G199" s="1055" t="s">
        <v>131</v>
      </c>
      <c r="H199" s="1056" t="s">
        <v>7296</v>
      </c>
      <c r="I199" s="1057" t="s">
        <v>66</v>
      </c>
      <c r="J199" s="1058" t="s">
        <v>131</v>
      </c>
      <c r="K199" s="1059" t="s">
        <v>487</v>
      </c>
      <c r="L199" s="1059" t="s">
        <v>131</v>
      </c>
      <c r="M199" s="1060" t="s">
        <v>7296</v>
      </c>
      <c r="N199" s="1057" t="s">
        <v>66</v>
      </c>
      <c r="O199" s="1058" t="s">
        <v>131</v>
      </c>
      <c r="P199" s="1061" t="s">
        <v>487</v>
      </c>
      <c r="Q199" s="1061" t="s">
        <v>131</v>
      </c>
      <c r="R199" s="1062" t="s">
        <v>7296</v>
      </c>
      <c r="S199" s="1063" t="s">
        <v>487</v>
      </c>
      <c r="T199" s="1064" t="s">
        <v>131</v>
      </c>
      <c r="U199" s="1065" t="s">
        <v>7296</v>
      </c>
    </row>
    <row r="200" spans="1:21" ht="12" customHeight="1">
      <c r="A200" s="2112"/>
      <c r="B200" s="1066" t="s">
        <v>7297</v>
      </c>
      <c r="C200" s="1066" t="s">
        <v>7297</v>
      </c>
      <c r="D200" s="1067" t="s">
        <v>7298</v>
      </c>
      <c r="E200" s="1068" t="s">
        <v>7298</v>
      </c>
      <c r="F200" s="1069" t="s">
        <v>7299</v>
      </c>
      <c r="G200" s="1069" t="s">
        <v>7299</v>
      </c>
      <c r="H200" s="1070" t="s">
        <v>7300</v>
      </c>
      <c r="I200" s="1067" t="s">
        <v>7298</v>
      </c>
      <c r="J200" s="1068" t="s">
        <v>7298</v>
      </c>
      <c r="K200" s="1071" t="s">
        <v>7299</v>
      </c>
      <c r="L200" s="1071" t="s">
        <v>7299</v>
      </c>
      <c r="M200" s="1072" t="s">
        <v>7300</v>
      </c>
      <c r="N200" s="1067" t="s">
        <v>7298</v>
      </c>
      <c r="O200" s="1068" t="s">
        <v>7298</v>
      </c>
      <c r="P200" s="1073" t="s">
        <v>7299</v>
      </c>
      <c r="Q200" s="1073" t="s">
        <v>7299</v>
      </c>
      <c r="R200" s="1074" t="s">
        <v>7300</v>
      </c>
      <c r="S200" s="1075" t="s">
        <v>7299</v>
      </c>
      <c r="T200" s="1076" t="s">
        <v>7299</v>
      </c>
      <c r="U200" s="1077" t="s">
        <v>7300</v>
      </c>
    </row>
    <row r="201" spans="1:21" ht="12" customHeight="1" outlineLevel="1">
      <c r="A201" s="1036">
        <f>A11</f>
        <v>2020</v>
      </c>
      <c r="B201" s="1078">
        <f>VLOOKUP($B$5,'Emission Factors'!$A$5:$F$21,5,FALSE)</f>
        <v>1.8932129941580566E-2</v>
      </c>
      <c r="C201" s="1078">
        <f>VLOOKUP($B$6,'Emission Factors'!$A$28:$F$44,5,FALSE)</f>
        <v>0.88051979678372128</v>
      </c>
      <c r="D201" s="1038">
        <f>IF(AND(A11&gt;=$B$2,A11&lt;=$B$4),_xlfn.XLOOKUP(A201,'VMT Reduction Supporting'!$A:$A,'VMT Reduction Supporting'!$C:$C,,0),0)</f>
        <v>0</v>
      </c>
      <c r="E201" s="1039">
        <f>IF(AND(A11&gt;=$B$2,A11&lt;=$B$4),_xlfn.XLOOKUP(A201,'VMT Reduction Supporting'!$A:$A,'VMT Reduction Supporting'!$F:$F,,0),0)</f>
        <v>0</v>
      </c>
      <c r="F201" s="1040">
        <f t="shared" ref="F201" si="84">($B201*D201)/1000000</f>
        <v>0</v>
      </c>
      <c r="G201" s="1040">
        <f>IFERROR(($B201*E201)/1000000,"N/A")</f>
        <v>0</v>
      </c>
      <c r="H201" s="1041">
        <f>IF(AND($A201&gt;=MIN('Major Assumption Key'!$B$4),$A201&lt;=MAX('Major Assumption Key'!$B$6)),G201-F201,0)</f>
        <v>0</v>
      </c>
      <c r="I201" s="1038">
        <f>IF(AND(A11&gt;=$B$2,A11&lt;=$B$4),_xlfn.XLOOKUP(A201,'VMT Reduction Supporting'!$A:$A,'VMT Reduction Supporting'!$B:$B,,0),0)</f>
        <v>0</v>
      </c>
      <c r="J201" s="1042">
        <f>IF(AND(A11&gt;=$B$2,A11&lt;=$B$4),_xlfn.XLOOKUP(A201,'VMT Reduction Supporting'!$A:$A,'VMT Reduction Supporting'!$E:$E,,0),0)</f>
        <v>0</v>
      </c>
      <c r="K201" s="1043">
        <f>($B201*I201)/1000000</f>
        <v>0</v>
      </c>
      <c r="L201" s="1043">
        <f>($B201*J201)/1000000</f>
        <v>0</v>
      </c>
      <c r="M201" s="1044">
        <f>IF(AND($A201&gt;=MIN('Major Assumption Key'!$B$4),$A201&lt;=MAX('Major Assumption Key'!$B$6)),L201-K201,0)</f>
        <v>0</v>
      </c>
      <c r="N201" s="1038">
        <f>IF(AND(A11&gt;=$B$2,A11&lt;=$B$4),_xlfn.XLOOKUP(A201,'VMT Reduction Supporting'!$A:$A,'VMT Reduction Supporting'!$D:$D,,0),0)</f>
        <v>0</v>
      </c>
      <c r="O201" s="1042">
        <f>IF(AND(A11&gt;=$B$2,A11&lt;=$B$4),_xlfn.XLOOKUP(A201,'VMT Reduction Supporting'!$A:$A,'VMT Reduction Supporting'!$G:$G,,0),0)</f>
        <v>0</v>
      </c>
      <c r="P201" s="1045">
        <f t="shared" ref="P201" si="85">($C201*N201)/1000000</f>
        <v>0</v>
      </c>
      <c r="Q201" s="1045">
        <f t="shared" ref="Q201" si="86">($C201*O201)/1000000</f>
        <v>0</v>
      </c>
      <c r="R201" s="1046">
        <f>IF(AND($A201&gt;=MIN('Major Assumption Key'!$B$4),$A201&lt;=MAX('Major Assumption Key'!$B$6)),Q201-P201,0)</f>
        <v>0</v>
      </c>
      <c r="S201" s="1047" t="s">
        <v>1244</v>
      </c>
      <c r="T201" s="1079" t="s">
        <v>1244</v>
      </c>
      <c r="U201" s="1048">
        <v>0</v>
      </c>
    </row>
    <row r="202" spans="1:21" ht="12" customHeight="1" outlineLevel="1">
      <c r="A202" s="1036">
        <f t="shared" ref="A202:A241" si="87">A12</f>
        <v>2021</v>
      </c>
      <c r="B202" s="1037">
        <f>$B$211*(($B$201/$B$211)^(1/($A$201-$A$211))^(A202-$A$211))</f>
        <v>1.7392651676489752E-2</v>
      </c>
      <c r="C202" s="1037">
        <f>$C$211*(($C$201/$C$211)^(1/($A$201-$A$211))^(A202-$A$211))</f>
        <v>0.78185806920273226</v>
      </c>
      <c r="D202" s="1038">
        <f>IF(AND(A12&gt;=$B$2,A12&lt;=$B$4),_xlfn.XLOOKUP(A202,'VMT Reduction Supporting'!$A:$A,'VMT Reduction Supporting'!$C:$C,,0),0)</f>
        <v>0</v>
      </c>
      <c r="E202" s="1039">
        <f>IF(AND(A12&gt;=$B$2,A12&lt;=$B$4),_xlfn.XLOOKUP(A202,'VMT Reduction Supporting'!$A:$A,'VMT Reduction Supporting'!$F:$F,,0),0)</f>
        <v>0</v>
      </c>
      <c r="F202" s="1040">
        <f t="shared" ref="F202:F233" si="88">($B202*D202)/1000000</f>
        <v>0</v>
      </c>
      <c r="G202" s="1040">
        <f t="shared" ref="G202:G232" si="89">IFERROR(($B202*E202)/1000000,"N/A")</f>
        <v>0</v>
      </c>
      <c r="H202" s="1041">
        <f>IF(AND($A202&gt;=MIN('Major Assumption Key'!$B$4),$A202&lt;=MAX('Major Assumption Key'!$B$6)),G202-F202,0)</f>
        <v>0</v>
      </c>
      <c r="I202" s="1038">
        <f>IF(AND(A12&gt;=$B$2,A12&lt;=$B$4),_xlfn.XLOOKUP(A202,'VMT Reduction Supporting'!$A:$A,'VMT Reduction Supporting'!$B:$B,,0),0)</f>
        <v>0</v>
      </c>
      <c r="J202" s="1042">
        <f>IF(AND(A12&gt;=$B$2,A12&lt;=$B$4),_xlfn.XLOOKUP(A202,'VMT Reduction Supporting'!$A:$A,'VMT Reduction Supporting'!$E:$E,,0),0)</f>
        <v>0</v>
      </c>
      <c r="K202" s="1043">
        <f t="shared" ref="K202:K241" si="90">($B202*I202)/1000000</f>
        <v>0</v>
      </c>
      <c r="L202" s="1043">
        <f t="shared" ref="L202:L241" si="91">($B202*J202)/1000000</f>
        <v>0</v>
      </c>
      <c r="M202" s="1044">
        <f>IF(AND($A202&gt;=MIN('Major Assumption Key'!$B$4),$A202&lt;=MAX('Major Assumption Key'!$B$6)),L202-K202,0)</f>
        <v>0</v>
      </c>
      <c r="N202" s="1038">
        <f>IF(AND(A12&gt;=$B$2,A12&lt;=$B$4),_xlfn.XLOOKUP(A202,'VMT Reduction Supporting'!$A:$A,'VMT Reduction Supporting'!$D:$D,,0),0)</f>
        <v>0</v>
      </c>
      <c r="O202" s="1042">
        <f>IF(AND(A12&gt;=$B$2,A12&lt;=$B$4),_xlfn.XLOOKUP(A202,'VMT Reduction Supporting'!$A:$A,'VMT Reduction Supporting'!$G:$G,,0),0)</f>
        <v>0</v>
      </c>
      <c r="P202" s="1045">
        <f t="shared" ref="P202:P233" si="92">($C202*N202)/1000000</f>
        <v>0</v>
      </c>
      <c r="Q202" s="1045">
        <f t="shared" ref="Q202:Q233" si="93">($C202*O202)/1000000</f>
        <v>0</v>
      </c>
      <c r="R202" s="1046">
        <f>IF(AND($A202&gt;=MIN('Major Assumption Key'!$B$4),$A202&lt;=MAX('Major Assumption Key'!$B$6)),Q202-P202,0)</f>
        <v>0</v>
      </c>
      <c r="S202" s="1047" t="s">
        <v>1244</v>
      </c>
      <c r="T202" s="1079" t="s">
        <v>1244</v>
      </c>
      <c r="U202" s="1048">
        <v>0</v>
      </c>
    </row>
    <row r="203" spans="1:21" ht="12" customHeight="1" outlineLevel="1">
      <c r="A203" s="1036">
        <f t="shared" si="87"/>
        <v>2022</v>
      </c>
      <c r="B203" s="1037">
        <f t="shared" ref="B203:B210" si="94">$B$211*(($B$201/$B$211)^(1/($A$201-$A$211))^(A203-$A$211))</f>
        <v>1.5978357071980202E-2</v>
      </c>
      <c r="C203" s="1037">
        <f t="shared" ref="C203:C210" si="95">$C$211*(($C$201/$C$211)^(1/($A$201-$A$211))^(A203-$A$211))</f>
        <v>0.69425133041906595</v>
      </c>
      <c r="D203" s="1038">
        <f>IF(AND(A13&gt;=$B$2,A13&lt;=$B$4),_xlfn.XLOOKUP(A203,'VMT Reduction Supporting'!$A:$A,'VMT Reduction Supporting'!$C:$C,,0),0)</f>
        <v>0</v>
      </c>
      <c r="E203" s="1039">
        <f>IF(AND(A13&gt;=$B$2,A13&lt;=$B$4),_xlfn.XLOOKUP(A203,'VMT Reduction Supporting'!$A:$A,'VMT Reduction Supporting'!$F:$F,,0),0)</f>
        <v>0</v>
      </c>
      <c r="F203" s="1040">
        <f t="shared" si="88"/>
        <v>0</v>
      </c>
      <c r="G203" s="1040">
        <f t="shared" si="89"/>
        <v>0</v>
      </c>
      <c r="H203" s="1041">
        <f>IF(AND($A203&gt;=MIN('Major Assumption Key'!$B$4),$A203&lt;=MAX('Major Assumption Key'!$B$6)),G203-F203,0)</f>
        <v>0</v>
      </c>
      <c r="I203" s="1038">
        <f>IF(AND(A13&gt;=$B$2,A13&lt;=$B$4),_xlfn.XLOOKUP(A203,'VMT Reduction Supporting'!$A:$A,'VMT Reduction Supporting'!$B:$B,,0),0)</f>
        <v>0</v>
      </c>
      <c r="J203" s="1042">
        <f>IF(AND(A13&gt;=$B$2,A13&lt;=$B$4),_xlfn.XLOOKUP(A203,'VMT Reduction Supporting'!$A:$A,'VMT Reduction Supporting'!$E:$E,,0),0)</f>
        <v>0</v>
      </c>
      <c r="K203" s="1043">
        <f t="shared" si="90"/>
        <v>0</v>
      </c>
      <c r="L203" s="1043">
        <f t="shared" si="91"/>
        <v>0</v>
      </c>
      <c r="M203" s="1044">
        <f>IF(AND($A203&gt;=MIN('Major Assumption Key'!$B$4),$A203&lt;=MAX('Major Assumption Key'!$B$6)),L203-K203,0)</f>
        <v>0</v>
      </c>
      <c r="N203" s="1038">
        <f>IF(AND(A13&gt;=$B$2,A13&lt;=$B$4),_xlfn.XLOOKUP(A203,'VMT Reduction Supporting'!$A:$A,'VMT Reduction Supporting'!$D:$D,,0),0)</f>
        <v>0</v>
      </c>
      <c r="O203" s="1042">
        <f>IF(AND(A13&gt;=$B$2,A13&lt;=$B$4),_xlfn.XLOOKUP(A203,'VMT Reduction Supporting'!$A:$A,'VMT Reduction Supporting'!$G:$G,,0),0)</f>
        <v>0</v>
      </c>
      <c r="P203" s="1045">
        <f t="shared" si="92"/>
        <v>0</v>
      </c>
      <c r="Q203" s="1045">
        <f t="shared" si="93"/>
        <v>0</v>
      </c>
      <c r="R203" s="1046">
        <f>IF(AND($A203&gt;=MIN('Major Assumption Key'!$B$4),$A203&lt;=MAX('Major Assumption Key'!$B$6)),Q203-P203,0)</f>
        <v>0</v>
      </c>
      <c r="S203" s="1047" t="s">
        <v>1244</v>
      </c>
      <c r="T203" s="1079" t="s">
        <v>1244</v>
      </c>
      <c r="U203" s="1048">
        <v>0</v>
      </c>
    </row>
    <row r="204" spans="1:21" ht="12" customHeight="1" outlineLevel="1">
      <c r="A204" s="1036">
        <f t="shared" si="87"/>
        <v>2023</v>
      </c>
      <c r="B204" s="1037">
        <f t="shared" si="94"/>
        <v>1.4679066738558805E-2</v>
      </c>
      <c r="C204" s="1037">
        <f t="shared" si="95"/>
        <v>0.61646087541198802</v>
      </c>
      <c r="D204" s="1038">
        <f>IF(AND(A14&gt;=$B$2,A14&lt;=$B$4),_xlfn.XLOOKUP(A204,'VMT Reduction Supporting'!$A:$A,'VMT Reduction Supporting'!$C:$C,,0),0)</f>
        <v>0</v>
      </c>
      <c r="E204" s="1039">
        <f>IF(AND(A14&gt;=$B$2,A14&lt;=$B$4),_xlfn.XLOOKUP(A204,'VMT Reduction Supporting'!$A:$A,'VMT Reduction Supporting'!$F:$F,,0),0)</f>
        <v>0</v>
      </c>
      <c r="F204" s="1040">
        <f t="shared" si="88"/>
        <v>0</v>
      </c>
      <c r="G204" s="1040">
        <f t="shared" si="89"/>
        <v>0</v>
      </c>
      <c r="H204" s="1041">
        <f>IF(AND($A204&gt;=MIN('Major Assumption Key'!$B$4),$A204&lt;=MAX('Major Assumption Key'!$B$6)),G204-F204,0)</f>
        <v>0</v>
      </c>
      <c r="I204" s="1038">
        <f>IF(AND(A14&gt;=$B$2,A14&lt;=$B$4),_xlfn.XLOOKUP(A204,'VMT Reduction Supporting'!$A:$A,'VMT Reduction Supporting'!$B:$B,,0),0)</f>
        <v>0</v>
      </c>
      <c r="J204" s="1042">
        <f>IF(AND(A14&gt;=$B$2,A14&lt;=$B$4),_xlfn.XLOOKUP(A204,'VMT Reduction Supporting'!$A:$A,'VMT Reduction Supporting'!$E:$E,,0),0)</f>
        <v>0</v>
      </c>
      <c r="K204" s="1043">
        <f t="shared" si="90"/>
        <v>0</v>
      </c>
      <c r="L204" s="1043">
        <f t="shared" si="91"/>
        <v>0</v>
      </c>
      <c r="M204" s="1044">
        <f>IF(AND($A204&gt;=MIN('Major Assumption Key'!$B$4),$A204&lt;=MAX('Major Assumption Key'!$B$6)),L204-K204,0)</f>
        <v>0</v>
      </c>
      <c r="N204" s="1038">
        <f>IF(AND(A14&gt;=$B$2,A14&lt;=$B$4),_xlfn.XLOOKUP(A204,'VMT Reduction Supporting'!$A:$A,'VMT Reduction Supporting'!$D:$D,,0),0)</f>
        <v>0</v>
      </c>
      <c r="O204" s="1042">
        <f>IF(AND(A14&gt;=$B$2,A14&lt;=$B$4),_xlfn.XLOOKUP(A204,'VMT Reduction Supporting'!$A:$A,'VMT Reduction Supporting'!$G:$G,,0),0)</f>
        <v>0</v>
      </c>
      <c r="P204" s="1045">
        <f t="shared" si="92"/>
        <v>0</v>
      </c>
      <c r="Q204" s="1045">
        <f t="shared" si="93"/>
        <v>0</v>
      </c>
      <c r="R204" s="1046">
        <f>IF(AND($A204&gt;=MIN('Major Assumption Key'!$B$4),$A204&lt;=MAX('Major Assumption Key'!$B$6)),Q204-P204,0)</f>
        <v>0</v>
      </c>
      <c r="S204" s="1047" t="s">
        <v>1244</v>
      </c>
      <c r="T204" s="1079" t="s">
        <v>1244</v>
      </c>
      <c r="U204" s="1048">
        <v>0</v>
      </c>
    </row>
    <row r="205" spans="1:21" ht="12" customHeight="1" outlineLevel="1">
      <c r="A205" s="1036">
        <f t="shared" si="87"/>
        <v>2024</v>
      </c>
      <c r="B205" s="1037">
        <f t="shared" si="94"/>
        <v>1.3485429030305153E-2</v>
      </c>
      <c r="C205" s="1037">
        <f t="shared" si="95"/>
        <v>0.54738679533292856</v>
      </c>
      <c r="D205" s="1038">
        <f>IF(AND(A15&gt;=$B$2,A15&lt;=$B$4),_xlfn.XLOOKUP(A205,'VMT Reduction Supporting'!$A:$A,'VMT Reduction Supporting'!$C:$C,,0),0)</f>
        <v>0</v>
      </c>
      <c r="E205" s="1039">
        <f>IF(AND(A15&gt;=$B$2,A15&lt;=$B$4),_xlfn.XLOOKUP(A205,'VMT Reduction Supporting'!$A:$A,'VMT Reduction Supporting'!$F:$F,,0),0)</f>
        <v>0</v>
      </c>
      <c r="F205" s="1040">
        <f t="shared" si="88"/>
        <v>0</v>
      </c>
      <c r="G205" s="1040">
        <f t="shared" si="89"/>
        <v>0</v>
      </c>
      <c r="H205" s="1041">
        <f>IF(AND($A205&gt;=MIN('Major Assumption Key'!$B$4),$A205&lt;=MAX('Major Assumption Key'!$B$6)),G205-F205,0)</f>
        <v>0</v>
      </c>
      <c r="I205" s="1038">
        <f>IF(AND(A15&gt;=$B$2,A15&lt;=$B$4),_xlfn.XLOOKUP(A205,'VMT Reduction Supporting'!$A:$A,'VMT Reduction Supporting'!$B:$B,,0),0)</f>
        <v>0</v>
      </c>
      <c r="J205" s="1042">
        <f>IF(AND(A15&gt;=$B$2,A15&lt;=$B$4),_xlfn.XLOOKUP(A205,'VMT Reduction Supporting'!$A:$A,'VMT Reduction Supporting'!$E:$E,,0),0)</f>
        <v>0</v>
      </c>
      <c r="K205" s="1043">
        <f t="shared" si="90"/>
        <v>0</v>
      </c>
      <c r="L205" s="1043">
        <f t="shared" si="91"/>
        <v>0</v>
      </c>
      <c r="M205" s="1044">
        <f>IF(AND($A205&gt;=MIN('Major Assumption Key'!$B$4),$A205&lt;=MAX('Major Assumption Key'!$B$6)),L205-K205,0)</f>
        <v>0</v>
      </c>
      <c r="N205" s="1038">
        <f>IF(AND(A15&gt;=$B$2,A15&lt;=$B$4),_xlfn.XLOOKUP(A205,'VMT Reduction Supporting'!$A:$A,'VMT Reduction Supporting'!$D:$D,,0),0)</f>
        <v>0</v>
      </c>
      <c r="O205" s="1042">
        <f>IF(AND(A15&gt;=$B$2,A15&lt;=$B$4),_xlfn.XLOOKUP(A205,'VMT Reduction Supporting'!$A:$A,'VMT Reduction Supporting'!$G:$G,,0),0)</f>
        <v>0</v>
      </c>
      <c r="P205" s="1045">
        <f t="shared" si="92"/>
        <v>0</v>
      </c>
      <c r="Q205" s="1045">
        <f t="shared" si="93"/>
        <v>0</v>
      </c>
      <c r="R205" s="1046">
        <f>IF(AND($A205&gt;=MIN('Major Assumption Key'!$B$4),$A205&lt;=MAX('Major Assumption Key'!$B$6)),Q205-P205,0)</f>
        <v>0</v>
      </c>
      <c r="S205" s="1047" t="s">
        <v>1244</v>
      </c>
      <c r="T205" s="1079" t="s">
        <v>1244</v>
      </c>
      <c r="U205" s="1048">
        <v>0</v>
      </c>
    </row>
    <row r="206" spans="1:21" ht="12" customHeight="1" outlineLevel="1">
      <c r="A206" s="1036">
        <f t="shared" si="87"/>
        <v>2025</v>
      </c>
      <c r="B206" s="1037">
        <f t="shared" si="94"/>
        <v>1.2388852736373053E-2</v>
      </c>
      <c r="C206" s="1037">
        <f t="shared" si="95"/>
        <v>0.48605242547567296</v>
      </c>
      <c r="D206" s="1038">
        <f>IF(AND(A16&gt;=$B$2,A16&lt;=$B$4),_xlfn.XLOOKUP(A206,'VMT Reduction Supporting'!$A:$A,'VMT Reduction Supporting'!$C:$C,,0),0)</f>
        <v>0</v>
      </c>
      <c r="E206" s="1039">
        <f>IF(AND(A16&gt;=$B$2,A16&lt;=$B$4),_xlfn.XLOOKUP(A206,'VMT Reduction Supporting'!$A:$A,'VMT Reduction Supporting'!$F:$F,,0),0)</f>
        <v>0</v>
      </c>
      <c r="F206" s="1040">
        <f t="shared" si="88"/>
        <v>0</v>
      </c>
      <c r="G206" s="1040">
        <f t="shared" si="89"/>
        <v>0</v>
      </c>
      <c r="H206" s="1041">
        <f>IF(AND($A206&gt;=MIN('Major Assumption Key'!$B$4),$A206&lt;=MAX('Major Assumption Key'!$B$6)),G206-F206,0)</f>
        <v>0</v>
      </c>
      <c r="I206" s="1038">
        <f>IF(AND(A16&gt;=$B$2,A16&lt;=$B$4),_xlfn.XLOOKUP(A206,'VMT Reduction Supporting'!$A:$A,'VMT Reduction Supporting'!$B:$B,,0),0)</f>
        <v>0</v>
      </c>
      <c r="J206" s="1042">
        <f>IF(AND(A16&gt;=$B$2,A16&lt;=$B$4),_xlfn.XLOOKUP(A206,'VMT Reduction Supporting'!$A:$A,'VMT Reduction Supporting'!$E:$E,,0),0)</f>
        <v>0</v>
      </c>
      <c r="K206" s="1043">
        <f t="shared" si="90"/>
        <v>0</v>
      </c>
      <c r="L206" s="1043">
        <f t="shared" si="91"/>
        <v>0</v>
      </c>
      <c r="M206" s="1044">
        <f>IF(AND($A206&gt;=MIN('Major Assumption Key'!$B$4),$A206&lt;=MAX('Major Assumption Key'!$B$6)),L206-K206,0)</f>
        <v>0</v>
      </c>
      <c r="N206" s="1038">
        <f>IF(AND(A16&gt;=$B$2,A16&lt;=$B$4),_xlfn.XLOOKUP(A206,'VMT Reduction Supporting'!$A:$A,'VMT Reduction Supporting'!$D:$D,,0),0)</f>
        <v>0</v>
      </c>
      <c r="O206" s="1042">
        <f>IF(AND(A16&gt;=$B$2,A16&lt;=$B$4),_xlfn.XLOOKUP(A206,'VMT Reduction Supporting'!$A:$A,'VMT Reduction Supporting'!$G:$G,,0),0)</f>
        <v>0</v>
      </c>
      <c r="P206" s="1045">
        <f t="shared" si="92"/>
        <v>0</v>
      </c>
      <c r="Q206" s="1045">
        <f t="shared" si="93"/>
        <v>0</v>
      </c>
      <c r="R206" s="1046">
        <f>IF(AND($A206&gt;=MIN('Major Assumption Key'!$B$4),$A206&lt;=MAX('Major Assumption Key'!$B$6)),Q206-P206,0)</f>
        <v>0</v>
      </c>
      <c r="S206" s="1047" t="s">
        <v>1244</v>
      </c>
      <c r="T206" s="1079" t="s">
        <v>1244</v>
      </c>
      <c r="U206" s="1048">
        <v>0</v>
      </c>
    </row>
    <row r="207" spans="1:21" outlineLevel="1">
      <c r="A207" s="1036">
        <f t="shared" si="87"/>
        <v>2026</v>
      </c>
      <c r="B207" s="1037">
        <f t="shared" si="94"/>
        <v>1.1381445245725715E-2</v>
      </c>
      <c r="C207" s="1037">
        <f t="shared" si="95"/>
        <v>0.43159053584238516</v>
      </c>
      <c r="D207" s="1038">
        <f>IF(AND(A17&gt;=$B$2,A17&lt;=$B$4),_xlfn.XLOOKUP(A207,'VMT Reduction Supporting'!$A:$A,'VMT Reduction Supporting'!$C:$C,,0),0)</f>
        <v>0</v>
      </c>
      <c r="E207" s="1039">
        <f>IF(AND(A17&gt;=$B$2,A17&lt;=$B$4),_xlfn.XLOOKUP(A207,'VMT Reduction Supporting'!$A:$A,'VMT Reduction Supporting'!$F:$F,,0),0)</f>
        <v>0</v>
      </c>
      <c r="F207" s="1040">
        <f t="shared" si="88"/>
        <v>0</v>
      </c>
      <c r="G207" s="1040">
        <f t="shared" si="89"/>
        <v>0</v>
      </c>
      <c r="H207" s="1041">
        <f>IF(AND($A207&gt;=MIN('Major Assumption Key'!$B$4),$A207&lt;=MAX('Major Assumption Key'!$B$6)),G207-F207,0)</f>
        <v>0</v>
      </c>
      <c r="I207" s="1038">
        <f>IF(AND(A17&gt;=$B$2,A17&lt;=$B$4),_xlfn.XLOOKUP(A207,'VMT Reduction Supporting'!$A:$A,'VMT Reduction Supporting'!$B:$B,,0),0)</f>
        <v>0</v>
      </c>
      <c r="J207" s="1042">
        <f>IF(AND(A17&gt;=$B$2,A17&lt;=$B$4),_xlfn.XLOOKUP(A207,'VMT Reduction Supporting'!$A:$A,'VMT Reduction Supporting'!$E:$E,,0),0)</f>
        <v>0</v>
      </c>
      <c r="K207" s="1043">
        <f t="shared" si="90"/>
        <v>0</v>
      </c>
      <c r="L207" s="1043">
        <f t="shared" si="91"/>
        <v>0</v>
      </c>
      <c r="M207" s="1044">
        <f>IF(AND($A207&gt;=MIN('Major Assumption Key'!$B$4),$A207&lt;=MAX('Major Assumption Key'!$B$6)),L207-K207,0)</f>
        <v>0</v>
      </c>
      <c r="N207" s="1038">
        <f>IF(AND(A17&gt;=$B$2,A17&lt;=$B$4),_xlfn.XLOOKUP(A207,'VMT Reduction Supporting'!$A:$A,'VMT Reduction Supporting'!$D:$D,,0),0)</f>
        <v>0</v>
      </c>
      <c r="O207" s="1042">
        <f>IF(AND(A17&gt;=$B$2,A17&lt;=$B$4),_xlfn.XLOOKUP(A207,'VMT Reduction Supporting'!$A:$A,'VMT Reduction Supporting'!$G:$G,,0),0)</f>
        <v>0</v>
      </c>
      <c r="P207" s="1045">
        <f t="shared" si="92"/>
        <v>0</v>
      </c>
      <c r="Q207" s="1045">
        <f t="shared" si="93"/>
        <v>0</v>
      </c>
      <c r="R207" s="1046">
        <f>IF(AND($A207&gt;=MIN('Major Assumption Key'!$B$4),$A207&lt;=MAX('Major Assumption Key'!$B$6)),Q207-P207,0)</f>
        <v>0</v>
      </c>
      <c r="S207" s="1047" t="s">
        <v>1244</v>
      </c>
      <c r="T207" s="1079" t="s">
        <v>1244</v>
      </c>
      <c r="U207" s="1048">
        <v>0</v>
      </c>
    </row>
    <row r="208" spans="1:21" outlineLevel="1">
      <c r="A208" s="1036">
        <f t="shared" si="87"/>
        <v>2027</v>
      </c>
      <c r="B208" s="1037">
        <f t="shared" si="94"/>
        <v>1.0455955740045035E-2</v>
      </c>
      <c r="C208" s="1037">
        <f t="shared" si="95"/>
        <v>0.38323106904862059</v>
      </c>
      <c r="D208" s="1038">
        <f>IF(AND(A18&gt;=$B$2,A18&lt;=$B$4),_xlfn.XLOOKUP(A208,'VMT Reduction Supporting'!$A:$A,'VMT Reduction Supporting'!$C:$C,,0),0)</f>
        <v>0</v>
      </c>
      <c r="E208" s="1039">
        <f>IF(AND(A18&gt;=$B$2,A18&lt;=$B$4),_xlfn.XLOOKUP(A208,'VMT Reduction Supporting'!$A:$A,'VMT Reduction Supporting'!$F:$F,,0),0)</f>
        <v>0</v>
      </c>
      <c r="F208" s="1040">
        <f t="shared" si="88"/>
        <v>0</v>
      </c>
      <c r="G208" s="1040">
        <f t="shared" si="89"/>
        <v>0</v>
      </c>
      <c r="H208" s="1041">
        <f>IF(AND($A208&gt;=MIN('Major Assumption Key'!$B$4),$A208&lt;=MAX('Major Assumption Key'!$B$6)),G208-F208,0)</f>
        <v>0</v>
      </c>
      <c r="I208" s="1038">
        <f>IF(AND(A18&gt;=$B$2,A18&lt;=$B$4),_xlfn.XLOOKUP(A208,'VMT Reduction Supporting'!$A:$A,'VMT Reduction Supporting'!$B:$B,,0),0)</f>
        <v>0</v>
      </c>
      <c r="J208" s="1042">
        <f>IF(AND(A18&gt;=$B$2,A18&lt;=$B$4),_xlfn.XLOOKUP(A208,'VMT Reduction Supporting'!$A:$A,'VMT Reduction Supporting'!$E:$E,,0),0)</f>
        <v>0</v>
      </c>
      <c r="K208" s="1043">
        <f t="shared" si="90"/>
        <v>0</v>
      </c>
      <c r="L208" s="1043">
        <f t="shared" si="91"/>
        <v>0</v>
      </c>
      <c r="M208" s="1044">
        <f>IF(AND($A208&gt;=MIN('Major Assumption Key'!$B$4),$A208&lt;=MAX('Major Assumption Key'!$B$6)),L208-K208,0)</f>
        <v>0</v>
      </c>
      <c r="N208" s="1038">
        <f>IF(AND(A18&gt;=$B$2,A18&lt;=$B$4),_xlfn.XLOOKUP(A208,'VMT Reduction Supporting'!$A:$A,'VMT Reduction Supporting'!$D:$D,,0),0)</f>
        <v>0</v>
      </c>
      <c r="O208" s="1042">
        <f>IF(AND(A18&gt;=$B$2,A18&lt;=$B$4),_xlfn.XLOOKUP(A208,'VMT Reduction Supporting'!$A:$A,'VMT Reduction Supporting'!$G:$G,,0),0)</f>
        <v>0</v>
      </c>
      <c r="P208" s="1045">
        <f t="shared" si="92"/>
        <v>0</v>
      </c>
      <c r="Q208" s="1045">
        <f t="shared" si="93"/>
        <v>0</v>
      </c>
      <c r="R208" s="1046">
        <f>IF(AND($A208&gt;=MIN('Major Assumption Key'!$B$4),$A208&lt;=MAX('Major Assumption Key'!$B$6)),Q208-P208,0)</f>
        <v>0</v>
      </c>
      <c r="S208" s="1047" t="s">
        <v>1244</v>
      </c>
      <c r="T208" s="1079" t="s">
        <v>1244</v>
      </c>
      <c r="U208" s="1048">
        <v>0</v>
      </c>
    </row>
    <row r="209" spans="1:21" outlineLevel="1">
      <c r="A209" s="1036">
        <f t="shared" si="87"/>
        <v>2028</v>
      </c>
      <c r="B209" s="1037">
        <f t="shared" si="94"/>
        <v>9.6057230059458688E-3</v>
      </c>
      <c r="C209" s="1037">
        <f t="shared" si="95"/>
        <v>0.34029025218890196</v>
      </c>
      <c r="D209" s="1038">
        <f>IF(AND(A19&gt;=$B$2,A19&lt;=$B$4),_xlfn.XLOOKUP(A209,'VMT Reduction Supporting'!$A:$A,'VMT Reduction Supporting'!$C:$C,,0),0)</f>
        <v>1659.1097408404594</v>
      </c>
      <c r="E209" s="1039">
        <f>IF(AND(A19&gt;=$B$2,A19&lt;=$B$4),_xlfn.XLOOKUP(A209,'VMT Reduction Supporting'!$A:$A,'VMT Reduction Supporting'!$F:$F,,0),0)</f>
        <v>22674.499791486269</v>
      </c>
      <c r="F209" s="1040">
        <f t="shared" si="88"/>
        <v>1.5936948606980088E-5</v>
      </c>
      <c r="G209" s="1040">
        <f t="shared" si="89"/>
        <v>2.1780496429539445E-4</v>
      </c>
      <c r="H209" s="1041">
        <f>IF(AND($A209&gt;=MIN('Major Assumption Key'!$B$4),$A209&lt;=MAX('Major Assumption Key'!$B$6)),G209-F209,0)</f>
        <v>2.0186801568841437E-4</v>
      </c>
      <c r="I209" s="1038">
        <f>IF(AND(A19&gt;=$B$2,A19&lt;=$B$4),_xlfn.XLOOKUP(A209,'VMT Reduction Supporting'!$A:$A,'VMT Reduction Supporting'!$B:$B,,0),0)</f>
        <v>24057.091242186652</v>
      </c>
      <c r="J209" s="1042">
        <f>IF(AND(A19&gt;=$B$2,A19&lt;=$B$4),_xlfn.XLOOKUP(A209,'VMT Reduction Supporting'!$A:$A,'VMT Reduction Supporting'!$E:$E,,0),0)</f>
        <v>24419.06426582468</v>
      </c>
      <c r="K209" s="1043">
        <f t="shared" si="90"/>
        <v>2.3108575480121121E-4</v>
      </c>
      <c r="L209" s="1043">
        <f t="shared" si="91"/>
        <v>2.345627674019028E-4</v>
      </c>
      <c r="M209" s="1044">
        <f>IF(AND($A209&gt;=MIN('Major Assumption Key'!$B$4),$A209&lt;=MAX('Major Assumption Key'!$B$6)),L209-K209,0)</f>
        <v>3.4770126006915887E-6</v>
      </c>
      <c r="N209" s="1038">
        <f>IF(AND(A19&gt;=$B$2,A19&lt;=$B$4),_xlfn.XLOOKUP(A209,'VMT Reduction Supporting'!$A:$A,'VMT Reduction Supporting'!$D:$D,,0),0)</f>
        <v>99567.464200691262</v>
      </c>
      <c r="O209" s="1042">
        <f>IF(AND(A19&gt;=$B$2,A19&lt;=$B$4),_xlfn.XLOOKUP(A209,'VMT Reduction Supporting'!$A:$A,'VMT Reduction Supporting'!$G:$G,,0),0)</f>
        <v>112411.66708258043</v>
      </c>
      <c r="P209" s="1045">
        <f t="shared" si="92"/>
        <v>3.3881837502662694E-2</v>
      </c>
      <c r="Q209" s="1045">
        <f t="shared" si="93"/>
        <v>3.8252594540506189E-2</v>
      </c>
      <c r="R209" s="1046">
        <f>IF(AND($A209&gt;=MIN('Major Assumption Key'!$B$4),$A209&lt;=MAX('Major Assumption Key'!$B$6)),Q209-P209,0)</f>
        <v>4.3707570378434951E-3</v>
      </c>
      <c r="S209" s="1047" t="s">
        <v>1244</v>
      </c>
      <c r="T209" s="1079" t="s">
        <v>1244</v>
      </c>
      <c r="U209" s="1048">
        <v>0</v>
      </c>
    </row>
    <row r="210" spans="1:21" outlineLevel="1">
      <c r="A210" s="1036">
        <f t="shared" si="87"/>
        <v>2029</v>
      </c>
      <c r="B210" s="1037">
        <f t="shared" si="94"/>
        <v>8.8246274908734754E-3</v>
      </c>
      <c r="C210" s="1037">
        <f t="shared" si="95"/>
        <v>0.30216092871138084</v>
      </c>
      <c r="D210" s="1038">
        <f>IF(AND(A20&gt;=$B$2,A20&lt;=$B$4),_xlfn.XLOOKUP(A210,'VMT Reduction Supporting'!$A:$A,'VMT Reduction Supporting'!$C:$C,,0),0)</f>
        <v>1683.5627039429303</v>
      </c>
      <c r="E210" s="1039">
        <f>IF(AND(A20&gt;=$B$2,A20&lt;=$B$4),_xlfn.XLOOKUP(A210,'VMT Reduction Supporting'!$A:$A,'VMT Reduction Supporting'!$F:$F,,0),0)</f>
        <v>23008.690287220044</v>
      </c>
      <c r="F210" s="1040">
        <f t="shared" si="88"/>
        <v>1.4856813719824064E-5</v>
      </c>
      <c r="G210" s="1040">
        <f t="shared" si="89"/>
        <v>2.0304312083759552E-4</v>
      </c>
      <c r="H210" s="1041">
        <f>IF(AND($A210&gt;=MIN('Major Assumption Key'!$B$4),$A210&lt;=MAX('Major Assumption Key'!$B$6)),G210-F210,0)</f>
        <v>1.8818630711777144E-4</v>
      </c>
      <c r="I210" s="1038">
        <f>IF(AND(A20&gt;=$B$2,A20&lt;=$B$4),_xlfn.XLOOKUP(A210,'VMT Reduction Supporting'!$A:$A,'VMT Reduction Supporting'!$B:$B,,0),0)</f>
        <v>24411.659207172481</v>
      </c>
      <c r="J210" s="1042">
        <f>IF(AND(A20&gt;=$B$2,A20&lt;=$B$4),_xlfn.XLOOKUP(A210,'VMT Reduction Supporting'!$A:$A,'VMT Reduction Supporting'!$E:$E,,0),0)</f>
        <v>24774.061722553986</v>
      </c>
      <c r="K210" s="1043">
        <f t="shared" si="90"/>
        <v>2.1542379893744885E-4</v>
      </c>
      <c r="L210" s="1043">
        <f t="shared" si="91"/>
        <v>2.186218661374462E-4</v>
      </c>
      <c r="M210" s="1044">
        <f>IF(AND($A210&gt;=MIN('Major Assumption Key'!$B$4),$A210&lt;=MAX('Major Assumption Key'!$B$6)),L210-K210,0)</f>
        <v>3.1980671999973492E-6</v>
      </c>
      <c r="N210" s="1038">
        <f>IF(AND(A20&gt;=$B$2,A20&lt;=$B$4),_xlfn.XLOOKUP(A210,'VMT Reduction Supporting'!$A:$A,'VMT Reduction Supporting'!$D:$D,,0),0)</f>
        <v>99956.18820362819</v>
      </c>
      <c r="O210" s="1042">
        <f>IF(AND(A20&gt;=$B$2,A20&lt;=$B$4),_xlfn.XLOOKUP(A210,'VMT Reduction Supporting'!$A:$A,'VMT Reduction Supporting'!$G:$G,,0),0)</f>
        <v>112850.53648189623</v>
      </c>
      <c r="P210" s="1045">
        <f t="shared" si="92"/>
        <v>3.0202854658057863E-2</v>
      </c>
      <c r="Q210" s="1045">
        <f t="shared" si="93"/>
        <v>3.4099022908947327E-2</v>
      </c>
      <c r="R210" s="1046">
        <f>IF(AND($A210&gt;=MIN('Major Assumption Key'!$B$4),$A210&lt;=MAX('Major Assumption Key'!$B$6)),Q210-P210,0)</f>
        <v>3.8961682508894639E-3</v>
      </c>
      <c r="S210" s="1047" t="s">
        <v>1244</v>
      </c>
      <c r="T210" s="1079" t="s">
        <v>1244</v>
      </c>
      <c r="U210" s="1048">
        <v>0</v>
      </c>
    </row>
    <row r="211" spans="1:21" outlineLevel="1">
      <c r="A211" s="1036">
        <f t="shared" si="87"/>
        <v>2030</v>
      </c>
      <c r="B211" s="1078">
        <f>VLOOKUP($B$5,'Emission Factors'!$H$5:$M$21,5,FALSE)</f>
        <v>8.1070472576063712E-3</v>
      </c>
      <c r="C211" s="1078">
        <f>VLOOKUP($B$6,'Emission Factors'!$H$28:$M$44,5,FALSE)</f>
        <v>0.26830397360028119</v>
      </c>
      <c r="D211" s="1038">
        <f>IF(AND(A21&gt;=$B$2,A21&lt;=$B$4),_xlfn.XLOOKUP(A211,'VMT Reduction Supporting'!$A:$A,'VMT Reduction Supporting'!$C:$C,,0),0)</f>
        <v>1708.376069609362</v>
      </c>
      <c r="E211" s="1039">
        <f>IF(AND(A21&gt;=$B$2,A21&lt;=$B$4),_xlfn.XLOOKUP(A211,'VMT Reduction Supporting'!$A:$A,'VMT Reduction Supporting'!$F:$F,,0),0)</f>
        <v>23347.806284661274</v>
      </c>
      <c r="F211" s="1040">
        <f t="shared" si="88"/>
        <v>1.384988553008693E-5</v>
      </c>
      <c r="G211" s="1040">
        <f t="shared" si="89"/>
        <v>1.8928176891118797E-4</v>
      </c>
      <c r="H211" s="1041">
        <f>IF(AND($A211&gt;=MIN('Major Assumption Key'!$B$4),$A211&lt;=MAX('Major Assumption Key'!$B$6)),G211-F211,0)</f>
        <v>1.7543188338110105E-4</v>
      </c>
      <c r="I211" s="1038">
        <f>IF(AND(A21&gt;=$B$2,A21&lt;=$B$4),_xlfn.XLOOKUP(A211,'VMT Reduction Supporting'!$A:$A,'VMT Reduction Supporting'!$B:$B,,0),0)</f>
        <v>24771.453009335743</v>
      </c>
      <c r="J211" s="1042">
        <f>IF(AND(A21&gt;=$B$2,A21&lt;=$B$4),_xlfn.XLOOKUP(A211,'VMT Reduction Supporting'!$A:$A,'VMT Reduction Supporting'!$E:$E,,0),0)</f>
        <v>25134.285526065429</v>
      </c>
      <c r="K211" s="1043">
        <f t="shared" si="90"/>
        <v>2.0082334018626041E-4</v>
      </c>
      <c r="L211" s="1043">
        <f t="shared" si="91"/>
        <v>2.0376484054598424E-4</v>
      </c>
      <c r="M211" s="1044">
        <f>IF(AND($A211&gt;=MIN('Major Assumption Key'!$B$4),$A211&lt;=MAX('Major Assumption Key'!$B$6)),L211-K211,0)</f>
        <v>2.9415003597238259E-6</v>
      </c>
      <c r="N211" s="1038">
        <f>IF(AND(A21&gt;=$B$2,A21&lt;=$B$4),_xlfn.XLOOKUP(A211,'VMT Reduction Supporting'!$A:$A,'VMT Reduction Supporting'!$D:$D,,0),0)</f>
        <v>100346.42983435321</v>
      </c>
      <c r="O211" s="1042">
        <f>IF(AND(A21&gt;=$B$2,A21&lt;=$B$4),_xlfn.XLOOKUP(A211,'VMT Reduction Supporting'!$A:$A,'VMT Reduction Supporting'!$G:$G,,0),0)</f>
        <v>113291.11928298477</v>
      </c>
      <c r="P211" s="1045">
        <f t="shared" si="92"/>
        <v>2.6923345861158774E-2</v>
      </c>
      <c r="Q211" s="1045">
        <f t="shared" si="93"/>
        <v>3.0396457477248253E-2</v>
      </c>
      <c r="R211" s="1046">
        <f>IF(AND($A211&gt;=MIN('Major Assumption Key'!$B$4),$A211&lt;=MAX('Major Assumption Key'!$B$6)),Q211-P211,0)</f>
        <v>3.473111616089479E-3</v>
      </c>
      <c r="S211" s="1047" t="s">
        <v>1244</v>
      </c>
      <c r="T211" s="1079" t="s">
        <v>1244</v>
      </c>
      <c r="U211" s="1048">
        <v>0</v>
      </c>
    </row>
    <row r="212" spans="1:21" outlineLevel="1">
      <c r="A212" s="1036">
        <f t="shared" si="87"/>
        <v>2031</v>
      </c>
      <c r="B212" s="1037">
        <f>$B$221*(($B$211/$B$221)^(1/($A$211-$A$221))^(A212-$A$221))</f>
        <v>7.5314928854847696E-3</v>
      </c>
      <c r="C212" s="1037">
        <f>$C$221*(($C$211/$C$221)^(1/($A$211-$A$221))^(A212-$A$221))</f>
        <v>0.24348363004191556</v>
      </c>
      <c r="D212" s="1038">
        <f>IF(AND(A22&gt;=$B$2,A22&lt;=$B$4),_xlfn.XLOOKUP(A212,'VMT Reduction Supporting'!$A:$A,'VMT Reduction Supporting'!$C:$C,,0),0)</f>
        <v>1733.555149670781</v>
      </c>
      <c r="E212" s="1039">
        <f>IF(AND(A22&gt;=$B$2,A22&lt;=$B$4),_xlfn.XLOOKUP(A212,'VMT Reduction Supporting'!$A:$A,'VMT Reduction Supporting'!$F:$F,,0),0)</f>
        <v>23691.920378833998</v>
      </c>
      <c r="F212" s="1040">
        <f t="shared" si="88"/>
        <v>1.3056258276340973E-5</v>
      </c>
      <c r="G212" s="1040">
        <f t="shared" si="89"/>
        <v>1.7843552977665989E-4</v>
      </c>
      <c r="H212" s="1041">
        <f>IF(AND($A212&gt;=MIN('Major Assumption Key'!$B$4),$A212&lt;=MAX('Major Assumption Key'!$B$6)),G212-F212,0)</f>
        <v>1.6537927150031892E-4</v>
      </c>
      <c r="I212" s="1038">
        <f>IF(AND(A22&gt;=$B$2,A22&lt;=$B$4),_xlfn.XLOOKUP(A212,'VMT Reduction Supporting'!$A:$A,'VMT Reduction Supporting'!$B:$B,,0),0)</f>
        <v>25136.549670226323</v>
      </c>
      <c r="J212" s="1042">
        <f>IF(AND(A22&gt;=$B$2,A22&lt;=$B$4),_xlfn.XLOOKUP(A212,'VMT Reduction Supporting'!$A:$A,'VMT Reduction Supporting'!$E:$E,,0),0)</f>
        <v>25499.812698513557</v>
      </c>
      <c r="K212" s="1043">
        <f t="shared" si="90"/>
        <v>1.8931574500694406E-4</v>
      </c>
      <c r="L212" s="1043">
        <f t="shared" si="91"/>
        <v>1.9205165792004903E-4</v>
      </c>
      <c r="M212" s="1044">
        <f>IF(AND($A212&gt;=MIN('Major Assumption Key'!$B$4),$A212&lt;=MAX('Major Assumption Key'!$B$6)),L212-K212,0)</f>
        <v>2.7359129131049678E-6</v>
      </c>
      <c r="N212" s="1038">
        <f>IF(AND(A22&gt;=$B$2,A22&lt;=$B$4),_xlfn.XLOOKUP(A212,'VMT Reduction Supporting'!$A:$A,'VMT Reduction Supporting'!$D:$D,,0),0)</f>
        <v>100738.19501787757</v>
      </c>
      <c r="O212" s="1042">
        <f>IF(AND(A22&gt;=$B$2,A22&lt;=$B$4),_xlfn.XLOOKUP(A212,'VMT Reduction Supporting'!$A:$A,'VMT Reduction Supporting'!$G:$G,,0),0)</f>
        <v>113733.42217518379</v>
      </c>
      <c r="P212" s="1045">
        <f t="shared" si="92"/>
        <v>2.4528101406823242E-2</v>
      </c>
      <c r="Q212" s="1045">
        <f t="shared" si="93"/>
        <v>2.7692226488303443E-2</v>
      </c>
      <c r="R212" s="1046">
        <f>IF(AND($A212&gt;=MIN('Major Assumption Key'!$B$4),$A212&lt;=MAX('Major Assumption Key'!$B$6)),Q212-P212,0)</f>
        <v>3.1641250814802013E-3</v>
      </c>
      <c r="S212" s="1047" t="s">
        <v>1244</v>
      </c>
      <c r="T212" s="1079" t="s">
        <v>1244</v>
      </c>
      <c r="U212" s="1048">
        <v>0</v>
      </c>
    </row>
    <row r="213" spans="1:21" outlineLevel="1">
      <c r="A213" s="1036">
        <f t="shared" si="87"/>
        <v>2032</v>
      </c>
      <c r="B213" s="1037">
        <f t="shared" ref="B213:B220" si="96">$B$221*(($B$211/$B$221)^(1/($A$211-$A$221))^(A213-$A$221))</f>
        <v>6.9967996092396532E-3</v>
      </c>
      <c r="C213" s="1037">
        <f t="shared" ref="C213:C220" si="97">$C$221*(($C$211/$C$221)^(1/($A$211-$A$221))^(A213-$A$221))</f>
        <v>0.22095937418619821</v>
      </c>
      <c r="D213" s="1038">
        <f>IF(AND(A23&gt;=$B$2,A23&lt;=$B$4),_xlfn.XLOOKUP(A213,'VMT Reduction Supporting'!$A:$A,'VMT Reduction Supporting'!$C:$C,,0),0)</f>
        <v>1759.1053342471942</v>
      </c>
      <c r="E213" s="1039">
        <f>IF(AND(A23&gt;=$B$2,A23&lt;=$B$4),_xlfn.XLOOKUP(A213,'VMT Reduction Supporting'!$A:$A,'VMT Reduction Supporting'!$F:$F,,0),0)</f>
        <v>24041.106234711646</v>
      </c>
      <c r="F213" s="1040">
        <f t="shared" si="88"/>
        <v>1.2308107515272157E-5</v>
      </c>
      <c r="G213" s="1040">
        <f t="shared" si="89"/>
        <v>1.6821080270871942E-4</v>
      </c>
      <c r="H213" s="1041">
        <f>IF(AND($A213&gt;=MIN('Major Assumption Key'!$B$4),$A213&lt;=MAX('Major Assumption Key'!$B$6)),G213-F213,0)</f>
        <v>1.5590269519344727E-4</v>
      </c>
      <c r="I213" s="1038">
        <f>IF(AND(A23&gt;=$B$2,A23&lt;=$B$4),_xlfn.XLOOKUP(A213,'VMT Reduction Supporting'!$A:$A,'VMT Reduction Supporting'!$B:$B,,0),0)</f>
        <v>25507.027346584309</v>
      </c>
      <c r="J213" s="1042">
        <f>IF(AND(A23&gt;=$B$2,A23&lt;=$B$4),_xlfn.XLOOKUP(A213,'VMT Reduction Supporting'!$A:$A,'VMT Reduction Supporting'!$E:$E,,0),0)</f>
        <v>25870.721397243851</v>
      </c>
      <c r="K213" s="1043">
        <f t="shared" si="90"/>
        <v>1.7846755897144625E-4</v>
      </c>
      <c r="L213" s="1043">
        <f t="shared" si="91"/>
        <v>1.8101225336298373E-4</v>
      </c>
      <c r="M213" s="1044">
        <f>IF(AND($A213&gt;=MIN('Major Assumption Key'!$B$4),$A213&lt;=MAX('Major Assumption Key'!$B$6)),L213-K213,0)</f>
        <v>2.5446943915374831E-6</v>
      </c>
      <c r="N213" s="1038">
        <f>IF(AND(A23&gt;=$B$2,A23&lt;=$B$4),_xlfn.XLOOKUP(A213,'VMT Reduction Supporting'!$A:$A,'VMT Reduction Supporting'!$D:$D,,0),0)</f>
        <v>101131.48970234458</v>
      </c>
      <c r="O213" s="1042">
        <f>IF(AND(A23&gt;=$B$2,A23&lt;=$B$4),_xlfn.XLOOKUP(A213,'VMT Reduction Supporting'!$A:$A,'VMT Reduction Supporting'!$G:$G,,0),0)</f>
        <v>114177.45187394704</v>
      </c>
      <c r="P213" s="1045">
        <f t="shared" si="92"/>
        <v>2.2345950675148007E-2</v>
      </c>
      <c r="Q213" s="1045">
        <f t="shared" si="93"/>
        <v>2.5228578312242102E-2</v>
      </c>
      <c r="R213" s="1046">
        <f>IF(AND($A213&gt;=MIN('Major Assumption Key'!$B$4),$A213&lt;=MAX('Major Assumption Key'!$B$6)),Q213-P213,0)</f>
        <v>2.8826276370940949E-3</v>
      </c>
      <c r="S213" s="1047" t="s">
        <v>1244</v>
      </c>
      <c r="T213" s="1079" t="s">
        <v>1244</v>
      </c>
      <c r="U213" s="1048">
        <v>0</v>
      </c>
    </row>
    <row r="214" spans="1:21" outlineLevel="1">
      <c r="A214" s="1036">
        <f t="shared" si="87"/>
        <v>2033</v>
      </c>
      <c r="B214" s="1037">
        <f t="shared" si="96"/>
        <v>6.5000665228279152E-3</v>
      </c>
      <c r="C214" s="1037">
        <f t="shared" si="97"/>
        <v>0.20051879887100207</v>
      </c>
      <c r="D214" s="1038">
        <f>IF(AND(A24&gt;=$B$2,A24&lt;=$B$4),_xlfn.XLOOKUP(A214,'VMT Reduction Supporting'!$A:$A,'VMT Reduction Supporting'!$C:$C,,0),0)</f>
        <v>1785.0320929014565</v>
      </c>
      <c r="E214" s="1039">
        <f>IF(AND(A24&gt;=$B$2,A24&lt;=$B$4),_xlfn.XLOOKUP(A214,'VMT Reduction Supporting'!$A:$A,'VMT Reduction Supporting'!$F:$F,,0),0)</f>
        <v>24395.438602986567</v>
      </c>
      <c r="F214" s="1040">
        <f t="shared" si="88"/>
        <v>1.1602827349242207E-5</v>
      </c>
      <c r="G214" s="1040">
        <f t="shared" si="89"/>
        <v>1.5857197377297679E-4</v>
      </c>
      <c r="H214" s="1041">
        <f>IF(AND($A214&gt;=MIN('Major Assumption Key'!$B$4),$A214&lt;=MAX('Major Assumption Key'!$B$6)),G214-F214,0)</f>
        <v>1.4696914642373457E-4</v>
      </c>
      <c r="I214" s="1038">
        <f>IF(AND(A24&gt;=$B$2,A24&lt;=$B$4),_xlfn.XLOOKUP(A214,'VMT Reduction Supporting'!$A:$A,'VMT Reduction Supporting'!$B:$B,,0),0)</f>
        <v>25882.965347071113</v>
      </c>
      <c r="J214" s="1042">
        <f>IF(AND(A24&gt;=$B$2,A24&lt;=$B$4),_xlfn.XLOOKUP(A214,'VMT Reduction Supporting'!$A:$A,'VMT Reduction Supporting'!$E:$E,,0),0)</f>
        <v>26247.09093152381</v>
      </c>
      <c r="K214" s="1043">
        <f t="shared" si="90"/>
        <v>1.6824099656401192E-4</v>
      </c>
      <c r="L214" s="1043">
        <f t="shared" si="91"/>
        <v>1.7060783708561808E-4</v>
      </c>
      <c r="M214" s="1044">
        <f>IF(AND($A214&gt;=MIN('Major Assumption Key'!$B$4),$A214&lt;=MAX('Major Assumption Key'!$B$6)),L214-K214,0)</f>
        <v>2.366840521606157E-6</v>
      </c>
      <c r="N214" s="1038">
        <f>IF(AND(A24&gt;=$B$2,A24&lt;=$B$4),_xlfn.XLOOKUP(A214,'VMT Reduction Supporting'!$A:$A,'VMT Reduction Supporting'!$D:$D,,0),0)</f>
        <v>101526.31985911982</v>
      </c>
      <c r="O214" s="1042">
        <f>IF(AND(A24&gt;=$B$2,A24&lt;=$B$4),_xlfn.XLOOKUP(A214,'VMT Reduction Supporting'!$A:$A,'VMT Reduction Supporting'!$G:$G,,0),0)</f>
        <v>114623.21512094629</v>
      </c>
      <c r="P214" s="1045">
        <f t="shared" si="92"/>
        <v>2.0357935711943869E-2</v>
      </c>
      <c r="Q214" s="1045">
        <f t="shared" si="93"/>
        <v>2.2984109418784631E-2</v>
      </c>
      <c r="R214" s="1046">
        <f>IF(AND($A214&gt;=MIN('Major Assumption Key'!$B$4),$A214&lt;=MAX('Major Assumption Key'!$B$6)),Q214-P214,0)</f>
        <v>2.626173706840762E-3</v>
      </c>
      <c r="S214" s="1047" t="s">
        <v>1244</v>
      </c>
      <c r="T214" s="1079" t="s">
        <v>1244</v>
      </c>
      <c r="U214" s="1048">
        <v>0</v>
      </c>
    </row>
    <row r="215" spans="1:21" outlineLevel="1">
      <c r="A215" s="1036">
        <f t="shared" si="87"/>
        <v>2034</v>
      </c>
      <c r="B215" s="1037">
        <f t="shared" si="96"/>
        <v>6.038598668081565E-3</v>
      </c>
      <c r="C215" s="1037">
        <f t="shared" si="97"/>
        <v>0.18196914635894593</v>
      </c>
      <c r="D215" s="1038">
        <f>IF(AND(A25&gt;=$B$2,A25&lt;=$B$4),_xlfn.XLOOKUP(A215,'VMT Reduction Supporting'!$A:$A,'VMT Reduction Supporting'!$C:$C,,0),0)</f>
        <v>1811.3409758101511</v>
      </c>
      <c r="E215" s="1039">
        <f>IF(AND(A25&gt;=$B$2,A25&lt;=$B$4),_xlfn.XLOOKUP(A215,'VMT Reduction Supporting'!$A:$A,'VMT Reduction Supporting'!$F:$F,,0),0)</f>
        <v>24754.993336072057</v>
      </c>
      <c r="F215" s="1040">
        <f t="shared" si="88"/>
        <v>1.093796120396874E-5</v>
      </c>
      <c r="G215" s="1040">
        <f t="shared" si="89"/>
        <v>1.4948546978757273E-4</v>
      </c>
      <c r="H215" s="1041">
        <f>IF(AND($A215&gt;=MIN('Major Assumption Key'!$B$4),$A215&lt;=MAX('Major Assumption Key'!$B$6)),G215-F215,0)</f>
        <v>1.3854750858360398E-4</v>
      </c>
      <c r="I215" s="1038">
        <f>IF(AND(A25&gt;=$B$2,A25&lt;=$B$4),_xlfn.XLOOKUP(A215,'VMT Reduction Supporting'!$A:$A,'VMT Reduction Supporting'!$B:$B,,0),0)</f>
        <v>26264.444149247185</v>
      </c>
      <c r="J215" s="1042">
        <f>IF(AND(A25&gt;=$B$2,A25&lt;=$B$4),_xlfn.XLOOKUP(A215,'VMT Reduction Supporting'!$A:$A,'VMT Reduction Supporting'!$E:$E,,0),0)</f>
        <v>26629.001779520695</v>
      </c>
      <c r="K215" s="1043">
        <f t="shared" si="90"/>
        <v>1.586004374575467E-4</v>
      </c>
      <c r="L215" s="1043">
        <f t="shared" si="91"/>
        <v>1.6080185467815528E-4</v>
      </c>
      <c r="M215" s="1044">
        <f>IF(AND($A215&gt;=MIN('Major Assumption Key'!$B$4),$A215&lt;=MAX('Major Assumption Key'!$B$6)),L215-K215,0)</f>
        <v>2.2014172206085813E-6</v>
      </c>
      <c r="N215" s="1038">
        <f>IF(AND(A25&gt;=$B$2,A25&lt;=$B$4),_xlfn.XLOOKUP(A215,'VMT Reduction Supporting'!$A:$A,'VMT Reduction Supporting'!$D:$D,,0),0)</f>
        <v>101922.69148288181</v>
      </c>
      <c r="O215" s="1042">
        <f>IF(AND(A25&gt;=$B$2,A25&lt;=$B$4),_xlfn.XLOOKUP(A215,'VMT Reduction Supporting'!$A:$A,'VMT Reduction Supporting'!$G:$G,,0),0)</f>
        <v>115070.71868417358</v>
      </c>
      <c r="P215" s="1045">
        <f t="shared" si="92"/>
        <v>1.8546785163746211E-2</v>
      </c>
      <c r="Q215" s="1045">
        <f t="shared" si="93"/>
        <v>2.0939320449869476E-2</v>
      </c>
      <c r="R215" s="1046">
        <f>IF(AND($A215&gt;=MIN('Major Assumption Key'!$B$4),$A215&lt;=MAX('Major Assumption Key'!$B$6)),Q215-P215,0)</f>
        <v>2.3925352861232652E-3</v>
      </c>
      <c r="S215" s="1047" t="s">
        <v>1244</v>
      </c>
      <c r="T215" s="1079" t="s">
        <v>1244</v>
      </c>
      <c r="U215" s="1048">
        <v>0</v>
      </c>
    </row>
    <row r="216" spans="1:21" outlineLevel="1">
      <c r="A216" s="1036">
        <f t="shared" si="87"/>
        <v>2035</v>
      </c>
      <c r="B216" s="1037">
        <f t="shared" si="96"/>
        <v>5.609892413576738E-3</v>
      </c>
      <c r="C216" s="1037">
        <f t="shared" si="97"/>
        <v>0.16513549060258242</v>
      </c>
      <c r="D216" s="1038">
        <f>IF(AND(A26&gt;=$B$2,A26&lt;=$B$4),_xlfn.XLOOKUP(A216,'VMT Reduction Supporting'!$A:$A,'VMT Reduction Supporting'!$C:$C,,0),0)</f>
        <v>1838.0376149517199</v>
      </c>
      <c r="E216" s="1039">
        <f>IF(AND(A26&gt;=$B$2,A26&lt;=$B$4),_xlfn.XLOOKUP(A216,'VMT Reduction Supporting'!$A:$A,'VMT Reduction Supporting'!$F:$F,,0),0)</f>
        <v>25119.847404340166</v>
      </c>
      <c r="F216" s="1040">
        <f t="shared" si="88"/>
        <v>1.0311193271986335E-5</v>
      </c>
      <c r="G216" s="1040">
        <f t="shared" si="89"/>
        <v>1.409196413838132E-4</v>
      </c>
      <c r="H216" s="1041">
        <f>IF(AND($A216&gt;=MIN('Major Assumption Key'!$B$4),$A216&lt;=MAX('Major Assumption Key'!$B$6)),G216-F216,0)</f>
        <v>1.3060844811182688E-4</v>
      </c>
      <c r="I216" s="1038">
        <f>IF(AND(A26&gt;=$B$2,A26&lt;=$B$4),_xlfn.XLOOKUP(A216,'VMT Reduction Supporting'!$A:$A,'VMT Reduction Supporting'!$B:$B,,0),0)</f>
        <v>26651.545416799934</v>
      </c>
      <c r="J216" s="1042">
        <f>IF(AND(A26&gt;=$B$2,A26&lt;=$B$4),_xlfn.XLOOKUP(A216,'VMT Reduction Supporting'!$A:$A,'VMT Reduction Supporting'!$E:$E,,0),0)</f>
        <v>27016.535605529451</v>
      </c>
      <c r="K216" s="1043">
        <f t="shared" si="90"/>
        <v>1.4951230244380186E-4</v>
      </c>
      <c r="L216" s="1043">
        <f t="shared" si="91"/>
        <v>1.5155985813458548E-4</v>
      </c>
      <c r="M216" s="1044">
        <f>IF(AND($A216&gt;=MIN('Major Assumption Key'!$B$4),$A216&lt;=MAX('Major Assumption Key'!$B$6)),L216-K216,0)</f>
        <v>2.0475556907836195E-6</v>
      </c>
      <c r="N216" s="1038">
        <f>IF(AND(A26&gt;=$B$2,A26&lt;=$B$4),_xlfn.XLOOKUP(A216,'VMT Reduction Supporting'!$A:$A,'VMT Reduction Supporting'!$D:$D,,0),0)</f>
        <v>102320.61059171314</v>
      </c>
      <c r="O216" s="1042">
        <f>IF(AND(A26&gt;=$B$2,A26&lt;=$B$4),_xlfn.XLOOKUP(A216,'VMT Reduction Supporting'!$A:$A,'VMT Reduction Supporting'!$G:$G,,0),0)</f>
        <v>115519.96935804414</v>
      </c>
      <c r="P216" s="1045">
        <f t="shared" si="92"/>
        <v>1.6896764228818341E-2</v>
      </c>
      <c r="Q216" s="1045">
        <f t="shared" si="93"/>
        <v>1.9076446814335908E-2</v>
      </c>
      <c r="R216" s="1046">
        <f>IF(AND($A216&gt;=MIN('Major Assumption Key'!$B$4),$A216&lt;=MAX('Major Assumption Key'!$B$6)),Q216-P216,0)</f>
        <v>2.1796825855175672E-3</v>
      </c>
      <c r="S216" s="1047" t="s">
        <v>1244</v>
      </c>
      <c r="T216" s="1079" t="s">
        <v>1244</v>
      </c>
      <c r="U216" s="1048">
        <v>0</v>
      </c>
    </row>
    <row r="217" spans="1:21" outlineLevel="1">
      <c r="A217" s="1036">
        <f t="shared" si="87"/>
        <v>2036</v>
      </c>
      <c r="B217" s="1037">
        <f t="shared" si="96"/>
        <v>5.2116218715200684E-3</v>
      </c>
      <c r="C217" s="1037">
        <f t="shared" si="97"/>
        <v>0.14985908766513789</v>
      </c>
      <c r="D217" s="1038">
        <f>IF(AND(A27&gt;=$B$2,A27&lt;=$B$4),_xlfn.XLOOKUP(A217,'VMT Reduction Supporting'!$A:$A,'VMT Reduction Supporting'!$C:$C,,0),0)</f>
        <v>1865.1277253121111</v>
      </c>
      <c r="E217" s="1039">
        <f>IF(AND(A27&gt;=$B$2,A27&lt;=$B$4),_xlfn.XLOOKUP(A217,'VMT Reduction Supporting'!$A:$A,'VMT Reduction Supporting'!$F:$F,,0),0)</f>
        <v>25490.078912598849</v>
      </c>
      <c r="F217" s="1040">
        <f t="shared" si="88"/>
        <v>9.7203404464150727E-6</v>
      </c>
      <c r="G217" s="1040">
        <f t="shared" si="89"/>
        <v>1.3284465276767264E-4</v>
      </c>
      <c r="H217" s="1041">
        <f>IF(AND($A217&gt;=MIN('Major Assumption Key'!$B$4),$A217&lt;=MAX('Major Assumption Key'!$B$6)),G217-F217,0)</f>
        <v>1.2312431232125757E-4</v>
      </c>
      <c r="I217" s="1038">
        <f>IF(AND(A27&gt;=$B$2,A27&lt;=$B$4),_xlfn.XLOOKUP(A217,'VMT Reduction Supporting'!$A:$A,'VMT Reduction Supporting'!$B:$B,,0),0)</f>
        <v>27044.352017025605</v>
      </c>
      <c r="J217" s="1042">
        <f>IF(AND(A27&gt;=$B$2,A27&lt;=$B$4),_xlfn.XLOOKUP(A217,'VMT Reduction Supporting'!$A:$A,'VMT Reduction Supporting'!$E:$E,,0),0)</f>
        <v>27409.775277454592</v>
      </c>
      <c r="K217" s="1043">
        <f t="shared" si="90"/>
        <v>1.4094493647301851E-4</v>
      </c>
      <c r="L217" s="1043">
        <f t="shared" si="91"/>
        <v>1.4284938432943242E-4</v>
      </c>
      <c r="M217" s="1044">
        <f>IF(AND($A217&gt;=MIN('Major Assumption Key'!$B$4),$A217&lt;=MAX('Major Assumption Key'!$B$6)),L217-K217,0)</f>
        <v>1.9044478564139017E-6</v>
      </c>
      <c r="N217" s="1038">
        <f>IF(AND(A27&gt;=$B$2,A27&lt;=$B$4),_xlfn.XLOOKUP(A217,'VMT Reduction Supporting'!$A:$A,'VMT Reduction Supporting'!$D:$D,,0),0)</f>
        <v>102720.08322719164</v>
      </c>
      <c r="O217" s="1042">
        <f>IF(AND(A27&gt;=$B$2,A27&lt;=$B$4),_xlfn.XLOOKUP(A217,'VMT Reduction Supporting'!$A:$A,'VMT Reduction Supporting'!$G:$G,,0),0)</f>
        <v>115970.97396349937</v>
      </c>
      <c r="P217" s="1045">
        <f t="shared" si="92"/>
        <v>1.5393537957313973E-2</v>
      </c>
      <c r="Q217" s="1045">
        <f t="shared" si="93"/>
        <v>1.7379304353807478E-2</v>
      </c>
      <c r="R217" s="1046">
        <f>IF(AND($A217&gt;=MIN('Major Assumption Key'!$B$4),$A217&lt;=MAX('Major Assumption Key'!$B$6)),Q217-P217,0)</f>
        <v>1.9857663964935046E-3</v>
      </c>
      <c r="S217" s="1047" t="s">
        <v>1244</v>
      </c>
      <c r="T217" s="1079" t="s">
        <v>1244</v>
      </c>
      <c r="U217" s="1048">
        <v>0</v>
      </c>
    </row>
    <row r="218" spans="1:21" outlineLevel="1">
      <c r="A218" s="1036">
        <f t="shared" si="87"/>
        <v>2037</v>
      </c>
      <c r="B218" s="1037">
        <f t="shared" si="96"/>
        <v>4.8416262789590849E-3</v>
      </c>
      <c r="C218" s="1037">
        <f t="shared" si="97"/>
        <v>0.13599587874101901</v>
      </c>
      <c r="D218" s="1038">
        <f>IF(AND(A28&gt;=$B$2,A28&lt;=$B$4),_xlfn.XLOOKUP(A218,'VMT Reduction Supporting'!$A:$A,'VMT Reduction Supporting'!$C:$C,,0),0)</f>
        <v>1892.6171061081936</v>
      </c>
      <c r="E218" s="1039">
        <f>IF(AND(A28&gt;=$B$2,A28&lt;=$B$4),_xlfn.XLOOKUP(A218,'VMT Reduction Supporting'!$A:$A,'VMT Reduction Supporting'!$F:$F,,0),0)</f>
        <v>25865.76711681197</v>
      </c>
      <c r="F218" s="1040">
        <f t="shared" si="88"/>
        <v>9.163344716940924E-6</v>
      </c>
      <c r="G218" s="1040">
        <f t="shared" si="89"/>
        <v>1.252323777981926E-4</v>
      </c>
      <c r="H218" s="1041">
        <f>IF(AND($A218&gt;=MIN('Major Assumption Key'!$B$4),$A218&lt;=MAX('Major Assumption Key'!$B$6)),G218-F218,0)</f>
        <v>1.1606903308125168E-4</v>
      </c>
      <c r="I218" s="1038">
        <f>IF(AND(A28&gt;=$B$2,A28&lt;=$B$4),_xlfn.XLOOKUP(A218,'VMT Reduction Supporting'!$A:$A,'VMT Reduction Supporting'!$B:$B,,0),0)</f>
        <v>27442.948038568797</v>
      </c>
      <c r="J218" s="1042">
        <f>IF(AND(A28&gt;=$B$2,A28&lt;=$B$4),_xlfn.XLOOKUP(A218,'VMT Reduction Supporting'!$A:$A,'VMT Reduction Supporting'!$E:$E,,0),0)</f>
        <v>27808.804884549685</v>
      </c>
      <c r="K218" s="1043">
        <f t="shared" si="90"/>
        <v>1.3286849839564338E-4</v>
      </c>
      <c r="L218" s="1043">
        <f t="shared" si="91"/>
        <v>1.3463984051548152E-4</v>
      </c>
      <c r="M218" s="1044">
        <f>IF(AND($A218&gt;=MIN('Major Assumption Key'!$B$4),$A218&lt;=MAX('Major Assumption Key'!$B$6)),L218-K218,0)</f>
        <v>1.7713421198381496E-6</v>
      </c>
      <c r="N218" s="1038">
        <f>IF(AND(A28&gt;=$B$2,A28&lt;=$B$4),_xlfn.XLOOKUP(A218,'VMT Reduction Supporting'!$A:$A,'VMT Reduction Supporting'!$D:$D,,0),0)</f>
        <v>103121.11545448234</v>
      </c>
      <c r="O218" s="1042">
        <f>IF(AND(A28&gt;=$B$2,A28&lt;=$B$4),_xlfn.XLOOKUP(A218,'VMT Reduction Supporting'!$A:$A,'VMT Reduction Supporting'!$G:$G,,0),0)</f>
        <v>116423.73934811057</v>
      </c>
      <c r="P218" s="1045">
        <f t="shared" si="92"/>
        <v>1.4024046712986401E-2</v>
      </c>
      <c r="Q218" s="1045">
        <f t="shared" si="93"/>
        <v>1.5833148738961647E-2</v>
      </c>
      <c r="R218" s="1046">
        <f>IF(AND($A218&gt;=MIN('Major Assumption Key'!$B$4),$A218&lt;=MAX('Major Assumption Key'!$B$6)),Q218-P218,0)</f>
        <v>1.8091020259752462E-3</v>
      </c>
      <c r="S218" s="1047" t="s">
        <v>1244</v>
      </c>
      <c r="T218" s="1079" t="s">
        <v>1244</v>
      </c>
      <c r="U218" s="1048">
        <v>0</v>
      </c>
    </row>
    <row r="219" spans="1:21" outlineLevel="1">
      <c r="A219" s="1036">
        <f t="shared" si="87"/>
        <v>2038</v>
      </c>
      <c r="B219" s="1037">
        <f t="shared" si="96"/>
        <v>4.4978982748550946E-3</v>
      </c>
      <c r="C219" s="1037">
        <f t="shared" si="97"/>
        <v>0.12341513165934254</v>
      </c>
      <c r="D219" s="1038">
        <f>IF(AND(A29&gt;=$B$2,A29&lt;=$B$4),_xlfn.XLOOKUP(A219,'VMT Reduction Supporting'!$A:$A,'VMT Reduction Supporting'!$C:$C,,0),0)</f>
        <v>1920.511642029202</v>
      </c>
      <c r="E219" s="1039">
        <f>IF(AND(A29&gt;=$B$2,A29&lt;=$B$4),_xlfn.XLOOKUP(A219,'VMT Reduction Supporting'!$A:$A,'VMT Reduction Supporting'!$F:$F,,0),0)</f>
        <v>26246.992441065755</v>
      </c>
      <c r="F219" s="1040">
        <f t="shared" si="88"/>
        <v>8.6382660015222726E-6</v>
      </c>
      <c r="G219" s="1040">
        <f t="shared" si="89"/>
        <v>1.1805630202080437E-4</v>
      </c>
      <c r="H219" s="1041">
        <f>IF(AND($A219&gt;=MIN('Major Assumption Key'!$B$4),$A219&lt;=MAX('Major Assumption Key'!$B$6)),G219-F219,0)</f>
        <v>1.094180360192821E-4</v>
      </c>
      <c r="I219" s="1038">
        <f>IF(AND(A29&gt;=$B$2,A29&lt;=$B$4),_xlfn.XLOOKUP(A219,'VMT Reduction Supporting'!$A:$A,'VMT Reduction Supporting'!$B:$B,,0),0)</f>
        <v>27847.41880942342</v>
      </c>
      <c r="J219" s="1042">
        <f>IF(AND(A29&gt;=$B$2,A29&lt;=$B$4),_xlfn.XLOOKUP(A219,'VMT Reduction Supporting'!$A:$A,'VMT Reduction Supporting'!$E:$E,,0),0)</f>
        <v>28213.709755418346</v>
      </c>
      <c r="K219" s="1043">
        <f t="shared" si="90"/>
        <v>1.252548570220729E-4</v>
      </c>
      <c r="L219" s="1043">
        <f t="shared" si="91"/>
        <v>1.2690239643615853E-4</v>
      </c>
      <c r="M219" s="1044">
        <f>IF(AND($A219&gt;=MIN('Major Assumption Key'!$B$4),$A219&lt;=MAX('Major Assumption Key'!$B$6)),L219-K219,0)</f>
        <v>1.6475394140856299E-6</v>
      </c>
      <c r="N219" s="1038">
        <f>IF(AND(A29&gt;=$B$2,A29&lt;=$B$4),_xlfn.XLOOKUP(A219,'VMT Reduction Supporting'!$A:$A,'VMT Reduction Supporting'!$D:$D,,0),0)</f>
        <v>103523.71336242935</v>
      </c>
      <c r="O219" s="1042">
        <f>IF(AND(A29&gt;=$B$2,A29&lt;=$B$4),_xlfn.XLOOKUP(A219,'VMT Reduction Supporting'!$A:$A,'VMT Reduction Supporting'!$G:$G,,0),0)</f>
        <v>116878.27238618277</v>
      </c>
      <c r="P219" s="1045">
        <f t="shared" si="92"/>
        <v>1.2776392714488256E-2</v>
      </c>
      <c r="Q219" s="1045">
        <f t="shared" si="93"/>
        <v>1.4424547374657246E-2</v>
      </c>
      <c r="R219" s="1046">
        <f>IF(AND($A219&gt;=MIN('Major Assumption Key'!$B$4),$A219&lt;=MAX('Major Assumption Key'!$B$6)),Q219-P219,0)</f>
        <v>1.6481546601689896E-3</v>
      </c>
      <c r="S219" s="1047" t="s">
        <v>1244</v>
      </c>
      <c r="T219" s="1079" t="s">
        <v>1244</v>
      </c>
      <c r="U219" s="1048">
        <v>0</v>
      </c>
    </row>
    <row r="220" spans="1:21" outlineLevel="1">
      <c r="A220" s="1036">
        <f t="shared" si="87"/>
        <v>2039</v>
      </c>
      <c r="B220" s="1037">
        <f t="shared" si="96"/>
        <v>4.1785730094174005E-3</v>
      </c>
      <c r="C220" s="1037">
        <f t="shared" si="97"/>
        <v>0.11199820805965936</v>
      </c>
      <c r="D220" s="1038">
        <f>IF(AND(A30&gt;=$B$2,A30&lt;=$B$4),_xlfn.XLOOKUP(A220,'VMT Reduction Supporting'!$A:$A,'VMT Reduction Supporting'!$C:$C,,0),0)</f>
        <v>1948.8173044964817</v>
      </c>
      <c r="E220" s="1039">
        <f>IF(AND(A30&gt;=$B$2,A30&lt;=$B$4),_xlfn.XLOOKUP(A220,'VMT Reduction Supporting'!$A:$A,'VMT Reduction Supporting'!$F:$F,,0),0)</f>
        <v>26633.83649478525</v>
      </c>
      <c r="F220" s="1040">
        <f t="shared" si="88"/>
        <v>8.1432753888545712E-6</v>
      </c>
      <c r="G220" s="1040">
        <f t="shared" si="89"/>
        <v>1.1129143031434579E-4</v>
      </c>
      <c r="H220" s="1041">
        <f>IF(AND($A220&gt;=MIN('Major Assumption Key'!$B$4),$A220&lt;=MAX('Major Assumption Key'!$B$6)),G220-F220,0)</f>
        <v>1.0314815492549121E-4</v>
      </c>
      <c r="I220" s="1038">
        <f>IF(AND(A30&gt;=$B$2,A30&lt;=$B$4),_xlfn.XLOOKUP(A220,'VMT Reduction Supporting'!$A:$A,'VMT Reduction Supporting'!$B:$B,,0),0)</f>
        <v>28257.850915198978</v>
      </c>
      <c r="J220" s="1042">
        <f>IF(AND(A30&gt;=$B$2,A30&lt;=$B$4),_xlfn.XLOOKUP(A220,'VMT Reduction Supporting'!$A:$A,'VMT Reduction Supporting'!$E:$E,,0),0)</f>
        <v>28624.576476280497</v>
      </c>
      <c r="K220" s="1043">
        <f t="shared" si="90"/>
        <v>1.1807749313839125E-4</v>
      </c>
      <c r="L220" s="1043">
        <f t="shared" si="91"/>
        <v>1.1960988266978992E-4</v>
      </c>
      <c r="M220" s="1044">
        <f>IF(AND($A220&gt;=MIN('Major Assumption Key'!$B$4),$A220&lt;=MAX('Major Assumption Key'!$B$6)),L220-K220,0)</f>
        <v>1.5323895313986715E-6</v>
      </c>
      <c r="N220" s="1038">
        <f>IF(AND(A30&gt;=$B$2,A30&lt;=$B$4),_xlfn.XLOOKUP(A220,'VMT Reduction Supporting'!$A:$A,'VMT Reduction Supporting'!$D:$D,,0),0)</f>
        <v>103927.88306364848</v>
      </c>
      <c r="O220" s="1042">
        <f>IF(AND(A30&gt;=$B$2,A30&lt;=$B$4),_xlfn.XLOOKUP(A220,'VMT Reduction Supporting'!$A:$A,'VMT Reduction Supporting'!$G:$G,,0),0)</f>
        <v>117334.57997885915</v>
      </c>
      <c r="P220" s="1045">
        <f t="shared" si="92"/>
        <v>1.1639736670562451E-2</v>
      </c>
      <c r="Q220" s="1045">
        <f t="shared" si="93"/>
        <v>1.3141262701065009E-2</v>
      </c>
      <c r="R220" s="1046">
        <f>IF(AND($A220&gt;=MIN('Major Assumption Key'!$B$4),$A220&lt;=MAX('Major Assumption Key'!$B$6)),Q220-P220,0)</f>
        <v>1.5015260305025584E-3</v>
      </c>
      <c r="S220" s="1047" t="s">
        <v>1244</v>
      </c>
      <c r="T220" s="1079" t="s">
        <v>1244</v>
      </c>
      <c r="U220" s="1048">
        <v>0</v>
      </c>
    </row>
    <row r="221" spans="1:21" outlineLevel="1">
      <c r="A221" s="1036">
        <f t="shared" si="87"/>
        <v>2040</v>
      </c>
      <c r="B221" s="1078">
        <f>VLOOKUP($B$5,'Emission Factors'!$O$5:$T$21,5,FALSE)</f>
        <v>3.8819180266130193E-3</v>
      </c>
      <c r="C221" s="1078">
        <f>VLOOKUP($B$6,'Emission Factors'!$O$28:$T$44,5,FALSE)</f>
        <v>0.10163744461415235</v>
      </c>
      <c r="D221" s="1038">
        <f>IF(AND(A31&gt;=$B$2,A31&lt;=$B$4),_xlfn.XLOOKUP(A221,'VMT Reduction Supporting'!$A:$A,'VMT Reduction Supporting'!$C:$C,,0),0)</f>
        <v>1977.5401529417989</v>
      </c>
      <c r="E221" s="1039">
        <f>IF(AND(A31&gt;=$B$2,A31&lt;=$B$4),_xlfn.XLOOKUP(A221,'VMT Reduction Supporting'!$A:$A,'VMT Reduction Supporting'!$F:$F,,0),0)</f>
        <v>27026.382090204577</v>
      </c>
      <c r="F221" s="1040">
        <f t="shared" si="88"/>
        <v>7.6766487680558358E-6</v>
      </c>
      <c r="G221" s="1040">
        <f t="shared" si="89"/>
        <v>1.049141998300964E-4</v>
      </c>
      <c r="H221" s="1041">
        <f>IF(AND($A221&gt;=MIN('Major Assumption Key'!$B$4),$A221&lt;=MAX('Major Assumption Key'!$B$6)),G221-F221,0)</f>
        <v>9.7237551062040567E-5</v>
      </c>
      <c r="I221" s="1038">
        <f>IF(AND(A31&gt;=$B$2,A31&lt;=$B$4),_xlfn.XLOOKUP(A221,'VMT Reduction Supporting'!$A:$A,'VMT Reduction Supporting'!$B:$B,,0),0)</f>
        <v>28674.332217656076</v>
      </c>
      <c r="J221" s="1042">
        <f>IF(AND(A31&gt;=$B$2,A31&lt;=$B$4),_xlfn.XLOOKUP(A221,'VMT Reduction Supporting'!$A:$A,'VMT Reduction Supporting'!$E:$E,,0),0)</f>
        <v>29041.492909507902</v>
      </c>
      <c r="K221" s="1043">
        <f t="shared" si="90"/>
        <v>1.113114071368096E-4</v>
      </c>
      <c r="L221" s="1043">
        <f t="shared" si="91"/>
        <v>1.1273669484517291E-4</v>
      </c>
      <c r="M221" s="1044">
        <f>IF(AND($A221&gt;=MIN('Major Assumption Key'!$B$4),$A221&lt;=MAX('Major Assumption Key'!$B$6)),L221-K221,0)</f>
        <v>1.4252877083633124E-6</v>
      </c>
      <c r="N221" s="1038">
        <f>IF(AND(A31&gt;=$B$2,A31&lt;=$B$4),_xlfn.XLOOKUP(A221,'VMT Reduction Supporting'!$A:$A,'VMT Reduction Supporting'!$D:$D,,0),0)</f>
        <v>104333.63069461992</v>
      </c>
      <c r="O221" s="1042">
        <f>IF(AND(A31&gt;=$B$2,A31&lt;=$B$4),_xlfn.XLOOKUP(A221,'VMT Reduction Supporting'!$A:$A,'VMT Reduction Supporting'!$G:$G,,0),0)</f>
        <v>117792.66905422589</v>
      </c>
      <c r="P221" s="1045">
        <f t="shared" si="92"/>
        <v>1.0604203611117857E-2</v>
      </c>
      <c r="Q221" s="1045">
        <f t="shared" si="93"/>
        <v>1.1972145876952061E-2</v>
      </c>
      <c r="R221" s="1046">
        <f>IF(AND($A221&gt;=MIN('Major Assumption Key'!$B$4),$A221&lt;=MAX('Major Assumption Key'!$B$6)),Q221-P221,0)</f>
        <v>1.3679422658342041E-3</v>
      </c>
      <c r="S221" s="1047" t="s">
        <v>1244</v>
      </c>
      <c r="T221" s="1079" t="s">
        <v>1244</v>
      </c>
      <c r="U221" s="1048">
        <v>0</v>
      </c>
    </row>
    <row r="222" spans="1:21" outlineLevel="1">
      <c r="A222" s="1036">
        <f t="shared" si="87"/>
        <v>2041</v>
      </c>
      <c r="B222" s="1037">
        <f>$B$226*(($B$221/$B$226)^(1/($A$221-$A$226))^(A222-$A$226))</f>
        <v>3.833916318978428E-3</v>
      </c>
      <c r="C222" s="1037">
        <f>$C$226*(($C$221/$C$226)^(1/($A$221-$A$226))^(A222-$A$226))</f>
        <v>0.10161220952710386</v>
      </c>
      <c r="D222" s="1038">
        <f>IF(AND(A32&gt;=$B$2,A32&lt;=$B$4),_xlfn.XLOOKUP(A222,'VMT Reduction Supporting'!$A:$A,'VMT Reduction Supporting'!$C:$C,,0),0)</f>
        <v>2006.68633610449</v>
      </c>
      <c r="E222" s="1039">
        <f>IF(AND(A32&gt;=$B$2,A32&lt;=$B$4),_xlfn.XLOOKUP(A222,'VMT Reduction Supporting'!$A:$A,'VMT Reduction Supporting'!$F:$F,,0),0)</f>
        <v>27424.713260094686</v>
      </c>
      <c r="F222" s="1040">
        <f t="shared" si="88"/>
        <v>7.693467491062035E-6</v>
      </c>
      <c r="G222" s="1040">
        <f t="shared" si="89"/>
        <v>1.0514405571118111E-4</v>
      </c>
      <c r="H222" s="1041">
        <f>IF(AND($A222&gt;=MIN('Major Assumption Key'!$B$4),$A222&lt;=MAX('Major Assumption Key'!$B$6)),G222-F222,0)</f>
        <v>9.7450588220119067E-5</v>
      </c>
      <c r="I222" s="1038">
        <f>IF(AND(A32&gt;=$B$2,A32&lt;=$B$4),_xlfn.XLOOKUP(A222,'VMT Reduction Supporting'!$A:$A,'VMT Reduction Supporting'!$B:$B,,0),0)</f>
        <v>29096.9518735151</v>
      </c>
      <c r="J222" s="1042">
        <f>IF(AND(A32&gt;=$B$2,A32&lt;=$B$4),_xlfn.XLOOKUP(A222,'VMT Reduction Supporting'!$A:$A,'VMT Reduction Supporting'!$E:$E,,0),0)</f>
        <v>29464.548212432808</v>
      </c>
      <c r="K222" s="1043">
        <f t="shared" si="90"/>
        <v>1.115552786203995E-4</v>
      </c>
      <c r="L222" s="1043">
        <f t="shared" si="91"/>
        <v>1.1296461222297282E-4</v>
      </c>
      <c r="M222" s="1044">
        <f>IF(AND($A222&gt;=MIN('Major Assumption Key'!$B$4),$A222&lt;=MAX('Major Assumption Key'!$B$6)),L222-K222,0)</f>
        <v>1.4093336025733269E-6</v>
      </c>
      <c r="N222" s="1038">
        <f>IF(AND(A32&gt;=$B$2,A32&lt;=$B$4),_xlfn.XLOOKUP(A222,'VMT Reduction Supporting'!$A:$A,'VMT Reduction Supporting'!$D:$D,,0),0)</f>
        <v>104740.96241578144</v>
      </c>
      <c r="O222" s="1042">
        <f>IF(AND(A32&gt;=$B$2,A32&lt;=$B$4),_xlfn.XLOOKUP(A222,'VMT Reduction Supporting'!$A:$A,'VMT Reduction Supporting'!$G:$G,,0),0)</f>
        <v>118252.54656741727</v>
      </c>
      <c r="P222" s="1045">
        <f t="shared" si="92"/>
        <v>1.0642960619062893E-2</v>
      </c>
      <c r="Q222" s="1045">
        <f t="shared" si="93"/>
        <v>1.201590253892201E-2</v>
      </c>
      <c r="R222" s="1046">
        <f>IF(AND($A222&gt;=MIN('Major Assumption Key'!$B$4),$A222&lt;=MAX('Major Assumption Key'!$B$6)),Q222-P222,0)</f>
        <v>1.3729419198591167E-3</v>
      </c>
      <c r="S222" s="1047" t="s">
        <v>1244</v>
      </c>
      <c r="T222" s="1079" t="s">
        <v>1244</v>
      </c>
      <c r="U222" s="1048">
        <v>0</v>
      </c>
    </row>
    <row r="223" spans="1:21" outlineLevel="1">
      <c r="A223" s="1036">
        <f t="shared" si="87"/>
        <v>2042</v>
      </c>
      <c r="B223" s="1037">
        <f t="shared" ref="B223:B225" si="98">$B$226*(($B$221/$B$226)^(1/($A$221-$A$226))^(A223-$A$226))</f>
        <v>3.786508174608193E-3</v>
      </c>
      <c r="C223" s="1037">
        <f t="shared" ref="C223:C225" si="99">$C$226*(($C$221/$C$226)^(1/($A$221-$A$226))^(A223-$A$226))</f>
        <v>0.10158698070555736</v>
      </c>
      <c r="D223" s="1038">
        <f>IF(AND(A33&gt;=$B$2,A33&lt;=$B$4),_xlfn.XLOOKUP(A223,'VMT Reduction Supporting'!$A:$A,'VMT Reduction Supporting'!$C:$C,,0),0)</f>
        <v>2036.2620933477322</v>
      </c>
      <c r="E223" s="1039">
        <f>IF(AND(A33&gt;=$B$2,A33&lt;=$B$4),_xlfn.XLOOKUP(A223,'VMT Reduction Supporting'!$A:$A,'VMT Reduction Supporting'!$F:$F,,0),0)</f>
        <v>27828.91527575233</v>
      </c>
      <c r="F223" s="1040">
        <f t="shared" si="88"/>
        <v>7.7103230621059796E-6</v>
      </c>
      <c r="G223" s="1040">
        <f t="shared" si="89"/>
        <v>1.0537441518211502E-4</v>
      </c>
      <c r="H223" s="1041">
        <f>IF(AND($A223&gt;=MIN('Major Assumption Key'!$B$4),$A223&lt;=MAX('Major Assumption Key'!$B$6)),G223-F223,0)</f>
        <v>9.7664092120009041E-5</v>
      </c>
      <c r="I223" s="1038">
        <f>IF(AND(A33&gt;=$B$2,A33&lt;=$B$4),_xlfn.XLOOKUP(A223,'VMT Reduction Supporting'!$A:$A,'VMT Reduction Supporting'!$B:$B,,0),0)</f>
        <v>29525.800353542108</v>
      </c>
      <c r="J223" s="1042">
        <f>IF(AND(A33&gt;=$B$2,A33&lt;=$B$4),_xlfn.XLOOKUP(A223,'VMT Reduction Supporting'!$A:$A,'VMT Reduction Supporting'!$E:$E,,0),0)</f>
        <v>29893.832856433892</v>
      </c>
      <c r="K223" s="1043">
        <f t="shared" si="90"/>
        <v>1.1179968440053667E-4</v>
      </c>
      <c r="L223" s="1043">
        <f t="shared" si="91"/>
        <v>1.1319324248125793E-4</v>
      </c>
      <c r="M223" s="1044">
        <f>IF(AND($A223&gt;=MIN('Major Assumption Key'!$B$4),$A223&lt;=MAX('Major Assumption Key'!$B$6)),L223-K223,0)</f>
        <v>1.3935580807212622E-6</v>
      </c>
      <c r="N223" s="1038">
        <f>IF(AND(A33&gt;=$B$2,A33&lt;=$B$4),_xlfn.XLOOKUP(A223,'VMT Reduction Supporting'!$A:$A,'VMT Reduction Supporting'!$D:$D,,0),0)</f>
        <v>105149.884411622</v>
      </c>
      <c r="O223" s="1042">
        <f>IF(AND(A33&gt;=$B$2,A33&lt;=$B$4),_xlfn.XLOOKUP(A223,'VMT Reduction Supporting'!$A:$A,'VMT Reduction Supporting'!$G:$G,,0),0)</f>
        <v>118714.21950072126</v>
      </c>
      <c r="P223" s="1045">
        <f t="shared" si="92"/>
        <v>1.068185927891503E-2</v>
      </c>
      <c r="Q223" s="1045">
        <f t="shared" si="93"/>
        <v>1.2059819125895072E-2</v>
      </c>
      <c r="R223" s="1046">
        <f>IF(AND($A223&gt;=MIN('Major Assumption Key'!$B$4),$A223&lt;=MAX('Major Assumption Key'!$B$6)),Q223-P223,0)</f>
        <v>1.3779598469800414E-3</v>
      </c>
      <c r="S223" s="1047" t="s">
        <v>1244</v>
      </c>
      <c r="T223" s="1079" t="s">
        <v>1244</v>
      </c>
      <c r="U223" s="1048">
        <v>0</v>
      </c>
    </row>
    <row r="224" spans="1:21" outlineLevel="1">
      <c r="A224" s="1036">
        <f t="shared" si="87"/>
        <v>2043</v>
      </c>
      <c r="B224" s="1037">
        <f t="shared" si="98"/>
        <v>3.7396862538186608E-3</v>
      </c>
      <c r="C224" s="1037">
        <f t="shared" si="99"/>
        <v>0.1015617581479573</v>
      </c>
      <c r="D224" s="1038">
        <f>IF(AND(A34&gt;=$B$2,A34&lt;=$B$4),_xlfn.XLOOKUP(A224,'VMT Reduction Supporting'!$A:$A,'VMT Reduction Supporting'!$C:$C,,0),0)</f>
        <v>2066.273755994212</v>
      </c>
      <c r="E224" s="1039">
        <f>IF(AND(A34&gt;=$B$2,A34&lt;=$B$4),_xlfn.XLOOKUP(A224,'VMT Reduction Supporting'!$A:$A,'VMT Reduction Supporting'!$F:$F,,0),0)</f>
        <v>28239.074665254226</v>
      </c>
      <c r="F224" s="1040">
        <f t="shared" si="88"/>
        <v>7.7272155619178088E-6</v>
      </c>
      <c r="G224" s="1040">
        <f t="shared" si="89"/>
        <v>1.0560527934621003E-4</v>
      </c>
      <c r="H224" s="1041">
        <f>IF(AND($A224&gt;=MIN('Major Assumption Key'!$B$4),$A224&lt;=MAX('Major Assumption Key'!$B$6)),G224-F224,0)</f>
        <v>9.787806378429222E-5</v>
      </c>
      <c r="I224" s="1038">
        <f>IF(AND(A34&gt;=$B$2,A34&lt;=$B$4),_xlfn.XLOOKUP(A224,'VMT Reduction Supporting'!$A:$A,'VMT Reduction Supporting'!$B:$B,,0),0)</f>
        <v>29960.969461916065</v>
      </c>
      <c r="J224" s="1042">
        <f>IF(AND(A34&gt;=$B$2,A34&lt;=$B$4),_xlfn.XLOOKUP(A224,'VMT Reduction Supporting'!$A:$A,'VMT Reduction Supporting'!$E:$E,,0),0)</f>
        <v>30329.438646303432</v>
      </c>
      <c r="K224" s="1043">
        <f t="shared" si="90"/>
        <v>1.1204462564780819E-4</v>
      </c>
      <c r="L224" s="1043">
        <f t="shared" si="91"/>
        <v>1.1342258479161739E-4</v>
      </c>
      <c r="M224" s="1044">
        <f>IF(AND($A224&gt;=MIN('Major Assumption Key'!$B$4),$A224&lt;=MAX('Major Assumption Key'!$B$6)),L224-K224,0)</f>
        <v>1.3779591438092001E-6</v>
      </c>
      <c r="N224" s="1038">
        <f>IF(AND(A34&gt;=$B$2,A34&lt;=$B$4),_xlfn.XLOOKUP(A224,'VMT Reduction Supporting'!$A:$A,'VMT Reduction Supporting'!$D:$D,,0),0)</f>
        <v>105560.40289077553</v>
      </c>
      <c r="O224" s="1042">
        <f>IF(AND(A34&gt;=$B$2,A34&lt;=$B$4),_xlfn.XLOOKUP(A224,'VMT Reduction Supporting'!$A:$A,'VMT Reduction Supporting'!$G:$G,,0),0)</f>
        <v>119177.6948636856</v>
      </c>
      <c r="P224" s="1045">
        <f t="shared" si="92"/>
        <v>1.0720900108393876E-2</v>
      </c>
      <c r="Q224" s="1045">
        <f t="shared" si="93"/>
        <v>1.2103896222376691E-2</v>
      </c>
      <c r="R224" s="1046">
        <f>IF(AND($A224&gt;=MIN('Major Assumption Key'!$B$4),$A224&lt;=MAX('Major Assumption Key'!$B$6)),Q224-P224,0)</f>
        <v>1.3829961139828154E-3</v>
      </c>
      <c r="S224" s="1047" t="s">
        <v>1244</v>
      </c>
      <c r="T224" s="1079" t="s">
        <v>1244</v>
      </c>
      <c r="U224" s="1048">
        <v>0</v>
      </c>
    </row>
    <row r="225" spans="1:21" outlineLevel="1">
      <c r="A225" s="1036">
        <f t="shared" si="87"/>
        <v>2044</v>
      </c>
      <c r="B225" s="1037">
        <f t="shared" si="98"/>
        <v>3.6934433076847555E-3</v>
      </c>
      <c r="C225" s="1037">
        <f t="shared" si="99"/>
        <v>0.10153654185274839</v>
      </c>
      <c r="D225" s="1038">
        <f>IF(AND(A35&gt;=$B$2,A35&lt;=$B$4),_xlfn.XLOOKUP(A225,'VMT Reduction Supporting'!$A:$A,'VMT Reduction Supporting'!$C:$C,,0),0)</f>
        <v>2096.7277486814805</v>
      </c>
      <c r="E225" s="1039">
        <f>IF(AND(A35&gt;=$B$2,A35&lt;=$B$4),_xlfn.XLOOKUP(A225,'VMT Reduction Supporting'!$A:$A,'VMT Reduction Supporting'!$F:$F,,0),0)</f>
        <v>28655.279231980225</v>
      </c>
      <c r="F225" s="1040">
        <f t="shared" si="88"/>
        <v>7.7441450714045377E-6</v>
      </c>
      <c r="G225" s="1040">
        <f t="shared" si="89"/>
        <v>1.0583664930919533E-4</v>
      </c>
      <c r="H225" s="1041">
        <f>IF(AND($A225&gt;=MIN('Major Assumption Key'!$B$4),$A225&lt;=MAX('Major Assumption Key'!$B$6)),G225-F225,0)</f>
        <v>9.8092504237790786E-5</v>
      </c>
      <c r="I225" s="1038">
        <f>IF(AND(A35&gt;=$B$2,A35&lt;=$B$4),_xlfn.XLOOKUP(A225,'VMT Reduction Supporting'!$A:$A,'VMT Reduction Supporting'!$B:$B,,0),0)</f>
        <v>30402.552355881457</v>
      </c>
      <c r="J225" s="1042">
        <f>IF(AND(A35&gt;=$B$2,A35&lt;=$B$4),_xlfn.XLOOKUP(A225,'VMT Reduction Supporting'!$A:$A,'VMT Reduction Supporting'!$E:$E,,0),0)</f>
        <v>30771.458739899965</v>
      </c>
      <c r="K225" s="1043">
        <f t="shared" si="90"/>
        <v>1.1229010353536576E-4</v>
      </c>
      <c r="L225" s="1043">
        <f t="shared" si="91"/>
        <v>1.136526383505811E-4</v>
      </c>
      <c r="M225" s="1044">
        <f>IF(AND($A225&gt;=MIN('Major Assumption Key'!$B$4),$A225&lt;=MAX('Major Assumption Key'!$B$6)),L225-K225,0)</f>
        <v>1.3625348152153393E-6</v>
      </c>
      <c r="N225" s="1038">
        <f>IF(AND(A35&gt;=$B$2,A35&lt;=$B$4),_xlfn.XLOOKUP(A225,'VMT Reduction Supporting'!$A:$A,'VMT Reduction Supporting'!$D:$D,,0),0)</f>
        <v>105972.5240861153</v>
      </c>
      <c r="O225" s="1042">
        <f>IF(AND(A35&gt;=$B$2,A35&lt;=$B$4),_xlfn.XLOOKUP(A225,'VMT Reduction Supporting'!$A:$A,'VMT Reduction Supporting'!$G:$G,,0),0)</f>
        <v>119642.97969322419</v>
      </c>
      <c r="P225" s="1045">
        <f t="shared" si="92"/>
        <v>1.0760083627111233E-2</v>
      </c>
      <c r="Q225" s="1045">
        <f t="shared" si="93"/>
        <v>1.2148134415008584E-2</v>
      </c>
      <c r="R225" s="1046">
        <f>IF(AND($A225&gt;=MIN('Major Assumption Key'!$B$4),$A225&lt;=MAX('Major Assumption Key'!$B$6)),Q225-P225,0)</f>
        <v>1.3880507878973516E-3</v>
      </c>
      <c r="S225" s="1047" t="s">
        <v>1244</v>
      </c>
      <c r="T225" s="1079" t="s">
        <v>1244</v>
      </c>
      <c r="U225" s="1048">
        <v>0</v>
      </c>
    </row>
    <row r="226" spans="1:21" outlineLevel="1">
      <c r="A226" s="1036">
        <f t="shared" si="87"/>
        <v>2045</v>
      </c>
      <c r="B226" s="1078">
        <f>VLOOKUP($B$5,'Emission Factors'!$V$5:$AA$21,5,FALSE)</f>
        <v>3.6477721769177037E-3</v>
      </c>
      <c r="C226" s="1078">
        <f>VLOOKUP($B$6,'Emission Factors'!$V$28:$AA$44,5,FALSE)</f>
        <v>0.10151133181837584</v>
      </c>
      <c r="D226" s="1038">
        <f>IF(AND(A36&gt;=$B$2,A36&lt;=$B$4),_xlfn.XLOOKUP(A226,'VMT Reduction Supporting'!$A:$A,'VMT Reduction Supporting'!$C:$C,,0),0)</f>
        <v>2127.6305907372825</v>
      </c>
      <c r="E226" s="1039">
        <f>IF(AND(A36&gt;=$B$2,A36&lt;=$B$4),_xlfn.XLOOKUP(A226,'VMT Reduction Supporting'!$A:$A,'VMT Reduction Supporting'!$F:$F,,0),0)</f>
        <v>29077.618073409518</v>
      </c>
      <c r="F226" s="1040">
        <f t="shared" si="88"/>
        <v>7.7611116716504364E-6</v>
      </c>
      <c r="G226" s="1040">
        <f t="shared" si="89"/>
        <v>1.060685261792226E-4</v>
      </c>
      <c r="H226" s="1041">
        <f>IF(AND($A226&gt;=MIN('Major Assumption Key'!$B$4),$A226&lt;=MAX('Major Assumption Key'!$B$6)),G226-F226,0)</f>
        <v>9.8307414507572166E-5</v>
      </c>
      <c r="I226" s="1038">
        <f>IF(AND(A36&gt;=$B$2,A36&lt;=$B$4),_xlfn.XLOOKUP(A226,'VMT Reduction Supporting'!$A:$A,'VMT Reduction Supporting'!$B:$B,,0),0)</f>
        <v>30850.643565690589</v>
      </c>
      <c r="J226" s="1042">
        <f>IF(AND(A36&gt;=$B$2,A36&lt;=$B$4),_xlfn.XLOOKUP(A226,'VMT Reduction Supporting'!$A:$A,'VMT Reduction Supporting'!$E:$E,,0),0)</f>
        <v>31219.987668090587</v>
      </c>
      <c r="K226" s="1043">
        <f t="shared" si="90"/>
        <v>1.125361192389313E-4</v>
      </c>
      <c r="L226" s="1043">
        <f t="shared" si="91"/>
        <v>1.1388340237937466E-4</v>
      </c>
      <c r="M226" s="1044">
        <f>IF(AND($A226&gt;=MIN('Major Assumption Key'!$B$4),$A226&lt;=MAX('Major Assumption Key'!$B$6)),L226-K226,0)</f>
        <v>1.3472831404433549E-6</v>
      </c>
      <c r="N226" s="1038">
        <f>IF(AND(A36&gt;=$B$2,A36&lt;=$B$4),_xlfn.XLOOKUP(A226,'VMT Reduction Supporting'!$A:$A,'VMT Reduction Supporting'!$D:$D,,0),0)</f>
        <v>106386.25425484846</v>
      </c>
      <c r="O226" s="1042">
        <f>IF(AND(A36&gt;=$B$2,A36&lt;=$B$4),_xlfn.XLOOKUP(A226,'VMT Reduction Supporting'!$A:$A,'VMT Reduction Supporting'!$G:$G,,0),0)</f>
        <v>120110.08105372394</v>
      </c>
      <c r="P226" s="1045">
        <f t="shared" si="92"/>
        <v>1.0799410356578021E-2</v>
      </c>
      <c r="Q226" s="1045">
        <f t="shared" si="93"/>
        <v>1.2192534292576589E-2</v>
      </c>
      <c r="R226" s="1046">
        <f>IF(AND($A226&gt;=MIN('Major Assumption Key'!$B$4),$A226&lt;=MAX('Major Assumption Key'!$B$6)),Q226-P226,0)</f>
        <v>1.3931239359985682E-3</v>
      </c>
      <c r="S226" s="1047" t="s">
        <v>1244</v>
      </c>
      <c r="T226" s="1079" t="s">
        <v>1244</v>
      </c>
      <c r="U226" s="1048">
        <v>0</v>
      </c>
    </row>
    <row r="227" spans="1:21" outlineLevel="1">
      <c r="A227" s="1036">
        <f t="shared" si="87"/>
        <v>2046</v>
      </c>
      <c r="B227" s="1037">
        <f>$B$226*(($B$221/$B$226)^(1/($A$221-$A$226))^(A227-$A$226))</f>
        <v>3.6026657907566408E-3</v>
      </c>
      <c r="C227" s="1037">
        <f>$C$226*(($C$221/$C$226)^(1/($A$221-$A$226))^(A227-$A$226))</f>
        <v>0.10148612804328512</v>
      </c>
      <c r="D227" s="1038">
        <f>IF(AND(A37&gt;=$B$2,A37&lt;=$B$4),_xlfn.XLOOKUP(A227,'VMT Reduction Supporting'!$A:$A,'VMT Reduction Supporting'!$C:$C,,0),0)</f>
        <v>2158.9888975751605</v>
      </c>
      <c r="E227" s="1039">
        <f>IF(AND(A37&gt;=$B$2,A37&lt;=$B$4),_xlfn.XLOOKUP(A227,'VMT Reduction Supporting'!$A:$A,'VMT Reduction Supporting'!$F:$F,,0),0)</f>
        <v>29506.181600193853</v>
      </c>
      <c r="F227" s="1040">
        <f t="shared" si="88"/>
        <v>7.7781154439174234E-6</v>
      </c>
      <c r="G227" s="1040">
        <f t="shared" si="89"/>
        <v>1.0630091106687144E-4</v>
      </c>
      <c r="H227" s="1041">
        <f>IF(AND($A227&gt;=MIN('Major Assumption Key'!$B$4),$A227&lt;=MAX('Major Assumption Key'!$B$6)),G227-F227,0)</f>
        <v>9.8522795622954011E-5</v>
      </c>
      <c r="I227" s="1038">
        <f>IF(AND(A37&gt;=$B$2,A37&lt;=$B$4),_xlfn.XLOOKUP(A227,'VMT Reduction Supporting'!$A:$A,'VMT Reduction Supporting'!$B:$B,,0),0)</f>
        <v>31305.339014839818</v>
      </c>
      <c r="J227" s="1042">
        <f>IF(AND(A37&gt;=$B$2,A37&lt;=$B$4),_xlfn.XLOOKUP(A227,'VMT Reduction Supporting'!$A:$A,'VMT Reduction Supporting'!$E:$E,,0),0)</f>
        <v>31675.121354987172</v>
      </c>
      <c r="K227" s="1043">
        <f t="shared" si="90"/>
        <v>1.1278267393680261E-4</v>
      </c>
      <c r="L227" s="1043">
        <f t="shared" si="91"/>
        <v>1.1411487612367742E-4</v>
      </c>
      <c r="M227" s="1044">
        <f>IF(AND($A227&gt;=MIN('Major Assumption Key'!$B$4),$A227&lt;=MAX('Major Assumption Key'!$B$6)),L227-K227,0)</f>
        <v>1.332202186874807E-6</v>
      </c>
      <c r="N227" s="1038">
        <f>IF(AND(A37&gt;=$B$2,A37&lt;=$B$4),_xlfn.XLOOKUP(A227,'VMT Reduction Supporting'!$A:$A,'VMT Reduction Supporting'!$D:$D,,0),0)</f>
        <v>106801.59967861114</v>
      </c>
      <c r="O227" s="1042">
        <f>IF(AND(A37&gt;=$B$2,A37&lt;=$B$4),_xlfn.XLOOKUP(A227,'VMT Reduction Supporting'!$A:$A,'VMT Reduction Supporting'!$G:$G,,0),0)</f>
        <v>120579.00603715202</v>
      </c>
      <c r="P227" s="1045">
        <f t="shared" si="92"/>
        <v>1.0838880820211208E-2</v>
      </c>
      <c r="Q227" s="1045">
        <f t="shared" si="93"/>
        <v>1.2237096446018461E-2</v>
      </c>
      <c r="R227" s="1046">
        <f>IF(AND($A227&gt;=MIN('Major Assumption Key'!$B$4),$A227&lt;=MAX('Major Assumption Key'!$B$6)),Q227-P227,0)</f>
        <v>1.3982156258072528E-3</v>
      </c>
      <c r="S227" s="1047" t="s">
        <v>1244</v>
      </c>
      <c r="T227" s="1079" t="s">
        <v>1244</v>
      </c>
      <c r="U227" s="1048">
        <v>0</v>
      </c>
    </row>
    <row r="228" spans="1:21" outlineLevel="1">
      <c r="A228" s="1036">
        <f t="shared" si="87"/>
        <v>2047</v>
      </c>
      <c r="B228" s="1037">
        <f t="shared" ref="B228:B241" si="100">$B$226*(($B$221/$B$226)^(1/($A$221-$A$226))^(A228-$A$226))</f>
        <v>3.5581171658739231E-3</v>
      </c>
      <c r="C228" s="1037">
        <f t="shared" ref="C228:C241" si="101">$C$226*(($C$221/$C$226)^(1/($A$221-$A$226))^(A228-$A$226))</f>
        <v>0.10146093052592214</v>
      </c>
      <c r="D228" s="1038">
        <f>IF(AND(A38&gt;=$B$2,A38&lt;=$B$4),_xlfn.XLOOKUP(A228,'VMT Reduction Supporting'!$A:$A,'VMT Reduction Supporting'!$C:$C,,0),0)</f>
        <v>2190.809382110624</v>
      </c>
      <c r="E228" s="1039">
        <f>IF(AND(A38&gt;=$B$2,A38&lt;=$B$4),_xlfn.XLOOKUP(A228,'VMT Reduction Supporting'!$A:$A,'VMT Reduction Supporting'!$F:$F,,0),0)</f>
        <v>29941.061555511849</v>
      </c>
      <c r="F228" s="1040">
        <f t="shared" si="88"/>
        <v>7.7951564696454551E-6</v>
      </c>
      <c r="G228" s="1040">
        <f t="shared" si="89"/>
        <v>1.065338050851545E-4</v>
      </c>
      <c r="H228" s="1041">
        <f>IF(AND($A228&gt;=MIN('Major Assumption Key'!$B$4),$A228&lt;=MAX('Major Assumption Key'!$B$6)),G228-F228,0)</f>
        <v>9.8738648615509042E-5</v>
      </c>
      <c r="I228" s="1038">
        <f>IF(AND(A38&gt;=$B$2,A38&lt;=$B$4),_xlfn.XLOOKUP(A228,'VMT Reduction Supporting'!$A:$A,'VMT Reduction Supporting'!$B:$B,,0),0)</f>
        <v>31766.736040604035</v>
      </c>
      <c r="J228" s="1042">
        <f>IF(AND(A38&gt;=$B$2,A38&lt;=$B$4),_xlfn.XLOOKUP(A228,'VMT Reduction Supporting'!$A:$A,'VMT Reduction Supporting'!$E:$E,,0),0)</f>
        <v>32136.957138480837</v>
      </c>
      <c r="K228" s="1043">
        <f t="shared" si="90"/>
        <v>1.1302976880985904E-4</v>
      </c>
      <c r="L228" s="1043">
        <f t="shared" si="91"/>
        <v>1.1434705885338318E-4</v>
      </c>
      <c r="M228" s="1044">
        <f>IF(AND($A228&gt;=MIN('Major Assumption Key'!$B$4),$A228&lt;=MAX('Major Assumption Key'!$B$6)),L228-K228,0)</f>
        <v>1.3172900435241385E-6</v>
      </c>
      <c r="N228" s="1038">
        <f>IF(AND(A38&gt;=$B$2,A38&lt;=$B$4),_xlfn.XLOOKUP(A228,'VMT Reduction Supporting'!$A:$A,'VMT Reduction Supporting'!$D:$D,,0),0)</f>
        <v>107218.56666356375</v>
      </c>
      <c r="O228" s="1042">
        <f>IF(AND(A38&gt;=$B$2,A38&lt;=$B$4),_xlfn.XLOOKUP(A228,'VMT Reduction Supporting'!$A:$A,'VMT Reduction Supporting'!$G:$G,,0),0)</f>
        <v>121049.76176316351</v>
      </c>
      <c r="P228" s="1045">
        <f t="shared" si="92"/>
        <v>1.0878495543340794E-2</v>
      </c>
      <c r="Q228" s="1045">
        <f t="shared" si="93"/>
        <v>1.2281821468431759E-2</v>
      </c>
      <c r="R228" s="1046">
        <f>IF(AND($A228&gt;=MIN('Major Assumption Key'!$B$4),$A228&lt;=MAX('Major Assumption Key'!$B$6)),Q228-P228,0)</f>
        <v>1.4033259250909643E-3</v>
      </c>
      <c r="S228" s="1047" t="s">
        <v>1244</v>
      </c>
      <c r="T228" s="1079" t="s">
        <v>1244</v>
      </c>
      <c r="U228" s="1048">
        <v>0</v>
      </c>
    </row>
    <row r="229" spans="1:21" outlineLevel="1">
      <c r="A229" s="1036">
        <f t="shared" si="87"/>
        <v>2048</v>
      </c>
      <c r="B229" s="1037">
        <f t="shared" si="100"/>
        <v>3.5141194052939763E-3</v>
      </c>
      <c r="C229" s="1037">
        <f t="shared" si="101"/>
        <v>0.10143573926473323</v>
      </c>
      <c r="D229" s="1038">
        <f>IF(AND(A39&gt;=$B$2,A39&lt;=$B$4),_xlfn.XLOOKUP(A229,'VMT Reduction Supporting'!$A:$A,'VMT Reduction Supporting'!$C:$C,,0),0)</f>
        <v>0</v>
      </c>
      <c r="E229" s="1039">
        <f>IF(AND(A39&gt;=$B$2,A39&lt;=$B$4),_xlfn.XLOOKUP(A229,'VMT Reduction Supporting'!$A:$A,'VMT Reduction Supporting'!$F:$F,,0),0)</f>
        <v>0</v>
      </c>
      <c r="F229" s="1040">
        <f t="shared" si="88"/>
        <v>0</v>
      </c>
      <c r="G229" s="1040">
        <f t="shared" si="89"/>
        <v>0</v>
      </c>
      <c r="H229" s="1041">
        <f>IF(AND($A229&gt;=MIN('Major Assumption Key'!$B$4),$A229&lt;=MAX('Major Assumption Key'!$B$6)),G229-F229,0)</f>
        <v>0</v>
      </c>
      <c r="I229" s="1038">
        <f>IF(AND(A39&gt;=$B$2,A39&lt;=$B$4),_xlfn.XLOOKUP(A229,'VMT Reduction Supporting'!$A:$A,'VMT Reduction Supporting'!$B:$B,,0),0)</f>
        <v>0</v>
      </c>
      <c r="J229" s="1042">
        <f>IF(AND(A39&gt;=$B$2,A39&lt;=$B$4),_xlfn.XLOOKUP(A229,'VMT Reduction Supporting'!$A:$A,'VMT Reduction Supporting'!$E:$E,,0),0)</f>
        <v>0</v>
      </c>
      <c r="K229" s="1043">
        <f t="shared" si="90"/>
        <v>0</v>
      </c>
      <c r="L229" s="1043">
        <f t="shared" si="91"/>
        <v>0</v>
      </c>
      <c r="M229" s="1044">
        <f>IF(AND($A229&gt;=MIN('Major Assumption Key'!$B$4),$A229&lt;=MAX('Major Assumption Key'!$B$6)),L229-K229,0)</f>
        <v>0</v>
      </c>
      <c r="N229" s="1038">
        <f>IF(AND(A39&gt;=$B$2,A39&lt;=$B$4),_xlfn.XLOOKUP(A229,'VMT Reduction Supporting'!$A:$A,'VMT Reduction Supporting'!$D:$D,,0),0)</f>
        <v>0</v>
      </c>
      <c r="O229" s="1042">
        <f>IF(AND(A39&gt;=$B$2,A39&lt;=$B$4),_xlfn.XLOOKUP(A229,'VMT Reduction Supporting'!$A:$A,'VMT Reduction Supporting'!$G:$G,,0),0)</f>
        <v>0</v>
      </c>
      <c r="P229" s="1045">
        <f t="shared" si="92"/>
        <v>0</v>
      </c>
      <c r="Q229" s="1045">
        <f t="shared" si="93"/>
        <v>0</v>
      </c>
      <c r="R229" s="1046">
        <f>IF(AND($A229&gt;=MIN('Major Assumption Key'!$B$4),$A229&lt;=MAX('Major Assumption Key'!$B$6)),Q229-P229,0)</f>
        <v>0</v>
      </c>
      <c r="S229" s="1047" t="s">
        <v>1244</v>
      </c>
      <c r="T229" s="1079" t="s">
        <v>1244</v>
      </c>
      <c r="U229" s="1048">
        <v>0</v>
      </c>
    </row>
    <row r="230" spans="1:21" outlineLevel="1">
      <c r="A230" s="1036">
        <f t="shared" si="87"/>
        <v>2049</v>
      </c>
      <c r="B230" s="1037">
        <f t="shared" si="100"/>
        <v>3.4706656973255111E-3</v>
      </c>
      <c r="C230" s="1037">
        <f t="shared" si="101"/>
        <v>0.10141055425816506</v>
      </c>
      <c r="D230" s="1038">
        <f>IF(AND(A40&gt;=$B$2,A40&lt;=$B$4),_xlfn.XLOOKUP(A230,'VMT Reduction Supporting'!$A:$A,'VMT Reduction Supporting'!$C:$C,,0),0)</f>
        <v>0</v>
      </c>
      <c r="E230" s="1039">
        <f>IF(AND(A40&gt;=$B$2,A40&lt;=$B$4),_xlfn.XLOOKUP(A230,'VMT Reduction Supporting'!$A:$A,'VMT Reduction Supporting'!$F:$F,,0),0)</f>
        <v>0</v>
      </c>
      <c r="F230" s="1040">
        <f t="shared" si="88"/>
        <v>0</v>
      </c>
      <c r="G230" s="1040">
        <f t="shared" si="89"/>
        <v>0</v>
      </c>
      <c r="H230" s="1041">
        <f>IF(AND($A230&gt;=MIN('Major Assumption Key'!$B$4),$A230&lt;=MAX('Major Assumption Key'!$B$6)),G230-F230,0)</f>
        <v>0</v>
      </c>
      <c r="I230" s="1038">
        <f>IF(AND(A40&gt;=$B$2,A40&lt;=$B$4),_xlfn.XLOOKUP(A230,'VMT Reduction Supporting'!$A:$A,'VMT Reduction Supporting'!$B:$B,,0),0)</f>
        <v>0</v>
      </c>
      <c r="J230" s="1042">
        <f>IF(AND(A40&gt;=$B$2,A40&lt;=$B$4),_xlfn.XLOOKUP(A230,'VMT Reduction Supporting'!$A:$A,'VMT Reduction Supporting'!$E:$E,,0),0)</f>
        <v>0</v>
      </c>
      <c r="K230" s="1043">
        <f t="shared" si="90"/>
        <v>0</v>
      </c>
      <c r="L230" s="1043">
        <f t="shared" si="91"/>
        <v>0</v>
      </c>
      <c r="M230" s="1044">
        <f>IF(AND($A230&gt;=MIN('Major Assumption Key'!$B$4),$A230&lt;=MAX('Major Assumption Key'!$B$6)),L230-K230,0)</f>
        <v>0</v>
      </c>
      <c r="N230" s="1038">
        <f>IF(AND(A40&gt;=$B$2,A40&lt;=$B$4),_xlfn.XLOOKUP(A230,'VMT Reduction Supporting'!$A:$A,'VMT Reduction Supporting'!$D:$D,,0),0)</f>
        <v>0</v>
      </c>
      <c r="O230" s="1042">
        <f>IF(AND(A40&gt;=$B$2,A40&lt;=$B$4),_xlfn.XLOOKUP(A230,'VMT Reduction Supporting'!$A:$A,'VMT Reduction Supporting'!$G:$G,,0),0)</f>
        <v>0</v>
      </c>
      <c r="P230" s="1045">
        <f t="shared" si="92"/>
        <v>0</v>
      </c>
      <c r="Q230" s="1045">
        <f t="shared" si="93"/>
        <v>0</v>
      </c>
      <c r="R230" s="1046">
        <f>IF(AND($A230&gt;=MIN('Major Assumption Key'!$B$4),$A230&lt;=MAX('Major Assumption Key'!$B$6)),Q230-P230,0)</f>
        <v>0</v>
      </c>
      <c r="S230" s="1047" t="s">
        <v>1244</v>
      </c>
      <c r="T230" s="1079" t="s">
        <v>1244</v>
      </c>
      <c r="U230" s="1048">
        <v>0</v>
      </c>
    </row>
    <row r="231" spans="1:21" outlineLevel="1">
      <c r="A231" s="1036">
        <f t="shared" si="87"/>
        <v>2050</v>
      </c>
      <c r="B231" s="1037">
        <f t="shared" si="100"/>
        <v>3.4277493145069434E-3</v>
      </c>
      <c r="C231" s="1037">
        <f t="shared" si="101"/>
        <v>0.10138537550466471</v>
      </c>
      <c r="D231" s="1038">
        <f>IF(AND(A41&gt;=$B$2,A41&lt;=$B$4),_xlfn.XLOOKUP(A231,'VMT Reduction Supporting'!$A:$A,'VMT Reduction Supporting'!$C:$C,,0),0)</f>
        <v>0</v>
      </c>
      <c r="E231" s="1039">
        <f>IF(AND(A41&gt;=$B$2,A41&lt;=$B$4),_xlfn.XLOOKUP(A231,'VMT Reduction Supporting'!$A:$A,'VMT Reduction Supporting'!$F:$F,,0),0)</f>
        <v>0</v>
      </c>
      <c r="F231" s="1040">
        <f t="shared" si="88"/>
        <v>0</v>
      </c>
      <c r="G231" s="1040">
        <f t="shared" si="89"/>
        <v>0</v>
      </c>
      <c r="H231" s="1041">
        <f>IF(AND($A231&gt;=MIN('Major Assumption Key'!$B$4),$A231&lt;=MAX('Major Assumption Key'!$B$6)),G231-F231,0)</f>
        <v>0</v>
      </c>
      <c r="I231" s="1038">
        <f>IF(AND(A41&gt;=$B$2,A41&lt;=$B$4),_xlfn.XLOOKUP(A231,'VMT Reduction Supporting'!$A:$A,'VMT Reduction Supporting'!$B:$B,,0),0)</f>
        <v>0</v>
      </c>
      <c r="J231" s="1042">
        <f>IF(AND(A41&gt;=$B$2,A41&lt;=$B$4),_xlfn.XLOOKUP(A231,'VMT Reduction Supporting'!$A:$A,'VMT Reduction Supporting'!$E:$E,,0),0)</f>
        <v>0</v>
      </c>
      <c r="K231" s="1043">
        <f t="shared" si="90"/>
        <v>0</v>
      </c>
      <c r="L231" s="1043">
        <f t="shared" si="91"/>
        <v>0</v>
      </c>
      <c r="M231" s="1044">
        <f>IF(AND($A231&gt;=MIN('Major Assumption Key'!$B$4),$A231&lt;=MAX('Major Assumption Key'!$B$6)),L231-K231,0)</f>
        <v>0</v>
      </c>
      <c r="N231" s="1038">
        <f>IF(AND(A41&gt;=$B$2,A41&lt;=$B$4),_xlfn.XLOOKUP(A231,'VMT Reduction Supporting'!$A:$A,'VMT Reduction Supporting'!$D:$D,,0),0)</f>
        <v>0</v>
      </c>
      <c r="O231" s="1042">
        <f>IF(AND(A41&gt;=$B$2,A41&lt;=$B$4),_xlfn.XLOOKUP(A231,'VMT Reduction Supporting'!$A:$A,'VMT Reduction Supporting'!$G:$G,,0),0)</f>
        <v>0</v>
      </c>
      <c r="P231" s="1045">
        <f t="shared" si="92"/>
        <v>0</v>
      </c>
      <c r="Q231" s="1045">
        <f t="shared" si="93"/>
        <v>0</v>
      </c>
      <c r="R231" s="1046">
        <f>IF(AND($A231&gt;=MIN('Major Assumption Key'!$B$4),$A231&lt;=MAX('Major Assumption Key'!$B$6)),Q231-P231,0)</f>
        <v>0</v>
      </c>
      <c r="S231" s="1047" t="s">
        <v>1244</v>
      </c>
      <c r="T231" s="1079" t="s">
        <v>1244</v>
      </c>
      <c r="U231" s="1048">
        <v>0</v>
      </c>
    </row>
    <row r="232" spans="1:21" outlineLevel="1">
      <c r="A232" s="1036">
        <f t="shared" si="87"/>
        <v>2051</v>
      </c>
      <c r="B232" s="1037">
        <f t="shared" si="100"/>
        <v>3.3853636125648571E-3</v>
      </c>
      <c r="C232" s="1037">
        <f t="shared" si="101"/>
        <v>0.1013602030026796</v>
      </c>
      <c r="D232" s="1038">
        <f>IF(AND(A42&gt;=$B$2,A42&lt;=$B$4),_xlfn.XLOOKUP(A232,'VMT Reduction Supporting'!$A:$A,'VMT Reduction Supporting'!$C:$C,,0),0)</f>
        <v>0</v>
      </c>
      <c r="E232" s="1039">
        <f>IF(AND(A42&gt;=$B$2,A42&lt;=$B$4),_xlfn.XLOOKUP(A232,'VMT Reduction Supporting'!$A:$A,'VMT Reduction Supporting'!$F:$F,,0),0)</f>
        <v>0</v>
      </c>
      <c r="F232" s="1040">
        <f t="shared" si="88"/>
        <v>0</v>
      </c>
      <c r="G232" s="1040">
        <f t="shared" si="89"/>
        <v>0</v>
      </c>
      <c r="H232" s="1041">
        <f>IF(AND($A232&gt;=MIN('Major Assumption Key'!$B$4),$A232&lt;=MAX('Major Assumption Key'!$B$6)),G232-F232,0)</f>
        <v>0</v>
      </c>
      <c r="I232" s="1038">
        <f>IF(AND(A42&gt;=$B$2,A42&lt;=$B$4),_xlfn.XLOOKUP(A232,'VMT Reduction Supporting'!$A:$A,'VMT Reduction Supporting'!$B:$B,,0),0)</f>
        <v>0</v>
      </c>
      <c r="J232" s="1042">
        <f>IF(AND(A42&gt;=$B$2,A42&lt;=$B$4),_xlfn.XLOOKUP(A232,'VMT Reduction Supporting'!$A:$A,'VMT Reduction Supporting'!$E:$E,,0),0)</f>
        <v>0</v>
      </c>
      <c r="K232" s="1043">
        <f t="shared" si="90"/>
        <v>0</v>
      </c>
      <c r="L232" s="1043">
        <f t="shared" si="91"/>
        <v>0</v>
      </c>
      <c r="M232" s="1044">
        <f>IF(AND($A232&gt;=MIN('Major Assumption Key'!$B$4),$A232&lt;=MAX('Major Assumption Key'!$B$6)),L232-K232,0)</f>
        <v>0</v>
      </c>
      <c r="N232" s="1038">
        <f>IF(AND(A42&gt;=$B$2,A42&lt;=$B$4),_xlfn.XLOOKUP(A232,'VMT Reduction Supporting'!$A:$A,'VMT Reduction Supporting'!$D:$D,,0),0)</f>
        <v>0</v>
      </c>
      <c r="O232" s="1042">
        <f>IF(AND(A42&gt;=$B$2,A42&lt;=$B$4),_xlfn.XLOOKUP(A232,'VMT Reduction Supporting'!$A:$A,'VMT Reduction Supporting'!$G:$G,,0),0)</f>
        <v>0</v>
      </c>
      <c r="P232" s="1045">
        <f t="shared" si="92"/>
        <v>0</v>
      </c>
      <c r="Q232" s="1045">
        <f t="shared" si="93"/>
        <v>0</v>
      </c>
      <c r="R232" s="1046">
        <f>IF(AND($A232&gt;=MIN('Major Assumption Key'!$B$4),$A232&lt;=MAX('Major Assumption Key'!$B$6)),Q232-P232,0)</f>
        <v>0</v>
      </c>
      <c r="S232" s="1047" t="s">
        <v>1244</v>
      </c>
      <c r="T232" s="1079" t="s">
        <v>1244</v>
      </c>
      <c r="U232" s="1048">
        <v>0</v>
      </c>
    </row>
    <row r="233" spans="1:21" outlineLevel="1">
      <c r="A233" s="1036">
        <f t="shared" si="87"/>
        <v>2052</v>
      </c>
      <c r="B233" s="1037">
        <f t="shared" si="100"/>
        <v>3.3435020293853417E-3</v>
      </c>
      <c r="C233" s="1037">
        <f t="shared" si="101"/>
        <v>0.10133503675065761</v>
      </c>
      <c r="D233" s="1038">
        <f>IF(AND(A43&gt;=$B$2,A43&lt;=$B$4),_xlfn.XLOOKUP(A233,'VMT Reduction Supporting'!$A:$A,'VMT Reduction Supporting'!$C:$C,,0),0)</f>
        <v>0</v>
      </c>
      <c r="E233" s="1039">
        <f>IF(AND(A43&gt;=$B$2,A43&lt;=$B$4),_xlfn.XLOOKUP(A233,'VMT Reduction Supporting'!$A:$A,'VMT Reduction Supporting'!$F:$F,,0),0)</f>
        <v>0</v>
      </c>
      <c r="F233" s="1040">
        <f t="shared" si="88"/>
        <v>0</v>
      </c>
      <c r="G233" s="1040">
        <f>IFERROR(($B233*E233)/1000000,"N/A")</f>
        <v>0</v>
      </c>
      <c r="H233" s="1041">
        <f>IF(AND($A233&gt;=MIN('Major Assumption Key'!$B$4),$A233&lt;=MAX('Major Assumption Key'!$B$6)),G233-F233,0)</f>
        <v>0</v>
      </c>
      <c r="I233" s="1038">
        <f>IF(AND(A43&gt;=$B$2,A43&lt;=$B$4),_xlfn.XLOOKUP(A233,'VMT Reduction Supporting'!$A:$A,'VMT Reduction Supporting'!$B:$B,,0),0)</f>
        <v>0</v>
      </c>
      <c r="J233" s="1042">
        <f>IF(AND(A43&gt;=$B$2,A43&lt;=$B$4),_xlfn.XLOOKUP(A233,'VMT Reduction Supporting'!$A:$A,'VMT Reduction Supporting'!$E:$E,,0),0)</f>
        <v>0</v>
      </c>
      <c r="K233" s="1043">
        <f t="shared" si="90"/>
        <v>0</v>
      </c>
      <c r="L233" s="1043">
        <f t="shared" si="91"/>
        <v>0</v>
      </c>
      <c r="M233" s="1044">
        <f>IF(AND($A233&gt;=MIN('Major Assumption Key'!$B$4),$A233&lt;=MAX('Major Assumption Key'!$B$6)),L233-K233,0)</f>
        <v>0</v>
      </c>
      <c r="N233" s="1038">
        <f>IF(AND(A43&gt;=$B$2,A43&lt;=$B$4),_xlfn.XLOOKUP(A233,'VMT Reduction Supporting'!$A:$A,'VMT Reduction Supporting'!$D:$D,,0),0)</f>
        <v>0</v>
      </c>
      <c r="O233" s="1042">
        <f>IF(AND(A43&gt;=$B$2,A43&lt;=$B$4),_xlfn.XLOOKUP(A233,'VMT Reduction Supporting'!$A:$A,'VMT Reduction Supporting'!$G:$G,,0),0)</f>
        <v>0</v>
      </c>
      <c r="P233" s="1045">
        <f t="shared" si="92"/>
        <v>0</v>
      </c>
      <c r="Q233" s="1045">
        <f t="shared" si="93"/>
        <v>0</v>
      </c>
      <c r="R233" s="1046">
        <f>IF(AND($A233&gt;=MIN('Major Assumption Key'!$B$4),$A233&lt;=MAX('Major Assumption Key'!$B$6)),Q233-P233,0)</f>
        <v>0</v>
      </c>
      <c r="S233" s="1047" t="s">
        <v>1244</v>
      </c>
      <c r="T233" s="1079" t="s">
        <v>1244</v>
      </c>
      <c r="U233" s="1048">
        <v>0</v>
      </c>
    </row>
    <row r="234" spans="1:21" outlineLevel="1">
      <c r="A234" s="1036">
        <f t="shared" si="87"/>
        <v>2053</v>
      </c>
      <c r="B234" s="1037">
        <f t="shared" si="100"/>
        <v>3.3021580839980541E-3</v>
      </c>
      <c r="C234" s="1037">
        <f t="shared" si="101"/>
        <v>0.10130987674704693</v>
      </c>
      <c r="D234" s="1038">
        <f>IF(AND(A44&gt;=$B$2,A44&lt;=$B$4),_xlfn.XLOOKUP(A234,'VMT Reduction Supporting'!$A:$A,'VMT Reduction Supporting'!$C:$C,,0),0)</f>
        <v>0</v>
      </c>
      <c r="E234" s="1039">
        <f>IF(AND(A44&gt;=$B$2,A44&lt;=$B$4),_xlfn.XLOOKUP(A234,'VMT Reduction Supporting'!$A:$A,'VMT Reduction Supporting'!$F:$F,,0),0)</f>
        <v>0</v>
      </c>
      <c r="F234" s="1040">
        <f t="shared" ref="F234:F241" si="102">($B234*D234)/1000000</f>
        <v>0</v>
      </c>
      <c r="G234" s="1040">
        <f t="shared" ref="G234:G241" si="103">IFERROR(($B234*E234)/1000000,"N/A")</f>
        <v>0</v>
      </c>
      <c r="H234" s="1041">
        <f>IF(AND($A234&gt;=MIN('Major Assumption Key'!$B$4),$A234&lt;=MAX('Major Assumption Key'!$B$6)),G234-F234,0)</f>
        <v>0</v>
      </c>
      <c r="I234" s="1038">
        <f>IF(AND(A44&gt;=$B$2,A44&lt;=$B$4),_xlfn.XLOOKUP(A234,'VMT Reduction Supporting'!$A:$A,'VMT Reduction Supporting'!$B:$B,,0),0)</f>
        <v>0</v>
      </c>
      <c r="J234" s="1042">
        <f>IF(AND(A44&gt;=$B$2,A44&lt;=$B$4),_xlfn.XLOOKUP(A234,'VMT Reduction Supporting'!$A:$A,'VMT Reduction Supporting'!$E:$E,,0),0)</f>
        <v>0</v>
      </c>
      <c r="K234" s="1043">
        <f t="shared" si="90"/>
        <v>0</v>
      </c>
      <c r="L234" s="1043">
        <f t="shared" si="91"/>
        <v>0</v>
      </c>
      <c r="M234" s="1044">
        <f>IF(AND($A234&gt;=MIN('Major Assumption Key'!$B$4),$A234&lt;=MAX('Major Assumption Key'!$B$6)),L234-K234,0)</f>
        <v>0</v>
      </c>
      <c r="N234" s="1038">
        <f>IF(AND(A44&gt;=$B$2,A44&lt;=$B$4),_xlfn.XLOOKUP(A234,'VMT Reduction Supporting'!$A:$A,'VMT Reduction Supporting'!$D:$D,,0),0)</f>
        <v>0</v>
      </c>
      <c r="O234" s="1042">
        <f>IF(AND(A44&gt;=$B$2,A44&lt;=$B$4),_xlfn.XLOOKUP(A234,'VMT Reduction Supporting'!$A:$A,'VMT Reduction Supporting'!$G:$G,,0),0)</f>
        <v>0</v>
      </c>
      <c r="P234" s="1045">
        <f t="shared" ref="P234:P241" si="104">($C234*N234)/1000000</f>
        <v>0</v>
      </c>
      <c r="Q234" s="1045">
        <f t="shared" ref="Q234:Q241" si="105">($C234*O234)/1000000</f>
        <v>0</v>
      </c>
      <c r="R234" s="1046">
        <f>IF(AND($A234&gt;=MIN('Major Assumption Key'!$B$4),$A234&lt;=MAX('Major Assumption Key'!$B$6)),Q234-P234,0)</f>
        <v>0</v>
      </c>
      <c r="S234" s="1047" t="s">
        <v>1244</v>
      </c>
      <c r="T234" s="1079" t="s">
        <v>1244</v>
      </c>
      <c r="U234" s="1048">
        <v>0</v>
      </c>
    </row>
    <row r="235" spans="1:21" outlineLevel="1">
      <c r="A235" s="1036">
        <f t="shared" si="87"/>
        <v>2054</v>
      </c>
      <c r="B235" s="1037">
        <f t="shared" si="100"/>
        <v>3.2613253755728396E-3</v>
      </c>
      <c r="C235" s="1037">
        <f t="shared" si="101"/>
        <v>0.10128472299029621</v>
      </c>
      <c r="D235" s="1038">
        <f>IF(AND(A45&gt;=$B$2,A45&lt;=$B$4),_xlfn.XLOOKUP(A235,'VMT Reduction Supporting'!$A:$A,'VMT Reduction Supporting'!$C:$C,,0),0)</f>
        <v>0</v>
      </c>
      <c r="E235" s="1039">
        <f>IF(AND(A45&gt;=$B$2,A45&lt;=$B$4),_xlfn.XLOOKUP(A235,'VMT Reduction Supporting'!$A:$A,'VMT Reduction Supporting'!$F:$F,,0),0)</f>
        <v>0</v>
      </c>
      <c r="F235" s="1040">
        <f t="shared" si="102"/>
        <v>0</v>
      </c>
      <c r="G235" s="1040">
        <f t="shared" si="103"/>
        <v>0</v>
      </c>
      <c r="H235" s="1041">
        <f>IF(AND($A235&gt;=MIN('Major Assumption Key'!$B$4),$A235&lt;=MAX('Major Assumption Key'!$B$6)),G235-F235,0)</f>
        <v>0</v>
      </c>
      <c r="I235" s="1038">
        <f>IF(AND(A45&gt;=$B$2,A45&lt;=$B$4),_xlfn.XLOOKUP(A235,'VMT Reduction Supporting'!$A:$A,'VMT Reduction Supporting'!$B:$B,,0),0)</f>
        <v>0</v>
      </c>
      <c r="J235" s="1042">
        <f>IF(AND(A45&gt;=$B$2,A45&lt;=$B$4),_xlfn.XLOOKUP(A235,'VMT Reduction Supporting'!$A:$A,'VMT Reduction Supporting'!$E:$E,,0),0)</f>
        <v>0</v>
      </c>
      <c r="K235" s="1043">
        <f t="shared" si="90"/>
        <v>0</v>
      </c>
      <c r="L235" s="1043">
        <f t="shared" si="91"/>
        <v>0</v>
      </c>
      <c r="M235" s="1044">
        <f>IF(AND($A235&gt;=MIN('Major Assumption Key'!$B$4),$A235&lt;=MAX('Major Assumption Key'!$B$6)),L235-K235,0)</f>
        <v>0</v>
      </c>
      <c r="N235" s="1038">
        <f>IF(AND(A45&gt;=$B$2,A45&lt;=$B$4),_xlfn.XLOOKUP(A235,'VMT Reduction Supporting'!$A:$A,'VMT Reduction Supporting'!$D:$D,,0),0)</f>
        <v>0</v>
      </c>
      <c r="O235" s="1042">
        <f>IF(AND(A45&gt;=$B$2,A45&lt;=$B$4),_xlfn.XLOOKUP(A235,'VMT Reduction Supporting'!$A:$A,'VMT Reduction Supporting'!$G:$G,,0),0)</f>
        <v>0</v>
      </c>
      <c r="P235" s="1045">
        <f t="shared" si="104"/>
        <v>0</v>
      </c>
      <c r="Q235" s="1045">
        <f t="shared" si="105"/>
        <v>0</v>
      </c>
      <c r="R235" s="1046">
        <f>IF(AND($A235&gt;=MIN('Major Assumption Key'!$B$4),$A235&lt;=MAX('Major Assumption Key'!$B$6)),Q235-P235,0)</f>
        <v>0</v>
      </c>
      <c r="S235" s="1047" t="s">
        <v>1244</v>
      </c>
      <c r="T235" s="1079" t="s">
        <v>1244</v>
      </c>
      <c r="U235" s="1048">
        <v>0</v>
      </c>
    </row>
    <row r="236" spans="1:21" outlineLevel="1">
      <c r="A236" s="1036">
        <f t="shared" si="87"/>
        <v>2055</v>
      </c>
      <c r="B236" s="1037">
        <f t="shared" si="100"/>
        <v>3.2209975824287608E-3</v>
      </c>
      <c r="C236" s="1037">
        <f t="shared" si="101"/>
        <v>0.10125957547885443</v>
      </c>
      <c r="D236" s="1038">
        <f>IF(AND(A46&gt;=$B$2,A46&lt;=$B$4),_xlfn.XLOOKUP(A236,'VMT Reduction Supporting'!$A:$A,'VMT Reduction Supporting'!$C:$C,,0),0)</f>
        <v>0</v>
      </c>
      <c r="E236" s="1039">
        <f>IF(AND(A46&gt;=$B$2,A46&lt;=$B$4),_xlfn.XLOOKUP(A236,'VMT Reduction Supporting'!$A:$A,'VMT Reduction Supporting'!$F:$F,,0),0)</f>
        <v>0</v>
      </c>
      <c r="F236" s="1040">
        <f t="shared" si="102"/>
        <v>0</v>
      </c>
      <c r="G236" s="1040">
        <f t="shared" si="103"/>
        <v>0</v>
      </c>
      <c r="H236" s="1041">
        <f>IF(AND($A236&gt;=MIN('Major Assumption Key'!$B$4),$A236&lt;=MAX('Major Assumption Key'!$B$6)),G236-F236,0)</f>
        <v>0</v>
      </c>
      <c r="I236" s="1038">
        <f>IF(AND(A46&gt;=$B$2,A46&lt;=$B$4),_xlfn.XLOOKUP(A236,'VMT Reduction Supporting'!$A:$A,'VMT Reduction Supporting'!$B:$B,,0),0)</f>
        <v>0</v>
      </c>
      <c r="J236" s="1042">
        <f>IF(AND(A46&gt;=$B$2,A46&lt;=$B$4),_xlfn.XLOOKUP(A236,'VMT Reduction Supporting'!$A:$A,'VMT Reduction Supporting'!$E:$E,,0),0)</f>
        <v>0</v>
      </c>
      <c r="K236" s="1043">
        <f t="shared" si="90"/>
        <v>0</v>
      </c>
      <c r="L236" s="1043">
        <f t="shared" si="91"/>
        <v>0</v>
      </c>
      <c r="M236" s="1044">
        <f>IF(AND($A236&gt;=MIN('Major Assumption Key'!$B$4),$A236&lt;=MAX('Major Assumption Key'!$B$6)),L236-K236,0)</f>
        <v>0</v>
      </c>
      <c r="N236" s="1038">
        <f>IF(AND(A46&gt;=$B$2,A46&lt;=$B$4),_xlfn.XLOOKUP(A236,'VMT Reduction Supporting'!$A:$A,'VMT Reduction Supporting'!$D:$D,,0),0)</f>
        <v>0</v>
      </c>
      <c r="O236" s="1042">
        <f>IF(AND(A46&gt;=$B$2,A46&lt;=$B$4),_xlfn.XLOOKUP(A236,'VMT Reduction Supporting'!$A:$A,'VMT Reduction Supporting'!$G:$G,,0),0)</f>
        <v>0</v>
      </c>
      <c r="P236" s="1045">
        <f t="shared" si="104"/>
        <v>0</v>
      </c>
      <c r="Q236" s="1045">
        <f t="shared" si="105"/>
        <v>0</v>
      </c>
      <c r="R236" s="1046">
        <f>IF(AND($A236&gt;=MIN('Major Assumption Key'!$B$4),$A236&lt;=MAX('Major Assumption Key'!$B$6)),Q236-P236,0)</f>
        <v>0</v>
      </c>
      <c r="S236" s="1047" t="s">
        <v>1244</v>
      </c>
      <c r="T236" s="1079" t="s">
        <v>1244</v>
      </c>
      <c r="U236" s="1048">
        <v>0</v>
      </c>
    </row>
    <row r="237" spans="1:21" outlineLevel="1">
      <c r="A237" s="1036">
        <f t="shared" si="87"/>
        <v>2056</v>
      </c>
      <c r="B237" s="1037">
        <f t="shared" si="100"/>
        <v>3.1811684610553838E-3</v>
      </c>
      <c r="C237" s="1037">
        <f t="shared" si="101"/>
        <v>0.10123443421117095</v>
      </c>
      <c r="D237" s="1038">
        <f>IF(AND(A47&gt;=$B$2,A47&lt;=$B$4),_xlfn.XLOOKUP(A237,'VMT Reduction Supporting'!$A:$A,'VMT Reduction Supporting'!$C:$C,,0),0)</f>
        <v>0</v>
      </c>
      <c r="E237" s="1039">
        <f>IF(AND(A47&gt;=$B$2,A47&lt;=$B$4),_xlfn.XLOOKUP(A237,'VMT Reduction Supporting'!$A:$A,'VMT Reduction Supporting'!$F:$F,,0),0)</f>
        <v>0</v>
      </c>
      <c r="F237" s="1040">
        <f t="shared" si="102"/>
        <v>0</v>
      </c>
      <c r="G237" s="1040">
        <f t="shared" si="103"/>
        <v>0</v>
      </c>
      <c r="H237" s="1041">
        <f>IF(AND($A237&gt;=MIN('Major Assumption Key'!$B$4),$A237&lt;=MAX('Major Assumption Key'!$B$6)),G237-F237,0)</f>
        <v>0</v>
      </c>
      <c r="I237" s="1038">
        <f>IF(AND(A47&gt;=$B$2,A47&lt;=$B$4),_xlfn.XLOOKUP(A237,'VMT Reduction Supporting'!$A:$A,'VMT Reduction Supporting'!$B:$B,,0),0)</f>
        <v>0</v>
      </c>
      <c r="J237" s="1042">
        <f>IF(AND(A47&gt;=$B$2,A47&lt;=$B$4),_xlfn.XLOOKUP(A237,'VMT Reduction Supporting'!$A:$A,'VMT Reduction Supporting'!$E:$E,,0),0)</f>
        <v>0</v>
      </c>
      <c r="K237" s="1043">
        <f t="shared" si="90"/>
        <v>0</v>
      </c>
      <c r="L237" s="1043">
        <f t="shared" si="91"/>
        <v>0</v>
      </c>
      <c r="M237" s="1044">
        <f>IF(AND($A237&gt;=MIN('Major Assumption Key'!$B$4),$A237&lt;=MAX('Major Assumption Key'!$B$6)),L237-K237,0)</f>
        <v>0</v>
      </c>
      <c r="N237" s="1038">
        <f>IF(AND(A47&gt;=$B$2,A47&lt;=$B$4),_xlfn.XLOOKUP(A237,'VMT Reduction Supporting'!$A:$A,'VMT Reduction Supporting'!$D:$D,,0),0)</f>
        <v>0</v>
      </c>
      <c r="O237" s="1042">
        <f>IF(AND(A47&gt;=$B$2,A47&lt;=$B$4),_xlfn.XLOOKUP(A237,'VMT Reduction Supporting'!$A:$A,'VMT Reduction Supporting'!$G:$G,,0),0)</f>
        <v>0</v>
      </c>
      <c r="P237" s="1045">
        <f t="shared" si="104"/>
        <v>0</v>
      </c>
      <c r="Q237" s="1045">
        <f t="shared" si="105"/>
        <v>0</v>
      </c>
      <c r="R237" s="1046">
        <f>IF(AND($A237&gt;=MIN('Major Assumption Key'!$B$4),$A237&lt;=MAX('Major Assumption Key'!$B$6)),Q237-P237,0)</f>
        <v>0</v>
      </c>
      <c r="S237" s="1047" t="s">
        <v>1244</v>
      </c>
      <c r="T237" s="1079" t="s">
        <v>1244</v>
      </c>
      <c r="U237" s="1048">
        <v>0</v>
      </c>
    </row>
    <row r="238" spans="1:21" outlineLevel="1">
      <c r="A238" s="1036">
        <f t="shared" si="87"/>
        <v>2057</v>
      </c>
      <c r="B238" s="1037">
        <f t="shared" si="100"/>
        <v>3.1418318451461617E-3</v>
      </c>
      <c r="C238" s="1037">
        <f t="shared" si="101"/>
        <v>0.10120929918569557</v>
      </c>
      <c r="D238" s="1038">
        <f>IF(AND(A48&gt;=$B$2,A48&lt;=$B$4),_xlfn.XLOOKUP(A238,'VMT Reduction Supporting'!$A:$A,'VMT Reduction Supporting'!$C:$C,,0),0)</f>
        <v>0</v>
      </c>
      <c r="E238" s="1039">
        <f>IF(AND(A48&gt;=$B$2,A48&lt;=$B$4),_xlfn.XLOOKUP(A238,'VMT Reduction Supporting'!$A:$A,'VMT Reduction Supporting'!$F:$F,,0),0)</f>
        <v>0</v>
      </c>
      <c r="F238" s="1040">
        <f t="shared" si="102"/>
        <v>0</v>
      </c>
      <c r="G238" s="1040">
        <f t="shared" si="103"/>
        <v>0</v>
      </c>
      <c r="H238" s="1041">
        <f>IF(AND($A238&gt;=MIN('Major Assumption Key'!$B$4),$A238&lt;=MAX('Major Assumption Key'!$B$6)),G238-F238,0)</f>
        <v>0</v>
      </c>
      <c r="I238" s="1038">
        <f>IF(AND(A48&gt;=$B$2,A48&lt;=$B$4),_xlfn.XLOOKUP(A238,'VMT Reduction Supporting'!$A:$A,'VMT Reduction Supporting'!$B:$B,,0),0)</f>
        <v>0</v>
      </c>
      <c r="J238" s="1042">
        <f>IF(AND(A48&gt;=$B$2,A48&lt;=$B$4),_xlfn.XLOOKUP(A238,'VMT Reduction Supporting'!$A:$A,'VMT Reduction Supporting'!$E:$E,,0),0)</f>
        <v>0</v>
      </c>
      <c r="K238" s="1043">
        <f t="shared" si="90"/>
        <v>0</v>
      </c>
      <c r="L238" s="1043">
        <f t="shared" si="91"/>
        <v>0</v>
      </c>
      <c r="M238" s="1044">
        <f>IF(AND($A238&gt;=MIN('Major Assumption Key'!$B$4),$A238&lt;=MAX('Major Assumption Key'!$B$6)),L238-K238,0)</f>
        <v>0</v>
      </c>
      <c r="N238" s="1038">
        <f>IF(AND(A48&gt;=$B$2,A48&lt;=$B$4),_xlfn.XLOOKUP(A238,'VMT Reduction Supporting'!$A:$A,'VMT Reduction Supporting'!$D:$D,,0),0)</f>
        <v>0</v>
      </c>
      <c r="O238" s="1042">
        <f>IF(AND(A48&gt;=$B$2,A48&lt;=$B$4),_xlfn.XLOOKUP(A238,'VMT Reduction Supporting'!$A:$A,'VMT Reduction Supporting'!$G:$G,,0),0)</f>
        <v>0</v>
      </c>
      <c r="P238" s="1045">
        <f t="shared" si="104"/>
        <v>0</v>
      </c>
      <c r="Q238" s="1045">
        <f t="shared" si="105"/>
        <v>0</v>
      </c>
      <c r="R238" s="1046">
        <f>IF(AND($A238&gt;=MIN('Major Assumption Key'!$B$4),$A238&lt;=MAX('Major Assumption Key'!$B$6)),Q238-P238,0)</f>
        <v>0</v>
      </c>
      <c r="S238" s="1047" t="s">
        <v>1244</v>
      </c>
      <c r="T238" s="1079" t="s">
        <v>1244</v>
      </c>
      <c r="U238" s="1048">
        <v>0</v>
      </c>
    </row>
    <row r="239" spans="1:21" outlineLevel="1">
      <c r="A239" s="1036">
        <f t="shared" si="87"/>
        <v>2058</v>
      </c>
      <c r="B239" s="1037">
        <f t="shared" si="100"/>
        <v>3.1029816446437731E-3</v>
      </c>
      <c r="C239" s="1037">
        <f t="shared" si="101"/>
        <v>0.10118417040087843</v>
      </c>
      <c r="D239" s="1038">
        <f>IF(AND(A49&gt;=$B$2,A49&lt;=$B$4),_xlfn.XLOOKUP(A239,'VMT Reduction Supporting'!$A:$A,'VMT Reduction Supporting'!$C:$C,,0),0)</f>
        <v>0</v>
      </c>
      <c r="E239" s="1039">
        <f>IF(AND(A49&gt;=$B$2,A49&lt;=$B$4),_xlfn.XLOOKUP(A239,'VMT Reduction Supporting'!$A:$A,'VMT Reduction Supporting'!$F:$F,,0),0)</f>
        <v>0</v>
      </c>
      <c r="F239" s="1040">
        <f t="shared" si="102"/>
        <v>0</v>
      </c>
      <c r="G239" s="1040">
        <f t="shared" si="103"/>
        <v>0</v>
      </c>
      <c r="H239" s="1041">
        <f>IF(AND($A239&gt;=MIN('Major Assumption Key'!$B$4),$A239&lt;=MAX('Major Assumption Key'!$B$6)),G239-F239,0)</f>
        <v>0</v>
      </c>
      <c r="I239" s="1038">
        <f>IF(AND(A49&gt;=$B$2,A49&lt;=$B$4),_xlfn.XLOOKUP(A239,'VMT Reduction Supporting'!$A:$A,'VMT Reduction Supporting'!$B:$B,,0),0)</f>
        <v>0</v>
      </c>
      <c r="J239" s="1042">
        <f>IF(AND(A49&gt;=$B$2,A49&lt;=$B$4),_xlfn.XLOOKUP(A239,'VMT Reduction Supporting'!$A:$A,'VMT Reduction Supporting'!$E:$E,,0),0)</f>
        <v>0</v>
      </c>
      <c r="K239" s="1043">
        <f t="shared" si="90"/>
        <v>0</v>
      </c>
      <c r="L239" s="1043">
        <f t="shared" si="91"/>
        <v>0</v>
      </c>
      <c r="M239" s="1044">
        <f>IF(AND($A239&gt;=MIN('Major Assumption Key'!$B$4),$A239&lt;=MAX('Major Assumption Key'!$B$6)),L239-K239,0)</f>
        <v>0</v>
      </c>
      <c r="N239" s="1038">
        <f>IF(AND(A49&gt;=$B$2,A49&lt;=$B$4),_xlfn.XLOOKUP(A239,'VMT Reduction Supporting'!$A:$A,'VMT Reduction Supporting'!$D:$D,,0),0)</f>
        <v>0</v>
      </c>
      <c r="O239" s="1042">
        <f>IF(AND(A49&gt;=$B$2,A49&lt;=$B$4),_xlfn.XLOOKUP(A239,'VMT Reduction Supporting'!$A:$A,'VMT Reduction Supporting'!$G:$G,,0),0)</f>
        <v>0</v>
      </c>
      <c r="P239" s="1045">
        <f t="shared" si="104"/>
        <v>0</v>
      </c>
      <c r="Q239" s="1045">
        <f t="shared" si="105"/>
        <v>0</v>
      </c>
      <c r="R239" s="1046">
        <f>IF(AND($A239&gt;=MIN('Major Assumption Key'!$B$4),$A239&lt;=MAX('Major Assumption Key'!$B$6)),Q239-P239,0)</f>
        <v>0</v>
      </c>
      <c r="S239" s="1047" t="s">
        <v>1244</v>
      </c>
      <c r="T239" s="1079" t="s">
        <v>1244</v>
      </c>
      <c r="U239" s="1048">
        <v>0</v>
      </c>
    </row>
    <row r="240" spans="1:21" outlineLevel="1">
      <c r="A240" s="1036">
        <f t="shared" si="87"/>
        <v>2059</v>
      </c>
      <c r="B240" s="1037">
        <f t="shared" si="100"/>
        <v>3.0646118447972652E-3</v>
      </c>
      <c r="C240" s="1037">
        <f t="shared" si="101"/>
        <v>0.10115904785517005</v>
      </c>
      <c r="D240" s="1038">
        <f>IF(AND(A50&gt;=$B$2,A50&lt;=$B$4),_xlfn.XLOOKUP(A240,'VMT Reduction Supporting'!$A:$A,'VMT Reduction Supporting'!$C:$C,,0),0)</f>
        <v>0</v>
      </c>
      <c r="E240" s="1039">
        <f>IF(AND(A50&gt;=$B$2,A50&lt;=$B$4),_xlfn.XLOOKUP(A240,'VMT Reduction Supporting'!$A:$A,'VMT Reduction Supporting'!$F:$F,,0),0)</f>
        <v>0</v>
      </c>
      <c r="F240" s="1040">
        <f t="shared" si="102"/>
        <v>0</v>
      </c>
      <c r="G240" s="1040">
        <f t="shared" si="103"/>
        <v>0</v>
      </c>
      <c r="H240" s="1041">
        <f>IF(AND($A240&gt;=MIN('Major Assumption Key'!$B$4),$A240&lt;=MAX('Major Assumption Key'!$B$6)),G240-F240,0)</f>
        <v>0</v>
      </c>
      <c r="I240" s="1038">
        <f>IF(AND(A50&gt;=$B$2,A50&lt;=$B$4),_xlfn.XLOOKUP(A240,'VMT Reduction Supporting'!$A:$A,'VMT Reduction Supporting'!$B:$B,,0),0)</f>
        <v>0</v>
      </c>
      <c r="J240" s="1042">
        <f>IF(AND(A50&gt;=$B$2,A50&lt;=$B$4),_xlfn.XLOOKUP(A240,'VMT Reduction Supporting'!$A:$A,'VMT Reduction Supporting'!$E:$E,,0),0)</f>
        <v>0</v>
      </c>
      <c r="K240" s="1043">
        <f t="shared" si="90"/>
        <v>0</v>
      </c>
      <c r="L240" s="1043">
        <f t="shared" si="91"/>
        <v>0</v>
      </c>
      <c r="M240" s="1044">
        <f>IF(AND($A240&gt;=MIN('Major Assumption Key'!$B$4),$A240&lt;=MAX('Major Assumption Key'!$B$6)),L240-K240,0)</f>
        <v>0</v>
      </c>
      <c r="N240" s="1038">
        <f>IF(AND(A50&gt;=$B$2,A50&lt;=$B$4),_xlfn.XLOOKUP(A240,'VMT Reduction Supporting'!$A:$A,'VMT Reduction Supporting'!$D:$D,,0),0)</f>
        <v>0</v>
      </c>
      <c r="O240" s="1042">
        <f>IF(AND(A50&gt;=$B$2,A50&lt;=$B$4),_xlfn.XLOOKUP(A240,'VMT Reduction Supporting'!$A:$A,'VMT Reduction Supporting'!$G:$G,,0),0)</f>
        <v>0</v>
      </c>
      <c r="P240" s="1045">
        <f t="shared" si="104"/>
        <v>0</v>
      </c>
      <c r="Q240" s="1045">
        <f t="shared" si="105"/>
        <v>0</v>
      </c>
      <c r="R240" s="1046">
        <f>IF(AND($A240&gt;=MIN('Major Assumption Key'!$B$4),$A240&lt;=MAX('Major Assumption Key'!$B$6)),Q240-P240,0)</f>
        <v>0</v>
      </c>
      <c r="S240" s="1047" t="s">
        <v>1244</v>
      </c>
      <c r="T240" s="1079" t="s">
        <v>1244</v>
      </c>
      <c r="U240" s="1048">
        <v>0</v>
      </c>
    </row>
    <row r="241" spans="1:21" ht="13.8" outlineLevel="1" thickBot="1">
      <c r="A241" s="1036">
        <f t="shared" si="87"/>
        <v>2060</v>
      </c>
      <c r="B241" s="1037">
        <f t="shared" si="100"/>
        <v>3.0267165052308563E-3</v>
      </c>
      <c r="C241" s="1037">
        <f t="shared" si="101"/>
        <v>0.10113393154702137</v>
      </c>
      <c r="D241" s="1038">
        <f>IF(AND(A51&gt;=$B$2,A51&lt;=$B$4),_xlfn.XLOOKUP(A241,'VMT Reduction Supporting'!$A:$A,'VMT Reduction Supporting'!$C:$C,,0),0)</f>
        <v>0</v>
      </c>
      <c r="E241" s="1039">
        <f>IF(AND(A51&gt;=$B$2,A51&lt;=$B$4),_xlfn.XLOOKUP(A241,'VMT Reduction Supporting'!$A:$A,'VMT Reduction Supporting'!$F:$F,,0),0)</f>
        <v>0</v>
      </c>
      <c r="F241" s="1040">
        <f t="shared" si="102"/>
        <v>0</v>
      </c>
      <c r="G241" s="1040">
        <f t="shared" si="103"/>
        <v>0</v>
      </c>
      <c r="H241" s="1041">
        <f>IF(AND($A241&gt;=MIN('Major Assumption Key'!$B$4),$A241&lt;=MAX('Major Assumption Key'!$B$6)),G241-F241,0)</f>
        <v>0</v>
      </c>
      <c r="I241" s="1038">
        <f>IF(AND(A51&gt;=$B$2,A51&lt;=$B$4),_xlfn.XLOOKUP(A241,'VMT Reduction Supporting'!$A:$A,'VMT Reduction Supporting'!$B:$B,,0),0)</f>
        <v>0</v>
      </c>
      <c r="J241" s="1042">
        <f>IF(AND(A51&gt;=$B$2,A51&lt;=$B$4),_xlfn.XLOOKUP(A241,'VMT Reduction Supporting'!$A:$A,'VMT Reduction Supporting'!$E:$E,,0),0)</f>
        <v>0</v>
      </c>
      <c r="K241" s="1043">
        <f t="shared" si="90"/>
        <v>0</v>
      </c>
      <c r="L241" s="1043">
        <f t="shared" si="91"/>
        <v>0</v>
      </c>
      <c r="M241" s="1044">
        <f>IF(AND($A241&gt;=MIN('Major Assumption Key'!$B$4),$A241&lt;=MAX('Major Assumption Key'!$B$6)),L241-K241,0)</f>
        <v>0</v>
      </c>
      <c r="N241" s="1038">
        <f>IF(AND(A51&gt;=$B$2,A51&lt;=$B$4),_xlfn.XLOOKUP(A241,'VMT Reduction Supporting'!$A:$A,'VMT Reduction Supporting'!$D:$D,,0),0)</f>
        <v>0</v>
      </c>
      <c r="O241" s="1042">
        <f>IF(AND(A51&gt;=$B$2,A51&lt;=$B$4),_xlfn.XLOOKUP(A241,'VMT Reduction Supporting'!$A:$A,'VMT Reduction Supporting'!$G:$G,,0),0)</f>
        <v>0</v>
      </c>
      <c r="P241" s="1045">
        <f t="shared" si="104"/>
        <v>0</v>
      </c>
      <c r="Q241" s="1045">
        <f t="shared" si="105"/>
        <v>0</v>
      </c>
      <c r="R241" s="1046">
        <f>IF(AND($A241&gt;=MIN('Major Assumption Key'!$B$4),$A241&lt;=MAX('Major Assumption Key'!$B$6)),Q241-P241,0)</f>
        <v>0</v>
      </c>
      <c r="S241" s="1047" t="s">
        <v>1244</v>
      </c>
      <c r="T241" s="1079" t="s">
        <v>1244</v>
      </c>
      <c r="U241" s="1048">
        <v>0</v>
      </c>
    </row>
    <row r="242" spans="1:21">
      <c r="A242" s="2120" t="s">
        <v>7301</v>
      </c>
      <c r="B242" s="2120"/>
      <c r="C242" s="2121"/>
      <c r="D242" s="1080">
        <f>SUMIFS(D201:D241,$A201:$A241,"&gt;="&amp;$B$3,$A201:$A241,"&lt;="&amp;$B$4)</f>
        <v>38266.112417412827</v>
      </c>
      <c r="E242" s="1080">
        <f>SUMIFS(E201:E241,$A201:$A241,"&gt;="&amp;$B$3,$A201:$A241,"&lt;="&amp;$B$4)</f>
        <v>522970.20303797506</v>
      </c>
      <c r="G242" s="1081"/>
      <c r="H242" s="1082">
        <f>SUMIFS(H201:H241,$A201:$A241,"&gt;="&amp;$B$3,$A201:$A241,"&lt;="&amp;$B$4)</f>
        <v>2.5385444705177881E-3</v>
      </c>
      <c r="I242" s="1080">
        <f>SUMIFS(I201:I241,$A201:$A241,"&gt;="&amp;$B$3,$A201:$A241,"&lt;="&amp;$B$4)</f>
        <v>554858.63005248574</v>
      </c>
      <c r="J242" s="1080">
        <f>SUMIFS(J201:J241,$A201:$A241,"&gt;="&amp;$B$3,$A201:$A241,"&lt;="&amp;$B$4)</f>
        <v>562180.27784661518</v>
      </c>
      <c r="L242" s="1081"/>
      <c r="M242" s="1083">
        <f>SUMIFS(M201:M241,$A201:$A241,"&gt;="&amp;$B$3,$A201:$A241,"&lt;="&amp;$B$4)</f>
        <v>3.9334168541314666E-5</v>
      </c>
      <c r="N242" s="1080">
        <f>SUMIFS(N201:N241,$A201:$A241,"&gt;="&amp;$B$3,$A201:$A241,"&lt;="&amp;$B$4)</f>
        <v>2066966.0090962988</v>
      </c>
      <c r="O242" s="1080">
        <f>SUMIFS(O201:O241,$A201:$A241,"&gt;="&amp;$B$3,$A201:$A241,"&lt;="&amp;$B$4)</f>
        <v>2333604.6242697216</v>
      </c>
      <c r="Q242" s="1081"/>
      <c r="R242" s="1084">
        <f>SUMIFS(R201:R241,$A201:$A241,"&gt;="&amp;$B$3,$A201:$A241,"&lt;="&amp;$B$4)</f>
        <v>4.301428673646894E-2</v>
      </c>
      <c r="S242" s="2113"/>
      <c r="T242" s="2114"/>
      <c r="U242" s="1085">
        <f>SUMIFS(U201:U241,$A201:$A241,"&gt;="&amp;$B$3,$A201:$A241,"&lt;="&amp;$B$4)</f>
        <v>0</v>
      </c>
    </row>
    <row r="243" spans="1:21" ht="13.8" thickBot="1">
      <c r="A243" s="2117" t="s">
        <v>7289</v>
      </c>
      <c r="B243" s="2117"/>
      <c r="C243" s="2118"/>
      <c r="D243" s="1087">
        <f>AVERAGEIFS(D201:D241,$A201:$A241,"&gt;="&amp;$B$3,$A201:$A241,"&lt;="&amp;$B$4)</f>
        <v>1471.773554515878</v>
      </c>
      <c r="E243" s="1087">
        <f>AVERAGEIFS(E201:E241,$A201:$A241,"&gt;="&amp;$B$3,$A201:$A241,"&lt;="&amp;$B$4)</f>
        <v>20114.238578383658</v>
      </c>
      <c r="H243" s="1088">
        <f>AVERAGEIFS(H201:H241,$A201:$A241,"&gt;="&amp;$B$3,$A201:$A241,"&lt;="&amp;$B$4)</f>
        <v>9.76363257891457E-5</v>
      </c>
      <c r="I243" s="1087">
        <f>AVERAGEIFS(I201:I241,$A201:$A241,"&gt;="&amp;$B$3,$A201:$A241,"&lt;="&amp;$B$4)</f>
        <v>21340.716540480222</v>
      </c>
      <c r="J243" s="1087">
        <f>AVERAGEIFS(J201:J241,$A201:$A241,"&gt;="&amp;$B$3,$A201:$A241,"&lt;="&amp;$B$4)</f>
        <v>21622.318378715969</v>
      </c>
      <c r="M243" s="1089">
        <f>AVERAGEIFS(M201:M241,$A201:$A241,"&gt;="&amp;$B$3,$A201:$A241,"&lt;="&amp;$B$4)</f>
        <v>1.5128526362044103E-6</v>
      </c>
      <c r="N243" s="1087">
        <f>AVERAGEIFS(N201:N241,$A201:$A241,"&gt;="&amp;$B$3,$A201:$A241,"&lt;="&amp;$B$4)</f>
        <v>79498.692657549953</v>
      </c>
      <c r="O243" s="1087">
        <f>AVERAGEIFS(O201:O241,$A201:$A241,"&gt;="&amp;$B$3,$A201:$A241,"&lt;="&amp;$B$4)</f>
        <v>89754.024010373905</v>
      </c>
      <c r="R243" s="1090">
        <f>AVERAGEIFS(R201:R241,$A201:$A241,"&gt;="&amp;$B$3,$A201:$A241,"&lt;="&amp;$B$4)</f>
        <v>1.6543956437103438E-3</v>
      </c>
      <c r="U243" s="1091">
        <f>AVERAGEIFS(U201:U241,$A201:$A241,"&gt;="&amp;$B$3,$A201:$A241,"&lt;="&amp;$B$4)</f>
        <v>0</v>
      </c>
    </row>
    <row r="244" spans="1:21" ht="13.8" thickBot="1">
      <c r="A244" s="1049"/>
      <c r="B244" s="1049"/>
      <c r="C244" s="1049"/>
    </row>
    <row r="245" spans="1:21" ht="13.8" thickBot="1">
      <c r="A245" s="1050" t="str">
        <f>L9</f>
        <v>VOC</v>
      </c>
      <c r="B245" s="1051"/>
      <c r="C245" s="1051"/>
      <c r="D245" s="2108" t="s">
        <v>7290</v>
      </c>
      <c r="E245" s="2109"/>
      <c r="F245" s="2109"/>
      <c r="G245" s="2109"/>
      <c r="H245" s="2110"/>
      <c r="I245" s="2102" t="s">
        <v>7291</v>
      </c>
      <c r="J245" s="2103"/>
      <c r="K245" s="2103"/>
      <c r="L245" s="2103"/>
      <c r="M245" s="2104"/>
      <c r="N245" s="2105" t="s">
        <v>7292</v>
      </c>
      <c r="O245" s="2106"/>
      <c r="P245" s="2106"/>
      <c r="Q245" s="2106"/>
      <c r="R245" s="2107"/>
      <c r="S245" s="2105" t="s">
        <v>7293</v>
      </c>
      <c r="T245" s="2106"/>
      <c r="U245" s="2107"/>
    </row>
    <row r="246" spans="1:21">
      <c r="A246" s="2111" t="s">
        <v>510</v>
      </c>
      <c r="B246" s="1052" t="s">
        <v>7294</v>
      </c>
      <c r="C246" s="1052" t="s">
        <v>7295</v>
      </c>
      <c r="D246" s="1053" t="s">
        <v>66</v>
      </c>
      <c r="E246" s="1054" t="s">
        <v>131</v>
      </c>
      <c r="F246" s="1055" t="s">
        <v>487</v>
      </c>
      <c r="G246" s="1055" t="s">
        <v>131</v>
      </c>
      <c r="H246" s="1056" t="s">
        <v>7296</v>
      </c>
      <c r="I246" s="1057" t="s">
        <v>66</v>
      </c>
      <c r="J246" s="1058" t="s">
        <v>131</v>
      </c>
      <c r="K246" s="1059" t="s">
        <v>487</v>
      </c>
      <c r="L246" s="1059" t="s">
        <v>131</v>
      </c>
      <c r="M246" s="1060" t="s">
        <v>7296</v>
      </c>
      <c r="N246" s="1057" t="s">
        <v>66</v>
      </c>
      <c r="O246" s="1058" t="s">
        <v>131</v>
      </c>
      <c r="P246" s="1061" t="s">
        <v>487</v>
      </c>
      <c r="Q246" s="1061" t="s">
        <v>131</v>
      </c>
      <c r="R246" s="1062" t="s">
        <v>7296</v>
      </c>
      <c r="S246" s="1063" t="s">
        <v>487</v>
      </c>
      <c r="T246" s="1064" t="s">
        <v>131</v>
      </c>
      <c r="U246" s="1065" t="s">
        <v>7296</v>
      </c>
    </row>
    <row r="247" spans="1:21" ht="39.6">
      <c r="A247" s="2112"/>
      <c r="B247" s="1066" t="s">
        <v>7297</v>
      </c>
      <c r="C247" s="1066" t="s">
        <v>7297</v>
      </c>
      <c r="D247" s="1067" t="s">
        <v>7298</v>
      </c>
      <c r="E247" s="1068" t="s">
        <v>7298</v>
      </c>
      <c r="F247" s="1069" t="s">
        <v>7299</v>
      </c>
      <c r="G247" s="1069" t="s">
        <v>7299</v>
      </c>
      <c r="H247" s="1070" t="s">
        <v>7300</v>
      </c>
      <c r="I247" s="1067" t="s">
        <v>7298</v>
      </c>
      <c r="J247" s="1068" t="s">
        <v>7298</v>
      </c>
      <c r="K247" s="1071" t="s">
        <v>7299</v>
      </c>
      <c r="L247" s="1071" t="s">
        <v>7299</v>
      </c>
      <c r="M247" s="1072" t="s">
        <v>7300</v>
      </c>
      <c r="N247" s="1067" t="s">
        <v>7298</v>
      </c>
      <c r="O247" s="1068" t="s">
        <v>7298</v>
      </c>
      <c r="P247" s="1073" t="s">
        <v>7299</v>
      </c>
      <c r="Q247" s="1073" t="s">
        <v>7299</v>
      </c>
      <c r="R247" s="1074" t="s">
        <v>7300</v>
      </c>
      <c r="S247" s="1075" t="s">
        <v>7299</v>
      </c>
      <c r="T247" s="1076" t="s">
        <v>7299</v>
      </c>
      <c r="U247" s="1077" t="s">
        <v>7300</v>
      </c>
    </row>
    <row r="248" spans="1:21" outlineLevel="1">
      <c r="A248" s="1036">
        <f>A11</f>
        <v>2020</v>
      </c>
      <c r="B248" s="1078">
        <f>VLOOKUP($B$5,'Emission Factors'!$A$5:$F$21,6,FALSE)</f>
        <v>1.8357573451794066E-2</v>
      </c>
      <c r="C248" s="1078">
        <f>VLOOKUP($B$6,'Emission Factors'!$A$28:$F$44,6,FALSE)</f>
        <v>1.0056385006755686</v>
      </c>
      <c r="D248" s="1038">
        <f>IF(AND(A11&gt;=$B$2,A11&lt;=$B$4),_xlfn.XLOOKUP(A248,'VMT Reduction Supporting'!$A:$A,'VMT Reduction Supporting'!$C:$C,,0),0)</f>
        <v>0</v>
      </c>
      <c r="E248" s="1039">
        <f>IF(AND(A11&gt;=$B$2,A11&lt;=$B$4),_xlfn.XLOOKUP(A248,'VMT Reduction Supporting'!$A:$A,'VMT Reduction Supporting'!$F:$F,,0),0)</f>
        <v>0</v>
      </c>
      <c r="F248" s="1040">
        <f t="shared" ref="F248" si="106">($B248*D248)/1000000</f>
        <v>0</v>
      </c>
      <c r="G248" s="1040">
        <f>IFERROR(($B248*E248)/1000000,"N/A")</f>
        <v>0</v>
      </c>
      <c r="H248" s="1041">
        <f>IF(AND($A248&gt;=MIN('Major Assumption Key'!$B$4),$A248&lt;=MAX('Major Assumption Key'!$B$6)),G248-F248,0)</f>
        <v>0</v>
      </c>
      <c r="I248" s="1038">
        <f>IF(AND(A11&gt;=$B$2,A11&lt;=$B$4),_xlfn.XLOOKUP(A248,'VMT Reduction Supporting'!$A:$A,'VMT Reduction Supporting'!$B:$B,,0),0)</f>
        <v>0</v>
      </c>
      <c r="J248" s="1042">
        <f>IF(AND(A11&gt;=$B$2,A11&lt;=$B$4),_xlfn.XLOOKUP(A248,'VMT Reduction Supporting'!$A:$A,'VMT Reduction Supporting'!$E:$E,,0),0)</f>
        <v>0</v>
      </c>
      <c r="K248" s="1043">
        <f>($B248*I248)/1000000</f>
        <v>0</v>
      </c>
      <c r="L248" s="1043">
        <f>($B248*J248)/1000000</f>
        <v>0</v>
      </c>
      <c r="M248" s="1044">
        <f>IF(AND($A248&gt;=MIN('Major Assumption Key'!$B$4),$A248&lt;=MAX('Major Assumption Key'!$B$6)),L248-K248,0)</f>
        <v>0</v>
      </c>
      <c r="N248" s="1038">
        <f>IF(AND(A11&gt;=$B$2,A11&lt;=$B$4),_xlfn.XLOOKUP(A248,'VMT Reduction Supporting'!$A:$A,'VMT Reduction Supporting'!$D:$D,,0),0)</f>
        <v>0</v>
      </c>
      <c r="O248" s="1042">
        <f>IF(AND(A11&gt;=$B$2,A11&lt;=$B$4),_xlfn.XLOOKUP(A248,'VMT Reduction Supporting'!$A:$A,'VMT Reduction Supporting'!$G:$G,,0),0)</f>
        <v>0</v>
      </c>
      <c r="P248" s="1045">
        <f t="shared" ref="P248" si="107">($C248*N248)/1000000</f>
        <v>0</v>
      </c>
      <c r="Q248" s="1045">
        <f t="shared" ref="Q248" si="108">($C248*O248)/1000000</f>
        <v>0</v>
      </c>
      <c r="R248" s="1046">
        <f>IF(AND($A248&gt;=MIN('Major Assumption Key'!$B$4),$A248&lt;=MAX('Major Assumption Key'!$B$6)),Q248-P248,0)</f>
        <v>0</v>
      </c>
      <c r="S248" s="1047" t="s">
        <v>1145</v>
      </c>
      <c r="T248" s="1079" t="s">
        <v>1145</v>
      </c>
      <c r="U248" s="1048">
        <v>0</v>
      </c>
    </row>
    <row r="249" spans="1:21" outlineLevel="1">
      <c r="A249" s="1036">
        <f t="shared" ref="A249:A288" si="109">A12</f>
        <v>2021</v>
      </c>
      <c r="B249" s="1037">
        <f>$B$258*(($B$248/$B$258)^(1/($A$248-$A$258))^(A249-$A$258))</f>
        <v>1.6801150727906996E-2</v>
      </c>
      <c r="C249" s="1037">
        <f>$C$258*(($C$248/$C$258)^(1/($A$248-$A$258))^(A249-$A$258))</f>
        <v>0.89672543867290799</v>
      </c>
      <c r="D249" s="1038">
        <f>IF(AND(A12&gt;=$B$2,A12&lt;=$B$4),_xlfn.XLOOKUP(A249,'VMT Reduction Supporting'!$A:$A,'VMT Reduction Supporting'!$C:$C,,0),0)</f>
        <v>0</v>
      </c>
      <c r="E249" s="1039">
        <f>IF(AND(A12&gt;=$B$2,A12&lt;=$B$4),_xlfn.XLOOKUP(A249,'VMT Reduction Supporting'!$A:$A,'VMT Reduction Supporting'!$F:$F,,0),0)</f>
        <v>0</v>
      </c>
      <c r="F249" s="1040">
        <f t="shared" ref="F249:F288" si="110">($B249*D249)/1000000</f>
        <v>0</v>
      </c>
      <c r="G249" s="1040">
        <f t="shared" ref="G249:G288" si="111">IFERROR(($B249*E249)/1000000,"N/A")</f>
        <v>0</v>
      </c>
      <c r="H249" s="1041">
        <f>IF(AND($A249&gt;=MIN('Major Assumption Key'!$B$4),$A249&lt;=MAX('Major Assumption Key'!$B$6)),G249-F249,0)</f>
        <v>0</v>
      </c>
      <c r="I249" s="1038">
        <f>IF(AND(A12&gt;=$B$2,A12&lt;=$B$4),_xlfn.XLOOKUP(A249,'VMT Reduction Supporting'!$A:$A,'VMT Reduction Supporting'!$B:$B,,0),0)</f>
        <v>0</v>
      </c>
      <c r="J249" s="1042">
        <f>IF(AND(A12&gt;=$B$2,A12&lt;=$B$4),_xlfn.XLOOKUP(A249,'VMT Reduction Supporting'!$A:$A,'VMT Reduction Supporting'!$E:$E,,0),0)</f>
        <v>0</v>
      </c>
      <c r="K249" s="1043">
        <f t="shared" ref="K249:K288" si="112">($B249*I249)/1000000</f>
        <v>0</v>
      </c>
      <c r="L249" s="1043">
        <f t="shared" ref="L249:L288" si="113">($B249*J249)/1000000</f>
        <v>0</v>
      </c>
      <c r="M249" s="1044">
        <f>IF(AND($A249&gt;=MIN('Major Assumption Key'!$B$4),$A249&lt;=MAX('Major Assumption Key'!$B$6)),L249-K249,0)</f>
        <v>0</v>
      </c>
      <c r="N249" s="1038">
        <f>IF(AND(A12&gt;=$B$2,A12&lt;=$B$4),_xlfn.XLOOKUP(A249,'VMT Reduction Supporting'!$A:$A,'VMT Reduction Supporting'!$D:$D,,0),0)</f>
        <v>0</v>
      </c>
      <c r="O249" s="1042">
        <f>IF(AND(A12&gt;=$B$2,A12&lt;=$B$4),_xlfn.XLOOKUP(A249,'VMT Reduction Supporting'!$A:$A,'VMT Reduction Supporting'!$G:$G,,0),0)</f>
        <v>0</v>
      </c>
      <c r="P249" s="1045">
        <f t="shared" ref="P249:P288" si="114">($C249*N249)/1000000</f>
        <v>0</v>
      </c>
      <c r="Q249" s="1045">
        <f t="shared" ref="Q249:Q288" si="115">($C249*O249)/1000000</f>
        <v>0</v>
      </c>
      <c r="R249" s="1046">
        <f>IF(AND($A249&gt;=MIN('Major Assumption Key'!$B$4),$A249&lt;=MAX('Major Assumption Key'!$B$6)),Q249-P249,0)</f>
        <v>0</v>
      </c>
      <c r="S249" s="1047" t="s">
        <v>1145</v>
      </c>
      <c r="T249" s="1079" t="s">
        <v>1145</v>
      </c>
      <c r="U249" s="1048">
        <v>0</v>
      </c>
    </row>
    <row r="250" spans="1:21" outlineLevel="1">
      <c r="A250" s="1036">
        <f t="shared" si="109"/>
        <v>2022</v>
      </c>
      <c r="B250" s="1037">
        <f t="shared" ref="B250:B257" si="116">$B$258*(($B$248/$B$258)^(1/($A$248-$A$258))^(A250-$A$258))</f>
        <v>1.5376687257882812E-2</v>
      </c>
      <c r="C250" s="1037">
        <f t="shared" ref="C250:C257" si="117">$C$258*(($C$248/$C$258)^(1/($A$248-$A$258))^(A250-$A$258))</f>
        <v>0.79960792255162227</v>
      </c>
      <c r="D250" s="1038">
        <f>IF(AND(A13&gt;=$B$2,A13&lt;=$B$4),_xlfn.XLOOKUP(A250,'VMT Reduction Supporting'!$A:$A,'VMT Reduction Supporting'!$C:$C,,0),0)</f>
        <v>0</v>
      </c>
      <c r="E250" s="1039">
        <f>IF(AND(A13&gt;=$B$2,A13&lt;=$B$4),_xlfn.XLOOKUP(A250,'VMT Reduction Supporting'!$A:$A,'VMT Reduction Supporting'!$F:$F,,0),0)</f>
        <v>0</v>
      </c>
      <c r="F250" s="1040">
        <f t="shared" si="110"/>
        <v>0</v>
      </c>
      <c r="G250" s="1040">
        <f t="shared" si="111"/>
        <v>0</v>
      </c>
      <c r="H250" s="1041">
        <f>IF(AND($A250&gt;=MIN('Major Assumption Key'!$B$4),$A250&lt;=MAX('Major Assumption Key'!$B$6)),G250-F250,0)</f>
        <v>0</v>
      </c>
      <c r="I250" s="1038">
        <f>IF(AND(A13&gt;=$B$2,A13&lt;=$B$4),_xlfn.XLOOKUP(A250,'VMT Reduction Supporting'!$A:$A,'VMT Reduction Supporting'!$B:$B,,0),0)</f>
        <v>0</v>
      </c>
      <c r="J250" s="1042">
        <f>IF(AND(A13&gt;=$B$2,A13&lt;=$B$4),_xlfn.XLOOKUP(A250,'VMT Reduction Supporting'!$A:$A,'VMT Reduction Supporting'!$E:$E,,0),0)</f>
        <v>0</v>
      </c>
      <c r="K250" s="1043">
        <f t="shared" si="112"/>
        <v>0</v>
      </c>
      <c r="L250" s="1043">
        <f t="shared" si="113"/>
        <v>0</v>
      </c>
      <c r="M250" s="1044">
        <f>IF(AND($A250&gt;=MIN('Major Assumption Key'!$B$4),$A250&lt;=MAX('Major Assumption Key'!$B$6)),L250-K250,0)</f>
        <v>0</v>
      </c>
      <c r="N250" s="1038">
        <f>IF(AND(A13&gt;=$B$2,A13&lt;=$B$4),_xlfn.XLOOKUP(A250,'VMT Reduction Supporting'!$A:$A,'VMT Reduction Supporting'!$D:$D,,0),0)</f>
        <v>0</v>
      </c>
      <c r="O250" s="1042">
        <f>IF(AND(A13&gt;=$B$2,A13&lt;=$B$4),_xlfn.XLOOKUP(A250,'VMT Reduction Supporting'!$A:$A,'VMT Reduction Supporting'!$G:$G,,0),0)</f>
        <v>0</v>
      </c>
      <c r="P250" s="1045">
        <f t="shared" si="114"/>
        <v>0</v>
      </c>
      <c r="Q250" s="1045">
        <f t="shared" si="115"/>
        <v>0</v>
      </c>
      <c r="R250" s="1046">
        <f>IF(AND($A250&gt;=MIN('Major Assumption Key'!$B$4),$A250&lt;=MAX('Major Assumption Key'!$B$6)),Q250-P250,0)</f>
        <v>0</v>
      </c>
      <c r="S250" s="1047" t="s">
        <v>1145</v>
      </c>
      <c r="T250" s="1079" t="s">
        <v>1145</v>
      </c>
      <c r="U250" s="1048">
        <v>0</v>
      </c>
    </row>
    <row r="251" spans="1:21" outlineLevel="1">
      <c r="A251" s="1036">
        <f t="shared" si="109"/>
        <v>2023</v>
      </c>
      <c r="B251" s="1037">
        <f t="shared" si="116"/>
        <v>1.4072995049916468E-2</v>
      </c>
      <c r="C251" s="1037">
        <f t="shared" si="117"/>
        <v>0.71300846639697091</v>
      </c>
      <c r="D251" s="1038">
        <f>IF(AND(A14&gt;=$B$2,A14&lt;=$B$4),_xlfn.XLOOKUP(A251,'VMT Reduction Supporting'!$A:$A,'VMT Reduction Supporting'!$C:$C,,0),0)</f>
        <v>0</v>
      </c>
      <c r="E251" s="1039">
        <f>IF(AND(A14&gt;=$B$2,A14&lt;=$B$4),_xlfn.XLOOKUP(A251,'VMT Reduction Supporting'!$A:$A,'VMT Reduction Supporting'!$F:$F,,0),0)</f>
        <v>0</v>
      </c>
      <c r="F251" s="1040">
        <f t="shared" si="110"/>
        <v>0</v>
      </c>
      <c r="G251" s="1040">
        <f t="shared" si="111"/>
        <v>0</v>
      </c>
      <c r="H251" s="1041">
        <f>IF(AND($A251&gt;=MIN('Major Assumption Key'!$B$4),$A251&lt;=MAX('Major Assumption Key'!$B$6)),G251-F251,0)</f>
        <v>0</v>
      </c>
      <c r="I251" s="1038">
        <f>IF(AND(A14&gt;=$B$2,A14&lt;=$B$4),_xlfn.XLOOKUP(A251,'VMT Reduction Supporting'!$A:$A,'VMT Reduction Supporting'!$B:$B,,0),0)</f>
        <v>0</v>
      </c>
      <c r="J251" s="1042">
        <f>IF(AND(A14&gt;=$B$2,A14&lt;=$B$4),_xlfn.XLOOKUP(A251,'VMT Reduction Supporting'!$A:$A,'VMT Reduction Supporting'!$E:$E,,0),0)</f>
        <v>0</v>
      </c>
      <c r="K251" s="1043">
        <f t="shared" si="112"/>
        <v>0</v>
      </c>
      <c r="L251" s="1043">
        <f t="shared" si="113"/>
        <v>0</v>
      </c>
      <c r="M251" s="1044">
        <f>IF(AND($A251&gt;=MIN('Major Assumption Key'!$B$4),$A251&lt;=MAX('Major Assumption Key'!$B$6)),L251-K251,0)</f>
        <v>0</v>
      </c>
      <c r="N251" s="1038">
        <f>IF(AND(A14&gt;=$B$2,A14&lt;=$B$4),_xlfn.XLOOKUP(A251,'VMT Reduction Supporting'!$A:$A,'VMT Reduction Supporting'!$D:$D,,0),0)</f>
        <v>0</v>
      </c>
      <c r="O251" s="1042">
        <f>IF(AND(A14&gt;=$B$2,A14&lt;=$B$4),_xlfn.XLOOKUP(A251,'VMT Reduction Supporting'!$A:$A,'VMT Reduction Supporting'!$G:$G,,0),0)</f>
        <v>0</v>
      </c>
      <c r="P251" s="1045">
        <f t="shared" si="114"/>
        <v>0</v>
      </c>
      <c r="Q251" s="1045">
        <f t="shared" si="115"/>
        <v>0</v>
      </c>
      <c r="R251" s="1046">
        <f>IF(AND($A251&gt;=MIN('Major Assumption Key'!$B$4),$A251&lt;=MAX('Major Assumption Key'!$B$6)),Q251-P251,0)</f>
        <v>0</v>
      </c>
      <c r="S251" s="1047" t="s">
        <v>1145</v>
      </c>
      <c r="T251" s="1079" t="s">
        <v>1145</v>
      </c>
      <c r="U251" s="1048">
        <v>0</v>
      </c>
    </row>
    <row r="252" spans="1:21" outlineLevel="1">
      <c r="A252" s="1036">
        <f t="shared" si="109"/>
        <v>2024</v>
      </c>
      <c r="B252" s="1037">
        <f t="shared" si="116"/>
        <v>1.2879834671375275E-2</v>
      </c>
      <c r="C252" s="1037">
        <f t="shared" si="117"/>
        <v>0.63578793908328202</v>
      </c>
      <c r="D252" s="1038">
        <f>IF(AND(A15&gt;=$B$2,A15&lt;=$B$4),_xlfn.XLOOKUP(A252,'VMT Reduction Supporting'!$A:$A,'VMT Reduction Supporting'!$C:$C,,0),0)</f>
        <v>0</v>
      </c>
      <c r="E252" s="1039">
        <f>IF(AND(A15&gt;=$B$2,A15&lt;=$B$4),_xlfn.XLOOKUP(A252,'VMT Reduction Supporting'!$A:$A,'VMT Reduction Supporting'!$F:$F,,0),0)</f>
        <v>0</v>
      </c>
      <c r="F252" s="1040">
        <f t="shared" si="110"/>
        <v>0</v>
      </c>
      <c r="G252" s="1040">
        <f t="shared" si="111"/>
        <v>0</v>
      </c>
      <c r="H252" s="1041">
        <f>IF(AND($A252&gt;=MIN('Major Assumption Key'!$B$4),$A252&lt;=MAX('Major Assumption Key'!$B$6)),G252-F252,0)</f>
        <v>0</v>
      </c>
      <c r="I252" s="1038">
        <f>IF(AND(A15&gt;=$B$2,A15&lt;=$B$4),_xlfn.XLOOKUP(A252,'VMT Reduction Supporting'!$A:$A,'VMT Reduction Supporting'!$B:$B,,0),0)</f>
        <v>0</v>
      </c>
      <c r="J252" s="1042">
        <f>IF(AND(A15&gt;=$B$2,A15&lt;=$B$4),_xlfn.XLOOKUP(A252,'VMT Reduction Supporting'!$A:$A,'VMT Reduction Supporting'!$E:$E,,0),0)</f>
        <v>0</v>
      </c>
      <c r="K252" s="1043">
        <f t="shared" si="112"/>
        <v>0</v>
      </c>
      <c r="L252" s="1043">
        <f t="shared" si="113"/>
        <v>0</v>
      </c>
      <c r="M252" s="1044">
        <f>IF(AND($A252&gt;=MIN('Major Assumption Key'!$B$4),$A252&lt;=MAX('Major Assumption Key'!$B$6)),L252-K252,0)</f>
        <v>0</v>
      </c>
      <c r="N252" s="1038">
        <f>IF(AND(A15&gt;=$B$2,A15&lt;=$B$4),_xlfn.XLOOKUP(A252,'VMT Reduction Supporting'!$A:$A,'VMT Reduction Supporting'!$D:$D,,0),0)</f>
        <v>0</v>
      </c>
      <c r="O252" s="1042">
        <f>IF(AND(A15&gt;=$B$2,A15&lt;=$B$4),_xlfn.XLOOKUP(A252,'VMT Reduction Supporting'!$A:$A,'VMT Reduction Supporting'!$G:$G,,0),0)</f>
        <v>0</v>
      </c>
      <c r="P252" s="1045">
        <f t="shared" si="114"/>
        <v>0</v>
      </c>
      <c r="Q252" s="1045">
        <f t="shared" si="115"/>
        <v>0</v>
      </c>
      <c r="R252" s="1046">
        <f>IF(AND($A252&gt;=MIN('Major Assumption Key'!$B$4),$A252&lt;=MAX('Major Assumption Key'!$B$6)),Q252-P252,0)</f>
        <v>0</v>
      </c>
      <c r="S252" s="1047" t="s">
        <v>1145</v>
      </c>
      <c r="T252" s="1079" t="s">
        <v>1145</v>
      </c>
      <c r="U252" s="1048">
        <v>0</v>
      </c>
    </row>
    <row r="253" spans="1:21" outlineLevel="1">
      <c r="A253" s="1036">
        <f t="shared" si="109"/>
        <v>2025</v>
      </c>
      <c r="B253" s="1037">
        <f t="shared" si="116"/>
        <v>1.1787834826456879E-2</v>
      </c>
      <c r="C253" s="1037">
        <f t="shared" si="117"/>
        <v>0.56693058011840225</v>
      </c>
      <c r="D253" s="1038">
        <f>IF(AND(A16&gt;=$B$2,A16&lt;=$B$4),_xlfn.XLOOKUP(A253,'VMT Reduction Supporting'!$A:$A,'VMT Reduction Supporting'!$C:$C,,0),0)</f>
        <v>0</v>
      </c>
      <c r="E253" s="1039">
        <f>IF(AND(A16&gt;=$B$2,A16&lt;=$B$4),_xlfn.XLOOKUP(A253,'VMT Reduction Supporting'!$A:$A,'VMT Reduction Supporting'!$F:$F,,0),0)</f>
        <v>0</v>
      </c>
      <c r="F253" s="1040">
        <f t="shared" si="110"/>
        <v>0</v>
      </c>
      <c r="G253" s="1040">
        <f t="shared" si="111"/>
        <v>0</v>
      </c>
      <c r="H253" s="1041">
        <f>IF(AND($A253&gt;=MIN('Major Assumption Key'!$B$4),$A253&lt;=MAX('Major Assumption Key'!$B$6)),G253-F253,0)</f>
        <v>0</v>
      </c>
      <c r="I253" s="1038">
        <f>IF(AND(A16&gt;=$B$2,A16&lt;=$B$4),_xlfn.XLOOKUP(A253,'VMT Reduction Supporting'!$A:$A,'VMT Reduction Supporting'!$B:$B,,0),0)</f>
        <v>0</v>
      </c>
      <c r="J253" s="1042">
        <f>IF(AND(A16&gt;=$B$2,A16&lt;=$B$4),_xlfn.XLOOKUP(A253,'VMT Reduction Supporting'!$A:$A,'VMT Reduction Supporting'!$E:$E,,0),0)</f>
        <v>0</v>
      </c>
      <c r="K253" s="1043">
        <f t="shared" si="112"/>
        <v>0</v>
      </c>
      <c r="L253" s="1043">
        <f t="shared" si="113"/>
        <v>0</v>
      </c>
      <c r="M253" s="1044">
        <f>IF(AND($A253&gt;=MIN('Major Assumption Key'!$B$4),$A253&lt;=MAX('Major Assumption Key'!$B$6)),L253-K253,0)</f>
        <v>0</v>
      </c>
      <c r="N253" s="1038">
        <f>IF(AND(A16&gt;=$B$2,A16&lt;=$B$4),_xlfn.XLOOKUP(A253,'VMT Reduction Supporting'!$A:$A,'VMT Reduction Supporting'!$D:$D,,0),0)</f>
        <v>0</v>
      </c>
      <c r="O253" s="1042">
        <f>IF(AND(A16&gt;=$B$2,A16&lt;=$B$4),_xlfn.XLOOKUP(A253,'VMT Reduction Supporting'!$A:$A,'VMT Reduction Supporting'!$G:$G,,0),0)</f>
        <v>0</v>
      </c>
      <c r="P253" s="1045">
        <f t="shared" si="114"/>
        <v>0</v>
      </c>
      <c r="Q253" s="1045">
        <f t="shared" si="115"/>
        <v>0</v>
      </c>
      <c r="R253" s="1046">
        <f>IF(AND($A253&gt;=MIN('Major Assumption Key'!$B$4),$A253&lt;=MAX('Major Assumption Key'!$B$6)),Q253-P253,0)</f>
        <v>0</v>
      </c>
      <c r="S253" s="1047" t="s">
        <v>1145</v>
      </c>
      <c r="T253" s="1079" t="s">
        <v>1145</v>
      </c>
      <c r="U253" s="1048">
        <v>0</v>
      </c>
    </row>
    <row r="254" spans="1:21" outlineLevel="1">
      <c r="A254" s="1036">
        <f t="shared" si="109"/>
        <v>2026</v>
      </c>
      <c r="B254" s="1037">
        <f t="shared" si="116"/>
        <v>1.0788418752349765E-2</v>
      </c>
      <c r="C254" s="1037">
        <f t="shared" si="117"/>
        <v>0.5055306383081396</v>
      </c>
      <c r="D254" s="1038">
        <f>IF(AND(A17&gt;=$B$2,A17&lt;=$B$4),_xlfn.XLOOKUP(A254,'VMT Reduction Supporting'!$A:$A,'VMT Reduction Supporting'!$C:$C,,0),0)</f>
        <v>0</v>
      </c>
      <c r="E254" s="1039">
        <f>IF(AND(A17&gt;=$B$2,A17&lt;=$B$4),_xlfn.XLOOKUP(A254,'VMT Reduction Supporting'!$A:$A,'VMT Reduction Supporting'!$F:$F,,0),0)</f>
        <v>0</v>
      </c>
      <c r="F254" s="1040">
        <f t="shared" si="110"/>
        <v>0</v>
      </c>
      <c r="G254" s="1040">
        <f t="shared" si="111"/>
        <v>0</v>
      </c>
      <c r="H254" s="1041">
        <f>IF(AND($A254&gt;=MIN('Major Assumption Key'!$B$4),$A254&lt;=MAX('Major Assumption Key'!$B$6)),G254-F254,0)</f>
        <v>0</v>
      </c>
      <c r="I254" s="1038">
        <f>IF(AND(A17&gt;=$B$2,A17&lt;=$B$4),_xlfn.XLOOKUP(A254,'VMT Reduction Supporting'!$A:$A,'VMT Reduction Supporting'!$B:$B,,0),0)</f>
        <v>0</v>
      </c>
      <c r="J254" s="1042">
        <f>IF(AND(A17&gt;=$B$2,A17&lt;=$B$4),_xlfn.XLOOKUP(A254,'VMT Reduction Supporting'!$A:$A,'VMT Reduction Supporting'!$E:$E,,0),0)</f>
        <v>0</v>
      </c>
      <c r="K254" s="1043">
        <f t="shared" si="112"/>
        <v>0</v>
      </c>
      <c r="L254" s="1043">
        <f t="shared" si="113"/>
        <v>0</v>
      </c>
      <c r="M254" s="1044">
        <f>IF(AND($A254&gt;=MIN('Major Assumption Key'!$B$4),$A254&lt;=MAX('Major Assumption Key'!$B$6)),L254-K254,0)</f>
        <v>0</v>
      </c>
      <c r="N254" s="1038">
        <f>IF(AND(A17&gt;=$B$2,A17&lt;=$B$4),_xlfn.XLOOKUP(A254,'VMT Reduction Supporting'!$A:$A,'VMT Reduction Supporting'!$D:$D,,0),0)</f>
        <v>0</v>
      </c>
      <c r="O254" s="1042">
        <f>IF(AND(A17&gt;=$B$2,A17&lt;=$B$4),_xlfn.XLOOKUP(A254,'VMT Reduction Supporting'!$A:$A,'VMT Reduction Supporting'!$G:$G,,0),0)</f>
        <v>0</v>
      </c>
      <c r="P254" s="1045">
        <f t="shared" si="114"/>
        <v>0</v>
      </c>
      <c r="Q254" s="1045">
        <f t="shared" si="115"/>
        <v>0</v>
      </c>
      <c r="R254" s="1046">
        <f>IF(AND($A254&gt;=MIN('Major Assumption Key'!$B$4),$A254&lt;=MAX('Major Assumption Key'!$B$6)),Q254-P254,0)</f>
        <v>0</v>
      </c>
      <c r="S254" s="1047" t="s">
        <v>1145</v>
      </c>
      <c r="T254" s="1079" t="s">
        <v>1145</v>
      </c>
      <c r="U254" s="1048">
        <v>0</v>
      </c>
    </row>
    <row r="255" spans="1:21" outlineLevel="1">
      <c r="A255" s="1036">
        <f t="shared" si="109"/>
        <v>2027</v>
      </c>
      <c r="B255" s="1037">
        <f t="shared" si="116"/>
        <v>9.8737368557984696E-3</v>
      </c>
      <c r="C255" s="1037">
        <f t="shared" si="117"/>
        <v>0.45078045748539725</v>
      </c>
      <c r="D255" s="1038">
        <f>IF(AND(A18&gt;=$B$2,A18&lt;=$B$4),_xlfn.XLOOKUP(A255,'VMT Reduction Supporting'!$A:$A,'VMT Reduction Supporting'!$C:$C,,0),0)</f>
        <v>0</v>
      </c>
      <c r="E255" s="1039">
        <f>IF(AND(A18&gt;=$B$2,A18&lt;=$B$4),_xlfn.XLOOKUP(A255,'VMT Reduction Supporting'!$A:$A,'VMT Reduction Supporting'!$F:$F,,0),0)</f>
        <v>0</v>
      </c>
      <c r="F255" s="1040">
        <f t="shared" si="110"/>
        <v>0</v>
      </c>
      <c r="G255" s="1040">
        <f t="shared" si="111"/>
        <v>0</v>
      </c>
      <c r="H255" s="1041">
        <f>IF(AND($A255&gt;=MIN('Major Assumption Key'!$B$4),$A255&lt;=MAX('Major Assumption Key'!$B$6)),G255-F255,0)</f>
        <v>0</v>
      </c>
      <c r="I255" s="1038">
        <f>IF(AND(A18&gt;=$B$2,A18&lt;=$B$4),_xlfn.XLOOKUP(A255,'VMT Reduction Supporting'!$A:$A,'VMT Reduction Supporting'!$B:$B,,0),0)</f>
        <v>0</v>
      </c>
      <c r="J255" s="1042">
        <f>IF(AND(A18&gt;=$B$2,A18&lt;=$B$4),_xlfn.XLOOKUP(A255,'VMT Reduction Supporting'!$A:$A,'VMT Reduction Supporting'!$E:$E,,0),0)</f>
        <v>0</v>
      </c>
      <c r="K255" s="1043">
        <f t="shared" si="112"/>
        <v>0</v>
      </c>
      <c r="L255" s="1043">
        <f t="shared" si="113"/>
        <v>0</v>
      </c>
      <c r="M255" s="1044">
        <f>IF(AND($A255&gt;=MIN('Major Assumption Key'!$B$4),$A255&lt;=MAX('Major Assumption Key'!$B$6)),L255-K255,0)</f>
        <v>0</v>
      </c>
      <c r="N255" s="1038">
        <f>IF(AND(A18&gt;=$B$2,A18&lt;=$B$4),_xlfn.XLOOKUP(A255,'VMT Reduction Supporting'!$A:$A,'VMT Reduction Supporting'!$D:$D,,0),0)</f>
        <v>0</v>
      </c>
      <c r="O255" s="1042">
        <f>IF(AND(A18&gt;=$B$2,A18&lt;=$B$4),_xlfn.XLOOKUP(A255,'VMT Reduction Supporting'!$A:$A,'VMT Reduction Supporting'!$G:$G,,0),0)</f>
        <v>0</v>
      </c>
      <c r="P255" s="1045">
        <f t="shared" si="114"/>
        <v>0</v>
      </c>
      <c r="Q255" s="1045">
        <f t="shared" si="115"/>
        <v>0</v>
      </c>
      <c r="R255" s="1046">
        <f>IF(AND($A255&gt;=MIN('Major Assumption Key'!$B$4),$A255&lt;=MAX('Major Assumption Key'!$B$6)),Q255-P255,0)</f>
        <v>0</v>
      </c>
      <c r="S255" s="1047" t="s">
        <v>1145</v>
      </c>
      <c r="T255" s="1079" t="s">
        <v>1145</v>
      </c>
      <c r="U255" s="1048">
        <v>0</v>
      </c>
    </row>
    <row r="256" spans="1:21" outlineLevel="1">
      <c r="A256" s="1036">
        <f t="shared" si="109"/>
        <v>2028</v>
      </c>
      <c r="B256" s="1037">
        <f t="shared" si="116"/>
        <v>9.0366050609890485E-3</v>
      </c>
      <c r="C256" s="1037">
        <f t="shared" si="117"/>
        <v>0.40195985258342409</v>
      </c>
      <c r="D256" s="1038">
        <f>IF(AND(A19&gt;=$B$2,A19&lt;=$B$4),_xlfn.XLOOKUP(A256,'VMT Reduction Supporting'!$A:$A,'VMT Reduction Supporting'!$C:$C,,0),0)</f>
        <v>1659.1097408404594</v>
      </c>
      <c r="E256" s="1039">
        <f>IF(AND(A19&gt;=$B$2,A19&lt;=$B$4),_xlfn.XLOOKUP(A256,'VMT Reduction Supporting'!$A:$A,'VMT Reduction Supporting'!$F:$F,,0),0)</f>
        <v>22674.499791486269</v>
      </c>
      <c r="F256" s="1040">
        <f t="shared" si="110"/>
        <v>1.4992719480815124E-5</v>
      </c>
      <c r="G256" s="1040">
        <f t="shared" si="111"/>
        <v>2.0490049957113993E-4</v>
      </c>
      <c r="H256" s="1041">
        <f>IF(AND($A256&gt;=MIN('Major Assumption Key'!$B$4),$A256&lt;=MAX('Major Assumption Key'!$B$6)),G256-F256,0)</f>
        <v>1.8990778009032481E-4</v>
      </c>
      <c r="I256" s="1038">
        <f>IF(AND(A19&gt;=$B$2,A19&lt;=$B$4),_xlfn.XLOOKUP(A256,'VMT Reduction Supporting'!$A:$A,'VMT Reduction Supporting'!$B:$B,,0),0)</f>
        <v>24057.091242186652</v>
      </c>
      <c r="J256" s="1042">
        <f>IF(AND(A19&gt;=$B$2,A19&lt;=$B$4),_xlfn.XLOOKUP(A256,'VMT Reduction Supporting'!$A:$A,'VMT Reduction Supporting'!$E:$E,,0),0)</f>
        <v>24419.06426582468</v>
      </c>
      <c r="K256" s="1043">
        <f t="shared" si="112"/>
        <v>2.1739443247181922E-4</v>
      </c>
      <c r="L256" s="1043">
        <f t="shared" si="113"/>
        <v>2.2066543972916813E-4</v>
      </c>
      <c r="M256" s="1044">
        <f>IF(AND($A256&gt;=MIN('Major Assumption Key'!$B$4),$A256&lt;=MAX('Major Assumption Key'!$B$6)),L256-K256,0)</f>
        <v>3.2710072573489133E-6</v>
      </c>
      <c r="N256" s="1038">
        <f>IF(AND(A19&gt;=$B$2,A19&lt;=$B$4),_xlfn.XLOOKUP(A256,'VMT Reduction Supporting'!$A:$A,'VMT Reduction Supporting'!$D:$D,,0),0)</f>
        <v>99567.464200691262</v>
      </c>
      <c r="O256" s="1042">
        <f>IF(AND(A19&gt;=$B$2,A19&lt;=$B$4),_xlfn.XLOOKUP(A256,'VMT Reduction Supporting'!$A:$A,'VMT Reduction Supporting'!$G:$G,,0),0)</f>
        <v>112411.66708258043</v>
      </c>
      <c r="P256" s="1045">
        <f t="shared" si="114"/>
        <v>4.0022123232215212E-2</v>
      </c>
      <c r="Q256" s="1045">
        <f t="shared" si="115"/>
        <v>4.5184977129170974E-2</v>
      </c>
      <c r="R256" s="1046">
        <f>IF(AND($A256&gt;=MIN('Major Assumption Key'!$B$4),$A256&lt;=MAX('Major Assumption Key'!$B$6)),Q256-P256,0)</f>
        <v>5.1628538969557616E-3</v>
      </c>
      <c r="S256" s="1047" t="s">
        <v>1145</v>
      </c>
      <c r="T256" s="1079" t="s">
        <v>1145</v>
      </c>
      <c r="U256" s="1048">
        <v>0</v>
      </c>
    </row>
    <row r="257" spans="1:21" outlineLevel="1">
      <c r="A257" s="1036">
        <f t="shared" si="109"/>
        <v>2029</v>
      </c>
      <c r="B257" s="1037">
        <f t="shared" si="116"/>
        <v>8.2704483845279873E-3</v>
      </c>
      <c r="C257" s="1037">
        <f t="shared" si="117"/>
        <v>0.35842663630581645</v>
      </c>
      <c r="D257" s="1038">
        <f>IF(AND(A20&gt;=$B$2,A20&lt;=$B$4),_xlfn.XLOOKUP(A257,'VMT Reduction Supporting'!$A:$A,'VMT Reduction Supporting'!$C:$C,,0),0)</f>
        <v>1683.5627039429303</v>
      </c>
      <c r="E257" s="1039">
        <f>IF(AND(A20&gt;=$B$2,A20&lt;=$B$4),_xlfn.XLOOKUP(A257,'VMT Reduction Supporting'!$A:$A,'VMT Reduction Supporting'!$F:$F,,0),0)</f>
        <v>23008.690287220044</v>
      </c>
      <c r="F257" s="1040">
        <f t="shared" si="110"/>
        <v>1.3923818445076379E-5</v>
      </c>
      <c r="G257" s="1040">
        <f t="shared" si="111"/>
        <v>1.9029218541604382E-4</v>
      </c>
      <c r="H257" s="1041">
        <f>IF(AND($A257&gt;=MIN('Major Assumption Key'!$B$4),$A257&lt;=MAX('Major Assumption Key'!$B$6)),G257-F257,0)</f>
        <v>1.7636836697096744E-4</v>
      </c>
      <c r="I257" s="1038">
        <f>IF(AND(A20&gt;=$B$2,A20&lt;=$B$4),_xlfn.XLOOKUP(A257,'VMT Reduction Supporting'!$A:$A,'VMT Reduction Supporting'!$B:$B,,0),0)</f>
        <v>24411.659207172481</v>
      </c>
      <c r="J257" s="1042">
        <f>IF(AND(A20&gt;=$B$2,A20&lt;=$B$4),_xlfn.XLOOKUP(A257,'VMT Reduction Supporting'!$A:$A,'VMT Reduction Supporting'!$E:$E,,0),0)</f>
        <v>24774.061722553986</v>
      </c>
      <c r="K257" s="1043">
        <f t="shared" si="112"/>
        <v>2.0189536745360739E-4</v>
      </c>
      <c r="L257" s="1043">
        <f t="shared" si="113"/>
        <v>2.0489259875149327E-4</v>
      </c>
      <c r="M257" s="1044">
        <f>IF(AND($A257&gt;=MIN('Major Assumption Key'!$B$4),$A257&lt;=MAX('Major Assumption Key'!$B$6)),L257-K257,0)</f>
        <v>2.9972312978858722E-6</v>
      </c>
      <c r="N257" s="1038">
        <f>IF(AND(A20&gt;=$B$2,A20&lt;=$B$4),_xlfn.XLOOKUP(A257,'VMT Reduction Supporting'!$A:$A,'VMT Reduction Supporting'!$D:$D,,0),0)</f>
        <v>99956.18820362819</v>
      </c>
      <c r="O257" s="1042">
        <f>IF(AND(A20&gt;=$B$2,A20&lt;=$B$4),_xlfn.XLOOKUP(A257,'VMT Reduction Supporting'!$A:$A,'VMT Reduction Supporting'!$G:$G,,0),0)</f>
        <v>112850.53648189623</v>
      </c>
      <c r="P257" s="1045">
        <f t="shared" si="114"/>
        <v>3.5826960315777576E-2</v>
      </c>
      <c r="Q257" s="1045">
        <f t="shared" si="115"/>
        <v>4.0448638196512891E-2</v>
      </c>
      <c r="R257" s="1046">
        <f>IF(AND($A257&gt;=MIN('Major Assumption Key'!$B$4),$A257&lt;=MAX('Major Assumption Key'!$B$6)),Q257-P257,0)</f>
        <v>4.6216778807353157E-3</v>
      </c>
      <c r="S257" s="1047" t="s">
        <v>1145</v>
      </c>
      <c r="T257" s="1079" t="s">
        <v>1145</v>
      </c>
      <c r="U257" s="1048">
        <v>0</v>
      </c>
    </row>
    <row r="258" spans="1:21" outlineLevel="1">
      <c r="A258" s="1036">
        <f t="shared" si="109"/>
        <v>2030</v>
      </c>
      <c r="B258" s="1078">
        <f>VLOOKUP($B$5,'Emission Factors'!$H$5:$M$21,6,FALSE)</f>
        <v>7.5692492943423206E-3</v>
      </c>
      <c r="C258" s="1078">
        <f>VLOOKUP($B$6,'Emission Factors'!$H$28:$M$44,6,FALSE)</f>
        <v>0.31960817178088446</v>
      </c>
      <c r="D258" s="1038">
        <f>IF(AND(A21&gt;=$B$2,A21&lt;=$B$4),_xlfn.XLOOKUP(A258,'VMT Reduction Supporting'!$A:$A,'VMT Reduction Supporting'!$C:$C,,0),0)</f>
        <v>1708.376069609362</v>
      </c>
      <c r="E258" s="1039">
        <f>IF(AND(A21&gt;=$B$2,A21&lt;=$B$4),_xlfn.XLOOKUP(A258,'VMT Reduction Supporting'!$A:$A,'VMT Reduction Supporting'!$F:$F,,0),0)</f>
        <v>23347.806284661274</v>
      </c>
      <c r="F258" s="1040">
        <f t="shared" si="110"/>
        <v>1.2931124359361971E-5</v>
      </c>
      <c r="G258" s="1040">
        <f t="shared" si="111"/>
        <v>1.7672536624461355E-4</v>
      </c>
      <c r="H258" s="1041">
        <f>IF(AND($A258&gt;=MIN('Major Assumption Key'!$B$4),$A258&lt;=MAX('Major Assumption Key'!$B$6)),G258-F258,0)</f>
        <v>1.6379424188525159E-4</v>
      </c>
      <c r="I258" s="1038">
        <f>IF(AND(A21&gt;=$B$2,A21&lt;=$B$4),_xlfn.XLOOKUP(A258,'VMT Reduction Supporting'!$A:$A,'VMT Reduction Supporting'!$B:$B,,0),0)</f>
        <v>24771.453009335743</v>
      </c>
      <c r="J258" s="1042">
        <f>IF(AND(A21&gt;=$B$2,A21&lt;=$B$4),_xlfn.XLOOKUP(A258,'VMT Reduction Supporting'!$A:$A,'VMT Reduction Supporting'!$E:$E,,0),0)</f>
        <v>25134.285526065429</v>
      </c>
      <c r="K258" s="1043">
        <f t="shared" si="112"/>
        <v>1.8750130321074852E-4</v>
      </c>
      <c r="L258" s="1043">
        <f t="shared" si="113"/>
        <v>1.9024767298196914E-4</v>
      </c>
      <c r="M258" s="1044">
        <f>IF(AND($A258&gt;=MIN('Major Assumption Key'!$B$4),$A258&lt;=MAX('Major Assumption Key'!$B$6)),L258-K258,0)</f>
        <v>2.7463697712206184E-6</v>
      </c>
      <c r="N258" s="1038">
        <f>IF(AND(A21&gt;=$B$2,A21&lt;=$B$4),_xlfn.XLOOKUP(A258,'VMT Reduction Supporting'!$A:$A,'VMT Reduction Supporting'!$D:$D,,0),0)</f>
        <v>100346.42983435321</v>
      </c>
      <c r="O258" s="1042">
        <f>IF(AND(A21&gt;=$B$2,A21&lt;=$B$4),_xlfn.XLOOKUP(A258,'VMT Reduction Supporting'!$A:$A,'VMT Reduction Supporting'!$G:$G,,0),0)</f>
        <v>113291.11928298477</v>
      </c>
      <c r="P258" s="1045">
        <f t="shared" si="114"/>
        <v>3.2071538984096433E-2</v>
      </c>
      <c r="Q258" s="1045">
        <f t="shared" si="115"/>
        <v>3.6208767513044866E-2</v>
      </c>
      <c r="R258" s="1046">
        <f>IF(AND($A258&gt;=MIN('Major Assumption Key'!$B$4),$A258&lt;=MAX('Major Assumption Key'!$B$6)),Q258-P258,0)</f>
        <v>4.1372285289484334E-3</v>
      </c>
      <c r="S258" s="1047" t="s">
        <v>1145</v>
      </c>
      <c r="T258" s="1079" t="s">
        <v>1145</v>
      </c>
      <c r="U258" s="1048">
        <v>0</v>
      </c>
    </row>
    <row r="259" spans="1:21" outlineLevel="1">
      <c r="A259" s="1036">
        <f t="shared" si="109"/>
        <v>2031</v>
      </c>
      <c r="B259" s="1037">
        <f>$B$268*(($B$258/$B$268)^(1/($A$258-$A$268))^(A259-$A$268))</f>
        <v>7.0140073921838592E-3</v>
      </c>
      <c r="C259" s="1037">
        <f>$C$268*(($C$258/$C$268)^(1/($A$258-$A$268))^(A259-$A$268))</f>
        <v>0.29271778113926833</v>
      </c>
      <c r="D259" s="1038">
        <f>IF(AND(A22&gt;=$B$2,A22&lt;=$B$4),_xlfn.XLOOKUP(A259,'VMT Reduction Supporting'!$A:$A,'VMT Reduction Supporting'!$C:$C,,0),0)</f>
        <v>1733.555149670781</v>
      </c>
      <c r="E259" s="1039">
        <f>IF(AND(A22&gt;=$B$2,A22&lt;=$B$4),_xlfn.XLOOKUP(A259,'VMT Reduction Supporting'!$A:$A,'VMT Reduction Supporting'!$F:$F,,0),0)</f>
        <v>23691.920378833998</v>
      </c>
      <c r="F259" s="1040">
        <f t="shared" si="110"/>
        <v>1.2159168634549255E-5</v>
      </c>
      <c r="G259" s="1040">
        <f t="shared" si="111"/>
        <v>1.6617530467217306E-4</v>
      </c>
      <c r="H259" s="1041">
        <f>IF(AND($A259&gt;=MIN('Major Assumption Key'!$B$4),$A259&lt;=MAX('Major Assumption Key'!$B$6)),G259-F259,0)</f>
        <v>1.540161360376238E-4</v>
      </c>
      <c r="I259" s="1038">
        <f>IF(AND(A22&gt;=$B$2,A22&lt;=$B$4),_xlfn.XLOOKUP(A259,'VMT Reduction Supporting'!$A:$A,'VMT Reduction Supporting'!$B:$B,,0),0)</f>
        <v>25136.549670226323</v>
      </c>
      <c r="J259" s="1042">
        <f>IF(AND(A22&gt;=$B$2,A22&lt;=$B$4),_xlfn.XLOOKUP(A259,'VMT Reduction Supporting'!$A:$A,'VMT Reduction Supporting'!$E:$E,,0),0)</f>
        <v>25499.812698513557</v>
      </c>
      <c r="K259" s="1043">
        <f t="shared" si="112"/>
        <v>1.7630794520096419E-4</v>
      </c>
      <c r="L259" s="1043">
        <f t="shared" si="113"/>
        <v>1.7885587476667794E-4</v>
      </c>
      <c r="M259" s="1044">
        <f>IF(AND($A259&gt;=MIN('Major Assumption Key'!$B$4),$A259&lt;=MAX('Major Assumption Key'!$B$6)),L259-K259,0)</f>
        <v>2.5479295657137517E-6</v>
      </c>
      <c r="N259" s="1038">
        <f>IF(AND(A22&gt;=$B$2,A22&lt;=$B$4),_xlfn.XLOOKUP(A259,'VMT Reduction Supporting'!$A:$A,'VMT Reduction Supporting'!$D:$D,,0),0)</f>
        <v>100738.19501787757</v>
      </c>
      <c r="O259" s="1042">
        <f>IF(AND(A22&gt;=$B$2,A22&lt;=$B$4),_xlfn.XLOOKUP(A259,'VMT Reduction Supporting'!$A:$A,'VMT Reduction Supporting'!$G:$G,,0),0)</f>
        <v>113733.42217518379</v>
      </c>
      <c r="P259" s="1045">
        <f t="shared" si="114"/>
        <v>2.948786092160802E-2</v>
      </c>
      <c r="Q259" s="1045">
        <f t="shared" si="115"/>
        <v>3.3291794980495455E-2</v>
      </c>
      <c r="R259" s="1046">
        <f>IF(AND($A259&gt;=MIN('Major Assumption Key'!$B$4),$A259&lt;=MAX('Major Assumption Key'!$B$6)),Q259-P259,0)</f>
        <v>3.803934058887435E-3</v>
      </c>
      <c r="S259" s="1047" t="s">
        <v>1145</v>
      </c>
      <c r="T259" s="1079" t="s">
        <v>1145</v>
      </c>
      <c r="U259" s="1048">
        <v>0</v>
      </c>
    </row>
    <row r="260" spans="1:21" outlineLevel="1">
      <c r="A260" s="1036">
        <f t="shared" si="109"/>
        <v>2032</v>
      </c>
      <c r="B260" s="1037">
        <f t="shared" ref="B260:B267" si="118">$B$268*(($B$258/$B$268)^(1/($A$258-$A$268))^(A260-$A$268))</f>
        <v>6.49949523189596E-3</v>
      </c>
      <c r="C260" s="1037">
        <f t="shared" ref="C260:C267" si="119">$C$268*(($C$258/$C$268)^(1/($A$258-$A$268))^(A260-$A$268))</f>
        <v>0.26808982673271353</v>
      </c>
      <c r="D260" s="1038">
        <f>IF(AND(A23&gt;=$B$2,A23&lt;=$B$4),_xlfn.XLOOKUP(A260,'VMT Reduction Supporting'!$A:$A,'VMT Reduction Supporting'!$C:$C,,0),0)</f>
        <v>1759.1053342471942</v>
      </c>
      <c r="E260" s="1039">
        <f>IF(AND(A23&gt;=$B$2,A23&lt;=$B$4),_xlfn.XLOOKUP(A260,'VMT Reduction Supporting'!$A:$A,'VMT Reduction Supporting'!$F:$F,,0),0)</f>
        <v>24041.106234711646</v>
      </c>
      <c r="F260" s="1040">
        <f t="shared" si="110"/>
        <v>1.1433296732342388E-5</v>
      </c>
      <c r="G260" s="1040">
        <f t="shared" si="111"/>
        <v>1.5625505534201258E-4</v>
      </c>
      <c r="H260" s="1041">
        <f>IF(AND($A260&gt;=MIN('Major Assumption Key'!$B$4),$A260&lt;=MAX('Major Assumption Key'!$B$6)),G260-F260,0)</f>
        <v>1.448217586096702E-4</v>
      </c>
      <c r="I260" s="1038">
        <f>IF(AND(A23&gt;=$B$2,A23&lt;=$B$4),_xlfn.XLOOKUP(A260,'VMT Reduction Supporting'!$A:$A,'VMT Reduction Supporting'!$B:$B,,0),0)</f>
        <v>25507.027346584309</v>
      </c>
      <c r="J260" s="1042">
        <f>IF(AND(A23&gt;=$B$2,A23&lt;=$B$4),_xlfn.XLOOKUP(A260,'VMT Reduction Supporting'!$A:$A,'VMT Reduction Supporting'!$E:$E,,0),0)</f>
        <v>25870.721397243851</v>
      </c>
      <c r="K260" s="1043">
        <f t="shared" si="112"/>
        <v>1.6578280261896457E-4</v>
      </c>
      <c r="L260" s="1043">
        <f t="shared" si="113"/>
        <v>1.681466303670952E-4</v>
      </c>
      <c r="M260" s="1044">
        <f>IF(AND($A260&gt;=MIN('Major Assumption Key'!$B$4),$A260&lt;=MAX('Major Assumption Key'!$B$6)),L260-K260,0)</f>
        <v>2.3638277481306358E-6</v>
      </c>
      <c r="N260" s="1038">
        <f>IF(AND(A23&gt;=$B$2,A23&lt;=$B$4),_xlfn.XLOOKUP(A260,'VMT Reduction Supporting'!$A:$A,'VMT Reduction Supporting'!$D:$D,,0),0)</f>
        <v>101131.48970234458</v>
      </c>
      <c r="O260" s="1042">
        <f>IF(AND(A23&gt;=$B$2,A23&lt;=$B$4),_xlfn.XLOOKUP(A260,'VMT Reduction Supporting'!$A:$A,'VMT Reduction Supporting'!$G:$G,,0),0)</f>
        <v>114177.45187394704</v>
      </c>
      <c r="P260" s="1045">
        <f t="shared" si="114"/>
        <v>2.7112323551522762E-2</v>
      </c>
      <c r="Q260" s="1045">
        <f t="shared" si="115"/>
        <v>3.0609813289669201E-2</v>
      </c>
      <c r="R260" s="1046">
        <f>IF(AND($A260&gt;=MIN('Major Assumption Key'!$B$4),$A260&lt;=MAX('Major Assumption Key'!$B$6)),Q260-P260,0)</f>
        <v>3.4974897381464393E-3</v>
      </c>
      <c r="S260" s="1047" t="s">
        <v>1145</v>
      </c>
      <c r="T260" s="1079" t="s">
        <v>1145</v>
      </c>
      <c r="U260" s="1048">
        <v>0</v>
      </c>
    </row>
    <row r="261" spans="1:21" outlineLevel="1">
      <c r="A261" s="1036">
        <f t="shared" si="109"/>
        <v>2033</v>
      </c>
      <c r="B261" s="1037">
        <f t="shared" si="118"/>
        <v>6.0227250853075497E-3</v>
      </c>
      <c r="C261" s="1037">
        <f t="shared" si="119"/>
        <v>0.24553395737644398</v>
      </c>
      <c r="D261" s="1038">
        <f>IF(AND(A24&gt;=$B$2,A24&lt;=$B$4),_xlfn.XLOOKUP(A261,'VMT Reduction Supporting'!$A:$A,'VMT Reduction Supporting'!$C:$C,,0),0)</f>
        <v>1785.0320929014565</v>
      </c>
      <c r="E261" s="1039">
        <f>IF(AND(A24&gt;=$B$2,A24&lt;=$B$4),_xlfn.XLOOKUP(A261,'VMT Reduction Supporting'!$A:$A,'VMT Reduction Supporting'!$F:$F,,0),0)</f>
        <v>24395.438602986567</v>
      </c>
      <c r="F261" s="1040">
        <f t="shared" si="110"/>
        <v>1.0750757563996638E-5</v>
      </c>
      <c r="G261" s="1040">
        <f t="shared" si="111"/>
        <v>1.4692702004128735E-4</v>
      </c>
      <c r="H261" s="1041">
        <f>IF(AND($A261&gt;=MIN('Major Assumption Key'!$B$4),$A261&lt;=MAX('Major Assumption Key'!$B$6)),G261-F261,0)</f>
        <v>1.3617626247729072E-4</v>
      </c>
      <c r="I261" s="1038">
        <f>IF(AND(A24&gt;=$B$2,A24&lt;=$B$4),_xlfn.XLOOKUP(A261,'VMT Reduction Supporting'!$A:$A,'VMT Reduction Supporting'!$B:$B,,0),0)</f>
        <v>25882.965347071113</v>
      </c>
      <c r="J261" s="1042">
        <f>IF(AND(A24&gt;=$B$2,A24&lt;=$B$4),_xlfn.XLOOKUP(A261,'VMT Reduction Supporting'!$A:$A,'VMT Reduction Supporting'!$E:$E,,0),0)</f>
        <v>26247.09093152381</v>
      </c>
      <c r="K261" s="1043">
        <f t="shared" si="112"/>
        <v>1.5588598467795124E-4</v>
      </c>
      <c r="L261" s="1043">
        <f t="shared" si="113"/>
        <v>1.5807901296963675E-4</v>
      </c>
      <c r="M261" s="1044">
        <f>IF(AND($A261&gt;=MIN('Major Assumption Key'!$B$4),$A261&lt;=MAX('Major Assumption Key'!$B$6)),L261-K261,0)</f>
        <v>2.1930282916855066E-6</v>
      </c>
      <c r="N261" s="1038">
        <f>IF(AND(A24&gt;=$B$2,A24&lt;=$B$4),_xlfn.XLOOKUP(A261,'VMT Reduction Supporting'!$A:$A,'VMT Reduction Supporting'!$D:$D,,0),0)</f>
        <v>101526.31985911982</v>
      </c>
      <c r="O261" s="1042">
        <f>IF(AND(A24&gt;=$B$2,A24&lt;=$B$4),_xlfn.XLOOKUP(A261,'VMT Reduction Supporting'!$A:$A,'VMT Reduction Supporting'!$G:$G,,0),0)</f>
        <v>114623.21512094629</v>
      </c>
      <c r="P261" s="1045">
        <f t="shared" si="114"/>
        <v>2.4928159092876344E-2</v>
      </c>
      <c r="Q261" s="1045">
        <f t="shared" si="115"/>
        <v>2.8143891615857397E-2</v>
      </c>
      <c r="R261" s="1046">
        <f>IF(AND($A261&gt;=MIN('Major Assumption Key'!$B$4),$A261&lt;=MAX('Major Assumption Key'!$B$6)),Q261-P261,0)</f>
        <v>3.2157325229810532E-3</v>
      </c>
      <c r="S261" s="1047" t="s">
        <v>1145</v>
      </c>
      <c r="T261" s="1079" t="s">
        <v>1145</v>
      </c>
      <c r="U261" s="1048">
        <v>0</v>
      </c>
    </row>
    <row r="262" spans="1:21" outlineLevel="1">
      <c r="A262" s="1036">
        <f t="shared" si="109"/>
        <v>2034</v>
      </c>
      <c r="B262" s="1037">
        <f t="shared" si="118"/>
        <v>5.5809283888976127E-3</v>
      </c>
      <c r="C262" s="1037">
        <f t="shared" si="119"/>
        <v>0.22487583717618526</v>
      </c>
      <c r="D262" s="1038">
        <f>IF(AND(A25&gt;=$B$2,A25&lt;=$B$4),_xlfn.XLOOKUP(A262,'VMT Reduction Supporting'!$A:$A,'VMT Reduction Supporting'!$C:$C,,0),0)</f>
        <v>1811.3409758101511</v>
      </c>
      <c r="E262" s="1039">
        <f>IF(AND(A25&gt;=$B$2,A25&lt;=$B$4),_xlfn.XLOOKUP(A262,'VMT Reduction Supporting'!$A:$A,'VMT Reduction Supporting'!$F:$F,,0),0)</f>
        <v>24754.993336072057</v>
      </c>
      <c r="F262" s="1040">
        <f t="shared" si="110"/>
        <v>1.0108964273872375E-5</v>
      </c>
      <c r="G262" s="1040">
        <f t="shared" si="111"/>
        <v>1.3815584507625577E-4</v>
      </c>
      <c r="H262" s="1041">
        <f>IF(AND($A262&gt;=MIN('Major Assumption Key'!$B$4),$A262&lt;=MAX('Major Assumption Key'!$B$6)),G262-F262,0)</f>
        <v>1.2804688080238338E-4</v>
      </c>
      <c r="I262" s="1038">
        <f>IF(AND(A25&gt;=$B$2,A25&lt;=$B$4),_xlfn.XLOOKUP(A262,'VMT Reduction Supporting'!$A:$A,'VMT Reduction Supporting'!$B:$B,,0),0)</f>
        <v>26264.444149247185</v>
      </c>
      <c r="J262" s="1042">
        <f>IF(AND(A25&gt;=$B$2,A25&lt;=$B$4),_xlfn.XLOOKUP(A262,'VMT Reduction Supporting'!$A:$A,'VMT Reduction Supporting'!$E:$E,,0),0)</f>
        <v>26629.001779520695</v>
      </c>
      <c r="K262" s="1043">
        <f t="shared" si="112"/>
        <v>1.4657998197114942E-4</v>
      </c>
      <c r="L262" s="1043">
        <f t="shared" si="113"/>
        <v>1.486145519993321E-4</v>
      </c>
      <c r="M262" s="1044">
        <f>IF(AND($A262&gt;=MIN('Major Assumption Key'!$B$4),$A262&lt;=MAX('Major Assumption Key'!$B$6)),L262-K262,0)</f>
        <v>2.0345700281826839E-6</v>
      </c>
      <c r="N262" s="1038">
        <f>IF(AND(A25&gt;=$B$2,A25&lt;=$B$4),_xlfn.XLOOKUP(A262,'VMT Reduction Supporting'!$A:$A,'VMT Reduction Supporting'!$D:$D,,0),0)</f>
        <v>101922.69148288181</v>
      </c>
      <c r="O262" s="1042">
        <f>IF(AND(A25&gt;=$B$2,A25&lt;=$B$4),_xlfn.XLOOKUP(A262,'VMT Reduction Supporting'!$A:$A,'VMT Reduction Supporting'!$G:$G,,0),0)</f>
        <v>115070.71868417358</v>
      </c>
      <c r="P262" s="1045">
        <f t="shared" si="114"/>
        <v>2.2919950574463097E-2</v>
      </c>
      <c r="Q262" s="1045">
        <f t="shared" si="115"/>
        <v>2.5876624198568836E-2</v>
      </c>
      <c r="R262" s="1046">
        <f>IF(AND($A262&gt;=MIN('Major Assumption Key'!$B$4),$A262&lt;=MAX('Major Assumption Key'!$B$6)),Q262-P262,0)</f>
        <v>2.9566736241057393E-3</v>
      </c>
      <c r="S262" s="1047" t="s">
        <v>1145</v>
      </c>
      <c r="T262" s="1079" t="s">
        <v>1145</v>
      </c>
      <c r="U262" s="1048">
        <v>0</v>
      </c>
    </row>
    <row r="263" spans="1:21" outlineLevel="1">
      <c r="A263" s="1036">
        <f t="shared" si="109"/>
        <v>2035</v>
      </c>
      <c r="B263" s="1037">
        <f t="shared" si="118"/>
        <v>5.1715396669832882E-3</v>
      </c>
      <c r="C263" s="1037">
        <f t="shared" si="119"/>
        <v>0.20595579807382552</v>
      </c>
      <c r="D263" s="1038">
        <f>IF(AND(A26&gt;=$B$2,A26&lt;=$B$4),_xlfn.XLOOKUP(A263,'VMT Reduction Supporting'!$A:$A,'VMT Reduction Supporting'!$C:$C,,0),0)</f>
        <v>1838.0376149517199</v>
      </c>
      <c r="E263" s="1039">
        <f>IF(AND(A26&gt;=$B$2,A26&lt;=$B$4),_xlfn.XLOOKUP(A263,'VMT Reduction Supporting'!$A:$A,'VMT Reduction Supporting'!$F:$F,,0),0)</f>
        <v>25119.847404340166</v>
      </c>
      <c r="F263" s="1040">
        <f t="shared" si="110"/>
        <v>9.5054844351301748E-6</v>
      </c>
      <c r="G263" s="1040">
        <f t="shared" si="111"/>
        <v>1.2990828728011235E-4</v>
      </c>
      <c r="H263" s="1041">
        <f>IF(AND($A263&gt;=MIN('Major Assumption Key'!$B$4),$A263&lt;=MAX('Major Assumption Key'!$B$6)),G263-F263,0)</f>
        <v>1.2040280284498218E-4</v>
      </c>
      <c r="I263" s="1038">
        <f>IF(AND(A26&gt;=$B$2,A26&lt;=$B$4),_xlfn.XLOOKUP(A263,'VMT Reduction Supporting'!$A:$A,'VMT Reduction Supporting'!$B:$B,,0),0)</f>
        <v>26651.545416799934</v>
      </c>
      <c r="J263" s="1042">
        <f>IF(AND(A26&gt;=$B$2,A26&lt;=$B$4),_xlfn.XLOOKUP(A263,'VMT Reduction Supporting'!$A:$A,'VMT Reduction Supporting'!$E:$E,,0),0)</f>
        <v>27016.535605529451</v>
      </c>
      <c r="K263" s="1043">
        <f t="shared" si="112"/>
        <v>1.3782952430938753E-4</v>
      </c>
      <c r="L263" s="1043">
        <f t="shared" si="113"/>
        <v>1.397170855484619E-4</v>
      </c>
      <c r="M263" s="1044">
        <f>IF(AND($A263&gt;=MIN('Major Assumption Key'!$B$4),$A263&lt;=MAX('Major Assumption Key'!$B$6)),L263-K263,0)</f>
        <v>1.8875612390743704E-6</v>
      </c>
      <c r="N263" s="1038">
        <f>IF(AND(A26&gt;=$B$2,A26&lt;=$B$4),_xlfn.XLOOKUP(A263,'VMT Reduction Supporting'!$A:$A,'VMT Reduction Supporting'!$D:$D,,0),0)</f>
        <v>102320.61059171314</v>
      </c>
      <c r="O263" s="1042">
        <f>IF(AND(A26&gt;=$B$2,A26&lt;=$B$4),_xlfn.XLOOKUP(A263,'VMT Reduction Supporting'!$A:$A,'VMT Reduction Supporting'!$G:$G,,0),0)</f>
        <v>115519.96935804414</v>
      </c>
      <c r="P263" s="1045">
        <f t="shared" si="114"/>
        <v>2.1073523013817406E-2</v>
      </c>
      <c r="Q263" s="1045">
        <f t="shared" si="115"/>
        <v>2.3792007482599849E-2</v>
      </c>
      <c r="R263" s="1046">
        <f>IF(AND($A263&gt;=MIN('Major Assumption Key'!$B$4),$A263&lt;=MAX('Major Assumption Key'!$B$6)),Q263-P263,0)</f>
        <v>2.7184844687824436E-3</v>
      </c>
      <c r="S263" s="1047" t="s">
        <v>1145</v>
      </c>
      <c r="T263" s="1079" t="s">
        <v>1145</v>
      </c>
      <c r="U263" s="1048">
        <v>0</v>
      </c>
    </row>
    <row r="264" spans="1:21" outlineLevel="1">
      <c r="A264" s="1036">
        <f t="shared" si="109"/>
        <v>2036</v>
      </c>
      <c r="B264" s="1037">
        <f t="shared" si="118"/>
        <v>4.7921816342216964E-3</v>
      </c>
      <c r="C264" s="1037">
        <f t="shared" si="119"/>
        <v>0.18862760576180979</v>
      </c>
      <c r="D264" s="1038">
        <f>IF(AND(A27&gt;=$B$2,A27&lt;=$B$4),_xlfn.XLOOKUP(A264,'VMT Reduction Supporting'!$A:$A,'VMT Reduction Supporting'!$C:$C,,0),0)</f>
        <v>1865.1277253121111</v>
      </c>
      <c r="E264" s="1039">
        <f>IF(AND(A27&gt;=$B$2,A27&lt;=$B$4),_xlfn.XLOOKUP(A264,'VMT Reduction Supporting'!$A:$A,'VMT Reduction Supporting'!$F:$F,,0),0)</f>
        <v>25490.078912598849</v>
      </c>
      <c r="F264" s="1040">
        <f t="shared" si="110"/>
        <v>8.9380308307183882E-6</v>
      </c>
      <c r="G264" s="1040">
        <f t="shared" si="111"/>
        <v>1.2215308801981795E-4</v>
      </c>
      <c r="H264" s="1041">
        <f>IF(AND($A264&gt;=MIN('Major Assumption Key'!$B$4),$A264&lt;=MAX('Major Assumption Key'!$B$6)),G264-F264,0)</f>
        <v>1.1321505718909956E-4</v>
      </c>
      <c r="I264" s="1038">
        <f>IF(AND(A27&gt;=$B$2,A27&lt;=$B$4),_xlfn.XLOOKUP(A264,'VMT Reduction Supporting'!$A:$A,'VMT Reduction Supporting'!$B:$B,,0),0)</f>
        <v>27044.352017025605</v>
      </c>
      <c r="J264" s="1042">
        <f>IF(AND(A27&gt;=$B$2,A27&lt;=$B$4),_xlfn.XLOOKUP(A264,'VMT Reduction Supporting'!$A:$A,'VMT Reduction Supporting'!$E:$E,,0),0)</f>
        <v>27409.775277454592</v>
      </c>
      <c r="K264" s="1043">
        <f t="shared" si="112"/>
        <v>1.296014470454166E-4</v>
      </c>
      <c r="L264" s="1043">
        <f t="shared" si="113"/>
        <v>1.313526216827618E-4</v>
      </c>
      <c r="M264" s="1044">
        <f>IF(AND($A264&gt;=MIN('Major Assumption Key'!$B$4),$A264&lt;=MAX('Major Assumption Key'!$B$6)),L264-K264,0)</f>
        <v>1.7511746373451978E-6</v>
      </c>
      <c r="N264" s="1038">
        <f>IF(AND(A27&gt;=$B$2,A27&lt;=$B$4),_xlfn.XLOOKUP(A264,'VMT Reduction Supporting'!$A:$A,'VMT Reduction Supporting'!$D:$D,,0),0)</f>
        <v>102720.08322719164</v>
      </c>
      <c r="O264" s="1042">
        <f>IF(AND(A27&gt;=$B$2,A27&lt;=$B$4),_xlfn.XLOOKUP(A264,'VMT Reduction Supporting'!$A:$A,'VMT Reduction Supporting'!$G:$G,,0),0)</f>
        <v>115970.97396349937</v>
      </c>
      <c r="P264" s="1045">
        <f t="shared" si="114"/>
        <v>1.9375843362798996E-2</v>
      </c>
      <c r="Q264" s="1045">
        <f t="shared" si="115"/>
        <v>2.1875327156600066E-2</v>
      </c>
      <c r="R264" s="1046">
        <f>IF(AND($A264&gt;=MIN('Major Assumption Key'!$B$4),$A264&lt;=MAX('Major Assumption Key'!$B$6)),Q264-P264,0)</f>
        <v>2.4994837938010703E-3</v>
      </c>
      <c r="S264" s="1047" t="s">
        <v>1145</v>
      </c>
      <c r="T264" s="1079" t="s">
        <v>1145</v>
      </c>
      <c r="U264" s="1048">
        <v>0</v>
      </c>
    </row>
    <row r="265" spans="1:21" outlineLevel="1">
      <c r="A265" s="1036">
        <f t="shared" si="109"/>
        <v>2037</v>
      </c>
      <c r="B265" s="1037">
        <f t="shared" si="118"/>
        <v>4.4406513909169901E-3</v>
      </c>
      <c r="C265" s="1037">
        <f t="shared" si="119"/>
        <v>0.17275732942793307</v>
      </c>
      <c r="D265" s="1038">
        <f>IF(AND(A28&gt;=$B$2,A28&lt;=$B$4),_xlfn.XLOOKUP(A265,'VMT Reduction Supporting'!$A:$A,'VMT Reduction Supporting'!$C:$C,,0),0)</f>
        <v>1892.6171061081936</v>
      </c>
      <c r="E265" s="1039">
        <f>IF(AND(A28&gt;=$B$2,A28&lt;=$B$4),_xlfn.XLOOKUP(A265,'VMT Reduction Supporting'!$A:$A,'VMT Reduction Supporting'!$F:$F,,0),0)</f>
        <v>25865.76711681197</v>
      </c>
      <c r="F265" s="1040">
        <f t="shared" si="110"/>
        <v>8.4044527847126397E-6</v>
      </c>
      <c r="G265" s="1040">
        <f t="shared" si="111"/>
        <v>1.1486085472440602E-4</v>
      </c>
      <c r="H265" s="1041">
        <f>IF(AND($A265&gt;=MIN('Major Assumption Key'!$B$4),$A265&lt;=MAX('Major Assumption Key'!$B$6)),G265-F265,0)</f>
        <v>1.0645640193969339E-4</v>
      </c>
      <c r="I265" s="1038">
        <f>IF(AND(A28&gt;=$B$2,A28&lt;=$B$4),_xlfn.XLOOKUP(A265,'VMT Reduction Supporting'!$A:$A,'VMT Reduction Supporting'!$B:$B,,0),0)</f>
        <v>27442.948038568797</v>
      </c>
      <c r="J265" s="1042">
        <f>IF(AND(A28&gt;=$B$2,A28&lt;=$B$4),_xlfn.XLOOKUP(A265,'VMT Reduction Supporting'!$A:$A,'VMT Reduction Supporting'!$E:$E,,0),0)</f>
        <v>27808.804884549685</v>
      </c>
      <c r="K265" s="1043">
        <f t="shared" si="112"/>
        <v>1.218645653783332E-4</v>
      </c>
      <c r="L265" s="1043">
        <f t="shared" si="113"/>
        <v>1.2348920809031474E-4</v>
      </c>
      <c r="M265" s="1044">
        <f>IF(AND($A265&gt;=MIN('Major Assumption Key'!$B$4),$A265&lt;=MAX('Major Assumption Key'!$B$6)),L265-K265,0)</f>
        <v>1.6246427119815326E-6</v>
      </c>
      <c r="N265" s="1038">
        <f>IF(AND(A28&gt;=$B$2,A28&lt;=$B$4),_xlfn.XLOOKUP(A265,'VMT Reduction Supporting'!$A:$A,'VMT Reduction Supporting'!$D:$D,,0),0)</f>
        <v>103121.11545448234</v>
      </c>
      <c r="O265" s="1042">
        <f>IF(AND(A28&gt;=$B$2,A28&lt;=$B$4),_xlfn.XLOOKUP(A265,'VMT Reduction Supporting'!$A:$A,'VMT Reduction Supporting'!$G:$G,,0),0)</f>
        <v>116423.73934811057</v>
      </c>
      <c r="P265" s="1045">
        <f t="shared" si="114"/>
        <v>1.7814928513545925E-2</v>
      </c>
      <c r="Q265" s="1045">
        <f t="shared" si="115"/>
        <v>2.0113054291793348E-2</v>
      </c>
      <c r="R265" s="1046">
        <f>IF(AND($A265&gt;=MIN('Major Assumption Key'!$B$4),$A265&lt;=MAX('Major Assumption Key'!$B$6)),Q265-P265,0)</f>
        <v>2.2981257782474229E-3</v>
      </c>
      <c r="S265" s="1047" t="s">
        <v>1145</v>
      </c>
      <c r="T265" s="1079" t="s">
        <v>1145</v>
      </c>
      <c r="U265" s="1048">
        <v>0</v>
      </c>
    </row>
    <row r="266" spans="1:21" outlineLevel="1">
      <c r="A266" s="1036">
        <f t="shared" si="109"/>
        <v>2038</v>
      </c>
      <c r="B266" s="1037">
        <f t="shared" si="118"/>
        <v>4.11490763096997E-3</v>
      </c>
      <c r="C266" s="1037">
        <f t="shared" si="119"/>
        <v>0.1582223065947112</v>
      </c>
      <c r="D266" s="1038">
        <f>IF(AND(A29&gt;=$B$2,A29&lt;=$B$4),_xlfn.XLOOKUP(A266,'VMT Reduction Supporting'!$A:$A,'VMT Reduction Supporting'!$C:$C,,0),0)</f>
        <v>1920.511642029202</v>
      </c>
      <c r="E266" s="1039">
        <f>IF(AND(A29&gt;=$B$2,A29&lt;=$B$4),_xlfn.XLOOKUP(A266,'VMT Reduction Supporting'!$A:$A,'VMT Reduction Supporting'!$F:$F,,0),0)</f>
        <v>26246.992441065755</v>
      </c>
      <c r="F266" s="1040">
        <f t="shared" si="110"/>
        <v>7.9027280111526301E-6</v>
      </c>
      <c r="G266" s="1040">
        <f t="shared" si="111"/>
        <v>1.080039494857526E-4</v>
      </c>
      <c r="H266" s="1041">
        <f>IF(AND($A266&gt;=MIN('Major Assumption Key'!$B$4),$A266&lt;=MAX('Major Assumption Key'!$B$6)),G266-F266,0)</f>
        <v>1.0010122147459997E-4</v>
      </c>
      <c r="I266" s="1038">
        <f>IF(AND(A29&gt;=$B$2,A29&lt;=$B$4),_xlfn.XLOOKUP(A266,'VMT Reduction Supporting'!$A:$A,'VMT Reduction Supporting'!$B:$B,,0),0)</f>
        <v>27847.41880942342</v>
      </c>
      <c r="J266" s="1042">
        <f>IF(AND(A29&gt;=$B$2,A29&lt;=$B$4),_xlfn.XLOOKUP(A266,'VMT Reduction Supporting'!$A:$A,'VMT Reduction Supporting'!$E:$E,,0),0)</f>
        <v>28213.709755418346</v>
      </c>
      <c r="K266" s="1043">
        <f t="shared" si="112"/>
        <v>1.145895561617131E-4</v>
      </c>
      <c r="L266" s="1043">
        <f t="shared" si="113"/>
        <v>1.1609680957054283E-4</v>
      </c>
      <c r="M266" s="1044">
        <f>IF(AND($A266&gt;=MIN('Major Assumption Key'!$B$4),$A266&lt;=MAX('Major Assumption Key'!$B$6)),L266-K266,0)</f>
        <v>1.507253408829725E-6</v>
      </c>
      <c r="N266" s="1038">
        <f>IF(AND(A29&gt;=$B$2,A29&lt;=$B$4),_xlfn.XLOOKUP(A266,'VMT Reduction Supporting'!$A:$A,'VMT Reduction Supporting'!$D:$D,,0),0)</f>
        <v>103523.71336242935</v>
      </c>
      <c r="O266" s="1042">
        <f>IF(AND(A29&gt;=$B$2,A29&lt;=$B$4),_xlfn.XLOOKUP(A266,'VMT Reduction Supporting'!$A:$A,'VMT Reduction Supporting'!$G:$G,,0),0)</f>
        <v>116878.27238618277</v>
      </c>
      <c r="P266" s="1045">
        <f t="shared" si="114"/>
        <v>1.6379760715453297E-2</v>
      </c>
      <c r="Q266" s="1045">
        <f t="shared" si="115"/>
        <v>1.8492749847746778E-2</v>
      </c>
      <c r="R266" s="1046">
        <f>IF(AND($A266&gt;=MIN('Major Assumption Key'!$B$4),$A266&lt;=MAX('Major Assumption Key'!$B$6)),Q266-P266,0)</f>
        <v>2.1129891322934809E-3</v>
      </c>
      <c r="S266" s="1047" t="s">
        <v>1145</v>
      </c>
      <c r="T266" s="1079" t="s">
        <v>1145</v>
      </c>
      <c r="U266" s="1048">
        <v>0</v>
      </c>
    </row>
    <row r="267" spans="1:21" outlineLevel="1">
      <c r="A267" s="1036">
        <f t="shared" si="109"/>
        <v>2039</v>
      </c>
      <c r="B267" s="1037">
        <f t="shared" si="118"/>
        <v>3.8130587881879088E-3</v>
      </c>
      <c r="C267" s="1037">
        <f t="shared" si="119"/>
        <v>0.14491019505250008</v>
      </c>
      <c r="D267" s="1038">
        <f>IF(AND(A30&gt;=$B$2,A30&lt;=$B$4),_xlfn.XLOOKUP(A267,'VMT Reduction Supporting'!$A:$A,'VMT Reduction Supporting'!$C:$C,,0),0)</f>
        <v>1948.8173044964817</v>
      </c>
      <c r="E267" s="1039">
        <f>IF(AND(A30&gt;=$B$2,A30&lt;=$B$4),_xlfn.XLOOKUP(A267,'VMT Reduction Supporting'!$A:$A,'VMT Reduction Supporting'!$F:$F,,0),0)</f>
        <v>26633.83649478525</v>
      </c>
      <c r="F267" s="1040">
        <f t="shared" si="110"/>
        <v>7.430954949482982E-6</v>
      </c>
      <c r="G267" s="1040">
        <f t="shared" si="111"/>
        <v>1.0155638430960075E-4</v>
      </c>
      <c r="H267" s="1041">
        <f>IF(AND($A267&gt;=MIN('Major Assumption Key'!$B$4),$A267&lt;=MAX('Major Assumption Key'!$B$6)),G267-F267,0)</f>
        <v>9.412542936011777E-5</v>
      </c>
      <c r="I267" s="1038">
        <f>IF(AND(A30&gt;=$B$2,A30&lt;=$B$4),_xlfn.XLOOKUP(A267,'VMT Reduction Supporting'!$A:$A,'VMT Reduction Supporting'!$B:$B,,0),0)</f>
        <v>28257.850915198978</v>
      </c>
      <c r="J267" s="1042">
        <f>IF(AND(A30&gt;=$B$2,A30&lt;=$B$4),_xlfn.XLOOKUP(A267,'VMT Reduction Supporting'!$A:$A,'VMT Reduction Supporting'!$E:$E,,0),0)</f>
        <v>28624.576476280497</v>
      </c>
      <c r="K267" s="1043">
        <f t="shared" si="112"/>
        <v>1.0774884676750321E-4</v>
      </c>
      <c r="L267" s="1043">
        <f t="shared" si="113"/>
        <v>1.0914719289103823E-4</v>
      </c>
      <c r="M267" s="1044">
        <f>IF(AND($A267&gt;=MIN('Major Assumption Key'!$B$4),$A267&lt;=MAX('Major Assumption Key'!$B$6)),L267-K267,0)</f>
        <v>1.3983461235350143E-6</v>
      </c>
      <c r="N267" s="1038">
        <f>IF(AND(A30&gt;=$B$2,A30&lt;=$B$4),_xlfn.XLOOKUP(A267,'VMT Reduction Supporting'!$A:$A,'VMT Reduction Supporting'!$D:$D,,0),0)</f>
        <v>103927.88306364848</v>
      </c>
      <c r="O267" s="1042">
        <f>IF(AND(A30&gt;=$B$2,A30&lt;=$B$4),_xlfn.XLOOKUP(A267,'VMT Reduction Supporting'!$A:$A,'VMT Reduction Supporting'!$G:$G,,0),0)</f>
        <v>117334.57997885915</v>
      </c>
      <c r="P267" s="1045">
        <f t="shared" si="114"/>
        <v>1.506020980614672E-2</v>
      </c>
      <c r="Q267" s="1045">
        <f t="shared" si="115"/>
        <v>1.700297687113965E-2</v>
      </c>
      <c r="R267" s="1046">
        <f>IF(AND($A267&gt;=MIN('Major Assumption Key'!$B$4),$A267&lt;=MAX('Major Assumption Key'!$B$6)),Q267-P267,0)</f>
        <v>1.9427670649929292E-3</v>
      </c>
      <c r="S267" s="1047" t="s">
        <v>1145</v>
      </c>
      <c r="T267" s="1079" t="s">
        <v>1145</v>
      </c>
      <c r="U267" s="1048">
        <v>0</v>
      </c>
    </row>
    <row r="268" spans="1:21" outlineLevel="1">
      <c r="A268" s="1036">
        <f t="shared" si="109"/>
        <v>2040</v>
      </c>
      <c r="B268" s="1078">
        <f>VLOOKUP($B$5,'Emission Factors'!$O$5:$T$21,6,FALSE)</f>
        <v>3.5333520521212279E-3</v>
      </c>
      <c r="C268" s="1078">
        <f>VLOOKUP($B$6,'Emission Factors'!$O$28:$T$44,6,FALSE)</f>
        <v>0.13271810455868768</v>
      </c>
      <c r="D268" s="1038">
        <f>IF(AND(A31&gt;=$B$2,A31&lt;=$B$4),_xlfn.XLOOKUP(A268,'VMT Reduction Supporting'!$A:$A,'VMT Reduction Supporting'!$C:$C,,0),0)</f>
        <v>1977.5401529417989</v>
      </c>
      <c r="E268" s="1039">
        <f>IF(AND(A31&gt;=$B$2,A31&lt;=$B$4),_xlfn.XLOOKUP(A268,'VMT Reduction Supporting'!$A:$A,'VMT Reduction Supporting'!$F:$F,,0),0)</f>
        <v>27026.382090204577</v>
      </c>
      <c r="F268" s="1040">
        <f t="shared" si="110"/>
        <v>6.9873455575490323E-6</v>
      </c>
      <c r="G268" s="1040">
        <f t="shared" si="111"/>
        <v>9.5493722619836746E-5</v>
      </c>
      <c r="H268" s="1041">
        <f>IF(AND($A268&gt;=MIN('Major Assumption Key'!$B$4),$A268&lt;=MAX('Major Assumption Key'!$B$6)),G268-F268,0)</f>
        <v>8.850637706228772E-5</v>
      </c>
      <c r="I268" s="1038">
        <f>IF(AND(A31&gt;=$B$2,A31&lt;=$B$4),_xlfn.XLOOKUP(A268,'VMT Reduction Supporting'!$A:$A,'VMT Reduction Supporting'!$B:$B,,0),0)</f>
        <v>28674.332217656076</v>
      </c>
      <c r="J268" s="1042">
        <f>IF(AND(A31&gt;=$B$2,A31&lt;=$B$4),_xlfn.XLOOKUP(A268,'VMT Reduction Supporting'!$A:$A,'VMT Reduction Supporting'!$E:$E,,0),0)</f>
        <v>29041.492909507902</v>
      </c>
      <c r="K268" s="1043">
        <f t="shared" si="112"/>
        <v>1.0131651058446095E-4</v>
      </c>
      <c r="L268" s="1043">
        <f t="shared" si="113"/>
        <v>1.0261381856847383E-4</v>
      </c>
      <c r="M268" s="1044">
        <f>IF(AND($A268&gt;=MIN('Major Assumption Key'!$B$4),$A268&lt;=MAX('Major Assumption Key'!$B$6)),L268-K268,0)</f>
        <v>1.2973079840128838E-6</v>
      </c>
      <c r="N268" s="1038">
        <f>IF(AND(A31&gt;=$B$2,A31&lt;=$B$4),_xlfn.XLOOKUP(A268,'VMT Reduction Supporting'!$A:$A,'VMT Reduction Supporting'!$D:$D,,0),0)</f>
        <v>104333.63069461992</v>
      </c>
      <c r="O268" s="1042">
        <f>IF(AND(A31&gt;=$B$2,A31&lt;=$B$4),_xlfn.XLOOKUP(A268,'VMT Reduction Supporting'!$A:$A,'VMT Reduction Supporting'!$G:$G,,0),0)</f>
        <v>117792.66905422589</v>
      </c>
      <c r="P268" s="1045">
        <f t="shared" si="114"/>
        <v>1.3846961707516073E-2</v>
      </c>
      <c r="Q268" s="1045">
        <f t="shared" si="115"/>
        <v>1.5633219767785644E-2</v>
      </c>
      <c r="R268" s="1046">
        <f>IF(AND($A268&gt;=MIN('Major Assumption Key'!$B$4),$A268&lt;=MAX('Major Assumption Key'!$B$6)),Q268-P268,0)</f>
        <v>1.7862580602695712E-3</v>
      </c>
      <c r="S268" s="1047" t="s">
        <v>1145</v>
      </c>
      <c r="T268" s="1079" t="s">
        <v>1145</v>
      </c>
      <c r="U268" s="1048">
        <v>0</v>
      </c>
    </row>
    <row r="269" spans="1:21" outlineLevel="1">
      <c r="A269" s="1036">
        <f t="shared" si="109"/>
        <v>2041</v>
      </c>
      <c r="B269" s="1037">
        <f>$B$273*(($B$268/$B$273)^(1/($A$268-$A$273))^(A269-$A$273))</f>
        <v>3.4896605573250536E-3</v>
      </c>
      <c r="C269" s="1037">
        <f>$C$273*(($C$268/$C$273)^(1/($A$268-$A$273))^(A269-$A$273))</f>
        <v>0.13268507136781935</v>
      </c>
      <c r="D269" s="1038">
        <f>IF(AND(A32&gt;=$B$2,A32&lt;=$B$4),_xlfn.XLOOKUP(A269,'VMT Reduction Supporting'!$A:$A,'VMT Reduction Supporting'!$C:$C,,0),0)</f>
        <v>2006.68633610449</v>
      </c>
      <c r="E269" s="1039">
        <f>IF(AND(A32&gt;=$B$2,A32&lt;=$B$4),_xlfn.XLOOKUP(A269,'VMT Reduction Supporting'!$A:$A,'VMT Reduction Supporting'!$F:$F,,0),0)</f>
        <v>27424.713260094686</v>
      </c>
      <c r="F269" s="1040">
        <f t="shared" si="110"/>
        <v>7.0026541580269643E-6</v>
      </c>
      <c r="G269" s="1040">
        <f t="shared" si="111"/>
        <v>9.5702940159701812E-5</v>
      </c>
      <c r="H269" s="1041">
        <f>IF(AND($A269&gt;=MIN('Major Assumption Key'!$B$4),$A269&lt;=MAX('Major Assumption Key'!$B$6)),G269-F269,0)</f>
        <v>8.8700286001674845E-5</v>
      </c>
      <c r="I269" s="1038">
        <f>IF(AND(A32&gt;=$B$2,A32&lt;=$B$4),_xlfn.XLOOKUP(A269,'VMT Reduction Supporting'!$A:$A,'VMT Reduction Supporting'!$B:$B,,0),0)</f>
        <v>29096.9518735151</v>
      </c>
      <c r="J269" s="1042">
        <f>IF(AND(A32&gt;=$B$2,A32&lt;=$B$4),_xlfn.XLOOKUP(A269,'VMT Reduction Supporting'!$A:$A,'VMT Reduction Supporting'!$E:$E,,0),0)</f>
        <v>29464.548212432808</v>
      </c>
      <c r="K269" s="1043">
        <f t="shared" si="112"/>
        <v>1.0153848529139096E-4</v>
      </c>
      <c r="L269" s="1043">
        <f t="shared" si="113"/>
        <v>1.0282127173632918E-4</v>
      </c>
      <c r="M269" s="1044">
        <f>IF(AND($A269&gt;=MIN('Major Assumption Key'!$B$4),$A269&lt;=MAX('Major Assumption Key'!$B$6)),L269-K269,0)</f>
        <v>1.2827864449382171E-6</v>
      </c>
      <c r="N269" s="1038">
        <f>IF(AND(A32&gt;=$B$2,A32&lt;=$B$4),_xlfn.XLOOKUP(A269,'VMT Reduction Supporting'!$A:$A,'VMT Reduction Supporting'!$D:$D,,0),0)</f>
        <v>104740.96241578144</v>
      </c>
      <c r="O269" s="1042">
        <f>IF(AND(A32&gt;=$B$2,A32&lt;=$B$4),_xlfn.XLOOKUP(A269,'VMT Reduction Supporting'!$A:$A,'VMT Reduction Supporting'!$G:$G,,0),0)</f>
        <v>118252.54656741727</v>
      </c>
      <c r="P269" s="1045">
        <f t="shared" si="114"/>
        <v>1.3897562073272043E-2</v>
      </c>
      <c r="Q269" s="1045">
        <f t="shared" si="115"/>
        <v>1.5690347580724143E-2</v>
      </c>
      <c r="R269" s="1046">
        <f>IF(AND($A269&gt;=MIN('Major Assumption Key'!$B$4),$A269&lt;=MAX('Major Assumption Key'!$B$6)),Q269-P269,0)</f>
        <v>1.7927855074520993E-3</v>
      </c>
      <c r="S269" s="1047" t="s">
        <v>1145</v>
      </c>
      <c r="T269" s="1079" t="s">
        <v>1145</v>
      </c>
      <c r="U269" s="1048">
        <v>0</v>
      </c>
    </row>
    <row r="270" spans="1:21" outlineLevel="1">
      <c r="A270" s="1036">
        <f t="shared" si="109"/>
        <v>2042</v>
      </c>
      <c r="B270" s="1037">
        <f t="shared" ref="B270:B288" si="120">$B$273*(($B$268/$B$273)^(1/($A$268-$A$273))^(A270-$A$273))</f>
        <v>3.4465093276056019E-3</v>
      </c>
      <c r="C270" s="1037">
        <f t="shared" ref="C270:C272" si="121">$C$273*(($C$268/$C$273)^(1/($A$268-$A$273))^(A270-$A$273))</f>
        <v>0.1326520463988263</v>
      </c>
      <c r="D270" s="1038">
        <f>IF(AND(A33&gt;=$B$2,A33&lt;=$B$4),_xlfn.XLOOKUP(A270,'VMT Reduction Supporting'!$A:$A,'VMT Reduction Supporting'!$C:$C,,0),0)</f>
        <v>2036.2620933477322</v>
      </c>
      <c r="E270" s="1039">
        <f>IF(AND(A33&gt;=$B$2,A33&lt;=$B$4),_xlfn.XLOOKUP(A270,'VMT Reduction Supporting'!$A:$A,'VMT Reduction Supporting'!$F:$F,,0),0)</f>
        <v>27828.91527575233</v>
      </c>
      <c r="F270" s="1040">
        <f t="shared" si="110"/>
        <v>7.017996298172668E-6</v>
      </c>
      <c r="G270" s="1040">
        <f t="shared" si="111"/>
        <v>9.5912616075026415E-5</v>
      </c>
      <c r="H270" s="1041">
        <f>IF(AND($A270&gt;=MIN('Major Assumption Key'!$B$4),$A270&lt;=MAX('Major Assumption Key'!$B$6)),G270-F270,0)</f>
        <v>8.8894619776853746E-5</v>
      </c>
      <c r="I270" s="1038">
        <f>IF(AND(A33&gt;=$B$2,A33&lt;=$B$4),_xlfn.XLOOKUP(A270,'VMT Reduction Supporting'!$A:$A,'VMT Reduction Supporting'!$B:$B,,0),0)</f>
        <v>29525.800353542108</v>
      </c>
      <c r="J270" s="1042">
        <f>IF(AND(A33&gt;=$B$2,A33&lt;=$B$4),_xlfn.XLOOKUP(A270,'VMT Reduction Supporting'!$A:$A,'VMT Reduction Supporting'!$E:$E,,0),0)</f>
        <v>29893.832856433892</v>
      </c>
      <c r="K270" s="1043">
        <f t="shared" si="112"/>
        <v>1.0176094632350366E-4</v>
      </c>
      <c r="L270" s="1043">
        <f t="shared" si="113"/>
        <v>1.0302937377758223E-4</v>
      </c>
      <c r="M270" s="1044">
        <f>IF(AND($A270&gt;=MIN('Major Assumption Key'!$B$4),$A270&lt;=MAX('Major Assumption Key'!$B$6)),L270-K270,0)</f>
        <v>1.2684274540785643E-6</v>
      </c>
      <c r="N270" s="1038">
        <f>IF(AND(A33&gt;=$B$2,A33&lt;=$B$4),_xlfn.XLOOKUP(A270,'VMT Reduction Supporting'!$A:$A,'VMT Reduction Supporting'!$D:$D,,0),0)</f>
        <v>105149.884411622</v>
      </c>
      <c r="O270" s="1042">
        <f>IF(AND(A33&gt;=$B$2,A33&lt;=$B$4),_xlfn.XLOOKUP(A270,'VMT Reduction Supporting'!$A:$A,'VMT Reduction Supporting'!$G:$G,,0),0)</f>
        <v>118714.21950072126</v>
      </c>
      <c r="P270" s="1045">
        <f t="shared" si="114"/>
        <v>1.3948347345801703E-2</v>
      </c>
      <c r="Q270" s="1045">
        <f t="shared" si="115"/>
        <v>1.5747684153410126E-2</v>
      </c>
      <c r="R270" s="1046">
        <f>IF(AND($A270&gt;=MIN('Major Assumption Key'!$B$4),$A270&lt;=MAX('Major Assumption Key'!$B$6)),Q270-P270,0)</f>
        <v>1.7993368076084232E-3</v>
      </c>
      <c r="S270" s="1047" t="s">
        <v>1145</v>
      </c>
      <c r="T270" s="1079" t="s">
        <v>1145</v>
      </c>
      <c r="U270" s="1048">
        <v>0</v>
      </c>
    </row>
    <row r="271" spans="1:21" outlineLevel="1">
      <c r="A271" s="1036">
        <f t="shared" si="109"/>
        <v>2043</v>
      </c>
      <c r="B271" s="1037">
        <f t="shared" si="120"/>
        <v>3.4038916823410604E-3</v>
      </c>
      <c r="C271" s="1037">
        <f t="shared" si="121"/>
        <v>0.13261902964966205</v>
      </c>
      <c r="D271" s="1038">
        <f>IF(AND(A34&gt;=$B$2,A34&lt;=$B$4),_xlfn.XLOOKUP(A271,'VMT Reduction Supporting'!$A:$A,'VMT Reduction Supporting'!$C:$C,,0),0)</f>
        <v>2066.273755994212</v>
      </c>
      <c r="E271" s="1039">
        <f>IF(AND(A34&gt;=$B$2,A34&lt;=$B$4),_xlfn.XLOOKUP(A271,'VMT Reduction Supporting'!$A:$A,'VMT Reduction Supporting'!$F:$F,,0),0)</f>
        <v>28239.074665254226</v>
      </c>
      <c r="F271" s="1040">
        <f t="shared" si="110"/>
        <v>7.0333720514683201E-6</v>
      </c>
      <c r="G271" s="1040">
        <f t="shared" si="111"/>
        <v>9.6122751370067021E-5</v>
      </c>
      <c r="H271" s="1041">
        <f>IF(AND($A271&gt;=MIN('Major Assumption Key'!$B$4),$A271&lt;=MAX('Major Assumption Key'!$B$6)),G271-F271,0)</f>
        <v>8.9089379318598708E-5</v>
      </c>
      <c r="I271" s="1038">
        <f>IF(AND(A34&gt;=$B$2,A34&lt;=$B$4),_xlfn.XLOOKUP(A271,'VMT Reduction Supporting'!$A:$A,'VMT Reduction Supporting'!$B:$B,,0),0)</f>
        <v>29960.969461916065</v>
      </c>
      <c r="J271" s="1042">
        <f>IF(AND(A34&gt;=$B$2,A34&lt;=$B$4),_xlfn.XLOOKUP(A271,'VMT Reduction Supporting'!$A:$A,'VMT Reduction Supporting'!$E:$E,,0),0)</f>
        <v>30329.438646303432</v>
      </c>
      <c r="K271" s="1043">
        <f t="shared" si="112"/>
        <v>1.0198389474629061E-4</v>
      </c>
      <c r="L271" s="1043">
        <f t="shared" si="113"/>
        <v>1.0323812393822577E-4</v>
      </c>
      <c r="M271" s="1044">
        <f>IF(AND($A271&gt;=MIN('Major Assumption Key'!$B$4),$A271&lt;=MAX('Major Assumption Key'!$B$6)),L271-K271,0)</f>
        <v>1.2542291919351637E-6</v>
      </c>
      <c r="N271" s="1038">
        <f>IF(AND(A34&gt;=$B$2,A34&lt;=$B$4),_xlfn.XLOOKUP(A271,'VMT Reduction Supporting'!$A:$A,'VMT Reduction Supporting'!$D:$D,,0),0)</f>
        <v>105560.40289077553</v>
      </c>
      <c r="O271" s="1042">
        <f>IF(AND(A34&gt;=$B$2,A34&lt;=$B$4),_xlfn.XLOOKUP(A271,'VMT Reduction Supporting'!$A:$A,'VMT Reduction Supporting'!$G:$G,,0),0)</f>
        <v>119177.6948636856</v>
      </c>
      <c r="P271" s="1045">
        <f t="shared" si="114"/>
        <v>1.399931820080203E-2</v>
      </c>
      <c r="Q271" s="1045">
        <f t="shared" si="115"/>
        <v>1.5805230248705497E-2</v>
      </c>
      <c r="R271" s="1046">
        <f>IF(AND($A271&gt;=MIN('Major Assumption Key'!$B$4),$A271&lt;=MAX('Major Assumption Key'!$B$6)),Q271-P271,0)</f>
        <v>1.8059120479034674E-3</v>
      </c>
      <c r="S271" s="1047" t="s">
        <v>1145</v>
      </c>
      <c r="T271" s="1079" t="s">
        <v>1145</v>
      </c>
      <c r="U271" s="1048">
        <v>0</v>
      </c>
    </row>
    <row r="272" spans="1:21" outlineLevel="1">
      <c r="A272" s="1036">
        <f t="shared" si="109"/>
        <v>2044</v>
      </c>
      <c r="B272" s="1037">
        <f t="shared" si="120"/>
        <v>3.3618010235185241E-3</v>
      </c>
      <c r="C272" s="1037">
        <f t="shared" si="121"/>
        <v>0.1325860211182808</v>
      </c>
      <c r="D272" s="1038">
        <f>IF(AND(A35&gt;=$B$2,A35&lt;=$B$4),_xlfn.XLOOKUP(A272,'VMT Reduction Supporting'!$A:$A,'VMT Reduction Supporting'!$C:$C,,0),0)</f>
        <v>2096.7277486814805</v>
      </c>
      <c r="E272" s="1039">
        <f>IF(AND(A35&gt;=$B$2,A35&lt;=$B$4),_xlfn.XLOOKUP(A272,'VMT Reduction Supporting'!$A:$A,'VMT Reduction Supporting'!$F:$F,,0),0)</f>
        <v>28655.279231980225</v>
      </c>
      <c r="F272" s="1040">
        <f t="shared" si="110"/>
        <v>7.0487814915570919E-6</v>
      </c>
      <c r="G272" s="1040">
        <f t="shared" si="111"/>
        <v>9.6333347051280225E-5</v>
      </c>
      <c r="H272" s="1041">
        <f>IF(AND($A272&gt;=MIN('Major Assumption Key'!$B$4),$A272&lt;=MAX('Major Assumption Key'!$B$6)),G272-F272,0)</f>
        <v>8.9284565559723139E-5</v>
      </c>
      <c r="I272" s="1038">
        <f>IF(AND(A35&gt;=$B$2,A35&lt;=$B$4),_xlfn.XLOOKUP(A272,'VMT Reduction Supporting'!$A:$A,'VMT Reduction Supporting'!$B:$B,,0),0)</f>
        <v>30402.552355881457</v>
      </c>
      <c r="J272" s="1042">
        <f>IF(AND(A35&gt;=$B$2,A35&lt;=$B$4),_xlfn.XLOOKUP(A272,'VMT Reduction Supporting'!$A:$A,'VMT Reduction Supporting'!$E:$E,,0),0)</f>
        <v>30771.458739899965</v>
      </c>
      <c r="K272" s="1043">
        <f t="shared" si="112"/>
        <v>1.0220733162757781E-4</v>
      </c>
      <c r="L272" s="1043">
        <f t="shared" si="113"/>
        <v>1.0344752148695373E-4</v>
      </c>
      <c r="M272" s="1044">
        <f>IF(AND($A272&gt;=MIN('Major Assumption Key'!$B$4),$A272&lt;=MAX('Major Assumption Key'!$B$6)),L272-K272,0)</f>
        <v>1.2401898593759236E-6</v>
      </c>
      <c r="N272" s="1038">
        <f>IF(AND(A35&gt;=$B$2,A35&lt;=$B$4),_xlfn.XLOOKUP(A272,'VMT Reduction Supporting'!$A:$A,'VMT Reduction Supporting'!$D:$D,,0),0)</f>
        <v>105972.5240861153</v>
      </c>
      <c r="O272" s="1042">
        <f>IF(AND(A35&gt;=$B$2,A35&lt;=$B$4),_xlfn.XLOOKUP(A272,'VMT Reduction Supporting'!$A:$A,'VMT Reduction Supporting'!$G:$G,,0),0)</f>
        <v>119642.97969322419</v>
      </c>
      <c r="P272" s="1045">
        <f t="shared" si="114"/>
        <v>1.4050475316439204E-2</v>
      </c>
      <c r="Q272" s="1045">
        <f t="shared" si="115"/>
        <v>1.5862986632259862E-2</v>
      </c>
      <c r="R272" s="1046">
        <f>IF(AND($A272&gt;=MIN('Major Assumption Key'!$B$4),$A272&lt;=MAX('Major Assumption Key'!$B$6)),Q272-P272,0)</f>
        <v>1.8125113158206571E-3</v>
      </c>
      <c r="S272" s="1047" t="s">
        <v>1145</v>
      </c>
      <c r="T272" s="1079" t="s">
        <v>1145</v>
      </c>
      <c r="U272" s="1048">
        <v>0</v>
      </c>
    </row>
    <row r="273" spans="1:21" outlineLevel="1">
      <c r="A273" s="1036">
        <f t="shared" si="109"/>
        <v>2045</v>
      </c>
      <c r="B273" s="1078">
        <f>VLOOKUP($B$5,'Emission Factors'!$V$5:$AA$21,6,FALSE)</f>
        <v>3.3202308347125009E-3</v>
      </c>
      <c r="C273" s="1078">
        <f>VLOOKUP($B$6,'Emission Factors'!$V$28:$AA$44,6,FALSE)</f>
        <v>0.13255302080263709</v>
      </c>
      <c r="D273" s="1038">
        <f>IF(AND(A36&gt;=$B$2,A36&lt;=$B$4),_xlfn.XLOOKUP(A273,'VMT Reduction Supporting'!$A:$A,'VMT Reduction Supporting'!$C:$C,,0),0)</f>
        <v>2127.6305907372825</v>
      </c>
      <c r="E273" s="1039">
        <f>IF(AND(A36&gt;=$B$2,A36&lt;=$B$4),_xlfn.XLOOKUP(A273,'VMT Reduction Supporting'!$A:$A,'VMT Reduction Supporting'!$F:$F,,0),0)</f>
        <v>29077.618073409518</v>
      </c>
      <c r="F273" s="1040">
        <f t="shared" si="110"/>
        <v>7.0642246922434994E-6</v>
      </c>
      <c r="G273" s="1040">
        <f t="shared" si="111"/>
        <v>9.6544404127327783E-5</v>
      </c>
      <c r="H273" s="1041">
        <f>IF(AND($A273&gt;=MIN('Major Assumption Key'!$B$4),$A273&lt;=MAX('Major Assumption Key'!$B$6)),G273-F273,0)</f>
        <v>8.9480179435084281E-5</v>
      </c>
      <c r="I273" s="1038">
        <f>IF(AND(A36&gt;=$B$2,A36&lt;=$B$4),_xlfn.XLOOKUP(A273,'VMT Reduction Supporting'!$A:$A,'VMT Reduction Supporting'!$B:$B,,0),0)</f>
        <v>30850.643565690589</v>
      </c>
      <c r="J273" s="1042">
        <f>IF(AND(A36&gt;=$B$2,A36&lt;=$B$4),_xlfn.XLOOKUP(A273,'VMT Reduction Supporting'!$A:$A,'VMT Reduction Supporting'!$E:$E,,0),0)</f>
        <v>31219.987668090587</v>
      </c>
      <c r="K273" s="1043">
        <f t="shared" si="112"/>
        <v>1.0243125803753071E-4</v>
      </c>
      <c r="L273" s="1043">
        <f t="shared" si="113"/>
        <v>1.036575657149384E-4</v>
      </c>
      <c r="M273" s="1044">
        <f>IF(AND($A273&gt;=MIN('Major Assumption Key'!$B$4),$A273&lt;=MAX('Major Assumption Key'!$B$6)),L273-K273,0)</f>
        <v>1.2263076774076857E-6</v>
      </c>
      <c r="N273" s="1038">
        <f>IF(AND(A36&gt;=$B$2,A36&lt;=$B$4),_xlfn.XLOOKUP(A273,'VMT Reduction Supporting'!$A:$A,'VMT Reduction Supporting'!$D:$D,,0),0)</f>
        <v>106386.25425484846</v>
      </c>
      <c r="O273" s="1042">
        <f>IF(AND(A36&gt;=$B$2,A36&lt;=$B$4),_xlfn.XLOOKUP(A273,'VMT Reduction Supporting'!$A:$A,'VMT Reduction Supporting'!$G:$G,,0),0)</f>
        <v>120110.08105372394</v>
      </c>
      <c r="P273" s="1045">
        <f t="shared" si="114"/>
        <v>1.4101819373357567E-2</v>
      </c>
      <c r="Q273" s="1045">
        <f t="shared" si="115"/>
        <v>1.5920954072520695E-2</v>
      </c>
      <c r="R273" s="1046">
        <f>IF(AND($A273&gt;=MIN('Major Assumption Key'!$B$4),$A273&lt;=MAX('Major Assumption Key'!$B$6)),Q273-P273,0)</f>
        <v>1.8191346991631285E-3</v>
      </c>
      <c r="S273" s="1047" t="s">
        <v>1145</v>
      </c>
      <c r="T273" s="1079" t="s">
        <v>1145</v>
      </c>
      <c r="U273" s="1048">
        <v>0</v>
      </c>
    </row>
    <row r="274" spans="1:21" outlineLevel="1">
      <c r="A274" s="1036">
        <f t="shared" si="109"/>
        <v>2046</v>
      </c>
      <c r="B274" s="1037">
        <f t="shared" si="120"/>
        <v>3.2791746800760429E-3</v>
      </c>
      <c r="C274" s="1037">
        <f t="shared" ref="C274" si="122">$C$273*(($C$268/$C$273)^(1/($A$268-$A$273))^(A274-$A$273))</f>
        <v>0.13252002870068608</v>
      </c>
      <c r="D274" s="1038">
        <f>IF(AND(A37&gt;=$B$2,A37&lt;=$B$4),_xlfn.XLOOKUP(A274,'VMT Reduction Supporting'!$A:$A,'VMT Reduction Supporting'!$C:$C,,0),0)</f>
        <v>2158.9888975751605</v>
      </c>
      <c r="E274" s="1039">
        <f>IF(AND(A37&gt;=$B$2,A37&lt;=$B$4),_xlfn.XLOOKUP(A274,'VMT Reduction Supporting'!$A:$A,'VMT Reduction Supporting'!$F:$F,,0),0)</f>
        <v>29506.181600193853</v>
      </c>
      <c r="F274" s="1040">
        <f t="shared" si="110"/>
        <v>7.079701727493756E-6</v>
      </c>
      <c r="G274" s="1040">
        <f t="shared" si="111"/>
        <v>9.675592360908131E-5</v>
      </c>
      <c r="H274" s="1041">
        <f>IF(AND($A274&gt;=MIN('Major Assumption Key'!$B$4),$A274&lt;=MAX('Major Assumption Key'!$B$6)),G274-F274,0)</f>
        <v>8.9676221881587552E-5</v>
      </c>
      <c r="I274" s="1038">
        <f>IF(AND(A37&gt;=$B$2,A37&lt;=$B$4),_xlfn.XLOOKUP(A274,'VMT Reduction Supporting'!$A:$A,'VMT Reduction Supporting'!$B:$B,,0),0)</f>
        <v>31305.339014839818</v>
      </c>
      <c r="J274" s="1042">
        <f>IF(AND(A37&gt;=$B$2,A37&lt;=$B$4),_xlfn.XLOOKUP(A274,'VMT Reduction Supporting'!$A:$A,'VMT Reduction Supporting'!$E:$E,,0),0)</f>
        <v>31675.121354987172</v>
      </c>
      <c r="K274" s="1043">
        <f t="shared" si="112"/>
        <v>1.0265567504865941E-4</v>
      </c>
      <c r="L274" s="1043">
        <f t="shared" si="113"/>
        <v>1.0386825593560989E-4</v>
      </c>
      <c r="M274" s="1044">
        <f>IF(AND($A274&gt;=MIN('Major Assumption Key'!$B$4),$A274&lt;=MAX('Major Assumption Key'!$B$6)),L274-K274,0)</f>
        <v>1.2125808869504806E-6</v>
      </c>
      <c r="N274" s="1038">
        <f>IF(AND(A37&gt;=$B$2,A37&lt;=$B$4),_xlfn.XLOOKUP(A274,'VMT Reduction Supporting'!$A:$A,'VMT Reduction Supporting'!$D:$D,,0),0)</f>
        <v>106801.59967861114</v>
      </c>
      <c r="O274" s="1042">
        <f>IF(AND(A37&gt;=$B$2,A37&lt;=$B$4),_xlfn.XLOOKUP(A274,'VMT Reduction Supporting'!$A:$A,'VMT Reduction Supporting'!$G:$G,,0),0)</f>
        <v>120579.00603715202</v>
      </c>
      <c r="P274" s="1045">
        <f t="shared" si="114"/>
        <v>1.4153351054688732E-2</v>
      </c>
      <c r="Q274" s="1045">
        <f t="shared" si="115"/>
        <v>1.5979133340743586E-2</v>
      </c>
      <c r="R274" s="1046">
        <f>IF(AND($A274&gt;=MIN('Major Assumption Key'!$B$4),$A274&lt;=MAX('Major Assumption Key'!$B$6)),Q274-P274,0)</f>
        <v>1.8257822860548532E-3</v>
      </c>
      <c r="S274" s="1047" t="s">
        <v>1145</v>
      </c>
      <c r="T274" s="1079" t="s">
        <v>1145</v>
      </c>
      <c r="U274" s="1048">
        <v>0</v>
      </c>
    </row>
    <row r="275" spans="1:21" outlineLevel="1">
      <c r="A275" s="1036">
        <f t="shared" si="109"/>
        <v>2047</v>
      </c>
      <c r="B275" s="1037">
        <f t="shared" si="120"/>
        <v>3.2386262033443588E-3</v>
      </c>
      <c r="C275" s="1037">
        <f t="shared" ref="C275:C288" si="123">$C$273*(($C$268/$C$273)^(1/($A$268-$A$273))^(A275-$A$273))</f>
        <v>0.1324870448103834</v>
      </c>
      <c r="D275" s="1038">
        <f>IF(AND(A38&gt;=$B$2,A38&lt;=$B$4),_xlfn.XLOOKUP(A275,'VMT Reduction Supporting'!$A:$A,'VMT Reduction Supporting'!$C:$C,,0),0)</f>
        <v>2190.809382110624</v>
      </c>
      <c r="E275" s="1039">
        <f>IF(AND(A38&gt;=$B$2,A38&lt;=$B$4),_xlfn.XLOOKUP(A275,'VMT Reduction Supporting'!$A:$A,'VMT Reduction Supporting'!$F:$F,,0),0)</f>
        <v>29941.061555511849</v>
      </c>
      <c r="F275" s="1040">
        <f t="shared" si="110"/>
        <v>7.0952126714361307E-6</v>
      </c>
      <c r="G275" s="1040">
        <f t="shared" si="111"/>
        <v>9.6967906509627083E-5</v>
      </c>
      <c r="H275" s="1041">
        <f>IF(AND($A275&gt;=MIN('Major Assumption Key'!$B$4),$A275&lt;=MAX('Major Assumption Key'!$B$6)),G275-F275,0)</f>
        <v>8.9872693838190959E-5</v>
      </c>
      <c r="I275" s="1038">
        <f>IF(AND(A38&gt;=$B$2,A38&lt;=$B$4),_xlfn.XLOOKUP(A275,'VMT Reduction Supporting'!$A:$A,'VMT Reduction Supporting'!$B:$B,,0),0)</f>
        <v>31766.736040604035</v>
      </c>
      <c r="J275" s="1042">
        <f>IF(AND(A38&gt;=$B$2,A38&lt;=$B$4),_xlfn.XLOOKUP(A275,'VMT Reduction Supporting'!$A:$A,'VMT Reduction Supporting'!$E:$E,,0),0)</f>
        <v>32136.957138480837</v>
      </c>
      <c r="K275" s="1043">
        <f t="shared" si="112"/>
        <v>1.0288058373582386E-4</v>
      </c>
      <c r="L275" s="1043">
        <f t="shared" si="113"/>
        <v>1.0407959148443858E-4</v>
      </c>
      <c r="M275" s="1044">
        <f>IF(AND($A275&gt;=MIN('Major Assumption Key'!$B$4),$A275&lt;=MAX('Major Assumption Key'!$B$6)),L275-K275,0)</f>
        <v>1.1990077486147244E-6</v>
      </c>
      <c r="N275" s="1038">
        <f>IF(AND(A38&gt;=$B$2,A38&lt;=$B$4),_xlfn.XLOOKUP(A275,'VMT Reduction Supporting'!$A:$A,'VMT Reduction Supporting'!$D:$D,,0),0)</f>
        <v>107218.56666356375</v>
      </c>
      <c r="O275" s="1042">
        <f>IF(AND(A38&gt;=$B$2,A38&lt;=$B$4),_xlfn.XLOOKUP(A275,'VMT Reduction Supporting'!$A:$A,'VMT Reduction Supporting'!$G:$G,,0),0)</f>
        <v>121049.76176316351</v>
      </c>
      <c r="P275" s="1045">
        <f t="shared" si="114"/>
        <v>1.420507104606065E-2</v>
      </c>
      <c r="Q275" s="1045">
        <f t="shared" si="115"/>
        <v>1.6037525211002476E-2</v>
      </c>
      <c r="R275" s="1046">
        <f>IF(AND($A275&gt;=MIN('Major Assumption Key'!$B$4),$A275&lt;=MAX('Major Assumption Key'!$B$6)),Q275-P275,0)</f>
        <v>1.8324541649418265E-3</v>
      </c>
      <c r="S275" s="1047" t="s">
        <v>1145</v>
      </c>
      <c r="T275" s="1079" t="s">
        <v>1145</v>
      </c>
      <c r="U275" s="1048">
        <v>0</v>
      </c>
    </row>
    <row r="276" spans="1:21" outlineLevel="1">
      <c r="A276" s="1036">
        <f t="shared" si="109"/>
        <v>2048</v>
      </c>
      <c r="B276" s="1037">
        <f t="shared" si="120"/>
        <v>3.1985791268507439E-3</v>
      </c>
      <c r="C276" s="1037">
        <f t="shared" si="123"/>
        <v>0.13245406912968516</v>
      </c>
      <c r="D276" s="1038">
        <f>IF(AND(A39&gt;=$B$2,A39&lt;=$B$4),_xlfn.XLOOKUP(A276,'VMT Reduction Supporting'!$A:$A,'VMT Reduction Supporting'!$C:$C,,0),0)</f>
        <v>0</v>
      </c>
      <c r="E276" s="1039">
        <f>IF(AND(A39&gt;=$B$2,A39&lt;=$B$4),_xlfn.XLOOKUP(A276,'VMT Reduction Supporting'!$A:$A,'VMT Reduction Supporting'!$F:$F,,0),0)</f>
        <v>0</v>
      </c>
      <c r="F276" s="1040">
        <f t="shared" si="110"/>
        <v>0</v>
      </c>
      <c r="G276" s="1040">
        <f t="shared" si="111"/>
        <v>0</v>
      </c>
      <c r="H276" s="1041">
        <f>IF(AND($A276&gt;=MIN('Major Assumption Key'!$B$4),$A276&lt;=MAX('Major Assumption Key'!$B$6)),G276-F276,0)</f>
        <v>0</v>
      </c>
      <c r="I276" s="1038">
        <f>IF(AND(A39&gt;=$B$2,A39&lt;=$B$4),_xlfn.XLOOKUP(A276,'VMT Reduction Supporting'!$A:$A,'VMT Reduction Supporting'!$B:$B,,0),0)</f>
        <v>0</v>
      </c>
      <c r="J276" s="1042">
        <f>IF(AND(A39&gt;=$B$2,A39&lt;=$B$4),_xlfn.XLOOKUP(A276,'VMT Reduction Supporting'!$A:$A,'VMT Reduction Supporting'!$E:$E,,0),0)</f>
        <v>0</v>
      </c>
      <c r="K276" s="1043">
        <f t="shared" si="112"/>
        <v>0</v>
      </c>
      <c r="L276" s="1043">
        <f t="shared" si="113"/>
        <v>0</v>
      </c>
      <c r="M276" s="1044">
        <f>IF(AND($A276&gt;=MIN('Major Assumption Key'!$B$4),$A276&lt;=MAX('Major Assumption Key'!$B$6)),L276-K276,0)</f>
        <v>0</v>
      </c>
      <c r="N276" s="1038">
        <f>IF(AND(A39&gt;=$B$2,A39&lt;=$B$4),_xlfn.XLOOKUP(A276,'VMT Reduction Supporting'!$A:$A,'VMT Reduction Supporting'!$D:$D,,0),0)</f>
        <v>0</v>
      </c>
      <c r="O276" s="1042">
        <f>IF(AND(A39&gt;=$B$2,A39&lt;=$B$4),_xlfn.XLOOKUP(A276,'VMT Reduction Supporting'!$A:$A,'VMT Reduction Supporting'!$G:$G,,0),0)</f>
        <v>0</v>
      </c>
      <c r="P276" s="1045">
        <f t="shared" si="114"/>
        <v>0</v>
      </c>
      <c r="Q276" s="1045">
        <f t="shared" si="115"/>
        <v>0</v>
      </c>
      <c r="R276" s="1046">
        <f>IF(AND($A276&gt;=MIN('Major Assumption Key'!$B$4),$A276&lt;=MAX('Major Assumption Key'!$B$6)),Q276-P276,0)</f>
        <v>0</v>
      </c>
      <c r="S276" s="1047" t="s">
        <v>1145</v>
      </c>
      <c r="T276" s="1079" t="s">
        <v>1145</v>
      </c>
      <c r="U276" s="1048">
        <v>0</v>
      </c>
    </row>
    <row r="277" spans="1:21" outlineLevel="1">
      <c r="A277" s="1036">
        <f t="shared" si="109"/>
        <v>2049</v>
      </c>
      <c r="B277" s="1037">
        <f t="shared" si="120"/>
        <v>3.1590272505546781E-3</v>
      </c>
      <c r="C277" s="1037">
        <f t="shared" si="123"/>
        <v>0.13242110165654805</v>
      </c>
      <c r="D277" s="1038">
        <f>IF(AND(A40&gt;=$B$2,A40&lt;=$B$4),_xlfn.XLOOKUP(A277,'VMT Reduction Supporting'!$A:$A,'VMT Reduction Supporting'!$C:$C,,0),0)</f>
        <v>0</v>
      </c>
      <c r="E277" s="1039">
        <f>IF(AND(A40&gt;=$B$2,A40&lt;=$B$4),_xlfn.XLOOKUP(A277,'VMT Reduction Supporting'!$A:$A,'VMT Reduction Supporting'!$F:$F,,0),0)</f>
        <v>0</v>
      </c>
      <c r="F277" s="1040">
        <f t="shared" si="110"/>
        <v>0</v>
      </c>
      <c r="G277" s="1040">
        <f t="shared" si="111"/>
        <v>0</v>
      </c>
      <c r="H277" s="1041">
        <f>IF(AND($A277&gt;=MIN('Major Assumption Key'!$B$4),$A277&lt;=MAX('Major Assumption Key'!$B$6)),G277-F277,0)</f>
        <v>0</v>
      </c>
      <c r="I277" s="1038">
        <f>IF(AND(A40&gt;=$B$2,A40&lt;=$B$4),_xlfn.XLOOKUP(A277,'VMT Reduction Supporting'!$A:$A,'VMT Reduction Supporting'!$B:$B,,0),0)</f>
        <v>0</v>
      </c>
      <c r="J277" s="1042">
        <f>IF(AND(A40&gt;=$B$2,A40&lt;=$B$4),_xlfn.XLOOKUP(A277,'VMT Reduction Supporting'!$A:$A,'VMT Reduction Supporting'!$E:$E,,0),0)</f>
        <v>0</v>
      </c>
      <c r="K277" s="1043">
        <f t="shared" si="112"/>
        <v>0</v>
      </c>
      <c r="L277" s="1043">
        <f t="shared" si="113"/>
        <v>0</v>
      </c>
      <c r="M277" s="1044">
        <f>IF(AND($A277&gt;=MIN('Major Assumption Key'!$B$4),$A277&lt;=MAX('Major Assumption Key'!$B$6)),L277-K277,0)</f>
        <v>0</v>
      </c>
      <c r="N277" s="1038">
        <f>IF(AND(A40&gt;=$B$2,A40&lt;=$B$4),_xlfn.XLOOKUP(A277,'VMT Reduction Supporting'!$A:$A,'VMT Reduction Supporting'!$D:$D,,0),0)</f>
        <v>0</v>
      </c>
      <c r="O277" s="1042">
        <f>IF(AND(A40&gt;=$B$2,A40&lt;=$B$4),_xlfn.XLOOKUP(A277,'VMT Reduction Supporting'!$A:$A,'VMT Reduction Supporting'!$G:$G,,0),0)</f>
        <v>0</v>
      </c>
      <c r="P277" s="1045">
        <f t="shared" si="114"/>
        <v>0</v>
      </c>
      <c r="Q277" s="1045">
        <f t="shared" si="115"/>
        <v>0</v>
      </c>
      <c r="R277" s="1046">
        <f>IF(AND($A277&gt;=MIN('Major Assumption Key'!$B$4),$A277&lt;=MAX('Major Assumption Key'!$B$6)),Q277-P277,0)</f>
        <v>0</v>
      </c>
      <c r="S277" s="1047" t="s">
        <v>1145</v>
      </c>
      <c r="T277" s="1079" t="s">
        <v>1145</v>
      </c>
      <c r="U277" s="1048">
        <v>0</v>
      </c>
    </row>
    <row r="278" spans="1:21" outlineLevel="1">
      <c r="A278" s="1036">
        <f t="shared" si="109"/>
        <v>2050</v>
      </c>
      <c r="B278" s="1037">
        <f t="shared" si="120"/>
        <v>3.1199644510819455E-3</v>
      </c>
      <c r="C278" s="1037">
        <f t="shared" si="123"/>
        <v>0.13238814238892924</v>
      </c>
      <c r="D278" s="1038">
        <f>IF(AND(A41&gt;=$B$2,A41&lt;=$B$4),_xlfn.XLOOKUP(A278,'VMT Reduction Supporting'!$A:$A,'VMT Reduction Supporting'!$C:$C,,0),0)</f>
        <v>0</v>
      </c>
      <c r="E278" s="1039">
        <f>IF(AND(A41&gt;=$B$2,A41&lt;=$B$4),_xlfn.XLOOKUP(A278,'VMT Reduction Supporting'!$A:$A,'VMT Reduction Supporting'!$F:$F,,0),0)</f>
        <v>0</v>
      </c>
      <c r="F278" s="1040">
        <f t="shared" si="110"/>
        <v>0</v>
      </c>
      <c r="G278" s="1040">
        <f t="shared" si="111"/>
        <v>0</v>
      </c>
      <c r="H278" s="1041">
        <f>IF(AND($A278&gt;=MIN('Major Assumption Key'!$B$4),$A278&lt;=MAX('Major Assumption Key'!$B$6)),G278-F278,0)</f>
        <v>0</v>
      </c>
      <c r="I278" s="1038">
        <f>IF(AND(A41&gt;=$B$2,A41&lt;=$B$4),_xlfn.XLOOKUP(A278,'VMT Reduction Supporting'!$A:$A,'VMT Reduction Supporting'!$B:$B,,0),0)</f>
        <v>0</v>
      </c>
      <c r="J278" s="1042">
        <f>IF(AND(A41&gt;=$B$2,A41&lt;=$B$4),_xlfn.XLOOKUP(A278,'VMT Reduction Supporting'!$A:$A,'VMT Reduction Supporting'!$E:$E,,0),0)</f>
        <v>0</v>
      </c>
      <c r="K278" s="1043">
        <f t="shared" si="112"/>
        <v>0</v>
      </c>
      <c r="L278" s="1043">
        <f t="shared" si="113"/>
        <v>0</v>
      </c>
      <c r="M278" s="1044">
        <f>IF(AND($A278&gt;=MIN('Major Assumption Key'!$B$4),$A278&lt;=MAX('Major Assumption Key'!$B$6)),L278-K278,0)</f>
        <v>0</v>
      </c>
      <c r="N278" s="1038">
        <f>IF(AND(A41&gt;=$B$2,A41&lt;=$B$4),_xlfn.XLOOKUP(A278,'VMT Reduction Supporting'!$A:$A,'VMT Reduction Supporting'!$D:$D,,0),0)</f>
        <v>0</v>
      </c>
      <c r="O278" s="1042">
        <f>IF(AND(A41&gt;=$B$2,A41&lt;=$B$4),_xlfn.XLOOKUP(A278,'VMT Reduction Supporting'!$A:$A,'VMT Reduction Supporting'!$G:$G,,0),0)</f>
        <v>0</v>
      </c>
      <c r="P278" s="1045">
        <f t="shared" si="114"/>
        <v>0</v>
      </c>
      <c r="Q278" s="1045">
        <f t="shared" si="115"/>
        <v>0</v>
      </c>
      <c r="R278" s="1046">
        <f>IF(AND($A278&gt;=MIN('Major Assumption Key'!$B$4),$A278&lt;=MAX('Major Assumption Key'!$B$6)),Q278-P278,0)</f>
        <v>0</v>
      </c>
      <c r="S278" s="1047" t="s">
        <v>1145</v>
      </c>
      <c r="T278" s="1079" t="s">
        <v>1145</v>
      </c>
      <c r="U278" s="1048">
        <v>0</v>
      </c>
    </row>
    <row r="279" spans="1:21" outlineLevel="1">
      <c r="A279" s="1036">
        <f t="shared" si="109"/>
        <v>2051</v>
      </c>
      <c r="B279" s="1037">
        <f t="shared" si="120"/>
        <v>3.0813846807766186E-3</v>
      </c>
      <c r="C279" s="1037">
        <f t="shared" si="123"/>
        <v>0.13235519132478635</v>
      </c>
      <c r="D279" s="1038">
        <f>IF(AND(A42&gt;=$B$2,A42&lt;=$B$4),_xlfn.XLOOKUP(A279,'VMT Reduction Supporting'!$A:$A,'VMT Reduction Supporting'!$C:$C,,0),0)</f>
        <v>0</v>
      </c>
      <c r="E279" s="1039">
        <f>IF(AND(A42&gt;=$B$2,A42&lt;=$B$4),_xlfn.XLOOKUP(A279,'VMT Reduction Supporting'!$A:$A,'VMT Reduction Supporting'!$F:$F,,0),0)</f>
        <v>0</v>
      </c>
      <c r="F279" s="1040">
        <f t="shared" si="110"/>
        <v>0</v>
      </c>
      <c r="G279" s="1040">
        <f t="shared" si="111"/>
        <v>0</v>
      </c>
      <c r="H279" s="1041">
        <f>IF(AND($A279&gt;=MIN('Major Assumption Key'!$B$4),$A279&lt;=MAX('Major Assumption Key'!$B$6)),G279-F279,0)</f>
        <v>0</v>
      </c>
      <c r="I279" s="1038">
        <f>IF(AND(A42&gt;=$B$2,A42&lt;=$B$4),_xlfn.XLOOKUP(A279,'VMT Reduction Supporting'!$A:$A,'VMT Reduction Supporting'!$B:$B,,0),0)</f>
        <v>0</v>
      </c>
      <c r="J279" s="1042">
        <f>IF(AND(A42&gt;=$B$2,A42&lt;=$B$4),_xlfn.XLOOKUP(A279,'VMT Reduction Supporting'!$A:$A,'VMT Reduction Supporting'!$E:$E,,0),0)</f>
        <v>0</v>
      </c>
      <c r="K279" s="1043">
        <f t="shared" si="112"/>
        <v>0</v>
      </c>
      <c r="L279" s="1043">
        <f t="shared" si="113"/>
        <v>0</v>
      </c>
      <c r="M279" s="1044">
        <f>IF(AND($A279&gt;=MIN('Major Assumption Key'!$B$4),$A279&lt;=MAX('Major Assumption Key'!$B$6)),L279-K279,0)</f>
        <v>0</v>
      </c>
      <c r="N279" s="1038">
        <f>IF(AND(A42&gt;=$B$2,A42&lt;=$B$4),_xlfn.XLOOKUP(A279,'VMT Reduction Supporting'!$A:$A,'VMT Reduction Supporting'!$D:$D,,0),0)</f>
        <v>0</v>
      </c>
      <c r="O279" s="1042">
        <f>IF(AND(A42&gt;=$B$2,A42&lt;=$B$4),_xlfn.XLOOKUP(A279,'VMT Reduction Supporting'!$A:$A,'VMT Reduction Supporting'!$G:$G,,0),0)</f>
        <v>0</v>
      </c>
      <c r="P279" s="1045">
        <f t="shared" si="114"/>
        <v>0</v>
      </c>
      <c r="Q279" s="1045">
        <f t="shared" si="115"/>
        <v>0</v>
      </c>
      <c r="R279" s="1046">
        <f>IF(AND($A279&gt;=MIN('Major Assumption Key'!$B$4),$A279&lt;=MAX('Major Assumption Key'!$B$6)),Q279-P279,0)</f>
        <v>0</v>
      </c>
      <c r="S279" s="1047" t="s">
        <v>1145</v>
      </c>
      <c r="T279" s="1079" t="s">
        <v>1145</v>
      </c>
      <c r="U279" s="1048">
        <v>0</v>
      </c>
    </row>
    <row r="280" spans="1:21" outlineLevel="1">
      <c r="A280" s="1036">
        <f t="shared" si="109"/>
        <v>2052</v>
      </c>
      <c r="B280" s="1037">
        <f t="shared" si="120"/>
        <v>3.0432819667647682E-3</v>
      </c>
      <c r="C280" s="1037">
        <f t="shared" si="123"/>
        <v>0.13232224846207757</v>
      </c>
      <c r="D280" s="1038">
        <f>IF(AND(A43&gt;=$B$2,A43&lt;=$B$4),_xlfn.XLOOKUP(A280,'VMT Reduction Supporting'!$A:$A,'VMT Reduction Supporting'!$C:$C,,0),0)</f>
        <v>0</v>
      </c>
      <c r="E280" s="1039">
        <f>IF(AND(A43&gt;=$B$2,A43&lt;=$B$4),_xlfn.XLOOKUP(A280,'VMT Reduction Supporting'!$A:$A,'VMT Reduction Supporting'!$F:$F,,0),0)</f>
        <v>0</v>
      </c>
      <c r="F280" s="1040">
        <f t="shared" si="110"/>
        <v>0</v>
      </c>
      <c r="G280" s="1040">
        <f t="shared" si="111"/>
        <v>0</v>
      </c>
      <c r="H280" s="1041">
        <f>IF(AND($A280&gt;=MIN('Major Assumption Key'!$B$4),$A280&lt;=MAX('Major Assumption Key'!$B$6)),G280-F280,0)</f>
        <v>0</v>
      </c>
      <c r="I280" s="1038">
        <f>IF(AND(A43&gt;=$B$2,A43&lt;=$B$4),_xlfn.XLOOKUP(A280,'VMT Reduction Supporting'!$A:$A,'VMT Reduction Supporting'!$B:$B,,0),0)</f>
        <v>0</v>
      </c>
      <c r="J280" s="1042">
        <f>IF(AND(A43&gt;=$B$2,A43&lt;=$B$4),_xlfn.XLOOKUP(A280,'VMT Reduction Supporting'!$A:$A,'VMT Reduction Supporting'!$E:$E,,0),0)</f>
        <v>0</v>
      </c>
      <c r="K280" s="1043">
        <f t="shared" si="112"/>
        <v>0</v>
      </c>
      <c r="L280" s="1043">
        <f t="shared" si="113"/>
        <v>0</v>
      </c>
      <c r="M280" s="1044">
        <f>IF(AND($A280&gt;=MIN('Major Assumption Key'!$B$4),$A280&lt;=MAX('Major Assumption Key'!$B$6)),L280-K280,0)</f>
        <v>0</v>
      </c>
      <c r="N280" s="1038">
        <f>IF(AND(A43&gt;=$B$2,A43&lt;=$B$4),_xlfn.XLOOKUP(A280,'VMT Reduction Supporting'!$A:$A,'VMT Reduction Supporting'!$D:$D,,0),0)</f>
        <v>0</v>
      </c>
      <c r="O280" s="1042">
        <f>IF(AND(A43&gt;=$B$2,A43&lt;=$B$4),_xlfn.XLOOKUP(A280,'VMT Reduction Supporting'!$A:$A,'VMT Reduction Supporting'!$G:$G,,0),0)</f>
        <v>0</v>
      </c>
      <c r="P280" s="1045">
        <f t="shared" si="114"/>
        <v>0</v>
      </c>
      <c r="Q280" s="1045">
        <f t="shared" si="115"/>
        <v>0</v>
      </c>
      <c r="R280" s="1046">
        <f>IF(AND($A280&gt;=MIN('Major Assumption Key'!$B$4),$A280&lt;=MAX('Major Assumption Key'!$B$6)),Q280-P280,0)</f>
        <v>0</v>
      </c>
      <c r="S280" s="1047" t="s">
        <v>1145</v>
      </c>
      <c r="T280" s="1079" t="s">
        <v>1145</v>
      </c>
      <c r="U280" s="1048">
        <v>0</v>
      </c>
    </row>
    <row r="281" spans="1:21" outlineLevel="1">
      <c r="A281" s="1036">
        <f t="shared" si="109"/>
        <v>2053</v>
      </c>
      <c r="B281" s="1037">
        <f t="shared" si="120"/>
        <v>3.0056504100297505E-3</v>
      </c>
      <c r="C281" s="1037">
        <f t="shared" si="123"/>
        <v>0.13228931379876163</v>
      </c>
      <c r="D281" s="1038">
        <f>IF(AND(A44&gt;=$B$2,A44&lt;=$B$4),_xlfn.XLOOKUP(A281,'VMT Reduction Supporting'!$A:$A,'VMT Reduction Supporting'!$C:$C,,0),0)</f>
        <v>0</v>
      </c>
      <c r="E281" s="1039">
        <f>IF(AND(A44&gt;=$B$2,A44&lt;=$B$4),_xlfn.XLOOKUP(A281,'VMT Reduction Supporting'!$A:$A,'VMT Reduction Supporting'!$F:$F,,0),0)</f>
        <v>0</v>
      </c>
      <c r="F281" s="1040">
        <f t="shared" si="110"/>
        <v>0</v>
      </c>
      <c r="G281" s="1040">
        <f t="shared" si="111"/>
        <v>0</v>
      </c>
      <c r="H281" s="1041">
        <f>IF(AND($A281&gt;=MIN('Major Assumption Key'!$B$4),$A281&lt;=MAX('Major Assumption Key'!$B$6)),G281-F281,0)</f>
        <v>0</v>
      </c>
      <c r="I281" s="1038">
        <f>IF(AND(A44&gt;=$B$2,A44&lt;=$B$4),_xlfn.XLOOKUP(A281,'VMT Reduction Supporting'!$A:$A,'VMT Reduction Supporting'!$B:$B,,0),0)</f>
        <v>0</v>
      </c>
      <c r="J281" s="1042">
        <f>IF(AND(A44&gt;=$B$2,A44&lt;=$B$4),_xlfn.XLOOKUP(A281,'VMT Reduction Supporting'!$A:$A,'VMT Reduction Supporting'!$E:$E,,0),0)</f>
        <v>0</v>
      </c>
      <c r="K281" s="1043">
        <f t="shared" si="112"/>
        <v>0</v>
      </c>
      <c r="L281" s="1043">
        <f t="shared" si="113"/>
        <v>0</v>
      </c>
      <c r="M281" s="1044">
        <f>IF(AND($A281&gt;=MIN('Major Assumption Key'!$B$4),$A281&lt;=MAX('Major Assumption Key'!$B$6)),L281-K281,0)</f>
        <v>0</v>
      </c>
      <c r="N281" s="1038">
        <f>IF(AND(A44&gt;=$B$2,A44&lt;=$B$4),_xlfn.XLOOKUP(A281,'VMT Reduction Supporting'!$A:$A,'VMT Reduction Supporting'!$D:$D,,0),0)</f>
        <v>0</v>
      </c>
      <c r="O281" s="1042">
        <f>IF(AND(A44&gt;=$B$2,A44&lt;=$B$4),_xlfn.XLOOKUP(A281,'VMT Reduction Supporting'!$A:$A,'VMT Reduction Supporting'!$G:$G,,0),0)</f>
        <v>0</v>
      </c>
      <c r="P281" s="1045">
        <f t="shared" si="114"/>
        <v>0</v>
      </c>
      <c r="Q281" s="1045">
        <f t="shared" si="115"/>
        <v>0</v>
      </c>
      <c r="R281" s="1046">
        <f>IF(AND($A281&gt;=MIN('Major Assumption Key'!$B$4),$A281&lt;=MAX('Major Assumption Key'!$B$6)),Q281-P281,0)</f>
        <v>0</v>
      </c>
      <c r="S281" s="1047" t="s">
        <v>1145</v>
      </c>
      <c r="T281" s="1079" t="s">
        <v>1145</v>
      </c>
      <c r="U281" s="1048">
        <v>0</v>
      </c>
    </row>
    <row r="282" spans="1:21" outlineLevel="1">
      <c r="A282" s="1036">
        <f t="shared" si="109"/>
        <v>2054</v>
      </c>
      <c r="B282" s="1037">
        <f t="shared" si="120"/>
        <v>2.9684841844989283E-3</v>
      </c>
      <c r="C282" s="1037">
        <f t="shared" si="123"/>
        <v>0.13225638733279765</v>
      </c>
      <c r="D282" s="1038">
        <f>IF(AND(A45&gt;=$B$2,A45&lt;=$B$4),_xlfn.XLOOKUP(A282,'VMT Reduction Supporting'!$A:$A,'VMT Reduction Supporting'!$C:$C,,0),0)</f>
        <v>0</v>
      </c>
      <c r="E282" s="1039">
        <f>IF(AND(A45&gt;=$B$2,A45&lt;=$B$4),_xlfn.XLOOKUP(A282,'VMT Reduction Supporting'!$A:$A,'VMT Reduction Supporting'!$F:$F,,0),0)</f>
        <v>0</v>
      </c>
      <c r="F282" s="1040">
        <f t="shared" si="110"/>
        <v>0</v>
      </c>
      <c r="G282" s="1040">
        <f t="shared" si="111"/>
        <v>0</v>
      </c>
      <c r="H282" s="1041">
        <f>IF(AND($A282&gt;=MIN('Major Assumption Key'!$B$4),$A282&lt;=MAX('Major Assumption Key'!$B$6)),G282-F282,0)</f>
        <v>0</v>
      </c>
      <c r="I282" s="1038">
        <f>IF(AND(A45&gt;=$B$2,A45&lt;=$B$4),_xlfn.XLOOKUP(A282,'VMT Reduction Supporting'!$A:$A,'VMT Reduction Supporting'!$B:$B,,0),0)</f>
        <v>0</v>
      </c>
      <c r="J282" s="1042">
        <f>IF(AND(A45&gt;=$B$2,A45&lt;=$B$4),_xlfn.XLOOKUP(A282,'VMT Reduction Supporting'!$A:$A,'VMT Reduction Supporting'!$E:$E,,0),0)</f>
        <v>0</v>
      </c>
      <c r="K282" s="1043">
        <f t="shared" si="112"/>
        <v>0</v>
      </c>
      <c r="L282" s="1043">
        <f t="shared" si="113"/>
        <v>0</v>
      </c>
      <c r="M282" s="1044">
        <f>IF(AND($A282&gt;=MIN('Major Assumption Key'!$B$4),$A282&lt;=MAX('Major Assumption Key'!$B$6)),L282-K282,0)</f>
        <v>0</v>
      </c>
      <c r="N282" s="1038">
        <f>IF(AND(A45&gt;=$B$2,A45&lt;=$B$4),_xlfn.XLOOKUP(A282,'VMT Reduction Supporting'!$A:$A,'VMT Reduction Supporting'!$D:$D,,0),0)</f>
        <v>0</v>
      </c>
      <c r="O282" s="1042">
        <f>IF(AND(A45&gt;=$B$2,A45&lt;=$B$4),_xlfn.XLOOKUP(A282,'VMT Reduction Supporting'!$A:$A,'VMT Reduction Supporting'!$G:$G,,0),0)</f>
        <v>0</v>
      </c>
      <c r="P282" s="1045">
        <f t="shared" si="114"/>
        <v>0</v>
      </c>
      <c r="Q282" s="1045">
        <f t="shared" si="115"/>
        <v>0</v>
      </c>
      <c r="R282" s="1046">
        <f>IF(AND($A282&gt;=MIN('Major Assumption Key'!$B$4),$A282&lt;=MAX('Major Assumption Key'!$B$6)),Q282-P282,0)</f>
        <v>0</v>
      </c>
      <c r="S282" s="1047" t="s">
        <v>1145</v>
      </c>
      <c r="T282" s="1079" t="s">
        <v>1145</v>
      </c>
      <c r="U282" s="1048">
        <v>0</v>
      </c>
    </row>
    <row r="283" spans="1:21" outlineLevel="1">
      <c r="A283" s="1036">
        <f t="shared" si="109"/>
        <v>2055</v>
      </c>
      <c r="B283" s="1037">
        <f t="shared" si="120"/>
        <v>2.9317775361416849E-3</v>
      </c>
      <c r="C283" s="1037">
        <f t="shared" si="123"/>
        <v>0.13222346906214541</v>
      </c>
      <c r="D283" s="1038">
        <f>IF(AND(A46&gt;=$B$2,A46&lt;=$B$4),_xlfn.XLOOKUP(A283,'VMT Reduction Supporting'!$A:$A,'VMT Reduction Supporting'!$C:$C,,0),0)</f>
        <v>0</v>
      </c>
      <c r="E283" s="1039">
        <f>IF(AND(A46&gt;=$B$2,A46&lt;=$B$4),_xlfn.XLOOKUP(A283,'VMT Reduction Supporting'!$A:$A,'VMT Reduction Supporting'!$F:$F,,0),0)</f>
        <v>0</v>
      </c>
      <c r="F283" s="1040">
        <f t="shared" si="110"/>
        <v>0</v>
      </c>
      <c r="G283" s="1040">
        <f t="shared" si="111"/>
        <v>0</v>
      </c>
      <c r="H283" s="1041">
        <f>IF(AND($A283&gt;=MIN('Major Assumption Key'!$B$4),$A283&lt;=MAX('Major Assumption Key'!$B$6)),G283-F283,0)</f>
        <v>0</v>
      </c>
      <c r="I283" s="1038">
        <f>IF(AND(A46&gt;=$B$2,A46&lt;=$B$4),_xlfn.XLOOKUP(A283,'VMT Reduction Supporting'!$A:$A,'VMT Reduction Supporting'!$B:$B,,0),0)</f>
        <v>0</v>
      </c>
      <c r="J283" s="1042">
        <f>IF(AND(A46&gt;=$B$2,A46&lt;=$B$4),_xlfn.XLOOKUP(A283,'VMT Reduction Supporting'!$A:$A,'VMT Reduction Supporting'!$E:$E,,0),0)</f>
        <v>0</v>
      </c>
      <c r="K283" s="1043">
        <f t="shared" si="112"/>
        <v>0</v>
      </c>
      <c r="L283" s="1043">
        <f t="shared" si="113"/>
        <v>0</v>
      </c>
      <c r="M283" s="1044">
        <f>IF(AND($A283&gt;=MIN('Major Assumption Key'!$B$4),$A283&lt;=MAX('Major Assumption Key'!$B$6)),L283-K283,0)</f>
        <v>0</v>
      </c>
      <c r="N283" s="1038">
        <f>IF(AND(A46&gt;=$B$2,A46&lt;=$B$4),_xlfn.XLOOKUP(A283,'VMT Reduction Supporting'!$A:$A,'VMT Reduction Supporting'!$D:$D,,0),0)</f>
        <v>0</v>
      </c>
      <c r="O283" s="1042">
        <f>IF(AND(A46&gt;=$B$2,A46&lt;=$B$4),_xlfn.XLOOKUP(A283,'VMT Reduction Supporting'!$A:$A,'VMT Reduction Supporting'!$G:$G,,0),0)</f>
        <v>0</v>
      </c>
      <c r="P283" s="1045">
        <f t="shared" si="114"/>
        <v>0</v>
      </c>
      <c r="Q283" s="1045">
        <f t="shared" si="115"/>
        <v>0</v>
      </c>
      <c r="R283" s="1046">
        <f>IF(AND($A283&gt;=MIN('Major Assumption Key'!$B$4),$A283&lt;=MAX('Major Assumption Key'!$B$6)),Q283-P283,0)</f>
        <v>0</v>
      </c>
      <c r="S283" s="1047" t="s">
        <v>1145</v>
      </c>
      <c r="T283" s="1079" t="s">
        <v>1145</v>
      </c>
      <c r="U283" s="1048">
        <v>0</v>
      </c>
    </row>
    <row r="284" spans="1:21" outlineLevel="1">
      <c r="A284" s="1036">
        <f t="shared" si="109"/>
        <v>2056</v>
      </c>
      <c r="B284" s="1037">
        <f t="shared" si="120"/>
        <v>2.8955247820785929E-3</v>
      </c>
      <c r="C284" s="1037">
        <f t="shared" si="123"/>
        <v>0.13219055898476506</v>
      </c>
      <c r="D284" s="1038">
        <f>IF(AND(A47&gt;=$B$2,A47&lt;=$B$4),_xlfn.XLOOKUP(A284,'VMT Reduction Supporting'!$A:$A,'VMT Reduction Supporting'!$C:$C,,0),0)</f>
        <v>0</v>
      </c>
      <c r="E284" s="1039">
        <f>IF(AND(A47&gt;=$B$2,A47&lt;=$B$4),_xlfn.XLOOKUP(A284,'VMT Reduction Supporting'!$A:$A,'VMT Reduction Supporting'!$F:$F,,0),0)</f>
        <v>0</v>
      </c>
      <c r="F284" s="1040">
        <f t="shared" si="110"/>
        <v>0</v>
      </c>
      <c r="G284" s="1040">
        <f t="shared" si="111"/>
        <v>0</v>
      </c>
      <c r="H284" s="1041">
        <f>IF(AND($A284&gt;=MIN('Major Assumption Key'!$B$4),$A284&lt;=MAX('Major Assumption Key'!$B$6)),G284-F284,0)</f>
        <v>0</v>
      </c>
      <c r="I284" s="1038">
        <f>IF(AND(A47&gt;=$B$2,A47&lt;=$B$4),_xlfn.XLOOKUP(A284,'VMT Reduction Supporting'!$A:$A,'VMT Reduction Supporting'!$B:$B,,0),0)</f>
        <v>0</v>
      </c>
      <c r="J284" s="1042">
        <f>IF(AND(A47&gt;=$B$2,A47&lt;=$B$4),_xlfn.XLOOKUP(A284,'VMT Reduction Supporting'!$A:$A,'VMT Reduction Supporting'!$E:$E,,0),0)</f>
        <v>0</v>
      </c>
      <c r="K284" s="1043">
        <f t="shared" si="112"/>
        <v>0</v>
      </c>
      <c r="L284" s="1043">
        <f t="shared" si="113"/>
        <v>0</v>
      </c>
      <c r="M284" s="1044">
        <f>IF(AND($A284&gt;=MIN('Major Assumption Key'!$B$4),$A284&lt;=MAX('Major Assumption Key'!$B$6)),L284-K284,0)</f>
        <v>0</v>
      </c>
      <c r="N284" s="1038">
        <f>IF(AND(A47&gt;=$B$2,A47&lt;=$B$4),_xlfn.XLOOKUP(A284,'VMT Reduction Supporting'!$A:$A,'VMT Reduction Supporting'!$D:$D,,0),0)</f>
        <v>0</v>
      </c>
      <c r="O284" s="1042">
        <f>IF(AND(A47&gt;=$B$2,A47&lt;=$B$4),_xlfn.XLOOKUP(A284,'VMT Reduction Supporting'!$A:$A,'VMT Reduction Supporting'!$G:$G,,0),0)</f>
        <v>0</v>
      </c>
      <c r="P284" s="1045">
        <f t="shared" si="114"/>
        <v>0</v>
      </c>
      <c r="Q284" s="1045">
        <f t="shared" si="115"/>
        <v>0</v>
      </c>
      <c r="R284" s="1046">
        <f>IF(AND($A284&gt;=MIN('Major Assumption Key'!$B$4),$A284&lt;=MAX('Major Assumption Key'!$B$6)),Q284-P284,0)</f>
        <v>0</v>
      </c>
      <c r="S284" s="1047" t="s">
        <v>1145</v>
      </c>
      <c r="T284" s="1079" t="s">
        <v>1145</v>
      </c>
      <c r="U284" s="1048">
        <v>0</v>
      </c>
    </row>
    <row r="285" spans="1:21" outlineLevel="1">
      <c r="A285" s="1036">
        <f t="shared" si="109"/>
        <v>2057</v>
      </c>
      <c r="B285" s="1037">
        <f t="shared" si="120"/>
        <v>2.8597203097015965E-3</v>
      </c>
      <c r="C285" s="1037">
        <f t="shared" si="123"/>
        <v>0.13215765709861732</v>
      </c>
      <c r="D285" s="1038">
        <f>IF(AND(A48&gt;=$B$2,A48&lt;=$B$4),_xlfn.XLOOKUP(A285,'VMT Reduction Supporting'!$A:$A,'VMT Reduction Supporting'!$C:$C,,0),0)</f>
        <v>0</v>
      </c>
      <c r="E285" s="1039">
        <f>IF(AND(A48&gt;=$B$2,A48&lt;=$B$4),_xlfn.XLOOKUP(A285,'VMT Reduction Supporting'!$A:$A,'VMT Reduction Supporting'!$F:$F,,0),0)</f>
        <v>0</v>
      </c>
      <c r="F285" s="1040">
        <f t="shared" si="110"/>
        <v>0</v>
      </c>
      <c r="G285" s="1040">
        <f t="shared" si="111"/>
        <v>0</v>
      </c>
      <c r="H285" s="1041">
        <f>IF(AND($A285&gt;=MIN('Major Assumption Key'!$B$4),$A285&lt;=MAX('Major Assumption Key'!$B$6)),G285-F285,0)</f>
        <v>0</v>
      </c>
      <c r="I285" s="1038">
        <f>IF(AND(A48&gt;=$B$2,A48&lt;=$B$4),_xlfn.XLOOKUP(A285,'VMT Reduction Supporting'!$A:$A,'VMT Reduction Supporting'!$B:$B,,0),0)</f>
        <v>0</v>
      </c>
      <c r="J285" s="1042">
        <f>IF(AND(A48&gt;=$B$2,A48&lt;=$B$4),_xlfn.XLOOKUP(A285,'VMT Reduction Supporting'!$A:$A,'VMT Reduction Supporting'!$E:$E,,0),0)</f>
        <v>0</v>
      </c>
      <c r="K285" s="1043">
        <f t="shared" si="112"/>
        <v>0</v>
      </c>
      <c r="L285" s="1043">
        <f t="shared" si="113"/>
        <v>0</v>
      </c>
      <c r="M285" s="1044">
        <f>IF(AND($A285&gt;=MIN('Major Assumption Key'!$B$4),$A285&lt;=MAX('Major Assumption Key'!$B$6)),L285-K285,0)</f>
        <v>0</v>
      </c>
      <c r="N285" s="1038">
        <f>IF(AND(A48&gt;=$B$2,A48&lt;=$B$4),_xlfn.XLOOKUP(A285,'VMT Reduction Supporting'!$A:$A,'VMT Reduction Supporting'!$D:$D,,0),0)</f>
        <v>0</v>
      </c>
      <c r="O285" s="1042">
        <f>IF(AND(A48&gt;=$B$2,A48&lt;=$B$4),_xlfn.XLOOKUP(A285,'VMT Reduction Supporting'!$A:$A,'VMT Reduction Supporting'!$G:$G,,0),0)</f>
        <v>0</v>
      </c>
      <c r="P285" s="1045">
        <f t="shared" si="114"/>
        <v>0</v>
      </c>
      <c r="Q285" s="1045">
        <f t="shared" si="115"/>
        <v>0</v>
      </c>
      <c r="R285" s="1046">
        <f>IF(AND($A285&gt;=MIN('Major Assumption Key'!$B$4),$A285&lt;=MAX('Major Assumption Key'!$B$6)),Q285-P285,0)</f>
        <v>0</v>
      </c>
      <c r="S285" s="1047" t="s">
        <v>1145</v>
      </c>
      <c r="T285" s="1079" t="s">
        <v>1145</v>
      </c>
      <c r="U285" s="1048">
        <v>0</v>
      </c>
    </row>
    <row r="286" spans="1:21" outlineLevel="1">
      <c r="A286" s="1036">
        <f t="shared" si="109"/>
        <v>2058</v>
      </c>
      <c r="B286" s="1037">
        <f t="shared" si="120"/>
        <v>2.824358575805075E-3</v>
      </c>
      <c r="C286" s="1037">
        <f t="shared" si="123"/>
        <v>0.13212476340166343</v>
      </c>
      <c r="D286" s="1038">
        <f>IF(AND(A49&gt;=$B$2,A49&lt;=$B$4),_xlfn.XLOOKUP(A286,'VMT Reduction Supporting'!$A:$A,'VMT Reduction Supporting'!$C:$C,,0),0)</f>
        <v>0</v>
      </c>
      <c r="E286" s="1039">
        <f>IF(AND(A49&gt;=$B$2,A49&lt;=$B$4),_xlfn.XLOOKUP(A286,'VMT Reduction Supporting'!$A:$A,'VMT Reduction Supporting'!$F:$F,,0),0)</f>
        <v>0</v>
      </c>
      <c r="F286" s="1040">
        <f t="shared" si="110"/>
        <v>0</v>
      </c>
      <c r="G286" s="1040">
        <f t="shared" si="111"/>
        <v>0</v>
      </c>
      <c r="H286" s="1041">
        <f>IF(AND($A286&gt;=MIN('Major Assumption Key'!$B$4),$A286&lt;=MAX('Major Assumption Key'!$B$6)),G286-F286,0)</f>
        <v>0</v>
      </c>
      <c r="I286" s="1038">
        <f>IF(AND(A49&gt;=$B$2,A49&lt;=$B$4),_xlfn.XLOOKUP(A286,'VMT Reduction Supporting'!$A:$A,'VMT Reduction Supporting'!$B:$B,,0),0)</f>
        <v>0</v>
      </c>
      <c r="J286" s="1042">
        <f>IF(AND(A49&gt;=$B$2,A49&lt;=$B$4),_xlfn.XLOOKUP(A286,'VMT Reduction Supporting'!$A:$A,'VMT Reduction Supporting'!$E:$E,,0),0)</f>
        <v>0</v>
      </c>
      <c r="K286" s="1043">
        <f t="shared" si="112"/>
        <v>0</v>
      </c>
      <c r="L286" s="1043">
        <f t="shared" si="113"/>
        <v>0</v>
      </c>
      <c r="M286" s="1044">
        <f>IF(AND($A286&gt;=MIN('Major Assumption Key'!$B$4),$A286&lt;=MAX('Major Assumption Key'!$B$6)),L286-K286,0)</f>
        <v>0</v>
      </c>
      <c r="N286" s="1038">
        <f>IF(AND(A49&gt;=$B$2,A49&lt;=$B$4),_xlfn.XLOOKUP(A286,'VMT Reduction Supporting'!$A:$A,'VMT Reduction Supporting'!$D:$D,,0),0)</f>
        <v>0</v>
      </c>
      <c r="O286" s="1042">
        <f>IF(AND(A49&gt;=$B$2,A49&lt;=$B$4),_xlfn.XLOOKUP(A286,'VMT Reduction Supporting'!$A:$A,'VMT Reduction Supporting'!$G:$G,,0),0)</f>
        <v>0</v>
      </c>
      <c r="P286" s="1045">
        <f t="shared" si="114"/>
        <v>0</v>
      </c>
      <c r="Q286" s="1045">
        <f t="shared" si="115"/>
        <v>0</v>
      </c>
      <c r="R286" s="1046">
        <f>IF(AND($A286&gt;=MIN('Major Assumption Key'!$B$4),$A286&lt;=MAX('Major Assumption Key'!$B$6)),Q286-P286,0)</f>
        <v>0</v>
      </c>
      <c r="S286" s="1047" t="s">
        <v>1145</v>
      </c>
      <c r="T286" s="1079" t="s">
        <v>1145</v>
      </c>
      <c r="U286" s="1048">
        <v>0</v>
      </c>
    </row>
    <row r="287" spans="1:21" outlineLevel="1">
      <c r="A287" s="1036">
        <f t="shared" si="109"/>
        <v>2059</v>
      </c>
      <c r="B287" s="1037">
        <f t="shared" si="120"/>
        <v>2.7894341057276505E-3</v>
      </c>
      <c r="C287" s="1037">
        <f t="shared" si="123"/>
        <v>0.13209187789186511</v>
      </c>
      <c r="D287" s="1038">
        <f>IF(AND(A50&gt;=$B$2,A50&lt;=$B$4),_xlfn.XLOOKUP(A287,'VMT Reduction Supporting'!$A:$A,'VMT Reduction Supporting'!$C:$C,,0),0)</f>
        <v>0</v>
      </c>
      <c r="E287" s="1039">
        <f>IF(AND(A50&gt;=$B$2,A50&lt;=$B$4),_xlfn.XLOOKUP(A287,'VMT Reduction Supporting'!$A:$A,'VMT Reduction Supporting'!$F:$F,,0),0)</f>
        <v>0</v>
      </c>
      <c r="F287" s="1040">
        <f t="shared" si="110"/>
        <v>0</v>
      </c>
      <c r="G287" s="1040">
        <f t="shared" si="111"/>
        <v>0</v>
      </c>
      <c r="H287" s="1041">
        <f>IF(AND($A287&gt;=MIN('Major Assumption Key'!$B$4),$A287&lt;=MAX('Major Assumption Key'!$B$6)),G287-F287,0)</f>
        <v>0</v>
      </c>
      <c r="I287" s="1038">
        <f>IF(AND(A50&gt;=$B$2,A50&lt;=$B$4),_xlfn.XLOOKUP(A287,'VMT Reduction Supporting'!$A:$A,'VMT Reduction Supporting'!$B:$B,,0),0)</f>
        <v>0</v>
      </c>
      <c r="J287" s="1042">
        <f>IF(AND(A50&gt;=$B$2,A50&lt;=$B$4),_xlfn.XLOOKUP(A287,'VMT Reduction Supporting'!$A:$A,'VMT Reduction Supporting'!$E:$E,,0),0)</f>
        <v>0</v>
      </c>
      <c r="K287" s="1043">
        <f t="shared" si="112"/>
        <v>0</v>
      </c>
      <c r="L287" s="1043">
        <f t="shared" si="113"/>
        <v>0</v>
      </c>
      <c r="M287" s="1044">
        <f>IF(AND($A287&gt;=MIN('Major Assumption Key'!$B$4),$A287&lt;=MAX('Major Assumption Key'!$B$6)),L287-K287,0)</f>
        <v>0</v>
      </c>
      <c r="N287" s="1038">
        <f>IF(AND(A50&gt;=$B$2,A50&lt;=$B$4),_xlfn.XLOOKUP(A287,'VMT Reduction Supporting'!$A:$A,'VMT Reduction Supporting'!$D:$D,,0),0)</f>
        <v>0</v>
      </c>
      <c r="O287" s="1042">
        <f>IF(AND(A50&gt;=$B$2,A50&lt;=$B$4),_xlfn.XLOOKUP(A287,'VMT Reduction Supporting'!$A:$A,'VMT Reduction Supporting'!$G:$G,,0),0)</f>
        <v>0</v>
      </c>
      <c r="P287" s="1045">
        <f t="shared" si="114"/>
        <v>0</v>
      </c>
      <c r="Q287" s="1045">
        <f t="shared" si="115"/>
        <v>0</v>
      </c>
      <c r="R287" s="1046">
        <f>IF(AND($A287&gt;=MIN('Major Assumption Key'!$B$4),$A287&lt;=MAX('Major Assumption Key'!$B$6)),Q287-P287,0)</f>
        <v>0</v>
      </c>
      <c r="S287" s="1047" t="s">
        <v>1145</v>
      </c>
      <c r="T287" s="1079" t="s">
        <v>1145</v>
      </c>
      <c r="U287" s="1048">
        <v>0</v>
      </c>
    </row>
    <row r="288" spans="1:21" ht="13.8" outlineLevel="1" thickBot="1">
      <c r="A288" s="1036">
        <f t="shared" si="109"/>
        <v>2060</v>
      </c>
      <c r="B288" s="1037">
        <f t="shared" si="120"/>
        <v>2.7549414925046064E-3</v>
      </c>
      <c r="C288" s="1037">
        <f t="shared" si="123"/>
        <v>0.13205900056718459</v>
      </c>
      <c r="D288" s="1038">
        <f>IF(AND(A51&gt;=$B$2,A51&lt;=$B$4),_xlfn.XLOOKUP(A288,'VMT Reduction Supporting'!$A:$A,'VMT Reduction Supporting'!$C:$C,,0),0)</f>
        <v>0</v>
      </c>
      <c r="E288" s="1039">
        <f>IF(AND(A51&gt;=$B$2,A51&lt;=$B$4),_xlfn.XLOOKUP(A288,'VMT Reduction Supporting'!$A:$A,'VMT Reduction Supporting'!$F:$F,,0),0)</f>
        <v>0</v>
      </c>
      <c r="F288" s="1040">
        <f t="shared" si="110"/>
        <v>0</v>
      </c>
      <c r="G288" s="1040">
        <f t="shared" si="111"/>
        <v>0</v>
      </c>
      <c r="H288" s="1041">
        <f>IF(AND($A288&gt;=MIN('Major Assumption Key'!$B$4),$A288&lt;=MAX('Major Assumption Key'!$B$6)),G288-F288,0)</f>
        <v>0</v>
      </c>
      <c r="I288" s="1038">
        <f>IF(AND(A51&gt;=$B$2,A51&lt;=$B$4),_xlfn.XLOOKUP(A288,'VMT Reduction Supporting'!$A:$A,'VMT Reduction Supporting'!$B:$B,,0),0)</f>
        <v>0</v>
      </c>
      <c r="J288" s="1042">
        <f>IF(AND(A51&gt;=$B$2,A51&lt;=$B$4),_xlfn.XLOOKUP(A288,'VMT Reduction Supporting'!$A:$A,'VMT Reduction Supporting'!$E:$E,,0),0)</f>
        <v>0</v>
      </c>
      <c r="K288" s="1043">
        <f t="shared" si="112"/>
        <v>0</v>
      </c>
      <c r="L288" s="1043">
        <f t="shared" si="113"/>
        <v>0</v>
      </c>
      <c r="M288" s="1044">
        <f>IF(AND($A288&gt;=MIN('Major Assumption Key'!$B$4),$A288&lt;=MAX('Major Assumption Key'!$B$6)),L288-K288,0)</f>
        <v>0</v>
      </c>
      <c r="N288" s="1038">
        <f>IF(AND(A51&gt;=$B$2,A51&lt;=$B$4),_xlfn.XLOOKUP(A288,'VMT Reduction Supporting'!$A:$A,'VMT Reduction Supporting'!$D:$D,,0),0)</f>
        <v>0</v>
      </c>
      <c r="O288" s="1042">
        <f>IF(AND(A51&gt;=$B$2,A51&lt;=$B$4),_xlfn.XLOOKUP(A288,'VMT Reduction Supporting'!$A:$A,'VMT Reduction Supporting'!$G:$G,,0),0)</f>
        <v>0</v>
      </c>
      <c r="P288" s="1045">
        <f t="shared" si="114"/>
        <v>0</v>
      </c>
      <c r="Q288" s="1045">
        <f t="shared" si="115"/>
        <v>0</v>
      </c>
      <c r="R288" s="1046">
        <f>IF(AND($A288&gt;=MIN('Major Assumption Key'!$B$4),$A288&lt;=MAX('Major Assumption Key'!$B$6)),Q288-P288,0)</f>
        <v>0</v>
      </c>
      <c r="S288" s="1047" t="s">
        <v>1145</v>
      </c>
      <c r="T288" s="1079" t="s">
        <v>1145</v>
      </c>
      <c r="U288" s="1048">
        <v>0</v>
      </c>
    </row>
    <row r="289" spans="1:22">
      <c r="A289" s="2120" t="s">
        <v>7301</v>
      </c>
      <c r="B289" s="2120"/>
      <c r="C289" s="2121"/>
      <c r="D289" s="1080">
        <f>SUMIFS(D248:D288,$A248:$A288,"&gt;="&amp;$B$3,$A248:$A288,"&lt;="&amp;$B$4)</f>
        <v>38266.112417412827</v>
      </c>
      <c r="E289" s="1080">
        <f>SUMIFS(E248:E288,$A248:$A288,"&gt;="&amp;$B$3,$A248:$A288,"&lt;="&amp;$B$4)</f>
        <v>522970.20303797506</v>
      </c>
      <c r="G289" s="1081"/>
      <c r="H289" s="1082">
        <f>SUMIFS(H248:H288,$A248:$A288,"&gt;="&amp;$B$3,$A248:$A288,"&lt;="&amp;$B$4)</f>
        <v>2.3409366625560058E-3</v>
      </c>
      <c r="I289" s="1080">
        <f>SUMIFS(I248:I288,$A248:$A288,"&gt;="&amp;$B$3,$A248:$A288,"&lt;="&amp;$B$4)</f>
        <v>554858.63005248574</v>
      </c>
      <c r="J289" s="1080">
        <f>SUMIFS(J248:J288,$A248:$A288,"&gt;="&amp;$B$3,$A248:$A288,"&lt;="&amp;$B$4)</f>
        <v>562180.27784661518</v>
      </c>
      <c r="L289" s="1081"/>
      <c r="M289" s="1083">
        <f>SUMIFS(M248:M288,$A248:$A288,"&gt;="&amp;$B$3,$A248:$A288,"&lt;="&amp;$B$4)</f>
        <v>3.6303779328247465E-5</v>
      </c>
      <c r="N289" s="1080">
        <f>SUMIFS(N248:N288,$A248:$A288,"&gt;="&amp;$B$3,$A248:$A288,"&lt;="&amp;$B$4)</f>
        <v>2066966.0090962988</v>
      </c>
      <c r="O289" s="1080">
        <f>SUMIFS(O248:O288,$A248:$A288,"&gt;="&amp;$B$3,$A248:$A288,"&lt;="&amp;$B$4)</f>
        <v>2333604.6242697216</v>
      </c>
      <c r="Q289" s="1081"/>
      <c r="R289" s="1084">
        <f>SUMIFS(R248:R288,$A248:$A288,"&gt;="&amp;$B$3,$A248:$A288,"&lt;="&amp;$B$4)</f>
        <v>5.3441615378091542E-2</v>
      </c>
      <c r="S289" s="2113"/>
      <c r="T289" s="2114"/>
      <c r="U289" s="1085">
        <f>SUMIFS(U248:U288,$A248:$A288,"&gt;="&amp;$B$3,$A248:$A288,"&lt;="&amp;$B$4)</f>
        <v>0</v>
      </c>
    </row>
    <row r="290" spans="1:22" ht="13.8" thickBot="1">
      <c r="A290" s="2117" t="s">
        <v>7289</v>
      </c>
      <c r="B290" s="2117"/>
      <c r="C290" s="2118"/>
      <c r="D290" s="1087">
        <f>AVERAGEIFS(D248:D288,$A248:$A288,"&gt;="&amp;$B$3,$A248:$A288,"&lt;="&amp;$B$4)</f>
        <v>1471.773554515878</v>
      </c>
      <c r="E290" s="1087">
        <f>AVERAGEIFS(E248:E288,$A248:$A288,"&gt;="&amp;$B$3,$A248:$A288,"&lt;="&amp;$B$4)</f>
        <v>20114.238578383658</v>
      </c>
      <c r="H290" s="1088">
        <f>AVERAGEIFS(H248:H288,$A248:$A288,"&gt;="&amp;$B$3,$A248:$A288,"&lt;="&amp;$B$4)</f>
        <v>9.0036025482923297E-5</v>
      </c>
      <c r="I290" s="1087">
        <f>AVERAGEIFS(I248:I288,$A248:$A288,"&gt;="&amp;$B$3,$A248:$A288,"&lt;="&amp;$B$4)</f>
        <v>21340.716540480222</v>
      </c>
      <c r="J290" s="1087">
        <f>AVERAGEIFS(J248:J288,$A248:$A288,"&gt;="&amp;$B$3,$A248:$A288,"&lt;="&amp;$B$4)</f>
        <v>21622.318378715969</v>
      </c>
      <c r="M290" s="1089">
        <f>AVERAGEIFS(M248:M288,$A248:$A288,"&gt;="&amp;$B$3,$A248:$A288,"&lt;="&amp;$B$4)</f>
        <v>1.3962992049325949E-6</v>
      </c>
      <c r="N290" s="1087">
        <f>AVERAGEIFS(N248:N288,$A248:$A288,"&gt;="&amp;$B$3,$A248:$A288,"&lt;="&amp;$B$4)</f>
        <v>79498.692657549953</v>
      </c>
      <c r="O290" s="1087">
        <f>AVERAGEIFS(O248:O288,$A248:$A288,"&gt;="&amp;$B$3,$A248:$A288,"&lt;="&amp;$B$4)</f>
        <v>89754.024010373905</v>
      </c>
      <c r="R290" s="1090">
        <f>AVERAGEIFS(R248:R288,$A248:$A288,"&gt;="&amp;$B$3,$A248:$A288,"&lt;="&amp;$B$4)</f>
        <v>2.0554467453112132E-3</v>
      </c>
      <c r="U290" s="1091">
        <f>AVERAGEIFS(U248:U288,$A248:$A288,"&gt;="&amp;$B$3,$A248:$A288,"&lt;="&amp;$B$4)</f>
        <v>0</v>
      </c>
    </row>
    <row r="291" spans="1:22" ht="13.8" thickBot="1">
      <c r="A291" s="1049"/>
      <c r="B291" s="1049"/>
      <c r="C291" s="1049"/>
    </row>
    <row r="292" spans="1:22">
      <c r="A292" s="1092" t="str">
        <f>M9</f>
        <v>CO2</v>
      </c>
      <c r="B292" s="1093" t="s">
        <v>7302</v>
      </c>
      <c r="C292" s="1094"/>
      <c r="D292" s="2119" t="s">
        <v>7290</v>
      </c>
      <c r="E292" s="2119"/>
      <c r="F292" s="2119"/>
      <c r="G292" s="2119"/>
      <c r="H292" s="2119"/>
      <c r="I292" s="2119"/>
      <c r="J292" s="2119"/>
      <c r="K292" s="2103" t="s">
        <v>7291</v>
      </c>
      <c r="L292" s="2103"/>
      <c r="M292" s="2103"/>
      <c r="N292" s="2103"/>
      <c r="O292" s="2103"/>
      <c r="P292" s="2103"/>
      <c r="Q292" s="2103"/>
      <c r="R292" s="2103" t="s">
        <v>7293</v>
      </c>
      <c r="S292" s="2103"/>
      <c r="T292" s="2103"/>
      <c r="U292" s="2104"/>
    </row>
    <row r="293" spans="1:22" ht="12.75" customHeight="1">
      <c r="A293" s="2115" t="s">
        <v>510</v>
      </c>
      <c r="B293" s="1095" t="s">
        <v>7303</v>
      </c>
      <c r="C293" s="1095" t="s">
        <v>7304</v>
      </c>
      <c r="D293" s="1058" t="s">
        <v>66</v>
      </c>
      <c r="E293" s="1058" t="s">
        <v>131</v>
      </c>
      <c r="F293" s="1058" t="s">
        <v>66</v>
      </c>
      <c r="G293" s="1058" t="s">
        <v>131</v>
      </c>
      <c r="H293" s="1096" t="s">
        <v>487</v>
      </c>
      <c r="I293" s="1096" t="s">
        <v>131</v>
      </c>
      <c r="J293" s="1069" t="s">
        <v>7296</v>
      </c>
      <c r="K293" s="1058" t="s">
        <v>66</v>
      </c>
      <c r="L293" s="1058" t="s">
        <v>131</v>
      </c>
      <c r="M293" s="1058" t="s">
        <v>66</v>
      </c>
      <c r="N293" s="1058" t="s">
        <v>131</v>
      </c>
      <c r="O293" s="1097" t="s">
        <v>487</v>
      </c>
      <c r="P293" s="1097" t="s">
        <v>131</v>
      </c>
      <c r="Q293" s="1098" t="s">
        <v>7296</v>
      </c>
      <c r="R293" s="1058" t="s">
        <v>66</v>
      </c>
      <c r="S293" s="1058" t="s">
        <v>131</v>
      </c>
      <c r="T293" s="1064" t="s">
        <v>487</v>
      </c>
      <c r="U293" s="1065" t="s">
        <v>131</v>
      </c>
      <c r="V293" s="1065" t="s">
        <v>7296</v>
      </c>
    </row>
    <row r="294" spans="1:22" ht="66">
      <c r="A294" s="2116"/>
      <c r="B294" s="1100" t="s">
        <v>7305</v>
      </c>
      <c r="C294" s="1100" t="s">
        <v>7306</v>
      </c>
      <c r="D294" s="1068" t="s">
        <v>7298</v>
      </c>
      <c r="E294" s="1068" t="s">
        <v>7298</v>
      </c>
      <c r="F294" s="1068" t="s">
        <v>7307</v>
      </c>
      <c r="G294" s="1068" t="s">
        <v>7307</v>
      </c>
      <c r="H294" s="1069" t="s">
        <v>7299</v>
      </c>
      <c r="I294" s="1069" t="s">
        <v>7299</v>
      </c>
      <c r="J294" s="1069" t="s">
        <v>7300</v>
      </c>
      <c r="K294" s="1068" t="s">
        <v>7298</v>
      </c>
      <c r="L294" s="1068" t="s">
        <v>7298</v>
      </c>
      <c r="M294" s="1068" t="s">
        <v>7307</v>
      </c>
      <c r="N294" s="1068" t="s">
        <v>7307</v>
      </c>
      <c r="O294" s="1098" t="s">
        <v>7299</v>
      </c>
      <c r="P294" s="1098" t="s">
        <v>7299</v>
      </c>
      <c r="Q294" s="1098" t="s">
        <v>7300</v>
      </c>
      <c r="R294" s="1068" t="s">
        <v>7307</v>
      </c>
      <c r="S294" s="1068" t="s">
        <v>7307</v>
      </c>
      <c r="T294" s="1076" t="s">
        <v>7299</v>
      </c>
      <c r="U294" s="1077" t="s">
        <v>7299</v>
      </c>
      <c r="V294" s="1077" t="s">
        <v>7300</v>
      </c>
    </row>
    <row r="295" spans="1:22" outlineLevel="1">
      <c r="A295" s="1099">
        <f>A11</f>
        <v>2020</v>
      </c>
      <c r="B295" s="1101">
        <f t="shared" ref="B295:B335" si="124">8.887*(10^-3)</f>
        <v>8.8870000000000008E-3</v>
      </c>
      <c r="C295" s="1102">
        <v>25.4</v>
      </c>
      <c r="D295" s="1042">
        <f>IF(AND(A11&gt;=$B$2,A11&lt;=$B$4),_xlfn.XLOOKUP(A295,'VMT Reduction Supporting'!A:A,'VMT Reduction Supporting'!C:C,,0),0)</f>
        <v>0</v>
      </c>
      <c r="E295" s="1042">
        <f>IF(AND(A11&gt;=$B$2,A11&lt;=$B$4),_xlfn.XLOOKUP(A295,'VMT Reduction Supporting'!A:A,'VMT Reduction Supporting'!F:F,,0),0)</f>
        <v>0</v>
      </c>
      <c r="F295" s="1042">
        <f>D295/C295</f>
        <v>0</v>
      </c>
      <c r="G295" s="1042">
        <f>IFERROR(E295/C295,"N/A")</f>
        <v>0</v>
      </c>
      <c r="H295" s="1103">
        <f t="shared" ref="H295" si="125">F295*B295</f>
        <v>0</v>
      </c>
      <c r="I295" s="1103">
        <f>IFERROR(G295*B295,0)</f>
        <v>0</v>
      </c>
      <c r="J295" s="1103">
        <f>IF(AND($A295&gt;=$B$2,$A295&lt;=$B$4),I295-H295,0)</f>
        <v>0</v>
      </c>
      <c r="K295" s="1042">
        <f>IF(AND(A11&gt;=$B$2,A11&lt;=$B$4),_xlfn.XLOOKUP(A295,'VMT Reduction Supporting'!A:A,'VMT Reduction Supporting'!B:B,,0),0)</f>
        <v>0</v>
      </c>
      <c r="L295" s="1042">
        <f>IF(AND(A11&gt;=$B$2,A11&lt;=$B$4),_xlfn.XLOOKUP(A295,'VMT Reduction Supporting'!A:A,'VMT Reduction Supporting'!E:E,,0),0)</f>
        <v>0</v>
      </c>
      <c r="M295" s="1042">
        <f>K295/C295</f>
        <v>0</v>
      </c>
      <c r="N295" s="1042">
        <f>L295/C295</f>
        <v>0</v>
      </c>
      <c r="O295" s="1104">
        <f>M295*$B295</f>
        <v>0</v>
      </c>
      <c r="P295" s="1104">
        <f>N295*$B295</f>
        <v>0</v>
      </c>
      <c r="Q295" s="1104">
        <f>IF(AND($A295&gt;=$B$2,$A295&lt;=$B$4),P295-O295,0)</f>
        <v>0</v>
      </c>
      <c r="R295" s="1042">
        <f>IF(AND(A11&gt;=$B$2,A11&lt;=$B$4),_xlfn.XLOOKUP(A295,'Auto Idling Benefit - Fuel'!F:F,'Auto Idling Benefit - Fuel'!H:H,,0),0)</f>
        <v>0</v>
      </c>
      <c r="S295" s="1042">
        <f>IF(AND(A11&gt;=$B$2,A11&lt;=$B$4),_xlfn.XLOOKUP(A295,'Auto Idling Benefit - Fuel'!F:F,'Auto Idling Benefit - Fuel'!L:L,,0),0)</f>
        <v>0</v>
      </c>
      <c r="T295" s="1079">
        <f t="shared" ref="T295" si="126">R295*$B295</f>
        <v>0</v>
      </c>
      <c r="U295" s="1048">
        <f t="shared" ref="U295" si="127">S295*$B295</f>
        <v>0</v>
      </c>
      <c r="V295" s="1048">
        <f>IF(AND($A241&gt;=$B$3,$A241&lt;=$B$4),T295-U295,0)</f>
        <v>0</v>
      </c>
    </row>
    <row r="296" spans="1:22" outlineLevel="1">
      <c r="A296" s="1099">
        <f t="shared" ref="A296:A335" si="128">A12</f>
        <v>2021</v>
      </c>
      <c r="B296" s="1101">
        <f t="shared" si="124"/>
        <v>8.8870000000000008E-3</v>
      </c>
      <c r="C296" s="1102">
        <f>C295+0.25</f>
        <v>25.65</v>
      </c>
      <c r="D296" s="1042">
        <f>IF(AND(A12&gt;=$B$2,A12&lt;=$B$4),_xlfn.XLOOKUP(A296,'VMT Reduction Supporting'!A:A,'VMT Reduction Supporting'!C:C,,0),0)</f>
        <v>0</v>
      </c>
      <c r="E296" s="1042">
        <f>IF(AND(A12&gt;=$B$2,A12&lt;=$B$4),_xlfn.XLOOKUP(A296,'VMT Reduction Supporting'!A:A,'VMT Reduction Supporting'!F:F,,0),0)</f>
        <v>0</v>
      </c>
      <c r="F296" s="1042">
        <f t="shared" ref="F296:F335" si="129">D296/C296</f>
        <v>0</v>
      </c>
      <c r="G296" s="1042">
        <f t="shared" ref="G296:G335" si="130">IFERROR(E296/C296,"N/A")</f>
        <v>0</v>
      </c>
      <c r="H296" s="1103">
        <f t="shared" ref="H296:H335" si="131">F296*B296</f>
        <v>0</v>
      </c>
      <c r="I296" s="1103">
        <f t="shared" ref="I296:I335" si="132">IFERROR(G296*B296,0)</f>
        <v>0</v>
      </c>
      <c r="J296" s="1103">
        <f t="shared" ref="J296:J335" si="133">IF(AND($A296&gt;=$B$2,$A296&lt;=$B$4),I296-H296,0)</f>
        <v>0</v>
      </c>
      <c r="K296" s="1042">
        <f>IF(AND(A12&gt;=$B$2,A12&lt;=$B$4),_xlfn.XLOOKUP(A296,'VMT Reduction Supporting'!A:A,'VMT Reduction Supporting'!B:B,,0),0)</f>
        <v>0</v>
      </c>
      <c r="L296" s="1042">
        <f>IF(AND(A12&gt;=$B$2,A12&lt;=$B$4),_xlfn.XLOOKUP(A296,'VMT Reduction Supporting'!A:A,'VMT Reduction Supporting'!E:E,,0),0)</f>
        <v>0</v>
      </c>
      <c r="M296" s="1042">
        <f t="shared" ref="M296:M335" si="134">K296/C296</f>
        <v>0</v>
      </c>
      <c r="N296" s="1042">
        <f t="shared" ref="N296:N335" si="135">L296/C296</f>
        <v>0</v>
      </c>
      <c r="O296" s="1104">
        <f t="shared" ref="O296:O335" si="136">M296*$B296</f>
        <v>0</v>
      </c>
      <c r="P296" s="1104">
        <f t="shared" ref="P296:P335" si="137">N296*$B296</f>
        <v>0</v>
      </c>
      <c r="Q296" s="1104">
        <f t="shared" ref="Q296:Q335" si="138">IF(AND($A296&gt;=$B$2,$A296&lt;=$B$4),P296-O296,0)</f>
        <v>0</v>
      </c>
      <c r="R296" s="1042">
        <f>IF(AND(A12&gt;=$B$2,A12&lt;=$B$4),_xlfn.XLOOKUP(A296,'Auto Idling Benefit - Fuel'!F:F,'Auto Idling Benefit - Fuel'!H:H,,0),0)</f>
        <v>0</v>
      </c>
      <c r="S296" s="1042">
        <f>IF(AND(A12&gt;=$B$2,A12&lt;=$B$4),_xlfn.XLOOKUP(A296,'Auto Idling Benefit - Fuel'!F:F,'Auto Idling Benefit - Fuel'!L:L,,0),0)</f>
        <v>0</v>
      </c>
      <c r="T296" s="1079">
        <f t="shared" ref="T296:T335" si="139">R296*$B296</f>
        <v>0</v>
      </c>
      <c r="U296" s="1048">
        <f t="shared" ref="U296:U335" si="140">S296*$B296</f>
        <v>0</v>
      </c>
      <c r="V296" s="1048">
        <f t="shared" ref="V296:V335" si="141">IF(AND($A242&gt;=$B$3,$A242&lt;=$B$4),T296-U296,0)</f>
        <v>0</v>
      </c>
    </row>
    <row r="297" spans="1:22" outlineLevel="1">
      <c r="A297" s="1099">
        <f t="shared" si="128"/>
        <v>2022</v>
      </c>
      <c r="B297" s="1101">
        <f t="shared" si="124"/>
        <v>8.8870000000000008E-3</v>
      </c>
      <c r="C297" s="1102">
        <f t="shared" ref="C297:C335" si="142">C296+0.25</f>
        <v>25.9</v>
      </c>
      <c r="D297" s="1042">
        <f>IF(AND(A13&gt;=$B$2,A13&lt;=$B$4),_xlfn.XLOOKUP(A297,'VMT Reduction Supporting'!A:A,'VMT Reduction Supporting'!C:C,,0),0)</f>
        <v>0</v>
      </c>
      <c r="E297" s="1042">
        <f>IF(AND(A13&gt;=$B$2,A13&lt;=$B$4),_xlfn.XLOOKUP(A297,'VMT Reduction Supporting'!A:A,'VMT Reduction Supporting'!F:F,,0),0)</f>
        <v>0</v>
      </c>
      <c r="F297" s="1042">
        <f t="shared" si="129"/>
        <v>0</v>
      </c>
      <c r="G297" s="1042">
        <f t="shared" si="130"/>
        <v>0</v>
      </c>
      <c r="H297" s="1103">
        <f t="shared" si="131"/>
        <v>0</v>
      </c>
      <c r="I297" s="1103">
        <f t="shared" si="132"/>
        <v>0</v>
      </c>
      <c r="J297" s="1103">
        <f t="shared" si="133"/>
        <v>0</v>
      </c>
      <c r="K297" s="1042">
        <f>IF(AND(A13&gt;=$B$2,A13&lt;=$B$4),_xlfn.XLOOKUP(A297,'VMT Reduction Supporting'!A:A,'VMT Reduction Supporting'!B:B,,0),0)</f>
        <v>0</v>
      </c>
      <c r="L297" s="1042">
        <f>IF(AND(A13&gt;=$B$2,A13&lt;=$B$4),_xlfn.XLOOKUP(A297,'VMT Reduction Supporting'!A:A,'VMT Reduction Supporting'!E:E,,0),0)</f>
        <v>0</v>
      </c>
      <c r="M297" s="1042">
        <f t="shared" si="134"/>
        <v>0</v>
      </c>
      <c r="N297" s="1042">
        <f t="shared" si="135"/>
        <v>0</v>
      </c>
      <c r="O297" s="1104">
        <f t="shared" si="136"/>
        <v>0</v>
      </c>
      <c r="P297" s="1104">
        <f t="shared" si="137"/>
        <v>0</v>
      </c>
      <c r="Q297" s="1104">
        <f t="shared" si="138"/>
        <v>0</v>
      </c>
      <c r="R297" s="1042">
        <f>IF(AND(A13&gt;=$B$2,A13&lt;=$B$4),_xlfn.XLOOKUP(A297,'Auto Idling Benefit - Fuel'!F:F,'Auto Idling Benefit - Fuel'!H:H,,0),0)</f>
        <v>0</v>
      </c>
      <c r="S297" s="1042">
        <f>IF(AND(A13&gt;=$B$2,A13&lt;=$B$4),_xlfn.XLOOKUP(A297,'Auto Idling Benefit - Fuel'!F:F,'Auto Idling Benefit - Fuel'!L:L,,0),0)</f>
        <v>0</v>
      </c>
      <c r="T297" s="1079">
        <f t="shared" si="139"/>
        <v>0</v>
      </c>
      <c r="U297" s="1048">
        <f t="shared" si="140"/>
        <v>0</v>
      </c>
      <c r="V297" s="1048">
        <f t="shared" si="141"/>
        <v>0</v>
      </c>
    </row>
    <row r="298" spans="1:22" outlineLevel="1">
      <c r="A298" s="1099">
        <f t="shared" si="128"/>
        <v>2023</v>
      </c>
      <c r="B298" s="1101">
        <f t="shared" si="124"/>
        <v>8.8870000000000008E-3</v>
      </c>
      <c r="C298" s="1102">
        <f t="shared" si="142"/>
        <v>26.15</v>
      </c>
      <c r="D298" s="1042">
        <f>IF(AND(A14&gt;=$B$2,A14&lt;=$B$4),_xlfn.XLOOKUP(A298,'VMT Reduction Supporting'!A:A,'VMT Reduction Supporting'!C:C,,0),0)</f>
        <v>0</v>
      </c>
      <c r="E298" s="1042">
        <f>IF(AND(A14&gt;=$B$2,A14&lt;=$B$4),_xlfn.XLOOKUP(A298,'VMT Reduction Supporting'!A:A,'VMT Reduction Supporting'!F:F,,0),0)</f>
        <v>0</v>
      </c>
      <c r="F298" s="1042">
        <f t="shared" si="129"/>
        <v>0</v>
      </c>
      <c r="G298" s="1042">
        <f t="shared" si="130"/>
        <v>0</v>
      </c>
      <c r="H298" s="1103">
        <f t="shared" si="131"/>
        <v>0</v>
      </c>
      <c r="I298" s="1103">
        <f t="shared" si="132"/>
        <v>0</v>
      </c>
      <c r="J298" s="1103">
        <f t="shared" si="133"/>
        <v>0</v>
      </c>
      <c r="K298" s="1042">
        <f>IF(AND(A14&gt;=$B$2,A14&lt;=$B$4),_xlfn.XLOOKUP(A298,'VMT Reduction Supporting'!A:A,'VMT Reduction Supporting'!B:B,,0),0)</f>
        <v>0</v>
      </c>
      <c r="L298" s="1042">
        <f>IF(AND(A14&gt;=$B$2,A14&lt;=$B$4),_xlfn.XLOOKUP(A298,'VMT Reduction Supporting'!A:A,'VMT Reduction Supporting'!E:E,,0),0)</f>
        <v>0</v>
      </c>
      <c r="M298" s="1042">
        <f t="shared" si="134"/>
        <v>0</v>
      </c>
      <c r="N298" s="1042">
        <f t="shared" si="135"/>
        <v>0</v>
      </c>
      <c r="O298" s="1104">
        <f t="shared" si="136"/>
        <v>0</v>
      </c>
      <c r="P298" s="1104">
        <f t="shared" si="137"/>
        <v>0</v>
      </c>
      <c r="Q298" s="1104">
        <f t="shared" si="138"/>
        <v>0</v>
      </c>
      <c r="R298" s="1042">
        <f>IF(AND(A14&gt;=$B$2,A14&lt;=$B$4),_xlfn.XLOOKUP(A298,'Auto Idling Benefit - Fuel'!F:F,'Auto Idling Benefit - Fuel'!H:H,,0),0)</f>
        <v>0</v>
      </c>
      <c r="S298" s="1042">
        <f>IF(AND(A14&gt;=$B$2,A14&lt;=$B$4),_xlfn.XLOOKUP(A298,'Auto Idling Benefit - Fuel'!F:F,'Auto Idling Benefit - Fuel'!L:L,,0),0)</f>
        <v>0</v>
      </c>
      <c r="T298" s="1079">
        <f t="shared" si="139"/>
        <v>0</v>
      </c>
      <c r="U298" s="1048">
        <f t="shared" si="140"/>
        <v>0</v>
      </c>
      <c r="V298" s="1048">
        <f t="shared" si="141"/>
        <v>0</v>
      </c>
    </row>
    <row r="299" spans="1:22" outlineLevel="1">
      <c r="A299" s="1099">
        <f t="shared" si="128"/>
        <v>2024</v>
      </c>
      <c r="B299" s="1101">
        <f t="shared" si="124"/>
        <v>8.8870000000000008E-3</v>
      </c>
      <c r="C299" s="1102">
        <f t="shared" si="142"/>
        <v>26.4</v>
      </c>
      <c r="D299" s="1042">
        <f>IF(AND(A15&gt;=$B$2,A15&lt;=$B$4),_xlfn.XLOOKUP(A299,'VMT Reduction Supporting'!A:A,'VMT Reduction Supporting'!C:C,,0),0)</f>
        <v>0</v>
      </c>
      <c r="E299" s="1042">
        <f>IF(AND(A15&gt;=$B$2,A15&lt;=$B$4),_xlfn.XLOOKUP(A299,'VMT Reduction Supporting'!A:A,'VMT Reduction Supporting'!F:F,,0),0)</f>
        <v>0</v>
      </c>
      <c r="F299" s="1042">
        <f t="shared" si="129"/>
        <v>0</v>
      </c>
      <c r="G299" s="1042">
        <f t="shared" si="130"/>
        <v>0</v>
      </c>
      <c r="H299" s="1103">
        <f t="shared" si="131"/>
        <v>0</v>
      </c>
      <c r="I299" s="1103">
        <f t="shared" si="132"/>
        <v>0</v>
      </c>
      <c r="J299" s="1103">
        <f t="shared" si="133"/>
        <v>0</v>
      </c>
      <c r="K299" s="1042">
        <f>IF(AND(A15&gt;=$B$2,A15&lt;=$B$4),_xlfn.XLOOKUP(A299,'VMT Reduction Supporting'!A:A,'VMT Reduction Supporting'!B:B,,0),0)</f>
        <v>0</v>
      </c>
      <c r="L299" s="1042">
        <f>IF(AND(A15&gt;=$B$2,A15&lt;=$B$4),_xlfn.XLOOKUP(A299,'VMT Reduction Supporting'!A:A,'VMT Reduction Supporting'!E:E,,0),0)</f>
        <v>0</v>
      </c>
      <c r="M299" s="1042">
        <f t="shared" si="134"/>
        <v>0</v>
      </c>
      <c r="N299" s="1042">
        <f t="shared" si="135"/>
        <v>0</v>
      </c>
      <c r="O299" s="1104">
        <f t="shared" si="136"/>
        <v>0</v>
      </c>
      <c r="P299" s="1104">
        <f t="shared" si="137"/>
        <v>0</v>
      </c>
      <c r="Q299" s="1104">
        <f t="shared" si="138"/>
        <v>0</v>
      </c>
      <c r="R299" s="1042">
        <f>IF(AND(A15&gt;=$B$2,A15&lt;=$B$4),_xlfn.XLOOKUP(A299,'Auto Idling Benefit - Fuel'!F:F,'Auto Idling Benefit - Fuel'!H:H,,0),0)</f>
        <v>0</v>
      </c>
      <c r="S299" s="1042">
        <f>IF(AND(A15&gt;=$B$2,A15&lt;=$B$4),_xlfn.XLOOKUP(A299,'Auto Idling Benefit - Fuel'!F:F,'Auto Idling Benefit - Fuel'!L:L,,0),0)</f>
        <v>0</v>
      </c>
      <c r="T299" s="1079">
        <f t="shared" si="139"/>
        <v>0</v>
      </c>
      <c r="U299" s="1048">
        <f t="shared" si="140"/>
        <v>0</v>
      </c>
      <c r="V299" s="1048">
        <f t="shared" si="141"/>
        <v>0</v>
      </c>
    </row>
    <row r="300" spans="1:22" outlineLevel="1">
      <c r="A300" s="1099">
        <f t="shared" si="128"/>
        <v>2025</v>
      </c>
      <c r="B300" s="1101">
        <f t="shared" si="124"/>
        <v>8.8870000000000008E-3</v>
      </c>
      <c r="C300" s="1102">
        <f t="shared" si="142"/>
        <v>26.65</v>
      </c>
      <c r="D300" s="1042">
        <f>IF(AND(A16&gt;=$B$2,A16&lt;=$B$4),_xlfn.XLOOKUP(A300,'VMT Reduction Supporting'!A:A,'VMT Reduction Supporting'!C:C,,0),0)</f>
        <v>0</v>
      </c>
      <c r="E300" s="1042">
        <f>IF(AND(A16&gt;=$B$2,A16&lt;=$B$4),_xlfn.XLOOKUP(A300,'VMT Reduction Supporting'!A:A,'VMT Reduction Supporting'!F:F,,0),0)</f>
        <v>0</v>
      </c>
      <c r="F300" s="1042">
        <f t="shared" si="129"/>
        <v>0</v>
      </c>
      <c r="G300" s="1042">
        <f t="shared" si="130"/>
        <v>0</v>
      </c>
      <c r="H300" s="1103">
        <f t="shared" si="131"/>
        <v>0</v>
      </c>
      <c r="I300" s="1103">
        <f t="shared" si="132"/>
        <v>0</v>
      </c>
      <c r="J300" s="1103">
        <f t="shared" si="133"/>
        <v>0</v>
      </c>
      <c r="K300" s="1042">
        <f>IF(AND(A16&gt;=$B$2,A16&lt;=$B$4),_xlfn.XLOOKUP(A300,'VMT Reduction Supporting'!A:A,'VMT Reduction Supporting'!B:B,,0),0)</f>
        <v>0</v>
      </c>
      <c r="L300" s="1042">
        <f>IF(AND(A16&gt;=$B$2,A16&lt;=$B$4),_xlfn.XLOOKUP(A300,'VMT Reduction Supporting'!A:A,'VMT Reduction Supporting'!E:E,,0),0)</f>
        <v>0</v>
      </c>
      <c r="M300" s="1042">
        <f t="shared" si="134"/>
        <v>0</v>
      </c>
      <c r="N300" s="1042">
        <f t="shared" si="135"/>
        <v>0</v>
      </c>
      <c r="O300" s="1104">
        <f t="shared" si="136"/>
        <v>0</v>
      </c>
      <c r="P300" s="1104">
        <f t="shared" si="137"/>
        <v>0</v>
      </c>
      <c r="Q300" s="1104">
        <f t="shared" si="138"/>
        <v>0</v>
      </c>
      <c r="R300" s="1042">
        <f>IF(AND(A16&gt;=$B$2,A16&lt;=$B$4),_xlfn.XLOOKUP(A300,'Auto Idling Benefit - Fuel'!F:F,'Auto Idling Benefit - Fuel'!H:H,,0),0)</f>
        <v>0</v>
      </c>
      <c r="S300" s="1042">
        <f>IF(AND(A16&gt;=$B$2,A16&lt;=$B$4),_xlfn.XLOOKUP(A300,'Auto Idling Benefit - Fuel'!F:F,'Auto Idling Benefit - Fuel'!L:L,,0),0)</f>
        <v>0</v>
      </c>
      <c r="T300" s="1079">
        <f t="shared" si="139"/>
        <v>0</v>
      </c>
      <c r="U300" s="1048">
        <f t="shared" si="140"/>
        <v>0</v>
      </c>
      <c r="V300" s="1048">
        <f t="shared" si="141"/>
        <v>0</v>
      </c>
    </row>
    <row r="301" spans="1:22" outlineLevel="1">
      <c r="A301" s="1099">
        <f t="shared" si="128"/>
        <v>2026</v>
      </c>
      <c r="B301" s="1101">
        <f t="shared" si="124"/>
        <v>8.8870000000000008E-3</v>
      </c>
      <c r="C301" s="1102">
        <f t="shared" si="142"/>
        <v>26.9</v>
      </c>
      <c r="D301" s="1042">
        <f>IF(AND(A17&gt;=$B$2,A17&lt;=$B$4),_xlfn.XLOOKUP(A301,'VMT Reduction Supporting'!A:A,'VMT Reduction Supporting'!C:C,,0),0)</f>
        <v>0</v>
      </c>
      <c r="E301" s="1042">
        <f>IF(AND(A17&gt;=$B$2,A17&lt;=$B$4),_xlfn.XLOOKUP(A301,'VMT Reduction Supporting'!A:A,'VMT Reduction Supporting'!F:F,,0),0)</f>
        <v>0</v>
      </c>
      <c r="F301" s="1042">
        <f t="shared" si="129"/>
        <v>0</v>
      </c>
      <c r="G301" s="1042">
        <f t="shared" si="130"/>
        <v>0</v>
      </c>
      <c r="H301" s="1103">
        <f t="shared" si="131"/>
        <v>0</v>
      </c>
      <c r="I301" s="1103">
        <f t="shared" si="132"/>
        <v>0</v>
      </c>
      <c r="J301" s="1103">
        <f t="shared" si="133"/>
        <v>0</v>
      </c>
      <c r="K301" s="1042">
        <f>IF(AND(A17&gt;=$B$2,A17&lt;=$B$4),_xlfn.XLOOKUP(A301,'VMT Reduction Supporting'!A:A,'VMT Reduction Supporting'!B:B,,0),0)</f>
        <v>0</v>
      </c>
      <c r="L301" s="1042">
        <f>IF(AND(A17&gt;=$B$2,A17&lt;=$B$4),_xlfn.XLOOKUP(A301,'VMT Reduction Supporting'!A:A,'VMT Reduction Supporting'!E:E,,0),0)</f>
        <v>0</v>
      </c>
      <c r="M301" s="1042">
        <f t="shared" si="134"/>
        <v>0</v>
      </c>
      <c r="N301" s="1042">
        <f t="shared" si="135"/>
        <v>0</v>
      </c>
      <c r="O301" s="1104">
        <f t="shared" si="136"/>
        <v>0</v>
      </c>
      <c r="P301" s="1104">
        <f t="shared" si="137"/>
        <v>0</v>
      </c>
      <c r="Q301" s="1104">
        <f t="shared" si="138"/>
        <v>0</v>
      </c>
      <c r="R301" s="1042">
        <f>IF(AND(A17&gt;=$B$2,A17&lt;=$B$4),_xlfn.XLOOKUP(A301,'Auto Idling Benefit - Fuel'!F:F,'Auto Idling Benefit - Fuel'!H:H,,0),0)</f>
        <v>0</v>
      </c>
      <c r="S301" s="1042">
        <f>IF(AND(A17&gt;=$B$2,A17&lt;=$B$4),_xlfn.XLOOKUP(A301,'Auto Idling Benefit - Fuel'!F:F,'Auto Idling Benefit - Fuel'!L:L,,0),0)</f>
        <v>0</v>
      </c>
      <c r="T301" s="1079">
        <f t="shared" si="139"/>
        <v>0</v>
      </c>
      <c r="U301" s="1048">
        <f t="shared" si="140"/>
        <v>0</v>
      </c>
      <c r="V301" s="1048">
        <f t="shared" si="141"/>
        <v>0</v>
      </c>
    </row>
    <row r="302" spans="1:22" outlineLevel="1">
      <c r="A302" s="1099">
        <f t="shared" si="128"/>
        <v>2027</v>
      </c>
      <c r="B302" s="1101">
        <f t="shared" si="124"/>
        <v>8.8870000000000008E-3</v>
      </c>
      <c r="C302" s="1102">
        <f t="shared" si="142"/>
        <v>27.15</v>
      </c>
      <c r="D302" s="1042">
        <f>IF(AND(A18&gt;=$B$2,A18&lt;=$B$4),_xlfn.XLOOKUP(A302,'VMT Reduction Supporting'!A:A,'VMT Reduction Supporting'!C:C,,0),0)</f>
        <v>0</v>
      </c>
      <c r="E302" s="1042">
        <f>IF(AND(A18&gt;=$B$2,A18&lt;=$B$4),_xlfn.XLOOKUP(A302,'VMT Reduction Supporting'!A:A,'VMT Reduction Supporting'!F:F,,0),0)</f>
        <v>0</v>
      </c>
      <c r="F302" s="1042">
        <f t="shared" si="129"/>
        <v>0</v>
      </c>
      <c r="G302" s="1042">
        <f t="shared" si="130"/>
        <v>0</v>
      </c>
      <c r="H302" s="1103">
        <f t="shared" si="131"/>
        <v>0</v>
      </c>
      <c r="I302" s="1103">
        <f t="shared" si="132"/>
        <v>0</v>
      </c>
      <c r="J302" s="1103">
        <f t="shared" si="133"/>
        <v>0</v>
      </c>
      <c r="K302" s="1042">
        <f>IF(AND(A18&gt;=$B$2,A18&lt;=$B$4),_xlfn.XLOOKUP(A302,'VMT Reduction Supporting'!A:A,'VMT Reduction Supporting'!B:B,,0),0)</f>
        <v>0</v>
      </c>
      <c r="L302" s="1042">
        <f>IF(AND(A18&gt;=$B$2,A18&lt;=$B$4),_xlfn.XLOOKUP(A302,'VMT Reduction Supporting'!A:A,'VMT Reduction Supporting'!E:E,,0),0)</f>
        <v>0</v>
      </c>
      <c r="M302" s="1042">
        <f t="shared" si="134"/>
        <v>0</v>
      </c>
      <c r="N302" s="1042">
        <f t="shared" si="135"/>
        <v>0</v>
      </c>
      <c r="O302" s="1104">
        <f t="shared" si="136"/>
        <v>0</v>
      </c>
      <c r="P302" s="1104">
        <f t="shared" si="137"/>
        <v>0</v>
      </c>
      <c r="Q302" s="1104">
        <f t="shared" si="138"/>
        <v>0</v>
      </c>
      <c r="R302" s="1042">
        <f>IF(AND(A18&gt;=$B$2,A18&lt;=$B$4),_xlfn.XLOOKUP(A302,'Auto Idling Benefit - Fuel'!F:F,'Auto Idling Benefit - Fuel'!H:H,,0),0)</f>
        <v>0</v>
      </c>
      <c r="S302" s="1042">
        <f>IF(AND(A18&gt;=$B$2,A18&lt;=$B$4),_xlfn.XLOOKUP(A302,'Auto Idling Benefit - Fuel'!F:F,'Auto Idling Benefit - Fuel'!L:L,,0),0)</f>
        <v>0</v>
      </c>
      <c r="T302" s="1079">
        <f t="shared" si="139"/>
        <v>0</v>
      </c>
      <c r="U302" s="1048">
        <f t="shared" si="140"/>
        <v>0</v>
      </c>
      <c r="V302" s="1048">
        <f t="shared" si="141"/>
        <v>0</v>
      </c>
    </row>
    <row r="303" spans="1:22" outlineLevel="1">
      <c r="A303" s="1099">
        <f t="shared" si="128"/>
        <v>2028</v>
      </c>
      <c r="B303" s="1101">
        <f t="shared" si="124"/>
        <v>8.8870000000000008E-3</v>
      </c>
      <c r="C303" s="1102">
        <f t="shared" si="142"/>
        <v>27.4</v>
      </c>
      <c r="D303" s="1042">
        <f>IF(AND(A19&gt;=$B$2,A19&lt;=$B$4),_xlfn.XLOOKUP(A303,'VMT Reduction Supporting'!A:A,'VMT Reduction Supporting'!C:C,,0),0)</f>
        <v>1659.1097408404594</v>
      </c>
      <c r="E303" s="1042">
        <f>IF(AND(A19&gt;=$B$2,A19&lt;=$B$4),_xlfn.XLOOKUP(A303,'VMT Reduction Supporting'!A:A,'VMT Reduction Supporting'!F:F,,0),0)</f>
        <v>22674.499791486269</v>
      </c>
      <c r="F303" s="1042">
        <f t="shared" si="129"/>
        <v>60.551450395637204</v>
      </c>
      <c r="G303" s="1042">
        <f t="shared" si="130"/>
        <v>827.53648874037481</v>
      </c>
      <c r="H303" s="1103">
        <f t="shared" si="131"/>
        <v>0.53812073966602791</v>
      </c>
      <c r="I303" s="1103">
        <f t="shared" si="132"/>
        <v>7.3543167754357119</v>
      </c>
      <c r="J303" s="1103">
        <f t="shared" si="133"/>
        <v>6.8161960357696838</v>
      </c>
      <c r="K303" s="1042">
        <f>IF(AND(A19&gt;=$B$2,A19&lt;=$B$4),_xlfn.XLOOKUP(A303,'VMT Reduction Supporting'!A:A,'VMT Reduction Supporting'!B:B,,0),0)</f>
        <v>24057.091242186652</v>
      </c>
      <c r="L303" s="1042">
        <f>IF(AND(A19&gt;=$B$2,A19&lt;=$B$4),_xlfn.XLOOKUP(A303,'VMT Reduction Supporting'!A:A,'VMT Reduction Supporting'!E:E,,0),0)</f>
        <v>24419.06426582468</v>
      </c>
      <c r="M303" s="1042">
        <f t="shared" si="134"/>
        <v>877.99603073673916</v>
      </c>
      <c r="N303" s="1042">
        <f t="shared" si="135"/>
        <v>891.2067250300978</v>
      </c>
      <c r="O303" s="1104">
        <f t="shared" si="136"/>
        <v>7.8027507251574013</v>
      </c>
      <c r="P303" s="1104">
        <f t="shared" si="137"/>
        <v>7.9201541653424803</v>
      </c>
      <c r="Q303" s="1104">
        <f t="shared" si="138"/>
        <v>0.11740344018507898</v>
      </c>
      <c r="R303" s="1042">
        <f>IF(AND(A19&gt;=$B$2,A19&lt;=$B$4),_xlfn.XLOOKUP(A303,'Auto Idling Benefit - Fuel'!F:F,'Auto Idling Benefit - Fuel'!H:H,,0),0)</f>
        <v>0</v>
      </c>
      <c r="S303" s="1042">
        <f>IF(AND(A19&gt;=$B$2,A19&lt;=$B$4),_xlfn.XLOOKUP(A303,'Auto Idling Benefit - Fuel'!F:F,'Auto Idling Benefit - Fuel'!L:L,,0),0)</f>
        <v>0</v>
      </c>
      <c r="T303" s="1079">
        <f t="shared" si="139"/>
        <v>0</v>
      </c>
      <c r="U303" s="1048">
        <f t="shared" si="140"/>
        <v>0</v>
      </c>
      <c r="V303" s="1048">
        <f t="shared" si="141"/>
        <v>0</v>
      </c>
    </row>
    <row r="304" spans="1:22" outlineLevel="1">
      <c r="A304" s="1099">
        <f t="shared" si="128"/>
        <v>2029</v>
      </c>
      <c r="B304" s="1101">
        <f t="shared" si="124"/>
        <v>8.8870000000000008E-3</v>
      </c>
      <c r="C304" s="1102">
        <f t="shared" si="142"/>
        <v>27.65</v>
      </c>
      <c r="D304" s="1042">
        <f>IF(AND(A20&gt;=$B$2,A20&lt;=$B$4),_xlfn.XLOOKUP(A304,'VMT Reduction Supporting'!A:A,'VMT Reduction Supporting'!C:C,,0),0)</f>
        <v>1683.5627039429303</v>
      </c>
      <c r="E304" s="1042">
        <f>IF(AND(A20&gt;=$B$2,A20&lt;=$B$4),_xlfn.XLOOKUP(A304,'VMT Reduction Supporting'!A:A,'VMT Reduction Supporting'!F:F,,0),0)</f>
        <v>23008.690287220044</v>
      </c>
      <c r="F304" s="1042">
        <f t="shared" si="129"/>
        <v>60.888343723071621</v>
      </c>
      <c r="G304" s="1042">
        <f t="shared" si="130"/>
        <v>832.14069754864545</v>
      </c>
      <c r="H304" s="1103">
        <f t="shared" si="131"/>
        <v>0.5411147106669375</v>
      </c>
      <c r="I304" s="1103">
        <f t="shared" si="132"/>
        <v>7.3952343791148127</v>
      </c>
      <c r="J304" s="1103">
        <f t="shared" si="133"/>
        <v>6.8541196684478756</v>
      </c>
      <c r="K304" s="1042">
        <f>IF(AND(A20&gt;=$B$2,A20&lt;=$B$4),_xlfn.XLOOKUP(A304,'VMT Reduction Supporting'!A:A,'VMT Reduction Supporting'!B:B,,0),0)</f>
        <v>24411.659207172481</v>
      </c>
      <c r="L304" s="1042">
        <f>IF(AND(A20&gt;=$B$2,A20&lt;=$B$4),_xlfn.XLOOKUP(A304,'VMT Reduction Supporting'!A:A,'VMT Reduction Supporting'!E:E,,0),0)</f>
        <v>24774.061722553986</v>
      </c>
      <c r="M304" s="1042">
        <f t="shared" si="134"/>
        <v>882.88098398453826</v>
      </c>
      <c r="N304" s="1042">
        <f t="shared" si="135"/>
        <v>895.98776573432144</v>
      </c>
      <c r="O304" s="1104">
        <f t="shared" si="136"/>
        <v>7.8461633046705925</v>
      </c>
      <c r="P304" s="1104">
        <f t="shared" si="137"/>
        <v>7.9626432740809152</v>
      </c>
      <c r="Q304" s="1104">
        <f t="shared" si="138"/>
        <v>0.11647996941032268</v>
      </c>
      <c r="R304" s="1042">
        <f>IF(AND(A20&gt;=$B$2,A20&lt;=$B$4),_xlfn.XLOOKUP(A304,'Auto Idling Benefit - Fuel'!F:F,'Auto Idling Benefit - Fuel'!H:H,,0),0)</f>
        <v>0</v>
      </c>
      <c r="S304" s="1042">
        <f>IF(AND(A20&gt;=$B$2,A20&lt;=$B$4),_xlfn.XLOOKUP(A304,'Auto Idling Benefit - Fuel'!F:F,'Auto Idling Benefit - Fuel'!L:L,,0),0)</f>
        <v>0</v>
      </c>
      <c r="T304" s="1079">
        <f t="shared" si="139"/>
        <v>0</v>
      </c>
      <c r="U304" s="1048">
        <f t="shared" si="140"/>
        <v>0</v>
      </c>
      <c r="V304" s="1048">
        <f t="shared" si="141"/>
        <v>0</v>
      </c>
    </row>
    <row r="305" spans="1:22" outlineLevel="1">
      <c r="A305" s="1099">
        <f t="shared" si="128"/>
        <v>2030</v>
      </c>
      <c r="B305" s="1101">
        <f t="shared" si="124"/>
        <v>8.8870000000000008E-3</v>
      </c>
      <c r="C305" s="1102">
        <f t="shared" si="142"/>
        <v>27.9</v>
      </c>
      <c r="D305" s="1042">
        <f>IF(AND(A21&gt;=$B$2,A21&lt;=$B$4),_xlfn.XLOOKUP(A305,'VMT Reduction Supporting'!A:A,'VMT Reduction Supporting'!C:C,,0),0)</f>
        <v>1708.376069609362</v>
      </c>
      <c r="E305" s="1042">
        <f>IF(AND(A21&gt;=$B$2,A21&lt;=$B$4),_xlfn.XLOOKUP(A305,'VMT Reduction Supporting'!A:A,'VMT Reduction Supporting'!F:F,,0),0)</f>
        <v>23347.806284661274</v>
      </c>
      <c r="F305" s="1042">
        <f t="shared" si="129"/>
        <v>61.232117190299718</v>
      </c>
      <c r="G305" s="1042">
        <f t="shared" si="130"/>
        <v>836.83893493409585</v>
      </c>
      <c r="H305" s="1103">
        <f t="shared" si="131"/>
        <v>0.54416982547019366</v>
      </c>
      <c r="I305" s="1103">
        <f t="shared" si="132"/>
        <v>7.4369876147593104</v>
      </c>
      <c r="J305" s="1103">
        <f t="shared" si="133"/>
        <v>6.8928177892891167</v>
      </c>
      <c r="K305" s="1042">
        <f>IF(AND(A21&gt;=$B$2,A21&lt;=$B$4),_xlfn.XLOOKUP(A305,'VMT Reduction Supporting'!A:A,'VMT Reduction Supporting'!B:B,,0),0)</f>
        <v>24771.453009335743</v>
      </c>
      <c r="L305" s="1042">
        <f>IF(AND(A21&gt;=$B$2,A21&lt;=$B$4),_xlfn.XLOOKUP(A305,'VMT Reduction Supporting'!A:A,'VMT Reduction Supporting'!E:E,,0),0)</f>
        <v>25134.285526065429</v>
      </c>
      <c r="M305" s="1042">
        <f t="shared" si="134"/>
        <v>887.86569925934566</v>
      </c>
      <c r="N305" s="1042">
        <f t="shared" si="135"/>
        <v>900.87044896291866</v>
      </c>
      <c r="O305" s="1104">
        <f t="shared" si="136"/>
        <v>7.8904624693178054</v>
      </c>
      <c r="P305" s="1104">
        <f t="shared" si="137"/>
        <v>8.0060356799334595</v>
      </c>
      <c r="Q305" s="1104">
        <f t="shared" si="138"/>
        <v>0.11557321061565418</v>
      </c>
      <c r="R305" s="1042">
        <f>IF(AND(A21&gt;=$B$2,A21&lt;=$B$4),_xlfn.XLOOKUP(A305,'Auto Idling Benefit - Fuel'!F:F,'Auto Idling Benefit - Fuel'!H:H,,0),0)</f>
        <v>0</v>
      </c>
      <c r="S305" s="1042">
        <f>IF(AND(A21&gt;=$B$2,A21&lt;=$B$4),_xlfn.XLOOKUP(A305,'Auto Idling Benefit - Fuel'!F:F,'Auto Idling Benefit - Fuel'!L:L,,0),0)</f>
        <v>0</v>
      </c>
      <c r="T305" s="1079">
        <f t="shared" si="139"/>
        <v>0</v>
      </c>
      <c r="U305" s="1048">
        <f t="shared" si="140"/>
        <v>0</v>
      </c>
      <c r="V305" s="1048">
        <f t="shared" si="141"/>
        <v>0</v>
      </c>
    </row>
    <row r="306" spans="1:22" outlineLevel="1">
      <c r="A306" s="1099">
        <f t="shared" si="128"/>
        <v>2031</v>
      </c>
      <c r="B306" s="1101">
        <f t="shared" si="124"/>
        <v>8.8870000000000008E-3</v>
      </c>
      <c r="C306" s="1102">
        <f t="shared" si="142"/>
        <v>28.15</v>
      </c>
      <c r="D306" s="1042">
        <f>IF(AND(A22&gt;=$B$2,A22&lt;=$B$4),_xlfn.XLOOKUP(A306,'VMT Reduction Supporting'!A:A,'VMT Reduction Supporting'!C:C,,0),0)</f>
        <v>1733.555149670781</v>
      </c>
      <c r="E306" s="1042">
        <f>IF(AND(A22&gt;=$B$2,A22&lt;=$B$4),_xlfn.XLOOKUP(A306,'VMT Reduction Supporting'!A:A,'VMT Reduction Supporting'!F:F,,0),0)</f>
        <v>23691.920378833998</v>
      </c>
      <c r="F306" s="1042">
        <f t="shared" si="129"/>
        <v>61.582776187239112</v>
      </c>
      <c r="G306" s="1042">
        <f t="shared" si="130"/>
        <v>841.63127455893425</v>
      </c>
      <c r="H306" s="1103">
        <f t="shared" si="131"/>
        <v>0.54728613197599407</v>
      </c>
      <c r="I306" s="1103">
        <f t="shared" si="132"/>
        <v>7.4795771370052497</v>
      </c>
      <c r="J306" s="1103">
        <f t="shared" si="133"/>
        <v>6.9322910050292554</v>
      </c>
      <c r="K306" s="1042">
        <f>IF(AND(A22&gt;=$B$2,A22&lt;=$B$4),_xlfn.XLOOKUP(A306,'VMT Reduction Supporting'!A:A,'VMT Reduction Supporting'!B:B,,0),0)</f>
        <v>25136.549670226323</v>
      </c>
      <c r="L306" s="1042">
        <f>IF(AND(A22&gt;=$B$2,A22&lt;=$B$4),_xlfn.XLOOKUP(A306,'VMT Reduction Supporting'!A:A,'VMT Reduction Supporting'!E:E,,0),0)</f>
        <v>25499.812698513557</v>
      </c>
      <c r="M306" s="1042">
        <f t="shared" si="134"/>
        <v>892.95025471496706</v>
      </c>
      <c r="N306" s="1042">
        <f t="shared" si="135"/>
        <v>905.85480278911393</v>
      </c>
      <c r="O306" s="1104">
        <f t="shared" si="136"/>
        <v>7.9356489136519128</v>
      </c>
      <c r="P306" s="1104">
        <f t="shared" si="137"/>
        <v>8.0503316323868557</v>
      </c>
      <c r="Q306" s="1104">
        <f t="shared" si="138"/>
        <v>0.11468271873494285</v>
      </c>
      <c r="R306" s="1042">
        <f>IF(AND(A22&gt;=$B$2,A22&lt;=$B$4),_xlfn.XLOOKUP(A306,'Auto Idling Benefit - Fuel'!F:F,'Auto Idling Benefit - Fuel'!H:H,,0),0)</f>
        <v>0</v>
      </c>
      <c r="S306" s="1042">
        <f>IF(AND(A22&gt;=$B$2,A22&lt;=$B$4),_xlfn.XLOOKUP(A306,'Auto Idling Benefit - Fuel'!F:F,'Auto Idling Benefit - Fuel'!L:L,,0),0)</f>
        <v>0</v>
      </c>
      <c r="T306" s="1079">
        <f t="shared" si="139"/>
        <v>0</v>
      </c>
      <c r="U306" s="1048">
        <f t="shared" si="140"/>
        <v>0</v>
      </c>
      <c r="V306" s="1048">
        <f t="shared" si="141"/>
        <v>0</v>
      </c>
    </row>
    <row r="307" spans="1:22" outlineLevel="1">
      <c r="A307" s="1099">
        <f t="shared" si="128"/>
        <v>2032</v>
      </c>
      <c r="B307" s="1101">
        <f t="shared" si="124"/>
        <v>8.8870000000000008E-3</v>
      </c>
      <c r="C307" s="1102">
        <f t="shared" si="142"/>
        <v>28.4</v>
      </c>
      <c r="D307" s="1042">
        <f>IF(AND(A23&gt;=$B$2,A23&lt;=$B$4),_xlfn.XLOOKUP(A307,'VMT Reduction Supporting'!A:A,'VMT Reduction Supporting'!C:C,,0),0)</f>
        <v>1759.1053342471942</v>
      </c>
      <c r="E307" s="1042">
        <f>IF(AND(A23&gt;=$B$2,A23&lt;=$B$4),_xlfn.XLOOKUP(A307,'VMT Reduction Supporting'!A:A,'VMT Reduction Supporting'!F:F,,0),0)</f>
        <v>24041.106234711646</v>
      </c>
      <c r="F307" s="1042">
        <f t="shared" si="129"/>
        <v>61.940328670675854</v>
      </c>
      <c r="G307" s="1042">
        <f t="shared" si="130"/>
        <v>846.5178251659031</v>
      </c>
      <c r="H307" s="1103">
        <f t="shared" si="131"/>
        <v>0.55046370089629637</v>
      </c>
      <c r="I307" s="1103">
        <f t="shared" si="132"/>
        <v>7.5230039122493819</v>
      </c>
      <c r="J307" s="1103">
        <f t="shared" si="133"/>
        <v>6.9725402113530857</v>
      </c>
      <c r="K307" s="1042">
        <f>IF(AND(A23&gt;=$B$2,A23&lt;=$B$4),_xlfn.XLOOKUP(A307,'VMT Reduction Supporting'!A:A,'VMT Reduction Supporting'!B:B,,0),0)</f>
        <v>25507.027346584309</v>
      </c>
      <c r="L307" s="1042">
        <f>IF(AND(A23&gt;=$B$2,A23&lt;=$B$4),_xlfn.XLOOKUP(A307,'VMT Reduction Supporting'!A:A,'VMT Reduction Supporting'!E:E,,0),0)</f>
        <v>25870.721397243851</v>
      </c>
      <c r="M307" s="1042">
        <f t="shared" si="134"/>
        <v>898.13476572479965</v>
      </c>
      <c r="N307" s="1042">
        <f t="shared" si="135"/>
        <v>910.94089426914968</v>
      </c>
      <c r="O307" s="1104">
        <f t="shared" si="136"/>
        <v>7.9817236629962949</v>
      </c>
      <c r="P307" s="1104">
        <f t="shared" si="137"/>
        <v>8.0955317273699343</v>
      </c>
      <c r="Q307" s="1104">
        <f t="shared" si="138"/>
        <v>0.11380806437363944</v>
      </c>
      <c r="R307" s="1042">
        <f>IF(AND(A23&gt;=$B$2,A23&lt;=$B$4),_xlfn.XLOOKUP(A307,'Auto Idling Benefit - Fuel'!F:F,'Auto Idling Benefit - Fuel'!H:H,,0),0)</f>
        <v>0</v>
      </c>
      <c r="S307" s="1042">
        <f>IF(AND(A23&gt;=$B$2,A23&lt;=$B$4),_xlfn.XLOOKUP(A307,'Auto Idling Benefit - Fuel'!F:F,'Auto Idling Benefit - Fuel'!L:L,,0),0)</f>
        <v>0</v>
      </c>
      <c r="T307" s="1079">
        <f t="shared" si="139"/>
        <v>0</v>
      </c>
      <c r="U307" s="1048">
        <f t="shared" si="140"/>
        <v>0</v>
      </c>
      <c r="V307" s="1048">
        <f t="shared" si="141"/>
        <v>0</v>
      </c>
    </row>
    <row r="308" spans="1:22" outlineLevel="1">
      <c r="A308" s="1099">
        <f t="shared" si="128"/>
        <v>2033</v>
      </c>
      <c r="B308" s="1101">
        <f t="shared" si="124"/>
        <v>8.8870000000000008E-3</v>
      </c>
      <c r="C308" s="1102">
        <f t="shared" si="142"/>
        <v>28.65</v>
      </c>
      <c r="D308" s="1042">
        <f>IF(AND(A24&gt;=$B$2,A24&lt;=$B$4),_xlfn.XLOOKUP(A308,'VMT Reduction Supporting'!A:A,'VMT Reduction Supporting'!C:C,,0),0)</f>
        <v>1785.0320929014565</v>
      </c>
      <c r="E308" s="1042">
        <f>IF(AND(A24&gt;=$B$2,A24&lt;=$B$4),_xlfn.XLOOKUP(A308,'VMT Reduction Supporting'!A:A,'VMT Reduction Supporting'!F:F,,0),0)</f>
        <v>24395.438602986567</v>
      </c>
      <c r="F308" s="1042">
        <f t="shared" si="129"/>
        <v>62.304785092546481</v>
      </c>
      <c r="G308" s="1042">
        <f t="shared" si="130"/>
        <v>851.49872959813501</v>
      </c>
      <c r="H308" s="1103">
        <f t="shared" si="131"/>
        <v>0.5537026251174606</v>
      </c>
      <c r="I308" s="1103">
        <f t="shared" si="132"/>
        <v>7.567269209938627</v>
      </c>
      <c r="J308" s="1103">
        <f t="shared" si="133"/>
        <v>7.0135665848211666</v>
      </c>
      <c r="K308" s="1042">
        <f>IF(AND(A24&gt;=$B$2,A24&lt;=$B$4),_xlfn.XLOOKUP(A308,'VMT Reduction Supporting'!A:A,'VMT Reduction Supporting'!B:B,,0),0)</f>
        <v>25882.965347071113</v>
      </c>
      <c r="L308" s="1042">
        <f>IF(AND(A24&gt;=$B$2,A24&lt;=$B$4),_xlfn.XLOOKUP(A308,'VMT Reduction Supporting'!A:A,'VMT Reduction Supporting'!E:E,,0),0)</f>
        <v>26247.09093152381</v>
      </c>
      <c r="M308" s="1042">
        <f t="shared" si="134"/>
        <v>903.41938384192372</v>
      </c>
      <c r="N308" s="1042">
        <f t="shared" si="135"/>
        <v>916.12882832543846</v>
      </c>
      <c r="O308" s="1104">
        <f t="shared" si="136"/>
        <v>8.0286880642031768</v>
      </c>
      <c r="P308" s="1104">
        <f t="shared" si="137"/>
        <v>8.1416368973281728</v>
      </c>
      <c r="Q308" s="1104">
        <f t="shared" si="138"/>
        <v>0.11294883312499593</v>
      </c>
      <c r="R308" s="1042">
        <f>IF(AND(A24&gt;=$B$2,A24&lt;=$B$4),_xlfn.XLOOKUP(A308,'Auto Idling Benefit - Fuel'!F:F,'Auto Idling Benefit - Fuel'!H:H,,0),0)</f>
        <v>0</v>
      </c>
      <c r="S308" s="1042">
        <f>IF(AND(A24&gt;=$B$2,A24&lt;=$B$4),_xlfn.XLOOKUP(A308,'Auto Idling Benefit - Fuel'!F:F,'Auto Idling Benefit - Fuel'!L:L,,0),0)</f>
        <v>0</v>
      </c>
      <c r="T308" s="1079">
        <f t="shared" si="139"/>
        <v>0</v>
      </c>
      <c r="U308" s="1048">
        <f t="shared" si="140"/>
        <v>0</v>
      </c>
      <c r="V308" s="1048">
        <f t="shared" si="141"/>
        <v>0</v>
      </c>
    </row>
    <row r="309" spans="1:22" outlineLevel="1">
      <c r="A309" s="1099">
        <f t="shared" si="128"/>
        <v>2034</v>
      </c>
      <c r="B309" s="1101">
        <f t="shared" si="124"/>
        <v>8.8870000000000008E-3</v>
      </c>
      <c r="C309" s="1102">
        <f t="shared" si="142"/>
        <v>28.9</v>
      </c>
      <c r="D309" s="1042">
        <f>IF(AND(A25&gt;=$B$2,A25&lt;=$B$4),_xlfn.XLOOKUP(A309,'VMT Reduction Supporting'!A:A,'VMT Reduction Supporting'!C:C,,0),0)</f>
        <v>1811.3409758101511</v>
      </c>
      <c r="E309" s="1042">
        <f>IF(AND(A25&gt;=$B$2,A25&lt;=$B$4),_xlfn.XLOOKUP(A309,'VMT Reduction Supporting'!A:A,'VMT Reduction Supporting'!F:F,,0),0)</f>
        <v>24754.993336072057</v>
      </c>
      <c r="F309" s="1042">
        <f t="shared" si="129"/>
        <v>62.67615833253118</v>
      </c>
      <c r="G309" s="1042">
        <f t="shared" si="130"/>
        <v>856.57416387792591</v>
      </c>
      <c r="H309" s="1103">
        <f t="shared" si="131"/>
        <v>0.55700301910120464</v>
      </c>
      <c r="I309" s="1103">
        <f t="shared" si="132"/>
        <v>7.6123745943831285</v>
      </c>
      <c r="J309" s="1103">
        <f t="shared" si="133"/>
        <v>7.0553715752819235</v>
      </c>
      <c r="K309" s="1042">
        <f>IF(AND(A25&gt;=$B$2,A25&lt;=$B$4),_xlfn.XLOOKUP(A309,'VMT Reduction Supporting'!A:A,'VMT Reduction Supporting'!B:B,,0),0)</f>
        <v>26264.444149247185</v>
      </c>
      <c r="L309" s="1042">
        <f>IF(AND(A25&gt;=$B$2,A25&lt;=$B$4),_xlfn.XLOOKUP(A309,'VMT Reduction Supporting'!A:A,'VMT Reduction Supporting'!E:E,,0),0)</f>
        <v>26629.001779520695</v>
      </c>
      <c r="M309" s="1042">
        <f t="shared" si="134"/>
        <v>908.804295821702</v>
      </c>
      <c r="N309" s="1042">
        <f t="shared" si="135"/>
        <v>921.41874669621791</v>
      </c>
      <c r="O309" s="1104">
        <f t="shared" si="136"/>
        <v>8.0765437769674655</v>
      </c>
      <c r="P309" s="1104">
        <f t="shared" si="137"/>
        <v>8.1886484018892887</v>
      </c>
      <c r="Q309" s="1104">
        <f t="shared" si="138"/>
        <v>0.11210462492182316</v>
      </c>
      <c r="R309" s="1042">
        <f>IF(AND(A25&gt;=$B$2,A25&lt;=$B$4),_xlfn.XLOOKUP(A309,'Auto Idling Benefit - Fuel'!F:F,'Auto Idling Benefit - Fuel'!H:H,,0),0)</f>
        <v>0</v>
      </c>
      <c r="S309" s="1042">
        <f>IF(AND(A25&gt;=$B$2,A25&lt;=$B$4),_xlfn.XLOOKUP(A309,'Auto Idling Benefit - Fuel'!F:F,'Auto Idling Benefit - Fuel'!L:L,,0),0)</f>
        <v>0</v>
      </c>
      <c r="T309" s="1079">
        <f t="shared" si="139"/>
        <v>0</v>
      </c>
      <c r="U309" s="1048">
        <f t="shared" si="140"/>
        <v>0</v>
      </c>
      <c r="V309" s="1048">
        <f t="shared" si="141"/>
        <v>0</v>
      </c>
    </row>
    <row r="310" spans="1:22" outlineLevel="1">
      <c r="A310" s="1099">
        <f t="shared" si="128"/>
        <v>2035</v>
      </c>
      <c r="B310" s="1101">
        <f t="shared" si="124"/>
        <v>8.8870000000000008E-3</v>
      </c>
      <c r="C310" s="1102">
        <f t="shared" si="142"/>
        <v>29.15</v>
      </c>
      <c r="D310" s="1042">
        <f>IF(AND(A26&gt;=$B$2,A26&lt;=$B$4),_xlfn.XLOOKUP(A310,'VMT Reduction Supporting'!A:A,'VMT Reduction Supporting'!C:C,,0),0)</f>
        <v>1838.0376149517199</v>
      </c>
      <c r="E310" s="1042">
        <f>IF(AND(A26&gt;=$B$2,A26&lt;=$B$4),_xlfn.XLOOKUP(A310,'VMT Reduction Supporting'!A:A,'VMT Reduction Supporting'!F:F,,0),0)</f>
        <v>25119.847404340166</v>
      </c>
      <c r="F310" s="1042">
        <f t="shared" si="129"/>
        <v>63.054463634707375</v>
      </c>
      <c r="G310" s="1042">
        <f t="shared" si="130"/>
        <v>861.74433634100058</v>
      </c>
      <c r="H310" s="1103">
        <f t="shared" si="131"/>
        <v>0.56036501832164454</v>
      </c>
      <c r="I310" s="1103">
        <f t="shared" si="132"/>
        <v>7.658321917062473</v>
      </c>
      <c r="J310" s="1103">
        <f t="shared" si="133"/>
        <v>7.0979568987408284</v>
      </c>
      <c r="K310" s="1042">
        <f>IF(AND(A26&gt;=$B$2,A26&lt;=$B$4),_xlfn.XLOOKUP(A310,'VMT Reduction Supporting'!A:A,'VMT Reduction Supporting'!B:B,,0),0)</f>
        <v>26651.545416799934</v>
      </c>
      <c r="L310" s="1042">
        <f>IF(AND(A26&gt;=$B$2,A26&lt;=$B$4),_xlfn.XLOOKUP(A310,'VMT Reduction Supporting'!A:A,'VMT Reduction Supporting'!E:E,,0),0)</f>
        <v>27016.535605529451</v>
      </c>
      <c r="M310" s="1042">
        <f t="shared" si="134"/>
        <v>914.28972270325676</v>
      </c>
      <c r="N310" s="1042">
        <f t="shared" si="135"/>
        <v>926.81082694783709</v>
      </c>
      <c r="O310" s="1104">
        <f t="shared" si="136"/>
        <v>8.1252927656638434</v>
      </c>
      <c r="P310" s="1104">
        <f t="shared" si="137"/>
        <v>8.2365678190854297</v>
      </c>
      <c r="Q310" s="1104">
        <f t="shared" si="138"/>
        <v>0.11127505342158628</v>
      </c>
      <c r="R310" s="1042">
        <f>IF(AND(A26&gt;=$B$2,A26&lt;=$B$4),_xlfn.XLOOKUP(A310,'Auto Idling Benefit - Fuel'!F:F,'Auto Idling Benefit - Fuel'!H:H,,0),0)</f>
        <v>0</v>
      </c>
      <c r="S310" s="1042">
        <f>IF(AND(A26&gt;=$B$2,A26&lt;=$B$4),_xlfn.XLOOKUP(A310,'Auto Idling Benefit - Fuel'!F:F,'Auto Idling Benefit - Fuel'!L:L,,0),0)</f>
        <v>0</v>
      </c>
      <c r="T310" s="1079">
        <f t="shared" si="139"/>
        <v>0</v>
      </c>
      <c r="U310" s="1048">
        <f t="shared" si="140"/>
        <v>0</v>
      </c>
      <c r="V310" s="1048">
        <f t="shared" si="141"/>
        <v>0</v>
      </c>
    </row>
    <row r="311" spans="1:22" outlineLevel="1">
      <c r="A311" s="1099">
        <f t="shared" si="128"/>
        <v>2036</v>
      </c>
      <c r="B311" s="1101">
        <f t="shared" si="124"/>
        <v>8.8870000000000008E-3</v>
      </c>
      <c r="C311" s="1102">
        <f t="shared" si="142"/>
        <v>29.4</v>
      </c>
      <c r="D311" s="1042">
        <f>IF(AND(A27&gt;=$B$2,A27&lt;=$B$4),_xlfn.XLOOKUP(A311,'VMT Reduction Supporting'!A:A,'VMT Reduction Supporting'!C:C,,0),0)</f>
        <v>1865.1277253121111</v>
      </c>
      <c r="E311" s="1042">
        <f>IF(AND(A27&gt;=$B$2,A27&lt;=$B$4),_xlfn.XLOOKUP(A311,'VMT Reduction Supporting'!A:A,'VMT Reduction Supporting'!F:F,,0),0)</f>
        <v>25490.078912598849</v>
      </c>
      <c r="F311" s="1042">
        <f t="shared" si="129"/>
        <v>63.439718548030996</v>
      </c>
      <c r="G311" s="1042">
        <f t="shared" si="130"/>
        <v>867.00948682309013</v>
      </c>
      <c r="H311" s="1103">
        <f t="shared" si="131"/>
        <v>0.56378877873635147</v>
      </c>
      <c r="I311" s="1103">
        <f t="shared" si="132"/>
        <v>7.7051133093968023</v>
      </c>
      <c r="J311" s="1103">
        <f t="shared" si="133"/>
        <v>7.1413245306604507</v>
      </c>
      <c r="K311" s="1042">
        <f>IF(AND(A27&gt;=$B$2,A27&lt;=$B$4),_xlfn.XLOOKUP(A311,'VMT Reduction Supporting'!A:A,'VMT Reduction Supporting'!B:B,,0),0)</f>
        <v>27044.352017025605</v>
      </c>
      <c r="L311" s="1042">
        <f>IF(AND(A27&gt;=$B$2,A27&lt;=$B$4),_xlfn.XLOOKUP(A311,'VMT Reduction Supporting'!A:A,'VMT Reduction Supporting'!E:E,,0),0)</f>
        <v>27409.775277454592</v>
      </c>
      <c r="M311" s="1042">
        <f t="shared" si="134"/>
        <v>919.87591894644925</v>
      </c>
      <c r="N311" s="1042">
        <f t="shared" si="135"/>
        <v>932.30528154607464</v>
      </c>
      <c r="O311" s="1104">
        <f t="shared" si="136"/>
        <v>8.1749372916770948</v>
      </c>
      <c r="P311" s="1104">
        <f t="shared" si="137"/>
        <v>8.2853970370999654</v>
      </c>
      <c r="Q311" s="1104">
        <f t="shared" si="138"/>
        <v>0.11045974542287063</v>
      </c>
      <c r="R311" s="1042">
        <f>IF(AND(A27&gt;=$B$2,A27&lt;=$B$4),_xlfn.XLOOKUP(A311,'Auto Idling Benefit - Fuel'!F:F,'Auto Idling Benefit - Fuel'!H:H,,0),0)</f>
        <v>0</v>
      </c>
      <c r="S311" s="1042">
        <f>IF(AND(A27&gt;=$B$2,A27&lt;=$B$4),_xlfn.XLOOKUP(A311,'Auto Idling Benefit - Fuel'!F:F,'Auto Idling Benefit - Fuel'!L:L,,0),0)</f>
        <v>0</v>
      </c>
      <c r="T311" s="1079">
        <f t="shared" si="139"/>
        <v>0</v>
      </c>
      <c r="U311" s="1048">
        <f t="shared" si="140"/>
        <v>0</v>
      </c>
      <c r="V311" s="1048">
        <f t="shared" si="141"/>
        <v>0</v>
      </c>
    </row>
    <row r="312" spans="1:22" outlineLevel="1">
      <c r="A312" s="1099">
        <f t="shared" si="128"/>
        <v>2037</v>
      </c>
      <c r="B312" s="1101">
        <f t="shared" si="124"/>
        <v>8.8870000000000008E-3</v>
      </c>
      <c r="C312" s="1102">
        <f t="shared" si="142"/>
        <v>29.65</v>
      </c>
      <c r="D312" s="1042">
        <f>IF(AND(A28&gt;=$B$2,A28&lt;=$B$4),_xlfn.XLOOKUP(A312,'VMT Reduction Supporting'!A:A,'VMT Reduction Supporting'!C:C,,0),0)</f>
        <v>1892.6171061081936</v>
      </c>
      <c r="E312" s="1042">
        <f>IF(AND(A28&gt;=$B$2,A28&lt;=$B$4),_xlfn.XLOOKUP(A312,'VMT Reduction Supporting'!A:A,'VMT Reduction Supporting'!F:F,,0),0)</f>
        <v>25865.76711681197</v>
      </c>
      <c r="F312" s="1042">
        <f t="shared" si="129"/>
        <v>63.831942870428122</v>
      </c>
      <c r="G312" s="1042">
        <f t="shared" si="130"/>
        <v>872.36988589585064</v>
      </c>
      <c r="H312" s="1103">
        <f t="shared" si="131"/>
        <v>0.56727447628949479</v>
      </c>
      <c r="I312" s="1103">
        <f t="shared" si="132"/>
        <v>7.7527511759564254</v>
      </c>
      <c r="J312" s="1103">
        <f t="shared" si="133"/>
        <v>7.1854766996669301</v>
      </c>
      <c r="K312" s="1042">
        <f>IF(AND(A28&gt;=$B$2,A28&lt;=$B$4),_xlfn.XLOOKUP(A312,'VMT Reduction Supporting'!A:A,'VMT Reduction Supporting'!B:B,,0),0)</f>
        <v>27442.948038568797</v>
      </c>
      <c r="L312" s="1042">
        <f>IF(AND(A28&gt;=$B$2,A28&lt;=$B$4),_xlfn.XLOOKUP(A312,'VMT Reduction Supporting'!A:A,'VMT Reduction Supporting'!E:E,,0),0)</f>
        <v>27808.804884549685</v>
      </c>
      <c r="M312" s="1042">
        <f t="shared" si="134"/>
        <v>925.5631716212074</v>
      </c>
      <c r="N312" s="1042">
        <f t="shared" si="135"/>
        <v>937.90235698312597</v>
      </c>
      <c r="O312" s="1104">
        <f t="shared" si="136"/>
        <v>8.2254799061976716</v>
      </c>
      <c r="P312" s="1104">
        <f t="shared" si="137"/>
        <v>8.3351382465090413</v>
      </c>
      <c r="Q312" s="1104">
        <f t="shared" si="138"/>
        <v>0.10965834031136978</v>
      </c>
      <c r="R312" s="1042">
        <f>IF(AND(A28&gt;=$B$2,A28&lt;=$B$4),_xlfn.XLOOKUP(A312,'Auto Idling Benefit - Fuel'!F:F,'Auto Idling Benefit - Fuel'!H:H,,0),0)</f>
        <v>0</v>
      </c>
      <c r="S312" s="1042">
        <f>IF(AND(A28&gt;=$B$2,A28&lt;=$B$4),_xlfn.XLOOKUP(A312,'Auto Idling Benefit - Fuel'!F:F,'Auto Idling Benefit - Fuel'!L:L,,0),0)</f>
        <v>0</v>
      </c>
      <c r="T312" s="1079">
        <f t="shared" si="139"/>
        <v>0</v>
      </c>
      <c r="U312" s="1048">
        <f t="shared" si="140"/>
        <v>0</v>
      </c>
      <c r="V312" s="1048">
        <f t="shared" si="141"/>
        <v>0</v>
      </c>
    </row>
    <row r="313" spans="1:22" outlineLevel="1">
      <c r="A313" s="1099">
        <f t="shared" si="128"/>
        <v>2038</v>
      </c>
      <c r="B313" s="1101">
        <f t="shared" si="124"/>
        <v>8.8870000000000008E-3</v>
      </c>
      <c r="C313" s="1102">
        <f t="shared" si="142"/>
        <v>29.9</v>
      </c>
      <c r="D313" s="1042">
        <f>IF(AND(A29&gt;=$B$2,A29&lt;=$B$4),_xlfn.XLOOKUP(A313,'VMT Reduction Supporting'!A:A,'VMT Reduction Supporting'!C:C,,0),0)</f>
        <v>1920.511642029202</v>
      </c>
      <c r="E313" s="1042">
        <f>IF(AND(A29&gt;=$B$2,A29&lt;=$B$4),_xlfn.XLOOKUP(A313,'VMT Reduction Supporting'!A:A,'VMT Reduction Supporting'!F:F,,0),0)</f>
        <v>26246.992441065755</v>
      </c>
      <c r="F313" s="1042">
        <f t="shared" si="129"/>
        <v>64.231158596294378</v>
      </c>
      <c r="G313" s="1042">
        <f t="shared" si="130"/>
        <v>877.82583414935641</v>
      </c>
      <c r="H313" s="1103">
        <f t="shared" si="131"/>
        <v>0.57082230644526821</v>
      </c>
      <c r="I313" s="1103">
        <f t="shared" si="132"/>
        <v>7.801238188085331</v>
      </c>
      <c r="J313" s="1103">
        <f t="shared" si="133"/>
        <v>7.230415881640063</v>
      </c>
      <c r="K313" s="1042">
        <f>IF(AND(A29&gt;=$B$2,A29&lt;=$B$4),_xlfn.XLOOKUP(A313,'VMT Reduction Supporting'!A:A,'VMT Reduction Supporting'!B:B,,0),0)</f>
        <v>27847.41880942342</v>
      </c>
      <c r="L313" s="1042">
        <f>IF(AND(A29&gt;=$B$2,A29&lt;=$B$4),_xlfn.XLOOKUP(A313,'VMT Reduction Supporting'!A:A,'VMT Reduction Supporting'!E:E,,0),0)</f>
        <v>28213.709755418346</v>
      </c>
      <c r="M313" s="1042">
        <f t="shared" si="134"/>
        <v>931.3517996462682</v>
      </c>
      <c r="N313" s="1042">
        <f t="shared" si="135"/>
        <v>943.60233295713533</v>
      </c>
      <c r="O313" s="1104">
        <f t="shared" si="136"/>
        <v>8.2769234434563863</v>
      </c>
      <c r="P313" s="1104">
        <f t="shared" si="137"/>
        <v>8.3857939329900617</v>
      </c>
      <c r="Q313" s="1104">
        <f t="shared" si="138"/>
        <v>0.1088704895336754</v>
      </c>
      <c r="R313" s="1042">
        <f>IF(AND(A29&gt;=$B$2,A29&lt;=$B$4),_xlfn.XLOOKUP(A313,'Auto Idling Benefit - Fuel'!F:F,'Auto Idling Benefit - Fuel'!H:H,,0),0)</f>
        <v>0</v>
      </c>
      <c r="S313" s="1042">
        <f>IF(AND(A29&gt;=$B$2,A29&lt;=$B$4),_xlfn.XLOOKUP(A313,'Auto Idling Benefit - Fuel'!F:F,'Auto Idling Benefit - Fuel'!L:L,,0),0)</f>
        <v>0</v>
      </c>
      <c r="T313" s="1079">
        <f t="shared" si="139"/>
        <v>0</v>
      </c>
      <c r="U313" s="1048">
        <f t="shared" si="140"/>
        <v>0</v>
      </c>
      <c r="V313" s="1048">
        <f t="shared" si="141"/>
        <v>0</v>
      </c>
    </row>
    <row r="314" spans="1:22" outlineLevel="1">
      <c r="A314" s="1099">
        <f t="shared" si="128"/>
        <v>2039</v>
      </c>
      <c r="B314" s="1101">
        <f t="shared" si="124"/>
        <v>8.8870000000000008E-3</v>
      </c>
      <c r="C314" s="1102">
        <f t="shared" si="142"/>
        <v>30.15</v>
      </c>
      <c r="D314" s="1042">
        <f>IF(AND(A30&gt;=$B$2,A30&lt;=$B$4),_xlfn.XLOOKUP(A314,'VMT Reduction Supporting'!A:A,'VMT Reduction Supporting'!C:C,,0),0)</f>
        <v>1948.8173044964817</v>
      </c>
      <c r="E314" s="1042">
        <f>IF(AND(A30&gt;=$B$2,A30&lt;=$B$4),_xlfn.XLOOKUP(A314,'VMT Reduction Supporting'!A:A,'VMT Reduction Supporting'!F:F,,0),0)</f>
        <v>26633.83649478525</v>
      </c>
      <c r="F314" s="1042">
        <f t="shared" si="129"/>
        <v>64.637389867213329</v>
      </c>
      <c r="G314" s="1042">
        <f t="shared" si="130"/>
        <v>883.37766151858216</v>
      </c>
      <c r="H314" s="1103">
        <f t="shared" si="131"/>
        <v>0.57443248374992495</v>
      </c>
      <c r="I314" s="1103">
        <f t="shared" si="132"/>
        <v>7.8505772779156402</v>
      </c>
      <c r="J314" s="1103">
        <f t="shared" si="133"/>
        <v>7.2761447941657149</v>
      </c>
      <c r="K314" s="1042">
        <f>IF(AND(A30&gt;=$B$2,A30&lt;=$B$4),_xlfn.XLOOKUP(A314,'VMT Reduction Supporting'!A:A,'VMT Reduction Supporting'!B:B,,0),0)</f>
        <v>28257.850915198978</v>
      </c>
      <c r="L314" s="1042">
        <f>IF(AND(A30&gt;=$B$2,A30&lt;=$B$4),_xlfn.XLOOKUP(A314,'VMT Reduction Supporting'!A:A,'VMT Reduction Supporting'!E:E,,0),0)</f>
        <v>28624.576476280497</v>
      </c>
      <c r="M314" s="1042">
        <f t="shared" si="134"/>
        <v>937.24215307459303</v>
      </c>
      <c r="N314" s="1042">
        <f t="shared" si="135"/>
        <v>949.40552160134325</v>
      </c>
      <c r="O314" s="1104">
        <f t="shared" si="136"/>
        <v>8.3292710143739086</v>
      </c>
      <c r="P314" s="1104">
        <f t="shared" si="137"/>
        <v>8.4373668704711378</v>
      </c>
      <c r="Q314" s="1104">
        <f t="shared" si="138"/>
        <v>0.10809585609722916</v>
      </c>
      <c r="R314" s="1042">
        <f>IF(AND(A30&gt;=$B$2,A30&lt;=$B$4),_xlfn.XLOOKUP(A314,'Auto Idling Benefit - Fuel'!F:F,'Auto Idling Benefit - Fuel'!H:H,,0),0)</f>
        <v>0</v>
      </c>
      <c r="S314" s="1042">
        <f>IF(AND(A30&gt;=$B$2,A30&lt;=$B$4),_xlfn.XLOOKUP(A314,'Auto Idling Benefit - Fuel'!F:F,'Auto Idling Benefit - Fuel'!L:L,,0),0)</f>
        <v>0</v>
      </c>
      <c r="T314" s="1079">
        <f t="shared" si="139"/>
        <v>0</v>
      </c>
      <c r="U314" s="1048">
        <f t="shared" si="140"/>
        <v>0</v>
      </c>
      <c r="V314" s="1048">
        <f t="shared" si="141"/>
        <v>0</v>
      </c>
    </row>
    <row r="315" spans="1:22" outlineLevel="1">
      <c r="A315" s="1099">
        <f t="shared" si="128"/>
        <v>2040</v>
      </c>
      <c r="B315" s="1101">
        <f t="shared" si="124"/>
        <v>8.8870000000000008E-3</v>
      </c>
      <c r="C315" s="1102">
        <f t="shared" si="142"/>
        <v>30.4</v>
      </c>
      <c r="D315" s="1042">
        <f>IF(AND(A31&gt;=$B$2,A31&lt;=$B$4),_xlfn.XLOOKUP(A315,'VMT Reduction Supporting'!A:A,'VMT Reduction Supporting'!C:C,,0),0)</f>
        <v>1977.5401529417989</v>
      </c>
      <c r="E315" s="1042">
        <f>IF(AND(A31&gt;=$B$2,A31&lt;=$B$4),_xlfn.XLOOKUP(A315,'VMT Reduction Supporting'!A:A,'VMT Reduction Supporting'!F:F,,0),0)</f>
        <v>27026.382090204577</v>
      </c>
      <c r="F315" s="1042">
        <f t="shared" si="129"/>
        <v>65.050662925717077</v>
      </c>
      <c r="G315" s="1042">
        <f t="shared" si="130"/>
        <v>889.02572665146636</v>
      </c>
      <c r="H315" s="1103">
        <f t="shared" si="131"/>
        <v>0.57810524142084774</v>
      </c>
      <c r="I315" s="1103">
        <f t="shared" si="132"/>
        <v>7.9007716327515825</v>
      </c>
      <c r="J315" s="1103">
        <f t="shared" si="133"/>
        <v>7.3226663913307348</v>
      </c>
      <c r="K315" s="1042">
        <f>IF(AND(A31&gt;=$B$2,A31&lt;=$B$4),_xlfn.XLOOKUP(A315,'VMT Reduction Supporting'!A:A,'VMT Reduction Supporting'!B:B,,0),0)</f>
        <v>28674.332217656076</v>
      </c>
      <c r="L315" s="1042">
        <f>IF(AND(A31&gt;=$B$2,A31&lt;=$B$4),_xlfn.XLOOKUP(A315,'VMT Reduction Supporting'!A:A,'VMT Reduction Supporting'!E:E,,0),0)</f>
        <v>29041.492909507902</v>
      </c>
      <c r="M315" s="1042">
        <f t="shared" si="134"/>
        <v>943.23461242289727</v>
      </c>
      <c r="N315" s="1042">
        <f t="shared" si="135"/>
        <v>955.31226676012841</v>
      </c>
      <c r="O315" s="1104">
        <f t="shared" si="136"/>
        <v>8.3825260006022884</v>
      </c>
      <c r="P315" s="1104">
        <f t="shared" si="137"/>
        <v>8.4898601146972617</v>
      </c>
      <c r="Q315" s="1104">
        <f t="shared" si="138"/>
        <v>0.10733411409497329</v>
      </c>
      <c r="R315" s="1042">
        <f>IF(AND(A31&gt;=$B$2,A31&lt;=$B$4),_xlfn.XLOOKUP(A315,'Auto Idling Benefit - Fuel'!F:F,'Auto Idling Benefit - Fuel'!H:H,,0),0)</f>
        <v>0</v>
      </c>
      <c r="S315" s="1042">
        <f>IF(AND(A31&gt;=$B$2,A31&lt;=$B$4),_xlfn.XLOOKUP(A315,'Auto Idling Benefit - Fuel'!F:F,'Auto Idling Benefit - Fuel'!L:L,,0),0)</f>
        <v>0</v>
      </c>
      <c r="T315" s="1079">
        <f t="shared" si="139"/>
        <v>0</v>
      </c>
      <c r="U315" s="1048">
        <f t="shared" si="140"/>
        <v>0</v>
      </c>
      <c r="V315" s="1048">
        <f t="shared" si="141"/>
        <v>0</v>
      </c>
    </row>
    <row r="316" spans="1:22" outlineLevel="1">
      <c r="A316" s="1099">
        <f t="shared" si="128"/>
        <v>2041</v>
      </c>
      <c r="B316" s="1101">
        <f t="shared" si="124"/>
        <v>8.8870000000000008E-3</v>
      </c>
      <c r="C316" s="1102">
        <f t="shared" si="142"/>
        <v>30.65</v>
      </c>
      <c r="D316" s="1042">
        <f>IF(AND(A32&gt;=$B$2,A32&lt;=$B$4),_xlfn.XLOOKUP(A316,'VMT Reduction Supporting'!A:A,'VMT Reduction Supporting'!C:C,,0),0)</f>
        <v>2006.68633610449</v>
      </c>
      <c r="E316" s="1042">
        <f>IF(AND(A32&gt;=$B$2,A32&lt;=$B$4),_xlfn.XLOOKUP(A316,'VMT Reduction Supporting'!A:A,'VMT Reduction Supporting'!F:F,,0),0)</f>
        <v>27424.713260094686</v>
      </c>
      <c r="F316" s="1042">
        <f t="shared" si="129"/>
        <v>65.471006071924634</v>
      </c>
      <c r="G316" s="1042">
        <f t="shared" si="130"/>
        <v>894.770416316303</v>
      </c>
      <c r="H316" s="1103">
        <f t="shared" si="131"/>
        <v>0.58184083096119432</v>
      </c>
      <c r="I316" s="1103">
        <f t="shared" si="132"/>
        <v>7.9518246898029856</v>
      </c>
      <c r="J316" s="1103">
        <f t="shared" si="133"/>
        <v>7.369983858841791</v>
      </c>
      <c r="K316" s="1042">
        <f>IF(AND(A32&gt;=$B$2,A32&lt;=$B$4),_xlfn.XLOOKUP(A316,'VMT Reduction Supporting'!A:A,'VMT Reduction Supporting'!B:B,,0),0)</f>
        <v>29096.9518735151</v>
      </c>
      <c r="L316" s="1042">
        <f>IF(AND(A32&gt;=$B$2,A32&lt;=$B$4),_xlfn.XLOOKUP(A316,'VMT Reduction Supporting'!A:A,'VMT Reduction Supporting'!E:E,,0),0)</f>
        <v>29464.548212432808</v>
      </c>
      <c r="M316" s="1042">
        <f t="shared" si="134"/>
        <v>949.32958804290706</v>
      </c>
      <c r="N316" s="1042">
        <f t="shared" si="135"/>
        <v>961.32294330939021</v>
      </c>
      <c r="O316" s="1104">
        <f t="shared" si="136"/>
        <v>8.4366920489373154</v>
      </c>
      <c r="P316" s="1104">
        <f t="shared" si="137"/>
        <v>8.5432769971905511</v>
      </c>
      <c r="Q316" s="1104">
        <f t="shared" si="138"/>
        <v>0.10658494825323572</v>
      </c>
      <c r="R316" s="1042">
        <f>IF(AND(A32&gt;=$B$2,A32&lt;=$B$4),_xlfn.XLOOKUP(A316,'Auto Idling Benefit - Fuel'!F:F,'Auto Idling Benefit - Fuel'!H:H,,0),0)</f>
        <v>0</v>
      </c>
      <c r="S316" s="1042">
        <f>IF(AND(A32&gt;=$B$2,A32&lt;=$B$4),_xlfn.XLOOKUP(A316,'Auto Idling Benefit - Fuel'!F:F,'Auto Idling Benefit - Fuel'!L:L,,0),0)</f>
        <v>0</v>
      </c>
      <c r="T316" s="1079">
        <f t="shared" si="139"/>
        <v>0</v>
      </c>
      <c r="U316" s="1048">
        <f t="shared" si="140"/>
        <v>0</v>
      </c>
      <c r="V316" s="1048">
        <f t="shared" si="141"/>
        <v>0</v>
      </c>
    </row>
    <row r="317" spans="1:22" outlineLevel="1">
      <c r="A317" s="1099">
        <f t="shared" si="128"/>
        <v>2042</v>
      </c>
      <c r="B317" s="1101">
        <f t="shared" si="124"/>
        <v>8.8870000000000008E-3</v>
      </c>
      <c r="C317" s="1102">
        <f t="shared" si="142"/>
        <v>30.9</v>
      </c>
      <c r="D317" s="1042">
        <f>IF(AND(A33&gt;=$B$2,A33&lt;=$B$4),_xlfn.XLOOKUP(A317,'VMT Reduction Supporting'!A:A,'VMT Reduction Supporting'!C:C,,0),0)</f>
        <v>2036.2620933477322</v>
      </c>
      <c r="E317" s="1042">
        <f>IF(AND(A33&gt;=$B$2,A33&lt;=$B$4),_xlfn.XLOOKUP(A317,'VMT Reduction Supporting'!A:A,'VMT Reduction Supporting'!F:F,,0),0)</f>
        <v>27828.91527575233</v>
      </c>
      <c r="F317" s="1042">
        <f t="shared" si="129"/>
        <v>65.898449622903954</v>
      </c>
      <c r="G317" s="1042">
        <f t="shared" si="130"/>
        <v>900.61214484635377</v>
      </c>
      <c r="H317" s="1103">
        <f t="shared" si="131"/>
        <v>0.58563952179874745</v>
      </c>
      <c r="I317" s="1103">
        <f t="shared" si="132"/>
        <v>8.0037401312495469</v>
      </c>
      <c r="J317" s="1103">
        <f t="shared" si="133"/>
        <v>7.4181006094507991</v>
      </c>
      <c r="K317" s="1042">
        <f>IF(AND(A33&gt;=$B$2,A33&lt;=$B$4),_xlfn.XLOOKUP(A317,'VMT Reduction Supporting'!A:A,'VMT Reduction Supporting'!B:B,,0),0)</f>
        <v>29525.800353542108</v>
      </c>
      <c r="L317" s="1042">
        <f>IF(AND(A33&gt;=$B$2,A33&lt;=$B$4),_xlfn.XLOOKUP(A317,'VMT Reduction Supporting'!A:A,'VMT Reduction Supporting'!E:E,,0),0)</f>
        <v>29893.832856433892</v>
      </c>
      <c r="M317" s="1042">
        <f t="shared" si="134"/>
        <v>955.52751953210714</v>
      </c>
      <c r="N317" s="1042">
        <f t="shared" si="135"/>
        <v>967.43795651889627</v>
      </c>
      <c r="O317" s="1104">
        <f t="shared" si="136"/>
        <v>8.4917730660818371</v>
      </c>
      <c r="P317" s="1104">
        <f t="shared" si="137"/>
        <v>8.5976211195834313</v>
      </c>
      <c r="Q317" s="1104">
        <f t="shared" si="138"/>
        <v>0.10584805350159421</v>
      </c>
      <c r="R317" s="1042">
        <f>IF(AND(A33&gt;=$B$2,A33&lt;=$B$4),_xlfn.XLOOKUP(A317,'Auto Idling Benefit - Fuel'!F:F,'Auto Idling Benefit - Fuel'!H:H,,0),0)</f>
        <v>0</v>
      </c>
      <c r="S317" s="1042">
        <f>IF(AND(A33&gt;=$B$2,A33&lt;=$B$4),_xlfn.XLOOKUP(A317,'Auto Idling Benefit - Fuel'!F:F,'Auto Idling Benefit - Fuel'!L:L,,0),0)</f>
        <v>0</v>
      </c>
      <c r="T317" s="1079">
        <f t="shared" si="139"/>
        <v>0</v>
      </c>
      <c r="U317" s="1048">
        <f t="shared" si="140"/>
        <v>0</v>
      </c>
      <c r="V317" s="1048">
        <f t="shared" si="141"/>
        <v>0</v>
      </c>
    </row>
    <row r="318" spans="1:22" outlineLevel="1">
      <c r="A318" s="1099">
        <f t="shared" si="128"/>
        <v>2043</v>
      </c>
      <c r="B318" s="1101">
        <f t="shared" si="124"/>
        <v>8.8870000000000008E-3</v>
      </c>
      <c r="C318" s="1102">
        <f t="shared" si="142"/>
        <v>31.15</v>
      </c>
      <c r="D318" s="1042">
        <f>IF(AND(A34&gt;=$B$2,A34&lt;=$B$4),_xlfn.XLOOKUP(A318,'VMT Reduction Supporting'!A:A,'VMT Reduction Supporting'!C:C,,0),0)</f>
        <v>2066.273755994212</v>
      </c>
      <c r="E318" s="1042">
        <f>IF(AND(A34&gt;=$B$2,A34&lt;=$B$4),_xlfn.XLOOKUP(A318,'VMT Reduction Supporting'!A:A,'VMT Reduction Supporting'!F:F,,0),0)</f>
        <v>28239.074665254226</v>
      </c>
      <c r="F318" s="1042">
        <f t="shared" si="129"/>
        <v>66.333025874613554</v>
      </c>
      <c r="G318" s="1042">
        <f t="shared" si="130"/>
        <v>906.55135361971838</v>
      </c>
      <c r="H318" s="1103">
        <f t="shared" si="131"/>
        <v>0.58950160094769066</v>
      </c>
      <c r="I318" s="1103">
        <f t="shared" si="132"/>
        <v>8.0565218796184386</v>
      </c>
      <c r="J318" s="1103">
        <f t="shared" si="133"/>
        <v>7.4670202786707476</v>
      </c>
      <c r="K318" s="1042">
        <f>IF(AND(A34&gt;=$B$2,A34&lt;=$B$4),_xlfn.XLOOKUP(A318,'VMT Reduction Supporting'!A:A,'VMT Reduction Supporting'!B:B,,0),0)</f>
        <v>29960.969461916065</v>
      </c>
      <c r="L318" s="1042">
        <f>IF(AND(A34&gt;=$B$2,A34&lt;=$B$4),_xlfn.XLOOKUP(A318,'VMT Reduction Supporting'!A:A,'VMT Reduction Supporting'!E:E,,0),0)</f>
        <v>30329.438646303432</v>
      </c>
      <c r="M318" s="1042">
        <f t="shared" si="134"/>
        <v>961.82887518189625</v>
      </c>
      <c r="N318" s="1042">
        <f t="shared" si="135"/>
        <v>973.65774145436387</v>
      </c>
      <c r="O318" s="1104">
        <f t="shared" si="136"/>
        <v>8.5477732137415128</v>
      </c>
      <c r="P318" s="1104">
        <f t="shared" si="137"/>
        <v>8.6528963483049317</v>
      </c>
      <c r="Q318" s="1104">
        <f t="shared" si="138"/>
        <v>0.10512313456341893</v>
      </c>
      <c r="R318" s="1042">
        <f>IF(AND(A34&gt;=$B$2,A34&lt;=$B$4),_xlfn.XLOOKUP(A318,'Auto Idling Benefit - Fuel'!F:F,'Auto Idling Benefit - Fuel'!H:H,,0),0)</f>
        <v>0</v>
      </c>
      <c r="S318" s="1042">
        <f>IF(AND(A34&gt;=$B$2,A34&lt;=$B$4),_xlfn.XLOOKUP(A318,'Auto Idling Benefit - Fuel'!F:F,'Auto Idling Benefit - Fuel'!L:L,,0),0)</f>
        <v>0</v>
      </c>
      <c r="T318" s="1079">
        <f t="shared" si="139"/>
        <v>0</v>
      </c>
      <c r="U318" s="1048">
        <f t="shared" si="140"/>
        <v>0</v>
      </c>
      <c r="V318" s="1048">
        <f t="shared" si="141"/>
        <v>0</v>
      </c>
    </row>
    <row r="319" spans="1:22" outlineLevel="1">
      <c r="A319" s="1099">
        <f t="shared" si="128"/>
        <v>2044</v>
      </c>
      <c r="B319" s="1101">
        <f t="shared" si="124"/>
        <v>8.8870000000000008E-3</v>
      </c>
      <c r="C319" s="1102">
        <f t="shared" si="142"/>
        <v>31.4</v>
      </c>
      <c r="D319" s="1042">
        <f>IF(AND(A35&gt;=$B$2,A35&lt;=$B$4),_xlfn.XLOOKUP(A319,'VMT Reduction Supporting'!A:A,'VMT Reduction Supporting'!C:C,,0),0)</f>
        <v>2096.7277486814805</v>
      </c>
      <c r="E319" s="1042">
        <f>IF(AND(A35&gt;=$B$2,A35&lt;=$B$4),_xlfn.XLOOKUP(A319,'VMT Reduction Supporting'!A:A,'VMT Reduction Supporting'!F:F,,0),0)</f>
        <v>28655.279231980225</v>
      </c>
      <c r="F319" s="1042">
        <f t="shared" si="129"/>
        <v>66.774769066289196</v>
      </c>
      <c r="G319" s="1042">
        <f t="shared" si="130"/>
        <v>912.5885105726187</v>
      </c>
      <c r="H319" s="1103">
        <f t="shared" si="131"/>
        <v>0.5934273726921121</v>
      </c>
      <c r="I319" s="1103">
        <f t="shared" si="132"/>
        <v>8.1101740934588626</v>
      </c>
      <c r="J319" s="1103">
        <f t="shared" si="133"/>
        <v>7.5167467207667507</v>
      </c>
      <c r="K319" s="1042">
        <f>IF(AND(A35&gt;=$B$2,A35&lt;=$B$4),_xlfn.XLOOKUP(A319,'VMT Reduction Supporting'!A:A,'VMT Reduction Supporting'!B:B,,0),0)</f>
        <v>30402.552355881457</v>
      </c>
      <c r="L319" s="1042">
        <f>IF(AND(A35&gt;=$B$2,A35&lt;=$B$4),_xlfn.XLOOKUP(A319,'VMT Reduction Supporting'!A:A,'VMT Reduction Supporting'!E:E,,0),0)</f>
        <v>30771.458739899965</v>
      </c>
      <c r="M319" s="1042">
        <f t="shared" si="134"/>
        <v>968.23415146119294</v>
      </c>
      <c r="N319" s="1042">
        <f t="shared" si="135"/>
        <v>979.98276241719634</v>
      </c>
      <c r="O319" s="1104">
        <f t="shared" si="136"/>
        <v>8.604696904035622</v>
      </c>
      <c r="P319" s="1104">
        <f t="shared" si="137"/>
        <v>8.7091068096016251</v>
      </c>
      <c r="Q319" s="1104">
        <f t="shared" si="138"/>
        <v>0.10440990556600305</v>
      </c>
      <c r="R319" s="1042">
        <f>IF(AND(A35&gt;=$B$2,A35&lt;=$B$4),_xlfn.XLOOKUP(A319,'Auto Idling Benefit - Fuel'!F:F,'Auto Idling Benefit - Fuel'!H:H,,0),0)</f>
        <v>0</v>
      </c>
      <c r="S319" s="1042">
        <f>IF(AND(A35&gt;=$B$2,A35&lt;=$B$4),_xlfn.XLOOKUP(A319,'Auto Idling Benefit - Fuel'!F:F,'Auto Idling Benefit - Fuel'!L:L,,0),0)</f>
        <v>0</v>
      </c>
      <c r="T319" s="1079">
        <f t="shared" si="139"/>
        <v>0</v>
      </c>
      <c r="U319" s="1048">
        <f t="shared" si="140"/>
        <v>0</v>
      </c>
      <c r="V319" s="1048">
        <f t="shared" si="141"/>
        <v>0</v>
      </c>
    </row>
    <row r="320" spans="1:22" outlineLevel="1">
      <c r="A320" s="1099">
        <f t="shared" si="128"/>
        <v>2045</v>
      </c>
      <c r="B320" s="1101">
        <f t="shared" si="124"/>
        <v>8.8870000000000008E-3</v>
      </c>
      <c r="C320" s="1102">
        <f t="shared" si="142"/>
        <v>31.65</v>
      </c>
      <c r="D320" s="1042">
        <f>IF(AND(A36&gt;=$B$2,A36&lt;=$B$4),_xlfn.XLOOKUP(A320,'VMT Reduction Supporting'!A:A,'VMT Reduction Supporting'!C:C,,0),0)</f>
        <v>2127.6305907372825</v>
      </c>
      <c r="E320" s="1042">
        <f>IF(AND(A36&gt;=$B$2,A36&lt;=$B$4),_xlfn.XLOOKUP(A320,'VMT Reduction Supporting'!A:A,'VMT Reduction Supporting'!F:F,,0),0)</f>
        <v>29077.618073409518</v>
      </c>
      <c r="F320" s="1042">
        <f t="shared" si="129"/>
        <v>67.223715347149536</v>
      </c>
      <c r="G320" s="1042">
        <f t="shared" si="130"/>
        <v>918.72410974437662</v>
      </c>
      <c r="H320" s="1103">
        <f t="shared" si="131"/>
        <v>0.59741715829011799</v>
      </c>
      <c r="I320" s="1103">
        <f t="shared" si="132"/>
        <v>8.1647011632982753</v>
      </c>
      <c r="J320" s="1103">
        <f t="shared" si="133"/>
        <v>7.5672840050081573</v>
      </c>
      <c r="K320" s="1042">
        <f>IF(AND(A36&gt;=$B$2,A36&lt;=$B$4),_xlfn.XLOOKUP(A320,'VMT Reduction Supporting'!A:A,'VMT Reduction Supporting'!B:B,,0),0)</f>
        <v>30850.643565690589</v>
      </c>
      <c r="L320" s="1042">
        <f>IF(AND(A36&gt;=$B$2,A36&lt;=$B$4),_xlfn.XLOOKUP(A320,'VMT Reduction Supporting'!A:A,'VMT Reduction Supporting'!E:E,,0),0)</f>
        <v>31219.987668090587</v>
      </c>
      <c r="M320" s="1042">
        <f t="shared" si="134"/>
        <v>974.74387253366797</v>
      </c>
      <c r="N320" s="1042">
        <f t="shared" si="135"/>
        <v>986.41351241992379</v>
      </c>
      <c r="O320" s="1104">
        <f t="shared" si="136"/>
        <v>8.6625487952067086</v>
      </c>
      <c r="P320" s="1104">
        <f t="shared" si="137"/>
        <v>8.7662568848758635</v>
      </c>
      <c r="Q320" s="1104">
        <f t="shared" si="138"/>
        <v>0.1037080896691549</v>
      </c>
      <c r="R320" s="1042">
        <f>IF(AND(A36&gt;=$B$2,A36&lt;=$B$4),_xlfn.XLOOKUP(A320,'Auto Idling Benefit - Fuel'!F:F,'Auto Idling Benefit - Fuel'!H:H,,0),0)</f>
        <v>0</v>
      </c>
      <c r="S320" s="1042">
        <f>IF(AND(A36&gt;=$B$2,A36&lt;=$B$4),_xlfn.XLOOKUP(A320,'Auto Idling Benefit - Fuel'!F:F,'Auto Idling Benefit - Fuel'!L:L,,0),0)</f>
        <v>0</v>
      </c>
      <c r="T320" s="1079">
        <f t="shared" si="139"/>
        <v>0</v>
      </c>
      <c r="U320" s="1048">
        <f t="shared" si="140"/>
        <v>0</v>
      </c>
      <c r="V320" s="1048">
        <f t="shared" si="141"/>
        <v>0</v>
      </c>
    </row>
    <row r="321" spans="1:25" outlineLevel="1">
      <c r="A321" s="1099">
        <f t="shared" si="128"/>
        <v>2046</v>
      </c>
      <c r="B321" s="1101">
        <f t="shared" si="124"/>
        <v>8.8870000000000008E-3</v>
      </c>
      <c r="C321" s="1102">
        <f t="shared" si="142"/>
        <v>31.9</v>
      </c>
      <c r="D321" s="1042">
        <f>IF(AND(A37&gt;=$B$2,A37&lt;=$B$4),_xlfn.XLOOKUP(A321,'VMT Reduction Supporting'!A:A,'VMT Reduction Supporting'!C:C,,0),0)</f>
        <v>2158.9888975751605</v>
      </c>
      <c r="E321" s="1042">
        <f>IF(AND(A37&gt;=$B$2,A37&lt;=$B$4),_xlfn.XLOOKUP(A321,'VMT Reduction Supporting'!A:A,'VMT Reduction Supporting'!F:F,,0),0)</f>
        <v>29506.181600193853</v>
      </c>
      <c r="F321" s="1042">
        <f t="shared" si="129"/>
        <v>67.67990274530284</v>
      </c>
      <c r="G321" s="1042">
        <f t="shared" si="130"/>
        <v>924.95867085247198</v>
      </c>
      <c r="H321" s="1103">
        <f t="shared" si="131"/>
        <v>0.60147129569750635</v>
      </c>
      <c r="I321" s="1103">
        <f t="shared" si="132"/>
        <v>8.2201077078659193</v>
      </c>
      <c r="J321" s="1103">
        <f t="shared" si="133"/>
        <v>7.6186364121684127</v>
      </c>
      <c r="K321" s="1042">
        <f>IF(AND(A37&gt;=$B$2,A37&lt;=$B$4),_xlfn.XLOOKUP(A321,'VMT Reduction Supporting'!A:A,'VMT Reduction Supporting'!B:B,,0),0)</f>
        <v>31305.339014839818</v>
      </c>
      <c r="L321" s="1042">
        <f>IF(AND(A37&gt;=$B$2,A37&lt;=$B$4),_xlfn.XLOOKUP(A321,'VMT Reduction Supporting'!A:A,'VMT Reduction Supporting'!E:E,,0),0)</f>
        <v>31675.121354987172</v>
      </c>
      <c r="M321" s="1042">
        <f t="shared" si="134"/>
        <v>981.3585898068909</v>
      </c>
      <c r="N321" s="1042">
        <f t="shared" si="135"/>
        <v>992.95051269552266</v>
      </c>
      <c r="O321" s="1104">
        <f t="shared" si="136"/>
        <v>8.7213337876138404</v>
      </c>
      <c r="P321" s="1104">
        <f t="shared" si="137"/>
        <v>8.8243512063251099</v>
      </c>
      <c r="Q321" s="1104">
        <f t="shared" si="138"/>
        <v>0.10301741871126957</v>
      </c>
      <c r="R321" s="1042">
        <f>IF(AND(A37&gt;=$B$2,A37&lt;=$B$4),_xlfn.XLOOKUP(A321,'Auto Idling Benefit - Fuel'!F:F,'Auto Idling Benefit - Fuel'!H:H,,0),0)</f>
        <v>0</v>
      </c>
      <c r="S321" s="1042">
        <f>IF(AND(A37&gt;=$B$2,A37&lt;=$B$4),_xlfn.XLOOKUP(A321,'Auto Idling Benefit - Fuel'!F:F,'Auto Idling Benefit - Fuel'!L:L,,0),0)</f>
        <v>0</v>
      </c>
      <c r="T321" s="1079">
        <f t="shared" si="139"/>
        <v>0</v>
      </c>
      <c r="U321" s="1048">
        <f t="shared" si="140"/>
        <v>0</v>
      </c>
      <c r="V321" s="1048">
        <f t="shared" si="141"/>
        <v>0</v>
      </c>
    </row>
    <row r="322" spans="1:25" outlineLevel="1">
      <c r="A322" s="1099">
        <f t="shared" si="128"/>
        <v>2047</v>
      </c>
      <c r="B322" s="1101">
        <f t="shared" si="124"/>
        <v>8.8870000000000008E-3</v>
      </c>
      <c r="C322" s="1102">
        <f t="shared" si="142"/>
        <v>32.15</v>
      </c>
      <c r="D322" s="1042">
        <f>IF(AND(A38&gt;=$B$2,A38&lt;=$B$4),_xlfn.XLOOKUP(A322,'VMT Reduction Supporting'!A:A,'VMT Reduction Supporting'!C:C,,0),0)</f>
        <v>2190.809382110624</v>
      </c>
      <c r="E322" s="1042">
        <f>IF(AND(A38&gt;=$B$2,A38&lt;=$B$4),_xlfn.XLOOKUP(A322,'VMT Reduction Supporting'!A:A,'VMT Reduction Supporting'!F:F,,0),0)</f>
        <v>29941.061555511849</v>
      </c>
      <c r="F322" s="1042">
        <f t="shared" si="129"/>
        <v>68.143371138744143</v>
      </c>
      <c r="G322" s="1042">
        <f t="shared" si="130"/>
        <v>931.29273889616957</v>
      </c>
      <c r="H322" s="1103">
        <f t="shared" si="131"/>
        <v>0.60559013931001926</v>
      </c>
      <c r="I322" s="1103">
        <f t="shared" si="132"/>
        <v>8.2763985705702598</v>
      </c>
      <c r="J322" s="1103">
        <f t="shared" si="133"/>
        <v>7.6708084312602409</v>
      </c>
      <c r="K322" s="1042">
        <f>IF(AND(A38&gt;=$B$2,A38&lt;=$B$4),_xlfn.XLOOKUP(A322,'VMT Reduction Supporting'!A:A,'VMT Reduction Supporting'!B:B,,0),0)</f>
        <v>31766.736040604035</v>
      </c>
      <c r="L322" s="1042">
        <f>IF(AND(A38&gt;=$B$2,A38&lt;=$B$4),_xlfn.XLOOKUP(A322,'VMT Reduction Supporting'!A:A,'VMT Reduction Supporting'!E:E,,0),0)</f>
        <v>32136.957138480837</v>
      </c>
      <c r="M322" s="1042">
        <f t="shared" si="134"/>
        <v>988.07888151178963</v>
      </c>
      <c r="N322" s="1042">
        <f t="shared" si="135"/>
        <v>999.59431223890635</v>
      </c>
      <c r="O322" s="1104">
        <f t="shared" si="136"/>
        <v>8.7810570199952753</v>
      </c>
      <c r="P322" s="1104">
        <f t="shared" si="137"/>
        <v>8.8833946528671621</v>
      </c>
      <c r="Q322" s="1104">
        <f t="shared" si="138"/>
        <v>0.1023376328718868</v>
      </c>
      <c r="R322" s="1042">
        <f>IF(AND(A38&gt;=$B$2,A38&lt;=$B$4),_xlfn.XLOOKUP(A322,'Auto Idling Benefit - Fuel'!F:F,'Auto Idling Benefit - Fuel'!H:H,,0),0)</f>
        <v>0</v>
      </c>
      <c r="S322" s="1042">
        <f>IF(AND(A38&gt;=$B$2,A38&lt;=$B$4),_xlfn.XLOOKUP(A322,'Auto Idling Benefit - Fuel'!F:F,'Auto Idling Benefit - Fuel'!L:L,,0),0)</f>
        <v>0</v>
      </c>
      <c r="T322" s="1079">
        <f t="shared" si="139"/>
        <v>0</v>
      </c>
      <c r="U322" s="1048">
        <f t="shared" si="140"/>
        <v>0</v>
      </c>
      <c r="V322" s="1048">
        <f t="shared" si="141"/>
        <v>0</v>
      </c>
    </row>
    <row r="323" spans="1:25" outlineLevel="1">
      <c r="A323" s="1099">
        <f t="shared" si="128"/>
        <v>2048</v>
      </c>
      <c r="B323" s="1101">
        <f t="shared" si="124"/>
        <v>8.8870000000000008E-3</v>
      </c>
      <c r="C323" s="1102">
        <f t="shared" si="142"/>
        <v>32.4</v>
      </c>
      <c r="D323" s="1042">
        <f>IF(AND(A39&gt;=$B$2,A39&lt;=$B$4),_xlfn.XLOOKUP(A323,'VMT Reduction Supporting'!A:A,'VMT Reduction Supporting'!C:C,,0),0)</f>
        <v>0</v>
      </c>
      <c r="E323" s="1042">
        <f>IF(AND(A39&gt;=$B$2,A39&lt;=$B$4),_xlfn.XLOOKUP(A323,'VMT Reduction Supporting'!A:A,'VMT Reduction Supporting'!F:F,,0),0)</f>
        <v>0</v>
      </c>
      <c r="F323" s="1042">
        <f t="shared" si="129"/>
        <v>0</v>
      </c>
      <c r="G323" s="1042">
        <f t="shared" si="130"/>
        <v>0</v>
      </c>
      <c r="H323" s="1103">
        <f t="shared" si="131"/>
        <v>0</v>
      </c>
      <c r="I323" s="1103">
        <f t="shared" si="132"/>
        <v>0</v>
      </c>
      <c r="J323" s="1103">
        <f t="shared" si="133"/>
        <v>0</v>
      </c>
      <c r="K323" s="1042">
        <f>IF(AND(A39&gt;=$B$2,A39&lt;=$B$4),_xlfn.XLOOKUP(A323,'VMT Reduction Supporting'!A:A,'VMT Reduction Supporting'!B:B,,0),0)</f>
        <v>0</v>
      </c>
      <c r="L323" s="1042">
        <f>IF(AND(A39&gt;=$B$2,A39&lt;=$B$4),_xlfn.XLOOKUP(A323,'VMT Reduction Supporting'!A:A,'VMT Reduction Supporting'!E:E,,0),0)</f>
        <v>0</v>
      </c>
      <c r="M323" s="1042">
        <f t="shared" si="134"/>
        <v>0</v>
      </c>
      <c r="N323" s="1042">
        <f t="shared" si="135"/>
        <v>0</v>
      </c>
      <c r="O323" s="1104">
        <f t="shared" si="136"/>
        <v>0</v>
      </c>
      <c r="P323" s="1104">
        <f t="shared" si="137"/>
        <v>0</v>
      </c>
      <c r="Q323" s="1104">
        <f t="shared" si="138"/>
        <v>0</v>
      </c>
      <c r="R323" s="1042">
        <f>IF(AND(A39&gt;=$B$2,A39&lt;=$B$4),_xlfn.XLOOKUP(A323,'Auto Idling Benefit - Fuel'!F:F,'Auto Idling Benefit - Fuel'!H:H,,0),0)</f>
        <v>0</v>
      </c>
      <c r="S323" s="1042">
        <f>IF(AND(A39&gt;=$B$2,A39&lt;=$B$4),_xlfn.XLOOKUP(A323,'Auto Idling Benefit - Fuel'!F:F,'Auto Idling Benefit - Fuel'!L:L,,0),0)</f>
        <v>0</v>
      </c>
      <c r="T323" s="1079">
        <f t="shared" si="139"/>
        <v>0</v>
      </c>
      <c r="U323" s="1048">
        <f t="shared" si="140"/>
        <v>0</v>
      </c>
      <c r="V323" s="1048">
        <f t="shared" si="141"/>
        <v>0</v>
      </c>
      <c r="Y323" s="1049"/>
    </row>
    <row r="324" spans="1:25" outlineLevel="1">
      <c r="A324" s="1099">
        <f t="shared" si="128"/>
        <v>2049</v>
      </c>
      <c r="B324" s="1101">
        <f t="shared" si="124"/>
        <v>8.8870000000000008E-3</v>
      </c>
      <c r="C324" s="1102">
        <f t="shared" si="142"/>
        <v>32.65</v>
      </c>
      <c r="D324" s="1042">
        <f>IF(AND(A40&gt;=$B$2,A40&lt;=$B$4),_xlfn.XLOOKUP(A324,'VMT Reduction Supporting'!A:A,'VMT Reduction Supporting'!C:C,,0),0)</f>
        <v>0</v>
      </c>
      <c r="E324" s="1042">
        <f>IF(AND(A40&gt;=$B$2,A40&lt;=$B$4),_xlfn.XLOOKUP(A324,'VMT Reduction Supporting'!A:A,'VMT Reduction Supporting'!F:F,,0),0)</f>
        <v>0</v>
      </c>
      <c r="F324" s="1042">
        <f t="shared" si="129"/>
        <v>0</v>
      </c>
      <c r="G324" s="1042">
        <f t="shared" si="130"/>
        <v>0</v>
      </c>
      <c r="H324" s="1103">
        <f t="shared" si="131"/>
        <v>0</v>
      </c>
      <c r="I324" s="1103">
        <f t="shared" si="132"/>
        <v>0</v>
      </c>
      <c r="J324" s="1103">
        <f t="shared" si="133"/>
        <v>0</v>
      </c>
      <c r="K324" s="1042">
        <f>IF(AND(A40&gt;=$B$2,A40&lt;=$B$4),_xlfn.XLOOKUP(A324,'VMT Reduction Supporting'!A:A,'VMT Reduction Supporting'!B:B,,0),0)</f>
        <v>0</v>
      </c>
      <c r="L324" s="1042">
        <f>IF(AND(A40&gt;=$B$2,A40&lt;=$B$4),_xlfn.XLOOKUP(A324,'VMT Reduction Supporting'!A:A,'VMT Reduction Supporting'!E:E,,0),0)</f>
        <v>0</v>
      </c>
      <c r="M324" s="1042">
        <f t="shared" si="134"/>
        <v>0</v>
      </c>
      <c r="N324" s="1042">
        <f t="shared" si="135"/>
        <v>0</v>
      </c>
      <c r="O324" s="1104">
        <f t="shared" si="136"/>
        <v>0</v>
      </c>
      <c r="P324" s="1104">
        <f t="shared" si="137"/>
        <v>0</v>
      </c>
      <c r="Q324" s="1104">
        <f t="shared" si="138"/>
        <v>0</v>
      </c>
      <c r="R324" s="1042">
        <f>IF(AND(A40&gt;=$B$2,A40&lt;=$B$4),_xlfn.XLOOKUP(A324,'Auto Idling Benefit - Fuel'!F:F,'Auto Idling Benefit - Fuel'!H:H,,0),0)</f>
        <v>0</v>
      </c>
      <c r="S324" s="1042">
        <f>IF(AND(A40&gt;=$B$2,A40&lt;=$B$4),_xlfn.XLOOKUP(A324,'Auto Idling Benefit - Fuel'!F:F,'Auto Idling Benefit - Fuel'!L:L,,0),0)</f>
        <v>0</v>
      </c>
      <c r="T324" s="1079">
        <f t="shared" si="139"/>
        <v>0</v>
      </c>
      <c r="U324" s="1048">
        <f t="shared" si="140"/>
        <v>0</v>
      </c>
      <c r="V324" s="1048">
        <f t="shared" si="141"/>
        <v>0</v>
      </c>
    </row>
    <row r="325" spans="1:25" outlineLevel="1">
      <c r="A325" s="1099">
        <f t="shared" si="128"/>
        <v>2050</v>
      </c>
      <c r="B325" s="1101">
        <f t="shared" si="124"/>
        <v>8.8870000000000008E-3</v>
      </c>
      <c r="C325" s="1102">
        <f t="shared" si="142"/>
        <v>32.9</v>
      </c>
      <c r="D325" s="1042">
        <f>IF(AND(A41&gt;=$B$2,A41&lt;=$B$4),_xlfn.XLOOKUP(A325,'VMT Reduction Supporting'!A:A,'VMT Reduction Supporting'!C:C,,0),0)</f>
        <v>0</v>
      </c>
      <c r="E325" s="1042">
        <f>IF(AND(A41&gt;=$B$2,A41&lt;=$B$4),_xlfn.XLOOKUP(A325,'VMT Reduction Supporting'!A:A,'VMT Reduction Supporting'!F:F,,0),0)</f>
        <v>0</v>
      </c>
      <c r="F325" s="1042">
        <f t="shared" si="129"/>
        <v>0</v>
      </c>
      <c r="G325" s="1042">
        <f t="shared" si="130"/>
        <v>0</v>
      </c>
      <c r="H325" s="1103">
        <f t="shared" si="131"/>
        <v>0</v>
      </c>
      <c r="I325" s="1103">
        <f t="shared" si="132"/>
        <v>0</v>
      </c>
      <c r="J325" s="1103">
        <f t="shared" si="133"/>
        <v>0</v>
      </c>
      <c r="K325" s="1042">
        <f>IF(AND(A41&gt;=$B$2,A41&lt;=$B$4),_xlfn.XLOOKUP(A325,'VMT Reduction Supporting'!A:A,'VMT Reduction Supporting'!B:B,,0),0)</f>
        <v>0</v>
      </c>
      <c r="L325" s="1042">
        <f>IF(AND(A41&gt;=$B$2,A41&lt;=$B$4),_xlfn.XLOOKUP(A325,'VMT Reduction Supporting'!A:A,'VMT Reduction Supporting'!E:E,,0),0)</f>
        <v>0</v>
      </c>
      <c r="M325" s="1042">
        <f t="shared" si="134"/>
        <v>0</v>
      </c>
      <c r="N325" s="1042">
        <f t="shared" si="135"/>
        <v>0</v>
      </c>
      <c r="O325" s="1104">
        <f t="shared" si="136"/>
        <v>0</v>
      </c>
      <c r="P325" s="1104">
        <f t="shared" si="137"/>
        <v>0</v>
      </c>
      <c r="Q325" s="1104">
        <f t="shared" si="138"/>
        <v>0</v>
      </c>
      <c r="R325" s="1042">
        <f>IF(AND(A41&gt;=$B$2,A41&lt;=$B$4),_xlfn.XLOOKUP(A325,'Auto Idling Benefit - Fuel'!F:F,'Auto Idling Benefit - Fuel'!H:H,,0),0)</f>
        <v>0</v>
      </c>
      <c r="S325" s="1042">
        <f>IF(AND(A41&gt;=$B$2,A41&lt;=$B$4),_xlfn.XLOOKUP(A325,'Auto Idling Benefit - Fuel'!F:F,'Auto Idling Benefit - Fuel'!L:L,,0),0)</f>
        <v>0</v>
      </c>
      <c r="T325" s="1079">
        <f t="shared" si="139"/>
        <v>0</v>
      </c>
      <c r="U325" s="1048">
        <f t="shared" si="140"/>
        <v>0</v>
      </c>
      <c r="V325" s="1048">
        <f t="shared" si="141"/>
        <v>0</v>
      </c>
    </row>
    <row r="326" spans="1:25" outlineLevel="1">
      <c r="A326" s="1099">
        <f t="shared" si="128"/>
        <v>2051</v>
      </c>
      <c r="B326" s="1101">
        <f t="shared" si="124"/>
        <v>8.8870000000000008E-3</v>
      </c>
      <c r="C326" s="1102">
        <f t="shared" si="142"/>
        <v>33.15</v>
      </c>
      <c r="D326" s="1042">
        <f>IF(AND(A42&gt;=$B$2,A42&lt;=$B$4),_xlfn.XLOOKUP(A326,'VMT Reduction Supporting'!A:A,'VMT Reduction Supporting'!C:C,,0),0)</f>
        <v>0</v>
      </c>
      <c r="E326" s="1042">
        <f>IF(AND(A42&gt;=$B$2,A42&lt;=$B$4),_xlfn.XLOOKUP(A326,'VMT Reduction Supporting'!A:A,'VMT Reduction Supporting'!F:F,,0),0)</f>
        <v>0</v>
      </c>
      <c r="F326" s="1042">
        <f t="shared" si="129"/>
        <v>0</v>
      </c>
      <c r="G326" s="1042">
        <f t="shared" si="130"/>
        <v>0</v>
      </c>
      <c r="H326" s="1103">
        <f t="shared" si="131"/>
        <v>0</v>
      </c>
      <c r="I326" s="1103">
        <f t="shared" si="132"/>
        <v>0</v>
      </c>
      <c r="J326" s="1103">
        <f t="shared" si="133"/>
        <v>0</v>
      </c>
      <c r="K326" s="1042">
        <f>IF(AND(A42&gt;=$B$2,A42&lt;=$B$4),_xlfn.XLOOKUP(A326,'VMT Reduction Supporting'!A:A,'VMT Reduction Supporting'!B:B,,0),0)</f>
        <v>0</v>
      </c>
      <c r="L326" s="1042">
        <f>IF(AND(A42&gt;=$B$2,A42&lt;=$B$4),_xlfn.XLOOKUP(A326,'VMT Reduction Supporting'!A:A,'VMT Reduction Supporting'!E:E,,0),0)</f>
        <v>0</v>
      </c>
      <c r="M326" s="1042">
        <f t="shared" si="134"/>
        <v>0</v>
      </c>
      <c r="N326" s="1042">
        <f t="shared" si="135"/>
        <v>0</v>
      </c>
      <c r="O326" s="1104">
        <f t="shared" si="136"/>
        <v>0</v>
      </c>
      <c r="P326" s="1104">
        <f t="shared" si="137"/>
        <v>0</v>
      </c>
      <c r="Q326" s="1104">
        <f t="shared" si="138"/>
        <v>0</v>
      </c>
      <c r="R326" s="1042">
        <f>IF(AND(A42&gt;=$B$2,A42&lt;=$B$4),_xlfn.XLOOKUP(A326,'Auto Idling Benefit - Fuel'!F:F,'Auto Idling Benefit - Fuel'!H:H,,0),0)</f>
        <v>0</v>
      </c>
      <c r="S326" s="1042">
        <f>IF(AND(A42&gt;=$B$2,A42&lt;=$B$4),_xlfn.XLOOKUP(A326,'Auto Idling Benefit - Fuel'!F:F,'Auto Idling Benefit - Fuel'!L:L,,0),0)</f>
        <v>0</v>
      </c>
      <c r="T326" s="1079">
        <f t="shared" si="139"/>
        <v>0</v>
      </c>
      <c r="U326" s="1048">
        <f t="shared" si="140"/>
        <v>0</v>
      </c>
      <c r="V326" s="1048">
        <f t="shared" si="141"/>
        <v>0</v>
      </c>
    </row>
    <row r="327" spans="1:25" outlineLevel="1">
      <c r="A327" s="1099">
        <f t="shared" si="128"/>
        <v>2052</v>
      </c>
      <c r="B327" s="1101">
        <f t="shared" si="124"/>
        <v>8.8870000000000008E-3</v>
      </c>
      <c r="C327" s="1102">
        <f t="shared" si="142"/>
        <v>33.4</v>
      </c>
      <c r="D327" s="1042">
        <f>IF(AND(A43&gt;=$B$2,A43&lt;=$B$4),_xlfn.XLOOKUP(A327,'VMT Reduction Supporting'!A:A,'VMT Reduction Supporting'!C:C,,0),0)</f>
        <v>0</v>
      </c>
      <c r="E327" s="1042">
        <f>IF(AND(A43&gt;=$B$2,A43&lt;=$B$4),_xlfn.XLOOKUP(A327,'VMT Reduction Supporting'!A:A,'VMT Reduction Supporting'!F:F,,0),0)</f>
        <v>0</v>
      </c>
      <c r="F327" s="1042">
        <f t="shared" si="129"/>
        <v>0</v>
      </c>
      <c r="G327" s="1042">
        <f t="shared" si="130"/>
        <v>0</v>
      </c>
      <c r="H327" s="1103">
        <f t="shared" si="131"/>
        <v>0</v>
      </c>
      <c r="I327" s="1103">
        <f t="shared" si="132"/>
        <v>0</v>
      </c>
      <c r="J327" s="1103">
        <f t="shared" si="133"/>
        <v>0</v>
      </c>
      <c r="K327" s="1042">
        <f>IF(AND(A43&gt;=$B$2,A43&lt;=$B$4),_xlfn.XLOOKUP(A327,'VMT Reduction Supporting'!A:A,'VMT Reduction Supporting'!B:B,,0),0)</f>
        <v>0</v>
      </c>
      <c r="L327" s="1042">
        <f>IF(AND(A43&gt;=$B$2,A43&lt;=$B$4),_xlfn.XLOOKUP(A327,'VMT Reduction Supporting'!A:A,'VMT Reduction Supporting'!E:E,,0),0)</f>
        <v>0</v>
      </c>
      <c r="M327" s="1042">
        <f t="shared" si="134"/>
        <v>0</v>
      </c>
      <c r="N327" s="1042">
        <f t="shared" si="135"/>
        <v>0</v>
      </c>
      <c r="O327" s="1104">
        <f t="shared" si="136"/>
        <v>0</v>
      </c>
      <c r="P327" s="1104">
        <f t="shared" si="137"/>
        <v>0</v>
      </c>
      <c r="Q327" s="1104">
        <f t="shared" si="138"/>
        <v>0</v>
      </c>
      <c r="R327" s="1042">
        <f>IF(AND(A43&gt;=$B$2,A43&lt;=$B$4),_xlfn.XLOOKUP(A327,'Auto Idling Benefit - Fuel'!F:F,'Auto Idling Benefit - Fuel'!H:H,,0),0)</f>
        <v>0</v>
      </c>
      <c r="S327" s="1042">
        <f>IF(AND(A43&gt;=$B$2,A43&lt;=$B$4),_xlfn.XLOOKUP(A327,'Auto Idling Benefit - Fuel'!F:F,'Auto Idling Benefit - Fuel'!L:L,,0),0)</f>
        <v>0</v>
      </c>
      <c r="T327" s="1079">
        <f t="shared" si="139"/>
        <v>0</v>
      </c>
      <c r="U327" s="1048">
        <f t="shared" si="140"/>
        <v>0</v>
      </c>
      <c r="V327" s="1048">
        <f t="shared" si="141"/>
        <v>0</v>
      </c>
    </row>
    <row r="328" spans="1:25" outlineLevel="1">
      <c r="A328" s="1099">
        <f t="shared" si="128"/>
        <v>2053</v>
      </c>
      <c r="B328" s="1101">
        <f t="shared" si="124"/>
        <v>8.8870000000000008E-3</v>
      </c>
      <c r="C328" s="1102">
        <f t="shared" si="142"/>
        <v>33.65</v>
      </c>
      <c r="D328" s="1042">
        <f>IF(AND(A44&gt;=$B$2,A44&lt;=$B$4),_xlfn.XLOOKUP(A328,'VMT Reduction Supporting'!A:A,'VMT Reduction Supporting'!C:C,,0),0)</f>
        <v>0</v>
      </c>
      <c r="E328" s="1042">
        <f>IF(AND(A44&gt;=$B$2,A44&lt;=$B$4),_xlfn.XLOOKUP(A328,'VMT Reduction Supporting'!A:A,'VMT Reduction Supporting'!F:F,,0),0)</f>
        <v>0</v>
      </c>
      <c r="F328" s="1042">
        <f t="shared" si="129"/>
        <v>0</v>
      </c>
      <c r="G328" s="1042">
        <f t="shared" si="130"/>
        <v>0</v>
      </c>
      <c r="H328" s="1103">
        <f t="shared" si="131"/>
        <v>0</v>
      </c>
      <c r="I328" s="1103">
        <f t="shared" si="132"/>
        <v>0</v>
      </c>
      <c r="J328" s="1103">
        <f t="shared" si="133"/>
        <v>0</v>
      </c>
      <c r="K328" s="1042">
        <f>IF(AND(A44&gt;=$B$2,A44&lt;=$B$4),_xlfn.XLOOKUP(A328,'VMT Reduction Supporting'!A:A,'VMT Reduction Supporting'!B:B,,0),0)</f>
        <v>0</v>
      </c>
      <c r="L328" s="1042">
        <f>IF(AND(A44&gt;=$B$2,A44&lt;=$B$4),_xlfn.XLOOKUP(A328,'VMT Reduction Supporting'!A:A,'VMT Reduction Supporting'!E:E,,0),0)</f>
        <v>0</v>
      </c>
      <c r="M328" s="1042">
        <f t="shared" si="134"/>
        <v>0</v>
      </c>
      <c r="N328" s="1042">
        <f t="shared" si="135"/>
        <v>0</v>
      </c>
      <c r="O328" s="1104">
        <f t="shared" si="136"/>
        <v>0</v>
      </c>
      <c r="P328" s="1104">
        <f t="shared" si="137"/>
        <v>0</v>
      </c>
      <c r="Q328" s="1104">
        <f t="shared" si="138"/>
        <v>0</v>
      </c>
      <c r="R328" s="1042">
        <f>IF(AND(A44&gt;=$B$2,A44&lt;=$B$4),_xlfn.XLOOKUP(A328,'Auto Idling Benefit - Fuel'!F:F,'Auto Idling Benefit - Fuel'!H:H,,0),0)</f>
        <v>0</v>
      </c>
      <c r="S328" s="1042">
        <f>IF(AND(A44&gt;=$B$2,A44&lt;=$B$4),_xlfn.XLOOKUP(A328,'Auto Idling Benefit - Fuel'!F:F,'Auto Idling Benefit - Fuel'!L:L,,0),0)</f>
        <v>0</v>
      </c>
      <c r="T328" s="1079">
        <f t="shared" si="139"/>
        <v>0</v>
      </c>
      <c r="U328" s="1048">
        <f t="shared" si="140"/>
        <v>0</v>
      </c>
      <c r="V328" s="1048">
        <f t="shared" si="141"/>
        <v>0</v>
      </c>
    </row>
    <row r="329" spans="1:25" outlineLevel="1">
      <c r="A329" s="1099">
        <f t="shared" si="128"/>
        <v>2054</v>
      </c>
      <c r="B329" s="1101">
        <f t="shared" si="124"/>
        <v>8.8870000000000008E-3</v>
      </c>
      <c r="C329" s="1102">
        <f t="shared" si="142"/>
        <v>33.9</v>
      </c>
      <c r="D329" s="1042">
        <f>IF(AND(A45&gt;=$B$2,A45&lt;=$B$4),_xlfn.XLOOKUP(A329,'VMT Reduction Supporting'!A:A,'VMT Reduction Supporting'!C:C,,0),0)</f>
        <v>0</v>
      </c>
      <c r="E329" s="1042">
        <f>IF(AND(A45&gt;=$B$2,A45&lt;=$B$4),_xlfn.XLOOKUP(A329,'VMT Reduction Supporting'!A:A,'VMT Reduction Supporting'!F:F,,0),0)</f>
        <v>0</v>
      </c>
      <c r="F329" s="1042">
        <f t="shared" si="129"/>
        <v>0</v>
      </c>
      <c r="G329" s="1042">
        <f t="shared" si="130"/>
        <v>0</v>
      </c>
      <c r="H329" s="1103">
        <f t="shared" si="131"/>
        <v>0</v>
      </c>
      <c r="I329" s="1103">
        <f t="shared" si="132"/>
        <v>0</v>
      </c>
      <c r="J329" s="1103">
        <f t="shared" si="133"/>
        <v>0</v>
      </c>
      <c r="K329" s="1042">
        <f>IF(AND(A45&gt;=$B$2,A45&lt;=$B$4),_xlfn.XLOOKUP(A329,'VMT Reduction Supporting'!A:A,'VMT Reduction Supporting'!B:B,,0),0)</f>
        <v>0</v>
      </c>
      <c r="L329" s="1042">
        <f>IF(AND(A45&gt;=$B$2,A45&lt;=$B$4),_xlfn.XLOOKUP(A329,'VMT Reduction Supporting'!A:A,'VMT Reduction Supporting'!E:E,,0),0)</f>
        <v>0</v>
      </c>
      <c r="M329" s="1042">
        <f t="shared" si="134"/>
        <v>0</v>
      </c>
      <c r="N329" s="1042">
        <f t="shared" si="135"/>
        <v>0</v>
      </c>
      <c r="O329" s="1104">
        <f t="shared" si="136"/>
        <v>0</v>
      </c>
      <c r="P329" s="1104">
        <f t="shared" si="137"/>
        <v>0</v>
      </c>
      <c r="Q329" s="1104">
        <f t="shared" si="138"/>
        <v>0</v>
      </c>
      <c r="R329" s="1042">
        <f>IF(AND(A45&gt;=$B$2,A45&lt;=$B$4),_xlfn.XLOOKUP(A329,'Auto Idling Benefit - Fuel'!F:F,'Auto Idling Benefit - Fuel'!H:H,,0),0)</f>
        <v>0</v>
      </c>
      <c r="S329" s="1042">
        <f>IF(AND(A45&gt;=$B$2,A45&lt;=$B$4),_xlfn.XLOOKUP(A329,'Auto Idling Benefit - Fuel'!F:F,'Auto Idling Benefit - Fuel'!L:L,,0),0)</f>
        <v>0</v>
      </c>
      <c r="T329" s="1079">
        <f t="shared" si="139"/>
        <v>0</v>
      </c>
      <c r="U329" s="1048">
        <f t="shared" si="140"/>
        <v>0</v>
      </c>
      <c r="V329" s="1048">
        <f>IF(AND($A275&gt;=$B$3,$A275&lt;=$B$4),T329-U329,0)</f>
        <v>0</v>
      </c>
    </row>
    <row r="330" spans="1:25" outlineLevel="1">
      <c r="A330" s="1099">
        <f t="shared" si="128"/>
        <v>2055</v>
      </c>
      <c r="B330" s="1101">
        <f t="shared" si="124"/>
        <v>8.8870000000000008E-3</v>
      </c>
      <c r="C330" s="1102">
        <f t="shared" si="142"/>
        <v>34.15</v>
      </c>
      <c r="D330" s="1042">
        <f>IF(AND(A46&gt;=$B$2,A46&lt;=$B$4),_xlfn.XLOOKUP(A330,'VMT Reduction Supporting'!A:A,'VMT Reduction Supporting'!C:C,,0),0)</f>
        <v>0</v>
      </c>
      <c r="E330" s="1042">
        <f>IF(AND(A46&gt;=$B$2,A46&lt;=$B$4),_xlfn.XLOOKUP(A330,'VMT Reduction Supporting'!A:A,'VMT Reduction Supporting'!F:F,,0),0)</f>
        <v>0</v>
      </c>
      <c r="F330" s="1042">
        <f t="shared" si="129"/>
        <v>0</v>
      </c>
      <c r="G330" s="1042">
        <f t="shared" si="130"/>
        <v>0</v>
      </c>
      <c r="H330" s="1103">
        <f t="shared" si="131"/>
        <v>0</v>
      </c>
      <c r="I330" s="1103">
        <f t="shared" si="132"/>
        <v>0</v>
      </c>
      <c r="J330" s="1103">
        <f t="shared" si="133"/>
        <v>0</v>
      </c>
      <c r="K330" s="1042">
        <f>IF(AND(A46&gt;=$B$2,A46&lt;=$B$4),_xlfn.XLOOKUP(A330,'VMT Reduction Supporting'!A:A,'VMT Reduction Supporting'!B:B,,0),0)</f>
        <v>0</v>
      </c>
      <c r="L330" s="1042">
        <f>IF(AND(A46&gt;=$B$2,A46&lt;=$B$4),_xlfn.XLOOKUP(A330,'VMT Reduction Supporting'!A:A,'VMT Reduction Supporting'!E:E,,0),0)</f>
        <v>0</v>
      </c>
      <c r="M330" s="1042">
        <f t="shared" si="134"/>
        <v>0</v>
      </c>
      <c r="N330" s="1042">
        <f t="shared" si="135"/>
        <v>0</v>
      </c>
      <c r="O330" s="1104">
        <f t="shared" si="136"/>
        <v>0</v>
      </c>
      <c r="P330" s="1104">
        <f t="shared" si="137"/>
        <v>0</v>
      </c>
      <c r="Q330" s="1104">
        <f t="shared" si="138"/>
        <v>0</v>
      </c>
      <c r="R330" s="1042">
        <f>IF(AND(A46&gt;=$B$2,A46&lt;=$B$4),_xlfn.XLOOKUP(A330,'Auto Idling Benefit - Fuel'!F:F,'Auto Idling Benefit - Fuel'!H:H,,0),0)</f>
        <v>0</v>
      </c>
      <c r="S330" s="1042">
        <f>IF(AND(A46&gt;=$B$2,A46&lt;=$B$4),_xlfn.XLOOKUP(A330,'Auto Idling Benefit - Fuel'!F:F,'Auto Idling Benefit - Fuel'!L:L,,0),0)</f>
        <v>0</v>
      </c>
      <c r="T330" s="1079">
        <f t="shared" si="139"/>
        <v>0</v>
      </c>
      <c r="U330" s="1048">
        <f t="shared" si="140"/>
        <v>0</v>
      </c>
      <c r="V330" s="1048">
        <f t="shared" si="141"/>
        <v>0</v>
      </c>
    </row>
    <row r="331" spans="1:25" outlineLevel="1">
      <c r="A331" s="1099">
        <f t="shared" si="128"/>
        <v>2056</v>
      </c>
      <c r="B331" s="1101">
        <f t="shared" si="124"/>
        <v>8.8870000000000008E-3</v>
      </c>
      <c r="C331" s="1102">
        <f t="shared" si="142"/>
        <v>34.4</v>
      </c>
      <c r="D331" s="1042">
        <f>IF(AND(A47&gt;=$B$2,A47&lt;=$B$4),_xlfn.XLOOKUP(A331,'VMT Reduction Supporting'!A:A,'VMT Reduction Supporting'!C:C,,0),0)</f>
        <v>0</v>
      </c>
      <c r="E331" s="1042">
        <f>IF(AND(A47&gt;=$B$2,A47&lt;=$B$4),_xlfn.XLOOKUP(A331,'VMT Reduction Supporting'!A:A,'VMT Reduction Supporting'!F:F,,0),0)</f>
        <v>0</v>
      </c>
      <c r="F331" s="1042">
        <f t="shared" si="129"/>
        <v>0</v>
      </c>
      <c r="G331" s="1042">
        <f t="shared" si="130"/>
        <v>0</v>
      </c>
      <c r="H331" s="1103">
        <f t="shared" si="131"/>
        <v>0</v>
      </c>
      <c r="I331" s="1103">
        <f t="shared" si="132"/>
        <v>0</v>
      </c>
      <c r="J331" s="1103">
        <f t="shared" si="133"/>
        <v>0</v>
      </c>
      <c r="K331" s="1042">
        <f>IF(AND(A47&gt;=$B$2,A47&lt;=$B$4),_xlfn.XLOOKUP(A331,'VMT Reduction Supporting'!A:A,'VMT Reduction Supporting'!B:B,,0),0)</f>
        <v>0</v>
      </c>
      <c r="L331" s="1042">
        <f>IF(AND(A47&gt;=$B$2,A47&lt;=$B$4),_xlfn.XLOOKUP(A331,'VMT Reduction Supporting'!A:A,'VMT Reduction Supporting'!E:E,,0),0)</f>
        <v>0</v>
      </c>
      <c r="M331" s="1042">
        <f t="shared" si="134"/>
        <v>0</v>
      </c>
      <c r="N331" s="1042">
        <f t="shared" si="135"/>
        <v>0</v>
      </c>
      <c r="O331" s="1104">
        <f t="shared" si="136"/>
        <v>0</v>
      </c>
      <c r="P331" s="1104">
        <f t="shared" si="137"/>
        <v>0</v>
      </c>
      <c r="Q331" s="1104">
        <f t="shared" si="138"/>
        <v>0</v>
      </c>
      <c r="R331" s="1042">
        <f>IF(AND(A47&gt;=$B$2,A47&lt;=$B$4),_xlfn.XLOOKUP(A331,'Auto Idling Benefit - Fuel'!F:F,'Auto Idling Benefit - Fuel'!H:H,,0),0)</f>
        <v>0</v>
      </c>
      <c r="S331" s="1042">
        <f>IF(AND(A47&gt;=$B$2,A47&lt;=$B$4),_xlfn.XLOOKUP(A331,'Auto Idling Benefit - Fuel'!F:F,'Auto Idling Benefit - Fuel'!L:L,,0),0)</f>
        <v>0</v>
      </c>
      <c r="T331" s="1079">
        <f t="shared" si="139"/>
        <v>0</v>
      </c>
      <c r="U331" s="1048">
        <f t="shared" si="140"/>
        <v>0</v>
      </c>
      <c r="V331" s="1048">
        <f t="shared" si="141"/>
        <v>0</v>
      </c>
    </row>
    <row r="332" spans="1:25" outlineLevel="1">
      <c r="A332" s="1099">
        <f t="shared" si="128"/>
        <v>2057</v>
      </c>
      <c r="B332" s="1101">
        <f t="shared" si="124"/>
        <v>8.8870000000000008E-3</v>
      </c>
      <c r="C332" s="1102">
        <f t="shared" si="142"/>
        <v>34.65</v>
      </c>
      <c r="D332" s="1042">
        <f>IF(AND(A48&gt;=$B$2,A48&lt;=$B$4),_xlfn.XLOOKUP(A332,'VMT Reduction Supporting'!A:A,'VMT Reduction Supporting'!C:C,,0),0)</f>
        <v>0</v>
      </c>
      <c r="E332" s="1042">
        <f>IF(AND(A48&gt;=$B$2,A48&lt;=$B$4),_xlfn.XLOOKUP(A332,'VMT Reduction Supporting'!A:A,'VMT Reduction Supporting'!F:F,,0),0)</f>
        <v>0</v>
      </c>
      <c r="F332" s="1042">
        <f t="shared" si="129"/>
        <v>0</v>
      </c>
      <c r="G332" s="1042">
        <f t="shared" si="130"/>
        <v>0</v>
      </c>
      <c r="H332" s="1103">
        <f t="shared" si="131"/>
        <v>0</v>
      </c>
      <c r="I332" s="1103">
        <f t="shared" si="132"/>
        <v>0</v>
      </c>
      <c r="J332" s="1103">
        <f t="shared" si="133"/>
        <v>0</v>
      </c>
      <c r="K332" s="1042">
        <f>IF(AND(A48&gt;=$B$2,A48&lt;=$B$4),_xlfn.XLOOKUP(A332,'VMT Reduction Supporting'!A:A,'VMT Reduction Supporting'!B:B,,0),0)</f>
        <v>0</v>
      </c>
      <c r="L332" s="1042">
        <f>IF(AND(A48&gt;=$B$2,A48&lt;=$B$4),_xlfn.XLOOKUP(A332,'VMT Reduction Supporting'!A:A,'VMT Reduction Supporting'!E:E,,0),0)</f>
        <v>0</v>
      </c>
      <c r="M332" s="1042">
        <f t="shared" si="134"/>
        <v>0</v>
      </c>
      <c r="N332" s="1042">
        <f t="shared" si="135"/>
        <v>0</v>
      </c>
      <c r="O332" s="1104">
        <f t="shared" si="136"/>
        <v>0</v>
      </c>
      <c r="P332" s="1104">
        <f t="shared" si="137"/>
        <v>0</v>
      </c>
      <c r="Q332" s="1104">
        <f t="shared" si="138"/>
        <v>0</v>
      </c>
      <c r="R332" s="1042">
        <f>IF(AND(A48&gt;=$B$2,A48&lt;=$B$4),_xlfn.XLOOKUP(A332,'Auto Idling Benefit - Fuel'!F:F,'Auto Idling Benefit - Fuel'!H:H,,0),0)</f>
        <v>0</v>
      </c>
      <c r="S332" s="1042">
        <f>IF(AND(A48&gt;=$B$2,A48&lt;=$B$4),_xlfn.XLOOKUP(A332,'Auto Idling Benefit - Fuel'!F:F,'Auto Idling Benefit - Fuel'!L:L,,0),0)</f>
        <v>0</v>
      </c>
      <c r="T332" s="1079">
        <f t="shared" si="139"/>
        <v>0</v>
      </c>
      <c r="U332" s="1048">
        <f t="shared" si="140"/>
        <v>0</v>
      </c>
      <c r="V332" s="1048">
        <f t="shared" si="141"/>
        <v>0</v>
      </c>
    </row>
    <row r="333" spans="1:25" outlineLevel="1">
      <c r="A333" s="1099">
        <f t="shared" si="128"/>
        <v>2058</v>
      </c>
      <c r="B333" s="1101">
        <f t="shared" si="124"/>
        <v>8.8870000000000008E-3</v>
      </c>
      <c r="C333" s="1102">
        <f t="shared" si="142"/>
        <v>34.9</v>
      </c>
      <c r="D333" s="1042">
        <f>IF(AND(A49&gt;=$B$2,A49&lt;=$B$4),_xlfn.XLOOKUP(A333,'VMT Reduction Supporting'!A:A,'VMT Reduction Supporting'!C:C,,0),0)</f>
        <v>0</v>
      </c>
      <c r="E333" s="1042">
        <f>IF(AND(A49&gt;=$B$2,A49&lt;=$B$4),_xlfn.XLOOKUP(A333,'VMT Reduction Supporting'!A:A,'VMT Reduction Supporting'!F:F,,0),0)</f>
        <v>0</v>
      </c>
      <c r="F333" s="1042">
        <f t="shared" si="129"/>
        <v>0</v>
      </c>
      <c r="G333" s="1042">
        <f t="shared" si="130"/>
        <v>0</v>
      </c>
      <c r="H333" s="1103">
        <f t="shared" si="131"/>
        <v>0</v>
      </c>
      <c r="I333" s="1103">
        <f t="shared" si="132"/>
        <v>0</v>
      </c>
      <c r="J333" s="1103">
        <f t="shared" si="133"/>
        <v>0</v>
      </c>
      <c r="K333" s="1042">
        <f>IF(AND(A49&gt;=$B$2,A49&lt;=$B$4),_xlfn.XLOOKUP(A333,'VMT Reduction Supporting'!A:A,'VMT Reduction Supporting'!B:B,,0),0)</f>
        <v>0</v>
      </c>
      <c r="L333" s="1042">
        <f>IF(AND(A49&gt;=$B$2,A49&lt;=$B$4),_xlfn.XLOOKUP(A333,'VMT Reduction Supporting'!A:A,'VMT Reduction Supporting'!E:E,,0),0)</f>
        <v>0</v>
      </c>
      <c r="M333" s="1042">
        <f t="shared" si="134"/>
        <v>0</v>
      </c>
      <c r="N333" s="1042">
        <f t="shared" si="135"/>
        <v>0</v>
      </c>
      <c r="O333" s="1104">
        <f t="shared" si="136"/>
        <v>0</v>
      </c>
      <c r="P333" s="1104">
        <f t="shared" si="137"/>
        <v>0</v>
      </c>
      <c r="Q333" s="1104">
        <f t="shared" si="138"/>
        <v>0</v>
      </c>
      <c r="R333" s="1042">
        <f>IF(AND(A49&gt;=$B$2,A49&lt;=$B$4),_xlfn.XLOOKUP(A333,'Auto Idling Benefit - Fuel'!F:F,'Auto Idling Benefit - Fuel'!H:H,,0),0)</f>
        <v>0</v>
      </c>
      <c r="S333" s="1042">
        <f>IF(AND(A49&gt;=$B$2,A49&lt;=$B$4),_xlfn.XLOOKUP(A333,'Auto Idling Benefit - Fuel'!F:F,'Auto Idling Benefit - Fuel'!L:L,,0),0)</f>
        <v>0</v>
      </c>
      <c r="T333" s="1079">
        <f t="shared" si="139"/>
        <v>0</v>
      </c>
      <c r="U333" s="1048">
        <f t="shared" si="140"/>
        <v>0</v>
      </c>
      <c r="V333" s="1048">
        <f t="shared" si="141"/>
        <v>0</v>
      </c>
    </row>
    <row r="334" spans="1:25" outlineLevel="1">
      <c r="A334" s="1099">
        <f t="shared" si="128"/>
        <v>2059</v>
      </c>
      <c r="B334" s="1101">
        <f t="shared" si="124"/>
        <v>8.8870000000000008E-3</v>
      </c>
      <c r="C334" s="1102">
        <f t="shared" si="142"/>
        <v>35.15</v>
      </c>
      <c r="D334" s="1042">
        <f>IF(AND(A50&gt;=$B$2,A50&lt;=$B$4),_xlfn.XLOOKUP(A334,'VMT Reduction Supporting'!A:A,'VMT Reduction Supporting'!C:C,,0),0)</f>
        <v>0</v>
      </c>
      <c r="E334" s="1042">
        <f>IF(AND(A50&gt;=$B$2,A50&lt;=$B$4),_xlfn.XLOOKUP(A334,'VMT Reduction Supporting'!A:A,'VMT Reduction Supporting'!F:F,,0),0)</f>
        <v>0</v>
      </c>
      <c r="F334" s="1042">
        <f t="shared" si="129"/>
        <v>0</v>
      </c>
      <c r="G334" s="1042">
        <f t="shared" si="130"/>
        <v>0</v>
      </c>
      <c r="H334" s="1103">
        <f t="shared" si="131"/>
        <v>0</v>
      </c>
      <c r="I334" s="1103">
        <f t="shared" si="132"/>
        <v>0</v>
      </c>
      <c r="J334" s="1103">
        <f t="shared" si="133"/>
        <v>0</v>
      </c>
      <c r="K334" s="1042">
        <f>IF(AND(A50&gt;=$B$2,A50&lt;=$B$4),_xlfn.XLOOKUP(A334,'VMT Reduction Supporting'!A:A,'VMT Reduction Supporting'!B:B,,0),0)</f>
        <v>0</v>
      </c>
      <c r="L334" s="1042">
        <f>IF(AND(A50&gt;=$B$2,A50&lt;=$B$4),_xlfn.XLOOKUP(A334,'VMT Reduction Supporting'!A:A,'VMT Reduction Supporting'!E:E,,0),0)</f>
        <v>0</v>
      </c>
      <c r="M334" s="1042">
        <f t="shared" si="134"/>
        <v>0</v>
      </c>
      <c r="N334" s="1042">
        <f t="shared" si="135"/>
        <v>0</v>
      </c>
      <c r="O334" s="1104">
        <f t="shared" si="136"/>
        <v>0</v>
      </c>
      <c r="P334" s="1104">
        <f t="shared" si="137"/>
        <v>0</v>
      </c>
      <c r="Q334" s="1104">
        <f t="shared" si="138"/>
        <v>0</v>
      </c>
      <c r="R334" s="1042">
        <f>IF(AND(A50&gt;=$B$2,A50&lt;=$B$4),_xlfn.XLOOKUP(A334,'Auto Idling Benefit - Fuel'!F:F,'Auto Idling Benefit - Fuel'!H:H,,0),0)</f>
        <v>0</v>
      </c>
      <c r="S334" s="1042">
        <f>IF(AND(A50&gt;=$B$2,A50&lt;=$B$4),_xlfn.XLOOKUP(A334,'Auto Idling Benefit - Fuel'!F:F,'Auto Idling Benefit - Fuel'!L:L,,0),0)</f>
        <v>0</v>
      </c>
      <c r="T334" s="1079">
        <f t="shared" si="139"/>
        <v>0</v>
      </c>
      <c r="U334" s="1048">
        <f t="shared" si="140"/>
        <v>0</v>
      </c>
      <c r="V334" s="1048">
        <f t="shared" si="141"/>
        <v>0</v>
      </c>
    </row>
    <row r="335" spans="1:25" ht="13.8" outlineLevel="1" thickBot="1">
      <c r="A335" s="1105">
        <f t="shared" si="128"/>
        <v>2060</v>
      </c>
      <c r="B335" s="1106">
        <f t="shared" si="124"/>
        <v>8.8870000000000008E-3</v>
      </c>
      <c r="C335" s="1107">
        <f t="shared" si="142"/>
        <v>35.4</v>
      </c>
      <c r="D335" s="1042">
        <f>IF(AND(A51&gt;=$B$2,A51&lt;=$B$4),_xlfn.XLOOKUP(A335,'VMT Reduction Supporting'!A:A,'VMT Reduction Supporting'!C:C,,0),0)</f>
        <v>0</v>
      </c>
      <c r="E335" s="1042">
        <f>IF(AND(A51&gt;=$B$2,A51&lt;=$B$4),_xlfn.XLOOKUP(A335,'VMT Reduction Supporting'!A:A,'VMT Reduction Supporting'!F:F,,0),0)</f>
        <v>0</v>
      </c>
      <c r="F335" s="1108">
        <f t="shared" si="129"/>
        <v>0</v>
      </c>
      <c r="G335" s="1108">
        <f t="shared" si="130"/>
        <v>0</v>
      </c>
      <c r="H335" s="1109">
        <f t="shared" si="131"/>
        <v>0</v>
      </c>
      <c r="I335" s="1109">
        <f t="shared" si="132"/>
        <v>0</v>
      </c>
      <c r="J335" s="1109">
        <f t="shared" si="133"/>
        <v>0</v>
      </c>
      <c r="K335" s="1042">
        <f>IF(AND(A51&gt;=$B$2,A51&lt;=$B$4),_xlfn.XLOOKUP(A335,'VMT Reduction Supporting'!A:A,'VMT Reduction Supporting'!B:B,,0),0)</f>
        <v>0</v>
      </c>
      <c r="L335" s="1042">
        <f>IF(AND(A51&gt;=$B$2,A51&lt;=$B$4),_xlfn.XLOOKUP(A335,'VMT Reduction Supporting'!A:A,'VMT Reduction Supporting'!E:E,,0),0)</f>
        <v>0</v>
      </c>
      <c r="M335" s="1108">
        <f t="shared" si="134"/>
        <v>0</v>
      </c>
      <c r="N335" s="1108">
        <f t="shared" si="135"/>
        <v>0</v>
      </c>
      <c r="O335" s="1110">
        <f t="shared" si="136"/>
        <v>0</v>
      </c>
      <c r="P335" s="1110">
        <f t="shared" si="137"/>
        <v>0</v>
      </c>
      <c r="Q335" s="1110">
        <f t="shared" si="138"/>
        <v>0</v>
      </c>
      <c r="R335" s="1042">
        <f>IF(AND(A51&gt;=$B$2,A51&lt;=$B$4),_xlfn.XLOOKUP(A335,'Auto Idling Benefit - Fuel'!F:F,'Auto Idling Benefit - Fuel'!H:H,,0),0)</f>
        <v>0</v>
      </c>
      <c r="S335" s="1042">
        <f>IF(AND(A51&gt;=$B$2,A51&lt;=$B$4),_xlfn.XLOOKUP(A335,'Auto Idling Benefit - Fuel'!F:F,'Auto Idling Benefit - Fuel'!L:L,,0),0)</f>
        <v>0</v>
      </c>
      <c r="T335" s="1111">
        <f t="shared" si="139"/>
        <v>0</v>
      </c>
      <c r="U335" s="1112">
        <f t="shared" si="140"/>
        <v>0</v>
      </c>
      <c r="V335" s="1048">
        <f t="shared" si="141"/>
        <v>0</v>
      </c>
    </row>
    <row r="336" spans="1:25" ht="13.8" thickBot="1">
      <c r="A336" s="2117" t="s">
        <v>473</v>
      </c>
      <c r="B336" s="2117"/>
      <c r="C336" s="2118"/>
      <c r="D336" s="1080">
        <f>SUMIFS(D295:D335,$A295:$A335,"&gt;="&amp;$B$3,$A295:$A335,"&lt;="&amp;$B$4)</f>
        <v>38266.112417412827</v>
      </c>
      <c r="E336" s="1080">
        <f>SUMIFS(E295:E335,$A295:$A335,"&gt;="&amp;$B$3,$A295:$A335,"&lt;="&amp;$B$4)</f>
        <v>522970.20303797506</v>
      </c>
      <c r="F336" s="1080">
        <f>SUMIFS(F295:F335,$A295:$A335,"&gt;="&amp;$B$3,$A295:$A335,"&lt;="&amp;$B$4)</f>
        <v>1282.9455359013202</v>
      </c>
      <c r="G336" s="1113">
        <f>SUMIFS(G295:G335,$A295:$A335,"&gt;="&amp;$B$3,$A295:$A335,"&lt;="&amp;$B$4)</f>
        <v>17533.588990651369</v>
      </c>
      <c r="I336" s="1081" t="s">
        <v>7308</v>
      </c>
      <c r="J336" s="1082">
        <f>SUMIFS(J295:J335,$A295:$A335,"&gt;="&amp;$B$3,$A295:$A335,"&lt;="&amp;$B$4)</f>
        <v>144.4194683823637</v>
      </c>
      <c r="K336" s="1080">
        <f>SUMIFS(K295:K335,$A295:$A335,"&gt;="&amp;$B$3,$A295:$A335,"&lt;="&amp;$B$4)</f>
        <v>554858.63005248574</v>
      </c>
      <c r="L336" s="1080">
        <f t="shared" ref="L336:N336" si="143">SUMIFS(L295:L335,$A295:$A335,"&gt;="&amp;$B$3,$A295:$A335,"&lt;="&amp;$B$4)</f>
        <v>562180.27784661518</v>
      </c>
      <c r="M336" s="1080">
        <f t="shared" si="143"/>
        <v>18602.710270569136</v>
      </c>
      <c r="N336" s="1080">
        <f t="shared" si="143"/>
        <v>18849.106539657103</v>
      </c>
      <c r="P336" s="1081" t="s">
        <v>7308</v>
      </c>
      <c r="Q336" s="1083">
        <f>SUMIFS(Q295:Q335,$A295:$A335,"&gt;="&amp;$B$3,$A295:$A335,"&lt;="&amp;$B$4)</f>
        <v>2.1897236433847249</v>
      </c>
      <c r="R336" s="1114">
        <f t="shared" ref="R336:S336" si="144">SUMIFS(R295:R335,$A295:$A335,"&gt;="&amp;$B$3,$A295:$A335,"&lt;="&amp;$B$4)</f>
        <v>0</v>
      </c>
      <c r="S336" s="1114">
        <f t="shared" si="144"/>
        <v>0</v>
      </c>
      <c r="U336" s="1081" t="s">
        <v>7308</v>
      </c>
      <c r="V336" s="1085">
        <f>SUMIFS(V295:V335,$A295:$A335,"&gt;="&amp;$B$3,$A295:$A335,"&lt;="&amp;$B$4)</f>
        <v>0</v>
      </c>
    </row>
    <row r="337" spans="1:22" ht="13.8" thickBot="1">
      <c r="A337" s="2117" t="s">
        <v>7289</v>
      </c>
      <c r="B337" s="2117"/>
      <c r="C337" s="2118"/>
      <c r="D337" s="1087">
        <f>AVERAGEIFS(D295:D335,$A295:$A335,"&gt;="&amp;$B$3,$A295:$A335,"&lt;="&amp;$B$4)</f>
        <v>1471.773554515878</v>
      </c>
      <c r="E337" s="1087">
        <f>AVERAGEIFS(E295:E335,$A295:$A335,"&gt;="&amp;$B$3,$A295:$A335,"&lt;="&amp;$B$4)</f>
        <v>20114.238578383658</v>
      </c>
      <c r="F337" s="1087">
        <f>AVERAGEIFS(F295:F335,$A295:$A335,"&gt;="&amp;$B$3,$A295:$A335,"&lt;="&amp;$B$4)</f>
        <v>49.344059073127703</v>
      </c>
      <c r="G337" s="1042">
        <f>AVERAGEIFS(G295:G335,$A295:$A335,"&gt;="&amp;$B$3,$A295:$A335,"&lt;="&amp;$B$4)</f>
        <v>674.36880733274495</v>
      </c>
      <c r="J337" s="1088">
        <f>AVERAGEIFS(J295:J335,$A295:$A335,"&gt;="&amp;$B$3,$A295:$A335,"&lt;="&amp;$B$4)</f>
        <v>5.5545949377832198</v>
      </c>
      <c r="K337" s="1087">
        <f>AVERAGEIFS(K295:K335,$A295:$A335,"&gt;="&amp;$B$3,$A295:$A335,"&lt;="&amp;$B$4)</f>
        <v>21340.716540480222</v>
      </c>
      <c r="L337" s="1087">
        <f t="shared" ref="L337" si="145">AVERAGEIFS(L295:L335,$A295:$A335,"&gt;="&amp;$B$3,$A295:$A335,"&lt;="&amp;$B$4)</f>
        <v>21622.318378715969</v>
      </c>
      <c r="M337" s="1087">
        <f>AVERAGEIFS(M295:M335,$A295:$A335,"&gt;="&amp;$B$3,$A295:$A335,"&lt;="&amp;$B$4)</f>
        <v>715.48885656035134</v>
      </c>
      <c r="N337" s="1087">
        <f>AVERAGEIFS(N295:N335,$A295:$A335,"&gt;="&amp;$B$3,$A295:$A335,"&lt;="&amp;$B$4)</f>
        <v>724.96563614065781</v>
      </c>
      <c r="Q337" s="1083">
        <f>AVERAGEIFS(Q295:Q335,$A296:$A336,"&gt;="&amp;$B$3,$A296:$A336,"&lt;="&amp;$B$4)</f>
        <v>8.0284077327416853E-2</v>
      </c>
      <c r="R337" s="1114">
        <f>AVERAGEIFS(R295:R335,$A296:$A336,"&gt;="&amp;$B$3,$A296:$A336,"&lt;="&amp;$B$4)</f>
        <v>0</v>
      </c>
      <c r="S337" s="1114">
        <f>AVERAGEIFS(S295:S335,$A296:$A336,"&gt;="&amp;$B$3,$A296:$A336,"&lt;="&amp;$B$4)</f>
        <v>0</v>
      </c>
      <c r="V337" s="1091">
        <f>AVERAGEIFS(V295:V335,$A296:$A336,"&gt;="&amp;$B$3,$A296:$A336,"&lt;="&amp;$B$4)</f>
        <v>0</v>
      </c>
    </row>
    <row r="338" spans="1:22" ht="13.8" thickBot="1">
      <c r="A338" s="1049"/>
      <c r="B338" s="1049"/>
      <c r="C338" s="1049"/>
    </row>
    <row r="339" spans="1:22">
      <c r="A339" s="1092" t="str">
        <f>A292</f>
        <v>CO2</v>
      </c>
      <c r="B339" s="1093" t="s">
        <v>7309</v>
      </c>
      <c r="C339" s="1093"/>
      <c r="D339" s="1094" t="s">
        <v>7310</v>
      </c>
      <c r="E339" s="2119" t="s">
        <v>7311</v>
      </c>
      <c r="F339" s="2119"/>
      <c r="G339" s="2119"/>
      <c r="H339" s="2119"/>
      <c r="I339" s="2119"/>
      <c r="J339" s="2119"/>
      <c r="K339" s="2123"/>
    </row>
    <row r="340" spans="1:22">
      <c r="A340" s="2115" t="s">
        <v>510</v>
      </c>
      <c r="B340" s="1095" t="s">
        <v>7312</v>
      </c>
      <c r="C340" s="1095" t="s">
        <v>7310</v>
      </c>
      <c r="D340" s="1095" t="s">
        <v>7304</v>
      </c>
      <c r="E340" s="1058" t="s">
        <v>66</v>
      </c>
      <c r="F340" s="1058" t="s">
        <v>131</v>
      </c>
      <c r="G340" s="1058" t="s">
        <v>66</v>
      </c>
      <c r="H340" s="1058" t="s">
        <v>131</v>
      </c>
      <c r="I340" s="1115" t="s">
        <v>487</v>
      </c>
      <c r="J340" s="1115" t="s">
        <v>131</v>
      </c>
      <c r="K340" s="1116" t="s">
        <v>7296</v>
      </c>
    </row>
    <row r="341" spans="1:22" ht="66">
      <c r="A341" s="2116"/>
      <c r="B341" s="1100" t="s">
        <v>7305</v>
      </c>
      <c r="C341" s="1100" t="s">
        <v>7313</v>
      </c>
      <c r="D341" s="1100" t="s">
        <v>7306</v>
      </c>
      <c r="E341" s="1068" t="s">
        <v>7298</v>
      </c>
      <c r="F341" s="1068" t="s">
        <v>7298</v>
      </c>
      <c r="G341" s="1068" t="s">
        <v>7307</v>
      </c>
      <c r="H341" s="1068" t="s">
        <v>7307</v>
      </c>
      <c r="I341" s="1117" t="s">
        <v>7299</v>
      </c>
      <c r="J341" s="1117" t="s">
        <v>7299</v>
      </c>
      <c r="K341" s="1116" t="s">
        <v>7300</v>
      </c>
    </row>
    <row r="342" spans="1:22" outlineLevel="1">
      <c r="A342" s="1099">
        <f>A11</f>
        <v>2020</v>
      </c>
      <c r="B342" s="1101">
        <f t="shared" ref="B342:B382" si="146">8.887*(10^-3)</f>
        <v>8.8870000000000008E-3</v>
      </c>
      <c r="C342" s="1118">
        <f t="shared" ref="C342:C382" si="147">10.18*(10^-3)</f>
        <v>1.018E-2</v>
      </c>
      <c r="D342" s="1102">
        <f>3.4</f>
        <v>3.4</v>
      </c>
      <c r="E342" s="1042">
        <f>IF(AND(A11&gt;=$B$2,A11&lt;=$B$4),_xlfn.XLOOKUP(A342,'VMT Reduction Supporting'!A:A,'VMT Reduction Supporting'!D:D,,0),0)</f>
        <v>0</v>
      </c>
      <c r="F342" s="1042">
        <f>IF(AND(A11&gt;=$B$2,A11&lt;=$B$4),_xlfn.XLOOKUP(A342,'VMT Reduction Supporting'!A:A,'VMT Reduction Supporting'!G:G,,0),0)</f>
        <v>0</v>
      </c>
      <c r="G342" s="1042">
        <f t="shared" ref="G342" si="148">E342/D342</f>
        <v>0</v>
      </c>
      <c r="H342" s="1042">
        <f t="shared" ref="H342" si="149">F342/D342</f>
        <v>0</v>
      </c>
      <c r="I342" s="1119">
        <f t="shared" ref="I342:J342" si="150">IF($D$339=$C$340,($C342*G342),($B342*G342))</f>
        <v>0</v>
      </c>
      <c r="J342" s="1119">
        <f t="shared" si="150"/>
        <v>0</v>
      </c>
      <c r="K342" s="1120">
        <f>IF(AND($A342&gt;=$B$2,$A342&lt;=$B$4),J342-I342,0)</f>
        <v>0</v>
      </c>
    </row>
    <row r="343" spans="1:22" outlineLevel="1">
      <c r="A343" s="1099">
        <f t="shared" ref="A343:A382" si="151">A12</f>
        <v>2021</v>
      </c>
      <c r="B343" s="1101">
        <f t="shared" si="146"/>
        <v>8.8870000000000008E-3</v>
      </c>
      <c r="C343" s="1118">
        <f t="shared" si="147"/>
        <v>1.018E-2</v>
      </c>
      <c r="D343" s="1102">
        <f t="shared" ref="D343:D382" si="152">D342+0.05</f>
        <v>3.4499999999999997</v>
      </c>
      <c r="E343" s="1042">
        <f>IF(AND(A12&gt;=$B$2,A12&lt;=$B$4),_xlfn.XLOOKUP(A343,'VMT Reduction Supporting'!A:A,'VMT Reduction Supporting'!D:D,,0),0)</f>
        <v>0</v>
      </c>
      <c r="F343" s="1042">
        <f>IF(AND(A12&gt;=$B$2,A12&lt;=$B$4),_xlfn.XLOOKUP(A343,'VMT Reduction Supporting'!A:A,'VMT Reduction Supporting'!G:G,,0),0)</f>
        <v>0</v>
      </c>
      <c r="G343" s="1042">
        <f t="shared" ref="G343:G382" si="153">E343/D343</f>
        <v>0</v>
      </c>
      <c r="H343" s="1042">
        <f t="shared" ref="H343:H382" si="154">F343/D343</f>
        <v>0</v>
      </c>
      <c r="I343" s="1119">
        <f t="shared" ref="I343:I382" si="155">IF($D$339=$C$340,($C343*G343),($B343*G343))</f>
        <v>0</v>
      </c>
      <c r="J343" s="1119">
        <f t="shared" ref="J343:J382" si="156">IF($D$339=$C$340,($C343*H343),($B343*H343))</f>
        <v>0</v>
      </c>
      <c r="K343" s="1120">
        <f t="shared" ref="K343:K382" si="157">IF(AND($A343&gt;=$B$2,$A343&lt;=$B$4),J343-I343,0)</f>
        <v>0</v>
      </c>
    </row>
    <row r="344" spans="1:22" outlineLevel="1">
      <c r="A344" s="1099">
        <f t="shared" si="151"/>
        <v>2022</v>
      </c>
      <c r="B344" s="1101">
        <f t="shared" si="146"/>
        <v>8.8870000000000008E-3</v>
      </c>
      <c r="C344" s="1118">
        <f t="shared" si="147"/>
        <v>1.018E-2</v>
      </c>
      <c r="D344" s="1102">
        <f t="shared" si="152"/>
        <v>3.4999999999999996</v>
      </c>
      <c r="E344" s="1042">
        <f>IF(AND(A13&gt;=$B$2,A13&lt;=$B$4),_xlfn.XLOOKUP(A344,'VMT Reduction Supporting'!A:A,'VMT Reduction Supporting'!D:D,,0),0)</f>
        <v>0</v>
      </c>
      <c r="F344" s="1042">
        <f>IF(AND(A13&gt;=$B$2,A13&lt;=$B$4),_xlfn.XLOOKUP(A344,'VMT Reduction Supporting'!A:A,'VMT Reduction Supporting'!G:G,,0),0)</f>
        <v>0</v>
      </c>
      <c r="G344" s="1042">
        <f t="shared" si="153"/>
        <v>0</v>
      </c>
      <c r="H344" s="1042">
        <f t="shared" si="154"/>
        <v>0</v>
      </c>
      <c r="I344" s="1119">
        <f t="shared" si="155"/>
        <v>0</v>
      </c>
      <c r="J344" s="1119">
        <f t="shared" si="156"/>
        <v>0</v>
      </c>
      <c r="K344" s="1120">
        <f t="shared" si="157"/>
        <v>0</v>
      </c>
    </row>
    <row r="345" spans="1:22" outlineLevel="1">
      <c r="A345" s="1099">
        <f t="shared" si="151"/>
        <v>2023</v>
      </c>
      <c r="B345" s="1101">
        <f t="shared" si="146"/>
        <v>8.8870000000000008E-3</v>
      </c>
      <c r="C345" s="1118">
        <f t="shared" si="147"/>
        <v>1.018E-2</v>
      </c>
      <c r="D345" s="1102">
        <f t="shared" si="152"/>
        <v>3.5499999999999994</v>
      </c>
      <c r="E345" s="1042">
        <f>IF(AND(A14&gt;=$B$2,A14&lt;=$B$4),_xlfn.XLOOKUP(A345,'VMT Reduction Supporting'!A:A,'VMT Reduction Supporting'!D:D,,0),0)</f>
        <v>0</v>
      </c>
      <c r="F345" s="1042">
        <f>IF(AND(A14&gt;=$B$2,A14&lt;=$B$4),_xlfn.XLOOKUP(A345,'VMT Reduction Supporting'!A:A,'VMT Reduction Supporting'!G:G,,0),0)</f>
        <v>0</v>
      </c>
      <c r="G345" s="1042">
        <f t="shared" si="153"/>
        <v>0</v>
      </c>
      <c r="H345" s="1042">
        <f t="shared" si="154"/>
        <v>0</v>
      </c>
      <c r="I345" s="1119">
        <f t="shared" si="155"/>
        <v>0</v>
      </c>
      <c r="J345" s="1119">
        <f t="shared" si="156"/>
        <v>0</v>
      </c>
      <c r="K345" s="1120">
        <f t="shared" si="157"/>
        <v>0</v>
      </c>
    </row>
    <row r="346" spans="1:22" outlineLevel="1">
      <c r="A346" s="1099">
        <f t="shared" si="151"/>
        <v>2024</v>
      </c>
      <c r="B346" s="1101">
        <f t="shared" si="146"/>
        <v>8.8870000000000008E-3</v>
      </c>
      <c r="C346" s="1118">
        <f t="shared" si="147"/>
        <v>1.018E-2</v>
      </c>
      <c r="D346" s="1102">
        <f t="shared" si="152"/>
        <v>3.5999999999999992</v>
      </c>
      <c r="E346" s="1042">
        <f>IF(AND(A15&gt;=$B$2,A15&lt;=$B$4),_xlfn.XLOOKUP(A346,'VMT Reduction Supporting'!A:A,'VMT Reduction Supporting'!D:D,,0),0)</f>
        <v>0</v>
      </c>
      <c r="F346" s="1042">
        <f>IF(AND(A15&gt;=$B$2,A15&lt;=$B$4),_xlfn.XLOOKUP(A346,'VMT Reduction Supporting'!A:A,'VMT Reduction Supporting'!G:G,,0),0)</f>
        <v>0</v>
      </c>
      <c r="G346" s="1042">
        <f t="shared" si="153"/>
        <v>0</v>
      </c>
      <c r="H346" s="1042">
        <f t="shared" si="154"/>
        <v>0</v>
      </c>
      <c r="I346" s="1119">
        <f t="shared" si="155"/>
        <v>0</v>
      </c>
      <c r="J346" s="1119">
        <f t="shared" si="156"/>
        <v>0</v>
      </c>
      <c r="K346" s="1120">
        <f t="shared" si="157"/>
        <v>0</v>
      </c>
    </row>
    <row r="347" spans="1:22" outlineLevel="1">
      <c r="A347" s="1099">
        <f t="shared" si="151"/>
        <v>2025</v>
      </c>
      <c r="B347" s="1101">
        <f t="shared" si="146"/>
        <v>8.8870000000000008E-3</v>
      </c>
      <c r="C347" s="1118">
        <f t="shared" si="147"/>
        <v>1.018E-2</v>
      </c>
      <c r="D347" s="1102">
        <f t="shared" si="152"/>
        <v>3.649999999999999</v>
      </c>
      <c r="E347" s="1042">
        <f>IF(AND(A16&gt;=$B$2,A16&lt;=$B$4),_xlfn.XLOOKUP(A347,'VMT Reduction Supporting'!A:A,'VMT Reduction Supporting'!D:D,,0),0)</f>
        <v>0</v>
      </c>
      <c r="F347" s="1042">
        <f>IF(AND(A16&gt;=$B$2,A16&lt;=$B$4),_xlfn.XLOOKUP(A347,'VMT Reduction Supporting'!A:A,'VMT Reduction Supporting'!G:G,,0),0)</f>
        <v>0</v>
      </c>
      <c r="G347" s="1042">
        <f t="shared" si="153"/>
        <v>0</v>
      </c>
      <c r="H347" s="1042">
        <f t="shared" si="154"/>
        <v>0</v>
      </c>
      <c r="I347" s="1119">
        <f t="shared" si="155"/>
        <v>0</v>
      </c>
      <c r="J347" s="1119">
        <f t="shared" si="156"/>
        <v>0</v>
      </c>
      <c r="K347" s="1120">
        <f t="shared" si="157"/>
        <v>0</v>
      </c>
    </row>
    <row r="348" spans="1:22" outlineLevel="1">
      <c r="A348" s="1099">
        <f t="shared" si="151"/>
        <v>2026</v>
      </c>
      <c r="B348" s="1101">
        <f t="shared" si="146"/>
        <v>8.8870000000000008E-3</v>
      </c>
      <c r="C348" s="1118">
        <f t="shared" si="147"/>
        <v>1.018E-2</v>
      </c>
      <c r="D348" s="1102">
        <f t="shared" si="152"/>
        <v>3.6999999999999988</v>
      </c>
      <c r="E348" s="1042">
        <f>IF(AND(A17&gt;=$B$2,A17&lt;=$B$4),_xlfn.XLOOKUP(A348,'VMT Reduction Supporting'!A:A,'VMT Reduction Supporting'!D:D,,0),0)</f>
        <v>0</v>
      </c>
      <c r="F348" s="1042">
        <f>IF(AND(A17&gt;=$B$2,A17&lt;=$B$4),_xlfn.XLOOKUP(A348,'VMT Reduction Supporting'!A:A,'VMT Reduction Supporting'!G:G,,0),0)</f>
        <v>0</v>
      </c>
      <c r="G348" s="1042">
        <f t="shared" si="153"/>
        <v>0</v>
      </c>
      <c r="H348" s="1042">
        <f t="shared" si="154"/>
        <v>0</v>
      </c>
      <c r="I348" s="1119">
        <f t="shared" si="155"/>
        <v>0</v>
      </c>
      <c r="J348" s="1119">
        <f t="shared" si="156"/>
        <v>0</v>
      </c>
      <c r="K348" s="1120">
        <f t="shared" si="157"/>
        <v>0</v>
      </c>
    </row>
    <row r="349" spans="1:22" outlineLevel="1">
      <c r="A349" s="1099">
        <f t="shared" si="151"/>
        <v>2027</v>
      </c>
      <c r="B349" s="1101">
        <f t="shared" si="146"/>
        <v>8.8870000000000008E-3</v>
      </c>
      <c r="C349" s="1118">
        <f t="shared" si="147"/>
        <v>1.018E-2</v>
      </c>
      <c r="D349" s="1102">
        <f t="shared" si="152"/>
        <v>3.7499999999999987</v>
      </c>
      <c r="E349" s="1042">
        <f>IF(AND(A18&gt;=$B$2,A18&lt;=$B$4),_xlfn.XLOOKUP(A349,'VMT Reduction Supporting'!A:A,'VMT Reduction Supporting'!D:D,,0),0)</f>
        <v>0</v>
      </c>
      <c r="F349" s="1042">
        <f>IF(AND(A18&gt;=$B$2,A18&lt;=$B$4),_xlfn.XLOOKUP(A349,'VMT Reduction Supporting'!A:A,'VMT Reduction Supporting'!G:G,,0),0)</f>
        <v>0</v>
      </c>
      <c r="G349" s="1042">
        <f t="shared" si="153"/>
        <v>0</v>
      </c>
      <c r="H349" s="1042">
        <f t="shared" si="154"/>
        <v>0</v>
      </c>
      <c r="I349" s="1119">
        <f t="shared" si="155"/>
        <v>0</v>
      </c>
      <c r="J349" s="1119">
        <f t="shared" si="156"/>
        <v>0</v>
      </c>
      <c r="K349" s="1120">
        <f t="shared" si="157"/>
        <v>0</v>
      </c>
    </row>
    <row r="350" spans="1:22" outlineLevel="1">
      <c r="A350" s="1099">
        <f t="shared" si="151"/>
        <v>2028</v>
      </c>
      <c r="B350" s="1101">
        <f t="shared" si="146"/>
        <v>8.8870000000000008E-3</v>
      </c>
      <c r="C350" s="1118">
        <f t="shared" si="147"/>
        <v>1.018E-2</v>
      </c>
      <c r="D350" s="1102">
        <f t="shared" si="152"/>
        <v>3.7999999999999985</v>
      </c>
      <c r="E350" s="1042">
        <f>IF(AND(A19&gt;=$B$2,A19&lt;=$B$4),_xlfn.XLOOKUP(A350,'VMT Reduction Supporting'!A:A,'VMT Reduction Supporting'!D:D,,0),0)</f>
        <v>99567.464200691262</v>
      </c>
      <c r="F350" s="1042">
        <f>IF(AND(A19&gt;=$B$2,A19&lt;=$B$4),_xlfn.XLOOKUP(A350,'VMT Reduction Supporting'!A:A,'VMT Reduction Supporting'!G:G,,0),0)</f>
        <v>112411.66708258043</v>
      </c>
      <c r="G350" s="1042">
        <f t="shared" si="153"/>
        <v>26201.964263339814</v>
      </c>
      <c r="H350" s="1042">
        <f t="shared" si="154"/>
        <v>29582.017653310653</v>
      </c>
      <c r="I350" s="1119">
        <f t="shared" si="155"/>
        <v>266.73599620079932</v>
      </c>
      <c r="J350" s="1119">
        <f t="shared" si="156"/>
        <v>301.14493971070243</v>
      </c>
      <c r="K350" s="1120">
        <f t="shared" si="157"/>
        <v>34.408943509903111</v>
      </c>
    </row>
    <row r="351" spans="1:22" outlineLevel="1">
      <c r="A351" s="1099">
        <f t="shared" si="151"/>
        <v>2029</v>
      </c>
      <c r="B351" s="1101">
        <f t="shared" si="146"/>
        <v>8.8870000000000008E-3</v>
      </c>
      <c r="C351" s="1118">
        <f t="shared" si="147"/>
        <v>1.018E-2</v>
      </c>
      <c r="D351" s="1102">
        <f t="shared" si="152"/>
        <v>3.8499999999999983</v>
      </c>
      <c r="E351" s="1042">
        <f>IF(AND(A20&gt;=$B$2,A20&lt;=$B$4),_xlfn.XLOOKUP(A351,'VMT Reduction Supporting'!A:A,'VMT Reduction Supporting'!D:D,,0),0)</f>
        <v>99956.18820362819</v>
      </c>
      <c r="F351" s="1042">
        <f>IF(AND(A20&gt;=$B$2,A20&lt;=$B$4),_xlfn.XLOOKUP(A351,'VMT Reduction Supporting'!A:A,'VMT Reduction Supporting'!G:G,,0),0)</f>
        <v>112850.53648189623</v>
      </c>
      <c r="G351" s="1042">
        <f t="shared" si="153"/>
        <v>25962.646286656684</v>
      </c>
      <c r="H351" s="1042">
        <f t="shared" si="154"/>
        <v>29311.827657635396</v>
      </c>
      <c r="I351" s="1119">
        <f t="shared" si="155"/>
        <v>264.29973919816501</v>
      </c>
      <c r="J351" s="1119">
        <f t="shared" si="156"/>
        <v>298.39440555472834</v>
      </c>
      <c r="K351" s="1120">
        <f t="shared" si="157"/>
        <v>34.094666356563323</v>
      </c>
    </row>
    <row r="352" spans="1:22" outlineLevel="1">
      <c r="A352" s="1099">
        <f t="shared" si="151"/>
        <v>2030</v>
      </c>
      <c r="B352" s="1101">
        <f t="shared" si="146"/>
        <v>8.8870000000000008E-3</v>
      </c>
      <c r="C352" s="1118">
        <f t="shared" si="147"/>
        <v>1.018E-2</v>
      </c>
      <c r="D352" s="1102">
        <f t="shared" si="152"/>
        <v>3.8999999999999981</v>
      </c>
      <c r="E352" s="1042">
        <f>IF(AND(A21&gt;=$B$2,A21&lt;=$B$4),_xlfn.XLOOKUP(A352,'VMT Reduction Supporting'!A:A,'VMT Reduction Supporting'!D:D,,0),0)</f>
        <v>100346.42983435321</v>
      </c>
      <c r="F352" s="1042">
        <f>IF(AND(A21&gt;=$B$2,A21&lt;=$B$4),_xlfn.XLOOKUP(A352,'VMT Reduction Supporting'!A:A,'VMT Reduction Supporting'!G:G,,0),0)</f>
        <v>113291.11928298477</v>
      </c>
      <c r="G352" s="1042">
        <f t="shared" si="153"/>
        <v>25729.853803680322</v>
      </c>
      <c r="H352" s="1042">
        <f t="shared" si="154"/>
        <v>29049.004944355085</v>
      </c>
      <c r="I352" s="1119">
        <f t="shared" si="155"/>
        <v>261.92991172146566</v>
      </c>
      <c r="J352" s="1119">
        <f t="shared" si="156"/>
        <v>295.71887033353477</v>
      </c>
      <c r="K352" s="1120">
        <f t="shared" si="157"/>
        <v>33.788958612069109</v>
      </c>
    </row>
    <row r="353" spans="1:11" outlineLevel="1">
      <c r="A353" s="1099">
        <f t="shared" si="151"/>
        <v>2031</v>
      </c>
      <c r="B353" s="1101">
        <f t="shared" si="146"/>
        <v>8.8870000000000008E-3</v>
      </c>
      <c r="C353" s="1118">
        <f t="shared" si="147"/>
        <v>1.018E-2</v>
      </c>
      <c r="D353" s="1102">
        <f t="shared" si="152"/>
        <v>3.949999999999998</v>
      </c>
      <c r="E353" s="1042">
        <f>IF(AND(A22&gt;=$B$2,A22&lt;=$B$4),_xlfn.XLOOKUP(A353,'VMT Reduction Supporting'!A:A,'VMT Reduction Supporting'!D:D,,0),0)</f>
        <v>100738.19501787757</v>
      </c>
      <c r="F353" s="1042">
        <f>IF(AND(A22&gt;=$B$2,A22&lt;=$B$4),_xlfn.XLOOKUP(A353,'VMT Reduction Supporting'!A:A,'VMT Reduction Supporting'!G:G,,0),0)</f>
        <v>113733.42217518379</v>
      </c>
      <c r="G353" s="1042">
        <f t="shared" si="153"/>
        <v>25503.340510855094</v>
      </c>
      <c r="H353" s="1042">
        <f t="shared" si="154"/>
        <v>28793.271436755404</v>
      </c>
      <c r="I353" s="1119">
        <f t="shared" si="155"/>
        <v>259.62400640050487</v>
      </c>
      <c r="J353" s="1119">
        <f t="shared" si="156"/>
        <v>293.11550322617001</v>
      </c>
      <c r="K353" s="1120">
        <f t="shared" si="157"/>
        <v>33.491496825665138</v>
      </c>
    </row>
    <row r="354" spans="1:11" outlineLevel="1">
      <c r="A354" s="1099">
        <f t="shared" si="151"/>
        <v>2032</v>
      </c>
      <c r="B354" s="1101">
        <f t="shared" si="146"/>
        <v>8.8870000000000008E-3</v>
      </c>
      <c r="C354" s="1118">
        <f t="shared" si="147"/>
        <v>1.018E-2</v>
      </c>
      <c r="D354" s="1102">
        <f t="shared" si="152"/>
        <v>3.9999999999999978</v>
      </c>
      <c r="E354" s="1042">
        <f>IF(AND(A23&gt;=$B$2,A23&lt;=$B$4),_xlfn.XLOOKUP(A354,'VMT Reduction Supporting'!A:A,'VMT Reduction Supporting'!D:D,,0),0)</f>
        <v>101131.48970234458</v>
      </c>
      <c r="F354" s="1042">
        <f>IF(AND(A23&gt;=$B$2,A23&lt;=$B$4),_xlfn.XLOOKUP(A354,'VMT Reduction Supporting'!A:A,'VMT Reduction Supporting'!G:G,,0),0)</f>
        <v>114177.45187394704</v>
      </c>
      <c r="G354" s="1042">
        <f t="shared" si="153"/>
        <v>25282.87242558616</v>
      </c>
      <c r="H354" s="1042">
        <f t="shared" si="154"/>
        <v>28544.362968486774</v>
      </c>
      <c r="I354" s="1119">
        <f t="shared" si="155"/>
        <v>257.37964129246711</v>
      </c>
      <c r="J354" s="1119">
        <f t="shared" si="156"/>
        <v>290.58161501919534</v>
      </c>
      <c r="K354" s="1120">
        <f t="shared" si="157"/>
        <v>33.201973726728227</v>
      </c>
    </row>
    <row r="355" spans="1:11" outlineLevel="1">
      <c r="A355" s="1099">
        <f t="shared" si="151"/>
        <v>2033</v>
      </c>
      <c r="B355" s="1101">
        <f t="shared" si="146"/>
        <v>8.8870000000000008E-3</v>
      </c>
      <c r="C355" s="1118">
        <f t="shared" si="147"/>
        <v>1.018E-2</v>
      </c>
      <c r="D355" s="1102">
        <f t="shared" si="152"/>
        <v>4.049999999999998</v>
      </c>
      <c r="E355" s="1042">
        <f>IF(AND(A24&gt;=$B$2,A24&lt;=$B$4),_xlfn.XLOOKUP(A355,'VMT Reduction Supporting'!A:A,'VMT Reduction Supporting'!D:D,,0),0)</f>
        <v>101526.31985911982</v>
      </c>
      <c r="F355" s="1042">
        <f>IF(AND(A24&gt;=$B$2,A24&lt;=$B$4),_xlfn.XLOOKUP(A355,'VMT Reduction Supporting'!A:A,'VMT Reduction Supporting'!G:G,,0),0)</f>
        <v>114623.21512094629</v>
      </c>
      <c r="G355" s="1042">
        <f t="shared" si="153"/>
        <v>25068.22712570861</v>
      </c>
      <c r="H355" s="1042">
        <f t="shared" si="154"/>
        <v>28302.028424925025</v>
      </c>
      <c r="I355" s="1119">
        <f t="shared" si="155"/>
        <v>255.19455213971364</v>
      </c>
      <c r="J355" s="1119">
        <f t="shared" si="156"/>
        <v>288.11464936573674</v>
      </c>
      <c r="K355" s="1120">
        <f t="shared" si="157"/>
        <v>32.920097226023103</v>
      </c>
    </row>
    <row r="356" spans="1:11" outlineLevel="1">
      <c r="A356" s="1099">
        <f t="shared" si="151"/>
        <v>2034</v>
      </c>
      <c r="B356" s="1101">
        <f t="shared" si="146"/>
        <v>8.8870000000000008E-3</v>
      </c>
      <c r="C356" s="1118">
        <f t="shared" si="147"/>
        <v>1.018E-2</v>
      </c>
      <c r="D356" s="1102">
        <f t="shared" si="152"/>
        <v>4.0999999999999979</v>
      </c>
      <c r="E356" s="1042">
        <f>IF(AND(A25&gt;=$B$2,A25&lt;=$B$4),_xlfn.XLOOKUP(A356,'VMT Reduction Supporting'!A:A,'VMT Reduction Supporting'!D:D,,0),0)</f>
        <v>101922.69148288181</v>
      </c>
      <c r="F356" s="1042">
        <f>IF(AND(A25&gt;=$B$2,A25&lt;=$B$4),_xlfn.XLOOKUP(A356,'VMT Reduction Supporting'!A:A,'VMT Reduction Supporting'!G:G,,0),0)</f>
        <v>115070.71868417358</v>
      </c>
      <c r="G356" s="1042">
        <f t="shared" si="153"/>
        <v>24859.193044605334</v>
      </c>
      <c r="H356" s="1042">
        <f t="shared" si="154"/>
        <v>28066.028947359424</v>
      </c>
      <c r="I356" s="1119">
        <f t="shared" si="155"/>
        <v>253.06658519408231</v>
      </c>
      <c r="J356" s="1119">
        <f t="shared" si="156"/>
        <v>285.71217468411891</v>
      </c>
      <c r="K356" s="1120">
        <f t="shared" si="157"/>
        <v>32.645589490036599</v>
      </c>
    </row>
    <row r="357" spans="1:11" outlineLevel="1">
      <c r="A357" s="1099">
        <f t="shared" si="151"/>
        <v>2035</v>
      </c>
      <c r="B357" s="1101">
        <f t="shared" si="146"/>
        <v>8.8870000000000008E-3</v>
      </c>
      <c r="C357" s="1118">
        <f t="shared" si="147"/>
        <v>1.018E-2</v>
      </c>
      <c r="D357" s="1102">
        <f t="shared" si="152"/>
        <v>4.1499999999999977</v>
      </c>
      <c r="E357" s="1042">
        <f>IF(AND(A26&gt;=$B$2,A26&lt;=$B$4),_xlfn.XLOOKUP(A357,'VMT Reduction Supporting'!A:A,'VMT Reduction Supporting'!D:D,,0),0)</f>
        <v>102320.61059171314</v>
      </c>
      <c r="F357" s="1042">
        <f>IF(AND(A26&gt;=$B$2,A26&lt;=$B$4),_xlfn.XLOOKUP(A357,'VMT Reduction Supporting'!A:A,'VMT Reduction Supporting'!G:G,,0),0)</f>
        <v>115519.96935804414</v>
      </c>
      <c r="G357" s="1042">
        <f t="shared" si="153"/>
        <v>24655.568817280287</v>
      </c>
      <c r="H357" s="1042">
        <f t="shared" si="154"/>
        <v>27836.137194709445</v>
      </c>
      <c r="I357" s="1119">
        <f t="shared" si="155"/>
        <v>250.99369055991332</v>
      </c>
      <c r="J357" s="1119">
        <f t="shared" si="156"/>
        <v>283.37187664214213</v>
      </c>
      <c r="K357" s="1120">
        <f t="shared" si="157"/>
        <v>32.378186082228808</v>
      </c>
    </row>
    <row r="358" spans="1:11" outlineLevel="1">
      <c r="A358" s="1099">
        <f t="shared" si="151"/>
        <v>2036</v>
      </c>
      <c r="B358" s="1101">
        <f t="shared" si="146"/>
        <v>8.8870000000000008E-3</v>
      </c>
      <c r="C358" s="1118">
        <f t="shared" si="147"/>
        <v>1.018E-2</v>
      </c>
      <c r="D358" s="1102">
        <f t="shared" si="152"/>
        <v>4.1999999999999975</v>
      </c>
      <c r="E358" s="1042">
        <f>IF(AND(A27&gt;=$B$2,A27&lt;=$B$4),_xlfn.XLOOKUP(A358,'VMT Reduction Supporting'!A:A,'VMT Reduction Supporting'!D:D,,0),0)</f>
        <v>102720.08322719164</v>
      </c>
      <c r="F358" s="1042">
        <f>IF(AND(A27&gt;=$B$2,A27&lt;=$B$4),_xlfn.XLOOKUP(A358,'VMT Reduction Supporting'!A:A,'VMT Reduction Supporting'!G:G,,0),0)</f>
        <v>115970.97396349937</v>
      </c>
      <c r="G358" s="1042">
        <f t="shared" si="153"/>
        <v>24457.162673140883</v>
      </c>
      <c r="H358" s="1042">
        <f t="shared" si="154"/>
        <v>27612.136657976058</v>
      </c>
      <c r="I358" s="1119">
        <f t="shared" si="155"/>
        <v>248.97391601257419</v>
      </c>
      <c r="J358" s="1119">
        <f t="shared" si="156"/>
        <v>281.09155117819626</v>
      </c>
      <c r="K358" s="1120">
        <f t="shared" si="157"/>
        <v>32.117635165622062</v>
      </c>
    </row>
    <row r="359" spans="1:11" outlineLevel="1">
      <c r="A359" s="1099">
        <f t="shared" si="151"/>
        <v>2037</v>
      </c>
      <c r="B359" s="1101">
        <f t="shared" si="146"/>
        <v>8.8870000000000008E-3</v>
      </c>
      <c r="C359" s="1118">
        <f t="shared" si="147"/>
        <v>1.018E-2</v>
      </c>
      <c r="D359" s="1102">
        <f t="shared" si="152"/>
        <v>4.2499999999999973</v>
      </c>
      <c r="E359" s="1042">
        <f>IF(AND(A28&gt;=$B$2,A28&lt;=$B$4),_xlfn.XLOOKUP(A359,'VMT Reduction Supporting'!A:A,'VMT Reduction Supporting'!D:D,,0),0)</f>
        <v>103121.11545448234</v>
      </c>
      <c r="F359" s="1042">
        <f>IF(AND(A28&gt;=$B$2,A28&lt;=$B$4),_xlfn.XLOOKUP(A359,'VMT Reduction Supporting'!A:A,'VMT Reduction Supporting'!G:G,,0),0)</f>
        <v>116423.73934811057</v>
      </c>
      <c r="G359" s="1042">
        <f t="shared" si="153"/>
        <v>24263.791871642919</v>
      </c>
      <c r="H359" s="1042">
        <f t="shared" si="154"/>
        <v>27393.821023084856</v>
      </c>
      <c r="I359" s="1119">
        <f t="shared" si="155"/>
        <v>247.00540125332492</v>
      </c>
      <c r="J359" s="1119">
        <f t="shared" si="156"/>
        <v>278.86909801500383</v>
      </c>
      <c r="K359" s="1120">
        <f t="shared" si="157"/>
        <v>31.863696761678909</v>
      </c>
    </row>
    <row r="360" spans="1:11" outlineLevel="1">
      <c r="A360" s="1099">
        <f t="shared" si="151"/>
        <v>2038</v>
      </c>
      <c r="B360" s="1101">
        <f t="shared" si="146"/>
        <v>8.8870000000000008E-3</v>
      </c>
      <c r="C360" s="1118">
        <f t="shared" si="147"/>
        <v>1.018E-2</v>
      </c>
      <c r="D360" s="1102">
        <f t="shared" si="152"/>
        <v>4.2999999999999972</v>
      </c>
      <c r="E360" s="1042">
        <f>IF(AND(A29&gt;=$B$2,A29&lt;=$B$4),_xlfn.XLOOKUP(A360,'VMT Reduction Supporting'!A:A,'VMT Reduction Supporting'!D:D,,0),0)</f>
        <v>103523.71336242935</v>
      </c>
      <c r="F360" s="1042">
        <f>IF(AND(A29&gt;=$B$2,A29&lt;=$B$4),_xlfn.XLOOKUP(A360,'VMT Reduction Supporting'!A:A,'VMT Reduction Supporting'!G:G,,0),0)</f>
        <v>116878.27238618277</v>
      </c>
      <c r="G360" s="1042">
        <f t="shared" si="153"/>
        <v>24075.282177309167</v>
      </c>
      <c r="H360" s="1042">
        <f t="shared" si="154"/>
        <v>27180.993578182057</v>
      </c>
      <c r="I360" s="1119">
        <f t="shared" si="155"/>
        <v>245.08637256500731</v>
      </c>
      <c r="J360" s="1119">
        <f t="shared" si="156"/>
        <v>276.70251462589334</v>
      </c>
      <c r="K360" s="1120">
        <f t="shared" si="157"/>
        <v>31.616142060886034</v>
      </c>
    </row>
    <row r="361" spans="1:11" outlineLevel="1">
      <c r="A361" s="1099">
        <f t="shared" si="151"/>
        <v>2039</v>
      </c>
      <c r="B361" s="1101">
        <f t="shared" si="146"/>
        <v>8.8870000000000008E-3</v>
      </c>
      <c r="C361" s="1118">
        <f t="shared" si="147"/>
        <v>1.018E-2</v>
      </c>
      <c r="D361" s="1102">
        <f t="shared" si="152"/>
        <v>4.349999999999997</v>
      </c>
      <c r="E361" s="1042">
        <f>IF(AND(A30&gt;=$B$2,A30&lt;=$B$4),_xlfn.XLOOKUP(A361,'VMT Reduction Supporting'!A:A,'VMT Reduction Supporting'!D:D,,0),0)</f>
        <v>103927.88306364848</v>
      </c>
      <c r="F361" s="1042">
        <f>IF(AND(A30&gt;=$B$2,A30&lt;=$B$4),_xlfn.XLOOKUP(A361,'VMT Reduction Supporting'!A:A,'VMT Reduction Supporting'!G:G,,0),0)</f>
        <v>117334.57997885915</v>
      </c>
      <c r="G361" s="1042">
        <f t="shared" si="153"/>
        <v>23891.467370953691</v>
      </c>
      <c r="H361" s="1042">
        <f t="shared" si="154"/>
        <v>26973.46666180672</v>
      </c>
      <c r="I361" s="1119">
        <f t="shared" si="155"/>
        <v>243.21513783630857</v>
      </c>
      <c r="J361" s="1119">
        <f t="shared" si="156"/>
        <v>274.5898906171924</v>
      </c>
      <c r="K361" s="1120">
        <f t="shared" si="157"/>
        <v>31.374752780883824</v>
      </c>
    </row>
    <row r="362" spans="1:11" outlineLevel="1">
      <c r="A362" s="1099">
        <f t="shared" si="151"/>
        <v>2040</v>
      </c>
      <c r="B362" s="1101">
        <f t="shared" si="146"/>
        <v>8.8870000000000008E-3</v>
      </c>
      <c r="C362" s="1118">
        <f t="shared" si="147"/>
        <v>1.018E-2</v>
      </c>
      <c r="D362" s="1102">
        <f t="shared" si="152"/>
        <v>4.3999999999999968</v>
      </c>
      <c r="E362" s="1042">
        <f>IF(AND(A31&gt;=$B$2,A31&lt;=$B$4),_xlfn.XLOOKUP(A362,'VMT Reduction Supporting'!A:A,'VMT Reduction Supporting'!D:D,,0),0)</f>
        <v>104333.63069461992</v>
      </c>
      <c r="F362" s="1042">
        <f>IF(AND(A31&gt;=$B$2,A31&lt;=$B$4),_xlfn.XLOOKUP(A362,'VMT Reduction Supporting'!A:A,'VMT Reduction Supporting'!G:G,,0),0)</f>
        <v>117792.66905422589</v>
      </c>
      <c r="G362" s="1042">
        <f t="shared" si="153"/>
        <v>23712.188794231817</v>
      </c>
      <c r="H362" s="1042">
        <f t="shared" si="154"/>
        <v>26771.061148687721</v>
      </c>
      <c r="I362" s="1119">
        <f t="shared" si="155"/>
        <v>241.3900819252799</v>
      </c>
      <c r="J362" s="1119">
        <f t="shared" si="156"/>
        <v>272.52940249364099</v>
      </c>
      <c r="K362" s="1120">
        <f t="shared" si="157"/>
        <v>31.139320568361086</v>
      </c>
    </row>
    <row r="363" spans="1:11" outlineLevel="1">
      <c r="A363" s="1099">
        <f t="shared" si="151"/>
        <v>2041</v>
      </c>
      <c r="B363" s="1101">
        <f t="shared" si="146"/>
        <v>8.8870000000000008E-3</v>
      </c>
      <c r="C363" s="1118">
        <f t="shared" si="147"/>
        <v>1.018E-2</v>
      </c>
      <c r="D363" s="1102">
        <f t="shared" si="152"/>
        <v>4.4499999999999966</v>
      </c>
      <c r="E363" s="1042">
        <f>IF(AND(A32&gt;=$B$2,A32&lt;=$B$4),_xlfn.XLOOKUP(A363,'VMT Reduction Supporting'!A:A,'VMT Reduction Supporting'!D:D,,0),0)</f>
        <v>104740.96241578144</v>
      </c>
      <c r="F363" s="1042">
        <f>IF(AND(A32&gt;=$B$2,A32&lt;=$B$4),_xlfn.XLOOKUP(A363,'VMT Reduction Supporting'!A:A,'VMT Reduction Supporting'!G:G,,0),0)</f>
        <v>118252.54656741727</v>
      </c>
      <c r="G363" s="1042">
        <f t="shared" si="153"/>
        <v>23537.294924894722</v>
      </c>
      <c r="H363" s="1042">
        <f t="shared" si="154"/>
        <v>26573.60597020615</v>
      </c>
      <c r="I363" s="1119">
        <f t="shared" si="155"/>
        <v>239.60966233542828</v>
      </c>
      <c r="J363" s="1119">
        <f t="shared" si="156"/>
        <v>270.51930877669861</v>
      </c>
      <c r="K363" s="1120">
        <f t="shared" si="157"/>
        <v>30.909646441270326</v>
      </c>
    </row>
    <row r="364" spans="1:11" outlineLevel="1">
      <c r="A364" s="1099">
        <f t="shared" si="151"/>
        <v>2042</v>
      </c>
      <c r="B364" s="1101">
        <f t="shared" si="146"/>
        <v>8.8870000000000008E-3</v>
      </c>
      <c r="C364" s="1118">
        <f t="shared" si="147"/>
        <v>1.018E-2</v>
      </c>
      <c r="D364" s="1102">
        <f t="shared" si="152"/>
        <v>4.4999999999999964</v>
      </c>
      <c r="E364" s="1042">
        <f>IF(AND(A33&gt;=$B$2,A33&lt;=$B$4),_xlfn.XLOOKUP(A364,'VMT Reduction Supporting'!A:A,'VMT Reduction Supporting'!D:D,,0),0)</f>
        <v>105149.884411622</v>
      </c>
      <c r="F364" s="1042">
        <f>IF(AND(A33&gt;=$B$2,A33&lt;=$B$4),_xlfn.XLOOKUP(A364,'VMT Reduction Supporting'!A:A,'VMT Reduction Supporting'!G:G,,0),0)</f>
        <v>118714.21950072126</v>
      </c>
      <c r="G364" s="1042">
        <f t="shared" si="153"/>
        <v>23366.640980360462</v>
      </c>
      <c r="H364" s="1042">
        <f t="shared" si="154"/>
        <v>26380.937666826969</v>
      </c>
      <c r="I364" s="1119">
        <f t="shared" si="155"/>
        <v>237.87240518006951</v>
      </c>
      <c r="J364" s="1119">
        <f t="shared" si="156"/>
        <v>268.55794544829854</v>
      </c>
      <c r="K364" s="1120">
        <f t="shared" si="157"/>
        <v>30.685540268229033</v>
      </c>
    </row>
    <row r="365" spans="1:11" outlineLevel="1">
      <c r="A365" s="1099">
        <f t="shared" si="151"/>
        <v>2043</v>
      </c>
      <c r="B365" s="1101">
        <f t="shared" si="146"/>
        <v>8.8870000000000008E-3</v>
      </c>
      <c r="C365" s="1118">
        <f t="shared" si="147"/>
        <v>1.018E-2</v>
      </c>
      <c r="D365" s="1102">
        <f t="shared" si="152"/>
        <v>4.5499999999999963</v>
      </c>
      <c r="E365" s="1042">
        <f>IF(AND(A34&gt;=$B$2,A34&lt;=$B$4),_xlfn.XLOOKUP(A365,'VMT Reduction Supporting'!A:A,'VMT Reduction Supporting'!D:D,,0),0)</f>
        <v>105560.40289077553</v>
      </c>
      <c r="F365" s="1042">
        <f>IF(AND(A34&gt;=$B$2,A34&lt;=$B$4),_xlfn.XLOOKUP(A365,'VMT Reduction Supporting'!A:A,'VMT Reduction Supporting'!G:G,,0),0)</f>
        <v>119177.6948636856</v>
      </c>
      <c r="G365" s="1042">
        <f t="shared" si="153"/>
        <v>23200.088547423213</v>
      </c>
      <c r="H365" s="1042">
        <f t="shared" si="154"/>
        <v>26192.899970040813</v>
      </c>
      <c r="I365" s="1119">
        <f t="shared" si="155"/>
        <v>236.1769014127683</v>
      </c>
      <c r="J365" s="1119">
        <f t="shared" si="156"/>
        <v>266.64372169501547</v>
      </c>
      <c r="K365" s="1120">
        <f t="shared" si="157"/>
        <v>30.46682028224717</v>
      </c>
    </row>
    <row r="366" spans="1:11" outlineLevel="1">
      <c r="A366" s="1099">
        <f t="shared" si="151"/>
        <v>2044</v>
      </c>
      <c r="B366" s="1101">
        <f t="shared" si="146"/>
        <v>8.8870000000000008E-3</v>
      </c>
      <c r="C366" s="1118">
        <f t="shared" si="147"/>
        <v>1.018E-2</v>
      </c>
      <c r="D366" s="1102">
        <f t="shared" si="152"/>
        <v>4.5999999999999961</v>
      </c>
      <c r="E366" s="1042">
        <f>IF(AND(A35&gt;=$B$2,A35&lt;=$B$4),_xlfn.XLOOKUP(A366,'VMT Reduction Supporting'!A:A,'VMT Reduction Supporting'!D:D,,0),0)</f>
        <v>105972.5240861153</v>
      </c>
      <c r="F366" s="1042">
        <f>IF(AND(A35&gt;=$B$2,A35&lt;=$B$4),_xlfn.XLOOKUP(A366,'VMT Reduction Supporting'!A:A,'VMT Reduction Supporting'!G:G,,0),0)</f>
        <v>119642.97969322419</v>
      </c>
      <c r="G366" s="1042">
        <f t="shared" si="153"/>
        <v>23037.50523611204</v>
      </c>
      <c r="H366" s="1042">
        <f t="shared" si="154"/>
        <v>26009.343411570499</v>
      </c>
      <c r="I366" s="1119">
        <f t="shared" si="155"/>
        <v>234.52180330362057</v>
      </c>
      <c r="J366" s="1119">
        <f t="shared" si="156"/>
        <v>264.77511592978766</v>
      </c>
      <c r="K366" s="1120">
        <f t="shared" si="157"/>
        <v>30.253312626167087</v>
      </c>
    </row>
    <row r="367" spans="1:11" outlineLevel="1">
      <c r="A367" s="1099">
        <f t="shared" si="151"/>
        <v>2045</v>
      </c>
      <c r="B367" s="1101">
        <f t="shared" si="146"/>
        <v>8.8870000000000008E-3</v>
      </c>
      <c r="C367" s="1118">
        <f t="shared" si="147"/>
        <v>1.018E-2</v>
      </c>
      <c r="D367" s="1102">
        <f t="shared" si="152"/>
        <v>4.6499999999999959</v>
      </c>
      <c r="E367" s="1042">
        <f>IF(AND(A36&gt;=$B$2,A36&lt;=$B$4),_xlfn.XLOOKUP(A367,'VMT Reduction Supporting'!A:A,'VMT Reduction Supporting'!D:D,,0),0)</f>
        <v>106386.25425484846</v>
      </c>
      <c r="F367" s="1042">
        <f>IF(AND(A36&gt;=$B$2,A36&lt;=$B$4),_xlfn.XLOOKUP(A367,'VMT Reduction Supporting'!A:A,'VMT Reduction Supporting'!G:G,,0),0)</f>
        <v>120110.08105372394</v>
      </c>
      <c r="G367" s="1042">
        <f t="shared" si="153"/>
        <v>22878.764355881409</v>
      </c>
      <c r="H367" s="1042">
        <f t="shared" si="154"/>
        <v>25830.124957790118</v>
      </c>
      <c r="I367" s="1119">
        <f t="shared" si="155"/>
        <v>232.90582114287272</v>
      </c>
      <c r="J367" s="1119">
        <f t="shared" si="156"/>
        <v>262.95067207030337</v>
      </c>
      <c r="K367" s="1120">
        <f t="shared" si="157"/>
        <v>30.044850927430645</v>
      </c>
    </row>
    <row r="368" spans="1:11" outlineLevel="1">
      <c r="A368" s="1099">
        <f t="shared" si="151"/>
        <v>2046</v>
      </c>
      <c r="B368" s="1101">
        <f t="shared" si="146"/>
        <v>8.8870000000000008E-3</v>
      </c>
      <c r="C368" s="1118">
        <f t="shared" si="147"/>
        <v>1.018E-2</v>
      </c>
      <c r="D368" s="1102">
        <f t="shared" si="152"/>
        <v>4.6999999999999957</v>
      </c>
      <c r="E368" s="1042">
        <f>IF(AND(A37&gt;=$B$2,A37&lt;=$B$4),_xlfn.XLOOKUP(A368,'VMT Reduction Supporting'!A:A,'VMT Reduction Supporting'!D:D,,0),0)</f>
        <v>106801.59967861114</v>
      </c>
      <c r="F368" s="1042">
        <f>IF(AND(A37&gt;=$B$2,A37&lt;=$B$4),_xlfn.XLOOKUP(A368,'VMT Reduction Supporting'!A:A,'VMT Reduction Supporting'!G:G,,0),0)</f>
        <v>120579.00603715202</v>
      </c>
      <c r="G368" s="1042">
        <f t="shared" si="153"/>
        <v>22723.744612470477</v>
      </c>
      <c r="H368" s="1042">
        <f t="shared" si="154"/>
        <v>25655.107667479177</v>
      </c>
      <c r="I368" s="1119">
        <f t="shared" si="155"/>
        <v>231.32772015494945</v>
      </c>
      <c r="J368" s="1119">
        <f t="shared" si="156"/>
        <v>261.16899605493802</v>
      </c>
      <c r="K368" s="1120">
        <f t="shared" si="157"/>
        <v>29.841275899988574</v>
      </c>
    </row>
    <row r="369" spans="1:11" outlineLevel="1">
      <c r="A369" s="1099">
        <f t="shared" si="151"/>
        <v>2047</v>
      </c>
      <c r="B369" s="1101">
        <f t="shared" si="146"/>
        <v>8.8870000000000008E-3</v>
      </c>
      <c r="C369" s="1118">
        <f t="shared" si="147"/>
        <v>1.018E-2</v>
      </c>
      <c r="D369" s="1102">
        <f t="shared" si="152"/>
        <v>4.7499999999999956</v>
      </c>
      <c r="E369" s="1042">
        <f>IF(AND(A38&gt;=$B$2,A38&lt;=$B$4),_xlfn.XLOOKUP(A369,'VMT Reduction Supporting'!A:A,'VMT Reduction Supporting'!D:D,,0),0)</f>
        <v>107218.56666356375</v>
      </c>
      <c r="F369" s="1042">
        <f>IF(AND(A38&gt;=$B$2,A38&lt;=$B$4),_xlfn.XLOOKUP(A369,'VMT Reduction Supporting'!A:A,'VMT Reduction Supporting'!G:G,,0),0)</f>
        <v>121049.76176316351</v>
      </c>
      <c r="G369" s="1042">
        <f t="shared" si="153"/>
        <v>22572.329823908178</v>
      </c>
      <c r="H369" s="1042">
        <f t="shared" si="154"/>
        <v>25484.160371192342</v>
      </c>
      <c r="I369" s="1119">
        <f t="shared" si="155"/>
        <v>229.78631760738526</v>
      </c>
      <c r="J369" s="1119">
        <f t="shared" si="156"/>
        <v>259.42875257873806</v>
      </c>
      <c r="K369" s="1120">
        <f t="shared" si="157"/>
        <v>29.642434971352799</v>
      </c>
    </row>
    <row r="370" spans="1:11" outlineLevel="1">
      <c r="A370" s="1099">
        <f t="shared" si="151"/>
        <v>2048</v>
      </c>
      <c r="B370" s="1101">
        <f t="shared" si="146"/>
        <v>8.8870000000000008E-3</v>
      </c>
      <c r="C370" s="1118">
        <f t="shared" si="147"/>
        <v>1.018E-2</v>
      </c>
      <c r="D370" s="1102">
        <f t="shared" si="152"/>
        <v>4.7999999999999954</v>
      </c>
      <c r="E370" s="1042">
        <f>IF(AND(A39&gt;=$B$2,A39&lt;=$B$4),_xlfn.XLOOKUP(A370,'VMT Reduction Supporting'!A:A,'VMT Reduction Supporting'!D:D,,0),0)</f>
        <v>0</v>
      </c>
      <c r="F370" s="1042">
        <f>IF(AND(A39&gt;=$B$2,A39&lt;=$B$4),_xlfn.XLOOKUP(A370,'VMT Reduction Supporting'!A:A,'VMT Reduction Supporting'!G:G,,0),0)</f>
        <v>0</v>
      </c>
      <c r="G370" s="1042">
        <f t="shared" si="153"/>
        <v>0</v>
      </c>
      <c r="H370" s="1042">
        <f t="shared" si="154"/>
        <v>0</v>
      </c>
      <c r="I370" s="1119">
        <f t="shared" si="155"/>
        <v>0</v>
      </c>
      <c r="J370" s="1119">
        <f t="shared" si="156"/>
        <v>0</v>
      </c>
      <c r="K370" s="1120">
        <f t="shared" si="157"/>
        <v>0</v>
      </c>
    </row>
    <row r="371" spans="1:11" outlineLevel="1">
      <c r="A371" s="1099">
        <f t="shared" si="151"/>
        <v>2049</v>
      </c>
      <c r="B371" s="1101">
        <f t="shared" si="146"/>
        <v>8.8870000000000008E-3</v>
      </c>
      <c r="C371" s="1118">
        <f t="shared" si="147"/>
        <v>1.018E-2</v>
      </c>
      <c r="D371" s="1102">
        <f t="shared" si="152"/>
        <v>4.8499999999999952</v>
      </c>
      <c r="E371" s="1042">
        <f>IF(AND(A40&gt;=$B$2,A40&lt;=$B$4),_xlfn.XLOOKUP(A371,'VMT Reduction Supporting'!A:A,'VMT Reduction Supporting'!D:D,,0),0)</f>
        <v>0</v>
      </c>
      <c r="F371" s="1042">
        <f>IF(AND(A40&gt;=$B$2,A40&lt;=$B$4),_xlfn.XLOOKUP(A371,'VMT Reduction Supporting'!A:A,'VMT Reduction Supporting'!G:G,,0),0)</f>
        <v>0</v>
      </c>
      <c r="G371" s="1042">
        <f t="shared" si="153"/>
        <v>0</v>
      </c>
      <c r="H371" s="1042">
        <f t="shared" si="154"/>
        <v>0</v>
      </c>
      <c r="I371" s="1119">
        <f t="shared" si="155"/>
        <v>0</v>
      </c>
      <c r="J371" s="1119">
        <f t="shared" si="156"/>
        <v>0</v>
      </c>
      <c r="K371" s="1120">
        <f t="shared" si="157"/>
        <v>0</v>
      </c>
    </row>
    <row r="372" spans="1:11" outlineLevel="1">
      <c r="A372" s="1099">
        <f t="shared" si="151"/>
        <v>2050</v>
      </c>
      <c r="B372" s="1101">
        <f t="shared" si="146"/>
        <v>8.8870000000000008E-3</v>
      </c>
      <c r="C372" s="1118">
        <f t="shared" si="147"/>
        <v>1.018E-2</v>
      </c>
      <c r="D372" s="1102">
        <f t="shared" si="152"/>
        <v>4.899999999999995</v>
      </c>
      <c r="E372" s="1042">
        <f>IF(AND(A41&gt;=$B$2,A41&lt;=$B$4),_xlfn.XLOOKUP(A372,'VMT Reduction Supporting'!A:A,'VMT Reduction Supporting'!D:D,,0),0)</f>
        <v>0</v>
      </c>
      <c r="F372" s="1042">
        <f>IF(AND(A41&gt;=$B$2,A41&lt;=$B$4),_xlfn.XLOOKUP(A372,'VMT Reduction Supporting'!A:A,'VMT Reduction Supporting'!G:G,,0),0)</f>
        <v>0</v>
      </c>
      <c r="G372" s="1042">
        <f t="shared" si="153"/>
        <v>0</v>
      </c>
      <c r="H372" s="1042">
        <f t="shared" si="154"/>
        <v>0</v>
      </c>
      <c r="I372" s="1119">
        <f t="shared" si="155"/>
        <v>0</v>
      </c>
      <c r="J372" s="1119">
        <f t="shared" si="156"/>
        <v>0</v>
      </c>
      <c r="K372" s="1120">
        <f t="shared" si="157"/>
        <v>0</v>
      </c>
    </row>
    <row r="373" spans="1:11" outlineLevel="1">
      <c r="A373" s="1099">
        <f t="shared" si="151"/>
        <v>2051</v>
      </c>
      <c r="B373" s="1101">
        <f t="shared" si="146"/>
        <v>8.8870000000000008E-3</v>
      </c>
      <c r="C373" s="1118">
        <f t="shared" si="147"/>
        <v>1.018E-2</v>
      </c>
      <c r="D373" s="1102">
        <f t="shared" si="152"/>
        <v>4.9499999999999948</v>
      </c>
      <c r="E373" s="1042">
        <f>IF(AND(A42&gt;=$B$2,A42&lt;=$B$4),_xlfn.XLOOKUP(A373,'VMT Reduction Supporting'!A:A,'VMT Reduction Supporting'!D:D,,0),0)</f>
        <v>0</v>
      </c>
      <c r="F373" s="1042">
        <f>IF(AND(A42&gt;=$B$2,A42&lt;=$B$4),_xlfn.XLOOKUP(A373,'VMT Reduction Supporting'!A:A,'VMT Reduction Supporting'!G:G,,0),0)</f>
        <v>0</v>
      </c>
      <c r="G373" s="1042">
        <f t="shared" si="153"/>
        <v>0</v>
      </c>
      <c r="H373" s="1042">
        <f t="shared" si="154"/>
        <v>0</v>
      </c>
      <c r="I373" s="1119">
        <f t="shared" si="155"/>
        <v>0</v>
      </c>
      <c r="J373" s="1119">
        <f t="shared" si="156"/>
        <v>0</v>
      </c>
      <c r="K373" s="1120">
        <f t="shared" si="157"/>
        <v>0</v>
      </c>
    </row>
    <row r="374" spans="1:11" outlineLevel="1">
      <c r="A374" s="1099">
        <f t="shared" si="151"/>
        <v>2052</v>
      </c>
      <c r="B374" s="1101">
        <f t="shared" si="146"/>
        <v>8.8870000000000008E-3</v>
      </c>
      <c r="C374" s="1118">
        <f t="shared" si="147"/>
        <v>1.018E-2</v>
      </c>
      <c r="D374" s="1102">
        <f t="shared" si="152"/>
        <v>4.9999999999999947</v>
      </c>
      <c r="E374" s="1042">
        <f>IF(AND(A43&gt;=$B$2,A43&lt;=$B$4),_xlfn.XLOOKUP(A374,'VMT Reduction Supporting'!A:A,'VMT Reduction Supporting'!D:D,,0),0)</f>
        <v>0</v>
      </c>
      <c r="F374" s="1042">
        <f>IF(AND(A43&gt;=$B$2,A43&lt;=$B$4),_xlfn.XLOOKUP(A374,'VMT Reduction Supporting'!A:A,'VMT Reduction Supporting'!G:G,,0),0)</f>
        <v>0</v>
      </c>
      <c r="G374" s="1042">
        <f t="shared" si="153"/>
        <v>0</v>
      </c>
      <c r="H374" s="1042">
        <f t="shared" si="154"/>
        <v>0</v>
      </c>
      <c r="I374" s="1119">
        <f t="shared" si="155"/>
        <v>0</v>
      </c>
      <c r="J374" s="1119">
        <f t="shared" si="156"/>
        <v>0</v>
      </c>
      <c r="K374" s="1120">
        <f t="shared" si="157"/>
        <v>0</v>
      </c>
    </row>
    <row r="375" spans="1:11" outlineLevel="1">
      <c r="A375" s="1099">
        <f t="shared" si="151"/>
        <v>2053</v>
      </c>
      <c r="B375" s="1101">
        <f t="shared" si="146"/>
        <v>8.8870000000000008E-3</v>
      </c>
      <c r="C375" s="1118">
        <f t="shared" si="147"/>
        <v>1.018E-2</v>
      </c>
      <c r="D375" s="1102">
        <f t="shared" si="152"/>
        <v>5.0499999999999945</v>
      </c>
      <c r="E375" s="1042">
        <f>IF(AND(A44&gt;=$B$2,A44&lt;=$B$4),_xlfn.XLOOKUP(A375,'VMT Reduction Supporting'!A:A,'VMT Reduction Supporting'!D:D,,0),0)</f>
        <v>0</v>
      </c>
      <c r="F375" s="1042">
        <f>IF(AND(A44&gt;=$B$2,A44&lt;=$B$4),_xlfn.XLOOKUP(A375,'VMT Reduction Supporting'!A:A,'VMT Reduction Supporting'!G:G,,0),0)</f>
        <v>0</v>
      </c>
      <c r="G375" s="1042">
        <f t="shared" si="153"/>
        <v>0</v>
      </c>
      <c r="H375" s="1042">
        <f t="shared" si="154"/>
        <v>0</v>
      </c>
      <c r="I375" s="1119">
        <f t="shared" si="155"/>
        <v>0</v>
      </c>
      <c r="J375" s="1119">
        <f t="shared" si="156"/>
        <v>0</v>
      </c>
      <c r="K375" s="1120">
        <f t="shared" si="157"/>
        <v>0</v>
      </c>
    </row>
    <row r="376" spans="1:11" outlineLevel="1">
      <c r="A376" s="1099">
        <f t="shared" si="151"/>
        <v>2054</v>
      </c>
      <c r="B376" s="1101">
        <f t="shared" si="146"/>
        <v>8.8870000000000008E-3</v>
      </c>
      <c r="C376" s="1118">
        <f t="shared" si="147"/>
        <v>1.018E-2</v>
      </c>
      <c r="D376" s="1102">
        <f t="shared" si="152"/>
        <v>5.0999999999999943</v>
      </c>
      <c r="E376" s="1042">
        <f>IF(AND(A45&gt;=$B$2,A45&lt;=$B$4),_xlfn.XLOOKUP(A376,'VMT Reduction Supporting'!A:A,'VMT Reduction Supporting'!D:D,,0),0)</f>
        <v>0</v>
      </c>
      <c r="F376" s="1042">
        <f>IF(AND(A45&gt;=$B$2,A45&lt;=$B$4),_xlfn.XLOOKUP(A376,'VMT Reduction Supporting'!A:A,'VMT Reduction Supporting'!G:G,,0),0)</f>
        <v>0</v>
      </c>
      <c r="G376" s="1042">
        <f t="shared" si="153"/>
        <v>0</v>
      </c>
      <c r="H376" s="1042">
        <f t="shared" si="154"/>
        <v>0</v>
      </c>
      <c r="I376" s="1119">
        <f t="shared" si="155"/>
        <v>0</v>
      </c>
      <c r="J376" s="1119">
        <f t="shared" si="156"/>
        <v>0</v>
      </c>
      <c r="K376" s="1120">
        <f t="shared" si="157"/>
        <v>0</v>
      </c>
    </row>
    <row r="377" spans="1:11" outlineLevel="1">
      <c r="A377" s="1099">
        <f t="shared" si="151"/>
        <v>2055</v>
      </c>
      <c r="B377" s="1101">
        <f t="shared" si="146"/>
        <v>8.8870000000000008E-3</v>
      </c>
      <c r="C377" s="1118">
        <f t="shared" si="147"/>
        <v>1.018E-2</v>
      </c>
      <c r="D377" s="1102">
        <f t="shared" si="152"/>
        <v>5.1499999999999941</v>
      </c>
      <c r="E377" s="1042">
        <f>IF(AND(A46&gt;=$B$2,A46&lt;=$B$4),_xlfn.XLOOKUP(A377,'VMT Reduction Supporting'!A:A,'VMT Reduction Supporting'!D:D,,0),0)</f>
        <v>0</v>
      </c>
      <c r="F377" s="1042">
        <f>IF(AND(A46&gt;=$B$2,A46&lt;=$B$4),_xlfn.XLOOKUP(A377,'VMT Reduction Supporting'!A:A,'VMT Reduction Supporting'!G:G,,0),0)</f>
        <v>0</v>
      </c>
      <c r="G377" s="1042">
        <f t="shared" si="153"/>
        <v>0</v>
      </c>
      <c r="H377" s="1042">
        <f t="shared" si="154"/>
        <v>0</v>
      </c>
      <c r="I377" s="1119">
        <f t="shared" si="155"/>
        <v>0</v>
      </c>
      <c r="J377" s="1119">
        <f t="shared" si="156"/>
        <v>0</v>
      </c>
      <c r="K377" s="1120">
        <f t="shared" si="157"/>
        <v>0</v>
      </c>
    </row>
    <row r="378" spans="1:11" outlineLevel="1">
      <c r="A378" s="1099">
        <f t="shared" si="151"/>
        <v>2056</v>
      </c>
      <c r="B378" s="1101">
        <f t="shared" si="146"/>
        <v>8.8870000000000008E-3</v>
      </c>
      <c r="C378" s="1118">
        <f t="shared" si="147"/>
        <v>1.018E-2</v>
      </c>
      <c r="D378" s="1102">
        <f t="shared" si="152"/>
        <v>5.199999999999994</v>
      </c>
      <c r="E378" s="1042">
        <f>IF(AND(A47&gt;=$B$2,A47&lt;=$B$4),_xlfn.XLOOKUP(A378,'VMT Reduction Supporting'!A:A,'VMT Reduction Supporting'!D:D,,0),0)</f>
        <v>0</v>
      </c>
      <c r="F378" s="1042">
        <f>IF(AND(A47&gt;=$B$2,A47&lt;=$B$4),_xlfn.XLOOKUP(A378,'VMT Reduction Supporting'!A:A,'VMT Reduction Supporting'!G:G,,0),0)</f>
        <v>0</v>
      </c>
      <c r="G378" s="1042">
        <f t="shared" si="153"/>
        <v>0</v>
      </c>
      <c r="H378" s="1042">
        <f t="shared" si="154"/>
        <v>0</v>
      </c>
      <c r="I378" s="1119">
        <f t="shared" si="155"/>
        <v>0</v>
      </c>
      <c r="J378" s="1119">
        <f t="shared" si="156"/>
        <v>0</v>
      </c>
      <c r="K378" s="1120">
        <f t="shared" si="157"/>
        <v>0</v>
      </c>
    </row>
    <row r="379" spans="1:11" outlineLevel="1">
      <c r="A379" s="1099">
        <f t="shared" si="151"/>
        <v>2057</v>
      </c>
      <c r="B379" s="1101">
        <f t="shared" si="146"/>
        <v>8.8870000000000008E-3</v>
      </c>
      <c r="C379" s="1118">
        <f t="shared" si="147"/>
        <v>1.018E-2</v>
      </c>
      <c r="D379" s="1102">
        <f t="shared" si="152"/>
        <v>5.2499999999999938</v>
      </c>
      <c r="E379" s="1042">
        <f>IF(AND(A48&gt;=$B$2,A48&lt;=$B$4),_xlfn.XLOOKUP(A379,'VMT Reduction Supporting'!A:A,'VMT Reduction Supporting'!D:D,,0),0)</f>
        <v>0</v>
      </c>
      <c r="F379" s="1042">
        <f>IF(AND(A48&gt;=$B$2,A48&lt;=$B$4),_xlfn.XLOOKUP(A379,'VMT Reduction Supporting'!A:A,'VMT Reduction Supporting'!G:G,,0),0)</f>
        <v>0</v>
      </c>
      <c r="G379" s="1042">
        <f t="shared" si="153"/>
        <v>0</v>
      </c>
      <c r="H379" s="1042">
        <f t="shared" si="154"/>
        <v>0</v>
      </c>
      <c r="I379" s="1119">
        <f t="shared" si="155"/>
        <v>0</v>
      </c>
      <c r="J379" s="1119">
        <f t="shared" si="156"/>
        <v>0</v>
      </c>
      <c r="K379" s="1120">
        <f t="shared" si="157"/>
        <v>0</v>
      </c>
    </row>
    <row r="380" spans="1:11" outlineLevel="1">
      <c r="A380" s="1099">
        <f t="shared" si="151"/>
        <v>2058</v>
      </c>
      <c r="B380" s="1101">
        <f t="shared" si="146"/>
        <v>8.8870000000000008E-3</v>
      </c>
      <c r="C380" s="1118">
        <f t="shared" si="147"/>
        <v>1.018E-2</v>
      </c>
      <c r="D380" s="1102">
        <f t="shared" si="152"/>
        <v>5.2999999999999936</v>
      </c>
      <c r="E380" s="1042">
        <f>IF(AND(A49&gt;=$B$2,A49&lt;=$B$4),_xlfn.XLOOKUP(A380,'VMT Reduction Supporting'!A:A,'VMT Reduction Supporting'!D:D,,0),0)</f>
        <v>0</v>
      </c>
      <c r="F380" s="1042">
        <f>IF(AND(A49&gt;=$B$2,A49&lt;=$B$4),_xlfn.XLOOKUP(A380,'VMT Reduction Supporting'!A:A,'VMT Reduction Supporting'!G:G,,0),0)</f>
        <v>0</v>
      </c>
      <c r="G380" s="1042">
        <f t="shared" si="153"/>
        <v>0</v>
      </c>
      <c r="H380" s="1042">
        <f t="shared" si="154"/>
        <v>0</v>
      </c>
      <c r="I380" s="1119">
        <f t="shared" si="155"/>
        <v>0</v>
      </c>
      <c r="J380" s="1119">
        <f t="shared" si="156"/>
        <v>0</v>
      </c>
      <c r="K380" s="1120">
        <f t="shared" si="157"/>
        <v>0</v>
      </c>
    </row>
    <row r="381" spans="1:11" outlineLevel="1">
      <c r="A381" s="1099">
        <f t="shared" si="151"/>
        <v>2059</v>
      </c>
      <c r="B381" s="1101">
        <f t="shared" si="146"/>
        <v>8.8870000000000008E-3</v>
      </c>
      <c r="C381" s="1118">
        <f t="shared" si="147"/>
        <v>1.018E-2</v>
      </c>
      <c r="D381" s="1102">
        <f t="shared" si="152"/>
        <v>5.3499999999999934</v>
      </c>
      <c r="E381" s="1042">
        <f>IF(AND(A50&gt;=$B$2,A50&lt;=$B$4),_xlfn.XLOOKUP(A381,'VMT Reduction Supporting'!A:A,'VMT Reduction Supporting'!D:D,,0),0)</f>
        <v>0</v>
      </c>
      <c r="F381" s="1042">
        <f>IF(AND(A50&gt;=$B$2,A50&lt;=$B$4),_xlfn.XLOOKUP(A381,'VMT Reduction Supporting'!A:A,'VMT Reduction Supporting'!G:G,,0),0)</f>
        <v>0</v>
      </c>
      <c r="G381" s="1042">
        <f t="shared" si="153"/>
        <v>0</v>
      </c>
      <c r="H381" s="1042">
        <f t="shared" si="154"/>
        <v>0</v>
      </c>
      <c r="I381" s="1119">
        <f t="shared" si="155"/>
        <v>0</v>
      </c>
      <c r="J381" s="1119">
        <f t="shared" si="156"/>
        <v>0</v>
      </c>
      <c r="K381" s="1120">
        <f t="shared" si="157"/>
        <v>0</v>
      </c>
    </row>
    <row r="382" spans="1:11" ht="13.8" outlineLevel="1" thickBot="1">
      <c r="A382" s="1105">
        <f t="shared" si="151"/>
        <v>2060</v>
      </c>
      <c r="B382" s="1106">
        <f t="shared" si="146"/>
        <v>8.8870000000000008E-3</v>
      </c>
      <c r="C382" s="1121">
        <f t="shared" si="147"/>
        <v>1.018E-2</v>
      </c>
      <c r="D382" s="1107">
        <f t="shared" si="152"/>
        <v>5.3999999999999932</v>
      </c>
      <c r="E382" s="1042">
        <f>IF(AND(A51&gt;=$B$2,A51&lt;=$B$4),_xlfn.XLOOKUP(A382,'VMT Reduction Supporting'!A:A,'VMT Reduction Supporting'!D:D,,0),0)</f>
        <v>0</v>
      </c>
      <c r="F382" s="1042">
        <f>IF(AND(A51&gt;=$B$2,A51&lt;=$B$4),_xlfn.XLOOKUP(A382,'VMT Reduction Supporting'!A:A,'VMT Reduction Supporting'!G:G,,0),0)</f>
        <v>0</v>
      </c>
      <c r="G382" s="1108">
        <f t="shared" si="153"/>
        <v>0</v>
      </c>
      <c r="H382" s="1108">
        <f t="shared" si="154"/>
        <v>0</v>
      </c>
      <c r="I382" s="1122">
        <f t="shared" si="155"/>
        <v>0</v>
      </c>
      <c r="J382" s="1122">
        <f t="shared" si="156"/>
        <v>0</v>
      </c>
      <c r="K382" s="1123">
        <f t="shared" si="157"/>
        <v>0</v>
      </c>
    </row>
    <row r="383" spans="1:11">
      <c r="A383" s="2113" t="s">
        <v>473</v>
      </c>
      <c r="B383" s="2113"/>
      <c r="C383" s="2113"/>
      <c r="D383" s="2122"/>
      <c r="E383" s="1080">
        <f>SUMIFS(E342:E382,$A342:$A382,"&gt;="&amp;$B$3,$A342:$A382,"&lt;="&amp;$B$4)</f>
        <v>2066966.0090962988</v>
      </c>
      <c r="F383" s="1080">
        <f t="shared" ref="F383:H383" si="158">SUMIFS(F342:F382,$A342:$A382,"&gt;="&amp;$B$3,$A342:$A382,"&lt;="&amp;$B$4)</f>
        <v>2333604.6242697216</v>
      </c>
      <c r="G383" s="1080">
        <f t="shared" si="158"/>
        <v>484979.92764604127</v>
      </c>
      <c r="H383" s="1080">
        <f t="shared" si="158"/>
        <v>547542.33831238071</v>
      </c>
      <c r="I383" s="1124"/>
      <c r="J383" s="1125"/>
      <c r="K383" s="1126">
        <f>SUMIFS(K342:K382,$A342:$A382,"&gt;="&amp;$B$3,$A342:$A382,"&lt;="&amp;$B$4)</f>
        <v>636.88534058333494</v>
      </c>
    </row>
    <row r="384" spans="1:11" ht="13.8" thickBot="1">
      <c r="A384" s="2113" t="s">
        <v>7289</v>
      </c>
      <c r="B384" s="2113"/>
      <c r="C384" s="2113"/>
      <c r="D384" s="2122"/>
      <c r="E384" s="1087">
        <f>AVERAGEIFS(E342:E382,$A342:$A382,"&gt;="&amp;$B$3,$A342:$A382,"&lt;="&amp;$B$4)</f>
        <v>79498.692657549953</v>
      </c>
      <c r="F384" s="1087">
        <f t="shared" ref="F384:H384" si="159">AVERAGEIFS(F342:F382,$A342:$A382,"&gt;="&amp;$B$3,$A342:$A382,"&lt;="&amp;$B$4)</f>
        <v>89754.024010373905</v>
      </c>
      <c r="G384" s="1087">
        <f t="shared" si="159"/>
        <v>18653.074140232355</v>
      </c>
      <c r="H384" s="1087">
        <f t="shared" si="159"/>
        <v>21059.320704322334</v>
      </c>
      <c r="I384" s="1124"/>
      <c r="J384" s="1124"/>
      <c r="K384" s="1127">
        <f>AVERAGEIFS(K342:K382,$A342:$A382,"&gt;="&amp;$B$3,$A342:$A382,"&lt;="&amp;$B$4)</f>
        <v>24.495590022435959</v>
      </c>
    </row>
    <row r="385" spans="1:3">
      <c r="A385" s="1049"/>
      <c r="B385" s="1049"/>
      <c r="C385" s="1049"/>
    </row>
    <row r="386" spans="1:3">
      <c r="A386" s="1049"/>
      <c r="B386" s="1049"/>
      <c r="C386" s="1049"/>
    </row>
    <row r="387" spans="1:3">
      <c r="A387" s="1049"/>
      <c r="B387" s="1049"/>
      <c r="C387" s="1049"/>
    </row>
    <row r="388" spans="1:3">
      <c r="A388" s="1049"/>
      <c r="B388" s="1049"/>
      <c r="C388" s="1049"/>
    </row>
    <row r="389" spans="1:3">
      <c r="A389" s="1049"/>
      <c r="B389" s="1049"/>
      <c r="C389" s="1049"/>
    </row>
    <row r="390" spans="1:3">
      <c r="A390" s="1049"/>
      <c r="B390" s="1049"/>
      <c r="C390" s="1049"/>
    </row>
    <row r="391" spans="1:3">
      <c r="A391" s="1049"/>
      <c r="B391" s="1049"/>
      <c r="C391" s="1049"/>
    </row>
    <row r="392" spans="1:3">
      <c r="A392" s="1049"/>
      <c r="B392" s="1049"/>
      <c r="C392" s="1049"/>
    </row>
    <row r="393" spans="1:3">
      <c r="A393" s="1049"/>
      <c r="B393" s="1049"/>
      <c r="C393" s="1049"/>
    </row>
    <row r="394" spans="1:3">
      <c r="A394" s="1049"/>
      <c r="B394" s="1049"/>
      <c r="C394" s="1049"/>
    </row>
    <row r="395" spans="1:3">
      <c r="A395" s="1049"/>
      <c r="B395" s="1049"/>
      <c r="C395" s="1049"/>
    </row>
    <row r="396" spans="1:3">
      <c r="A396" s="1049"/>
      <c r="B396" s="1049"/>
      <c r="C396" s="1049"/>
    </row>
    <row r="397" spans="1:3">
      <c r="A397" s="1049"/>
      <c r="B397" s="1049"/>
      <c r="C397" s="1049"/>
    </row>
    <row r="398" spans="1:3">
      <c r="A398" s="1049"/>
      <c r="B398" s="1049"/>
      <c r="C398" s="1049"/>
    </row>
    <row r="399" spans="1:3">
      <c r="A399" s="1049"/>
    </row>
    <row r="400" spans="1:3">
      <c r="A400" s="1049"/>
    </row>
    <row r="401" spans="1:1">
      <c r="A401" s="1049"/>
    </row>
    <row r="618" s="1014" customFormat="1"/>
  </sheetData>
  <sheetProtection algorithmName="SHA-512" hashValue="scJkfmi4tlokL55Ev9lySpXgTT5QBc3EqHwHLpIMa25ZswobiSyFM2hNLKnIzUE0VpGLabJ7r1WXOq9855w7hg==" saltValue="Ib4fVKxagnGKSNoVVK/VNg==" spinCount="100000" sheet="1" objects="1" scenarios="1"/>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sqref="A1:XFD1048576"/>
    </sheetView>
  </sheetViews>
  <sheetFormatPr defaultColWidth="8.77734375" defaultRowHeight="13.2"/>
  <cols>
    <col min="1" max="1" width="10.77734375" style="1013" bestFit="1" customWidth="1"/>
    <col min="2" max="2" width="23.44140625" style="1013" bestFit="1" customWidth="1"/>
    <col min="3" max="3" width="17" style="1013" bestFit="1" customWidth="1"/>
    <col min="4" max="4" width="5.5546875" style="1013" bestFit="1" customWidth="1"/>
    <col min="5" max="5" width="26.77734375" style="1013" bestFit="1" customWidth="1"/>
    <col min="6" max="6" width="5.5546875" style="1013" bestFit="1" customWidth="1"/>
    <col min="7" max="7" width="8.77734375" style="1013"/>
    <col min="8" max="8" width="10.77734375" style="1013" bestFit="1" customWidth="1"/>
    <col min="9" max="9" width="23.44140625" style="1013" bestFit="1" customWidth="1"/>
    <col min="10" max="10" width="17" style="1013" bestFit="1" customWidth="1"/>
    <col min="11" max="11" width="5.5546875" style="1013" bestFit="1" customWidth="1"/>
    <col min="12" max="12" width="26.77734375" style="1013" bestFit="1" customWidth="1"/>
    <col min="13" max="13" width="4.77734375" style="1013" bestFit="1" customWidth="1"/>
    <col min="14" max="14" width="6.77734375" style="1013" customWidth="1"/>
    <col min="15" max="15" width="10.77734375" style="1013" bestFit="1" customWidth="1"/>
    <col min="16" max="16" width="23.44140625" style="1013" bestFit="1" customWidth="1"/>
    <col min="17" max="17" width="17" style="1013" bestFit="1" customWidth="1"/>
    <col min="18" max="18" width="5.5546875" style="1013" bestFit="1" customWidth="1"/>
    <col min="19" max="19" width="26.77734375" style="1013" bestFit="1" customWidth="1"/>
    <col min="20" max="20" width="5.5546875" style="1013" bestFit="1" customWidth="1"/>
    <col min="21" max="21" width="8.77734375" style="1013"/>
    <col min="22" max="22" width="10.77734375" style="1013" bestFit="1" customWidth="1"/>
    <col min="23" max="23" width="23.44140625" style="1013" bestFit="1" customWidth="1"/>
    <col min="24" max="24" width="17" style="1013" bestFit="1" customWidth="1"/>
    <col min="25" max="25" width="5.5546875" style="1013" bestFit="1" customWidth="1"/>
    <col min="26" max="26" width="26.77734375" style="1013" bestFit="1" customWidth="1"/>
    <col min="27" max="27" width="5.5546875" style="1013" bestFit="1" customWidth="1"/>
    <col min="28" max="16384" width="8.77734375" style="1013"/>
  </cols>
  <sheetData>
    <row r="1" spans="1:27" ht="14.4">
      <c r="A1" s="1013" t="s">
        <v>687</v>
      </c>
      <c r="B1" s="1431" t="s">
        <v>7314</v>
      </c>
      <c r="H1" s="1013" t="s">
        <v>687</v>
      </c>
      <c r="I1" s="1431" t="s">
        <v>7314</v>
      </c>
      <c r="O1" s="1013" t="s">
        <v>687</v>
      </c>
      <c r="P1" s="1431" t="s">
        <v>7314</v>
      </c>
      <c r="V1" s="1013" t="s">
        <v>687</v>
      </c>
      <c r="W1" s="1431" t="s">
        <v>7314</v>
      </c>
    </row>
    <row r="2" spans="1:27" ht="14.4">
      <c r="A2" s="1013" t="s">
        <v>7315</v>
      </c>
      <c r="B2" s="1431" t="s">
        <v>7316</v>
      </c>
      <c r="H2" s="1013" t="s">
        <v>7315</v>
      </c>
      <c r="I2" s="1431" t="s">
        <v>7316</v>
      </c>
      <c r="O2" s="1013" t="s">
        <v>7315</v>
      </c>
      <c r="P2" s="1431" t="s">
        <v>7316</v>
      </c>
      <c r="V2" s="1013" t="s">
        <v>7315</v>
      </c>
      <c r="W2" s="1431" t="s">
        <v>7316</v>
      </c>
    </row>
    <row r="3" spans="1:27" ht="14.4">
      <c r="A3" s="1013" t="s">
        <v>7317</v>
      </c>
      <c r="B3" s="1431" t="s">
        <v>7318</v>
      </c>
      <c r="H3" s="1013" t="s">
        <v>7317</v>
      </c>
      <c r="I3" s="1431" t="s">
        <v>7318</v>
      </c>
      <c r="O3" s="1013" t="s">
        <v>7317</v>
      </c>
      <c r="P3" s="1431" t="s">
        <v>7318</v>
      </c>
      <c r="V3" s="1013" t="s">
        <v>7317</v>
      </c>
      <c r="W3" s="1431" t="s">
        <v>7318</v>
      </c>
    </row>
    <row r="4" spans="1:27" ht="14.4">
      <c r="A4" s="1013" t="s">
        <v>510</v>
      </c>
      <c r="B4" s="1431">
        <v>2020</v>
      </c>
      <c r="H4" s="1013" t="s">
        <v>510</v>
      </c>
      <c r="I4" s="1431">
        <v>2030</v>
      </c>
      <c r="O4" s="1013" t="s">
        <v>510</v>
      </c>
      <c r="P4" s="1431">
        <v>2040</v>
      </c>
      <c r="V4" s="1013" t="s">
        <v>510</v>
      </c>
      <c r="W4" s="1431">
        <v>2045</v>
      </c>
    </row>
    <row r="5" spans="1:27" ht="14.4">
      <c r="A5" s="1432" t="s">
        <v>7319</v>
      </c>
      <c r="B5" s="1433" t="s">
        <v>7278</v>
      </c>
      <c r="C5" s="1433" t="s">
        <v>7279</v>
      </c>
      <c r="D5" s="1433" t="s">
        <v>284</v>
      </c>
      <c r="E5" s="1433" t="s">
        <v>7280</v>
      </c>
      <c r="F5" s="1433" t="s">
        <v>7281</v>
      </c>
      <c r="H5" s="1432" t="s">
        <v>7319</v>
      </c>
      <c r="I5" s="1433" t="s">
        <v>7278</v>
      </c>
      <c r="J5" s="1433" t="s">
        <v>7279</v>
      </c>
      <c r="K5" s="1433" t="s">
        <v>284</v>
      </c>
      <c r="L5" s="1433" t="s">
        <v>7280</v>
      </c>
      <c r="M5" s="1433" t="s">
        <v>7281</v>
      </c>
      <c r="O5" s="1432" t="s">
        <v>7319</v>
      </c>
      <c r="P5" s="1433" t="s">
        <v>7278</v>
      </c>
      <c r="Q5" s="1433" t="s">
        <v>7279</v>
      </c>
      <c r="R5" s="1433" t="s">
        <v>284</v>
      </c>
      <c r="S5" s="1433" t="s">
        <v>7280</v>
      </c>
      <c r="T5" s="1433" t="s">
        <v>7281</v>
      </c>
      <c r="V5" s="1432" t="s">
        <v>7319</v>
      </c>
      <c r="W5" s="1433" t="s">
        <v>7278</v>
      </c>
      <c r="X5" s="1433" t="s">
        <v>7279</v>
      </c>
      <c r="Y5" s="1433" t="s">
        <v>284</v>
      </c>
      <c r="Z5" s="1433" t="s">
        <v>7280</v>
      </c>
      <c r="AA5" s="1433" t="s">
        <v>7281</v>
      </c>
    </row>
    <row r="6" spans="1:27">
      <c r="A6" s="1344" t="s">
        <v>7320</v>
      </c>
      <c r="B6" s="1434">
        <v>8.9320967381354824E-2</v>
      </c>
      <c r="C6" s="1434">
        <v>8.3853380953272225</v>
      </c>
      <c r="D6" s="1434">
        <v>0.19556781628246769</v>
      </c>
      <c r="E6" s="1434">
        <v>8.1873401068151025E-2</v>
      </c>
      <c r="F6" s="1434">
        <v>8.1405069062991664E-2</v>
      </c>
      <c r="H6" s="1344" t="s">
        <v>7320</v>
      </c>
      <c r="I6" s="1435">
        <v>2.8507956660181622E-2</v>
      </c>
      <c r="J6" s="1435">
        <v>4.0285730691005766</v>
      </c>
      <c r="K6" s="1435">
        <v>4.7120835127619019E-2</v>
      </c>
      <c r="L6" s="1435">
        <v>2.5088893579474584E-2</v>
      </c>
      <c r="M6" s="1435">
        <v>2.3924466406846104E-2</v>
      </c>
      <c r="O6" s="1344" t="s">
        <v>7320</v>
      </c>
      <c r="P6" s="1434">
        <v>1.164704964927709E-2</v>
      </c>
      <c r="Q6" s="1434">
        <v>2.3052697752912827</v>
      </c>
      <c r="R6" s="1434">
        <v>6.7256962502180934E-3</v>
      </c>
      <c r="S6" s="1434">
        <v>9.4246990817402326E-3</v>
      </c>
      <c r="T6" s="1434">
        <v>8.5784322466998953E-3</v>
      </c>
      <c r="V6" s="1344" t="s">
        <v>7320</v>
      </c>
      <c r="W6" s="1434">
        <v>1.1010911586098968E-2</v>
      </c>
      <c r="X6" s="1434">
        <v>2.1957525357914451</v>
      </c>
      <c r="Y6" s="1434">
        <v>5.1727874761132936E-3</v>
      </c>
      <c r="Z6" s="1434">
        <v>8.8543288347882974E-3</v>
      </c>
      <c r="AA6" s="1434">
        <v>8.0592781996531009E-3</v>
      </c>
    </row>
    <row r="7" spans="1:27">
      <c r="A7" s="1344" t="s">
        <v>7321</v>
      </c>
      <c r="B7" s="1434">
        <v>5.4005440731997735E-2</v>
      </c>
      <c r="C7" s="1434">
        <v>5.2565012307216721</v>
      </c>
      <c r="D7" s="1434">
        <v>0.1362943345448</v>
      </c>
      <c r="E7" s="1434">
        <v>4.8946184144976562E-2</v>
      </c>
      <c r="F7" s="1434">
        <v>4.8302873789602581E-2</v>
      </c>
      <c r="H7" s="1344" t="s">
        <v>7321</v>
      </c>
      <c r="I7" s="1435">
        <v>1.9278423196132044E-2</v>
      </c>
      <c r="J7" s="1435">
        <v>2.5967812820648155</v>
      </c>
      <c r="K7" s="1435">
        <v>3.7428753513570362E-2</v>
      </c>
      <c r="L7" s="1435">
        <v>1.680159477351861E-2</v>
      </c>
      <c r="M7" s="1435">
        <v>1.5896009520172543E-2</v>
      </c>
      <c r="O7" s="1344" t="s">
        <v>7321</v>
      </c>
      <c r="P7" s="1434">
        <v>8.605722603535558E-3</v>
      </c>
      <c r="Q7" s="1434">
        <v>1.5320865086590245</v>
      </c>
      <c r="R7" s="1434">
        <v>9.2196935577990875E-3</v>
      </c>
      <c r="S7" s="1434">
        <v>6.9635267457970086E-3</v>
      </c>
      <c r="T7" s="1434">
        <v>6.338256286958467E-3</v>
      </c>
      <c r="V7" s="1344" t="s">
        <v>7321</v>
      </c>
      <c r="W7" s="1434">
        <v>8.1364249811786468E-3</v>
      </c>
      <c r="X7" s="1434">
        <v>1.464305875667681</v>
      </c>
      <c r="Y7" s="1434">
        <v>8.0066440574834506E-3</v>
      </c>
      <c r="Z7" s="1434">
        <v>6.5427499054442765E-3</v>
      </c>
      <c r="AA7" s="1434">
        <v>5.9552620532475333E-3</v>
      </c>
    </row>
    <row r="8" spans="1:27">
      <c r="A8" s="1344" t="s">
        <v>7274</v>
      </c>
      <c r="B8" s="1434">
        <v>3.5714970600866154E-2</v>
      </c>
      <c r="C8" s="1434">
        <v>3.7107543358579274</v>
      </c>
      <c r="D8" s="1434">
        <v>0.10337809591631782</v>
      </c>
      <c r="E8" s="1434">
        <v>3.1956733531844382E-2</v>
      </c>
      <c r="F8" s="1434">
        <v>3.1264194461983308E-2</v>
      </c>
      <c r="H8" s="1344" t="s">
        <v>7274</v>
      </c>
      <c r="I8" s="1435">
        <v>1.4261775242631509E-2</v>
      </c>
      <c r="J8" s="1435">
        <v>1.8835912660385175</v>
      </c>
      <c r="K8" s="1435">
        <v>3.1110112739649341E-2</v>
      </c>
      <c r="L8" s="1435">
        <v>1.2320403259460301E-2</v>
      </c>
      <c r="M8" s="1435">
        <v>1.1572204113083469E-2</v>
      </c>
      <c r="O8" s="1344" t="s">
        <v>7274</v>
      </c>
      <c r="P8" s="1434">
        <v>6.8491027456419225E-3</v>
      </c>
      <c r="Q8" s="1434">
        <v>1.1415968076325953</v>
      </c>
      <c r="R8" s="1434">
        <v>9.6200559401034991E-3</v>
      </c>
      <c r="S8" s="1434">
        <v>5.542023211698434E-3</v>
      </c>
      <c r="T8" s="1434">
        <v>5.0443929546110664E-3</v>
      </c>
      <c r="V8" s="1344" t="s">
        <v>7274</v>
      </c>
      <c r="W8" s="1434">
        <v>6.4760029902865808E-3</v>
      </c>
      <c r="X8" s="1434">
        <v>1.0942301612036933</v>
      </c>
      <c r="Y8" s="1434">
        <v>8.6103045074776008E-3</v>
      </c>
      <c r="Z8" s="1434">
        <v>5.2074976004707072E-3</v>
      </c>
      <c r="AA8" s="1434">
        <v>4.7399050611886704E-3</v>
      </c>
    </row>
    <row r="9" spans="1:27">
      <c r="A9" s="1344" t="s">
        <v>7322</v>
      </c>
      <c r="B9" s="1434">
        <v>2.839330084922416E-2</v>
      </c>
      <c r="C9" s="1434">
        <v>3.2316481691474714</v>
      </c>
      <c r="D9" s="1434">
        <v>8.6058030724717835E-2</v>
      </c>
      <c r="E9" s="1434">
        <v>2.5275584882669677E-2</v>
      </c>
      <c r="F9" s="1434">
        <v>2.4640680623026542E-2</v>
      </c>
      <c r="H9" s="1344" t="s">
        <v>7322</v>
      </c>
      <c r="I9" s="1435">
        <v>1.1811613068857032E-2</v>
      </c>
      <c r="J9" s="1435">
        <v>1.6510996792931107</v>
      </c>
      <c r="K9" s="1435">
        <v>2.6153492673378919E-2</v>
      </c>
      <c r="L9" s="1435">
        <v>1.0173268617411446E-2</v>
      </c>
      <c r="M9" s="1435">
        <v>9.5316651252971337E-3</v>
      </c>
      <c r="O9" s="1344" t="s">
        <v>7322</v>
      </c>
      <c r="P9" s="1434">
        <v>5.8068164647320309E-3</v>
      </c>
      <c r="Q9" s="1434">
        <v>1.0038890350454797</v>
      </c>
      <c r="R9" s="1434">
        <v>8.1146976269044161E-3</v>
      </c>
      <c r="S9" s="1434">
        <v>4.6986215529628908E-3</v>
      </c>
      <c r="T9" s="1434">
        <v>4.2767221587657516E-3</v>
      </c>
      <c r="V9" s="1344" t="s">
        <v>7322</v>
      </c>
      <c r="W9" s="1434">
        <v>5.4905099905230431E-3</v>
      </c>
      <c r="X9" s="1434">
        <v>0.96244792306485361</v>
      </c>
      <c r="Y9" s="1434">
        <v>7.2373066262416651E-3</v>
      </c>
      <c r="Z9" s="1434">
        <v>4.4150174659701889E-3</v>
      </c>
      <c r="AA9" s="1434">
        <v>4.0185833140644533E-3</v>
      </c>
    </row>
    <row r="10" spans="1:27">
      <c r="A10" s="1344" t="s">
        <v>7323</v>
      </c>
      <c r="B10" s="1434">
        <v>2.4232322677561712E-2</v>
      </c>
      <c r="C10" s="1434">
        <v>2.9144079172983766</v>
      </c>
      <c r="D10" s="1434">
        <v>7.725442283844984E-2</v>
      </c>
      <c r="E10" s="1434">
        <v>2.146491305514478E-2</v>
      </c>
      <c r="F10" s="1434">
        <v>2.0854361623302717E-2</v>
      </c>
      <c r="H10" s="1344" t="s">
        <v>7323</v>
      </c>
      <c r="I10" s="1435">
        <v>1.0460927565873426E-2</v>
      </c>
      <c r="J10" s="1435">
        <v>1.4982856155062707</v>
      </c>
      <c r="K10" s="1435">
        <v>2.4361162314257917E-2</v>
      </c>
      <c r="L10" s="1435">
        <v>8.9845888348160183E-3</v>
      </c>
      <c r="M10" s="1435">
        <v>8.3982380850402272E-3</v>
      </c>
      <c r="O10" s="1344" t="s">
        <v>7323</v>
      </c>
      <c r="P10" s="1434">
        <v>5.2550918074614596E-3</v>
      </c>
      <c r="Q10" s="1434">
        <v>0.91503040430446536</v>
      </c>
      <c r="R10" s="1434">
        <v>8.2487105185778571E-3</v>
      </c>
      <c r="S10" s="1434">
        <v>4.2521266183688771E-3</v>
      </c>
      <c r="T10" s="1434">
        <v>3.8703188529319015E-3</v>
      </c>
      <c r="V10" s="1344" t="s">
        <v>7323</v>
      </c>
      <c r="W10" s="1434">
        <v>4.9690046207623651E-3</v>
      </c>
      <c r="X10" s="1434">
        <v>0.87752369077255443</v>
      </c>
      <c r="Y10" s="1434">
        <v>7.4483541338842552E-3</v>
      </c>
      <c r="Z10" s="1434">
        <v>3.9956172474087271E-3</v>
      </c>
      <c r="AA10" s="1434">
        <v>3.6368418238132763E-3</v>
      </c>
    </row>
    <row r="11" spans="1:27">
      <c r="A11" s="1344" t="s">
        <v>7272</v>
      </c>
      <c r="B11" s="1434">
        <v>2.1432960823098837E-2</v>
      </c>
      <c r="C11" s="1434">
        <v>2.5055261499558887</v>
      </c>
      <c r="D11" s="1434">
        <v>7.431409853840662E-2</v>
      </c>
      <c r="E11" s="1434">
        <v>1.8932129941580566E-2</v>
      </c>
      <c r="F11" s="1434">
        <v>1.8357573451794066E-2</v>
      </c>
      <c r="H11" s="1344" t="s">
        <v>7272</v>
      </c>
      <c r="I11" s="1435">
        <v>9.4521563817877453E-3</v>
      </c>
      <c r="J11" s="1435">
        <v>1.2810106734589985</v>
      </c>
      <c r="K11" s="1435">
        <v>2.382008685284338E-2</v>
      </c>
      <c r="L11" s="1435">
        <v>8.1070472576063712E-3</v>
      </c>
      <c r="M11" s="1435">
        <v>7.5692492943423206E-3</v>
      </c>
      <c r="O11" s="1344" t="s">
        <v>7272</v>
      </c>
      <c r="P11" s="1434">
        <v>4.7975754368975295E-3</v>
      </c>
      <c r="Q11" s="1434">
        <v>0.7770697201291713</v>
      </c>
      <c r="R11" s="1434">
        <v>8.2830492786661429E-3</v>
      </c>
      <c r="S11" s="1434">
        <v>3.8819180266130193E-3</v>
      </c>
      <c r="T11" s="1434">
        <v>3.5333520521212279E-3</v>
      </c>
      <c r="V11" s="1344" t="s">
        <v>7272</v>
      </c>
      <c r="W11" s="1434">
        <v>4.5364302386583346E-3</v>
      </c>
      <c r="X11" s="1434">
        <v>0.74471023065659159</v>
      </c>
      <c r="Y11" s="1434">
        <v>7.4995499186730451E-3</v>
      </c>
      <c r="Z11" s="1434">
        <v>3.6477721769177037E-3</v>
      </c>
      <c r="AA11" s="1434">
        <v>3.3202308347125009E-3</v>
      </c>
    </row>
    <row r="12" spans="1:27">
      <c r="A12" s="1344" t="s">
        <v>7324</v>
      </c>
      <c r="B12" s="1434">
        <v>1.99495808604612E-2</v>
      </c>
      <c r="C12" s="1434">
        <v>2.3874006529028224</v>
      </c>
      <c r="D12" s="1434">
        <v>7.103138220554768E-2</v>
      </c>
      <c r="E12" s="1434">
        <v>1.7544590631588131E-2</v>
      </c>
      <c r="F12" s="1434">
        <v>1.6960363137814582E-2</v>
      </c>
      <c r="H12" s="1344" t="s">
        <v>7324</v>
      </c>
      <c r="I12" s="1435">
        <v>9.0704424328562471E-3</v>
      </c>
      <c r="J12" s="1435">
        <v>1.2448885390379769</v>
      </c>
      <c r="K12" s="1435">
        <v>2.3998084914636845E-2</v>
      </c>
      <c r="L12" s="1435">
        <v>7.7616724047407598E-3</v>
      </c>
      <c r="M12" s="1435">
        <v>7.2327854771464797E-3</v>
      </c>
      <c r="O12" s="1344" t="s">
        <v>7324</v>
      </c>
      <c r="P12" s="1434">
        <v>4.6840236621691371E-3</v>
      </c>
      <c r="Q12" s="1434">
        <v>0.77245993888937037</v>
      </c>
      <c r="R12" s="1434">
        <v>9.280844382978647E-3</v>
      </c>
      <c r="S12" s="1434">
        <v>3.7899961313686207E-3</v>
      </c>
      <c r="T12" s="1434">
        <v>3.4496840144130222E-3</v>
      </c>
      <c r="V12" s="1344" t="s">
        <v>7324</v>
      </c>
      <c r="W12" s="1434">
        <v>4.4292469695716161E-3</v>
      </c>
      <c r="X12" s="1434">
        <v>0.74205033993348601</v>
      </c>
      <c r="Y12" s="1434">
        <v>8.527327635117975E-3</v>
      </c>
      <c r="Z12" s="1434">
        <v>3.5615600724389351E-3</v>
      </c>
      <c r="AA12" s="1434">
        <v>3.2417597373446514E-3</v>
      </c>
    </row>
    <row r="13" spans="1:27">
      <c r="A13" s="1344" t="s">
        <v>7325</v>
      </c>
      <c r="B13" s="1434">
        <v>1.8857932562239561E-2</v>
      </c>
      <c r="C13" s="1434">
        <v>2.1933689907503631</v>
      </c>
      <c r="D13" s="1434">
        <v>7.192334817470307E-2</v>
      </c>
      <c r="E13" s="1434">
        <v>1.6525923821367191E-2</v>
      </c>
      <c r="F13" s="1434">
        <v>1.5936363294410266E-2</v>
      </c>
      <c r="H13" s="1344" t="s">
        <v>7325</v>
      </c>
      <c r="I13" s="1435">
        <v>8.7839550487855498E-3</v>
      </c>
      <c r="J13" s="1435">
        <v>1.1599210689309982</v>
      </c>
      <c r="K13" s="1435">
        <v>2.5715235028959105E-2</v>
      </c>
      <c r="L13" s="1435">
        <v>7.5034373124566482E-3</v>
      </c>
      <c r="M13" s="1435">
        <v>6.9819852621229228E-3</v>
      </c>
      <c r="O13" s="1344" t="s">
        <v>7325</v>
      </c>
      <c r="P13" s="1434">
        <v>4.5947305425195328E-3</v>
      </c>
      <c r="Q13" s="1434">
        <v>0.73205241351388217</v>
      </c>
      <c r="R13" s="1434">
        <v>1.0933449510048841E-2</v>
      </c>
      <c r="S13" s="1434">
        <v>3.7177021155623646E-3</v>
      </c>
      <c r="T13" s="1434">
        <v>3.383881354240623E-3</v>
      </c>
      <c r="V13" s="1344" t="s">
        <v>7325</v>
      </c>
      <c r="W13" s="1434">
        <v>4.3450075769817685E-3</v>
      </c>
      <c r="X13" s="1434">
        <v>0.70454672972361132</v>
      </c>
      <c r="Y13" s="1434">
        <v>1.0165762213241931E-2</v>
      </c>
      <c r="Z13" s="1434">
        <v>3.4937973972186212E-3</v>
      </c>
      <c r="AA13" s="1434">
        <v>3.1800817168927045E-3</v>
      </c>
    </row>
    <row r="14" spans="1:27">
      <c r="A14" s="1344" t="s">
        <v>7326</v>
      </c>
      <c r="B14" s="1434">
        <v>1.8005109879594132E-2</v>
      </c>
      <c r="C14" s="1434">
        <v>2.0234520576583841</v>
      </c>
      <c r="D14" s="1434">
        <v>7.3153465030675491E-2</v>
      </c>
      <c r="E14" s="1434">
        <v>1.5734378892376309E-2</v>
      </c>
      <c r="F14" s="1434">
        <v>1.5143373439060054E-2</v>
      </c>
      <c r="H14" s="1344" t="s">
        <v>7326</v>
      </c>
      <c r="I14" s="1435">
        <v>8.5462532739861985E-3</v>
      </c>
      <c r="J14" s="1435">
        <v>1.0823378007238083</v>
      </c>
      <c r="K14" s="1435">
        <v>2.7216488121970982E-2</v>
      </c>
      <c r="L14" s="1435">
        <v>7.2908718011611999E-3</v>
      </c>
      <c r="M14" s="1435">
        <v>6.7767965908085911E-3</v>
      </c>
      <c r="O14" s="1344" t="s">
        <v>7326</v>
      </c>
      <c r="P14" s="1434">
        <v>4.5131053587580761E-3</v>
      </c>
      <c r="Q14" s="1434">
        <v>0.69251919661959127</v>
      </c>
      <c r="R14" s="1434">
        <v>1.2263895532669029E-2</v>
      </c>
      <c r="S14" s="1434">
        <v>3.6516234777089866E-3</v>
      </c>
      <c r="T14" s="1434">
        <v>3.323736066400781E-3</v>
      </c>
      <c r="V14" s="1344" t="s">
        <v>7326</v>
      </c>
      <c r="W14" s="1434">
        <v>4.2679722461498688E-3</v>
      </c>
      <c r="X14" s="1434">
        <v>0.66750992578454138</v>
      </c>
      <c r="Y14" s="1434">
        <v>1.147916519767214E-2</v>
      </c>
      <c r="Z14" s="1434">
        <v>3.4318338299880236E-3</v>
      </c>
      <c r="AA14" s="1434">
        <v>3.1236819938091128E-3</v>
      </c>
    </row>
    <row r="15" spans="1:27">
      <c r="A15" s="1344" t="s">
        <v>7327</v>
      </c>
      <c r="B15" s="1434">
        <v>1.7426524614467694E-2</v>
      </c>
      <c r="C15" s="1434">
        <v>1.901764765847475</v>
      </c>
      <c r="D15" s="1434">
        <v>7.438766115228837E-2</v>
      </c>
      <c r="E15" s="1434">
        <v>1.518932472754402E-2</v>
      </c>
      <c r="F15" s="1434">
        <v>1.4592205847295051E-2</v>
      </c>
      <c r="H15" s="1344" t="s">
        <v>7327</v>
      </c>
      <c r="I15" s="1435">
        <v>8.4141080315024742E-3</v>
      </c>
      <c r="J15" s="1435">
        <v>1.0287097599357367</v>
      </c>
      <c r="K15" s="1435">
        <v>2.8533969506193888E-2</v>
      </c>
      <c r="L15" s="1435">
        <v>7.1698207757434906E-3</v>
      </c>
      <c r="M15" s="1435">
        <v>6.6578027848052069E-3</v>
      </c>
      <c r="O15" s="1344" t="s">
        <v>7327</v>
      </c>
      <c r="P15" s="1434">
        <v>4.4806436292980463E-3</v>
      </c>
      <c r="Q15" s="1434">
        <v>0.66681926387051871</v>
      </c>
      <c r="R15" s="1434">
        <v>1.3398951803538166E-2</v>
      </c>
      <c r="S15" s="1434">
        <v>3.6253300980513014E-3</v>
      </c>
      <c r="T15" s="1434">
        <v>3.2998035606710903E-3</v>
      </c>
      <c r="V15" s="1344" t="s">
        <v>7327</v>
      </c>
      <c r="W15" s="1434">
        <v>4.2374016071927076E-3</v>
      </c>
      <c r="X15" s="1434">
        <v>0.64363917188408315</v>
      </c>
      <c r="Y15" s="1434">
        <v>1.2598077195434633E-2</v>
      </c>
      <c r="Z15" s="1434">
        <v>3.4072364199641994E-3</v>
      </c>
      <c r="AA15" s="1434">
        <v>3.1012931349309915E-3</v>
      </c>
    </row>
    <row r="16" spans="1:27">
      <c r="A16" s="1344" t="s">
        <v>7328</v>
      </c>
      <c r="B16" s="1434">
        <v>1.7082223456478644E-2</v>
      </c>
      <c r="C16" s="1434">
        <v>1.8401981880888341</v>
      </c>
      <c r="D16" s="1434">
        <v>7.5450907437093054E-2</v>
      </c>
      <c r="E16" s="1434">
        <v>1.4852176045675262E-2</v>
      </c>
      <c r="F16" s="1434">
        <v>1.4243189460102196E-2</v>
      </c>
      <c r="H16" s="1344" t="s">
        <v>7328</v>
      </c>
      <c r="I16" s="1435">
        <v>8.3846841413717423E-3</v>
      </c>
      <c r="J16" s="1435">
        <v>1.0067266503659382</v>
      </c>
      <c r="K16" s="1435">
        <v>2.9655362171373528E-2</v>
      </c>
      <c r="L16" s="1435">
        <v>7.1374165278637958E-3</v>
      </c>
      <c r="M16" s="1435">
        <v>6.621991722566418E-3</v>
      </c>
      <c r="O16" s="1344" t="s">
        <v>7328</v>
      </c>
      <c r="P16" s="1434">
        <v>4.4978406779898417E-3</v>
      </c>
      <c r="Q16" s="1434">
        <v>0.66046555084176128</v>
      </c>
      <c r="R16" s="1434">
        <v>1.4373650919876422E-2</v>
      </c>
      <c r="S16" s="1434">
        <v>3.639222055122137E-3</v>
      </c>
      <c r="T16" s="1434">
        <v>3.3124483882902324E-3</v>
      </c>
      <c r="V16" s="1344" t="s">
        <v>7328</v>
      </c>
      <c r="W16" s="1434">
        <v>4.2537688693006503E-3</v>
      </c>
      <c r="X16" s="1434">
        <v>0.63829131587408405</v>
      </c>
      <c r="Y16" s="1434">
        <v>1.3560528763871647E-2</v>
      </c>
      <c r="Z16" s="1434">
        <v>3.4203846165229176E-3</v>
      </c>
      <c r="AA16" s="1434">
        <v>3.1132608088833354E-3</v>
      </c>
    </row>
    <row r="17" spans="1:27">
      <c r="A17" s="1344" t="s">
        <v>7329</v>
      </c>
      <c r="B17" s="1434">
        <v>1.6985367298428769E-2</v>
      </c>
      <c r="C17" s="1434">
        <v>1.8385721867283185</v>
      </c>
      <c r="D17" s="1434">
        <v>7.6750451504874029E-2</v>
      </c>
      <c r="E17" s="1434">
        <v>1.4732491101311316E-2</v>
      </c>
      <c r="F17" s="1434">
        <v>1.4104330609066662E-2</v>
      </c>
      <c r="H17" s="1344" t="s">
        <v>7329</v>
      </c>
      <c r="I17" s="1435">
        <v>8.4657699862873814E-3</v>
      </c>
      <c r="J17" s="1435">
        <v>1.0176160845439906</v>
      </c>
      <c r="K17" s="1435">
        <v>3.0899178117882054E-2</v>
      </c>
      <c r="L17" s="1435">
        <v>7.1992954708548149E-3</v>
      </c>
      <c r="M17" s="1435">
        <v>6.6738175707229085E-3</v>
      </c>
      <c r="O17" s="1344" t="s">
        <v>7329</v>
      </c>
      <c r="P17" s="1434">
        <v>4.5733334603317724E-3</v>
      </c>
      <c r="Q17" s="1434">
        <v>0.67551307419004702</v>
      </c>
      <c r="R17" s="1434">
        <v>1.5437386345487261E-2</v>
      </c>
      <c r="S17" s="1434">
        <v>3.7002843273502579E-3</v>
      </c>
      <c r="T17" s="1434">
        <v>3.3680276049682296E-3</v>
      </c>
      <c r="V17" s="1344" t="s">
        <v>7329</v>
      </c>
      <c r="W17" s="1434">
        <v>4.3252609190563771E-3</v>
      </c>
      <c r="X17" s="1434">
        <v>0.6535862945020211</v>
      </c>
      <c r="Y17" s="1434">
        <v>1.4610757041130599E-2</v>
      </c>
      <c r="Z17" s="1434">
        <v>3.4778593950858089E-3</v>
      </c>
      <c r="AA17" s="1434">
        <v>3.1655747922438716E-3</v>
      </c>
    </row>
    <row r="18" spans="1:27">
      <c r="A18" s="1344" t="s">
        <v>7330</v>
      </c>
      <c r="B18" s="1434">
        <v>1.720045392600426E-2</v>
      </c>
      <c r="C18" s="1434">
        <v>1.8624326066734886</v>
      </c>
      <c r="D18" s="1434">
        <v>7.8795114711588329E-2</v>
      </c>
      <c r="E18" s="1434">
        <v>1.4879368012769414E-2</v>
      </c>
      <c r="F18" s="1434">
        <v>1.421799779563985E-2</v>
      </c>
      <c r="H18" s="1344" t="s">
        <v>7330</v>
      </c>
      <c r="I18" s="1435">
        <v>8.7128375325843787E-3</v>
      </c>
      <c r="J18" s="1435">
        <v>1.0439468751816705</v>
      </c>
      <c r="K18" s="1435">
        <v>3.2640524880358103E-2</v>
      </c>
      <c r="L18" s="1435">
        <v>7.4010826580571615E-3</v>
      </c>
      <c r="M18" s="1435">
        <v>6.8543631823544298E-3</v>
      </c>
      <c r="O18" s="1344" t="s">
        <v>7330</v>
      </c>
      <c r="P18" s="1434">
        <v>4.7440728358195267E-3</v>
      </c>
      <c r="Q18" s="1434">
        <v>0.70177480190371411</v>
      </c>
      <c r="R18" s="1434">
        <v>1.6879143240658603E-2</v>
      </c>
      <c r="S18" s="1434">
        <v>3.8384085388933602E-3</v>
      </c>
      <c r="T18" s="1434">
        <v>3.4937493495243483E-3</v>
      </c>
      <c r="V18" s="1344" t="s">
        <v>7330</v>
      </c>
      <c r="W18" s="1434">
        <v>4.4868461372959629E-3</v>
      </c>
      <c r="X18" s="1434">
        <v>0.6798229080159236</v>
      </c>
      <c r="Y18" s="1434">
        <v>1.6031722648525381E-2</v>
      </c>
      <c r="Z18" s="1434">
        <v>3.607775905646616E-3</v>
      </c>
      <c r="AA18" s="1434">
        <v>3.2838258593984402E-3</v>
      </c>
    </row>
    <row r="19" spans="1:27">
      <c r="A19" s="1344" t="s">
        <v>7331</v>
      </c>
      <c r="B19" s="1434">
        <v>1.8734991561361724E-2</v>
      </c>
      <c r="C19" s="1434">
        <v>1.99599033826962</v>
      </c>
      <c r="D19" s="1434">
        <v>8.458258160195975E-2</v>
      </c>
      <c r="E19" s="1434">
        <v>1.6128506941944679E-2</v>
      </c>
      <c r="F19" s="1434">
        <v>1.5358361183945715E-2</v>
      </c>
      <c r="H19" s="1344" t="s">
        <v>7331</v>
      </c>
      <c r="I19" s="1435">
        <v>9.7607213331979154E-3</v>
      </c>
      <c r="J19" s="1435">
        <v>1.1429239601517711</v>
      </c>
      <c r="K19" s="1435">
        <v>3.7209692690037988E-2</v>
      </c>
      <c r="L19" s="1435">
        <v>8.2744208684738477E-3</v>
      </c>
      <c r="M19" s="1435">
        <v>7.6500256836890684E-3</v>
      </c>
      <c r="O19" s="1344" t="s">
        <v>7331</v>
      </c>
      <c r="P19" s="1434">
        <v>5.3898132458339914E-3</v>
      </c>
      <c r="Q19" s="1434">
        <v>0.78397081567285121</v>
      </c>
      <c r="R19" s="1434">
        <v>2.0586350403999226E-2</v>
      </c>
      <c r="S19" s="1434">
        <v>4.360838640723696E-3</v>
      </c>
      <c r="T19" s="1434">
        <v>3.9692695542428401E-3</v>
      </c>
      <c r="V19" s="1344" t="s">
        <v>7331</v>
      </c>
      <c r="W19" s="1434">
        <v>5.0977807398644558E-3</v>
      </c>
      <c r="X19" s="1434">
        <v>0.76088810634488757</v>
      </c>
      <c r="Y19" s="1434">
        <v>1.9682840890406245E-2</v>
      </c>
      <c r="Z19" s="1434">
        <v>4.098998861381385E-3</v>
      </c>
      <c r="AA19" s="1434">
        <v>3.7309407844094908E-3</v>
      </c>
    </row>
    <row r="20" spans="1:27">
      <c r="A20" s="1344" t="s">
        <v>7332</v>
      </c>
      <c r="B20" s="1434">
        <v>2.2710258114481782E-2</v>
      </c>
      <c r="C20" s="1434">
        <v>2.3736843476071945</v>
      </c>
      <c r="D20" s="1434">
        <v>9.6590026757136127E-2</v>
      </c>
      <c r="E20" s="1434">
        <v>1.9416146333242842E-2</v>
      </c>
      <c r="F20" s="1434">
        <v>1.8397014061824608E-2</v>
      </c>
      <c r="H20" s="1344" t="s">
        <v>7332</v>
      </c>
      <c r="I20" s="1435">
        <v>1.2293336430349472E-2</v>
      </c>
      <c r="J20" s="1435">
        <v>1.3946877592243256</v>
      </c>
      <c r="K20" s="1435">
        <v>4.6698587180191077E-2</v>
      </c>
      <c r="L20" s="1435">
        <v>1.0393042515110539E-2</v>
      </c>
      <c r="M20" s="1435">
        <v>9.5864812562170536E-3</v>
      </c>
      <c r="O20" s="1344" t="s">
        <v>7332</v>
      </c>
      <c r="P20" s="1434">
        <v>6.9151561583557404E-3</v>
      </c>
      <c r="Q20" s="1434">
        <v>0.97796212369575974</v>
      </c>
      <c r="R20" s="1434">
        <v>2.8341731859353295E-2</v>
      </c>
      <c r="S20" s="1434">
        <v>5.5949233113397161E-3</v>
      </c>
      <c r="T20" s="1434">
        <v>5.0925427901037717E-3</v>
      </c>
      <c r="V20" s="1344" t="s">
        <v>7332</v>
      </c>
      <c r="W20" s="1434">
        <v>6.5407956165790433E-3</v>
      </c>
      <c r="X20" s="1434">
        <v>0.9510243703455955</v>
      </c>
      <c r="Y20" s="1434">
        <v>2.732823164600175E-2</v>
      </c>
      <c r="Z20" s="1434">
        <v>5.2592671114966199E-3</v>
      </c>
      <c r="AA20" s="1434">
        <v>4.7870256979262978E-3</v>
      </c>
    </row>
    <row r="21" spans="1:27">
      <c r="A21" s="1344" t="s">
        <v>7333</v>
      </c>
      <c r="B21" s="1434">
        <v>2.8778664716813205E-2</v>
      </c>
      <c r="C21" s="1434">
        <v>3.207713303466639</v>
      </c>
      <c r="D21" s="1434">
        <v>0.11324166624884786</v>
      </c>
      <c r="E21" s="1434">
        <v>2.4462775535846203E-2</v>
      </c>
      <c r="F21" s="1434">
        <v>2.308187507393519E-2</v>
      </c>
      <c r="H21" s="1344" t="s">
        <v>7333</v>
      </c>
      <c r="I21" s="1435">
        <v>1.6018373708598953E-2</v>
      </c>
      <c r="J21" s="1435">
        <v>1.9301438573747864</v>
      </c>
      <c r="K21" s="1435">
        <v>6.0003965428528795E-2</v>
      </c>
      <c r="L21" s="1435">
        <v>1.3508431625572666E-2</v>
      </c>
      <c r="M21" s="1435">
        <v>1.2433376534316384E-2</v>
      </c>
      <c r="O21" s="1344" t="s">
        <v>7333</v>
      </c>
      <c r="P21" s="1434">
        <v>9.1617173463117239E-3</v>
      </c>
      <c r="Q21" s="1434">
        <v>1.3827127005594473</v>
      </c>
      <c r="R21" s="1434">
        <v>3.9287964939531267E-2</v>
      </c>
      <c r="S21" s="1434">
        <v>7.412522080508601E-3</v>
      </c>
      <c r="T21" s="1434">
        <v>6.7469351063972781E-3</v>
      </c>
      <c r="V21" s="1344" t="s">
        <v>7333</v>
      </c>
      <c r="W21" s="1434">
        <v>8.6660574743307218E-3</v>
      </c>
      <c r="X21" s="1434">
        <v>1.34708641221126</v>
      </c>
      <c r="Y21" s="1434">
        <v>3.8121380712255085E-2</v>
      </c>
      <c r="Z21" s="1434">
        <v>6.9681072855023495E-3</v>
      </c>
      <c r="AA21" s="1434">
        <v>6.3424256926149719E-3</v>
      </c>
    </row>
    <row r="22" spans="1:27">
      <c r="A22" s="1344"/>
      <c r="H22" s="1344"/>
      <c r="O22" s="1344"/>
      <c r="V22" s="1344"/>
    </row>
    <row r="23" spans="1:27">
      <c r="A23" s="1344"/>
      <c r="H23" s="1344"/>
      <c r="O23" s="1344"/>
      <c r="V23" s="1344"/>
    </row>
    <row r="24" spans="1:27" ht="14.4">
      <c r="A24" s="1013" t="s">
        <v>687</v>
      </c>
      <c r="B24" s="1431" t="s">
        <v>7334</v>
      </c>
      <c r="H24" s="1013" t="s">
        <v>687</v>
      </c>
      <c r="I24" s="1431" t="s">
        <v>7334</v>
      </c>
      <c r="O24" s="1013" t="s">
        <v>687</v>
      </c>
      <c r="P24" s="1431" t="s">
        <v>7334</v>
      </c>
      <c r="V24" s="1013" t="s">
        <v>687</v>
      </c>
      <c r="W24" s="1431" t="s">
        <v>7334</v>
      </c>
    </row>
    <row r="25" spans="1:27" ht="14.4">
      <c r="A25" s="1013" t="s">
        <v>7315</v>
      </c>
      <c r="B25" s="1431" t="s">
        <v>7316</v>
      </c>
      <c r="H25" s="1013" t="s">
        <v>7315</v>
      </c>
      <c r="I25" s="1431" t="s">
        <v>7316</v>
      </c>
      <c r="O25" s="1013" t="s">
        <v>7315</v>
      </c>
      <c r="P25" s="1431" t="s">
        <v>7316</v>
      </c>
      <c r="V25" s="1013" t="s">
        <v>7315</v>
      </c>
      <c r="W25" s="1431" t="s">
        <v>7316</v>
      </c>
    </row>
    <row r="26" spans="1:27" ht="14.4">
      <c r="A26" s="1013" t="s">
        <v>7317</v>
      </c>
      <c r="B26" s="1431" t="s">
        <v>7318</v>
      </c>
      <c r="H26" s="1013" t="s">
        <v>7317</v>
      </c>
      <c r="I26" s="1431" t="s">
        <v>7318</v>
      </c>
      <c r="O26" s="1013" t="s">
        <v>7317</v>
      </c>
      <c r="P26" s="1431" t="s">
        <v>7318</v>
      </c>
      <c r="V26" s="1013" t="s">
        <v>7317</v>
      </c>
      <c r="W26" s="1431" t="s">
        <v>7318</v>
      </c>
    </row>
    <row r="27" spans="1:27" ht="14.4">
      <c r="A27" s="1013" t="s">
        <v>510</v>
      </c>
      <c r="B27" s="1431">
        <v>2020</v>
      </c>
      <c r="H27" s="1013" t="s">
        <v>510</v>
      </c>
      <c r="I27" s="1431">
        <f>I4</f>
        <v>2030</v>
      </c>
      <c r="O27" s="1013" t="s">
        <v>510</v>
      </c>
      <c r="P27" s="1431">
        <f>P4</f>
        <v>2040</v>
      </c>
      <c r="V27" s="1013" t="s">
        <v>510</v>
      </c>
      <c r="W27" s="1431">
        <f>W4</f>
        <v>2045</v>
      </c>
    </row>
    <row r="28" spans="1:27" ht="14.4">
      <c r="A28" s="1432" t="s">
        <v>7319</v>
      </c>
      <c r="B28" s="1433" t="s">
        <v>7278</v>
      </c>
      <c r="C28" s="1433" t="s">
        <v>7279</v>
      </c>
      <c r="D28" s="1433" t="s">
        <v>284</v>
      </c>
      <c r="E28" s="1433" t="s">
        <v>7280</v>
      </c>
      <c r="F28" s="1433" t="s">
        <v>7281</v>
      </c>
      <c r="H28" s="1432" t="s">
        <v>7319</v>
      </c>
      <c r="I28" s="1433" t="s">
        <v>7278</v>
      </c>
      <c r="J28" s="1433" t="s">
        <v>7279</v>
      </c>
      <c r="K28" s="1433" t="s">
        <v>284</v>
      </c>
      <c r="L28" s="1433" t="s">
        <v>7280</v>
      </c>
      <c r="M28" s="1433" t="s">
        <v>7281</v>
      </c>
      <c r="O28" s="1432" t="s">
        <v>7319</v>
      </c>
      <c r="P28" s="1433" t="s">
        <v>7278</v>
      </c>
      <c r="Q28" s="1433" t="s">
        <v>7279</v>
      </c>
      <c r="R28" s="1433" t="s">
        <v>284</v>
      </c>
      <c r="S28" s="1433" t="s">
        <v>7280</v>
      </c>
      <c r="T28" s="1433" t="s">
        <v>7281</v>
      </c>
      <c r="V28" s="1432" t="s">
        <v>7319</v>
      </c>
      <c r="W28" s="1433" t="s">
        <v>7278</v>
      </c>
      <c r="X28" s="1433" t="s">
        <v>7279</v>
      </c>
      <c r="Y28" s="1433" t="s">
        <v>284</v>
      </c>
      <c r="Z28" s="1433" t="s">
        <v>7280</v>
      </c>
      <c r="AA28" s="1433" t="s">
        <v>7281</v>
      </c>
    </row>
    <row r="29" spans="1:27">
      <c r="A29" s="1344" t="s">
        <v>7320</v>
      </c>
      <c r="B29" s="1435">
        <v>3.7487006485462193</v>
      </c>
      <c r="C29" s="1435">
        <v>14.131450176239012</v>
      </c>
      <c r="D29" s="1435">
        <v>30.818933169047028</v>
      </c>
      <c r="E29" s="1435">
        <v>3.2913081794977193</v>
      </c>
      <c r="F29" s="1435">
        <v>3.7584344893693955</v>
      </c>
      <c r="H29" s="1344" t="s">
        <v>7320</v>
      </c>
      <c r="I29" s="1435">
        <v>1.5145174413919467</v>
      </c>
      <c r="J29" s="1435">
        <v>4.6242733001708993</v>
      </c>
      <c r="K29" s="1435">
        <v>11.064231971899853</v>
      </c>
      <c r="L29" s="1435">
        <v>0.99730553540088807</v>
      </c>
      <c r="M29" s="1435">
        <v>1.1877549886703498</v>
      </c>
      <c r="O29" s="1344" t="s">
        <v>7320</v>
      </c>
      <c r="P29" s="1435">
        <v>0.90609949827190572</v>
      </c>
      <c r="Q29" s="1435">
        <v>2.4791499376297002</v>
      </c>
      <c r="R29" s="1435">
        <v>7.0489476223786669</v>
      </c>
      <c r="S29" s="1435">
        <v>0.37639362365007639</v>
      </c>
      <c r="T29" s="1435">
        <v>0.49149499833579324</v>
      </c>
      <c r="V29" s="1344" t="s">
        <v>7320</v>
      </c>
      <c r="W29" s="1435">
        <v>0.90497899055479791</v>
      </c>
      <c r="X29" s="1435">
        <v>2.4760149717330973</v>
      </c>
      <c r="Y29" s="1435">
        <v>7.0288982192675284</v>
      </c>
      <c r="Z29" s="1435">
        <v>0.37592850625514945</v>
      </c>
      <c r="AA29" s="1435">
        <v>0.49088749289509948</v>
      </c>
    </row>
    <row r="30" spans="1:27">
      <c r="A30" s="1344" t="s">
        <v>7321</v>
      </c>
      <c r="B30" s="1435">
        <v>1.8859698325395646</v>
      </c>
      <c r="C30" s="1435">
        <v>7.632124612728755</v>
      </c>
      <c r="D30" s="1435">
        <v>15.068149169286096</v>
      </c>
      <c r="E30" s="1435">
        <v>1.6567949652671912</v>
      </c>
      <c r="F30" s="1435">
        <v>1.8918000906705832</v>
      </c>
      <c r="H30" s="1344" t="s">
        <v>7321</v>
      </c>
      <c r="I30" s="1435">
        <v>0.75975195256374894</v>
      </c>
      <c r="J30" s="1435">
        <v>2.412500023841853</v>
      </c>
      <c r="K30" s="1435">
        <v>5.550370842218399</v>
      </c>
      <c r="L30" s="1435">
        <v>0.50061715145907537</v>
      </c>
      <c r="M30" s="1435">
        <v>0.59615513744457482</v>
      </c>
      <c r="O30" s="1344" t="s">
        <v>7321</v>
      </c>
      <c r="P30" s="1435">
        <v>0.45397900044915196</v>
      </c>
      <c r="Q30" s="1435">
        <v>1.2659299969673035</v>
      </c>
      <c r="R30" s="1435">
        <v>3.5490752210219725</v>
      </c>
      <c r="S30" s="1435">
        <v>0.18858299404385268</v>
      </c>
      <c r="T30" s="1435">
        <v>0.24625149369234858</v>
      </c>
      <c r="V30" s="1344" t="s">
        <v>7321</v>
      </c>
      <c r="W30" s="1435">
        <v>0.45341950654985369</v>
      </c>
      <c r="X30" s="1435">
        <v>1.2643550038337577</v>
      </c>
      <c r="Y30" s="1435">
        <v>3.5392713596423495</v>
      </c>
      <c r="Z30" s="1435">
        <v>0.18835056107491258</v>
      </c>
      <c r="AA30" s="1435">
        <v>0.24594825816648966</v>
      </c>
    </row>
    <row r="31" spans="1:27">
      <c r="A31" s="1344" t="s">
        <v>7274</v>
      </c>
      <c r="B31" s="1435">
        <v>1.0040270425379276</v>
      </c>
      <c r="C31" s="1435">
        <v>4.3731710811456033</v>
      </c>
      <c r="D31" s="1435">
        <v>8.5305706262588501</v>
      </c>
      <c r="E31" s="1435">
        <v>0.88051979678372128</v>
      </c>
      <c r="F31" s="1435">
        <v>1.0056385006755686</v>
      </c>
      <c r="H31" s="1344" t="s">
        <v>7274</v>
      </c>
      <c r="I31" s="1435">
        <v>0.40797097794708281</v>
      </c>
      <c r="J31" s="1435">
        <v>1.3587550520896998</v>
      </c>
      <c r="K31" s="1435">
        <v>3.1396779815355926</v>
      </c>
      <c r="L31" s="1435">
        <v>0.26830397360028119</v>
      </c>
      <c r="M31" s="1435">
        <v>0.31960817178088446</v>
      </c>
      <c r="O31" s="1344" t="s">
        <v>7274</v>
      </c>
      <c r="P31" s="1435">
        <v>0.24467398971320209</v>
      </c>
      <c r="Q31" s="1435">
        <v>0.70468100905419073</v>
      </c>
      <c r="R31" s="1435">
        <v>2.0093113183975233</v>
      </c>
      <c r="S31" s="1435">
        <v>0.10163744461415235</v>
      </c>
      <c r="T31" s="1435">
        <v>0.13271810455868768</v>
      </c>
      <c r="V31" s="1344" t="s">
        <v>7274</v>
      </c>
      <c r="W31" s="1435">
        <v>0.2443694919347987</v>
      </c>
      <c r="X31" s="1435">
        <v>0.70377150177955139</v>
      </c>
      <c r="Y31" s="1435">
        <v>2.0035970757404931</v>
      </c>
      <c r="Z31" s="1435">
        <v>0.10151133181837584</v>
      </c>
      <c r="AA31" s="1435">
        <v>0.13255302080263709</v>
      </c>
    </row>
    <row r="32" spans="1:27">
      <c r="A32" s="1344" t="s">
        <v>7322</v>
      </c>
      <c r="B32" s="1435">
        <v>0.65539694639546531</v>
      </c>
      <c r="C32" s="1435">
        <v>2.9368629008531593</v>
      </c>
      <c r="D32" s="1435">
        <v>5.809769267837205</v>
      </c>
      <c r="E32" s="1435">
        <v>0.57610841592153395</v>
      </c>
      <c r="F32" s="1435">
        <v>0.65777388525501979</v>
      </c>
      <c r="H32" s="1344" t="s">
        <v>7322</v>
      </c>
      <c r="I32" s="1435">
        <v>0.26320450752974994</v>
      </c>
      <c r="J32" s="1435">
        <v>0.92026403546330915</v>
      </c>
      <c r="K32" s="1435">
        <v>2.138905597229797</v>
      </c>
      <c r="L32" s="1435">
        <v>0.17355400323865003</v>
      </c>
      <c r="M32" s="1435">
        <v>0.20665060992665799</v>
      </c>
      <c r="O32" s="1344" t="s">
        <v>7322</v>
      </c>
      <c r="P32" s="1435">
        <v>0.15705900266770065</v>
      </c>
      <c r="Q32" s="1435">
        <v>0.48015750944615115</v>
      </c>
      <c r="R32" s="1435">
        <v>1.3700892378886511</v>
      </c>
      <c r="S32" s="1435">
        <v>6.5242297792233908E-2</v>
      </c>
      <c r="T32" s="1435">
        <v>8.5193197165316314E-2</v>
      </c>
      <c r="V32" s="1344" t="s">
        <v>7322</v>
      </c>
      <c r="W32" s="1435">
        <v>0.15686549991369986</v>
      </c>
      <c r="X32" s="1435">
        <v>0.47955851256845122</v>
      </c>
      <c r="Y32" s="1435">
        <v>1.3662844275434818</v>
      </c>
      <c r="Z32" s="1435">
        <v>6.5161962062161669E-2</v>
      </c>
      <c r="AA32" s="1435">
        <v>8.5088308202080062E-2</v>
      </c>
    </row>
    <row r="33" spans="1:27">
      <c r="A33" s="1344" t="s">
        <v>7323</v>
      </c>
      <c r="B33" s="1435">
        <v>0.51994870696216178</v>
      </c>
      <c r="C33" s="1435">
        <v>2.5356896966695737</v>
      </c>
      <c r="D33" s="1435">
        <v>5.1022859017054243</v>
      </c>
      <c r="E33" s="1435">
        <v>0.45683408776916945</v>
      </c>
      <c r="F33" s="1435">
        <v>0.5216233323638545</v>
      </c>
      <c r="H33" s="1344" t="s">
        <v>7323</v>
      </c>
      <c r="I33" s="1435">
        <v>0.20929750055075089</v>
      </c>
      <c r="J33" s="1435">
        <v>0.79289057354132197</v>
      </c>
      <c r="K33" s="1435">
        <v>1.8701733847459143</v>
      </c>
      <c r="L33" s="1435">
        <v>0.13793782455222567</v>
      </c>
      <c r="M33" s="1435">
        <v>0.16425650566815006</v>
      </c>
      <c r="O33" s="1344" t="s">
        <v>7323</v>
      </c>
      <c r="P33" s="1435">
        <v>0.12501049786804908</v>
      </c>
      <c r="Q33" s="1435">
        <v>0.41306400299070134</v>
      </c>
      <c r="R33" s="1435">
        <v>1.1973947665343758</v>
      </c>
      <c r="S33" s="1435">
        <v>5.1929402514362184E-2</v>
      </c>
      <c r="T33" s="1435">
        <v>6.780944849986667E-2</v>
      </c>
      <c r="V33" s="1344" t="s">
        <v>7323</v>
      </c>
      <c r="W33" s="1435">
        <v>0.12485599890350162</v>
      </c>
      <c r="X33" s="1435">
        <v>0.41254249215125149</v>
      </c>
      <c r="Y33" s="1435">
        <v>1.1940541677176977</v>
      </c>
      <c r="Z33" s="1435">
        <v>5.1865074667162704E-2</v>
      </c>
      <c r="AA33" s="1435">
        <v>6.7725402419438821E-2</v>
      </c>
    </row>
    <row r="34" spans="1:27">
      <c r="A34" s="1344" t="s">
        <v>7272</v>
      </c>
      <c r="B34" s="1435">
        <v>0.43185041099786009</v>
      </c>
      <c r="C34" s="1435">
        <v>2.2604900002479549</v>
      </c>
      <c r="D34" s="1435">
        <v>4.648116489251457</v>
      </c>
      <c r="E34" s="1435">
        <v>0.37954157094160906</v>
      </c>
      <c r="F34" s="1435">
        <v>0.43335258464016829</v>
      </c>
      <c r="H34" s="1344" t="s">
        <v>7272</v>
      </c>
      <c r="I34" s="1435">
        <v>0.17357449978590012</v>
      </c>
      <c r="J34" s="1435">
        <v>0.71272032273314567</v>
      </c>
      <c r="K34" s="1435">
        <v>1.6950934156775432</v>
      </c>
      <c r="L34" s="1435">
        <v>0.11443273761927386</v>
      </c>
      <c r="M34" s="1435">
        <v>0.13625949621199876</v>
      </c>
      <c r="O34" s="1344" t="s">
        <v>7272</v>
      </c>
      <c r="P34" s="1435">
        <v>0.10360760241749982</v>
      </c>
      <c r="Q34" s="1435">
        <v>0.3733245134353515</v>
      </c>
      <c r="R34" s="1435">
        <v>1.0862011263767966</v>
      </c>
      <c r="S34" s="1435">
        <v>4.303848956866544E-2</v>
      </c>
      <c r="T34" s="1435">
        <v>5.619965260848208E-2</v>
      </c>
      <c r="V34" s="1344" t="s">
        <v>7272</v>
      </c>
      <c r="W34" s="1435">
        <v>0.1034792996943011</v>
      </c>
      <c r="X34" s="1435">
        <v>0.37285500764845009</v>
      </c>
      <c r="Y34" s="1435">
        <v>1.0832098623116746</v>
      </c>
      <c r="Z34" s="1435">
        <v>4.2985288077025695E-2</v>
      </c>
      <c r="AA34" s="1435">
        <v>5.6130163061117407E-2</v>
      </c>
    </row>
    <row r="35" spans="1:27">
      <c r="A35" s="1344" t="s">
        <v>7324</v>
      </c>
      <c r="B35" s="1435">
        <v>0.38102799654005093</v>
      </c>
      <c r="C35" s="1435">
        <v>2.121534943580623</v>
      </c>
      <c r="D35" s="1435">
        <v>4.4557827860116967</v>
      </c>
      <c r="E35" s="1435">
        <v>0.33522098201016343</v>
      </c>
      <c r="F35" s="1435">
        <v>0.38269746210425465</v>
      </c>
      <c r="H35" s="1344" t="s">
        <v>7324</v>
      </c>
      <c r="I35" s="1435">
        <v>0.15234000235794787</v>
      </c>
      <c r="J35" s="1435">
        <v>0.65555010860163854</v>
      </c>
      <c r="K35" s="1435">
        <v>1.6191778331995048</v>
      </c>
      <c r="L35" s="1435">
        <v>0.10055474742934685</v>
      </c>
      <c r="M35" s="1435">
        <v>0.11971049755810037</v>
      </c>
      <c r="O35" s="1344" t="s">
        <v>7324</v>
      </c>
      <c r="P35" s="1435">
        <v>9.0719502419250239E-2</v>
      </c>
      <c r="Q35" s="1435">
        <v>0.33883149921894501</v>
      </c>
      <c r="R35" s="1435">
        <v>1.0315855902930033</v>
      </c>
      <c r="S35" s="1435">
        <v>3.7684900686150068E-2</v>
      </c>
      <c r="T35" s="1435">
        <v>4.9208952269166419E-2</v>
      </c>
      <c r="V35" s="1344" t="s">
        <v>7324</v>
      </c>
      <c r="W35" s="1435">
        <v>9.0607400983548927E-2</v>
      </c>
      <c r="X35" s="1435">
        <v>0.3384025096893552</v>
      </c>
      <c r="Y35" s="1435">
        <v>1.0287103056907634</v>
      </c>
      <c r="Z35" s="1435">
        <v>3.7638382986183154E-2</v>
      </c>
      <c r="AA35" s="1435">
        <v>4.9148200079800419E-2</v>
      </c>
    </row>
    <row r="36" spans="1:27">
      <c r="A36" s="1344" t="s">
        <v>7325</v>
      </c>
      <c r="B36" s="1435">
        <v>0.34784000056481057</v>
      </c>
      <c r="C36" s="1435">
        <v>1.9081235229969042</v>
      </c>
      <c r="D36" s="1435">
        <v>3.9690860634048803</v>
      </c>
      <c r="E36" s="1435">
        <v>0.30641091397653264</v>
      </c>
      <c r="F36" s="1435">
        <v>0.34974995628000388</v>
      </c>
      <c r="H36" s="1344" t="s">
        <v>7325</v>
      </c>
      <c r="I36" s="1435">
        <v>0.13816750049590146</v>
      </c>
      <c r="J36" s="1435">
        <v>0.59559655996664007</v>
      </c>
      <c r="K36" s="1435">
        <v>1.4389128362139176</v>
      </c>
      <c r="L36" s="1435">
        <v>9.1334823519001671E-2</v>
      </c>
      <c r="M36" s="1435">
        <v>0.10870804521254347</v>
      </c>
      <c r="O36" s="1344" t="s">
        <v>7325</v>
      </c>
      <c r="P36" s="1435">
        <v>8.2044347111718E-2</v>
      </c>
      <c r="Q36" s="1435">
        <v>0.30997699499129999</v>
      </c>
      <c r="R36" s="1435">
        <v>0.91848681805034749</v>
      </c>
      <c r="S36" s="1435">
        <v>3.4081200254137349E-2</v>
      </c>
      <c r="T36" s="1435">
        <v>4.4503251090649711E-2</v>
      </c>
      <c r="V36" s="1344" t="s">
        <v>7325</v>
      </c>
      <c r="W36" s="1435">
        <v>8.1943552941101214E-2</v>
      </c>
      <c r="X36" s="1435">
        <v>0.30959049612285022</v>
      </c>
      <c r="Y36" s="1435">
        <v>0.91591860850653017</v>
      </c>
      <c r="Z36" s="1435">
        <v>3.4039350226500099E-2</v>
      </c>
      <c r="AA36" s="1435">
        <v>4.44485992193503E-2</v>
      </c>
    </row>
    <row r="37" spans="1:27">
      <c r="A37" s="1344" t="s">
        <v>7326</v>
      </c>
      <c r="B37" s="1435">
        <v>0.31881049275399725</v>
      </c>
      <c r="C37" s="1435">
        <v>1.7959500551223655</v>
      </c>
      <c r="D37" s="1435">
        <v>3.799125028153258</v>
      </c>
      <c r="E37" s="1435">
        <v>0.28164541612692301</v>
      </c>
      <c r="F37" s="1435">
        <v>0.32136375891665331</v>
      </c>
      <c r="H37" s="1344" t="s">
        <v>7326</v>
      </c>
      <c r="I37" s="1435">
        <v>0.12475099787114859</v>
      </c>
      <c r="J37" s="1435">
        <v>0.56330350662273432</v>
      </c>
      <c r="K37" s="1435">
        <v>1.3687459379434668</v>
      </c>
      <c r="L37" s="1435">
        <v>8.2753189606574795E-2</v>
      </c>
      <c r="M37" s="1435">
        <v>9.8437702283252548E-2</v>
      </c>
      <c r="O37" s="1344" t="s">
        <v>7326</v>
      </c>
      <c r="P37" s="1435">
        <v>7.3571797460299973E-2</v>
      </c>
      <c r="Q37" s="1435">
        <v>0.2941165044903496</v>
      </c>
      <c r="R37" s="1435">
        <v>0.87166493261854072</v>
      </c>
      <c r="S37" s="1435">
        <v>3.0561700463299892E-2</v>
      </c>
      <c r="T37" s="1435">
        <v>3.9907500147799951E-2</v>
      </c>
      <c r="V37" s="1344" t="s">
        <v>7326</v>
      </c>
      <c r="W37" s="1435">
        <v>7.3481548577550015E-2</v>
      </c>
      <c r="X37" s="1435">
        <v>0.2937515005469003</v>
      </c>
      <c r="Y37" s="1435">
        <v>0.86917984485627742</v>
      </c>
      <c r="Z37" s="1435">
        <v>3.0524202971715621E-2</v>
      </c>
      <c r="AA37" s="1435">
        <v>3.9858513511699729E-2</v>
      </c>
    </row>
    <row r="38" spans="1:27">
      <c r="A38" s="1344" t="s">
        <v>7327</v>
      </c>
      <c r="B38" s="1435">
        <v>0.2962589859962278</v>
      </c>
      <c r="C38" s="1435">
        <v>1.7083300352096531</v>
      </c>
      <c r="D38" s="1435">
        <v>3.6660244713226935</v>
      </c>
      <c r="E38" s="1435">
        <v>0.26242949503165697</v>
      </c>
      <c r="F38" s="1435">
        <v>0.29933454468844772</v>
      </c>
      <c r="H38" s="1344" t="s">
        <v>7327</v>
      </c>
      <c r="I38" s="1435">
        <v>0.11427287757397454</v>
      </c>
      <c r="J38" s="1435">
        <v>0.53774381677309935</v>
      </c>
      <c r="K38" s="1435">
        <v>1.3140882191558676</v>
      </c>
      <c r="L38" s="1435">
        <v>7.6058198620258505E-2</v>
      </c>
      <c r="M38" s="1435">
        <v>9.0424112820356894E-2</v>
      </c>
      <c r="O38" s="1344" t="s">
        <v>7327</v>
      </c>
      <c r="P38" s="1435">
        <v>6.6942550241950449E-2</v>
      </c>
      <c r="Q38" s="1435">
        <v>0.28143919942278228</v>
      </c>
      <c r="R38" s="1435">
        <v>0.83525032674271937</v>
      </c>
      <c r="S38" s="1435">
        <v>2.7807929475491305E-2</v>
      </c>
      <c r="T38" s="1435">
        <v>3.6311569157981144E-2</v>
      </c>
      <c r="V38" s="1344" t="s">
        <v>7327</v>
      </c>
      <c r="W38" s="1435">
        <v>6.6860548142967838E-2</v>
      </c>
      <c r="X38" s="1435">
        <v>0.28109149634839686</v>
      </c>
      <c r="Y38" s="1435">
        <v>0.83283136288324899</v>
      </c>
      <c r="Z38" s="1435">
        <v>2.7773871552220854E-2</v>
      </c>
      <c r="AA38" s="1435">
        <v>3.6267102463150083E-2</v>
      </c>
    </row>
    <row r="39" spans="1:27">
      <c r="A39" s="1344" t="s">
        <v>7328</v>
      </c>
      <c r="B39" s="1435">
        <v>0.30716398792960992</v>
      </c>
      <c r="C39" s="1435">
        <v>1.7779961377382192</v>
      </c>
      <c r="D39" s="1435">
        <v>3.8091937924424819</v>
      </c>
      <c r="E39" s="1435">
        <v>0.27425447013225951</v>
      </c>
      <c r="F39" s="1435">
        <v>0.31250749528410299</v>
      </c>
      <c r="H39" s="1344" t="s">
        <v>7328</v>
      </c>
      <c r="I39" s="1435">
        <v>0.11341400071979986</v>
      </c>
      <c r="J39" s="1435">
        <v>0.56166148185729914</v>
      </c>
      <c r="K39" s="1435">
        <v>1.3640728319684661</v>
      </c>
      <c r="L39" s="1435">
        <v>7.6281147155276119E-2</v>
      </c>
      <c r="M39" s="1435">
        <v>9.0535031398767604E-2</v>
      </c>
      <c r="O39" s="1344" t="s">
        <v>7328</v>
      </c>
      <c r="P39" s="1435">
        <v>6.5040341035123905E-2</v>
      </c>
      <c r="Q39" s="1435">
        <v>0.29460850358009533</v>
      </c>
      <c r="R39" s="1435">
        <v>0.87091301009058764</v>
      </c>
      <c r="S39" s="1435">
        <v>2.7017749846E-2</v>
      </c>
      <c r="T39" s="1435">
        <v>3.5279750823950067E-2</v>
      </c>
      <c r="V39" s="1344" t="s">
        <v>7328</v>
      </c>
      <c r="W39" s="1435">
        <v>6.4960900694149878E-2</v>
      </c>
      <c r="X39" s="1435">
        <v>0.29424250125885026</v>
      </c>
      <c r="Y39" s="1435">
        <v>0.8683997150510665</v>
      </c>
      <c r="Z39" s="1435">
        <v>2.6984763331707105E-2</v>
      </c>
      <c r="AA39" s="1435">
        <v>3.5236699506650447E-2</v>
      </c>
    </row>
    <row r="40" spans="1:27">
      <c r="A40" s="1344" t="s">
        <v>7329</v>
      </c>
      <c r="B40" s="1435">
        <v>0.31608669552953045</v>
      </c>
      <c r="C40" s="1435">
        <v>1.8349950313568291</v>
      </c>
      <c r="D40" s="1435">
        <v>3.9263367578387238</v>
      </c>
      <c r="E40" s="1435">
        <v>0.28392967581748063</v>
      </c>
      <c r="F40" s="1435">
        <v>0.32328563183542397</v>
      </c>
      <c r="H40" s="1344" t="s">
        <v>7329</v>
      </c>
      <c r="I40" s="1435">
        <v>0.11271150037645038</v>
      </c>
      <c r="J40" s="1435">
        <v>0.58123017412920241</v>
      </c>
      <c r="K40" s="1435">
        <v>1.4049717783928006</v>
      </c>
      <c r="L40" s="1435">
        <v>7.6463566472128847E-2</v>
      </c>
      <c r="M40" s="1435">
        <v>9.0625850716610765E-2</v>
      </c>
      <c r="O40" s="1344" t="s">
        <v>7329</v>
      </c>
      <c r="P40" s="1435">
        <v>6.3483949750700111E-2</v>
      </c>
      <c r="Q40" s="1435">
        <v>0.30538401007655042</v>
      </c>
      <c r="R40" s="1435">
        <v>0.90009110545118309</v>
      </c>
      <c r="S40" s="1435">
        <v>2.6371229362391699E-2</v>
      </c>
      <c r="T40" s="1435">
        <v>3.4435549750950256E-2</v>
      </c>
      <c r="V40" s="1344" t="s">
        <v>7329</v>
      </c>
      <c r="W40" s="1435">
        <v>6.3406649976949475E-2</v>
      </c>
      <c r="X40" s="1435">
        <v>0.30500251054765154</v>
      </c>
      <c r="Y40" s="1435">
        <v>0.89750087757905472</v>
      </c>
      <c r="Z40" s="1435">
        <v>2.6339107872147979E-2</v>
      </c>
      <c r="AA40" s="1435">
        <v>3.4393649548300459E-2</v>
      </c>
    </row>
    <row r="41" spans="1:27">
      <c r="A41" s="1344" t="s">
        <v>7330</v>
      </c>
      <c r="B41" s="1435">
        <v>0.29969592454537519</v>
      </c>
      <c r="C41" s="1435">
        <v>1.7392804026603896</v>
      </c>
      <c r="D41" s="1435">
        <v>3.8538232023517303</v>
      </c>
      <c r="E41" s="1435">
        <v>0.2701282575726488</v>
      </c>
      <c r="F41" s="1435">
        <v>0.30743899941439473</v>
      </c>
      <c r="H41" s="1344" t="s">
        <v>7330</v>
      </c>
      <c r="I41" s="1435">
        <v>0.10470800101759919</v>
      </c>
      <c r="J41" s="1435">
        <v>0.55005994439126882</v>
      </c>
      <c r="K41" s="1435">
        <v>1.3725462605555847</v>
      </c>
      <c r="L41" s="1435">
        <v>7.1400868395932737E-2</v>
      </c>
      <c r="M41" s="1435">
        <v>8.4555639885362091E-2</v>
      </c>
      <c r="O41" s="1344" t="s">
        <v>7330</v>
      </c>
      <c r="P41" s="1435">
        <v>5.8328799903399904E-2</v>
      </c>
      <c r="Q41" s="1435">
        <v>0.28876000642779537</v>
      </c>
      <c r="R41" s="1435">
        <v>0.87908814226586462</v>
      </c>
      <c r="S41" s="1435">
        <v>2.4229800328600146E-2</v>
      </c>
      <c r="T41" s="1435">
        <v>3.1639295048106759E-2</v>
      </c>
      <c r="V41" s="1344" t="s">
        <v>7330</v>
      </c>
      <c r="W41" s="1435">
        <v>5.8257699012799473E-2</v>
      </c>
      <c r="X41" s="1435">
        <v>0.28840398788449512</v>
      </c>
      <c r="Y41" s="1435">
        <v>0.8765811075767117</v>
      </c>
      <c r="Z41" s="1435">
        <v>2.4200280895424909E-2</v>
      </c>
      <c r="AA41" s="1435">
        <v>3.1600698828700473E-2</v>
      </c>
    </row>
    <row r="42" spans="1:27">
      <c r="A42" s="1344" t="s">
        <v>7331</v>
      </c>
      <c r="B42" s="1435">
        <v>0.28207400441169783</v>
      </c>
      <c r="C42" s="1435">
        <v>1.7142898142337624</v>
      </c>
      <c r="D42" s="1435">
        <v>4.1381630698839871</v>
      </c>
      <c r="E42" s="1435">
        <v>0.25497099757189717</v>
      </c>
      <c r="F42" s="1435">
        <v>0.29008410684767627</v>
      </c>
      <c r="H42" s="1344" t="s">
        <v>7331</v>
      </c>
      <c r="I42" s="1435">
        <v>9.685383946635949E-2</v>
      </c>
      <c r="J42" s="1435">
        <v>0.52650495121875174</v>
      </c>
      <c r="K42" s="1435">
        <v>1.4557553480068801</v>
      </c>
      <c r="L42" s="1435">
        <v>6.6338997567042673E-2</v>
      </c>
      <c r="M42" s="1435">
        <v>7.8505571853970876E-2</v>
      </c>
      <c r="O42" s="1344" t="s">
        <v>7331</v>
      </c>
      <c r="P42" s="1435">
        <v>5.3436201065800042E-2</v>
      </c>
      <c r="Q42" s="1435">
        <v>0.27111500501629865</v>
      </c>
      <c r="R42" s="1435">
        <v>0.92202510188022713</v>
      </c>
      <c r="S42" s="1435">
        <v>2.2197399288400036E-2</v>
      </c>
      <c r="T42" s="1435">
        <v>2.8985391370991889E-2</v>
      </c>
      <c r="V42" s="1344" t="s">
        <v>7331</v>
      </c>
      <c r="W42" s="1435">
        <v>5.3371198475400734E-2</v>
      </c>
      <c r="X42" s="1435">
        <v>0.27078101038929964</v>
      </c>
      <c r="Y42" s="1435">
        <v>0.91934582591058123</v>
      </c>
      <c r="Z42" s="1435">
        <v>2.2170400246999539E-2</v>
      </c>
      <c r="AA42" s="1435">
        <v>2.8950100764600192E-2</v>
      </c>
    </row>
    <row r="43" spans="1:27">
      <c r="A43" s="1344" t="s">
        <v>7332</v>
      </c>
      <c r="B43" s="1435">
        <v>0.26682299375530372</v>
      </c>
      <c r="C43" s="1435">
        <v>1.6983100175857755</v>
      </c>
      <c r="D43" s="1435">
        <v>4.41090234120687</v>
      </c>
      <c r="E43" s="1435">
        <v>0.24184191847844719</v>
      </c>
      <c r="F43" s="1435">
        <v>0.27505299448969839</v>
      </c>
      <c r="H43" s="1344" t="s">
        <v>7332</v>
      </c>
      <c r="I43" s="1435">
        <v>9.0082694543503858E-2</v>
      </c>
      <c r="J43" s="1435">
        <v>0.50684997253123731</v>
      </c>
      <c r="K43" s="1435">
        <v>1.5364357481400139</v>
      </c>
      <c r="L43" s="1435">
        <v>6.1971447081287552E-2</v>
      </c>
      <c r="M43" s="1435">
        <v>7.3286090278964391E-2</v>
      </c>
      <c r="O43" s="1344" t="s">
        <v>7332</v>
      </c>
      <c r="P43" s="1435">
        <v>4.9224600195899498E-2</v>
      </c>
      <c r="Q43" s="1435">
        <v>0.25586798787119863</v>
      </c>
      <c r="R43" s="1435">
        <v>0.96401788045962</v>
      </c>
      <c r="S43" s="1435">
        <v>2.044790051879988E-2</v>
      </c>
      <c r="T43" s="1435">
        <v>2.6700900867599478E-2</v>
      </c>
      <c r="V43" s="1344" t="s">
        <v>7332</v>
      </c>
      <c r="W43" s="1435">
        <v>4.9164801835999632E-2</v>
      </c>
      <c r="X43" s="1435">
        <v>0.25555199384689564</v>
      </c>
      <c r="Y43" s="1435">
        <v>0.96117150783540861</v>
      </c>
      <c r="Z43" s="1435">
        <v>2.0423099398600195E-2</v>
      </c>
      <c r="AA43" s="1435">
        <v>2.6668460341175117E-2</v>
      </c>
    </row>
    <row r="44" spans="1:27">
      <c r="A44" s="1344" t="s">
        <v>7333</v>
      </c>
      <c r="B44" s="1435">
        <v>0.25601300597190152</v>
      </c>
      <c r="C44" s="1435">
        <v>1.7036800384521271</v>
      </c>
      <c r="D44" s="1435">
        <v>4.772881805896759</v>
      </c>
      <c r="E44" s="1435">
        <v>0.23280599713330219</v>
      </c>
      <c r="F44" s="1435">
        <v>0.26466801948846097</v>
      </c>
      <c r="H44" s="1344" t="s">
        <v>7333</v>
      </c>
      <c r="I44" s="1435">
        <v>8.4648203725576035E-2</v>
      </c>
      <c r="J44" s="1435">
        <v>0.48934496132035665</v>
      </c>
      <c r="K44" s="1435">
        <v>1.6481394271055769</v>
      </c>
      <c r="L44" s="1435">
        <v>5.855354643427213E-2</v>
      </c>
      <c r="M44" s="1435">
        <v>6.9183987720567178E-2</v>
      </c>
      <c r="O44" s="1344" t="s">
        <v>7333</v>
      </c>
      <c r="P44" s="1435">
        <v>4.5689001679399356E-2</v>
      </c>
      <c r="Q44" s="1435">
        <v>0.24023699760439868</v>
      </c>
      <c r="R44" s="1435">
        <v>1.0229315708081086</v>
      </c>
      <c r="S44" s="1435">
        <v>1.8979199230699746E-2</v>
      </c>
      <c r="T44" s="1435">
        <v>2.4783099070199908E-2</v>
      </c>
      <c r="V44" s="1344" t="s">
        <v>7333</v>
      </c>
      <c r="W44" s="1435">
        <v>4.5633401721700904E-2</v>
      </c>
      <c r="X44" s="1435">
        <v>0.23994399607179681</v>
      </c>
      <c r="Y44" s="1435">
        <v>1.0198593487342344</v>
      </c>
      <c r="Z44" s="1435">
        <v>1.8956100568200154E-2</v>
      </c>
      <c r="AA44" s="1435">
        <v>2.4752900004399919E-2</v>
      </c>
    </row>
  </sheetData>
  <sheetProtection algorithmName="SHA-512" hashValue="jMncr9Hcl0teu4dZAYBCrc4KVOKmVcE3FP4W6CQulgAHbhY7G/vyuwvtqDeYESOtmwMTdfhX1Yzx/zKLzFHmIQ==" saltValue="CPkUNTttC6D/U7geSp2Et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C1" workbookViewId="0">
      <selection activeCell="D62" sqref="D62"/>
    </sheetView>
  </sheetViews>
  <sheetFormatPr defaultColWidth="9.21875" defaultRowHeight="14.4"/>
  <cols>
    <col min="1" max="1" width="27.77734375" style="1338" customWidth="1"/>
    <col min="2" max="3" width="20.77734375" style="1341" customWidth="1"/>
    <col min="4" max="4" width="25.21875" style="1341" customWidth="1"/>
    <col min="5" max="5" width="21.77734375" style="1341" customWidth="1"/>
    <col min="6" max="6" width="31.77734375" style="1338" bestFit="1" customWidth="1"/>
    <col min="7" max="7" width="30.77734375" style="1338" bestFit="1" customWidth="1"/>
    <col min="8" max="8" width="22.44140625" style="1338" customWidth="1"/>
    <col min="9" max="9" width="30.77734375" style="1338" customWidth="1"/>
    <col min="10" max="38" width="11.77734375" style="1338" bestFit="1" customWidth="1"/>
    <col min="39" max="16384" width="9.21875" style="1338"/>
  </cols>
  <sheetData>
    <row r="1" spans="1:9" ht="25.2" customHeight="1">
      <c r="A1" s="1009" t="s">
        <v>413</v>
      </c>
      <c r="B1" s="1143" t="s">
        <v>414</v>
      </c>
      <c r="C1" s="1317"/>
      <c r="D1" s="1317"/>
      <c r="E1" s="1317"/>
      <c r="F1" s="1011"/>
      <c r="G1" s="1306"/>
      <c r="H1" s="1195"/>
      <c r="I1" s="1195"/>
    </row>
    <row r="2" spans="1:9" ht="25.2" customHeight="1" thickBot="1">
      <c r="A2" s="1339" t="s">
        <v>415</v>
      </c>
      <c r="B2" s="1011"/>
      <c r="C2" s="1011"/>
      <c r="D2" s="1011"/>
      <c r="E2" s="1011"/>
      <c r="F2" s="1011"/>
      <c r="G2" s="1012"/>
      <c r="H2" s="1195"/>
      <c r="I2" s="1195"/>
    </row>
    <row r="3" spans="1:9" ht="18">
      <c r="A3" s="1324" t="s">
        <v>416</v>
      </c>
      <c r="B3" s="1325" t="s">
        <v>9</v>
      </c>
      <c r="C3" s="1326" t="str">
        <f>_xlfn.CONCAT("Discounted @",TEXT('Major Assumption Key'!B8,"0.0%"))</f>
        <v>Discounted @3.1%</v>
      </c>
      <c r="D3" s="1325" t="s">
        <v>10</v>
      </c>
      <c r="E3" s="1326" t="str">
        <f>_xlfn.CONCAT("Discounted @",TEXT('Major Assumption Key'!B8,"0.0%"))</f>
        <v>Discounted @3.1%</v>
      </c>
      <c r="F3" s="1195"/>
      <c r="G3" s="1858" t="s">
        <v>417</v>
      </c>
      <c r="H3" s="1858"/>
      <c r="I3" s="1858"/>
    </row>
    <row r="4" spans="1:9" ht="18">
      <c r="A4" s="1327">
        <f>'Major Assumption Key'!A19</f>
        <v>2020</v>
      </c>
      <c r="B4" s="1328">
        <f>'Benefits Summary'!AV5</f>
        <v>0</v>
      </c>
      <c r="C4" s="1329">
        <f>'Benefits Summary'!AW5</f>
        <v>0</v>
      </c>
      <c r="D4" s="1328">
        <f>'Cost Summary'!V4</f>
        <v>0</v>
      </c>
      <c r="E4" s="1329">
        <f>'Cost Summary'!W4</f>
        <v>0</v>
      </c>
      <c r="F4" s="1195"/>
      <c r="G4" s="1340" t="s">
        <v>418</v>
      </c>
      <c r="H4" s="1340" t="s">
        <v>419</v>
      </c>
      <c r="I4" s="1340" t="str">
        <f>_xlfn.CONCAT("Discounted @",TEXT('Major Assumption Key'!B8,"0.0%"))</f>
        <v>Discounted @3.1%</v>
      </c>
    </row>
    <row r="5" spans="1:9" ht="18">
      <c r="A5" s="1327">
        <f>'Major Assumption Key'!A21</f>
        <v>2022</v>
      </c>
      <c r="B5" s="1328">
        <f>'Benefits Summary'!AV6</f>
        <v>0</v>
      </c>
      <c r="C5" s="1329">
        <f>'Benefits Summary'!AW6</f>
        <v>0</v>
      </c>
      <c r="D5" s="1328">
        <f>'Cost Summary'!V5</f>
        <v>0</v>
      </c>
      <c r="E5" s="1329">
        <f>'Cost Summary'!W5</f>
        <v>0</v>
      </c>
      <c r="F5" s="1195"/>
      <c r="G5" s="1502" t="s">
        <v>9</v>
      </c>
      <c r="H5" s="1738">
        <f>B44</f>
        <v>21446502.733827129</v>
      </c>
      <c r="I5" s="1738">
        <f>C44</f>
        <v>11684182.937136369</v>
      </c>
    </row>
    <row r="6" spans="1:9" ht="18.600000000000001" thickBot="1">
      <c r="A6" s="1327">
        <f>'Major Assumption Key'!A22</f>
        <v>2023</v>
      </c>
      <c r="B6" s="1328">
        <f>'Benefits Summary'!AV7</f>
        <v>0</v>
      </c>
      <c r="C6" s="1329">
        <f>'Benefits Summary'!AW7</f>
        <v>0</v>
      </c>
      <c r="D6" s="1328">
        <f>'Cost Summary'!V6</f>
        <v>100000</v>
      </c>
      <c r="E6" s="1329">
        <f>'Cost Summary'!W6</f>
        <v>100000</v>
      </c>
      <c r="F6" s="1195"/>
      <c r="G6" s="1739" t="s">
        <v>10</v>
      </c>
      <c r="H6" s="1740">
        <f>D44</f>
        <v>21209865.75</v>
      </c>
      <c r="I6" s="1740">
        <f>E44</f>
        <v>18614480.382547762</v>
      </c>
    </row>
    <row r="7" spans="1:9" ht="18.600000000000001" thickTop="1">
      <c r="A7" s="1327">
        <f>'Major Assumption Key'!A23</f>
        <v>2024</v>
      </c>
      <c r="B7" s="1328">
        <f>'Benefits Summary'!AV8</f>
        <v>0</v>
      </c>
      <c r="C7" s="1329">
        <f>'Benefits Summary'!AW8</f>
        <v>0</v>
      </c>
      <c r="D7" s="1328">
        <f>'Cost Summary'!V7</f>
        <v>0</v>
      </c>
      <c r="E7" s="1329">
        <f>'Cost Summary'!W7</f>
        <v>0</v>
      </c>
      <c r="F7" s="1195"/>
      <c r="G7" s="1741" t="s">
        <v>11</v>
      </c>
      <c r="H7" s="1742">
        <f>IFERROR(B44/D44,0)</f>
        <v>1.0111569298276737</v>
      </c>
      <c r="I7" s="1742">
        <f>IFERROR(C44/E44,0)</f>
        <v>0.6276932096418345</v>
      </c>
    </row>
    <row r="8" spans="1:9" ht="18">
      <c r="A8" s="1327">
        <f>'Major Assumption Key'!A24</f>
        <v>2025</v>
      </c>
      <c r="B8" s="1328">
        <f>'Benefits Summary'!AV9</f>
        <v>0</v>
      </c>
      <c r="C8" s="1329">
        <f>'Benefits Summary'!AW9</f>
        <v>0</v>
      </c>
      <c r="D8" s="1328">
        <f>'Cost Summary'!V8</f>
        <v>0</v>
      </c>
      <c r="E8" s="1329">
        <f>'Cost Summary'!W8</f>
        <v>0</v>
      </c>
      <c r="F8" s="1195"/>
      <c r="G8" s="1502" t="s">
        <v>12</v>
      </c>
      <c r="H8" s="1340">
        <f>B44-D44</f>
        <v>236636.98382712901</v>
      </c>
      <c r="I8" s="1340">
        <f>C44-E44</f>
        <v>-6930297.4454113934</v>
      </c>
    </row>
    <row r="9" spans="1:9">
      <c r="A9" s="1327">
        <f>'Major Assumption Key'!A25</f>
        <v>2026</v>
      </c>
      <c r="B9" s="1328">
        <f>'Benefits Summary'!AV10</f>
        <v>0</v>
      </c>
      <c r="C9" s="1329">
        <f>'Benefits Summary'!AW10</f>
        <v>0</v>
      </c>
      <c r="D9" s="1328">
        <f>'Cost Summary'!V9</f>
        <v>2753460.75</v>
      </c>
      <c r="E9" s="1329">
        <f>'Cost Summary'!W9</f>
        <v>2512481.6250091572</v>
      </c>
      <c r="F9" s="1195"/>
      <c r="G9" s="1195"/>
      <c r="H9" s="1195"/>
      <c r="I9" s="1195"/>
    </row>
    <row r="10" spans="1:9">
      <c r="A10" s="1327">
        <f>'Major Assumption Key'!A26</f>
        <v>2027</v>
      </c>
      <c r="B10" s="1328">
        <f>'Benefits Summary'!AV11</f>
        <v>0</v>
      </c>
      <c r="C10" s="1329">
        <f>'Benefits Summary'!AW11</f>
        <v>0</v>
      </c>
      <c r="D10" s="1328">
        <f>'Cost Summary'!V10</f>
        <v>9178202.5</v>
      </c>
      <c r="E10" s="1329">
        <f>'Cost Summary'!W10</f>
        <v>8123121.9689917779</v>
      </c>
      <c r="F10" s="1195"/>
      <c r="G10" s="1195"/>
      <c r="H10" s="1195"/>
      <c r="I10" s="1195"/>
    </row>
    <row r="11" spans="1:9">
      <c r="A11" s="1327">
        <f>'Major Assumption Key'!A27</f>
        <v>2028</v>
      </c>
      <c r="B11" s="1328">
        <f>'Benefits Summary'!AV12</f>
        <v>0</v>
      </c>
      <c r="C11" s="1329">
        <f>'Benefits Summary'!AW12</f>
        <v>0</v>
      </c>
      <c r="D11" s="1328">
        <f>'Cost Summary'!V11</f>
        <v>9178202.5</v>
      </c>
      <c r="E11" s="1329">
        <f>'Cost Summary'!W11</f>
        <v>7878876.7885468267</v>
      </c>
      <c r="F11" s="1195"/>
      <c r="G11" s="1011" t="s">
        <v>420</v>
      </c>
      <c r="H11" s="1195"/>
      <c r="I11" s="1195"/>
    </row>
    <row r="12" spans="1:9" ht="18">
      <c r="A12" s="1327">
        <f>'Major Assumption Key'!A28</f>
        <v>2029</v>
      </c>
      <c r="B12" s="1328">
        <f>'Benefits Summary'!AV13</f>
        <v>484030.12809372565</v>
      </c>
      <c r="C12" s="1329">
        <f>'Benefits Summary'!AW13</f>
        <v>403064.43155125878</v>
      </c>
      <c r="D12" s="1328">
        <f>'Cost Summary'!V12</f>
        <v>0</v>
      </c>
      <c r="E12" s="1329">
        <f>'Cost Summary'!W12</f>
        <v>0</v>
      </c>
      <c r="F12" s="1195"/>
      <c r="G12" s="1858" t="s">
        <v>417</v>
      </c>
      <c r="H12" s="1858"/>
      <c r="I12" s="1858"/>
    </row>
    <row r="13" spans="1:9" ht="18">
      <c r="A13" s="1327">
        <f>'Major Assumption Key'!A29</f>
        <v>2030</v>
      </c>
      <c r="B13" s="1328">
        <f>'Benefits Summary'!AV14</f>
        <v>487576.97117373277</v>
      </c>
      <c r="C13" s="1329">
        <f>'Benefits Summary'!AW14</f>
        <v>393818.03469618596</v>
      </c>
      <c r="D13" s="1328">
        <f>'Cost Summary'!V13</f>
        <v>0</v>
      </c>
      <c r="E13" s="1329">
        <f>'Cost Summary'!W13</f>
        <v>0</v>
      </c>
      <c r="F13" s="1195"/>
      <c r="G13" s="1340" t="s">
        <v>418</v>
      </c>
      <c r="H13" s="1340" t="s">
        <v>419</v>
      </c>
      <c r="I13" s="1340" t="str">
        <f>_xlfn.CONCAT("Discounted @",TEXT('Major Assumption Key'!B8,"0.0%"))</f>
        <v>Discounted @3.1%</v>
      </c>
    </row>
    <row r="14" spans="1:9" ht="18">
      <c r="A14" s="1327">
        <f>'Major Assumption Key'!A30</f>
        <v>2031</v>
      </c>
      <c r="B14" s="1328">
        <f>'Benefits Summary'!AV15</f>
        <v>491223.78382832865</v>
      </c>
      <c r="C14" s="1329">
        <f>'Benefits Summary'!AW15</f>
        <v>384841.97699028079</v>
      </c>
      <c r="D14" s="1328">
        <f>'Cost Summary'!V14</f>
        <v>0</v>
      </c>
      <c r="E14" s="1329">
        <f>'Cost Summary'!W14</f>
        <v>0</v>
      </c>
      <c r="F14" s="1195"/>
      <c r="G14" s="1502" t="s">
        <v>9</v>
      </c>
      <c r="H14" s="1738">
        <f>ROUND(H5,-3)</f>
        <v>21447000</v>
      </c>
      <c r="I14" s="1738">
        <f>ROUND(I5,-3)</f>
        <v>11684000</v>
      </c>
    </row>
    <row r="15" spans="1:9" ht="18.600000000000001" thickBot="1">
      <c r="A15" s="1327">
        <f>'Major Assumption Key'!A31</f>
        <v>2032</v>
      </c>
      <c r="B15" s="1328">
        <f>'Benefits Summary'!AV16</f>
        <v>494964.67144980386</v>
      </c>
      <c r="C15" s="1329">
        <f>'Benefits Summary'!AW16</f>
        <v>376121.31104358804</v>
      </c>
      <c r="D15" s="1328">
        <f>'Cost Summary'!V15</f>
        <v>0</v>
      </c>
      <c r="E15" s="1329">
        <f>'Cost Summary'!W15</f>
        <v>0</v>
      </c>
      <c r="F15" s="1195"/>
      <c r="G15" s="1739" t="s">
        <v>10</v>
      </c>
      <c r="H15" s="1740">
        <f>ROUND(H6,-3)</f>
        <v>21210000</v>
      </c>
      <c r="I15" s="1740">
        <f t="shared" ref="I15" si="0">ROUND(I6,-3)</f>
        <v>18614000</v>
      </c>
    </row>
    <row r="16" spans="1:9" ht="18.600000000000001" thickTop="1">
      <c r="A16" s="1327">
        <f>'Major Assumption Key'!A32</f>
        <v>2033</v>
      </c>
      <c r="B16" s="1328">
        <f>'Benefits Summary'!AV17</f>
        <v>498715.80527649442</v>
      </c>
      <c r="C16" s="1329">
        <f>'Benefits Summary'!AW17</f>
        <v>367584.54158377653</v>
      </c>
      <c r="D16" s="1328">
        <f>'Cost Summary'!V16</f>
        <v>0</v>
      </c>
      <c r="E16" s="1329">
        <f>'Cost Summary'!W16</f>
        <v>0</v>
      </c>
      <c r="F16" s="1195"/>
      <c r="G16" s="1741" t="s">
        <v>11</v>
      </c>
      <c r="H16" s="1742">
        <f>ROUND(H7,1)</f>
        <v>1</v>
      </c>
      <c r="I16" s="1742">
        <f>ROUND(I7,1)</f>
        <v>0.6</v>
      </c>
    </row>
    <row r="17" spans="1:9" ht="18">
      <c r="A17" s="1327">
        <f>'Major Assumption Key'!A33</f>
        <v>2034</v>
      </c>
      <c r="B17" s="1328">
        <f>'Benefits Summary'!AV18</f>
        <v>502568.42744193878</v>
      </c>
      <c r="C17" s="1329">
        <f>'Benefits Summary'!AW18</f>
        <v>359294.08664267702</v>
      </c>
      <c r="D17" s="1328">
        <f>'Cost Summary'!V18</f>
        <v>0</v>
      </c>
      <c r="E17" s="1329">
        <f>'Cost Summary'!W18</f>
        <v>0</v>
      </c>
      <c r="F17" s="1195"/>
      <c r="G17" s="1502" t="s">
        <v>12</v>
      </c>
      <c r="H17" s="1340">
        <f>ROUND(H8,-3)</f>
        <v>237000</v>
      </c>
      <c r="I17" s="1340">
        <f>ROUND(I8,-3)</f>
        <v>-6930000</v>
      </c>
    </row>
    <row r="18" spans="1:9">
      <c r="A18" s="1327">
        <f>'Major Assumption Key'!A34</f>
        <v>2035</v>
      </c>
      <c r="B18" s="1328">
        <f>'Benefits Summary'!AV19</f>
        <v>506477.93602080055</v>
      </c>
      <c r="C18" s="1329">
        <f>'Benefits Summary'!AW19</f>
        <v>351209.46099916543</v>
      </c>
      <c r="D18" s="1328">
        <f>'Cost Summary'!V19</f>
        <v>0</v>
      </c>
      <c r="E18" s="1329">
        <f>'Cost Summary'!W19</f>
        <v>0</v>
      </c>
      <c r="F18" s="1195"/>
      <c r="G18" s="1195"/>
      <c r="H18" s="1195"/>
      <c r="I18" s="1195"/>
    </row>
    <row r="19" spans="1:9">
      <c r="A19" s="1327">
        <f>'Major Assumption Key'!A35</f>
        <v>2036</v>
      </c>
      <c r="B19" s="1328">
        <f>'Benefits Summary'!AV20</f>
        <v>510400.80728292209</v>
      </c>
      <c r="C19" s="1329">
        <f>'Benefits Summary'!AW20</f>
        <v>343294.94779840356</v>
      </c>
      <c r="D19" s="1328">
        <f>'Cost Summary'!V20</f>
        <v>0</v>
      </c>
      <c r="E19" s="1329">
        <f>'Cost Summary'!W20</f>
        <v>0</v>
      </c>
      <c r="F19" s="1195"/>
      <c r="G19" s="1195"/>
      <c r="H19" s="1195"/>
      <c r="I19" s="1195"/>
    </row>
    <row r="20" spans="1:9">
      <c r="A20" s="1327">
        <f>'Major Assumption Key'!A36</f>
        <v>2037</v>
      </c>
      <c r="B20" s="1328">
        <f>'Benefits Summary'!AV21</f>
        <v>514426.72834272817</v>
      </c>
      <c r="C20" s="1329">
        <f>'Benefits Summary'!AW21</f>
        <v>335606.56475824094</v>
      </c>
      <c r="D20" s="1328">
        <f>'Cost Summary'!V21</f>
        <v>0</v>
      </c>
      <c r="E20" s="1329">
        <f>'Cost Summary'!W21</f>
        <v>0</v>
      </c>
      <c r="F20" s="1195"/>
      <c r="G20" s="1195"/>
      <c r="H20" s="1195"/>
      <c r="I20" s="1195"/>
    </row>
    <row r="21" spans="1:9">
      <c r="A21" s="1327">
        <f>'Major Assumption Key'!A37</f>
        <v>2038</v>
      </c>
      <c r="B21" s="1328">
        <f>'Benefits Summary'!AV22</f>
        <v>518511.95047262928</v>
      </c>
      <c r="C21" s="1329">
        <f>'Benefits Summary'!AW22</f>
        <v>328107.82863070816</v>
      </c>
      <c r="D21" s="1328">
        <f>'Cost Summary'!V22</f>
        <v>0</v>
      </c>
      <c r="E21" s="1329">
        <f>'Cost Summary'!W22</f>
        <v>0</v>
      </c>
      <c r="F21" s="1195"/>
      <c r="G21" s="1195"/>
      <c r="H21" s="1195"/>
      <c r="I21" s="1195"/>
    </row>
    <row r="22" spans="1:9">
      <c r="A22" s="1327">
        <f>'Major Assumption Key'!A38</f>
        <v>2039</v>
      </c>
      <c r="B22" s="1328">
        <f>'Benefits Summary'!AV23</f>
        <v>522613.69890466239</v>
      </c>
      <c r="C22" s="1329">
        <f>'Benefits Summary'!AW23</f>
        <v>320766.49022966658</v>
      </c>
      <c r="D22" s="1328">
        <f>'Cost Summary'!V23</f>
        <v>0</v>
      </c>
      <c r="E22" s="1329">
        <f>'Cost Summary'!W23</f>
        <v>0</v>
      </c>
      <c r="F22" s="1195"/>
      <c r="G22" s="1195"/>
      <c r="H22" s="1195"/>
      <c r="I22" s="1195"/>
    </row>
    <row r="23" spans="1:9">
      <c r="A23" s="1327">
        <f>'Major Assumption Key'!A39</f>
        <v>2040</v>
      </c>
      <c r="B23" s="1328">
        <f>'Benefits Summary'!AV24</f>
        <v>526820.26341526629</v>
      </c>
      <c r="C23" s="1329">
        <f>'Benefits Summary'!AW24</f>
        <v>313632.89946792397</v>
      </c>
      <c r="D23" s="1328">
        <f>'Cost Summary'!V24</f>
        <v>0</v>
      </c>
      <c r="E23" s="1329">
        <f>'Cost Summary'!W24</f>
        <v>0</v>
      </c>
      <c r="F23" s="1195"/>
      <c r="G23" s="1195"/>
      <c r="H23" s="1195"/>
      <c r="I23" s="1195"/>
    </row>
    <row r="24" spans="1:9">
      <c r="A24" s="1327">
        <f>'Major Assumption Key'!A40</f>
        <v>2041</v>
      </c>
      <c r="B24" s="1328">
        <f>'Benefits Summary'!AV25</f>
        <v>531088.66983868834</v>
      </c>
      <c r="C24" s="1329">
        <f>'Benefits Summary'!AW25</f>
        <v>306674.13317725551</v>
      </c>
      <c r="D24" s="1328">
        <f>'Cost Summary'!V25</f>
        <v>0</v>
      </c>
      <c r="E24" s="1329">
        <f>'Cost Summary'!W25</f>
        <v>0</v>
      </c>
      <c r="F24" s="1195"/>
      <c r="G24" s="1195"/>
      <c r="H24" s="1195"/>
      <c r="I24" s="1195"/>
    </row>
    <row r="25" spans="1:9">
      <c r="A25" s="1327">
        <f>'Major Assumption Key'!A41</f>
        <v>2042</v>
      </c>
      <c r="B25" s="1328">
        <f>'Benefits Summary'!AV26</f>
        <v>535445.90665983467</v>
      </c>
      <c r="C25" s="1329">
        <f>'Benefits Summary'!AW26</f>
        <v>299900.16082423017</v>
      </c>
      <c r="D25" s="1328">
        <f>'Cost Summary'!V26</f>
        <v>0</v>
      </c>
      <c r="E25" s="1329">
        <f>'Cost Summary'!W26</f>
        <v>0</v>
      </c>
      <c r="F25" s="1195"/>
      <c r="G25" s="1195"/>
      <c r="H25" s="1195"/>
      <c r="I25" s="1195"/>
    </row>
    <row r="26" spans="1:9">
      <c r="A26" s="1327">
        <f>'Major Assumption Key'!A42</f>
        <v>2043</v>
      </c>
      <c r="B26" s="1328">
        <f>'Benefits Summary'!AV27</f>
        <v>539865.77932135726</v>
      </c>
      <c r="C26" s="1329">
        <f>'Benefits Summary'!AW27</f>
        <v>293290.43787380587</v>
      </c>
      <c r="D26" s="1328">
        <f>'Cost Summary'!V27</f>
        <v>0</v>
      </c>
      <c r="E26" s="1329">
        <f>'Cost Summary'!W27</f>
        <v>0</v>
      </c>
      <c r="F26" s="1195"/>
      <c r="G26" s="1195"/>
      <c r="H26" s="1195"/>
      <c r="I26" s="1195"/>
    </row>
    <row r="27" spans="1:9">
      <c r="A27" s="1327">
        <f>'Major Assumption Key'!A43</f>
        <v>2044</v>
      </c>
      <c r="B27" s="1328">
        <f>'Benefits Summary'!AV28</f>
        <v>544349.23566994455</v>
      </c>
      <c r="C27" s="1329">
        <f>'Benefits Summary'!AW28</f>
        <v>286840.68473329424</v>
      </c>
      <c r="D27" s="1328">
        <f>'Cost Summary'!V28</f>
        <v>0</v>
      </c>
      <c r="E27" s="1329">
        <f>'Cost Summary'!W28</f>
        <v>0</v>
      </c>
      <c r="F27" s="1195"/>
      <c r="G27" s="1195"/>
      <c r="H27" s="1195"/>
      <c r="I27" s="1195"/>
    </row>
    <row r="28" spans="1:9">
      <c r="A28" s="1327">
        <f>'Major Assumption Key'!A44</f>
        <v>2045</v>
      </c>
      <c r="B28" s="1328">
        <f>'Benefits Summary'!AV29</f>
        <v>548897.23646106513</v>
      </c>
      <c r="C28" s="1329">
        <f>'Benefits Summary'!AW29</f>
        <v>280546.73811215849</v>
      </c>
      <c r="D28" s="1328">
        <f>'Cost Summary'!V29</f>
        <v>0</v>
      </c>
      <c r="E28" s="1329">
        <f>'Cost Summary'!W29</f>
        <v>0</v>
      </c>
      <c r="F28" s="1195"/>
      <c r="G28" s="1195"/>
      <c r="H28" s="1195"/>
      <c r="I28" s="1195"/>
    </row>
    <row r="29" spans="1:9">
      <c r="A29" s="1327">
        <f>'Major Assumption Key'!A45</f>
        <v>2046</v>
      </c>
      <c r="B29" s="1328">
        <f>'Benefits Summary'!AV30</f>
        <v>553510.75560258236</v>
      </c>
      <c r="C29" s="1329">
        <f>'Benefits Summary'!AW30</f>
        <v>274404.54784569336</v>
      </c>
      <c r="D29" s="1328">
        <f>'Cost Summary'!V30</f>
        <v>0</v>
      </c>
      <c r="E29" s="1329">
        <f>'Cost Summary'!W30</f>
        <v>0</v>
      </c>
      <c r="F29" s="1195"/>
      <c r="G29" s="1195"/>
      <c r="H29" s="1195"/>
      <c r="I29" s="1195"/>
    </row>
    <row r="30" spans="1:9">
      <c r="A30" s="1327">
        <f>'Major Assumption Key'!A46</f>
        <v>2047</v>
      </c>
      <c r="B30" s="1328">
        <f>'Benefits Summary'!AV31</f>
        <v>558190.78039869992</v>
      </c>
      <c r="C30" s="1329">
        <f>'Benefits Summary'!AW31</f>
        <v>268410.17379999632</v>
      </c>
      <c r="D30" s="1328">
        <f>'Cost Summary'!V31</f>
        <v>0</v>
      </c>
      <c r="E30" s="1329">
        <f>'Cost Summary'!W31</f>
        <v>0</v>
      </c>
      <c r="F30" s="1195"/>
      <c r="G30" s="1195"/>
      <c r="H30" s="1195"/>
      <c r="I30" s="1195"/>
    </row>
    <row r="31" spans="1:9">
      <c r="A31" s="1327">
        <f>'Major Assumption Key'!A47</f>
        <v>2048</v>
      </c>
      <c r="B31" s="1328">
        <f>'Benefits Summary'!AV32</f>
        <v>11576823.198171923</v>
      </c>
      <c r="C31" s="1329">
        <f>'Benefits Summary'!AW32</f>
        <v>5396773.4863780607</v>
      </c>
      <c r="D31" s="1328">
        <f>'Cost Summary'!V32</f>
        <v>0</v>
      </c>
      <c r="E31" s="1329">
        <f>'Cost Summary'!W32</f>
        <v>0</v>
      </c>
      <c r="F31" s="1195"/>
      <c r="G31" s="1195"/>
      <c r="H31" s="1195"/>
      <c r="I31" s="1195"/>
    </row>
    <row r="32" spans="1:9">
      <c r="A32" s="1327">
        <f>'Major Assumption Key'!A48</f>
        <v>2049</v>
      </c>
      <c r="B32" s="1328">
        <f>'Benefits Summary'!AV33</f>
        <v>0</v>
      </c>
      <c r="C32" s="1329">
        <f>'Benefits Summary'!AW33</f>
        <v>0</v>
      </c>
      <c r="D32" s="1328">
        <f>'Cost Summary'!V33</f>
        <v>0</v>
      </c>
      <c r="E32" s="1329">
        <f>'Cost Summary'!W33</f>
        <v>0</v>
      </c>
      <c r="F32" s="1195"/>
      <c r="G32" s="1195"/>
      <c r="H32" s="1195"/>
      <c r="I32" s="1195"/>
    </row>
    <row r="33" spans="1:5">
      <c r="A33" s="1327">
        <f>'Major Assumption Key'!A49</f>
        <v>2050</v>
      </c>
      <c r="B33" s="1328">
        <f>'Benefits Summary'!AV34</f>
        <v>0</v>
      </c>
      <c r="C33" s="1329">
        <f>'Benefits Summary'!AW34</f>
        <v>0</v>
      </c>
      <c r="D33" s="1328">
        <f>'Cost Summary'!V34</f>
        <v>0</v>
      </c>
      <c r="E33" s="1329">
        <f>'Cost Summary'!W34</f>
        <v>0</v>
      </c>
    </row>
    <row r="34" spans="1:5">
      <c r="A34" s="1327">
        <f>'Major Assumption Key'!A50</f>
        <v>2051</v>
      </c>
      <c r="B34" s="1328">
        <f>'Benefits Summary'!AV35</f>
        <v>0</v>
      </c>
      <c r="C34" s="1329">
        <f>'Benefits Summary'!AW35</f>
        <v>0</v>
      </c>
      <c r="D34" s="1328">
        <f>'Cost Summary'!V35</f>
        <v>0</v>
      </c>
      <c r="E34" s="1329">
        <f>'Cost Summary'!W35</f>
        <v>0</v>
      </c>
    </row>
    <row r="35" spans="1:5">
      <c r="A35" s="1327">
        <f>'Major Assumption Key'!A51</f>
        <v>2052</v>
      </c>
      <c r="B35" s="1328">
        <f>'Benefits Summary'!AV36</f>
        <v>0</v>
      </c>
      <c r="C35" s="1329">
        <f>'Benefits Summary'!AW36</f>
        <v>0</v>
      </c>
      <c r="D35" s="1328">
        <f>'Cost Summary'!V36</f>
        <v>0</v>
      </c>
      <c r="E35" s="1329">
        <f>'Cost Summary'!W36</f>
        <v>0</v>
      </c>
    </row>
    <row r="36" spans="1:5">
      <c r="A36" s="1327">
        <f>'Major Assumption Key'!A52</f>
        <v>2053</v>
      </c>
      <c r="B36" s="1328">
        <f>'Benefits Summary'!AV37</f>
        <v>0</v>
      </c>
      <c r="C36" s="1329">
        <f>'Benefits Summary'!AW37</f>
        <v>0</v>
      </c>
      <c r="D36" s="1328">
        <f>'Cost Summary'!V37</f>
        <v>0</v>
      </c>
      <c r="E36" s="1329">
        <f>'Cost Summary'!W37</f>
        <v>0</v>
      </c>
    </row>
    <row r="37" spans="1:5">
      <c r="A37" s="1327">
        <f>'Major Assumption Key'!A53</f>
        <v>2054</v>
      </c>
      <c r="B37" s="1328">
        <f>'Benefits Summary'!AV38</f>
        <v>0</v>
      </c>
      <c r="C37" s="1329">
        <f>'Benefits Summary'!AW38</f>
        <v>0</v>
      </c>
      <c r="D37" s="1328">
        <f>'Cost Summary'!V38</f>
        <v>0</v>
      </c>
      <c r="E37" s="1329">
        <f>'Cost Summary'!W38</f>
        <v>0</v>
      </c>
    </row>
    <row r="38" spans="1:5">
      <c r="A38" s="1327">
        <f>'Major Assumption Key'!A54</f>
        <v>2055</v>
      </c>
      <c r="B38" s="1328">
        <f>'Benefits Summary'!AV39</f>
        <v>0</v>
      </c>
      <c r="C38" s="1329">
        <f>'Benefits Summary'!AW39</f>
        <v>0</v>
      </c>
      <c r="D38" s="1328">
        <f>'Cost Summary'!V39</f>
        <v>0</v>
      </c>
      <c r="E38" s="1329">
        <f>'Cost Summary'!W39</f>
        <v>0</v>
      </c>
    </row>
    <row r="39" spans="1:5">
      <c r="A39" s="1327">
        <f>'Major Assumption Key'!A55</f>
        <v>2056</v>
      </c>
      <c r="B39" s="1328">
        <f>'Benefits Summary'!AV40</f>
        <v>0</v>
      </c>
      <c r="C39" s="1329">
        <f>'Benefits Summary'!AW40</f>
        <v>0</v>
      </c>
      <c r="D39" s="1328">
        <f>'Cost Summary'!V40</f>
        <v>0</v>
      </c>
      <c r="E39" s="1329">
        <f>'Cost Summary'!W40</f>
        <v>0</v>
      </c>
    </row>
    <row r="40" spans="1:5">
      <c r="A40" s="1327">
        <f>'Major Assumption Key'!A56</f>
        <v>2057</v>
      </c>
      <c r="B40" s="1328">
        <f>'Benefits Summary'!AV41</f>
        <v>0</v>
      </c>
      <c r="C40" s="1329">
        <f>'Benefits Summary'!AW41</f>
        <v>0</v>
      </c>
      <c r="D40" s="1328">
        <f>'Cost Summary'!V41</f>
        <v>0</v>
      </c>
      <c r="E40" s="1329">
        <f>'Cost Summary'!W41</f>
        <v>0</v>
      </c>
    </row>
    <row r="41" spans="1:5">
      <c r="A41" s="1327">
        <f>'Major Assumption Key'!A57</f>
        <v>2058</v>
      </c>
      <c r="B41" s="1328">
        <f>'Benefits Summary'!AV42</f>
        <v>0</v>
      </c>
      <c r="C41" s="1329">
        <f>'Benefits Summary'!AW42</f>
        <v>0</v>
      </c>
      <c r="D41" s="1328">
        <f>'Cost Summary'!V42</f>
        <v>0</v>
      </c>
      <c r="E41" s="1329">
        <f>'Cost Summary'!W42</f>
        <v>0</v>
      </c>
    </row>
    <row r="42" spans="1:5">
      <c r="A42" s="1327">
        <f>'Major Assumption Key'!A58</f>
        <v>2059</v>
      </c>
      <c r="B42" s="1328">
        <f>'Benefits Summary'!AV43</f>
        <v>0</v>
      </c>
      <c r="C42" s="1329">
        <f>'Benefits Summary'!AW43</f>
        <v>0</v>
      </c>
      <c r="D42" s="1328">
        <f>'Cost Summary'!V43</f>
        <v>0</v>
      </c>
      <c r="E42" s="1329">
        <f>'Cost Summary'!W43</f>
        <v>0</v>
      </c>
    </row>
    <row r="43" spans="1:5">
      <c r="A43" s="1327">
        <f>'Major Assumption Key'!A59</f>
        <v>2060</v>
      </c>
      <c r="B43" s="1328">
        <f>'Benefits Summary'!AV44</f>
        <v>0</v>
      </c>
      <c r="C43" s="1329">
        <f>'Benefits Summary'!AW44</f>
        <v>0</v>
      </c>
      <c r="D43" s="1328">
        <f>'Cost Summary'!V44</f>
        <v>0</v>
      </c>
      <c r="E43" s="1329">
        <f>'Cost Summary'!W44</f>
        <v>0</v>
      </c>
    </row>
    <row r="44" spans="1:5">
      <c r="A44" s="1743" t="s">
        <v>421</v>
      </c>
      <c r="B44" s="1744">
        <f>SUM(B4:B43)</f>
        <v>21446502.733827129</v>
      </c>
      <c r="C44" s="1744">
        <f t="shared" ref="C44:E44" si="1">SUM(C4:C43)</f>
        <v>11684182.937136369</v>
      </c>
      <c r="D44" s="1744">
        <f t="shared" si="1"/>
        <v>21209865.75</v>
      </c>
      <c r="E44" s="1744">
        <f t="shared" si="1"/>
        <v>18614480.382547762</v>
      </c>
    </row>
    <row r="46" spans="1:5" ht="15" thickBot="1">
      <c r="A46" s="1745" t="s">
        <v>422</v>
      </c>
      <c r="B46" s="1195"/>
      <c r="C46" s="1195"/>
      <c r="D46" s="1195"/>
      <c r="E46" s="1195"/>
    </row>
    <row r="47" spans="1:5">
      <c r="A47" s="1324" t="s">
        <v>416</v>
      </c>
      <c r="B47" s="1325" t="s">
        <v>9</v>
      </c>
      <c r="C47" s="1326" t="s">
        <v>10</v>
      </c>
      <c r="D47" s="1325" t="str">
        <f>_xlfn.CONCAT("Discounted @",TEXT('Major Assumption Key'!B8,"0.0%"))</f>
        <v>Discounted @3.1%</v>
      </c>
      <c r="E47" s="1326" t="str">
        <f>_xlfn.CONCAT("Discounted @",TEXT('Major Assumption Key'!B8,"0.0%"))</f>
        <v>Discounted @3.1%</v>
      </c>
    </row>
    <row r="48" spans="1:5">
      <c r="A48" s="1327">
        <f t="shared" ref="A48" si="2">A4</f>
        <v>2020</v>
      </c>
      <c r="B48" s="1328">
        <f t="shared" ref="B48:B87" si="3">B4</f>
        <v>0</v>
      </c>
      <c r="C48" s="1329">
        <f t="shared" ref="C48" si="4">D4*-1</f>
        <v>0</v>
      </c>
      <c r="D48" s="1328">
        <f>C4</f>
        <v>0</v>
      </c>
      <c r="E48" s="1329">
        <f>E4*-1</f>
        <v>0</v>
      </c>
    </row>
    <row r="49" spans="1:12">
      <c r="A49" s="1327">
        <f t="shared" ref="A49" si="5">A5</f>
        <v>2022</v>
      </c>
      <c r="B49" s="1328">
        <f t="shared" si="3"/>
        <v>0</v>
      </c>
      <c r="C49" s="1329">
        <f t="shared" ref="C49:C87" si="6">D5*-1</f>
        <v>0</v>
      </c>
      <c r="D49" s="1328">
        <f t="shared" ref="D49:D87" si="7">C5</f>
        <v>0</v>
      </c>
      <c r="E49" s="1329">
        <f t="shared" ref="E49:E87" si="8">E5*-1</f>
        <v>0</v>
      </c>
      <c r="F49" s="1195"/>
      <c r="G49" s="1195"/>
      <c r="H49" s="1195"/>
      <c r="I49" s="1195"/>
      <c r="J49" s="1195"/>
      <c r="K49" s="1195"/>
      <c r="L49" s="1195"/>
    </row>
    <row r="50" spans="1:12">
      <c r="A50" s="1327">
        <f t="shared" ref="A50" si="9">A6</f>
        <v>2023</v>
      </c>
      <c r="B50" s="1328">
        <f t="shared" si="3"/>
        <v>0</v>
      </c>
      <c r="C50" s="1329">
        <f t="shared" si="6"/>
        <v>-100000</v>
      </c>
      <c r="D50" s="1328">
        <f t="shared" si="7"/>
        <v>0</v>
      </c>
      <c r="E50" s="1329">
        <f t="shared" si="8"/>
        <v>-100000</v>
      </c>
      <c r="F50" s="1195"/>
      <c r="G50" s="1195"/>
      <c r="H50" s="1195"/>
      <c r="I50" s="1195"/>
      <c r="J50" s="1195"/>
      <c r="K50" s="1195"/>
      <c r="L50" s="1195"/>
    </row>
    <row r="51" spans="1:12">
      <c r="A51" s="1327">
        <f t="shared" ref="A51" si="10">A7</f>
        <v>2024</v>
      </c>
      <c r="B51" s="1328">
        <f t="shared" si="3"/>
        <v>0</v>
      </c>
      <c r="C51" s="1329">
        <f t="shared" si="6"/>
        <v>0</v>
      </c>
      <c r="D51" s="1328">
        <f t="shared" si="7"/>
        <v>0</v>
      </c>
      <c r="E51" s="1329">
        <f t="shared" si="8"/>
        <v>0</v>
      </c>
      <c r="F51" s="1195"/>
      <c r="G51" s="1195"/>
      <c r="H51" s="1195"/>
      <c r="I51" s="1195"/>
      <c r="J51" s="1195"/>
      <c r="K51" s="1195"/>
      <c r="L51" s="1195"/>
    </row>
    <row r="52" spans="1:12">
      <c r="A52" s="1327">
        <f t="shared" ref="A52" si="11">A8</f>
        <v>2025</v>
      </c>
      <c r="B52" s="1328">
        <f t="shared" si="3"/>
        <v>0</v>
      </c>
      <c r="C52" s="1329">
        <f t="shared" si="6"/>
        <v>0</v>
      </c>
      <c r="D52" s="1328">
        <f t="shared" si="7"/>
        <v>0</v>
      </c>
      <c r="E52" s="1329">
        <f t="shared" si="8"/>
        <v>0</v>
      </c>
      <c r="F52" s="1195"/>
      <c r="G52" s="1195"/>
      <c r="H52" s="1195"/>
      <c r="I52" s="1195"/>
      <c r="J52" s="1195"/>
      <c r="K52" s="1195"/>
      <c r="L52" s="1195"/>
    </row>
    <row r="53" spans="1:12">
      <c r="A53" s="1327">
        <f t="shared" ref="A53" si="12">A9</f>
        <v>2026</v>
      </c>
      <c r="B53" s="1328">
        <f t="shared" si="3"/>
        <v>0</v>
      </c>
      <c r="C53" s="1329">
        <f t="shared" si="6"/>
        <v>-2753460.75</v>
      </c>
      <c r="D53" s="1328">
        <f t="shared" si="7"/>
        <v>0</v>
      </c>
      <c r="E53" s="1329">
        <f t="shared" si="8"/>
        <v>-2512481.6250091572</v>
      </c>
      <c r="F53" s="1195"/>
      <c r="G53" s="1195"/>
      <c r="H53" s="1195"/>
      <c r="I53" s="1195"/>
      <c r="J53" s="1195"/>
      <c r="K53" s="1195"/>
      <c r="L53" s="1195"/>
    </row>
    <row r="54" spans="1:12">
      <c r="A54" s="1327">
        <f t="shared" ref="A54" si="13">A10</f>
        <v>2027</v>
      </c>
      <c r="B54" s="1328">
        <f t="shared" si="3"/>
        <v>0</v>
      </c>
      <c r="C54" s="1329">
        <f t="shared" si="6"/>
        <v>-9178202.5</v>
      </c>
      <c r="D54" s="1328">
        <f t="shared" si="7"/>
        <v>0</v>
      </c>
      <c r="E54" s="1329">
        <f t="shared" si="8"/>
        <v>-8123121.9689917779</v>
      </c>
      <c r="F54" s="1195"/>
      <c r="G54" s="1195"/>
      <c r="H54" s="1195"/>
      <c r="I54" s="1195"/>
      <c r="J54" s="1195"/>
      <c r="K54" s="1195"/>
      <c r="L54" s="1195"/>
    </row>
    <row r="55" spans="1:12">
      <c r="A55" s="1327">
        <f t="shared" ref="A55" si="14">A11</f>
        <v>2028</v>
      </c>
      <c r="B55" s="1328">
        <f t="shared" si="3"/>
        <v>0</v>
      </c>
      <c r="C55" s="1329">
        <f t="shared" si="6"/>
        <v>-9178202.5</v>
      </c>
      <c r="D55" s="1328">
        <f t="shared" si="7"/>
        <v>0</v>
      </c>
      <c r="E55" s="1329">
        <f t="shared" si="8"/>
        <v>-7878876.7885468267</v>
      </c>
      <c r="F55" s="1195"/>
      <c r="G55" s="1195"/>
      <c r="H55" s="1195"/>
      <c r="I55" s="1195"/>
      <c r="J55" s="1195"/>
      <c r="K55" s="1195"/>
      <c r="L55" s="1195"/>
    </row>
    <row r="56" spans="1:12">
      <c r="A56" s="1327">
        <f t="shared" ref="A56" si="15">A12</f>
        <v>2029</v>
      </c>
      <c r="B56" s="1328">
        <f t="shared" si="3"/>
        <v>484030.12809372565</v>
      </c>
      <c r="C56" s="1329">
        <f t="shared" si="6"/>
        <v>0</v>
      </c>
      <c r="D56" s="1328">
        <f t="shared" si="7"/>
        <v>403064.43155125878</v>
      </c>
      <c r="E56" s="1329">
        <f t="shared" si="8"/>
        <v>0</v>
      </c>
      <c r="F56" s="1195"/>
      <c r="G56" s="1195"/>
      <c r="H56" s="1195"/>
      <c r="I56" s="1195"/>
      <c r="J56" s="1195"/>
      <c r="K56" s="1195"/>
      <c r="L56" s="1195"/>
    </row>
    <row r="57" spans="1:12">
      <c r="A57" s="1327">
        <f t="shared" ref="A57" si="16">A13</f>
        <v>2030</v>
      </c>
      <c r="B57" s="1328">
        <f t="shared" si="3"/>
        <v>487576.97117373277</v>
      </c>
      <c r="C57" s="1329">
        <f t="shared" si="6"/>
        <v>0</v>
      </c>
      <c r="D57" s="1328">
        <f t="shared" si="7"/>
        <v>393818.03469618596</v>
      </c>
      <c r="E57" s="1329">
        <f t="shared" si="8"/>
        <v>0</v>
      </c>
      <c r="F57" s="1195"/>
      <c r="G57" s="1195"/>
      <c r="H57" s="1195"/>
      <c r="I57" s="1195"/>
      <c r="J57" s="1195"/>
      <c r="K57" s="1195"/>
      <c r="L57" s="1195"/>
    </row>
    <row r="58" spans="1:12">
      <c r="A58" s="1327">
        <f t="shared" ref="A58" si="17">A14</f>
        <v>2031</v>
      </c>
      <c r="B58" s="1328">
        <f t="shared" si="3"/>
        <v>491223.78382832865</v>
      </c>
      <c r="C58" s="1329">
        <f t="shared" si="6"/>
        <v>0</v>
      </c>
      <c r="D58" s="1328">
        <f t="shared" si="7"/>
        <v>384841.97699028079</v>
      </c>
      <c r="E58" s="1329">
        <f t="shared" si="8"/>
        <v>0</v>
      </c>
      <c r="F58" s="1195"/>
      <c r="G58" s="1195"/>
      <c r="H58" s="1195"/>
      <c r="I58" s="1195"/>
      <c r="J58" s="1195"/>
      <c r="K58" s="1195"/>
      <c r="L58" s="1195"/>
    </row>
    <row r="59" spans="1:12">
      <c r="A59" s="1327">
        <f t="shared" ref="A59" si="18">A15</f>
        <v>2032</v>
      </c>
      <c r="B59" s="1328">
        <f t="shared" si="3"/>
        <v>494964.67144980386</v>
      </c>
      <c r="C59" s="1329">
        <f t="shared" si="6"/>
        <v>0</v>
      </c>
      <c r="D59" s="1328">
        <f t="shared" si="7"/>
        <v>376121.31104358804</v>
      </c>
      <c r="E59" s="1329">
        <f t="shared" si="8"/>
        <v>0</v>
      </c>
      <c r="F59" s="1195"/>
      <c r="G59" s="1195"/>
      <c r="H59" s="1195"/>
      <c r="I59" s="1195"/>
      <c r="J59" s="1195"/>
      <c r="K59" s="1319"/>
      <c r="L59" s="1319"/>
    </row>
    <row r="60" spans="1:12">
      <c r="A60" s="1327">
        <f t="shared" ref="A60" si="19">A16</f>
        <v>2033</v>
      </c>
      <c r="B60" s="1328">
        <f t="shared" si="3"/>
        <v>498715.80527649442</v>
      </c>
      <c r="C60" s="1329">
        <f t="shared" si="6"/>
        <v>0</v>
      </c>
      <c r="D60" s="1328">
        <f t="shared" si="7"/>
        <v>367584.54158377653</v>
      </c>
      <c r="E60" s="1329">
        <f t="shared" si="8"/>
        <v>0</v>
      </c>
      <c r="F60" s="1195"/>
      <c r="G60" s="1195"/>
      <c r="H60" s="1195"/>
      <c r="I60" s="1195"/>
      <c r="J60" s="1195"/>
      <c r="K60" s="1319"/>
      <c r="L60" s="1319"/>
    </row>
    <row r="61" spans="1:12">
      <c r="A61" s="1327">
        <f t="shared" ref="A61" si="20">A17</f>
        <v>2034</v>
      </c>
      <c r="B61" s="1328">
        <f t="shared" si="3"/>
        <v>502568.42744193878</v>
      </c>
      <c r="C61" s="1329">
        <f t="shared" si="6"/>
        <v>0</v>
      </c>
      <c r="D61" s="1328">
        <f t="shared" si="7"/>
        <v>359294.08664267702</v>
      </c>
      <c r="E61" s="1329">
        <f t="shared" si="8"/>
        <v>0</v>
      </c>
      <c r="F61" s="1195"/>
      <c r="G61" s="1195"/>
      <c r="H61" s="1195"/>
      <c r="I61" s="1195"/>
      <c r="J61" s="1195"/>
      <c r="K61" s="1319"/>
      <c r="L61" s="1319"/>
    </row>
    <row r="62" spans="1:12">
      <c r="A62" s="1327">
        <f t="shared" ref="A62" si="21">A18</f>
        <v>2035</v>
      </c>
      <c r="B62" s="1328">
        <f t="shared" si="3"/>
        <v>506477.93602080055</v>
      </c>
      <c r="C62" s="1329">
        <f t="shared" si="6"/>
        <v>0</v>
      </c>
      <c r="D62" s="1328">
        <f t="shared" si="7"/>
        <v>351209.46099916543</v>
      </c>
      <c r="E62" s="1329">
        <f t="shared" si="8"/>
        <v>0</v>
      </c>
      <c r="F62" s="1195"/>
      <c r="G62" s="1195"/>
      <c r="H62" s="1195"/>
      <c r="I62" s="1195"/>
      <c r="J62" s="1195"/>
      <c r="K62" s="1319"/>
      <c r="L62" s="1319"/>
    </row>
    <row r="63" spans="1:12">
      <c r="A63" s="1327">
        <f t="shared" ref="A63" si="22">A19</f>
        <v>2036</v>
      </c>
      <c r="B63" s="1328">
        <f t="shared" si="3"/>
        <v>510400.80728292209</v>
      </c>
      <c r="C63" s="1329">
        <f t="shared" si="6"/>
        <v>0</v>
      </c>
      <c r="D63" s="1328">
        <f t="shared" si="7"/>
        <v>343294.94779840356</v>
      </c>
      <c r="E63" s="1329">
        <f t="shared" si="8"/>
        <v>0</v>
      </c>
      <c r="F63" s="1195"/>
      <c r="G63" s="1195"/>
      <c r="H63" s="1195"/>
      <c r="I63" s="1195"/>
      <c r="J63" s="1195"/>
      <c r="K63" s="1319"/>
      <c r="L63" s="1319"/>
    </row>
    <row r="64" spans="1:12">
      <c r="A64" s="1327">
        <f t="shared" ref="A64" si="23">A20</f>
        <v>2037</v>
      </c>
      <c r="B64" s="1328">
        <f t="shared" si="3"/>
        <v>514426.72834272817</v>
      </c>
      <c r="C64" s="1329">
        <f t="shared" si="6"/>
        <v>0</v>
      </c>
      <c r="D64" s="1328">
        <f t="shared" si="7"/>
        <v>335606.56475824094</v>
      </c>
      <c r="E64" s="1329">
        <f t="shared" si="8"/>
        <v>0</v>
      </c>
      <c r="F64" s="1195"/>
      <c r="G64" s="1195"/>
      <c r="H64" s="1195"/>
      <c r="I64" s="1195"/>
      <c r="J64" s="1195"/>
      <c r="K64" s="1319"/>
      <c r="L64" s="1319"/>
    </row>
    <row r="65" spans="1:12">
      <c r="A65" s="1327">
        <f t="shared" ref="A65" si="24">A21</f>
        <v>2038</v>
      </c>
      <c r="B65" s="1328">
        <f t="shared" si="3"/>
        <v>518511.95047262928</v>
      </c>
      <c r="C65" s="1329">
        <f t="shared" si="6"/>
        <v>0</v>
      </c>
      <c r="D65" s="1328">
        <f t="shared" si="7"/>
        <v>328107.82863070816</v>
      </c>
      <c r="E65" s="1329">
        <f t="shared" si="8"/>
        <v>0</v>
      </c>
      <c r="F65" s="1195"/>
      <c r="G65" s="1195"/>
      <c r="H65" s="1195"/>
      <c r="I65" s="1195"/>
      <c r="J65" s="1195"/>
      <c r="K65" s="1319"/>
      <c r="L65" s="1319"/>
    </row>
    <row r="66" spans="1:12">
      <c r="A66" s="1327">
        <f t="shared" ref="A66" si="25">A22</f>
        <v>2039</v>
      </c>
      <c r="B66" s="1328">
        <f t="shared" si="3"/>
        <v>522613.69890466239</v>
      </c>
      <c r="C66" s="1329">
        <f t="shared" si="6"/>
        <v>0</v>
      </c>
      <c r="D66" s="1328">
        <f t="shared" si="7"/>
        <v>320766.49022966658</v>
      </c>
      <c r="E66" s="1329">
        <f t="shared" si="8"/>
        <v>0</v>
      </c>
      <c r="F66" s="1195"/>
      <c r="G66" s="1195"/>
      <c r="H66" s="1195"/>
      <c r="I66" s="1195"/>
      <c r="J66" s="1195"/>
      <c r="K66" s="1319"/>
      <c r="L66" s="1319"/>
    </row>
    <row r="67" spans="1:12">
      <c r="A67" s="1327">
        <f t="shared" ref="A67" si="26">A23</f>
        <v>2040</v>
      </c>
      <c r="B67" s="1328">
        <f t="shared" si="3"/>
        <v>526820.26341526629</v>
      </c>
      <c r="C67" s="1329">
        <f t="shared" si="6"/>
        <v>0</v>
      </c>
      <c r="D67" s="1328">
        <f t="shared" si="7"/>
        <v>313632.89946792397</v>
      </c>
      <c r="E67" s="1329">
        <f t="shared" si="8"/>
        <v>0</v>
      </c>
      <c r="F67" s="1195"/>
      <c r="G67" s="1195"/>
      <c r="H67" s="1195"/>
      <c r="I67" s="1195"/>
      <c r="J67" s="1195"/>
      <c r="K67" s="1319"/>
      <c r="L67" s="1319"/>
    </row>
    <row r="68" spans="1:12">
      <c r="A68" s="1327">
        <f t="shared" ref="A68" si="27">A24</f>
        <v>2041</v>
      </c>
      <c r="B68" s="1328">
        <f t="shared" si="3"/>
        <v>531088.66983868834</v>
      </c>
      <c r="C68" s="1329">
        <f t="shared" si="6"/>
        <v>0</v>
      </c>
      <c r="D68" s="1328">
        <f t="shared" si="7"/>
        <v>306674.13317725551</v>
      </c>
      <c r="E68" s="1329">
        <f t="shared" si="8"/>
        <v>0</v>
      </c>
      <c r="F68" s="1195"/>
      <c r="G68" s="1195"/>
      <c r="H68" s="1195"/>
      <c r="I68" s="1195"/>
      <c r="J68" s="1195"/>
      <c r="K68" s="1319"/>
      <c r="L68" s="1319"/>
    </row>
    <row r="69" spans="1:12">
      <c r="A69" s="1327">
        <f t="shared" ref="A69" si="28">A25</f>
        <v>2042</v>
      </c>
      <c r="B69" s="1328">
        <f t="shared" si="3"/>
        <v>535445.90665983467</v>
      </c>
      <c r="C69" s="1329">
        <f t="shared" si="6"/>
        <v>0</v>
      </c>
      <c r="D69" s="1328">
        <f t="shared" si="7"/>
        <v>299900.16082423017</v>
      </c>
      <c r="E69" s="1329">
        <f t="shared" si="8"/>
        <v>0</v>
      </c>
      <c r="F69" s="1195"/>
      <c r="G69" s="1195"/>
      <c r="H69" s="1195"/>
      <c r="I69" s="1195"/>
      <c r="J69" s="1195"/>
      <c r="K69" s="1319"/>
      <c r="L69" s="1319"/>
    </row>
    <row r="70" spans="1:12">
      <c r="A70" s="1327">
        <f t="shared" ref="A70" si="29">A26</f>
        <v>2043</v>
      </c>
      <c r="B70" s="1328">
        <f t="shared" si="3"/>
        <v>539865.77932135726</v>
      </c>
      <c r="C70" s="1329">
        <f t="shared" si="6"/>
        <v>0</v>
      </c>
      <c r="D70" s="1328">
        <f t="shared" si="7"/>
        <v>293290.43787380587</v>
      </c>
      <c r="E70" s="1329">
        <f t="shared" si="8"/>
        <v>0</v>
      </c>
      <c r="F70" s="1195"/>
      <c r="G70" s="1195"/>
      <c r="H70" s="1195"/>
      <c r="I70" s="1195"/>
      <c r="J70" s="1195"/>
      <c r="K70" s="1319"/>
      <c r="L70" s="1319"/>
    </row>
    <row r="71" spans="1:12">
      <c r="A71" s="1327">
        <f t="shared" ref="A71" si="30">A27</f>
        <v>2044</v>
      </c>
      <c r="B71" s="1328">
        <f t="shared" si="3"/>
        <v>544349.23566994455</v>
      </c>
      <c r="C71" s="1329">
        <f t="shared" si="6"/>
        <v>0</v>
      </c>
      <c r="D71" s="1328">
        <f t="shared" si="7"/>
        <v>286840.68473329424</v>
      </c>
      <c r="E71" s="1329">
        <f t="shared" si="8"/>
        <v>0</v>
      </c>
      <c r="F71" s="1195"/>
      <c r="G71" s="1195"/>
      <c r="H71" s="1195"/>
      <c r="I71" s="1195"/>
      <c r="J71" s="1195"/>
      <c r="K71" s="1319"/>
      <c r="L71" s="1319"/>
    </row>
    <row r="72" spans="1:12">
      <c r="A72" s="1327">
        <f t="shared" ref="A72" si="31">A28</f>
        <v>2045</v>
      </c>
      <c r="B72" s="1328">
        <f t="shared" si="3"/>
        <v>548897.23646106513</v>
      </c>
      <c r="C72" s="1329">
        <f t="shared" si="6"/>
        <v>0</v>
      </c>
      <c r="D72" s="1328">
        <f t="shared" si="7"/>
        <v>280546.73811215849</v>
      </c>
      <c r="E72" s="1329">
        <f t="shared" si="8"/>
        <v>0</v>
      </c>
      <c r="F72" s="1195"/>
      <c r="G72" s="1195"/>
      <c r="H72" s="1195"/>
      <c r="I72" s="1195"/>
      <c r="J72" s="1195"/>
      <c r="K72" s="1319"/>
      <c r="L72" s="1319"/>
    </row>
    <row r="73" spans="1:12">
      <c r="A73" s="1327">
        <f t="shared" ref="A73" si="32">A29</f>
        <v>2046</v>
      </c>
      <c r="B73" s="1328">
        <f t="shared" si="3"/>
        <v>553510.75560258236</v>
      </c>
      <c r="C73" s="1329">
        <f t="shared" si="6"/>
        <v>0</v>
      </c>
      <c r="D73" s="1328">
        <f t="shared" si="7"/>
        <v>274404.54784569336</v>
      </c>
      <c r="E73" s="1329">
        <f t="shared" si="8"/>
        <v>0</v>
      </c>
      <c r="F73" s="1195"/>
      <c r="G73" s="1195"/>
      <c r="H73" s="1195"/>
      <c r="I73" s="1195"/>
      <c r="J73" s="1195"/>
      <c r="K73" s="1319"/>
      <c r="L73" s="1319"/>
    </row>
    <row r="74" spans="1:12">
      <c r="A74" s="1327">
        <f t="shared" ref="A74" si="33">A30</f>
        <v>2047</v>
      </c>
      <c r="B74" s="1328">
        <f t="shared" si="3"/>
        <v>558190.78039869992</v>
      </c>
      <c r="C74" s="1329">
        <f t="shared" si="6"/>
        <v>0</v>
      </c>
      <c r="D74" s="1328">
        <f t="shared" si="7"/>
        <v>268410.17379999632</v>
      </c>
      <c r="E74" s="1329">
        <f t="shared" si="8"/>
        <v>0</v>
      </c>
      <c r="F74" s="1195"/>
      <c r="G74" s="1195"/>
      <c r="H74" s="1195"/>
      <c r="I74" s="1195"/>
      <c r="J74" s="1195"/>
      <c r="K74" s="1319"/>
      <c r="L74" s="1319"/>
    </row>
    <row r="75" spans="1:12">
      <c r="A75" s="1327">
        <f t="shared" ref="A75" si="34">A31</f>
        <v>2048</v>
      </c>
      <c r="B75" s="1328">
        <f t="shared" si="3"/>
        <v>11576823.198171923</v>
      </c>
      <c r="C75" s="1329">
        <f t="shared" si="6"/>
        <v>0</v>
      </c>
      <c r="D75" s="1328">
        <f t="shared" si="7"/>
        <v>5396773.4863780607</v>
      </c>
      <c r="E75" s="1329">
        <f t="shared" si="8"/>
        <v>0</v>
      </c>
      <c r="F75" s="1195"/>
      <c r="G75" s="1195"/>
      <c r="H75" s="1195"/>
      <c r="I75" s="1195"/>
      <c r="J75" s="1195"/>
      <c r="K75" s="1319"/>
      <c r="L75" s="1319"/>
    </row>
    <row r="76" spans="1:12">
      <c r="A76" s="1327">
        <f t="shared" ref="A76" si="35">A32</f>
        <v>2049</v>
      </c>
      <c r="B76" s="1328">
        <f t="shared" si="3"/>
        <v>0</v>
      </c>
      <c r="C76" s="1329">
        <f t="shared" si="6"/>
        <v>0</v>
      </c>
      <c r="D76" s="1328">
        <f t="shared" si="7"/>
        <v>0</v>
      </c>
      <c r="E76" s="1329">
        <f t="shared" si="8"/>
        <v>0</v>
      </c>
      <c r="F76" s="1195"/>
      <c r="G76" s="1195"/>
      <c r="H76" s="1195"/>
      <c r="I76" s="1195"/>
      <c r="J76" s="1195"/>
      <c r="K76" s="1319"/>
      <c r="L76" s="1319"/>
    </row>
    <row r="77" spans="1:12">
      <c r="A77" s="1327">
        <f t="shared" ref="A77" si="36">A33</f>
        <v>2050</v>
      </c>
      <c r="B77" s="1328">
        <f t="shared" si="3"/>
        <v>0</v>
      </c>
      <c r="C77" s="1329">
        <f t="shared" si="6"/>
        <v>0</v>
      </c>
      <c r="D77" s="1328">
        <f t="shared" si="7"/>
        <v>0</v>
      </c>
      <c r="E77" s="1329">
        <f t="shared" si="8"/>
        <v>0</v>
      </c>
      <c r="F77" s="1195"/>
      <c r="G77" s="1195"/>
      <c r="H77" s="1195"/>
      <c r="I77" s="1195"/>
      <c r="J77" s="1195"/>
      <c r="K77" s="1319"/>
      <c r="L77" s="1319"/>
    </row>
    <row r="78" spans="1:12">
      <c r="A78" s="1327">
        <f t="shared" ref="A78" si="37">A34</f>
        <v>2051</v>
      </c>
      <c r="B78" s="1328">
        <f t="shared" si="3"/>
        <v>0</v>
      </c>
      <c r="C78" s="1329">
        <f t="shared" si="6"/>
        <v>0</v>
      </c>
      <c r="D78" s="1328">
        <f t="shared" si="7"/>
        <v>0</v>
      </c>
      <c r="E78" s="1329">
        <f t="shared" si="8"/>
        <v>0</v>
      </c>
      <c r="F78" s="1195"/>
      <c r="G78" s="1195"/>
      <c r="H78" s="1195"/>
      <c r="I78" s="1195"/>
      <c r="J78" s="1195"/>
      <c r="K78" s="1319"/>
      <c r="L78" s="1319"/>
    </row>
    <row r="79" spans="1:12">
      <c r="A79" s="1327">
        <f t="shared" ref="A79" si="38">A35</f>
        <v>2052</v>
      </c>
      <c r="B79" s="1328">
        <f t="shared" si="3"/>
        <v>0</v>
      </c>
      <c r="C79" s="1329">
        <f t="shared" si="6"/>
        <v>0</v>
      </c>
      <c r="D79" s="1328">
        <f t="shared" si="7"/>
        <v>0</v>
      </c>
      <c r="E79" s="1329">
        <f t="shared" si="8"/>
        <v>0</v>
      </c>
      <c r="F79" s="1195"/>
      <c r="G79" s="1195"/>
      <c r="H79" s="1195"/>
      <c r="I79" s="1195"/>
      <c r="J79" s="1195"/>
      <c r="K79" s="1319"/>
      <c r="L79" s="1319"/>
    </row>
    <row r="80" spans="1:12">
      <c r="A80" s="1327">
        <f t="shared" ref="A80" si="39">A36</f>
        <v>2053</v>
      </c>
      <c r="B80" s="1328">
        <f t="shared" si="3"/>
        <v>0</v>
      </c>
      <c r="C80" s="1329">
        <f t="shared" si="6"/>
        <v>0</v>
      </c>
      <c r="D80" s="1328">
        <f t="shared" si="7"/>
        <v>0</v>
      </c>
      <c r="E80" s="1329">
        <f t="shared" si="8"/>
        <v>0</v>
      </c>
      <c r="F80" s="1195"/>
      <c r="G80" s="1195"/>
      <c r="H80" s="1195"/>
      <c r="I80" s="1195"/>
      <c r="J80" s="1195"/>
      <c r="K80" s="1319"/>
      <c r="L80" s="1319"/>
    </row>
    <row r="81" spans="1:12">
      <c r="A81" s="1327">
        <f t="shared" ref="A81" si="40">A37</f>
        <v>2054</v>
      </c>
      <c r="B81" s="1328">
        <f t="shared" si="3"/>
        <v>0</v>
      </c>
      <c r="C81" s="1329">
        <f t="shared" si="6"/>
        <v>0</v>
      </c>
      <c r="D81" s="1328">
        <f t="shared" si="7"/>
        <v>0</v>
      </c>
      <c r="E81" s="1329">
        <f t="shared" si="8"/>
        <v>0</v>
      </c>
      <c r="F81" s="1195"/>
      <c r="G81" s="1195"/>
      <c r="H81" s="1195"/>
      <c r="I81" s="1195"/>
      <c r="J81" s="1195"/>
      <c r="K81" s="1319"/>
      <c r="L81" s="1319"/>
    </row>
    <row r="82" spans="1:12">
      <c r="A82" s="1327">
        <f t="shared" ref="A82" si="41">A38</f>
        <v>2055</v>
      </c>
      <c r="B82" s="1328">
        <f t="shared" si="3"/>
        <v>0</v>
      </c>
      <c r="C82" s="1329">
        <f t="shared" si="6"/>
        <v>0</v>
      </c>
      <c r="D82" s="1328">
        <f t="shared" si="7"/>
        <v>0</v>
      </c>
      <c r="E82" s="1329">
        <f t="shared" si="8"/>
        <v>0</v>
      </c>
      <c r="F82" s="1195"/>
      <c r="G82" s="1195"/>
      <c r="H82" s="1195"/>
      <c r="I82" s="1195"/>
      <c r="J82" s="1195"/>
      <c r="K82" s="1319"/>
      <c r="L82" s="1319"/>
    </row>
    <row r="83" spans="1:12">
      <c r="A83" s="1327">
        <f t="shared" ref="A83" si="42">A39</f>
        <v>2056</v>
      </c>
      <c r="B83" s="1328">
        <f t="shared" si="3"/>
        <v>0</v>
      </c>
      <c r="C83" s="1329">
        <f t="shared" si="6"/>
        <v>0</v>
      </c>
      <c r="D83" s="1328">
        <f t="shared" si="7"/>
        <v>0</v>
      </c>
      <c r="E83" s="1329">
        <f t="shared" si="8"/>
        <v>0</v>
      </c>
      <c r="F83" s="1195"/>
      <c r="G83" s="1195"/>
      <c r="H83" s="1195"/>
      <c r="I83" s="1195"/>
      <c r="J83" s="1195"/>
      <c r="K83" s="1319"/>
      <c r="L83" s="1319"/>
    </row>
    <row r="84" spans="1:12">
      <c r="A84" s="1327">
        <f t="shared" ref="A84" si="43">A40</f>
        <v>2057</v>
      </c>
      <c r="B84" s="1328">
        <f t="shared" si="3"/>
        <v>0</v>
      </c>
      <c r="C84" s="1329">
        <f t="shared" si="6"/>
        <v>0</v>
      </c>
      <c r="D84" s="1328">
        <f t="shared" si="7"/>
        <v>0</v>
      </c>
      <c r="E84" s="1329">
        <f t="shared" si="8"/>
        <v>0</v>
      </c>
      <c r="F84" s="1195"/>
      <c r="G84" s="1195"/>
      <c r="H84" s="1195"/>
      <c r="I84" s="1195"/>
      <c r="J84" s="1195"/>
      <c r="K84" s="1319"/>
      <c r="L84" s="1319"/>
    </row>
    <row r="85" spans="1:12">
      <c r="A85" s="1327">
        <f t="shared" ref="A85" si="44">A41</f>
        <v>2058</v>
      </c>
      <c r="B85" s="1328">
        <f t="shared" si="3"/>
        <v>0</v>
      </c>
      <c r="C85" s="1329">
        <f t="shared" si="6"/>
        <v>0</v>
      </c>
      <c r="D85" s="1328">
        <f t="shared" si="7"/>
        <v>0</v>
      </c>
      <c r="E85" s="1329">
        <f t="shared" si="8"/>
        <v>0</v>
      </c>
      <c r="F85" s="1195"/>
      <c r="G85" s="1195"/>
      <c r="H85" s="1195"/>
      <c r="I85" s="1195"/>
      <c r="J85" s="1195"/>
      <c r="K85" s="1319"/>
      <c r="L85" s="1319"/>
    </row>
    <row r="86" spans="1:12">
      <c r="A86" s="1327">
        <f t="shared" ref="A86" si="45">A42</f>
        <v>2059</v>
      </c>
      <c r="B86" s="1328">
        <f t="shared" si="3"/>
        <v>0</v>
      </c>
      <c r="C86" s="1329">
        <f t="shared" si="6"/>
        <v>0</v>
      </c>
      <c r="D86" s="1328">
        <f t="shared" si="7"/>
        <v>0</v>
      </c>
      <c r="E86" s="1329">
        <f t="shared" si="8"/>
        <v>0</v>
      </c>
      <c r="F86" s="1195"/>
      <c r="G86" s="1195"/>
      <c r="H86" s="1195"/>
      <c r="I86" s="1195"/>
      <c r="J86" s="1195"/>
      <c r="K86" s="1319"/>
      <c r="L86" s="1319"/>
    </row>
    <row r="87" spans="1:12">
      <c r="A87" s="1327">
        <f t="shared" ref="A87" si="46">A43</f>
        <v>2060</v>
      </c>
      <c r="B87" s="1328">
        <f t="shared" si="3"/>
        <v>0</v>
      </c>
      <c r="C87" s="1329">
        <f t="shared" si="6"/>
        <v>0</v>
      </c>
      <c r="D87" s="1328">
        <f t="shared" si="7"/>
        <v>0</v>
      </c>
      <c r="E87" s="1329">
        <f t="shared" si="8"/>
        <v>0</v>
      </c>
      <c r="F87" s="1195"/>
      <c r="G87" s="1195"/>
      <c r="H87" s="1195"/>
      <c r="I87" s="1195"/>
      <c r="J87" s="1195"/>
      <c r="K87" s="1319"/>
      <c r="L87" s="1319"/>
    </row>
    <row r="88" spans="1:12">
      <c r="A88" s="1743" t="s">
        <v>421</v>
      </c>
      <c r="B88" s="1744">
        <f>SUM(B48:B87)</f>
        <v>21446502.733827129</v>
      </c>
      <c r="C88" s="1744">
        <f t="shared" ref="C88:E88" si="47">SUM(C48:C87)</f>
        <v>-21209865.75</v>
      </c>
      <c r="D88" s="1744">
        <f t="shared" si="47"/>
        <v>11684182.937136369</v>
      </c>
      <c r="E88" s="1744">
        <f t="shared" si="47"/>
        <v>-18614480.382547762</v>
      </c>
      <c r="F88" s="1195"/>
      <c r="G88" s="1195"/>
      <c r="H88" s="1195"/>
      <c r="I88" s="1195"/>
      <c r="J88" s="1195"/>
      <c r="K88" s="1195"/>
      <c r="L88" s="1195"/>
    </row>
  </sheetData>
  <sheetProtection algorithmName="SHA-512" hashValue="9kCw6jF5WNTms0NgZAPJuj4bH2fP7Aho/mDs4Owy597u18Ns+ZVd4JjbaqSrJhVywHFpN9NK0T5Usfdyb1lTXg==" saltValue="/fRHfd85GeGykrq0aHa5BQ=="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7224</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21875" defaultRowHeight="14.4"/>
  <cols>
    <col min="1" max="1" width="37.21875" style="3" bestFit="1" customWidth="1"/>
    <col min="2" max="3" width="28.21875" style="3" customWidth="1"/>
    <col min="4" max="4" width="36.5546875" style="3" customWidth="1"/>
    <col min="5" max="5" width="7.5546875" style="3" customWidth="1"/>
    <col min="6" max="6" width="31" style="3" customWidth="1"/>
    <col min="7" max="7" width="23.21875" style="3" customWidth="1"/>
    <col min="8" max="9" width="36.21875" style="3" bestFit="1" customWidth="1"/>
    <col min="10" max="10" width="25.5546875" style="3" customWidth="1"/>
    <col min="11" max="11" width="23.21875" style="3" customWidth="1"/>
    <col min="12" max="13" width="36.21875" style="3" bestFit="1" customWidth="1"/>
    <col min="14" max="14" width="19.77734375" style="3" customWidth="1"/>
    <col min="15" max="15" width="20" style="3" bestFit="1" customWidth="1"/>
    <col min="16" max="16" width="18.21875" style="3" bestFit="1" customWidth="1"/>
    <col min="17" max="17" width="9.21875" style="129"/>
    <col min="18" max="18" width="11" style="129" bestFit="1" customWidth="1"/>
    <col min="19" max="19" width="9.21875" style="129"/>
    <col min="20" max="21" width="9.5546875" style="129" bestFit="1" customWidth="1"/>
    <col min="22" max="27" width="9.21875" style="129"/>
    <col min="38" max="38" width="9.21875" style="129"/>
    <col min="39" max="39" width="11.21875" style="129" bestFit="1" customWidth="1"/>
    <col min="40" max="16384" width="9.21875" style="129"/>
  </cols>
  <sheetData>
    <row r="1" spans="1:21" ht="25.2" customHeight="1">
      <c r="A1" s="271" t="s">
        <v>185</v>
      </c>
      <c r="B1" s="42" t="s">
        <v>7225</v>
      </c>
      <c r="C1" s="128"/>
      <c r="D1" s="128"/>
      <c r="E1" s="128"/>
      <c r="F1" s="33" t="s">
        <v>187</v>
      </c>
      <c r="G1" s="45" t="str">
        <f>HYPERLINK("#'"&amp;INDEX('Master Key'!$B:$B,MATCH("Master Key",'Master Key'!$B:$B,0),1)&amp;"'!A1","Go To Sheet")</f>
        <v>Go To Sheet</v>
      </c>
    </row>
    <row r="2" spans="1:21" ht="15" thickBot="1">
      <c r="A2" s="129"/>
      <c r="E2" s="129"/>
    </row>
    <row r="3" spans="1:21" ht="60" customHeight="1">
      <c r="A3" s="155" t="s">
        <v>482</v>
      </c>
      <c r="B3" s="2054" t="s">
        <v>7226</v>
      </c>
      <c r="C3" s="2128"/>
      <c r="D3" s="2128"/>
      <c r="E3" s="130"/>
      <c r="F3" s="2055" t="s">
        <v>484</v>
      </c>
      <c r="G3" s="2056"/>
      <c r="H3" s="2056"/>
      <c r="I3" s="2056"/>
      <c r="J3" s="2056"/>
      <c r="K3" s="2056"/>
      <c r="L3" s="2056"/>
      <c r="M3" s="2056"/>
      <c r="N3" s="2056"/>
      <c r="O3" s="2056"/>
      <c r="P3" s="2058"/>
      <c r="Q3" s="13"/>
      <c r="R3" s="1975" t="s">
        <v>420</v>
      </c>
      <c r="S3" s="1975"/>
      <c r="T3" s="1975"/>
      <c r="U3" s="1975"/>
    </row>
    <row r="4" spans="1:21" ht="18" customHeight="1">
      <c r="A4" s="131"/>
      <c r="B4" s="131"/>
      <c r="C4" s="131"/>
      <c r="D4" s="131"/>
      <c r="E4" s="130"/>
      <c r="F4" s="132" t="s">
        <v>485</v>
      </c>
      <c r="G4" s="133" t="s">
        <v>66</v>
      </c>
      <c r="H4" s="134" t="s">
        <v>487</v>
      </c>
      <c r="I4" s="134" t="s">
        <v>487</v>
      </c>
      <c r="J4" s="135" t="s">
        <v>66</v>
      </c>
      <c r="K4" s="133" t="s">
        <v>131</v>
      </c>
      <c r="L4" s="134" t="s">
        <v>131</v>
      </c>
      <c r="M4" s="134" t="s">
        <v>131</v>
      </c>
      <c r="N4" s="136" t="s">
        <v>131</v>
      </c>
      <c r="O4" s="2129" t="s">
        <v>7019</v>
      </c>
      <c r="P4" s="2073"/>
      <c r="Q4" s="291"/>
      <c r="R4" s="28" t="s">
        <v>66</v>
      </c>
      <c r="S4" s="30" t="s">
        <v>131</v>
      </c>
      <c r="T4" s="1933" t="s">
        <v>488</v>
      </c>
      <c r="U4" s="1934"/>
    </row>
    <row r="5" spans="1:21" ht="60" customHeight="1" thickBot="1">
      <c r="A5" s="210" t="s">
        <v>489</v>
      </c>
      <c r="B5" s="2052" t="s">
        <v>7227</v>
      </c>
      <c r="C5" s="2052"/>
      <c r="D5" s="2052"/>
      <c r="E5" s="129"/>
      <c r="F5" s="137" t="s">
        <v>491</v>
      </c>
      <c r="G5" s="138" t="s">
        <v>7228</v>
      </c>
      <c r="H5" s="138" t="s">
        <v>494</v>
      </c>
      <c r="I5" s="138" t="s">
        <v>1168</v>
      </c>
      <c r="J5" s="139" t="s">
        <v>512</v>
      </c>
      <c r="K5" s="138" t="s">
        <v>7228</v>
      </c>
      <c r="L5" s="138" t="s">
        <v>494</v>
      </c>
      <c r="M5" s="138" t="s">
        <v>1168</v>
      </c>
      <c r="N5" s="140" t="s">
        <v>512</v>
      </c>
      <c r="O5" s="2130"/>
      <c r="P5" s="2075"/>
      <c r="Q5" s="291"/>
      <c r="R5" s="29" t="s">
        <v>512</v>
      </c>
      <c r="S5" s="31" t="s">
        <v>512</v>
      </c>
      <c r="T5" s="1935"/>
      <c r="U5" s="1936"/>
    </row>
    <row r="6" spans="1:21" ht="81" customHeight="1">
      <c r="A6" s="214"/>
      <c r="B6" s="214"/>
      <c r="C6" s="214"/>
      <c r="D6" s="214"/>
      <c r="E6" s="129"/>
      <c r="F6" s="137"/>
      <c r="G6" s="138" t="s">
        <v>7229</v>
      </c>
      <c r="H6" s="138" t="s">
        <v>7230</v>
      </c>
      <c r="I6" s="138" t="s">
        <v>7231</v>
      </c>
      <c r="J6" s="139" t="s">
        <v>7232</v>
      </c>
      <c r="K6" s="138" t="s">
        <v>7233</v>
      </c>
      <c r="L6" s="138" t="s">
        <v>7230</v>
      </c>
      <c r="M6" s="138" t="s">
        <v>7231</v>
      </c>
      <c r="N6" s="140" t="s">
        <v>7234</v>
      </c>
      <c r="O6" s="141" t="s">
        <v>419</v>
      </c>
      <c r="P6" s="142" t="str">
        <f>"Discounted @ "&amp;TEXT('Major Assumption Key'!$B$8,"0.0%")</f>
        <v>Discounted @ 3.1%</v>
      </c>
      <c r="Q6" s="291"/>
      <c r="R6" s="29" t="s">
        <v>666</v>
      </c>
      <c r="S6" s="31" t="s">
        <v>666</v>
      </c>
      <c r="T6" s="23" t="s">
        <v>419</v>
      </c>
      <c r="U6" s="24" t="str">
        <f>"Discounted @ "&amp;TEXT('Major Assumption Key'!$B$8,"0.0%")</f>
        <v>Discounted @ 3.1%</v>
      </c>
    </row>
    <row r="7" spans="1:21" ht="19.95" customHeight="1">
      <c r="C7" s="129"/>
      <c r="D7" s="129"/>
      <c r="E7" s="129"/>
      <c r="F7" s="906">
        <f>'Major Assumption Key'!$A19</f>
        <v>2020</v>
      </c>
      <c r="G7" s="921">
        <f>_xlfn.XLOOKUP(F7,'Auto Idling Supporting'!A:A,'Auto Idling Supporting'!C:C,,0)</f>
        <v>0</v>
      </c>
      <c r="H7" s="921">
        <f>G7*$B$21</f>
        <v>0</v>
      </c>
      <c r="I7" s="922">
        <f>H7*($B$19-$B$20)</f>
        <v>0</v>
      </c>
      <c r="J7" s="784">
        <f>IF(AND($F7&gt;=$B$16,$F7&lt;=$B$18),I7,0)</f>
        <v>0</v>
      </c>
      <c r="K7" s="921">
        <f>_xlfn.XLOOKUP(F7,'Auto Idling Supporting'!A:A,'Auto Idling Supporting'!F:F)</f>
        <v>0</v>
      </c>
      <c r="L7" s="921">
        <f>K7*$B$21</f>
        <v>0</v>
      </c>
      <c r="M7" s="922">
        <f>L7*($B$19-$B$20)</f>
        <v>0</v>
      </c>
      <c r="N7" s="848">
        <f>IF(AND($F7&gt;=$B$16,$F7&lt;=$B$18),M7,0)</f>
        <v>0</v>
      </c>
      <c r="O7" s="37">
        <f>(N7-J7)*-1</f>
        <v>0</v>
      </c>
      <c r="P7" s="38">
        <f>O7/(1+'Major Assumption Key'!$B$8)^($F7-'Major Assumption Key'!$B$7)</f>
        <v>0</v>
      </c>
      <c r="Q7" s="291"/>
      <c r="R7" s="784">
        <f>ROUND(J7,-3)</f>
        <v>0</v>
      </c>
      <c r="S7" s="855">
        <f>ROUND(N7,-3)</f>
        <v>0</v>
      </c>
      <c r="T7" s="26">
        <f>ROUND(O7,-3)</f>
        <v>0</v>
      </c>
      <c r="U7" s="38">
        <f>ROUND(P7,-3)</f>
        <v>0</v>
      </c>
    </row>
    <row r="8" spans="1:21" ht="19.95" customHeight="1">
      <c r="A8" s="129"/>
      <c r="B8" s="129"/>
      <c r="C8" s="129"/>
      <c r="D8" s="129"/>
      <c r="E8" s="129"/>
      <c r="F8" s="906">
        <f>'Major Assumption Key'!$A20</f>
        <v>2021</v>
      </c>
      <c r="G8" s="921">
        <f>_xlfn.XLOOKUP(F8,'Auto Idling Supporting'!A:A,'Auto Idling Supporting'!C:C,,0)</f>
        <v>0</v>
      </c>
      <c r="H8" s="921">
        <f t="shared" ref="H8:H47" si="0">G8*$B$21</f>
        <v>0</v>
      </c>
      <c r="I8" s="922">
        <f t="shared" ref="I8:I47" si="1">H8*($B$19-$B$20)</f>
        <v>0</v>
      </c>
      <c r="J8" s="784">
        <f t="shared" ref="J8:J47" si="2">IF(AND($F8&gt;=$B$16,$F8&lt;=$B$18),I8,0)</f>
        <v>0</v>
      </c>
      <c r="K8" s="921">
        <f>_xlfn.XLOOKUP(F8,'Auto Idling Supporting'!A:A,'Auto Idling Supporting'!F:F)</f>
        <v>0</v>
      </c>
      <c r="L8" s="921">
        <f t="shared" ref="L8:L47" si="3">K8*$B$21</f>
        <v>0</v>
      </c>
      <c r="M8" s="922">
        <f t="shared" ref="M8:M47" si="4">L8*($B$19-$B$20)</f>
        <v>0</v>
      </c>
      <c r="N8" s="848">
        <f t="shared" ref="N8:N47" si="5">IF(AND($F8&gt;=$B$16,$F8&lt;=$B$18),M8,0)</f>
        <v>0</v>
      </c>
      <c r="O8" s="37">
        <f t="shared" ref="O8:O47" si="6">(N8-J8)*-1</f>
        <v>0</v>
      </c>
      <c r="P8" s="38">
        <f>O8/(1+'Major Assumption Key'!$B$8)^($F8-'Major Assumption Key'!$B$7)</f>
        <v>0</v>
      </c>
      <c r="Q8" s="291"/>
      <c r="R8" s="784">
        <f t="shared" ref="R8:R47" si="7">ROUND(J8,-3)</f>
        <v>0</v>
      </c>
      <c r="S8" s="855">
        <f t="shared" ref="S8:S47" si="8">ROUND(N8,-3)</f>
        <v>0</v>
      </c>
      <c r="T8" s="26">
        <f t="shared" ref="T8:T47" si="9">ROUND(O8,-3)</f>
        <v>0</v>
      </c>
      <c r="U8" s="38">
        <f t="shared" ref="U8:U47" si="10">ROUND(P8,-3)</f>
        <v>0</v>
      </c>
    </row>
    <row r="9" spans="1:21" ht="19.95" customHeight="1">
      <c r="A9" s="1888" t="s">
        <v>432</v>
      </c>
      <c r="B9" s="1889"/>
      <c r="C9" s="1889"/>
      <c r="D9" s="1890"/>
      <c r="E9" s="129"/>
      <c r="F9" s="906">
        <f>'Major Assumption Key'!$A21</f>
        <v>2022</v>
      </c>
      <c r="G9" s="921">
        <f>_xlfn.XLOOKUP(F9,'Auto Idling Supporting'!A:A,'Auto Idling Supporting'!C:C,,0)</f>
        <v>0</v>
      </c>
      <c r="H9" s="921">
        <f t="shared" si="0"/>
        <v>0</v>
      </c>
      <c r="I9" s="922">
        <f t="shared" si="1"/>
        <v>0</v>
      </c>
      <c r="J9" s="784">
        <f t="shared" si="2"/>
        <v>0</v>
      </c>
      <c r="K9" s="921">
        <f>_xlfn.XLOOKUP(F9,'Auto Idling Supporting'!A:A,'Auto Idling Supporting'!F:F)</f>
        <v>0</v>
      </c>
      <c r="L9" s="921">
        <f t="shared" si="3"/>
        <v>0</v>
      </c>
      <c r="M9" s="922">
        <f t="shared" si="4"/>
        <v>0</v>
      </c>
      <c r="N9" s="848">
        <f t="shared" si="5"/>
        <v>0</v>
      </c>
      <c r="O9" s="37">
        <f t="shared" si="6"/>
        <v>0</v>
      </c>
      <c r="P9" s="38">
        <f>O9/(1+'Major Assumption Key'!$B$8)^($F9-'Major Assumption Key'!$B$7)</f>
        <v>0</v>
      </c>
      <c r="Q9" s="291"/>
      <c r="R9" s="784">
        <f t="shared" si="7"/>
        <v>0</v>
      </c>
      <c r="S9" s="855">
        <f t="shared" si="8"/>
        <v>0</v>
      </c>
      <c r="T9" s="26">
        <f t="shared" si="9"/>
        <v>0</v>
      </c>
      <c r="U9" s="38">
        <f t="shared" si="10"/>
        <v>0</v>
      </c>
    </row>
    <row r="10" spans="1:21" ht="19.95" customHeight="1">
      <c r="A10" s="1891" t="s">
        <v>418</v>
      </c>
      <c r="B10" s="1891"/>
      <c r="C10" s="49" t="s">
        <v>419</v>
      </c>
      <c r="D10" s="49" t="str">
        <f>_xlfn.CONCAT("Discounted @",TEXT('Major Assumption Key'!B8,"0.0%"))</f>
        <v>Discounted @3.1%</v>
      </c>
      <c r="E10" s="129"/>
      <c r="F10" s="906">
        <f>'Major Assumption Key'!$A22</f>
        <v>2023</v>
      </c>
      <c r="G10" s="921">
        <f>_xlfn.XLOOKUP(F10,'Auto Idling Supporting'!A:A,'Auto Idling Supporting'!C:C,,0)</f>
        <v>0</v>
      </c>
      <c r="H10" s="921">
        <f t="shared" si="0"/>
        <v>0</v>
      </c>
      <c r="I10" s="922">
        <f t="shared" si="1"/>
        <v>0</v>
      </c>
      <c r="J10" s="784">
        <f t="shared" si="2"/>
        <v>0</v>
      </c>
      <c r="K10" s="921">
        <f>_xlfn.XLOOKUP(F10,'Auto Idling Supporting'!A:A,'Auto Idling Supporting'!F:F)</f>
        <v>0</v>
      </c>
      <c r="L10" s="921">
        <f t="shared" si="3"/>
        <v>0</v>
      </c>
      <c r="M10" s="922">
        <f t="shared" si="4"/>
        <v>0</v>
      </c>
      <c r="N10" s="848">
        <f t="shared" si="5"/>
        <v>0</v>
      </c>
      <c r="O10" s="37">
        <f t="shared" si="6"/>
        <v>0</v>
      </c>
      <c r="P10" s="38">
        <f>O10/(1+'Major Assumption Key'!$B$8)^($F10-'Major Assumption Key'!$B$7)</f>
        <v>0</v>
      </c>
      <c r="Q10" s="291"/>
      <c r="R10" s="784">
        <f t="shared" si="7"/>
        <v>0</v>
      </c>
      <c r="S10" s="855">
        <f t="shared" si="8"/>
        <v>0</v>
      </c>
      <c r="T10" s="26">
        <f t="shared" si="9"/>
        <v>0</v>
      </c>
      <c r="U10" s="38">
        <f t="shared" si="10"/>
        <v>0</v>
      </c>
    </row>
    <row r="11" spans="1:21" ht="19.95" customHeight="1">
      <c r="A11" s="1892" t="s">
        <v>11</v>
      </c>
      <c r="B11" s="1892"/>
      <c r="C11" s="56">
        <f>'BCA Summary'!$H$7</f>
        <v>1.0111569298276737</v>
      </c>
      <c r="D11" s="56">
        <f>'BCA Summary'!$I$7</f>
        <v>0.6276932096418345</v>
      </c>
      <c r="E11" s="129"/>
      <c r="F11" s="906">
        <f>'Major Assumption Key'!$A23</f>
        <v>2024</v>
      </c>
      <c r="G11" s="921">
        <f>_xlfn.XLOOKUP(F11,'Auto Idling Supporting'!A:A,'Auto Idling Supporting'!C:C,,0)</f>
        <v>0</v>
      </c>
      <c r="H11" s="921">
        <f t="shared" si="0"/>
        <v>0</v>
      </c>
      <c r="I11" s="922">
        <f t="shared" si="1"/>
        <v>0</v>
      </c>
      <c r="J11" s="784">
        <f t="shared" si="2"/>
        <v>0</v>
      </c>
      <c r="K11" s="921">
        <f>_xlfn.XLOOKUP(F11,'Auto Idling Supporting'!A:A,'Auto Idling Supporting'!F:F)</f>
        <v>0</v>
      </c>
      <c r="L11" s="921">
        <f t="shared" si="3"/>
        <v>0</v>
      </c>
      <c r="M11" s="922">
        <f t="shared" si="4"/>
        <v>0</v>
      </c>
      <c r="N11" s="848">
        <f t="shared" si="5"/>
        <v>0</v>
      </c>
      <c r="O11" s="37">
        <f t="shared" si="6"/>
        <v>0</v>
      </c>
      <c r="P11" s="38">
        <f>O11/(1+'Major Assumption Key'!$B$8)^($F11-'Major Assumption Key'!$B$7)</f>
        <v>0</v>
      </c>
      <c r="Q11" s="291"/>
      <c r="R11" s="784">
        <f t="shared" si="7"/>
        <v>0</v>
      </c>
      <c r="S11" s="855">
        <f t="shared" si="8"/>
        <v>0</v>
      </c>
      <c r="T11" s="26">
        <f t="shared" si="9"/>
        <v>0</v>
      </c>
      <c r="U11" s="38">
        <f t="shared" si="10"/>
        <v>0</v>
      </c>
    </row>
    <row r="12" spans="1:21" ht="19.95" customHeight="1">
      <c r="A12" s="1892" t="s">
        <v>12</v>
      </c>
      <c r="B12" s="1892"/>
      <c r="C12" s="49">
        <f>'BCA Summary'!$H$8</f>
        <v>236636.98382712901</v>
      </c>
      <c r="D12" s="49">
        <f>'BCA Summary'!$I$8</f>
        <v>-6930297.4454113934</v>
      </c>
      <c r="E12" s="129"/>
      <c r="F12" s="906">
        <f>'Major Assumption Key'!$A24</f>
        <v>2025</v>
      </c>
      <c r="G12" s="921">
        <f>_xlfn.XLOOKUP(F12,'Auto Idling Supporting'!A:A,'Auto Idling Supporting'!C:C,,0)</f>
        <v>0</v>
      </c>
      <c r="H12" s="921">
        <f t="shared" si="0"/>
        <v>0</v>
      </c>
      <c r="I12" s="922">
        <f t="shared" si="1"/>
        <v>0</v>
      </c>
      <c r="J12" s="784">
        <f t="shared" si="2"/>
        <v>0</v>
      </c>
      <c r="K12" s="921">
        <f>_xlfn.XLOOKUP(F12,'Auto Idling Supporting'!A:A,'Auto Idling Supporting'!F:F)</f>
        <v>0</v>
      </c>
      <c r="L12" s="921">
        <f t="shared" si="3"/>
        <v>0</v>
      </c>
      <c r="M12" s="922">
        <f t="shared" si="4"/>
        <v>0</v>
      </c>
      <c r="N12" s="848">
        <f t="shared" si="5"/>
        <v>0</v>
      </c>
      <c r="O12" s="37">
        <f t="shared" si="6"/>
        <v>0</v>
      </c>
      <c r="P12" s="38">
        <f>O12/(1+'Major Assumption Key'!$B$8)^($F12-'Major Assumption Key'!$B$7)</f>
        <v>0</v>
      </c>
      <c r="Q12" s="291"/>
      <c r="R12" s="784">
        <f t="shared" si="7"/>
        <v>0</v>
      </c>
      <c r="S12" s="855">
        <f t="shared" si="8"/>
        <v>0</v>
      </c>
      <c r="T12" s="26">
        <f t="shared" si="9"/>
        <v>0</v>
      </c>
      <c r="U12" s="38">
        <f t="shared" si="10"/>
        <v>0</v>
      </c>
    </row>
    <row r="13" spans="1:21" ht="19.95" customHeight="1">
      <c r="E13" s="129"/>
      <c r="F13" s="906">
        <f>'Major Assumption Key'!$A25</f>
        <v>2026</v>
      </c>
      <c r="G13" s="921">
        <f>_xlfn.XLOOKUP(F13,'Auto Idling Supporting'!A:A,'Auto Idling Supporting'!C:C,,0)</f>
        <v>0</v>
      </c>
      <c r="H13" s="921">
        <f t="shared" si="0"/>
        <v>0</v>
      </c>
      <c r="I13" s="922">
        <f t="shared" si="1"/>
        <v>0</v>
      </c>
      <c r="J13" s="784">
        <f t="shared" si="2"/>
        <v>0</v>
      </c>
      <c r="K13" s="921">
        <f>_xlfn.XLOOKUP(F13,'Auto Idling Supporting'!A:A,'Auto Idling Supporting'!F:F)</f>
        <v>0</v>
      </c>
      <c r="L13" s="921">
        <f t="shared" si="3"/>
        <v>0</v>
      </c>
      <c r="M13" s="922">
        <f t="shared" si="4"/>
        <v>0</v>
      </c>
      <c r="N13" s="848">
        <f t="shared" si="5"/>
        <v>0</v>
      </c>
      <c r="O13" s="37">
        <f t="shared" si="6"/>
        <v>0</v>
      </c>
      <c r="P13" s="38">
        <f>O13/(1+'Major Assumption Key'!$B$8)^($F13-'Major Assumption Key'!$B$7)</f>
        <v>0</v>
      </c>
      <c r="Q13" s="291"/>
      <c r="R13" s="784">
        <f t="shared" si="7"/>
        <v>0</v>
      </c>
      <c r="S13" s="855">
        <f t="shared" si="8"/>
        <v>0</v>
      </c>
      <c r="T13" s="26">
        <f t="shared" si="9"/>
        <v>0</v>
      </c>
      <c r="U13" s="38">
        <f t="shared" si="10"/>
        <v>0</v>
      </c>
    </row>
    <row r="14" spans="1:21" ht="19.95" customHeight="1" thickBot="1">
      <c r="E14" s="129"/>
      <c r="F14" s="906">
        <f>'Major Assumption Key'!$A26</f>
        <v>2027</v>
      </c>
      <c r="G14" s="921">
        <f>_xlfn.XLOOKUP(F14,'Auto Idling Supporting'!A:A,'Auto Idling Supporting'!C:C,,0)</f>
        <v>0</v>
      </c>
      <c r="H14" s="921">
        <f t="shared" si="0"/>
        <v>0</v>
      </c>
      <c r="I14" s="922">
        <f t="shared" si="1"/>
        <v>0</v>
      </c>
      <c r="J14" s="784">
        <f t="shared" si="2"/>
        <v>0</v>
      </c>
      <c r="K14" s="921">
        <f>_xlfn.XLOOKUP(F14,'Auto Idling Supporting'!A:A,'Auto Idling Supporting'!F:F)</f>
        <v>0</v>
      </c>
      <c r="L14" s="921">
        <f t="shared" si="3"/>
        <v>0</v>
      </c>
      <c r="M14" s="922">
        <f t="shared" si="4"/>
        <v>0</v>
      </c>
      <c r="N14" s="848">
        <f t="shared" si="5"/>
        <v>0</v>
      </c>
      <c r="O14" s="37">
        <f t="shared" si="6"/>
        <v>0</v>
      </c>
      <c r="P14" s="38">
        <f>O14/(1+'Major Assumption Key'!$B$8)^($F14-'Major Assumption Key'!$B$7)</f>
        <v>0</v>
      </c>
      <c r="Q14" s="291"/>
      <c r="R14" s="784">
        <f t="shared" si="7"/>
        <v>0</v>
      </c>
      <c r="S14" s="855">
        <f t="shared" si="8"/>
        <v>0</v>
      </c>
      <c r="T14" s="26">
        <f t="shared" si="9"/>
        <v>0</v>
      </c>
      <c r="U14" s="38">
        <f t="shared" si="10"/>
        <v>0</v>
      </c>
    </row>
    <row r="15" spans="1:21" ht="19.95" customHeight="1">
      <c r="A15" s="377" t="s">
        <v>433</v>
      </c>
      <c r="B15" s="390" t="s">
        <v>434</v>
      </c>
      <c r="C15" s="2076" t="s">
        <v>498</v>
      </c>
      <c r="D15" s="2077"/>
      <c r="E15" s="129"/>
      <c r="F15" s="906">
        <f>'Major Assumption Key'!$A27</f>
        <v>2028</v>
      </c>
      <c r="G15" s="921">
        <f>_xlfn.XLOOKUP(F15,'Auto Idling Supporting'!A:A,'Auto Idling Supporting'!C:C,,0)</f>
        <v>0</v>
      </c>
      <c r="H15" s="921">
        <f t="shared" si="0"/>
        <v>0</v>
      </c>
      <c r="I15" s="922">
        <f t="shared" si="1"/>
        <v>0</v>
      </c>
      <c r="J15" s="784">
        <f t="shared" si="2"/>
        <v>0</v>
      </c>
      <c r="K15" s="921">
        <f>_xlfn.XLOOKUP(F15,'Auto Idling Supporting'!A:A,'Auto Idling Supporting'!F:F)</f>
        <v>0</v>
      </c>
      <c r="L15" s="921">
        <f t="shared" si="3"/>
        <v>0</v>
      </c>
      <c r="M15" s="922">
        <f t="shared" si="4"/>
        <v>0</v>
      </c>
      <c r="N15" s="848">
        <f t="shared" si="5"/>
        <v>0</v>
      </c>
      <c r="O15" s="37">
        <f t="shared" si="6"/>
        <v>0</v>
      </c>
      <c r="P15" s="38">
        <f>O15/(1+'Major Assumption Key'!$B$8)^($F15-'Major Assumption Key'!$B$7)</f>
        <v>0</v>
      </c>
      <c r="Q15" s="291"/>
      <c r="R15" s="784">
        <f t="shared" si="7"/>
        <v>0</v>
      </c>
      <c r="S15" s="855">
        <f t="shared" si="8"/>
        <v>0</v>
      </c>
      <c r="T15" s="26">
        <f t="shared" si="9"/>
        <v>0</v>
      </c>
      <c r="U15" s="38">
        <f t="shared" si="10"/>
        <v>0</v>
      </c>
    </row>
    <row r="16" spans="1:21" ht="19.95" customHeight="1">
      <c r="A16" s="768" t="str">
        <f>'Major Assumption Key'!$A$3</f>
        <v>Project Open Year:</v>
      </c>
      <c r="B16" s="777">
        <f>'Major Assumption Key'!$B$3</f>
        <v>2028</v>
      </c>
      <c r="C16" s="767" t="s">
        <v>436</v>
      </c>
      <c r="D16" s="547"/>
      <c r="E16" s="129"/>
      <c r="F16" s="906">
        <f>'Major Assumption Key'!$A28</f>
        <v>2029</v>
      </c>
      <c r="G16" s="921">
        <f>_xlfn.XLOOKUP(F16,'Auto Idling Supporting'!A:A,'Auto Idling Supporting'!C:C,,0)</f>
        <v>0</v>
      </c>
      <c r="H16" s="921">
        <f t="shared" si="0"/>
        <v>0</v>
      </c>
      <c r="I16" s="922">
        <f t="shared" si="1"/>
        <v>0</v>
      </c>
      <c r="J16" s="784">
        <f t="shared" si="2"/>
        <v>0</v>
      </c>
      <c r="K16" s="921">
        <f>_xlfn.XLOOKUP(F16,'Auto Idling Supporting'!A:A,'Auto Idling Supporting'!F:F)</f>
        <v>0</v>
      </c>
      <c r="L16" s="921">
        <f t="shared" si="3"/>
        <v>0</v>
      </c>
      <c r="M16" s="922">
        <f t="shared" si="4"/>
        <v>0</v>
      </c>
      <c r="N16" s="848">
        <f t="shared" si="5"/>
        <v>0</v>
      </c>
      <c r="O16" s="37">
        <f t="shared" si="6"/>
        <v>0</v>
      </c>
      <c r="P16" s="38">
        <f>O16/(1+'Major Assumption Key'!$B$8)^($F16-'Major Assumption Key'!$B$7)</f>
        <v>0</v>
      </c>
      <c r="Q16" s="291"/>
      <c r="R16" s="784">
        <f t="shared" si="7"/>
        <v>0</v>
      </c>
      <c r="S16" s="855">
        <f t="shared" si="8"/>
        <v>0</v>
      </c>
      <c r="T16" s="26">
        <f t="shared" si="9"/>
        <v>0</v>
      </c>
      <c r="U16" s="38">
        <f t="shared" si="10"/>
        <v>0</v>
      </c>
    </row>
    <row r="17" spans="1:21" ht="19.95" customHeight="1">
      <c r="A17" s="768" t="str">
        <f>'Major Assumption Key'!$A$4</f>
        <v>Planning Horizon Begin Year:</v>
      </c>
      <c r="B17" s="777">
        <f>'Major Assumption Key'!$B$4</f>
        <v>2022</v>
      </c>
      <c r="C17" s="767" t="s">
        <v>436</v>
      </c>
      <c r="D17" s="770"/>
      <c r="E17" s="129"/>
      <c r="F17" s="906">
        <f>'Major Assumption Key'!$A29</f>
        <v>2030</v>
      </c>
      <c r="G17" s="921">
        <f>_xlfn.XLOOKUP(F17,'Auto Idling Supporting'!A:A,'Auto Idling Supporting'!C:C,,0)</f>
        <v>0</v>
      </c>
      <c r="H17" s="921">
        <f t="shared" si="0"/>
        <v>0</v>
      </c>
      <c r="I17" s="922">
        <f t="shared" si="1"/>
        <v>0</v>
      </c>
      <c r="J17" s="784">
        <f t="shared" si="2"/>
        <v>0</v>
      </c>
      <c r="K17" s="921">
        <f>_xlfn.XLOOKUP(F17,'Auto Idling Supporting'!A:A,'Auto Idling Supporting'!F:F)</f>
        <v>0</v>
      </c>
      <c r="L17" s="921">
        <f t="shared" si="3"/>
        <v>0</v>
      </c>
      <c r="M17" s="922">
        <f t="shared" si="4"/>
        <v>0</v>
      </c>
      <c r="N17" s="848">
        <f t="shared" si="5"/>
        <v>0</v>
      </c>
      <c r="O17" s="37">
        <f t="shared" si="6"/>
        <v>0</v>
      </c>
      <c r="P17" s="38">
        <f>O17/(1+'Major Assumption Key'!$B$8)^($F17-'Major Assumption Key'!$B$7)</f>
        <v>0</v>
      </c>
      <c r="Q17" s="291"/>
      <c r="R17" s="784">
        <f t="shared" si="7"/>
        <v>0</v>
      </c>
      <c r="S17" s="855">
        <f t="shared" si="8"/>
        <v>0</v>
      </c>
      <c r="T17" s="26">
        <f t="shared" si="9"/>
        <v>0</v>
      </c>
      <c r="U17" s="38">
        <f t="shared" si="10"/>
        <v>0</v>
      </c>
    </row>
    <row r="18" spans="1:21" ht="19.95" customHeight="1">
      <c r="A18" s="768" t="str">
        <f>'Major Assumption Key'!$A$6</f>
        <v>Planning Horizon End Year:</v>
      </c>
      <c r="B18" s="777">
        <f>'Major Assumption Key'!$B$6</f>
        <v>2047</v>
      </c>
      <c r="C18" s="767" t="s">
        <v>436</v>
      </c>
      <c r="D18" s="770"/>
      <c r="E18" s="129"/>
      <c r="F18" s="906">
        <f>'Major Assumption Key'!$A30</f>
        <v>2031</v>
      </c>
      <c r="G18" s="921">
        <f>_xlfn.XLOOKUP(F18,'Auto Idling Supporting'!A:A,'Auto Idling Supporting'!C:C,,0)</f>
        <v>0</v>
      </c>
      <c r="H18" s="921">
        <f t="shared" si="0"/>
        <v>0</v>
      </c>
      <c r="I18" s="922">
        <f t="shared" si="1"/>
        <v>0</v>
      </c>
      <c r="J18" s="784">
        <f t="shared" si="2"/>
        <v>0</v>
      </c>
      <c r="K18" s="921">
        <f>_xlfn.XLOOKUP(F18,'Auto Idling Supporting'!A:A,'Auto Idling Supporting'!F:F)</f>
        <v>0</v>
      </c>
      <c r="L18" s="921">
        <f t="shared" si="3"/>
        <v>0</v>
      </c>
      <c r="M18" s="922">
        <f t="shared" si="4"/>
        <v>0</v>
      </c>
      <c r="N18" s="848">
        <f t="shared" si="5"/>
        <v>0</v>
      </c>
      <c r="O18" s="37">
        <f t="shared" si="6"/>
        <v>0</v>
      </c>
      <c r="P18" s="38">
        <f>O18/(1+'Major Assumption Key'!$B$8)^($F18-'Major Assumption Key'!$B$7)</f>
        <v>0</v>
      </c>
      <c r="Q18" s="291"/>
      <c r="R18" s="784">
        <f t="shared" si="7"/>
        <v>0</v>
      </c>
      <c r="S18" s="855">
        <f t="shared" si="8"/>
        <v>0</v>
      </c>
      <c r="T18" s="26">
        <f t="shared" si="9"/>
        <v>0</v>
      </c>
      <c r="U18" s="38">
        <f t="shared" si="10"/>
        <v>0</v>
      </c>
    </row>
    <row r="19" spans="1:21" ht="19.95" customHeight="1">
      <c r="A19" s="916" t="s">
        <v>7235</v>
      </c>
      <c r="B19" s="923">
        <v>2.7290000000000001</v>
      </c>
      <c r="C19" s="614" t="s">
        <v>7236</v>
      </c>
      <c r="D19" s="349"/>
      <c r="E19" s="129"/>
      <c r="F19" s="906">
        <f>'Major Assumption Key'!$A31</f>
        <v>2032</v>
      </c>
      <c r="G19" s="921">
        <f>_xlfn.XLOOKUP(F19,'Auto Idling Supporting'!A:A,'Auto Idling Supporting'!C:C,,0)</f>
        <v>0</v>
      </c>
      <c r="H19" s="921">
        <f t="shared" si="0"/>
        <v>0</v>
      </c>
      <c r="I19" s="922">
        <f t="shared" si="1"/>
        <v>0</v>
      </c>
      <c r="J19" s="784">
        <f t="shared" si="2"/>
        <v>0</v>
      </c>
      <c r="K19" s="921">
        <f>_xlfn.XLOOKUP(F19,'Auto Idling Supporting'!A:A,'Auto Idling Supporting'!F:F)</f>
        <v>0</v>
      </c>
      <c r="L19" s="921">
        <f t="shared" si="3"/>
        <v>0</v>
      </c>
      <c r="M19" s="922">
        <f t="shared" si="4"/>
        <v>0</v>
      </c>
      <c r="N19" s="848">
        <f t="shared" si="5"/>
        <v>0</v>
      </c>
      <c r="O19" s="37">
        <f t="shared" si="6"/>
        <v>0</v>
      </c>
      <c r="P19" s="38">
        <f>O19/(1+'Major Assumption Key'!$B$8)^($F19-'Major Assumption Key'!$B$7)</f>
        <v>0</v>
      </c>
      <c r="Q19" s="291"/>
      <c r="R19" s="784">
        <f t="shared" si="7"/>
        <v>0</v>
      </c>
      <c r="S19" s="855">
        <f t="shared" si="8"/>
        <v>0</v>
      </c>
      <c r="T19" s="26">
        <f t="shared" si="9"/>
        <v>0</v>
      </c>
      <c r="U19" s="38">
        <f t="shared" si="10"/>
        <v>0</v>
      </c>
    </row>
    <row r="20" spans="1:21" ht="19.95" customHeight="1">
      <c r="A20" s="916" t="s">
        <v>7237</v>
      </c>
      <c r="B20" s="858">
        <v>0.38400000000000001</v>
      </c>
      <c r="C20" s="614" t="s">
        <v>7238</v>
      </c>
      <c r="D20" s="349"/>
      <c r="E20" s="129"/>
      <c r="F20" s="906">
        <f>'Major Assumption Key'!$A32</f>
        <v>2033</v>
      </c>
      <c r="G20" s="921">
        <f>_xlfn.XLOOKUP(F20,'Auto Idling Supporting'!A:A,'Auto Idling Supporting'!C:C,,0)</f>
        <v>0</v>
      </c>
      <c r="H20" s="921">
        <f t="shared" si="0"/>
        <v>0</v>
      </c>
      <c r="I20" s="922">
        <f t="shared" si="1"/>
        <v>0</v>
      </c>
      <c r="J20" s="784">
        <f t="shared" si="2"/>
        <v>0</v>
      </c>
      <c r="K20" s="921">
        <f>_xlfn.XLOOKUP(F20,'Auto Idling Supporting'!A:A,'Auto Idling Supporting'!F:F)</f>
        <v>0</v>
      </c>
      <c r="L20" s="921">
        <f t="shared" si="3"/>
        <v>0</v>
      </c>
      <c r="M20" s="922">
        <f t="shared" si="4"/>
        <v>0</v>
      </c>
      <c r="N20" s="848">
        <f t="shared" si="5"/>
        <v>0</v>
      </c>
      <c r="O20" s="37">
        <f t="shared" si="6"/>
        <v>0</v>
      </c>
      <c r="P20" s="38">
        <f>O20/(1+'Major Assumption Key'!$B$8)^($F20-'Major Assumption Key'!$B$7)</f>
        <v>0</v>
      </c>
      <c r="Q20" s="291"/>
      <c r="R20" s="784">
        <f t="shared" si="7"/>
        <v>0</v>
      </c>
      <c r="S20" s="855">
        <f t="shared" si="8"/>
        <v>0</v>
      </c>
      <c r="T20" s="26">
        <f t="shared" si="9"/>
        <v>0</v>
      </c>
      <c r="U20" s="38">
        <f t="shared" si="10"/>
        <v>0</v>
      </c>
    </row>
    <row r="21" spans="1:21" ht="19.95" customHeight="1" thickBot="1">
      <c r="A21" s="566" t="s">
        <v>7239</v>
      </c>
      <c r="B21" s="567">
        <v>365</v>
      </c>
      <c r="C21" s="924" t="s">
        <v>7240</v>
      </c>
      <c r="D21" s="568"/>
      <c r="E21" s="129"/>
      <c r="F21" s="906">
        <f>'Major Assumption Key'!$A33</f>
        <v>2034</v>
      </c>
      <c r="G21" s="921">
        <f>_xlfn.XLOOKUP(F21,'Auto Idling Supporting'!A:A,'Auto Idling Supporting'!C:C,,0)</f>
        <v>0</v>
      </c>
      <c r="H21" s="921">
        <f t="shared" si="0"/>
        <v>0</v>
      </c>
      <c r="I21" s="922">
        <f t="shared" si="1"/>
        <v>0</v>
      </c>
      <c r="J21" s="784">
        <f t="shared" si="2"/>
        <v>0</v>
      </c>
      <c r="K21" s="921">
        <f>_xlfn.XLOOKUP(F21,'Auto Idling Supporting'!A:A,'Auto Idling Supporting'!F:F)</f>
        <v>0</v>
      </c>
      <c r="L21" s="921">
        <f t="shared" si="3"/>
        <v>0</v>
      </c>
      <c r="M21" s="922">
        <f t="shared" si="4"/>
        <v>0</v>
      </c>
      <c r="N21" s="848">
        <f t="shared" si="5"/>
        <v>0</v>
      </c>
      <c r="O21" s="37">
        <f t="shared" si="6"/>
        <v>0</v>
      </c>
      <c r="P21" s="38">
        <f>O21/(1+'Major Assumption Key'!$B$8)^($F21-'Major Assumption Key'!$B$7)</f>
        <v>0</v>
      </c>
      <c r="Q21" s="291"/>
      <c r="R21" s="784">
        <f t="shared" si="7"/>
        <v>0</v>
      </c>
      <c r="S21" s="855">
        <f t="shared" si="8"/>
        <v>0</v>
      </c>
      <c r="T21" s="26">
        <f t="shared" si="9"/>
        <v>0</v>
      </c>
      <c r="U21" s="38">
        <f t="shared" si="10"/>
        <v>0</v>
      </c>
    </row>
    <row r="22" spans="1:21" ht="19.95" customHeight="1">
      <c r="E22" s="129"/>
      <c r="F22" s="906">
        <f>'Major Assumption Key'!$A34</f>
        <v>2035</v>
      </c>
      <c r="G22" s="921">
        <f>_xlfn.XLOOKUP(F22,'Auto Idling Supporting'!A:A,'Auto Idling Supporting'!C:C,,0)</f>
        <v>0</v>
      </c>
      <c r="H22" s="921">
        <f t="shared" si="0"/>
        <v>0</v>
      </c>
      <c r="I22" s="922">
        <f t="shared" si="1"/>
        <v>0</v>
      </c>
      <c r="J22" s="784">
        <f t="shared" si="2"/>
        <v>0</v>
      </c>
      <c r="K22" s="921">
        <f>_xlfn.XLOOKUP(F22,'Auto Idling Supporting'!A:A,'Auto Idling Supporting'!F:F)</f>
        <v>0</v>
      </c>
      <c r="L22" s="921">
        <f t="shared" si="3"/>
        <v>0</v>
      </c>
      <c r="M22" s="922">
        <f t="shared" si="4"/>
        <v>0</v>
      </c>
      <c r="N22" s="848">
        <f t="shared" si="5"/>
        <v>0</v>
      </c>
      <c r="O22" s="37">
        <f t="shared" si="6"/>
        <v>0</v>
      </c>
      <c r="P22" s="38">
        <f>O22/(1+'Major Assumption Key'!$B$8)^($F22-'Major Assumption Key'!$B$7)</f>
        <v>0</v>
      </c>
      <c r="Q22" s="291"/>
      <c r="R22" s="784">
        <f t="shared" si="7"/>
        <v>0</v>
      </c>
      <c r="S22" s="855">
        <f t="shared" si="8"/>
        <v>0</v>
      </c>
      <c r="T22" s="26">
        <f t="shared" si="9"/>
        <v>0</v>
      </c>
      <c r="U22" s="38">
        <f t="shared" si="10"/>
        <v>0</v>
      </c>
    </row>
    <row r="23" spans="1:21" ht="19.95" customHeight="1">
      <c r="E23" s="129"/>
      <c r="F23" s="906">
        <f>'Major Assumption Key'!$A35</f>
        <v>2036</v>
      </c>
      <c r="G23" s="921">
        <f>_xlfn.XLOOKUP(F23,'Auto Idling Supporting'!A:A,'Auto Idling Supporting'!C:C,,0)</f>
        <v>0</v>
      </c>
      <c r="H23" s="921">
        <f t="shared" si="0"/>
        <v>0</v>
      </c>
      <c r="I23" s="922">
        <f t="shared" si="1"/>
        <v>0</v>
      </c>
      <c r="J23" s="784">
        <f t="shared" si="2"/>
        <v>0</v>
      </c>
      <c r="K23" s="921">
        <f>_xlfn.XLOOKUP(F23,'Auto Idling Supporting'!A:A,'Auto Idling Supporting'!F:F)</f>
        <v>0</v>
      </c>
      <c r="L23" s="921">
        <f t="shared" si="3"/>
        <v>0</v>
      </c>
      <c r="M23" s="922">
        <f t="shared" si="4"/>
        <v>0</v>
      </c>
      <c r="N23" s="848">
        <f t="shared" si="5"/>
        <v>0</v>
      </c>
      <c r="O23" s="37">
        <f t="shared" si="6"/>
        <v>0</v>
      </c>
      <c r="P23" s="38">
        <f>O23/(1+'Major Assumption Key'!$B$8)^($F23-'Major Assumption Key'!$B$7)</f>
        <v>0</v>
      </c>
      <c r="Q23" s="291"/>
      <c r="R23" s="784">
        <f t="shared" si="7"/>
        <v>0</v>
      </c>
      <c r="S23" s="855">
        <f t="shared" si="8"/>
        <v>0</v>
      </c>
      <c r="T23" s="26">
        <f t="shared" si="9"/>
        <v>0</v>
      </c>
      <c r="U23" s="38">
        <f t="shared" si="10"/>
        <v>0</v>
      </c>
    </row>
    <row r="24" spans="1:21" ht="19.95" customHeight="1">
      <c r="E24" s="129"/>
      <c r="F24" s="906">
        <f>'Major Assumption Key'!$A36</f>
        <v>2037</v>
      </c>
      <c r="G24" s="921">
        <f>_xlfn.XLOOKUP(F24,'Auto Idling Supporting'!A:A,'Auto Idling Supporting'!C:C,,0)</f>
        <v>0</v>
      </c>
      <c r="H24" s="921">
        <f t="shared" si="0"/>
        <v>0</v>
      </c>
      <c r="I24" s="922">
        <f t="shared" si="1"/>
        <v>0</v>
      </c>
      <c r="J24" s="784">
        <f t="shared" si="2"/>
        <v>0</v>
      </c>
      <c r="K24" s="921">
        <f>_xlfn.XLOOKUP(F24,'Auto Idling Supporting'!A:A,'Auto Idling Supporting'!F:F)</f>
        <v>0</v>
      </c>
      <c r="L24" s="921">
        <f t="shared" si="3"/>
        <v>0</v>
      </c>
      <c r="M24" s="922">
        <f t="shared" si="4"/>
        <v>0</v>
      </c>
      <c r="N24" s="848">
        <f t="shared" si="5"/>
        <v>0</v>
      </c>
      <c r="O24" s="37">
        <f t="shared" si="6"/>
        <v>0</v>
      </c>
      <c r="P24" s="38">
        <f>O24/(1+'Major Assumption Key'!$B$8)^($F24-'Major Assumption Key'!$B$7)</f>
        <v>0</v>
      </c>
      <c r="Q24" s="291"/>
      <c r="R24" s="784">
        <f t="shared" si="7"/>
        <v>0</v>
      </c>
      <c r="S24" s="855">
        <f t="shared" si="8"/>
        <v>0</v>
      </c>
      <c r="T24" s="26">
        <f t="shared" si="9"/>
        <v>0</v>
      </c>
      <c r="U24" s="38">
        <f t="shared" si="10"/>
        <v>0</v>
      </c>
    </row>
    <row r="25" spans="1:21" ht="19.95" customHeight="1">
      <c r="E25" s="129"/>
      <c r="F25" s="906">
        <f>'Major Assumption Key'!$A37</f>
        <v>2038</v>
      </c>
      <c r="G25" s="921">
        <f>_xlfn.XLOOKUP(F25,'Auto Idling Supporting'!A:A,'Auto Idling Supporting'!C:C,,0)</f>
        <v>0</v>
      </c>
      <c r="H25" s="921">
        <f t="shared" si="0"/>
        <v>0</v>
      </c>
      <c r="I25" s="922">
        <f t="shared" si="1"/>
        <v>0</v>
      </c>
      <c r="J25" s="784">
        <f t="shared" si="2"/>
        <v>0</v>
      </c>
      <c r="K25" s="921">
        <f>_xlfn.XLOOKUP(F25,'Auto Idling Supporting'!A:A,'Auto Idling Supporting'!F:F)</f>
        <v>0</v>
      </c>
      <c r="L25" s="921">
        <f t="shared" si="3"/>
        <v>0</v>
      </c>
      <c r="M25" s="922">
        <f t="shared" si="4"/>
        <v>0</v>
      </c>
      <c r="N25" s="848">
        <f t="shared" si="5"/>
        <v>0</v>
      </c>
      <c r="O25" s="37">
        <f t="shared" si="6"/>
        <v>0</v>
      </c>
      <c r="P25" s="38">
        <f>O25/(1+'Major Assumption Key'!$B$8)^($F25-'Major Assumption Key'!$B$7)</f>
        <v>0</v>
      </c>
      <c r="Q25" s="291"/>
      <c r="R25" s="784">
        <f t="shared" si="7"/>
        <v>0</v>
      </c>
      <c r="S25" s="855">
        <f t="shared" si="8"/>
        <v>0</v>
      </c>
      <c r="T25" s="26">
        <f t="shared" si="9"/>
        <v>0</v>
      </c>
      <c r="U25" s="38">
        <f t="shared" si="10"/>
        <v>0</v>
      </c>
    </row>
    <row r="26" spans="1:21" ht="19.95" customHeight="1">
      <c r="C26" s="129"/>
      <c r="D26" s="129"/>
      <c r="E26" s="129"/>
      <c r="F26" s="906">
        <f>'Major Assumption Key'!$A38</f>
        <v>2039</v>
      </c>
      <c r="G26" s="921">
        <f>_xlfn.XLOOKUP(F26,'Auto Idling Supporting'!A:A,'Auto Idling Supporting'!C:C,,0)</f>
        <v>0</v>
      </c>
      <c r="H26" s="921">
        <f t="shared" si="0"/>
        <v>0</v>
      </c>
      <c r="I26" s="922">
        <f t="shared" si="1"/>
        <v>0</v>
      </c>
      <c r="J26" s="784">
        <f t="shared" si="2"/>
        <v>0</v>
      </c>
      <c r="K26" s="921">
        <f>_xlfn.XLOOKUP(F26,'Auto Idling Supporting'!A:A,'Auto Idling Supporting'!F:F)</f>
        <v>0</v>
      </c>
      <c r="L26" s="921">
        <f t="shared" si="3"/>
        <v>0</v>
      </c>
      <c r="M26" s="922">
        <f t="shared" si="4"/>
        <v>0</v>
      </c>
      <c r="N26" s="848">
        <f t="shared" si="5"/>
        <v>0</v>
      </c>
      <c r="O26" s="37">
        <f t="shared" si="6"/>
        <v>0</v>
      </c>
      <c r="P26" s="38">
        <f>O26/(1+'Major Assumption Key'!$B$8)^($F26-'Major Assumption Key'!$B$7)</f>
        <v>0</v>
      </c>
      <c r="Q26" s="291"/>
      <c r="R26" s="784">
        <f t="shared" si="7"/>
        <v>0</v>
      </c>
      <c r="S26" s="855">
        <f t="shared" si="8"/>
        <v>0</v>
      </c>
      <c r="T26" s="26">
        <f t="shared" si="9"/>
        <v>0</v>
      </c>
      <c r="U26" s="38">
        <f t="shared" si="10"/>
        <v>0</v>
      </c>
    </row>
    <row r="27" spans="1:21" ht="19.95" customHeight="1">
      <c r="C27" s="129"/>
      <c r="D27" s="129"/>
      <c r="E27" s="129"/>
      <c r="F27" s="906">
        <f>'Major Assumption Key'!$A39</f>
        <v>2040</v>
      </c>
      <c r="G27" s="921">
        <f>_xlfn.XLOOKUP(F27,'Auto Idling Supporting'!A:A,'Auto Idling Supporting'!C:C,,0)</f>
        <v>0</v>
      </c>
      <c r="H27" s="921">
        <f t="shared" si="0"/>
        <v>0</v>
      </c>
      <c r="I27" s="922">
        <f t="shared" si="1"/>
        <v>0</v>
      </c>
      <c r="J27" s="784">
        <f t="shared" si="2"/>
        <v>0</v>
      </c>
      <c r="K27" s="921">
        <f>_xlfn.XLOOKUP(F27,'Auto Idling Supporting'!A:A,'Auto Idling Supporting'!F:F)</f>
        <v>0</v>
      </c>
      <c r="L27" s="921">
        <f t="shared" si="3"/>
        <v>0</v>
      </c>
      <c r="M27" s="922">
        <f t="shared" si="4"/>
        <v>0</v>
      </c>
      <c r="N27" s="848">
        <f t="shared" si="5"/>
        <v>0</v>
      </c>
      <c r="O27" s="37">
        <f t="shared" si="6"/>
        <v>0</v>
      </c>
      <c r="P27" s="38">
        <f>O27/(1+'Major Assumption Key'!$B$8)^($F27-'Major Assumption Key'!$B$7)</f>
        <v>0</v>
      </c>
      <c r="Q27" s="291"/>
      <c r="R27" s="784">
        <f t="shared" si="7"/>
        <v>0</v>
      </c>
      <c r="S27" s="855">
        <f t="shared" si="8"/>
        <v>0</v>
      </c>
      <c r="T27" s="26">
        <f t="shared" si="9"/>
        <v>0</v>
      </c>
      <c r="U27" s="38">
        <f t="shared" si="10"/>
        <v>0</v>
      </c>
    </row>
    <row r="28" spans="1:21" ht="19.95" customHeight="1">
      <c r="C28" s="129"/>
      <c r="D28" s="129"/>
      <c r="E28" s="129"/>
      <c r="F28" s="906">
        <f>'Major Assumption Key'!$A40</f>
        <v>2041</v>
      </c>
      <c r="G28" s="921">
        <f>_xlfn.XLOOKUP(F28,'Auto Idling Supporting'!A:A,'Auto Idling Supporting'!C:C,,0)</f>
        <v>0</v>
      </c>
      <c r="H28" s="921">
        <f t="shared" si="0"/>
        <v>0</v>
      </c>
      <c r="I28" s="922">
        <f t="shared" si="1"/>
        <v>0</v>
      </c>
      <c r="J28" s="784">
        <f t="shared" si="2"/>
        <v>0</v>
      </c>
      <c r="K28" s="921">
        <f>_xlfn.XLOOKUP(F28,'Auto Idling Supporting'!A:A,'Auto Idling Supporting'!F:F)</f>
        <v>0</v>
      </c>
      <c r="L28" s="921">
        <f t="shared" si="3"/>
        <v>0</v>
      </c>
      <c r="M28" s="922">
        <f t="shared" si="4"/>
        <v>0</v>
      </c>
      <c r="N28" s="848">
        <f t="shared" si="5"/>
        <v>0</v>
      </c>
      <c r="O28" s="37">
        <f t="shared" si="6"/>
        <v>0</v>
      </c>
      <c r="P28" s="38">
        <f>O28/(1+'Major Assumption Key'!$B$8)^($F28-'Major Assumption Key'!$B$7)</f>
        <v>0</v>
      </c>
      <c r="Q28" s="291"/>
      <c r="R28" s="784">
        <f t="shared" si="7"/>
        <v>0</v>
      </c>
      <c r="S28" s="855">
        <f t="shared" si="8"/>
        <v>0</v>
      </c>
      <c r="T28" s="26">
        <f t="shared" si="9"/>
        <v>0</v>
      </c>
      <c r="U28" s="38">
        <f t="shared" si="10"/>
        <v>0</v>
      </c>
    </row>
    <row r="29" spans="1:21" ht="19.95" customHeight="1">
      <c r="E29" s="129"/>
      <c r="F29" s="906">
        <f>'Major Assumption Key'!$A41</f>
        <v>2042</v>
      </c>
      <c r="G29" s="921">
        <f>_xlfn.XLOOKUP(F29,'Auto Idling Supporting'!A:A,'Auto Idling Supporting'!C:C,,0)</f>
        <v>0</v>
      </c>
      <c r="H29" s="921">
        <f t="shared" si="0"/>
        <v>0</v>
      </c>
      <c r="I29" s="922">
        <f t="shared" si="1"/>
        <v>0</v>
      </c>
      <c r="J29" s="784">
        <f t="shared" si="2"/>
        <v>0</v>
      </c>
      <c r="K29" s="921">
        <f>_xlfn.XLOOKUP(F29,'Auto Idling Supporting'!A:A,'Auto Idling Supporting'!F:F)</f>
        <v>0</v>
      </c>
      <c r="L29" s="921">
        <f t="shared" si="3"/>
        <v>0</v>
      </c>
      <c r="M29" s="922">
        <f t="shared" si="4"/>
        <v>0</v>
      </c>
      <c r="N29" s="848">
        <f t="shared" si="5"/>
        <v>0</v>
      </c>
      <c r="O29" s="37">
        <f t="shared" si="6"/>
        <v>0</v>
      </c>
      <c r="P29" s="38">
        <f>O29/(1+'Major Assumption Key'!$B$8)^($F29-'Major Assumption Key'!$B$7)</f>
        <v>0</v>
      </c>
      <c r="Q29" s="291"/>
      <c r="R29" s="784">
        <f t="shared" si="7"/>
        <v>0</v>
      </c>
      <c r="S29" s="855">
        <f t="shared" si="8"/>
        <v>0</v>
      </c>
      <c r="T29" s="26">
        <f t="shared" si="9"/>
        <v>0</v>
      </c>
      <c r="U29" s="38">
        <f t="shared" si="10"/>
        <v>0</v>
      </c>
    </row>
    <row r="30" spans="1:21" ht="19.95" customHeight="1">
      <c r="E30" s="129"/>
      <c r="F30" s="906">
        <f>'Major Assumption Key'!$A42</f>
        <v>2043</v>
      </c>
      <c r="G30" s="921">
        <f>_xlfn.XLOOKUP(F30,'Auto Idling Supporting'!A:A,'Auto Idling Supporting'!C:C,,0)</f>
        <v>0</v>
      </c>
      <c r="H30" s="921">
        <f t="shared" si="0"/>
        <v>0</v>
      </c>
      <c r="I30" s="922">
        <f t="shared" si="1"/>
        <v>0</v>
      </c>
      <c r="J30" s="784">
        <f t="shared" si="2"/>
        <v>0</v>
      </c>
      <c r="K30" s="921">
        <f>_xlfn.XLOOKUP(F30,'Auto Idling Supporting'!A:A,'Auto Idling Supporting'!F:F)</f>
        <v>0</v>
      </c>
      <c r="L30" s="921">
        <f t="shared" si="3"/>
        <v>0</v>
      </c>
      <c r="M30" s="922">
        <f t="shared" si="4"/>
        <v>0</v>
      </c>
      <c r="N30" s="848">
        <f t="shared" si="5"/>
        <v>0</v>
      </c>
      <c r="O30" s="37">
        <f t="shared" si="6"/>
        <v>0</v>
      </c>
      <c r="P30" s="38">
        <f>O30/(1+'Major Assumption Key'!$B$8)^($F30-'Major Assumption Key'!$B$7)</f>
        <v>0</v>
      </c>
      <c r="Q30" s="291"/>
      <c r="R30" s="784">
        <f t="shared" si="7"/>
        <v>0</v>
      </c>
      <c r="S30" s="855">
        <f t="shared" si="8"/>
        <v>0</v>
      </c>
      <c r="T30" s="26">
        <f t="shared" si="9"/>
        <v>0</v>
      </c>
      <c r="U30" s="38">
        <f t="shared" si="10"/>
        <v>0</v>
      </c>
    </row>
    <row r="31" spans="1:21" ht="19.95" customHeight="1">
      <c r="E31" s="129"/>
      <c r="F31" s="906">
        <f>'Major Assumption Key'!$A43</f>
        <v>2044</v>
      </c>
      <c r="G31" s="921">
        <f>_xlfn.XLOOKUP(F31,'Auto Idling Supporting'!A:A,'Auto Idling Supporting'!C:C,,0)</f>
        <v>0</v>
      </c>
      <c r="H31" s="921">
        <f t="shared" si="0"/>
        <v>0</v>
      </c>
      <c r="I31" s="922">
        <f t="shared" si="1"/>
        <v>0</v>
      </c>
      <c r="J31" s="784">
        <f t="shared" si="2"/>
        <v>0</v>
      </c>
      <c r="K31" s="921">
        <f>_xlfn.XLOOKUP(F31,'Auto Idling Supporting'!A:A,'Auto Idling Supporting'!F:F)</f>
        <v>0</v>
      </c>
      <c r="L31" s="921">
        <f t="shared" si="3"/>
        <v>0</v>
      </c>
      <c r="M31" s="922">
        <f t="shared" si="4"/>
        <v>0</v>
      </c>
      <c r="N31" s="848">
        <f t="shared" si="5"/>
        <v>0</v>
      </c>
      <c r="O31" s="37">
        <f t="shared" si="6"/>
        <v>0</v>
      </c>
      <c r="P31" s="38">
        <f>O31/(1+'Major Assumption Key'!$B$8)^($F31-'Major Assumption Key'!$B$7)</f>
        <v>0</v>
      </c>
      <c r="Q31" s="291"/>
      <c r="R31" s="784">
        <f t="shared" si="7"/>
        <v>0</v>
      </c>
      <c r="S31" s="855">
        <f t="shared" si="8"/>
        <v>0</v>
      </c>
      <c r="T31" s="26">
        <f t="shared" si="9"/>
        <v>0</v>
      </c>
      <c r="U31" s="38">
        <f t="shared" si="10"/>
        <v>0</v>
      </c>
    </row>
    <row r="32" spans="1:21" ht="19.95" customHeight="1">
      <c r="F32" s="906">
        <f>'Major Assumption Key'!$A44</f>
        <v>2045</v>
      </c>
      <c r="G32" s="921">
        <f>_xlfn.XLOOKUP(F32,'Auto Idling Supporting'!A:A,'Auto Idling Supporting'!C:C,,0)</f>
        <v>0</v>
      </c>
      <c r="H32" s="921">
        <f t="shared" si="0"/>
        <v>0</v>
      </c>
      <c r="I32" s="922">
        <f t="shared" si="1"/>
        <v>0</v>
      </c>
      <c r="J32" s="784">
        <f t="shared" si="2"/>
        <v>0</v>
      </c>
      <c r="K32" s="921">
        <f>_xlfn.XLOOKUP(F32,'Auto Idling Supporting'!A:A,'Auto Idling Supporting'!F:F)</f>
        <v>0</v>
      </c>
      <c r="L32" s="921">
        <f t="shared" si="3"/>
        <v>0</v>
      </c>
      <c r="M32" s="922">
        <f t="shared" si="4"/>
        <v>0</v>
      </c>
      <c r="N32" s="848">
        <f t="shared" si="5"/>
        <v>0</v>
      </c>
      <c r="O32" s="37">
        <f t="shared" si="6"/>
        <v>0</v>
      </c>
      <c r="P32" s="38">
        <f>O32/(1+'Major Assumption Key'!$B$8)^($F32-'Major Assumption Key'!$B$7)</f>
        <v>0</v>
      </c>
      <c r="Q32" s="291"/>
      <c r="R32" s="784">
        <f t="shared" si="7"/>
        <v>0</v>
      </c>
      <c r="S32" s="855">
        <f t="shared" si="8"/>
        <v>0</v>
      </c>
      <c r="T32" s="26">
        <f t="shared" si="9"/>
        <v>0</v>
      </c>
      <c r="U32" s="38">
        <f t="shared" si="10"/>
        <v>0</v>
      </c>
    </row>
    <row r="33" spans="6:21" ht="19.95" customHeight="1">
      <c r="F33" s="906">
        <f>'Major Assumption Key'!$A45</f>
        <v>2046</v>
      </c>
      <c r="G33" s="921">
        <f>_xlfn.XLOOKUP(F33,'Auto Idling Supporting'!A:A,'Auto Idling Supporting'!C:C,,0)</f>
        <v>0</v>
      </c>
      <c r="H33" s="921">
        <f t="shared" si="0"/>
        <v>0</v>
      </c>
      <c r="I33" s="922">
        <f t="shared" si="1"/>
        <v>0</v>
      </c>
      <c r="J33" s="784">
        <f t="shared" si="2"/>
        <v>0</v>
      </c>
      <c r="K33" s="921">
        <f>_xlfn.XLOOKUP(F33,'Auto Idling Supporting'!A:A,'Auto Idling Supporting'!F:F)</f>
        <v>0</v>
      </c>
      <c r="L33" s="921">
        <f t="shared" si="3"/>
        <v>0</v>
      </c>
      <c r="M33" s="922">
        <f t="shared" si="4"/>
        <v>0</v>
      </c>
      <c r="N33" s="848">
        <f t="shared" si="5"/>
        <v>0</v>
      </c>
      <c r="O33" s="37">
        <f t="shared" si="6"/>
        <v>0</v>
      </c>
      <c r="P33" s="38">
        <f>O33/(1+'Major Assumption Key'!$B$8)^($F33-'Major Assumption Key'!$B$7)</f>
        <v>0</v>
      </c>
      <c r="Q33" s="291"/>
      <c r="R33" s="784">
        <f t="shared" si="7"/>
        <v>0</v>
      </c>
      <c r="S33" s="855">
        <f t="shared" si="8"/>
        <v>0</v>
      </c>
      <c r="T33" s="26">
        <f t="shared" si="9"/>
        <v>0</v>
      </c>
      <c r="U33" s="38">
        <f t="shared" si="10"/>
        <v>0</v>
      </c>
    </row>
    <row r="34" spans="6:21" ht="19.95" customHeight="1">
      <c r="F34" s="906">
        <f>'Major Assumption Key'!$A46</f>
        <v>2047</v>
      </c>
      <c r="G34" s="921">
        <f>_xlfn.XLOOKUP(F34,'Auto Idling Supporting'!A:A,'Auto Idling Supporting'!C:C,,0)</f>
        <v>0</v>
      </c>
      <c r="H34" s="921">
        <f t="shared" si="0"/>
        <v>0</v>
      </c>
      <c r="I34" s="922">
        <f t="shared" si="1"/>
        <v>0</v>
      </c>
      <c r="J34" s="784">
        <f t="shared" si="2"/>
        <v>0</v>
      </c>
      <c r="K34" s="921">
        <f>_xlfn.XLOOKUP(F34,'Auto Idling Supporting'!A:A,'Auto Idling Supporting'!F:F)</f>
        <v>0</v>
      </c>
      <c r="L34" s="921">
        <f t="shared" si="3"/>
        <v>0</v>
      </c>
      <c r="M34" s="922">
        <f t="shared" si="4"/>
        <v>0</v>
      </c>
      <c r="N34" s="848">
        <f t="shared" si="5"/>
        <v>0</v>
      </c>
      <c r="O34" s="37">
        <f t="shared" si="6"/>
        <v>0</v>
      </c>
      <c r="P34" s="38">
        <f>O34/(1+'Major Assumption Key'!$B$8)^($F34-'Major Assumption Key'!$B$7)</f>
        <v>0</v>
      </c>
      <c r="Q34" s="291"/>
      <c r="R34" s="784">
        <f t="shared" si="7"/>
        <v>0</v>
      </c>
      <c r="S34" s="855">
        <f t="shared" si="8"/>
        <v>0</v>
      </c>
      <c r="T34" s="26">
        <f t="shared" si="9"/>
        <v>0</v>
      </c>
      <c r="U34" s="38">
        <f t="shared" si="10"/>
        <v>0</v>
      </c>
    </row>
    <row r="35" spans="6:21" ht="19.95" customHeight="1">
      <c r="F35" s="906">
        <f>'Major Assumption Key'!$A47</f>
        <v>2048</v>
      </c>
      <c r="G35" s="921">
        <f>_xlfn.XLOOKUP(F35,'Auto Idling Supporting'!A:A,'Auto Idling Supporting'!C:C,,0)</f>
        <v>0</v>
      </c>
      <c r="H35" s="921">
        <f t="shared" si="0"/>
        <v>0</v>
      </c>
      <c r="I35" s="922">
        <f t="shared" si="1"/>
        <v>0</v>
      </c>
      <c r="J35" s="784">
        <f t="shared" si="2"/>
        <v>0</v>
      </c>
      <c r="K35" s="921">
        <f>_xlfn.XLOOKUP(F35,'Auto Idling Supporting'!A:A,'Auto Idling Supporting'!F:F)</f>
        <v>0</v>
      </c>
      <c r="L35" s="921">
        <f t="shared" si="3"/>
        <v>0</v>
      </c>
      <c r="M35" s="922">
        <f t="shared" si="4"/>
        <v>0</v>
      </c>
      <c r="N35" s="848">
        <f t="shared" si="5"/>
        <v>0</v>
      </c>
      <c r="O35" s="37">
        <f t="shared" si="6"/>
        <v>0</v>
      </c>
      <c r="P35" s="38">
        <f>O35/(1+'Major Assumption Key'!$B$8)^($F35-'Major Assumption Key'!$B$7)</f>
        <v>0</v>
      </c>
      <c r="Q35" s="291"/>
      <c r="R35" s="784">
        <f t="shared" si="7"/>
        <v>0</v>
      </c>
      <c r="S35" s="855">
        <f t="shared" si="8"/>
        <v>0</v>
      </c>
      <c r="T35" s="26">
        <f t="shared" si="9"/>
        <v>0</v>
      </c>
      <c r="U35" s="38">
        <f t="shared" si="10"/>
        <v>0</v>
      </c>
    </row>
    <row r="36" spans="6:21" ht="19.95" customHeight="1">
      <c r="F36" s="906">
        <f>'Major Assumption Key'!$A48</f>
        <v>2049</v>
      </c>
      <c r="G36" s="921">
        <f>_xlfn.XLOOKUP(F36,'Auto Idling Supporting'!A:A,'Auto Idling Supporting'!C:C,,0)</f>
        <v>0</v>
      </c>
      <c r="H36" s="921">
        <f t="shared" si="0"/>
        <v>0</v>
      </c>
      <c r="I36" s="922">
        <f t="shared" si="1"/>
        <v>0</v>
      </c>
      <c r="J36" s="784">
        <f t="shared" si="2"/>
        <v>0</v>
      </c>
      <c r="K36" s="921">
        <f>_xlfn.XLOOKUP(F36,'Auto Idling Supporting'!A:A,'Auto Idling Supporting'!F:F)</f>
        <v>0</v>
      </c>
      <c r="L36" s="921">
        <f t="shared" si="3"/>
        <v>0</v>
      </c>
      <c r="M36" s="922">
        <f t="shared" si="4"/>
        <v>0</v>
      </c>
      <c r="N36" s="848">
        <f t="shared" si="5"/>
        <v>0</v>
      </c>
      <c r="O36" s="37">
        <f t="shared" si="6"/>
        <v>0</v>
      </c>
      <c r="P36" s="38">
        <f>O36/(1+'Major Assumption Key'!$B$8)^($F36-'Major Assumption Key'!$B$7)</f>
        <v>0</v>
      </c>
      <c r="Q36" s="291"/>
      <c r="R36" s="784">
        <f t="shared" si="7"/>
        <v>0</v>
      </c>
      <c r="S36" s="855">
        <f t="shared" si="8"/>
        <v>0</v>
      </c>
      <c r="T36" s="26">
        <f t="shared" si="9"/>
        <v>0</v>
      </c>
      <c r="U36" s="38">
        <f t="shared" si="10"/>
        <v>0</v>
      </c>
    </row>
    <row r="37" spans="6:21" ht="19.95" customHeight="1">
      <c r="F37" s="906">
        <f>'Major Assumption Key'!$A49</f>
        <v>2050</v>
      </c>
      <c r="G37" s="921">
        <f>_xlfn.XLOOKUP(F37,'Auto Idling Supporting'!A:A,'Auto Idling Supporting'!C:C,,0)</f>
        <v>0</v>
      </c>
      <c r="H37" s="921">
        <f t="shared" si="0"/>
        <v>0</v>
      </c>
      <c r="I37" s="922">
        <f t="shared" si="1"/>
        <v>0</v>
      </c>
      <c r="J37" s="784">
        <f t="shared" si="2"/>
        <v>0</v>
      </c>
      <c r="K37" s="921">
        <f>_xlfn.XLOOKUP(F37,'Auto Idling Supporting'!A:A,'Auto Idling Supporting'!F:F)</f>
        <v>0</v>
      </c>
      <c r="L37" s="921">
        <f t="shared" si="3"/>
        <v>0</v>
      </c>
      <c r="M37" s="922">
        <f t="shared" si="4"/>
        <v>0</v>
      </c>
      <c r="N37" s="848">
        <f t="shared" si="5"/>
        <v>0</v>
      </c>
      <c r="O37" s="37">
        <f t="shared" si="6"/>
        <v>0</v>
      </c>
      <c r="P37" s="38">
        <f>O37/(1+'Major Assumption Key'!$B$8)^($F37-'Major Assumption Key'!$B$7)</f>
        <v>0</v>
      </c>
      <c r="Q37" s="291"/>
      <c r="R37" s="784">
        <f t="shared" si="7"/>
        <v>0</v>
      </c>
      <c r="S37" s="855">
        <f t="shared" si="8"/>
        <v>0</v>
      </c>
      <c r="T37" s="26">
        <f t="shared" si="9"/>
        <v>0</v>
      </c>
      <c r="U37" s="38">
        <f t="shared" si="10"/>
        <v>0</v>
      </c>
    </row>
    <row r="38" spans="6:21" ht="19.95" customHeight="1">
      <c r="F38" s="906">
        <f>'Major Assumption Key'!$A50</f>
        <v>2051</v>
      </c>
      <c r="G38" s="921">
        <f>_xlfn.XLOOKUP(F38,'Auto Idling Supporting'!A:A,'Auto Idling Supporting'!C:C,,0)</f>
        <v>0</v>
      </c>
      <c r="H38" s="921">
        <f t="shared" si="0"/>
        <v>0</v>
      </c>
      <c r="I38" s="922">
        <f t="shared" si="1"/>
        <v>0</v>
      </c>
      <c r="J38" s="784">
        <f t="shared" si="2"/>
        <v>0</v>
      </c>
      <c r="K38" s="921">
        <f>_xlfn.XLOOKUP(F38,'Auto Idling Supporting'!A:A,'Auto Idling Supporting'!F:F)</f>
        <v>0</v>
      </c>
      <c r="L38" s="921">
        <f t="shared" si="3"/>
        <v>0</v>
      </c>
      <c r="M38" s="922">
        <f t="shared" si="4"/>
        <v>0</v>
      </c>
      <c r="N38" s="848">
        <f t="shared" si="5"/>
        <v>0</v>
      </c>
      <c r="O38" s="37">
        <f t="shared" si="6"/>
        <v>0</v>
      </c>
      <c r="P38" s="38">
        <f>O38/(1+'Major Assumption Key'!$B$8)^($F38-'Major Assumption Key'!$B$7)</f>
        <v>0</v>
      </c>
      <c r="Q38" s="291"/>
      <c r="R38" s="784">
        <f t="shared" si="7"/>
        <v>0</v>
      </c>
      <c r="S38" s="855">
        <f t="shared" si="8"/>
        <v>0</v>
      </c>
      <c r="T38" s="26">
        <f t="shared" si="9"/>
        <v>0</v>
      </c>
      <c r="U38" s="38">
        <f t="shared" si="10"/>
        <v>0</v>
      </c>
    </row>
    <row r="39" spans="6:21" ht="19.95" customHeight="1">
      <c r="F39" s="906">
        <f>'Major Assumption Key'!$A51</f>
        <v>2052</v>
      </c>
      <c r="G39" s="921">
        <f>_xlfn.XLOOKUP(F39,'Auto Idling Supporting'!A:A,'Auto Idling Supporting'!C:C,,0)</f>
        <v>0</v>
      </c>
      <c r="H39" s="921">
        <f t="shared" si="0"/>
        <v>0</v>
      </c>
      <c r="I39" s="922">
        <f t="shared" si="1"/>
        <v>0</v>
      </c>
      <c r="J39" s="784">
        <f t="shared" si="2"/>
        <v>0</v>
      </c>
      <c r="K39" s="921">
        <f>_xlfn.XLOOKUP(F39,'Auto Idling Supporting'!A:A,'Auto Idling Supporting'!F:F)</f>
        <v>0</v>
      </c>
      <c r="L39" s="921">
        <f t="shared" si="3"/>
        <v>0</v>
      </c>
      <c r="M39" s="922">
        <f t="shared" si="4"/>
        <v>0</v>
      </c>
      <c r="N39" s="848">
        <f t="shared" si="5"/>
        <v>0</v>
      </c>
      <c r="O39" s="37">
        <f t="shared" si="6"/>
        <v>0</v>
      </c>
      <c r="P39" s="38">
        <f>O39/(1+'Major Assumption Key'!$B$8)^($F39-'Major Assumption Key'!$B$7)</f>
        <v>0</v>
      </c>
      <c r="Q39" s="291"/>
      <c r="R39" s="784">
        <f t="shared" si="7"/>
        <v>0</v>
      </c>
      <c r="S39" s="855">
        <f t="shared" si="8"/>
        <v>0</v>
      </c>
      <c r="T39" s="26">
        <f t="shared" si="9"/>
        <v>0</v>
      </c>
      <c r="U39" s="38">
        <f t="shared" si="10"/>
        <v>0</v>
      </c>
    </row>
    <row r="40" spans="6:21" ht="19.95" customHeight="1">
      <c r="F40" s="906">
        <f>'Major Assumption Key'!$A52</f>
        <v>2053</v>
      </c>
      <c r="G40" s="921">
        <f>_xlfn.XLOOKUP(F40,'Auto Idling Supporting'!A:A,'Auto Idling Supporting'!C:C,,0)</f>
        <v>0</v>
      </c>
      <c r="H40" s="921">
        <f t="shared" si="0"/>
        <v>0</v>
      </c>
      <c r="I40" s="922">
        <f t="shared" si="1"/>
        <v>0</v>
      </c>
      <c r="J40" s="784">
        <f t="shared" si="2"/>
        <v>0</v>
      </c>
      <c r="K40" s="921">
        <f>_xlfn.XLOOKUP(F40,'Auto Idling Supporting'!A:A,'Auto Idling Supporting'!F:F)</f>
        <v>0</v>
      </c>
      <c r="L40" s="921">
        <f t="shared" si="3"/>
        <v>0</v>
      </c>
      <c r="M40" s="922">
        <f t="shared" si="4"/>
        <v>0</v>
      </c>
      <c r="N40" s="848">
        <f t="shared" si="5"/>
        <v>0</v>
      </c>
      <c r="O40" s="37">
        <f t="shared" si="6"/>
        <v>0</v>
      </c>
      <c r="P40" s="38">
        <f>O40/(1+'Major Assumption Key'!$B$8)^($F40-'Major Assumption Key'!$B$7)</f>
        <v>0</v>
      </c>
      <c r="Q40" s="291"/>
      <c r="R40" s="784">
        <f t="shared" si="7"/>
        <v>0</v>
      </c>
      <c r="S40" s="855">
        <f t="shared" si="8"/>
        <v>0</v>
      </c>
      <c r="T40" s="26">
        <f t="shared" si="9"/>
        <v>0</v>
      </c>
      <c r="U40" s="38">
        <f t="shared" si="10"/>
        <v>0</v>
      </c>
    </row>
    <row r="41" spans="6:21" ht="19.95" customHeight="1">
      <c r="F41" s="906">
        <f>'Major Assumption Key'!$A53</f>
        <v>2054</v>
      </c>
      <c r="G41" s="921">
        <f>_xlfn.XLOOKUP(F41,'Auto Idling Supporting'!A:A,'Auto Idling Supporting'!C:C,,0)</f>
        <v>0</v>
      </c>
      <c r="H41" s="921">
        <f t="shared" si="0"/>
        <v>0</v>
      </c>
      <c r="I41" s="922">
        <f t="shared" si="1"/>
        <v>0</v>
      </c>
      <c r="J41" s="784">
        <f t="shared" si="2"/>
        <v>0</v>
      </c>
      <c r="K41" s="921">
        <f>_xlfn.XLOOKUP(F41,'Auto Idling Supporting'!A:A,'Auto Idling Supporting'!F:F)</f>
        <v>0</v>
      </c>
      <c r="L41" s="921">
        <f t="shared" si="3"/>
        <v>0</v>
      </c>
      <c r="M41" s="922">
        <f t="shared" si="4"/>
        <v>0</v>
      </c>
      <c r="N41" s="848">
        <f t="shared" si="5"/>
        <v>0</v>
      </c>
      <c r="O41" s="37">
        <f t="shared" si="6"/>
        <v>0</v>
      </c>
      <c r="P41" s="38">
        <f>O41/(1+'Major Assumption Key'!$B$8)^($F41-'Major Assumption Key'!$B$7)</f>
        <v>0</v>
      </c>
      <c r="Q41" s="291"/>
      <c r="R41" s="784">
        <f t="shared" si="7"/>
        <v>0</v>
      </c>
      <c r="S41" s="855">
        <f t="shared" si="8"/>
        <v>0</v>
      </c>
      <c r="T41" s="26">
        <f t="shared" si="9"/>
        <v>0</v>
      </c>
      <c r="U41" s="38">
        <f t="shared" si="10"/>
        <v>0</v>
      </c>
    </row>
    <row r="42" spans="6:21" ht="19.95" customHeight="1">
      <c r="F42" s="906">
        <f>'Major Assumption Key'!$A54</f>
        <v>2055</v>
      </c>
      <c r="G42" s="921">
        <f>_xlfn.XLOOKUP(F42,'Auto Idling Supporting'!A:A,'Auto Idling Supporting'!C:C,,0)</f>
        <v>0</v>
      </c>
      <c r="H42" s="921">
        <f t="shared" si="0"/>
        <v>0</v>
      </c>
      <c r="I42" s="922">
        <f t="shared" si="1"/>
        <v>0</v>
      </c>
      <c r="J42" s="784">
        <f t="shared" si="2"/>
        <v>0</v>
      </c>
      <c r="K42" s="921">
        <f>_xlfn.XLOOKUP(F42,'Auto Idling Supporting'!A:A,'Auto Idling Supporting'!F:F)</f>
        <v>0</v>
      </c>
      <c r="L42" s="921">
        <f t="shared" si="3"/>
        <v>0</v>
      </c>
      <c r="M42" s="922">
        <f t="shared" si="4"/>
        <v>0</v>
      </c>
      <c r="N42" s="848">
        <f t="shared" si="5"/>
        <v>0</v>
      </c>
      <c r="O42" s="37">
        <f t="shared" si="6"/>
        <v>0</v>
      </c>
      <c r="P42" s="38">
        <f>O42/(1+'Major Assumption Key'!$B$8)^($F42-'Major Assumption Key'!$B$7)</f>
        <v>0</v>
      </c>
      <c r="Q42" s="291"/>
      <c r="R42" s="784">
        <f t="shared" si="7"/>
        <v>0</v>
      </c>
      <c r="S42" s="855">
        <f t="shared" si="8"/>
        <v>0</v>
      </c>
      <c r="T42" s="26">
        <f t="shared" si="9"/>
        <v>0</v>
      </c>
      <c r="U42" s="38">
        <f t="shared" si="10"/>
        <v>0</v>
      </c>
    </row>
    <row r="43" spans="6:21" ht="19.95" customHeight="1">
      <c r="F43" s="906">
        <f>'Major Assumption Key'!$A55</f>
        <v>2056</v>
      </c>
      <c r="G43" s="921">
        <f>_xlfn.XLOOKUP(F43,'Auto Idling Supporting'!A:A,'Auto Idling Supporting'!C:C,,0)</f>
        <v>0</v>
      </c>
      <c r="H43" s="921">
        <f t="shared" si="0"/>
        <v>0</v>
      </c>
      <c r="I43" s="922">
        <f t="shared" si="1"/>
        <v>0</v>
      </c>
      <c r="J43" s="784">
        <f t="shared" si="2"/>
        <v>0</v>
      </c>
      <c r="K43" s="921">
        <f>_xlfn.XLOOKUP(F43,'Auto Idling Supporting'!A:A,'Auto Idling Supporting'!F:F)</f>
        <v>0</v>
      </c>
      <c r="L43" s="921">
        <f t="shared" si="3"/>
        <v>0</v>
      </c>
      <c r="M43" s="922">
        <f t="shared" si="4"/>
        <v>0</v>
      </c>
      <c r="N43" s="848">
        <f t="shared" si="5"/>
        <v>0</v>
      </c>
      <c r="O43" s="37">
        <f t="shared" si="6"/>
        <v>0</v>
      </c>
      <c r="P43" s="38">
        <f>O43/(1+'Major Assumption Key'!$B$8)^($F43-'Major Assumption Key'!$B$7)</f>
        <v>0</v>
      </c>
      <c r="Q43" s="291"/>
      <c r="R43" s="784">
        <f t="shared" si="7"/>
        <v>0</v>
      </c>
      <c r="S43" s="855">
        <f t="shared" si="8"/>
        <v>0</v>
      </c>
      <c r="T43" s="26">
        <f t="shared" si="9"/>
        <v>0</v>
      </c>
      <c r="U43" s="38">
        <f t="shared" si="10"/>
        <v>0</v>
      </c>
    </row>
    <row r="44" spans="6:21" ht="19.95" customHeight="1">
      <c r="F44" s="906">
        <f>'Major Assumption Key'!$A56</f>
        <v>2057</v>
      </c>
      <c r="G44" s="921">
        <f>_xlfn.XLOOKUP(F44,'Auto Idling Supporting'!A:A,'Auto Idling Supporting'!C:C,,0)</f>
        <v>0</v>
      </c>
      <c r="H44" s="921">
        <f t="shared" si="0"/>
        <v>0</v>
      </c>
      <c r="I44" s="922">
        <f t="shared" si="1"/>
        <v>0</v>
      </c>
      <c r="J44" s="784">
        <f t="shared" si="2"/>
        <v>0</v>
      </c>
      <c r="K44" s="921">
        <f>_xlfn.XLOOKUP(F44,'Auto Idling Supporting'!A:A,'Auto Idling Supporting'!F:F)</f>
        <v>0</v>
      </c>
      <c r="L44" s="921">
        <f t="shared" si="3"/>
        <v>0</v>
      </c>
      <c r="M44" s="922">
        <f t="shared" si="4"/>
        <v>0</v>
      </c>
      <c r="N44" s="848">
        <f t="shared" si="5"/>
        <v>0</v>
      </c>
      <c r="O44" s="37">
        <f t="shared" si="6"/>
        <v>0</v>
      </c>
      <c r="P44" s="38">
        <f>O44/(1+'Major Assumption Key'!$B$8)^($F44-'Major Assumption Key'!$B$7)</f>
        <v>0</v>
      </c>
      <c r="Q44" s="291"/>
      <c r="R44" s="784">
        <f t="shared" si="7"/>
        <v>0</v>
      </c>
      <c r="S44" s="855">
        <f t="shared" si="8"/>
        <v>0</v>
      </c>
      <c r="T44" s="26">
        <f t="shared" si="9"/>
        <v>0</v>
      </c>
      <c r="U44" s="38">
        <f t="shared" si="10"/>
        <v>0</v>
      </c>
    </row>
    <row r="45" spans="6:21" ht="19.95" customHeight="1">
      <c r="F45" s="906">
        <f>'Major Assumption Key'!$A57</f>
        <v>2058</v>
      </c>
      <c r="G45" s="921">
        <f>_xlfn.XLOOKUP(F45,'Auto Idling Supporting'!A:A,'Auto Idling Supporting'!C:C,,0)</f>
        <v>0</v>
      </c>
      <c r="H45" s="921">
        <f t="shared" si="0"/>
        <v>0</v>
      </c>
      <c r="I45" s="922">
        <f t="shared" si="1"/>
        <v>0</v>
      </c>
      <c r="J45" s="784">
        <f t="shared" si="2"/>
        <v>0</v>
      </c>
      <c r="K45" s="921">
        <f>_xlfn.XLOOKUP(F45,'Auto Idling Supporting'!A:A,'Auto Idling Supporting'!F:F)</f>
        <v>0</v>
      </c>
      <c r="L45" s="921">
        <f t="shared" si="3"/>
        <v>0</v>
      </c>
      <c r="M45" s="922">
        <f t="shared" si="4"/>
        <v>0</v>
      </c>
      <c r="N45" s="848">
        <f t="shared" si="5"/>
        <v>0</v>
      </c>
      <c r="O45" s="37">
        <f t="shared" si="6"/>
        <v>0</v>
      </c>
      <c r="P45" s="38">
        <f>O45/(1+'Major Assumption Key'!$B$8)^($F45-'Major Assumption Key'!$B$7)</f>
        <v>0</v>
      </c>
      <c r="Q45" s="291"/>
      <c r="R45" s="784">
        <f t="shared" si="7"/>
        <v>0</v>
      </c>
      <c r="S45" s="855">
        <f t="shared" si="8"/>
        <v>0</v>
      </c>
      <c r="T45" s="26">
        <f t="shared" si="9"/>
        <v>0</v>
      </c>
      <c r="U45" s="38">
        <f t="shared" si="10"/>
        <v>0</v>
      </c>
    </row>
    <row r="46" spans="6:21" ht="19.95" customHeight="1">
      <c r="F46" s="906">
        <f>'Major Assumption Key'!$A58</f>
        <v>2059</v>
      </c>
      <c r="G46" s="921">
        <f>_xlfn.XLOOKUP(F46,'Auto Idling Supporting'!A:A,'Auto Idling Supporting'!C:C,,0)</f>
        <v>0</v>
      </c>
      <c r="H46" s="921">
        <f t="shared" si="0"/>
        <v>0</v>
      </c>
      <c r="I46" s="922">
        <f t="shared" si="1"/>
        <v>0</v>
      </c>
      <c r="J46" s="784">
        <f t="shared" si="2"/>
        <v>0</v>
      </c>
      <c r="K46" s="921">
        <f>_xlfn.XLOOKUP(F46,'Auto Idling Supporting'!A:A,'Auto Idling Supporting'!F:F)</f>
        <v>0</v>
      </c>
      <c r="L46" s="921">
        <f t="shared" si="3"/>
        <v>0</v>
      </c>
      <c r="M46" s="922">
        <f t="shared" si="4"/>
        <v>0</v>
      </c>
      <c r="N46" s="848">
        <f t="shared" si="5"/>
        <v>0</v>
      </c>
      <c r="O46" s="37">
        <f t="shared" si="6"/>
        <v>0</v>
      </c>
      <c r="P46" s="38">
        <f>O46/(1+'Major Assumption Key'!$B$8)^($F46-'Major Assumption Key'!$B$7)</f>
        <v>0</v>
      </c>
      <c r="Q46" s="291"/>
      <c r="R46" s="784">
        <f t="shared" si="7"/>
        <v>0</v>
      </c>
      <c r="S46" s="855">
        <f t="shared" si="8"/>
        <v>0</v>
      </c>
      <c r="T46" s="26">
        <f t="shared" si="9"/>
        <v>0</v>
      </c>
      <c r="U46" s="38">
        <f t="shared" si="10"/>
        <v>0</v>
      </c>
    </row>
    <row r="47" spans="6:21" ht="19.95" customHeight="1">
      <c r="F47" s="906">
        <f>'Major Assumption Key'!$A59</f>
        <v>2060</v>
      </c>
      <c r="G47" s="921">
        <f>_xlfn.XLOOKUP(F47,'Auto Idling Supporting'!A:A,'Auto Idling Supporting'!C:C,,0)</f>
        <v>0</v>
      </c>
      <c r="H47" s="921">
        <f t="shared" si="0"/>
        <v>0</v>
      </c>
      <c r="I47" s="922">
        <f t="shared" si="1"/>
        <v>0</v>
      </c>
      <c r="J47" s="784">
        <f t="shared" si="2"/>
        <v>0</v>
      </c>
      <c r="K47" s="921">
        <f>_xlfn.XLOOKUP(F47,'Auto Idling Supporting'!A:A,'Auto Idling Supporting'!F:F)</f>
        <v>0</v>
      </c>
      <c r="L47" s="921">
        <f t="shared" si="3"/>
        <v>0</v>
      </c>
      <c r="M47" s="922">
        <f t="shared" si="4"/>
        <v>0</v>
      </c>
      <c r="N47" s="848">
        <f t="shared" si="5"/>
        <v>0</v>
      </c>
      <c r="O47" s="37">
        <f t="shared" si="6"/>
        <v>0</v>
      </c>
      <c r="P47" s="38">
        <f>O47/(1+'Major Assumption Key'!$B$8)^($F47-'Major Assumption Key'!$B$7)</f>
        <v>0</v>
      </c>
      <c r="Q47" s="291"/>
      <c r="R47" s="784">
        <f t="shared" si="7"/>
        <v>0</v>
      </c>
      <c r="S47" s="855">
        <f t="shared" si="8"/>
        <v>0</v>
      </c>
      <c r="T47" s="26">
        <f t="shared" si="9"/>
        <v>0</v>
      </c>
      <c r="U47" s="38">
        <f t="shared" si="10"/>
        <v>0</v>
      </c>
    </row>
    <row r="48" spans="6:21" ht="19.95" customHeight="1" thickBot="1">
      <c r="F48" s="143" t="s">
        <v>504</v>
      </c>
      <c r="G48" s="144"/>
      <c r="H48" s="144"/>
      <c r="I48" s="144"/>
      <c r="J48" s="118">
        <f>SUMIFS($J$7:$J$47,$F$7:$F$47,"&gt;="&amp;$B$17,$F$7:$F$47,"&lt;="&amp;$B$18)</f>
        <v>0</v>
      </c>
      <c r="K48" s="144"/>
      <c r="L48" s="144"/>
      <c r="M48" s="145"/>
      <c r="N48" s="119">
        <f>SUMIFS($N$7:$N$47,$F$7:$F$47,"&gt;="&amp;$B$17,$F$7:$F$47,"&lt;="&amp;$B$18)</f>
        <v>0</v>
      </c>
      <c r="O48" s="146">
        <f>SUMIFS($O$7:$O$47,$F$7:$F$47,"&gt;="&amp;$B$17,$F$7:$F$47,"&lt;="&amp;$B$18)</f>
        <v>0</v>
      </c>
      <c r="P48" s="147">
        <f>SUMIFS($P$7:$P$47,$F$7:$F$47,"&gt;="&amp;$B$17,$F$7:$F$47,"&lt;="&amp;$B$18)</f>
        <v>0</v>
      </c>
      <c r="Q48" s="291"/>
      <c r="R48" s="118">
        <f>ROUND(J48,-3)</f>
        <v>0</v>
      </c>
      <c r="S48" s="119">
        <f>ROUND(N48,-3)</f>
        <v>0</v>
      </c>
      <c r="T48" s="19">
        <f>ROUND(O48,-3)</f>
        <v>0</v>
      </c>
      <c r="U48" s="20">
        <f t="shared" ref="U48" si="11">ROUND(P48,-3)</f>
        <v>0</v>
      </c>
    </row>
    <row r="49" spans="10:14" ht="19.95" customHeight="1">
      <c r="J49" s="51"/>
      <c r="N49" s="51"/>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3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21875" defaultRowHeight="14.4"/>
  <cols>
    <col min="1" max="1" width="38.44140625" style="3" customWidth="1"/>
    <col min="2" max="3" width="28.21875" style="3" customWidth="1"/>
    <col min="4" max="4" width="36.5546875" style="3" customWidth="1"/>
    <col min="5" max="5" width="7.5546875" style="3" customWidth="1"/>
    <col min="6" max="6" width="31" style="3" customWidth="1"/>
    <col min="7" max="7" width="43" style="3" customWidth="1"/>
    <col min="8" max="8" width="24.21875" style="3" bestFit="1" customWidth="1"/>
    <col min="9" max="9" width="30.5546875" style="3" bestFit="1" customWidth="1"/>
    <col min="10" max="10" width="20.44140625" style="3" bestFit="1" customWidth="1"/>
    <col min="11" max="11" width="24.21875" style="3" bestFit="1" customWidth="1"/>
    <col min="12" max="12" width="30.21875" style="3" bestFit="1" customWidth="1"/>
    <col min="13" max="13" width="28.21875" style="3" bestFit="1" customWidth="1"/>
    <col min="14" max="14" width="20.77734375" style="3" bestFit="1" customWidth="1"/>
    <col min="15" max="15" width="24.21875" style="3" bestFit="1" customWidth="1"/>
    <col min="16" max="16" width="40.21875" style="3" bestFit="1" customWidth="1"/>
    <col min="17" max="17" width="20.44140625" style="3" bestFit="1" customWidth="1"/>
    <col min="18" max="18" width="24.21875" style="3" bestFit="1" customWidth="1"/>
    <col min="19" max="19" width="30.21875" style="3" bestFit="1" customWidth="1"/>
    <col min="20" max="20" width="31.5546875" style="3" bestFit="1" customWidth="1"/>
    <col min="21" max="21" width="17" style="3" bestFit="1" customWidth="1"/>
    <col min="22" max="22" width="22.21875" style="3" bestFit="1" customWidth="1"/>
    <col min="23" max="23" width="17" style="3" bestFit="1" customWidth="1"/>
    <col min="24" max="24" width="15.77734375" style="3" bestFit="1" customWidth="1"/>
    <col min="25" max="25" width="26.44140625" style="3" bestFit="1" customWidth="1"/>
    <col min="26" max="26" width="15.77734375" style="3" bestFit="1" customWidth="1"/>
    <col min="27" max="27" width="9.21875" style="13"/>
    <col min="28" max="28" width="14.21875" bestFit="1" customWidth="1"/>
    <col min="29" max="29" width="9.44140625" bestFit="1" customWidth="1"/>
    <col min="30" max="31" width="9" bestFit="1" customWidth="1"/>
    <col min="38" max="38" width="9.21875" style="13"/>
    <col min="39" max="39" width="11.21875" style="13" bestFit="1" customWidth="1"/>
    <col min="40" max="16384" width="9.21875" style="13"/>
  </cols>
  <sheetData>
    <row r="1" spans="1:31" ht="25.2" customHeight="1">
      <c r="A1" s="271" t="s">
        <v>185</v>
      </c>
      <c r="B1" s="42" t="s">
        <v>7241</v>
      </c>
      <c r="C1" s="766"/>
      <c r="D1" s="766"/>
      <c r="E1" s="766"/>
      <c r="F1" s="33" t="s">
        <v>187</v>
      </c>
      <c r="G1" s="45" t="str">
        <f>HYPERLINK("#'"&amp;INDEX('Master Key'!$B:$B,MATCH("Master Key",'Master Key'!$B:$B,0),1)&amp;"'!A1","Go To Sheet")</f>
        <v>Go To Sheet</v>
      </c>
    </row>
    <row r="2" spans="1:31" ht="15" thickBot="1">
      <c r="A2" s="767"/>
      <c r="B2" s="767"/>
      <c r="C2" s="767"/>
      <c r="D2" s="767"/>
      <c r="E2" s="767"/>
    </row>
    <row r="3" spans="1:31" ht="60" customHeight="1" thickBot="1">
      <c r="A3" s="155" t="s">
        <v>482</v>
      </c>
      <c r="B3" s="2054" t="s">
        <v>7226</v>
      </c>
      <c r="C3" s="2128"/>
      <c r="D3" s="2128"/>
      <c r="E3" s="769"/>
      <c r="F3" s="2131" t="s">
        <v>484</v>
      </c>
      <c r="G3" s="2132"/>
      <c r="H3" s="2132"/>
      <c r="I3" s="2132"/>
      <c r="J3" s="2132"/>
      <c r="K3" s="2132"/>
      <c r="L3" s="2132"/>
      <c r="M3" s="2132"/>
      <c r="N3" s="2132"/>
      <c r="O3" s="2132"/>
      <c r="P3" s="2132"/>
      <c r="Q3" s="2132"/>
      <c r="R3" s="2132"/>
      <c r="S3" s="2132"/>
      <c r="T3" s="2132"/>
      <c r="U3" s="2132"/>
      <c r="V3" s="2132"/>
      <c r="W3" s="2132"/>
      <c r="X3" s="2132"/>
      <c r="Y3" s="2132"/>
      <c r="Z3" s="2133"/>
      <c r="AB3" s="1975" t="s">
        <v>420</v>
      </c>
      <c r="AC3" s="1975"/>
      <c r="AD3" s="1975"/>
      <c r="AE3" s="1975"/>
    </row>
    <row r="4" spans="1:31" ht="18">
      <c r="A4" s="131"/>
      <c r="B4" s="131"/>
      <c r="C4" s="131"/>
      <c r="D4" s="131"/>
      <c r="E4" s="769"/>
      <c r="F4" s="282" t="s">
        <v>485</v>
      </c>
      <c r="G4" s="284" t="s">
        <v>487</v>
      </c>
      <c r="H4" s="283" t="s">
        <v>66</v>
      </c>
      <c r="I4" s="284" t="s">
        <v>487</v>
      </c>
      <c r="J4" s="283" t="s">
        <v>66</v>
      </c>
      <c r="K4" s="283" t="s">
        <v>66</v>
      </c>
      <c r="L4" s="284" t="s">
        <v>487</v>
      </c>
      <c r="M4" s="285" t="s">
        <v>66</v>
      </c>
      <c r="N4" s="284" t="s">
        <v>131</v>
      </c>
      <c r="O4" s="284" t="s">
        <v>131</v>
      </c>
      <c r="P4" s="284" t="s">
        <v>131</v>
      </c>
      <c r="Q4" s="284" t="s">
        <v>131</v>
      </c>
      <c r="R4" s="284" t="s">
        <v>131</v>
      </c>
      <c r="S4" s="284" t="s">
        <v>131</v>
      </c>
      <c r="T4" s="286" t="s">
        <v>131</v>
      </c>
      <c r="U4" s="2134" t="s">
        <v>7173</v>
      </c>
      <c r="V4" s="2135"/>
      <c r="W4" s="2134" t="s">
        <v>7174</v>
      </c>
      <c r="X4" s="2135"/>
      <c r="Y4" s="2136" t="s">
        <v>7242</v>
      </c>
      <c r="Z4" s="2135"/>
      <c r="AA4" s="291"/>
      <c r="AB4" s="28" t="s">
        <v>66</v>
      </c>
      <c r="AC4" s="30" t="s">
        <v>131</v>
      </c>
      <c r="AD4" s="1933" t="s">
        <v>488</v>
      </c>
      <c r="AE4" s="1934"/>
    </row>
    <row r="5" spans="1:31" ht="60" customHeight="1" thickBot="1">
      <c r="A5" s="210" t="s">
        <v>489</v>
      </c>
      <c r="B5" s="2052" t="s">
        <v>7243</v>
      </c>
      <c r="C5" s="2052"/>
      <c r="D5" s="2052"/>
      <c r="E5" s="767"/>
      <c r="F5" s="32" t="s">
        <v>491</v>
      </c>
      <c r="G5" s="15" t="s">
        <v>7244</v>
      </c>
      <c r="H5" s="15" t="s">
        <v>493</v>
      </c>
      <c r="I5" s="15" t="s">
        <v>7245</v>
      </c>
      <c r="J5" s="15" t="s">
        <v>7246</v>
      </c>
      <c r="K5" s="15" t="s">
        <v>493</v>
      </c>
      <c r="L5" s="15" t="s">
        <v>7247</v>
      </c>
      <c r="M5" s="29" t="s">
        <v>15</v>
      </c>
      <c r="N5" s="15" t="s">
        <v>7244</v>
      </c>
      <c r="O5" s="15" t="s">
        <v>493</v>
      </c>
      <c r="P5" s="15" t="s">
        <v>7245</v>
      </c>
      <c r="Q5" s="15" t="s">
        <v>7246</v>
      </c>
      <c r="R5" s="15" t="s">
        <v>493</v>
      </c>
      <c r="S5" s="15" t="s">
        <v>7247</v>
      </c>
      <c r="T5" s="31" t="s">
        <v>15</v>
      </c>
      <c r="U5" s="1935"/>
      <c r="V5" s="1936"/>
      <c r="W5" s="1935"/>
      <c r="X5" s="1936"/>
      <c r="Y5" s="1935"/>
      <c r="Z5" s="1936"/>
      <c r="AA5" s="291"/>
      <c r="AB5" s="29" t="s">
        <v>512</v>
      </c>
      <c r="AC5" s="31" t="s">
        <v>512</v>
      </c>
      <c r="AD5" s="1935"/>
      <c r="AE5" s="1936"/>
    </row>
    <row r="6" spans="1:31" ht="133.5" customHeight="1">
      <c r="A6" s="767"/>
      <c r="B6" s="767"/>
      <c r="C6" s="767"/>
      <c r="D6" s="767"/>
      <c r="E6" s="767"/>
      <c r="F6" s="32"/>
      <c r="G6" s="280" t="s">
        <v>7248</v>
      </c>
      <c r="H6" s="280" t="s">
        <v>7179</v>
      </c>
      <c r="I6" s="280" t="s">
        <v>7249</v>
      </c>
      <c r="J6" s="280" t="s">
        <v>7250</v>
      </c>
      <c r="K6" s="15" t="s">
        <v>7251</v>
      </c>
      <c r="L6" s="280" t="s">
        <v>7252</v>
      </c>
      <c r="M6" s="29" t="s">
        <v>7253</v>
      </c>
      <c r="N6" s="280" t="s">
        <v>7248</v>
      </c>
      <c r="O6" s="280" t="s">
        <v>7179</v>
      </c>
      <c r="P6" s="280" t="s">
        <v>7249</v>
      </c>
      <c r="Q6" s="280" t="s">
        <v>7250</v>
      </c>
      <c r="R6" s="15" t="s">
        <v>7251</v>
      </c>
      <c r="S6" s="280" t="s">
        <v>7252</v>
      </c>
      <c r="T6" s="31" t="s">
        <v>7253</v>
      </c>
      <c r="U6" s="23" t="s">
        <v>7187</v>
      </c>
      <c r="V6" s="24" t="s">
        <v>7254</v>
      </c>
      <c r="W6" s="23" t="s">
        <v>7188</v>
      </c>
      <c r="X6" s="24" t="s">
        <v>7255</v>
      </c>
      <c r="Y6" s="23" t="s">
        <v>472</v>
      </c>
      <c r="Z6" s="24" t="s">
        <v>7256</v>
      </c>
      <c r="AA6" s="291"/>
      <c r="AB6" s="29" t="s">
        <v>666</v>
      </c>
      <c r="AC6" s="31" t="s">
        <v>666</v>
      </c>
      <c r="AD6" s="23" t="s">
        <v>419</v>
      </c>
      <c r="AE6" s="24" t="str">
        <f>"Discounted @ "&amp;TEXT('Major Assumption Key'!$B$8,"0.0%")</f>
        <v>Discounted @ 3.1%</v>
      </c>
    </row>
    <row r="7" spans="1:31" ht="19.95" customHeight="1">
      <c r="C7" s="767"/>
      <c r="D7" s="767"/>
      <c r="E7" s="767"/>
      <c r="F7" s="772">
        <f>'Major Assumption Key'!A19</f>
        <v>2020</v>
      </c>
      <c r="G7" s="925">
        <f>'Emissions and Fuel'!T295</f>
        <v>0</v>
      </c>
      <c r="H7" s="773" t="str">
        <f>IFERROR(_xlfn.XLOOKUP($F7,'BCA Guide - Parameter Values'!$B$82:$B$110,'BCA Guide - Parameter Values'!$F$82:$F$110,,0),"N/A")</f>
        <v>N/A</v>
      </c>
      <c r="I7" s="773">
        <f>IFERROR(H7*G7,0)</f>
        <v>0</v>
      </c>
      <c r="J7" s="925">
        <f>$B$19*_xlfn.XLOOKUP($F7,'Auto Idling Supporting'!A:A,'Auto Idling Supporting'!E:E,,0)</f>
        <v>0</v>
      </c>
      <c r="K7" s="773">
        <f>IFERROR(_xlfn.XLOOKUP($F7,'BCA Guide - Parameter Values'!$B$82:$B$110,'BCA Guide - Parameter Values'!$C$82:$C$110,,0),0)</f>
        <v>0</v>
      </c>
      <c r="L7" s="773">
        <f>K7*J7</f>
        <v>0</v>
      </c>
      <c r="M7" s="784">
        <f>IF(AND($F7&gt;=$B$16,$F7&lt;=$B$18),L7+I7,0)</f>
        <v>0</v>
      </c>
      <c r="N7" s="925">
        <f>'Emissions and Fuel'!U295</f>
        <v>0</v>
      </c>
      <c r="O7" s="773" t="str">
        <f>IFERROR(_xlfn.XLOOKUP($F7,'BCA Guide - Parameter Values'!$B$82:$B$110,'BCA Guide - Parameter Values'!$F$82:$F$110,,0),"N/A")</f>
        <v>N/A</v>
      </c>
      <c r="P7" s="773">
        <f>IFERROR(O7*N7,M7)</f>
        <v>0</v>
      </c>
      <c r="Q7" s="925">
        <f>$B$19*_xlfn.XLOOKUP($F7,'Auto Idling Supporting'!A:A,'Auto Idling Supporting'!H:H,,0)</f>
        <v>0</v>
      </c>
      <c r="R7" s="773">
        <f>IFERROR(_xlfn.XLOOKUP($F7,'BCA Guide - Parameter Values'!$B$82:$B$110,'BCA Guide - Parameter Values'!$C$82:$C$110,,0),0)</f>
        <v>0</v>
      </c>
      <c r="S7" s="773">
        <f>R7*Q7</f>
        <v>0</v>
      </c>
      <c r="T7" s="855">
        <f>IF(AND($F7&gt;=$B$16,$F7&lt;=$B$18),P7+S7,0)</f>
        <v>0</v>
      </c>
      <c r="U7" s="26">
        <f>IF(AND($F7&gt;=$B$16,$F7&lt;=$B$18),P7-I7,0)*-1</f>
        <v>0</v>
      </c>
      <c r="V7" s="38">
        <f>U7/(1+0.02)^($F7-'Major Assumption Key'!$B$7)</f>
        <v>0</v>
      </c>
      <c r="W7" s="26">
        <f>IF(AND($F7&gt;=$B$16,$F7&lt;=$B$18),S7-L7,0)*-1</f>
        <v>0</v>
      </c>
      <c r="X7" s="38">
        <f>W7/(1+'Major Assumption Key'!$B$8)^($F7-'Major Assumption Key'!$B$7)</f>
        <v>0</v>
      </c>
      <c r="Y7" s="26">
        <f t="shared" ref="Y7:Z7" si="0">U7+W7</f>
        <v>0</v>
      </c>
      <c r="Z7" s="38">
        <f t="shared" si="0"/>
        <v>0</v>
      </c>
      <c r="AA7" s="291"/>
      <c r="AB7" s="784">
        <f>ROUND(M7,-3)</f>
        <v>0</v>
      </c>
      <c r="AC7" s="855">
        <f>ROUND(T7,-3)</f>
        <v>0</v>
      </c>
      <c r="AD7" s="26">
        <f>ROUND(Y7,-3)</f>
        <v>0</v>
      </c>
      <c r="AE7" s="38">
        <f>ROUND(Z7,-3)</f>
        <v>0</v>
      </c>
    </row>
    <row r="8" spans="1:31" ht="19.95" customHeight="1">
      <c r="A8" s="767"/>
      <c r="B8" s="767"/>
      <c r="C8" s="767"/>
      <c r="D8" s="767"/>
      <c r="E8" s="767"/>
      <c r="F8" s="772">
        <f>'Major Assumption Key'!A20</f>
        <v>2021</v>
      </c>
      <c r="G8" s="925">
        <f>'Emissions and Fuel'!T296</f>
        <v>0</v>
      </c>
      <c r="H8" s="773" t="str">
        <f>IFERROR(_xlfn.XLOOKUP($F8,'BCA Guide - Parameter Values'!$B$82:$B$110,'BCA Guide - Parameter Values'!$F$82:$F$110,,0),"N/A")</f>
        <v>N/A</v>
      </c>
      <c r="I8" s="773">
        <f t="shared" ref="I8:I46" si="1">IFERROR(H8*G8,0)</f>
        <v>0</v>
      </c>
      <c r="J8" s="925">
        <f>$B$19*_xlfn.XLOOKUP($F8,'Auto Idling Supporting'!A:A,'Auto Idling Supporting'!E:E,,0)</f>
        <v>0</v>
      </c>
      <c r="K8" s="773">
        <f>IFERROR(_xlfn.XLOOKUP($F8,'BCA Guide - Parameter Values'!$B$82:$B$110,'BCA Guide - Parameter Values'!$C$82:$C$110,,0),0)</f>
        <v>0</v>
      </c>
      <c r="L8" s="773">
        <f t="shared" ref="L8:L46" si="2">K8*J8</f>
        <v>0</v>
      </c>
      <c r="M8" s="784">
        <f t="shared" ref="M8:M46" si="3">IF(AND($F8&gt;=$B$16,$F8&lt;=$B$18),L8+I8,0)</f>
        <v>0</v>
      </c>
      <c r="N8" s="925">
        <f>'Emissions and Fuel'!U296</f>
        <v>0</v>
      </c>
      <c r="O8" s="773" t="str">
        <f>IFERROR(_xlfn.XLOOKUP($F8,'BCA Guide - Parameter Values'!$B$82:$B$110,'BCA Guide - Parameter Values'!$F$82:$F$110,,0),"N/A")</f>
        <v>N/A</v>
      </c>
      <c r="P8" s="773">
        <f t="shared" ref="P8:P47" si="4">IFERROR(O8*N8,M8)</f>
        <v>0</v>
      </c>
      <c r="Q8" s="925">
        <f>$B$19*_xlfn.XLOOKUP($F8,'Auto Idling Supporting'!A:A,'Auto Idling Supporting'!H:H,,0)</f>
        <v>0</v>
      </c>
      <c r="R8" s="773">
        <f>IFERROR(_xlfn.XLOOKUP($F8,'BCA Guide - Parameter Values'!$B$82:$B$110,'BCA Guide - Parameter Values'!$C$82:$C$110,,0),0)</f>
        <v>0</v>
      </c>
      <c r="S8" s="773">
        <f t="shared" ref="S8:S46" si="5">R8*Q8</f>
        <v>0</v>
      </c>
      <c r="T8" s="855">
        <f t="shared" ref="T8:T47" si="6">IF(AND($F8&gt;=$B$16,$F8&lt;=$B$18),P8+S8,0)</f>
        <v>0</v>
      </c>
      <c r="U8" s="26">
        <f>IF(AND($F8&gt;=MIN('Major Assumption Key'!$B$4),$F8&lt;=MAX('Major Assumption Key'!$B$6)),P8-I8,0)*-1</f>
        <v>0</v>
      </c>
      <c r="V8" s="38">
        <f>U8/(1+0.02)^($F8-'Major Assumption Key'!$B$7)</f>
        <v>0</v>
      </c>
      <c r="W8" s="26">
        <f t="shared" ref="W8:W47" si="7">IF(AND($F8&gt;=$B$16,$F8&lt;=$B$18),S8-L8,0)*-1</f>
        <v>0</v>
      </c>
      <c r="X8" s="38">
        <f>W8/(1+'Major Assumption Key'!$B$8)^($F8-'Major Assumption Key'!$B$7)</f>
        <v>0</v>
      </c>
      <c r="Y8" s="26">
        <f t="shared" ref="Y8:Y46" si="8">U8+W8</f>
        <v>0</v>
      </c>
      <c r="Z8" s="38">
        <f t="shared" ref="Z8:Z46" si="9">V8+X8</f>
        <v>0</v>
      </c>
      <c r="AA8" s="291"/>
      <c r="AB8" s="784">
        <f t="shared" ref="AB8:AB47" si="10">ROUND(M8,-3)</f>
        <v>0</v>
      </c>
      <c r="AC8" s="855">
        <f t="shared" ref="AC8:AC47" si="11">ROUND(T8,-3)</f>
        <v>0</v>
      </c>
      <c r="AD8" s="26">
        <f t="shared" ref="AD8:AD47" si="12">ROUND(Y8,-3)</f>
        <v>0</v>
      </c>
      <c r="AE8" s="38">
        <f t="shared" ref="AE8:AE47" si="13">ROUND(Z8,-3)</f>
        <v>0</v>
      </c>
    </row>
    <row r="9" spans="1:31" ht="19.95" customHeight="1">
      <c r="A9" s="1888" t="s">
        <v>432</v>
      </c>
      <c r="B9" s="1889"/>
      <c r="C9" s="1889"/>
      <c r="D9" s="1890"/>
      <c r="E9" s="767"/>
      <c r="F9" s="772">
        <f>'Major Assumption Key'!A21</f>
        <v>2022</v>
      </c>
      <c r="G9" s="925">
        <f>'Emissions and Fuel'!T297</f>
        <v>0</v>
      </c>
      <c r="H9" s="773" t="str">
        <f>IFERROR(_xlfn.XLOOKUP($F9,'BCA Guide - Parameter Values'!$B$82:$B$110,'BCA Guide - Parameter Values'!$F$82:$F$110,,0),"N/A")</f>
        <v>N/A</v>
      </c>
      <c r="I9" s="773">
        <f t="shared" si="1"/>
        <v>0</v>
      </c>
      <c r="J9" s="925">
        <f>$B$19*_xlfn.XLOOKUP($F9,'Auto Idling Supporting'!A:A,'Auto Idling Supporting'!E:E,,0)</f>
        <v>0</v>
      </c>
      <c r="K9" s="773">
        <f>IFERROR(_xlfn.XLOOKUP($F9,'BCA Guide - Parameter Values'!$B$82:$B$110,'BCA Guide - Parameter Values'!$C$82:$C$110,,0),0)</f>
        <v>0</v>
      </c>
      <c r="L9" s="773">
        <f t="shared" si="2"/>
        <v>0</v>
      </c>
      <c r="M9" s="784">
        <f t="shared" si="3"/>
        <v>0</v>
      </c>
      <c r="N9" s="925">
        <f>'Emissions and Fuel'!U297</f>
        <v>0</v>
      </c>
      <c r="O9" s="773" t="str">
        <f>IFERROR(_xlfn.XLOOKUP($F9,'BCA Guide - Parameter Values'!$B$82:$B$110,'BCA Guide - Parameter Values'!$F$82:$F$110,,0),"N/A")</f>
        <v>N/A</v>
      </c>
      <c r="P9" s="773">
        <f t="shared" si="4"/>
        <v>0</v>
      </c>
      <c r="Q9" s="925">
        <f>$B$19*_xlfn.XLOOKUP($F9,'Auto Idling Supporting'!A:A,'Auto Idling Supporting'!H:H,,0)</f>
        <v>0</v>
      </c>
      <c r="R9" s="773">
        <f>IFERROR(_xlfn.XLOOKUP($F9,'BCA Guide - Parameter Values'!$B$82:$B$110,'BCA Guide - Parameter Values'!$C$82:$C$110,,0),0)</f>
        <v>0</v>
      </c>
      <c r="S9" s="773">
        <f t="shared" si="5"/>
        <v>0</v>
      </c>
      <c r="T9" s="855">
        <f t="shared" si="6"/>
        <v>0</v>
      </c>
      <c r="U9" s="26">
        <f>IF(AND($F9&gt;=MIN('Major Assumption Key'!$B$4),$F9&lt;=MAX('Major Assumption Key'!$B$6)),P9-I9,0)*-1</f>
        <v>0</v>
      </c>
      <c r="V9" s="38">
        <f>U9/(1+0.02)^($F9-'Major Assumption Key'!$B$7)</f>
        <v>0</v>
      </c>
      <c r="W9" s="26">
        <f t="shared" si="7"/>
        <v>0</v>
      </c>
      <c r="X9" s="38">
        <f>W9/(1+'Major Assumption Key'!$B$8)^($F9-'Major Assumption Key'!$B$7)</f>
        <v>0</v>
      </c>
      <c r="Y9" s="26">
        <f t="shared" si="8"/>
        <v>0</v>
      </c>
      <c r="Z9" s="38">
        <f t="shared" si="9"/>
        <v>0</v>
      </c>
      <c r="AA9" s="291"/>
      <c r="AB9" s="784">
        <f t="shared" si="10"/>
        <v>0</v>
      </c>
      <c r="AC9" s="855">
        <f t="shared" si="11"/>
        <v>0</v>
      </c>
      <c r="AD9" s="26">
        <f t="shared" si="12"/>
        <v>0</v>
      </c>
      <c r="AE9" s="38">
        <f t="shared" si="13"/>
        <v>0</v>
      </c>
    </row>
    <row r="10" spans="1:31" ht="19.95" customHeight="1">
      <c r="A10" s="1891" t="s">
        <v>418</v>
      </c>
      <c r="B10" s="1891"/>
      <c r="C10" s="49" t="s">
        <v>419</v>
      </c>
      <c r="D10" s="49" t="str">
        <f>_xlfn.CONCAT("Discounted @",TEXT('Major Assumption Key'!B8,"0.0%"))</f>
        <v>Discounted @3.1%</v>
      </c>
      <c r="E10" s="767"/>
      <c r="F10" s="772">
        <f>'Major Assumption Key'!A22</f>
        <v>2023</v>
      </c>
      <c r="G10" s="925">
        <f>'Emissions and Fuel'!T298</f>
        <v>0</v>
      </c>
      <c r="H10" s="773">
        <f>IFERROR(_xlfn.XLOOKUP($F10,'BCA Guide - Parameter Values'!$B$82:$B$110,'BCA Guide - Parameter Values'!$F$82:$F$110,,0),"N/A")</f>
        <v>228.37600706009624</v>
      </c>
      <c r="I10" s="773">
        <f t="shared" si="1"/>
        <v>0</v>
      </c>
      <c r="J10" s="925">
        <f>$B$19*_xlfn.XLOOKUP($F10,'Auto Idling Supporting'!A:A,'Auto Idling Supporting'!E:E,,0)</f>
        <v>0</v>
      </c>
      <c r="K10" s="773">
        <f>IFERROR(_xlfn.XLOOKUP($F10,'BCA Guide - Parameter Values'!$B$82:$B$110,'BCA Guide - Parameter Values'!$C$82:$C$110,,0),0)</f>
        <v>19800</v>
      </c>
      <c r="L10" s="773">
        <f t="shared" si="2"/>
        <v>0</v>
      </c>
      <c r="M10" s="784">
        <f t="shared" si="3"/>
        <v>0</v>
      </c>
      <c r="N10" s="925">
        <f>'Emissions and Fuel'!U298</f>
        <v>0</v>
      </c>
      <c r="O10" s="773">
        <f>IFERROR(_xlfn.XLOOKUP($F10,'BCA Guide - Parameter Values'!$B$82:$B$110,'BCA Guide - Parameter Values'!$F$82:$F$110,,0),"N/A")</f>
        <v>228.37600706009624</v>
      </c>
      <c r="P10" s="773">
        <f t="shared" si="4"/>
        <v>0</v>
      </c>
      <c r="Q10" s="925">
        <f>$B$19*_xlfn.XLOOKUP($F10,'Auto Idling Supporting'!A:A,'Auto Idling Supporting'!H:H,,0)</f>
        <v>0</v>
      </c>
      <c r="R10" s="773">
        <f>IFERROR(_xlfn.XLOOKUP($F10,'BCA Guide - Parameter Values'!$B$82:$B$110,'BCA Guide - Parameter Values'!$C$82:$C$110,,0),0)</f>
        <v>19800</v>
      </c>
      <c r="S10" s="773">
        <f t="shared" si="5"/>
        <v>0</v>
      </c>
      <c r="T10" s="855">
        <f t="shared" si="6"/>
        <v>0</v>
      </c>
      <c r="U10" s="26">
        <f>IF(AND($F10&gt;=MIN('Major Assumption Key'!$B$4),$F10&lt;=MAX('Major Assumption Key'!$B$6)),P10-I10,0)*-1</f>
        <v>0</v>
      </c>
      <c r="V10" s="38">
        <f>U10/(1+0.02)^($F10-'Major Assumption Key'!$B$7)</f>
        <v>0</v>
      </c>
      <c r="W10" s="26">
        <f t="shared" si="7"/>
        <v>0</v>
      </c>
      <c r="X10" s="38">
        <f>W10/(1+'Major Assumption Key'!$B$8)^($F10-'Major Assumption Key'!$B$7)</f>
        <v>0</v>
      </c>
      <c r="Y10" s="26">
        <f t="shared" si="8"/>
        <v>0</v>
      </c>
      <c r="Z10" s="38">
        <f t="shared" si="9"/>
        <v>0</v>
      </c>
      <c r="AA10" s="291"/>
      <c r="AB10" s="784">
        <f t="shared" si="10"/>
        <v>0</v>
      </c>
      <c r="AC10" s="855">
        <f t="shared" si="11"/>
        <v>0</v>
      </c>
      <c r="AD10" s="26">
        <f t="shared" si="12"/>
        <v>0</v>
      </c>
      <c r="AE10" s="38">
        <f t="shared" si="13"/>
        <v>0</v>
      </c>
    </row>
    <row r="11" spans="1:31" ht="19.95" customHeight="1">
      <c r="A11" s="1892" t="s">
        <v>11</v>
      </c>
      <c r="B11" s="1892"/>
      <c r="C11" s="56">
        <f>'BCA Summary'!$H$7</f>
        <v>1.0111569298276737</v>
      </c>
      <c r="D11" s="56">
        <f>'BCA Summary'!$I$7</f>
        <v>0.6276932096418345</v>
      </c>
      <c r="E11" s="767"/>
      <c r="F11" s="772">
        <f>'Major Assumption Key'!A23</f>
        <v>2024</v>
      </c>
      <c r="G11" s="925">
        <f>'Emissions and Fuel'!T299</f>
        <v>0</v>
      </c>
      <c r="H11" s="773">
        <f>IFERROR(_xlfn.XLOOKUP($F11,'BCA Guide - Parameter Values'!$B$82:$B$110,'BCA Guide - Parameter Values'!$F$82:$F$110,,0),"N/A")</f>
        <v>232.85396798284322</v>
      </c>
      <c r="I11" s="773">
        <f t="shared" si="1"/>
        <v>0</v>
      </c>
      <c r="J11" s="925">
        <f>$B$19*_xlfn.XLOOKUP($F11,'Auto Idling Supporting'!A:A,'Auto Idling Supporting'!E:E,,0)</f>
        <v>0</v>
      </c>
      <c r="K11" s="773">
        <f>IFERROR(_xlfn.XLOOKUP($F11,'BCA Guide - Parameter Values'!$B$82:$B$110,'BCA Guide - Parameter Values'!$C$82:$C$110,,0),0)</f>
        <v>20100</v>
      </c>
      <c r="L11" s="773">
        <f t="shared" si="2"/>
        <v>0</v>
      </c>
      <c r="M11" s="784">
        <f t="shared" si="3"/>
        <v>0</v>
      </c>
      <c r="N11" s="925">
        <f>'Emissions and Fuel'!U299</f>
        <v>0</v>
      </c>
      <c r="O11" s="773">
        <f>IFERROR(_xlfn.XLOOKUP($F11,'BCA Guide - Parameter Values'!$B$82:$B$110,'BCA Guide - Parameter Values'!$F$82:$F$110,,0),"N/A")</f>
        <v>232.85396798284322</v>
      </c>
      <c r="P11" s="773">
        <f t="shared" si="4"/>
        <v>0</v>
      </c>
      <c r="Q11" s="925">
        <f>$B$19*_xlfn.XLOOKUP($F11,'Auto Idling Supporting'!A:A,'Auto Idling Supporting'!H:H,,0)</f>
        <v>0</v>
      </c>
      <c r="R11" s="773">
        <f>IFERROR(_xlfn.XLOOKUP($F11,'BCA Guide - Parameter Values'!$B$82:$B$110,'BCA Guide - Parameter Values'!$C$82:$C$110,,0),0)</f>
        <v>20100</v>
      </c>
      <c r="S11" s="773">
        <f t="shared" si="5"/>
        <v>0</v>
      </c>
      <c r="T11" s="855">
        <f t="shared" si="6"/>
        <v>0</v>
      </c>
      <c r="U11" s="26">
        <f>IF(AND($F11&gt;=MIN('Major Assumption Key'!$B$4),$F11&lt;=MAX('Major Assumption Key'!$B$6)),P11-I11,0)*-1</f>
        <v>0</v>
      </c>
      <c r="V11" s="38">
        <f>U11/(1+0.02)^($F11-'Major Assumption Key'!$B$7)</f>
        <v>0</v>
      </c>
      <c r="W11" s="26">
        <f t="shared" si="7"/>
        <v>0</v>
      </c>
      <c r="X11" s="38">
        <f>W11/(1+'Major Assumption Key'!$B$8)^($F11-'Major Assumption Key'!$B$7)</f>
        <v>0</v>
      </c>
      <c r="Y11" s="26">
        <f t="shared" si="8"/>
        <v>0</v>
      </c>
      <c r="Z11" s="38">
        <f t="shared" si="9"/>
        <v>0</v>
      </c>
      <c r="AA11" s="291"/>
      <c r="AB11" s="784">
        <f t="shared" si="10"/>
        <v>0</v>
      </c>
      <c r="AC11" s="855">
        <f t="shared" si="11"/>
        <v>0</v>
      </c>
      <c r="AD11" s="26">
        <f t="shared" si="12"/>
        <v>0</v>
      </c>
      <c r="AE11" s="38">
        <f t="shared" si="13"/>
        <v>0</v>
      </c>
    </row>
    <row r="12" spans="1:31" ht="19.95" customHeight="1">
      <c r="A12" s="1892" t="s">
        <v>12</v>
      </c>
      <c r="B12" s="1892"/>
      <c r="C12" s="49">
        <f>'BCA Summary'!$H$8</f>
        <v>236636.98382712901</v>
      </c>
      <c r="D12" s="49">
        <f>'BCA Summary'!$I$8</f>
        <v>-6930297.4454113934</v>
      </c>
      <c r="E12" s="767"/>
      <c r="F12" s="772">
        <f>'Major Assumption Key'!A24</f>
        <v>2025</v>
      </c>
      <c r="G12" s="925">
        <f>'Emissions and Fuel'!T300</f>
        <v>0</v>
      </c>
      <c r="H12" s="773">
        <f>IFERROR(_xlfn.XLOOKUP($F12,'BCA Guide - Parameter Values'!$B$82:$B$110,'BCA Guide - Parameter Values'!$F$82:$F$110,,0),"N/A")</f>
        <v>237.33192890559022</v>
      </c>
      <c r="I12" s="773">
        <f t="shared" si="1"/>
        <v>0</v>
      </c>
      <c r="J12" s="925">
        <f>$B$19*_xlfn.XLOOKUP($F12,'Auto Idling Supporting'!A:A,'Auto Idling Supporting'!E:E,,0)</f>
        <v>0</v>
      </c>
      <c r="K12" s="773">
        <f>IFERROR(_xlfn.XLOOKUP($F12,'BCA Guide - Parameter Values'!$B$82:$B$110,'BCA Guide - Parameter Values'!$C$82:$C$110,,0),0)</f>
        <v>20300</v>
      </c>
      <c r="L12" s="773">
        <f t="shared" si="2"/>
        <v>0</v>
      </c>
      <c r="M12" s="784">
        <f t="shared" si="3"/>
        <v>0</v>
      </c>
      <c r="N12" s="925">
        <f>'Emissions and Fuel'!U300</f>
        <v>0</v>
      </c>
      <c r="O12" s="773">
        <f>IFERROR(_xlfn.XLOOKUP($F12,'BCA Guide - Parameter Values'!$B$82:$B$110,'BCA Guide - Parameter Values'!$F$82:$F$110,,0),"N/A")</f>
        <v>237.33192890559022</v>
      </c>
      <c r="P12" s="773">
        <f t="shared" si="4"/>
        <v>0</v>
      </c>
      <c r="Q12" s="925">
        <f>$B$19*_xlfn.XLOOKUP($F12,'Auto Idling Supporting'!A:A,'Auto Idling Supporting'!H:H,,0)</f>
        <v>0</v>
      </c>
      <c r="R12" s="773">
        <f>IFERROR(_xlfn.XLOOKUP($F12,'BCA Guide - Parameter Values'!$B$82:$B$110,'BCA Guide - Parameter Values'!$C$82:$C$110,,0),0)</f>
        <v>20300</v>
      </c>
      <c r="S12" s="773">
        <f t="shared" si="5"/>
        <v>0</v>
      </c>
      <c r="T12" s="855">
        <f t="shared" si="6"/>
        <v>0</v>
      </c>
      <c r="U12" s="26">
        <f>IF(AND($F12&gt;=MIN('Major Assumption Key'!$B$4),$F12&lt;=MAX('Major Assumption Key'!$B$6)),P12-I12,0)*-1</f>
        <v>0</v>
      </c>
      <c r="V12" s="38">
        <f>U12/(1+0.02)^($F12-'Major Assumption Key'!$B$7)</f>
        <v>0</v>
      </c>
      <c r="W12" s="26">
        <f t="shared" si="7"/>
        <v>0</v>
      </c>
      <c r="X12" s="38">
        <f>W12/(1+'Major Assumption Key'!$B$8)^($F12-'Major Assumption Key'!$B$7)</f>
        <v>0</v>
      </c>
      <c r="Y12" s="26">
        <f t="shared" si="8"/>
        <v>0</v>
      </c>
      <c r="Z12" s="38">
        <f t="shared" si="9"/>
        <v>0</v>
      </c>
      <c r="AA12" s="291"/>
      <c r="AB12" s="784">
        <f t="shared" si="10"/>
        <v>0</v>
      </c>
      <c r="AC12" s="855">
        <f t="shared" si="11"/>
        <v>0</v>
      </c>
      <c r="AD12" s="26">
        <f t="shared" si="12"/>
        <v>0</v>
      </c>
      <c r="AE12" s="38">
        <f t="shared" si="13"/>
        <v>0</v>
      </c>
    </row>
    <row r="13" spans="1:31" ht="19.95" customHeight="1">
      <c r="C13" s="767"/>
      <c r="D13" s="767"/>
      <c r="E13" s="767"/>
      <c r="F13" s="772">
        <f>'Major Assumption Key'!A25</f>
        <v>2026</v>
      </c>
      <c r="G13" s="925">
        <f>'Emissions and Fuel'!T301</f>
        <v>0</v>
      </c>
      <c r="H13" s="773">
        <f>IFERROR(_xlfn.XLOOKUP($F13,'BCA Guide - Parameter Values'!$B$82:$B$110,'BCA Guide - Parameter Values'!$F$82:$F$110,,0),"N/A")</f>
        <v>240.69039959765044</v>
      </c>
      <c r="I13" s="773">
        <f t="shared" si="1"/>
        <v>0</v>
      </c>
      <c r="J13" s="925">
        <f>$B$19*_xlfn.XLOOKUP($F13,'Auto Idling Supporting'!A:A,'Auto Idling Supporting'!E:E,,0)</f>
        <v>0</v>
      </c>
      <c r="K13" s="773">
        <f>IFERROR(_xlfn.XLOOKUP($F13,'BCA Guide - Parameter Values'!$B$82:$B$110,'BCA Guide - Parameter Values'!$C$82:$C$110,,0),0)</f>
        <v>20600</v>
      </c>
      <c r="L13" s="773">
        <f t="shared" si="2"/>
        <v>0</v>
      </c>
      <c r="M13" s="784">
        <f t="shared" si="3"/>
        <v>0</v>
      </c>
      <c r="N13" s="925">
        <f>'Emissions and Fuel'!U301</f>
        <v>0</v>
      </c>
      <c r="O13" s="773">
        <f>IFERROR(_xlfn.XLOOKUP($F13,'BCA Guide - Parameter Values'!$B$82:$B$110,'BCA Guide - Parameter Values'!$F$82:$F$110,,0),"N/A")</f>
        <v>240.69039959765044</v>
      </c>
      <c r="P13" s="773">
        <f t="shared" si="4"/>
        <v>0</v>
      </c>
      <c r="Q13" s="925">
        <f>$B$19*_xlfn.XLOOKUP($F13,'Auto Idling Supporting'!A:A,'Auto Idling Supporting'!H:H,,0)</f>
        <v>0</v>
      </c>
      <c r="R13" s="773">
        <f>IFERROR(_xlfn.XLOOKUP($F13,'BCA Guide - Parameter Values'!$B$82:$B$110,'BCA Guide - Parameter Values'!$C$82:$C$110,,0),0)</f>
        <v>20600</v>
      </c>
      <c r="S13" s="773">
        <f t="shared" si="5"/>
        <v>0</v>
      </c>
      <c r="T13" s="855">
        <f t="shared" si="6"/>
        <v>0</v>
      </c>
      <c r="U13" s="26">
        <f>IF(AND($F13&gt;=MIN('Major Assumption Key'!$B$4),$F13&lt;=MAX('Major Assumption Key'!$B$6)),P13-I13,0)*-1</f>
        <v>0</v>
      </c>
      <c r="V13" s="38">
        <f>U13/(1+0.02)^($F13-'Major Assumption Key'!$B$7)</f>
        <v>0</v>
      </c>
      <c r="W13" s="26">
        <f t="shared" si="7"/>
        <v>0</v>
      </c>
      <c r="X13" s="38">
        <f>W13/(1+'Major Assumption Key'!$B$8)^($F13-'Major Assumption Key'!$B$7)</f>
        <v>0</v>
      </c>
      <c r="Y13" s="26">
        <f t="shared" si="8"/>
        <v>0</v>
      </c>
      <c r="Z13" s="38">
        <f t="shared" si="9"/>
        <v>0</v>
      </c>
      <c r="AA13" s="291"/>
      <c r="AB13" s="784">
        <f t="shared" si="10"/>
        <v>0</v>
      </c>
      <c r="AC13" s="855">
        <f t="shared" si="11"/>
        <v>0</v>
      </c>
      <c r="AD13" s="26">
        <f t="shared" si="12"/>
        <v>0</v>
      </c>
      <c r="AE13" s="38">
        <f t="shared" si="13"/>
        <v>0</v>
      </c>
    </row>
    <row r="14" spans="1:31" ht="19.95" customHeight="1" thickBot="1">
      <c r="C14" s="767"/>
      <c r="D14" s="767"/>
      <c r="E14" s="767"/>
      <c r="F14" s="772">
        <f>'Major Assumption Key'!A26</f>
        <v>2027</v>
      </c>
      <c r="G14" s="925">
        <f>'Emissions and Fuel'!T302</f>
        <v>0</v>
      </c>
      <c r="H14" s="773">
        <f>IFERROR(_xlfn.XLOOKUP($F14,'BCA Guide - Parameter Values'!$B$82:$B$110,'BCA Guide - Parameter Values'!$F$82:$F$110,,0),"N/A")</f>
        <v>245.16836052039741</v>
      </c>
      <c r="I14" s="773">
        <f t="shared" si="1"/>
        <v>0</v>
      </c>
      <c r="J14" s="925">
        <f>$B$19*_xlfn.XLOOKUP($F14,'Auto Idling Supporting'!A:A,'Auto Idling Supporting'!E:E,,0)</f>
        <v>0</v>
      </c>
      <c r="K14" s="773">
        <f>IFERROR(_xlfn.XLOOKUP($F14,'BCA Guide - Parameter Values'!$B$82:$B$110,'BCA Guide - Parameter Values'!$C$82:$C$110,,0),0)</f>
        <v>21000</v>
      </c>
      <c r="L14" s="773">
        <f t="shared" si="2"/>
        <v>0</v>
      </c>
      <c r="M14" s="784">
        <f t="shared" si="3"/>
        <v>0</v>
      </c>
      <c r="N14" s="925">
        <f>'Emissions and Fuel'!U302</f>
        <v>0</v>
      </c>
      <c r="O14" s="773">
        <f>IFERROR(_xlfn.XLOOKUP($F14,'BCA Guide - Parameter Values'!$B$82:$B$110,'BCA Guide - Parameter Values'!$F$82:$F$110,,0),"N/A")</f>
        <v>245.16836052039741</v>
      </c>
      <c r="P14" s="773">
        <f t="shared" si="4"/>
        <v>0</v>
      </c>
      <c r="Q14" s="925">
        <f>$B$19*_xlfn.XLOOKUP($F14,'Auto Idling Supporting'!A:A,'Auto Idling Supporting'!H:H,,0)</f>
        <v>0</v>
      </c>
      <c r="R14" s="773">
        <f>IFERROR(_xlfn.XLOOKUP($F14,'BCA Guide - Parameter Values'!$B$82:$B$110,'BCA Guide - Parameter Values'!$C$82:$C$110,,0),0)</f>
        <v>21000</v>
      </c>
      <c r="S14" s="773">
        <f t="shared" si="5"/>
        <v>0</v>
      </c>
      <c r="T14" s="855">
        <f t="shared" si="6"/>
        <v>0</v>
      </c>
      <c r="U14" s="26">
        <f>IF(AND($F14&gt;=MIN('Major Assumption Key'!$B$4),$F14&lt;=MAX('Major Assumption Key'!$B$6)),P14-I14,0)*-1</f>
        <v>0</v>
      </c>
      <c r="V14" s="38">
        <f>U14/(1+0.02)^($F14-'Major Assumption Key'!$B$7)</f>
        <v>0</v>
      </c>
      <c r="W14" s="26">
        <f t="shared" si="7"/>
        <v>0</v>
      </c>
      <c r="X14" s="38">
        <f>W14/(1+'Major Assumption Key'!$B$8)^($F14-'Major Assumption Key'!$B$7)</f>
        <v>0</v>
      </c>
      <c r="Y14" s="26">
        <f t="shared" si="8"/>
        <v>0</v>
      </c>
      <c r="Z14" s="38">
        <f t="shared" si="9"/>
        <v>0</v>
      </c>
      <c r="AA14" s="291"/>
      <c r="AB14" s="784">
        <f t="shared" si="10"/>
        <v>0</v>
      </c>
      <c r="AC14" s="855">
        <f t="shared" si="11"/>
        <v>0</v>
      </c>
      <c r="AD14" s="26">
        <f t="shared" si="12"/>
        <v>0</v>
      </c>
      <c r="AE14" s="38">
        <f t="shared" si="13"/>
        <v>0</v>
      </c>
    </row>
    <row r="15" spans="1:31" ht="19.95" customHeight="1">
      <c r="A15" s="361" t="s">
        <v>433</v>
      </c>
      <c r="B15" s="362" t="s">
        <v>434</v>
      </c>
      <c r="C15" s="1938" t="s">
        <v>498</v>
      </c>
      <c r="D15" s="1939"/>
      <c r="E15" s="767"/>
      <c r="F15" s="772">
        <f>'Major Assumption Key'!A27</f>
        <v>2028</v>
      </c>
      <c r="G15" s="925">
        <f>'Emissions and Fuel'!T303</f>
        <v>0</v>
      </c>
      <c r="H15" s="773">
        <f>IFERROR(_xlfn.XLOOKUP($F15,'BCA Guide - Parameter Values'!$B$82:$B$110,'BCA Guide - Parameter Values'!$F$82:$F$110,,0),"N/A")</f>
        <v>249.64632144314442</v>
      </c>
      <c r="I15" s="773">
        <f t="shared" si="1"/>
        <v>0</v>
      </c>
      <c r="J15" s="925">
        <f>$B$19*_xlfn.XLOOKUP($F15,'Auto Idling Supporting'!A:A,'Auto Idling Supporting'!E:E,,0)</f>
        <v>0</v>
      </c>
      <c r="K15" s="773">
        <f>IFERROR(_xlfn.XLOOKUP($F15,'BCA Guide - Parameter Values'!$B$82:$B$110,'BCA Guide - Parameter Values'!$C$82:$C$110,,0),0)</f>
        <v>21300</v>
      </c>
      <c r="L15" s="773">
        <f t="shared" si="2"/>
        <v>0</v>
      </c>
      <c r="M15" s="784">
        <f t="shared" si="3"/>
        <v>0</v>
      </c>
      <c r="N15" s="925">
        <f>'Emissions and Fuel'!U303</f>
        <v>0</v>
      </c>
      <c r="O15" s="773">
        <f>IFERROR(_xlfn.XLOOKUP($F15,'BCA Guide - Parameter Values'!$B$82:$B$110,'BCA Guide - Parameter Values'!$F$82:$F$110,,0),"N/A")</f>
        <v>249.64632144314442</v>
      </c>
      <c r="P15" s="773">
        <f t="shared" si="4"/>
        <v>0</v>
      </c>
      <c r="Q15" s="925">
        <f>$B$19*_xlfn.XLOOKUP($F15,'Auto Idling Supporting'!A:A,'Auto Idling Supporting'!H:H,,0)</f>
        <v>0</v>
      </c>
      <c r="R15" s="773">
        <f>IFERROR(_xlfn.XLOOKUP($F15,'BCA Guide - Parameter Values'!$B$82:$B$110,'BCA Guide - Parameter Values'!$C$82:$C$110,,0),0)</f>
        <v>21300</v>
      </c>
      <c r="S15" s="773">
        <f t="shared" si="5"/>
        <v>0</v>
      </c>
      <c r="T15" s="855">
        <f t="shared" si="6"/>
        <v>0</v>
      </c>
      <c r="U15" s="26">
        <f>IF(AND($F15&gt;=MIN('Major Assumption Key'!$B$4),$F15&lt;=MAX('Major Assumption Key'!$B$6)),P15-I15,0)*-1</f>
        <v>0</v>
      </c>
      <c r="V15" s="38">
        <f>U15/(1+0.02)^($F15-'Major Assumption Key'!$B$7)</f>
        <v>0</v>
      </c>
      <c r="W15" s="26">
        <f t="shared" si="7"/>
        <v>0</v>
      </c>
      <c r="X15" s="38">
        <f>W15/(1+'Major Assumption Key'!$B$8)^($F15-'Major Assumption Key'!$B$7)</f>
        <v>0</v>
      </c>
      <c r="Y15" s="26">
        <f t="shared" si="8"/>
        <v>0</v>
      </c>
      <c r="Z15" s="38">
        <f t="shared" si="9"/>
        <v>0</v>
      </c>
      <c r="AA15" s="291"/>
      <c r="AB15" s="784">
        <f t="shared" si="10"/>
        <v>0</v>
      </c>
      <c r="AC15" s="855">
        <f t="shared" si="11"/>
        <v>0</v>
      </c>
      <c r="AD15" s="26">
        <f t="shared" si="12"/>
        <v>0</v>
      </c>
      <c r="AE15" s="38">
        <f t="shared" si="13"/>
        <v>0</v>
      </c>
    </row>
    <row r="16" spans="1:31" ht="19.95" customHeight="1">
      <c r="A16" s="768" t="str">
        <f>'Major Assumption Key'!$A$3</f>
        <v>Project Open Year:</v>
      </c>
      <c r="B16" s="777">
        <f>'Major Assumption Key'!$B$3</f>
        <v>2028</v>
      </c>
      <c r="C16" s="767" t="s">
        <v>436</v>
      </c>
      <c r="D16" s="547"/>
      <c r="E16" s="767"/>
      <c r="F16" s="772">
        <f>'Major Assumption Key'!A28</f>
        <v>2029</v>
      </c>
      <c r="G16" s="925">
        <f>'Emissions and Fuel'!T304</f>
        <v>0</v>
      </c>
      <c r="H16" s="773">
        <f>IFERROR(_xlfn.XLOOKUP($F16,'BCA Guide - Parameter Values'!$B$82:$B$110,'BCA Guide - Parameter Values'!$F$82:$F$110,,0),"N/A")</f>
        <v>253.00479213520464</v>
      </c>
      <c r="I16" s="773">
        <f t="shared" si="1"/>
        <v>0</v>
      </c>
      <c r="J16" s="925">
        <f>$B$19*_xlfn.XLOOKUP($F16,'Auto Idling Supporting'!A:A,'Auto Idling Supporting'!E:E,,0)</f>
        <v>0</v>
      </c>
      <c r="K16" s="773">
        <f>IFERROR(_xlfn.XLOOKUP($F16,'BCA Guide - Parameter Values'!$B$82:$B$110,'BCA Guide - Parameter Values'!$C$82:$C$110,,0),0)</f>
        <v>21700</v>
      </c>
      <c r="L16" s="773">
        <f t="shared" si="2"/>
        <v>0</v>
      </c>
      <c r="M16" s="784">
        <f t="shared" si="3"/>
        <v>0</v>
      </c>
      <c r="N16" s="925">
        <f>'Emissions and Fuel'!U304</f>
        <v>0</v>
      </c>
      <c r="O16" s="773">
        <f>IFERROR(_xlfn.XLOOKUP($F16,'BCA Guide - Parameter Values'!$B$82:$B$110,'BCA Guide - Parameter Values'!$F$82:$F$110,,0),"N/A")</f>
        <v>253.00479213520464</v>
      </c>
      <c r="P16" s="773">
        <f t="shared" si="4"/>
        <v>0</v>
      </c>
      <c r="Q16" s="925">
        <f>$B$19*_xlfn.XLOOKUP($F16,'Auto Idling Supporting'!A:A,'Auto Idling Supporting'!H:H,,0)</f>
        <v>0</v>
      </c>
      <c r="R16" s="773">
        <f>IFERROR(_xlfn.XLOOKUP($F16,'BCA Guide - Parameter Values'!$B$82:$B$110,'BCA Guide - Parameter Values'!$C$82:$C$110,,0),0)</f>
        <v>21700</v>
      </c>
      <c r="S16" s="773">
        <f t="shared" si="5"/>
        <v>0</v>
      </c>
      <c r="T16" s="855">
        <f t="shared" si="6"/>
        <v>0</v>
      </c>
      <c r="U16" s="26">
        <f>IF(AND($F16&gt;=MIN('Major Assumption Key'!$B$4),$F16&lt;=MAX('Major Assumption Key'!$B$6)),P16-I16,0)*-1</f>
        <v>0</v>
      </c>
      <c r="V16" s="38">
        <f>U16/(1+0.02)^($F16-'Major Assumption Key'!$B$7)</f>
        <v>0</v>
      </c>
      <c r="W16" s="26">
        <f t="shared" si="7"/>
        <v>0</v>
      </c>
      <c r="X16" s="38">
        <f>W16/(1+'Major Assumption Key'!$B$8)^($F16-'Major Assumption Key'!$B$7)</f>
        <v>0</v>
      </c>
      <c r="Y16" s="26">
        <f t="shared" si="8"/>
        <v>0</v>
      </c>
      <c r="Z16" s="38">
        <f t="shared" si="9"/>
        <v>0</v>
      </c>
      <c r="AA16" s="291"/>
      <c r="AB16" s="784">
        <f t="shared" si="10"/>
        <v>0</v>
      </c>
      <c r="AC16" s="855">
        <f t="shared" si="11"/>
        <v>0</v>
      </c>
      <c r="AD16" s="26">
        <f t="shared" si="12"/>
        <v>0</v>
      </c>
      <c r="AE16" s="38">
        <f t="shared" si="13"/>
        <v>0</v>
      </c>
    </row>
    <row r="17" spans="1:31" ht="19.95" customHeight="1">
      <c r="A17" s="768" t="str">
        <f>'Major Assumption Key'!$A$4</f>
        <v>Planning Horizon Begin Year:</v>
      </c>
      <c r="B17" s="777">
        <f>'Major Assumption Key'!$B$4</f>
        <v>2022</v>
      </c>
      <c r="C17" s="767" t="s">
        <v>436</v>
      </c>
      <c r="D17" s="770"/>
      <c r="E17" s="767"/>
      <c r="F17" s="772">
        <f>'Major Assumption Key'!A29</f>
        <v>2030</v>
      </c>
      <c r="G17" s="925">
        <f>'Emissions and Fuel'!T305</f>
        <v>0</v>
      </c>
      <c r="H17" s="773">
        <f>IFERROR(_xlfn.XLOOKUP($F17,'BCA Guide - Parameter Values'!$B$82:$B$110,'BCA Guide - Parameter Values'!$F$82:$F$110,,0),"N/A")</f>
        <v>257.48275305795164</v>
      </c>
      <c r="I17" s="773">
        <f t="shared" si="1"/>
        <v>0</v>
      </c>
      <c r="J17" s="925">
        <f>$B$19*_xlfn.XLOOKUP($F17,'Auto Idling Supporting'!A:A,'Auto Idling Supporting'!E:E,,0)</f>
        <v>0</v>
      </c>
      <c r="K17" s="773">
        <f>IFERROR(_xlfn.XLOOKUP($F17,'BCA Guide - Parameter Values'!$B$82:$B$110,'BCA Guide - Parameter Values'!$C$82:$C$110,,0),0)</f>
        <v>22000</v>
      </c>
      <c r="L17" s="773">
        <f t="shared" si="2"/>
        <v>0</v>
      </c>
      <c r="M17" s="784">
        <f t="shared" si="3"/>
        <v>0</v>
      </c>
      <c r="N17" s="925">
        <f>'Emissions and Fuel'!U305</f>
        <v>0</v>
      </c>
      <c r="O17" s="773">
        <f>IFERROR(_xlfn.XLOOKUP($F17,'BCA Guide - Parameter Values'!$B$82:$B$110,'BCA Guide - Parameter Values'!$F$82:$F$110,,0),"N/A")</f>
        <v>257.48275305795164</v>
      </c>
      <c r="P17" s="773">
        <f t="shared" si="4"/>
        <v>0</v>
      </c>
      <c r="Q17" s="925">
        <f>$B$19*_xlfn.XLOOKUP($F17,'Auto Idling Supporting'!A:A,'Auto Idling Supporting'!H:H,,0)</f>
        <v>0</v>
      </c>
      <c r="R17" s="773">
        <f>IFERROR(_xlfn.XLOOKUP($F17,'BCA Guide - Parameter Values'!$B$82:$B$110,'BCA Guide - Parameter Values'!$C$82:$C$110,,0),0)</f>
        <v>22000</v>
      </c>
      <c r="S17" s="773">
        <f t="shared" si="5"/>
        <v>0</v>
      </c>
      <c r="T17" s="855">
        <f t="shared" si="6"/>
        <v>0</v>
      </c>
      <c r="U17" s="26">
        <f>IF(AND($F17&gt;=MIN('Major Assumption Key'!$B$4),$F17&lt;=MAX('Major Assumption Key'!$B$6)),P17-I17,0)*-1</f>
        <v>0</v>
      </c>
      <c r="V17" s="38">
        <f>U17/(1+0.02)^($F17-'Major Assumption Key'!$B$7)</f>
        <v>0</v>
      </c>
      <c r="W17" s="26">
        <f t="shared" si="7"/>
        <v>0</v>
      </c>
      <c r="X17" s="38">
        <f>W17/(1+'Major Assumption Key'!$B$8)^($F17-'Major Assumption Key'!$B$7)</f>
        <v>0</v>
      </c>
      <c r="Y17" s="26">
        <f t="shared" si="8"/>
        <v>0</v>
      </c>
      <c r="Z17" s="38">
        <f t="shared" si="9"/>
        <v>0</v>
      </c>
      <c r="AA17" s="291"/>
      <c r="AB17" s="784">
        <f t="shared" si="10"/>
        <v>0</v>
      </c>
      <c r="AC17" s="855">
        <f t="shared" si="11"/>
        <v>0</v>
      </c>
      <c r="AD17" s="26">
        <f t="shared" si="12"/>
        <v>0</v>
      </c>
      <c r="AE17" s="38">
        <f t="shared" si="13"/>
        <v>0</v>
      </c>
    </row>
    <row r="18" spans="1:31" ht="19.95" customHeight="1">
      <c r="A18" s="768" t="str">
        <f>'Major Assumption Key'!$A$6</f>
        <v>Planning Horizon End Year:</v>
      </c>
      <c r="B18" s="777">
        <f>'Major Assumption Key'!$B$6</f>
        <v>2047</v>
      </c>
      <c r="C18" s="767" t="s">
        <v>436</v>
      </c>
      <c r="D18" s="770"/>
      <c r="E18" s="767"/>
      <c r="F18" s="772">
        <f>'Major Assumption Key'!A30</f>
        <v>2031</v>
      </c>
      <c r="G18" s="925">
        <f>'Emissions and Fuel'!T306</f>
        <v>0</v>
      </c>
      <c r="H18" s="773">
        <f>IFERROR(_xlfn.XLOOKUP($F18,'BCA Guide - Parameter Values'!$B$82:$B$110,'BCA Guide - Parameter Values'!$F$82:$F$110,,0),"N/A")</f>
        <v>261.96071398069864</v>
      </c>
      <c r="I18" s="773">
        <f t="shared" si="1"/>
        <v>0</v>
      </c>
      <c r="J18" s="925">
        <f>$B$19*_xlfn.XLOOKUP($F18,'Auto Idling Supporting'!A:A,'Auto Idling Supporting'!E:E,,0)</f>
        <v>0</v>
      </c>
      <c r="K18" s="773">
        <f>IFERROR(_xlfn.XLOOKUP($F18,'BCA Guide - Parameter Values'!$B$82:$B$110,'BCA Guide - Parameter Values'!$C$82:$C$110,,0),0)</f>
        <v>22000</v>
      </c>
      <c r="L18" s="773">
        <f t="shared" si="2"/>
        <v>0</v>
      </c>
      <c r="M18" s="784">
        <f t="shared" si="3"/>
        <v>0</v>
      </c>
      <c r="N18" s="925">
        <f>'Emissions and Fuel'!U306</f>
        <v>0</v>
      </c>
      <c r="O18" s="773">
        <f>IFERROR(_xlfn.XLOOKUP($F18,'BCA Guide - Parameter Values'!$B$82:$B$110,'BCA Guide - Parameter Values'!$F$82:$F$110,,0),"N/A")</f>
        <v>261.96071398069864</v>
      </c>
      <c r="P18" s="773">
        <f t="shared" si="4"/>
        <v>0</v>
      </c>
      <c r="Q18" s="925">
        <f>$B$19*_xlfn.XLOOKUP($F18,'Auto Idling Supporting'!A:A,'Auto Idling Supporting'!H:H,,0)</f>
        <v>0</v>
      </c>
      <c r="R18" s="773">
        <f>IFERROR(_xlfn.XLOOKUP($F18,'BCA Guide - Parameter Values'!$B$82:$B$110,'BCA Guide - Parameter Values'!$C$82:$C$110,,0),0)</f>
        <v>22000</v>
      </c>
      <c r="S18" s="773">
        <f t="shared" si="5"/>
        <v>0</v>
      </c>
      <c r="T18" s="855">
        <f t="shared" si="6"/>
        <v>0</v>
      </c>
      <c r="U18" s="26">
        <f>IF(AND($F18&gt;=MIN('Major Assumption Key'!$B$4),$F18&lt;=MAX('Major Assumption Key'!$B$6)),P18-I18,0)*-1</f>
        <v>0</v>
      </c>
      <c r="V18" s="38">
        <f>U18/(1+0.02)^($F18-'Major Assumption Key'!$B$7)</f>
        <v>0</v>
      </c>
      <c r="W18" s="26">
        <f t="shared" si="7"/>
        <v>0</v>
      </c>
      <c r="X18" s="38">
        <f>W18/(1+'Major Assumption Key'!$B$8)^($F18-'Major Assumption Key'!$B$7)</f>
        <v>0</v>
      </c>
      <c r="Y18" s="26">
        <f t="shared" si="8"/>
        <v>0</v>
      </c>
      <c r="Z18" s="38">
        <f t="shared" si="9"/>
        <v>0</v>
      </c>
      <c r="AA18" s="291"/>
      <c r="AB18" s="784">
        <f t="shared" si="10"/>
        <v>0</v>
      </c>
      <c r="AC18" s="855">
        <f t="shared" si="11"/>
        <v>0</v>
      </c>
      <c r="AD18" s="26">
        <f t="shared" si="12"/>
        <v>0</v>
      </c>
      <c r="AE18" s="38">
        <f t="shared" si="13"/>
        <v>0</v>
      </c>
    </row>
    <row r="19" spans="1:31" ht="19.95" customHeight="1" thickBot="1">
      <c r="A19" s="566" t="s">
        <v>7239</v>
      </c>
      <c r="B19" s="567">
        <v>365</v>
      </c>
      <c r="C19" s="924" t="s">
        <v>7240</v>
      </c>
      <c r="D19" s="568"/>
      <c r="E19" s="767"/>
      <c r="F19" s="772">
        <f>'Major Assumption Key'!A31</f>
        <v>2032</v>
      </c>
      <c r="G19" s="925">
        <f>'Emissions and Fuel'!T307</f>
        <v>0</v>
      </c>
      <c r="H19" s="773">
        <f>IFERROR(_xlfn.XLOOKUP($F19,'BCA Guide - Parameter Values'!$B$82:$B$110,'BCA Guide - Parameter Values'!$F$82:$F$110,,0),"N/A")</f>
        <v>265.31918467275887</v>
      </c>
      <c r="I19" s="773">
        <f t="shared" si="1"/>
        <v>0</v>
      </c>
      <c r="J19" s="925">
        <f>$B$19*_xlfn.XLOOKUP($F19,'Auto Idling Supporting'!A:A,'Auto Idling Supporting'!E:E,,0)</f>
        <v>0</v>
      </c>
      <c r="K19" s="773">
        <f>IFERROR(_xlfn.XLOOKUP($F19,'BCA Guide - Parameter Values'!$B$82:$B$110,'BCA Guide - Parameter Values'!$C$82:$C$110,,0),0)</f>
        <v>22000</v>
      </c>
      <c r="L19" s="773">
        <f t="shared" si="2"/>
        <v>0</v>
      </c>
      <c r="M19" s="784">
        <f t="shared" si="3"/>
        <v>0</v>
      </c>
      <c r="N19" s="925">
        <f>'Emissions and Fuel'!U307</f>
        <v>0</v>
      </c>
      <c r="O19" s="773">
        <f>IFERROR(_xlfn.XLOOKUP($F19,'BCA Guide - Parameter Values'!$B$82:$B$110,'BCA Guide - Parameter Values'!$F$82:$F$110,,0),"N/A")</f>
        <v>265.31918467275887</v>
      </c>
      <c r="P19" s="773">
        <f t="shared" si="4"/>
        <v>0</v>
      </c>
      <c r="Q19" s="925">
        <f>$B$19*_xlfn.XLOOKUP($F19,'Auto Idling Supporting'!A:A,'Auto Idling Supporting'!H:H,,0)</f>
        <v>0</v>
      </c>
      <c r="R19" s="773">
        <f>IFERROR(_xlfn.XLOOKUP($F19,'BCA Guide - Parameter Values'!$B$82:$B$110,'BCA Guide - Parameter Values'!$C$82:$C$110,,0),0)</f>
        <v>22000</v>
      </c>
      <c r="S19" s="773">
        <f t="shared" si="5"/>
        <v>0</v>
      </c>
      <c r="T19" s="855">
        <f t="shared" si="6"/>
        <v>0</v>
      </c>
      <c r="U19" s="26">
        <f>IF(AND($F19&gt;=MIN('Major Assumption Key'!$B$4),$F19&lt;=MAX('Major Assumption Key'!$B$6)),P19-I19,0)*-1</f>
        <v>0</v>
      </c>
      <c r="V19" s="38">
        <f>U19/(1+0.02)^($F19-'Major Assumption Key'!$B$7)</f>
        <v>0</v>
      </c>
      <c r="W19" s="26">
        <f t="shared" si="7"/>
        <v>0</v>
      </c>
      <c r="X19" s="38">
        <f>W19/(1+'Major Assumption Key'!$B$8)^($F19-'Major Assumption Key'!$B$7)</f>
        <v>0</v>
      </c>
      <c r="Y19" s="26">
        <f t="shared" si="8"/>
        <v>0</v>
      </c>
      <c r="Z19" s="38">
        <f t="shared" si="9"/>
        <v>0</v>
      </c>
      <c r="AA19" s="291"/>
      <c r="AB19" s="784">
        <f t="shared" si="10"/>
        <v>0</v>
      </c>
      <c r="AC19" s="855">
        <f t="shared" si="11"/>
        <v>0</v>
      </c>
      <c r="AD19" s="26">
        <f t="shared" si="12"/>
        <v>0</v>
      </c>
      <c r="AE19" s="38">
        <f t="shared" si="13"/>
        <v>0</v>
      </c>
    </row>
    <row r="20" spans="1:31" ht="19.95" customHeight="1">
      <c r="C20" s="767"/>
      <c r="D20" s="767"/>
      <c r="E20" s="767"/>
      <c r="F20" s="772">
        <f>'Major Assumption Key'!A32</f>
        <v>2033</v>
      </c>
      <c r="G20" s="925">
        <f>'Emissions and Fuel'!T308</f>
        <v>0</v>
      </c>
      <c r="H20" s="773">
        <f>IFERROR(_xlfn.XLOOKUP($F20,'BCA Guide - Parameter Values'!$B$82:$B$110,'BCA Guide - Parameter Values'!$F$82:$F$110,,0),"N/A")</f>
        <v>269.79714559550587</v>
      </c>
      <c r="I20" s="773">
        <f t="shared" si="1"/>
        <v>0</v>
      </c>
      <c r="J20" s="925">
        <f>$B$19*_xlfn.XLOOKUP($F20,'Auto Idling Supporting'!A:A,'Auto Idling Supporting'!E:E,,0)</f>
        <v>0</v>
      </c>
      <c r="K20" s="773">
        <f>IFERROR(_xlfn.XLOOKUP($F20,'BCA Guide - Parameter Values'!$B$82:$B$110,'BCA Guide - Parameter Values'!$C$82:$C$110,,0),0)</f>
        <v>22000</v>
      </c>
      <c r="L20" s="773">
        <f t="shared" si="2"/>
        <v>0</v>
      </c>
      <c r="M20" s="784">
        <f t="shared" si="3"/>
        <v>0</v>
      </c>
      <c r="N20" s="925">
        <f>'Emissions and Fuel'!U308</f>
        <v>0</v>
      </c>
      <c r="O20" s="773">
        <f>IFERROR(_xlfn.XLOOKUP($F20,'BCA Guide - Parameter Values'!$B$82:$B$110,'BCA Guide - Parameter Values'!$F$82:$F$110,,0),"N/A")</f>
        <v>269.79714559550587</v>
      </c>
      <c r="P20" s="773">
        <f t="shared" si="4"/>
        <v>0</v>
      </c>
      <c r="Q20" s="925">
        <f>$B$19*_xlfn.XLOOKUP($F20,'Auto Idling Supporting'!A:A,'Auto Idling Supporting'!H:H,,0)</f>
        <v>0</v>
      </c>
      <c r="R20" s="773">
        <f>IFERROR(_xlfn.XLOOKUP($F20,'BCA Guide - Parameter Values'!$B$82:$B$110,'BCA Guide - Parameter Values'!$C$82:$C$110,,0),0)</f>
        <v>22000</v>
      </c>
      <c r="S20" s="773">
        <f t="shared" si="5"/>
        <v>0</v>
      </c>
      <c r="T20" s="855">
        <f t="shared" si="6"/>
        <v>0</v>
      </c>
      <c r="U20" s="26">
        <f>IF(AND($F20&gt;=MIN('Major Assumption Key'!$B$4),$F20&lt;=MAX('Major Assumption Key'!$B$6)),P20-I20,0)*-1</f>
        <v>0</v>
      </c>
      <c r="V20" s="38">
        <f>U20/(1+0.02)^($F20-'Major Assumption Key'!$B$7)</f>
        <v>0</v>
      </c>
      <c r="W20" s="26">
        <f t="shared" si="7"/>
        <v>0</v>
      </c>
      <c r="X20" s="38">
        <f>W20/(1+'Major Assumption Key'!$B$8)^($F20-'Major Assumption Key'!$B$7)</f>
        <v>0</v>
      </c>
      <c r="Y20" s="26">
        <f t="shared" si="8"/>
        <v>0</v>
      </c>
      <c r="Z20" s="38">
        <f t="shared" si="9"/>
        <v>0</v>
      </c>
      <c r="AA20" s="291"/>
      <c r="AB20" s="784">
        <f t="shared" si="10"/>
        <v>0</v>
      </c>
      <c r="AC20" s="855">
        <f t="shared" si="11"/>
        <v>0</v>
      </c>
      <c r="AD20" s="26">
        <f t="shared" si="12"/>
        <v>0</v>
      </c>
      <c r="AE20" s="38">
        <f t="shared" si="13"/>
        <v>0</v>
      </c>
    </row>
    <row r="21" spans="1:31" ht="19.95" customHeight="1">
      <c r="E21" s="767"/>
      <c r="F21" s="772">
        <f>'Major Assumption Key'!A33</f>
        <v>2034</v>
      </c>
      <c r="G21" s="925">
        <f>'Emissions and Fuel'!T309</f>
        <v>0</v>
      </c>
      <c r="H21" s="773">
        <f>IFERROR(_xlfn.XLOOKUP($F21,'BCA Guide - Parameter Values'!$B$82:$B$110,'BCA Guide - Parameter Values'!$F$82:$F$110,,0),"N/A")</f>
        <v>274.27510651825281</v>
      </c>
      <c r="I21" s="773">
        <f t="shared" si="1"/>
        <v>0</v>
      </c>
      <c r="J21" s="925">
        <f>$B$19*_xlfn.XLOOKUP($F21,'Auto Idling Supporting'!A:A,'Auto Idling Supporting'!E:E,,0)</f>
        <v>0</v>
      </c>
      <c r="K21" s="773">
        <f>IFERROR(_xlfn.XLOOKUP($F21,'BCA Guide - Parameter Values'!$B$82:$B$110,'BCA Guide - Parameter Values'!$C$82:$C$110,,0),0)</f>
        <v>22000</v>
      </c>
      <c r="L21" s="773">
        <f t="shared" si="2"/>
        <v>0</v>
      </c>
      <c r="M21" s="784">
        <f t="shared" si="3"/>
        <v>0</v>
      </c>
      <c r="N21" s="925">
        <f>'Emissions and Fuel'!U309</f>
        <v>0</v>
      </c>
      <c r="O21" s="773">
        <f>IFERROR(_xlfn.XLOOKUP($F21,'BCA Guide - Parameter Values'!$B$82:$B$110,'BCA Guide - Parameter Values'!$F$82:$F$110,,0),"N/A")</f>
        <v>274.27510651825281</v>
      </c>
      <c r="P21" s="773">
        <f t="shared" si="4"/>
        <v>0</v>
      </c>
      <c r="Q21" s="925">
        <f>$B$19*_xlfn.XLOOKUP($F21,'Auto Idling Supporting'!A:A,'Auto Idling Supporting'!H:H,,0)</f>
        <v>0</v>
      </c>
      <c r="R21" s="773">
        <f>IFERROR(_xlfn.XLOOKUP($F21,'BCA Guide - Parameter Values'!$B$82:$B$110,'BCA Guide - Parameter Values'!$C$82:$C$110,,0),0)</f>
        <v>22000</v>
      </c>
      <c r="S21" s="773">
        <f t="shared" si="5"/>
        <v>0</v>
      </c>
      <c r="T21" s="855">
        <f t="shared" si="6"/>
        <v>0</v>
      </c>
      <c r="U21" s="26">
        <f>IF(AND($F21&gt;=MIN('Major Assumption Key'!$B$4),$F21&lt;=MAX('Major Assumption Key'!$B$6)),P21-I21,0)*-1</f>
        <v>0</v>
      </c>
      <c r="V21" s="38">
        <f>U21/(1+0.02)^($F21-'Major Assumption Key'!$B$7)</f>
        <v>0</v>
      </c>
      <c r="W21" s="26">
        <f t="shared" si="7"/>
        <v>0</v>
      </c>
      <c r="X21" s="38">
        <f>W21/(1+'Major Assumption Key'!$B$8)^($F21-'Major Assumption Key'!$B$7)</f>
        <v>0</v>
      </c>
      <c r="Y21" s="26">
        <f t="shared" si="8"/>
        <v>0</v>
      </c>
      <c r="Z21" s="38">
        <f t="shared" si="9"/>
        <v>0</v>
      </c>
      <c r="AA21" s="291"/>
      <c r="AB21" s="784">
        <f t="shared" si="10"/>
        <v>0</v>
      </c>
      <c r="AC21" s="855">
        <f t="shared" si="11"/>
        <v>0</v>
      </c>
      <c r="AD21" s="26">
        <f t="shared" si="12"/>
        <v>0</v>
      </c>
      <c r="AE21" s="38">
        <f t="shared" si="13"/>
        <v>0</v>
      </c>
    </row>
    <row r="22" spans="1:31" ht="19.95" customHeight="1">
      <c r="E22" s="767"/>
      <c r="F22" s="772">
        <f>'Major Assumption Key'!A34</f>
        <v>2035</v>
      </c>
      <c r="G22" s="925">
        <f>'Emissions and Fuel'!T310</f>
        <v>0</v>
      </c>
      <c r="H22" s="773">
        <f>IFERROR(_xlfn.XLOOKUP($F22,'BCA Guide - Parameter Values'!$B$82:$B$110,'BCA Guide - Parameter Values'!$F$82:$F$110,,0),"N/A")</f>
        <v>277.63357721031309</v>
      </c>
      <c r="I22" s="773">
        <f t="shared" si="1"/>
        <v>0</v>
      </c>
      <c r="J22" s="925">
        <f>$B$19*_xlfn.XLOOKUP($F22,'Auto Idling Supporting'!A:A,'Auto Idling Supporting'!E:E,,0)</f>
        <v>0</v>
      </c>
      <c r="K22" s="773">
        <f>IFERROR(_xlfn.XLOOKUP($F22,'BCA Guide - Parameter Values'!$B$82:$B$110,'BCA Guide - Parameter Values'!$C$82:$C$110,,0),0)</f>
        <v>22000</v>
      </c>
      <c r="L22" s="773">
        <f t="shared" si="2"/>
        <v>0</v>
      </c>
      <c r="M22" s="784">
        <f t="shared" si="3"/>
        <v>0</v>
      </c>
      <c r="N22" s="925">
        <f>'Emissions and Fuel'!U310</f>
        <v>0</v>
      </c>
      <c r="O22" s="773">
        <f>IFERROR(_xlfn.XLOOKUP($F22,'BCA Guide - Parameter Values'!$B$82:$B$110,'BCA Guide - Parameter Values'!$F$82:$F$110,,0),"N/A")</f>
        <v>277.63357721031309</v>
      </c>
      <c r="P22" s="773">
        <f t="shared" si="4"/>
        <v>0</v>
      </c>
      <c r="Q22" s="925">
        <f>$B$19*_xlfn.XLOOKUP($F22,'Auto Idling Supporting'!A:A,'Auto Idling Supporting'!H:H,,0)</f>
        <v>0</v>
      </c>
      <c r="R22" s="773">
        <f>IFERROR(_xlfn.XLOOKUP($F22,'BCA Guide - Parameter Values'!$B$82:$B$110,'BCA Guide - Parameter Values'!$C$82:$C$110,,0),0)</f>
        <v>22000</v>
      </c>
      <c r="S22" s="773">
        <f t="shared" si="5"/>
        <v>0</v>
      </c>
      <c r="T22" s="855">
        <f t="shared" si="6"/>
        <v>0</v>
      </c>
      <c r="U22" s="26">
        <f>IF(AND($F22&gt;=MIN('Major Assumption Key'!$B$4),$F22&lt;=MAX('Major Assumption Key'!$B$6)),P22-I22,0)*-1</f>
        <v>0</v>
      </c>
      <c r="V22" s="38">
        <f>U22/(1+0.02)^($F22-'Major Assumption Key'!$B$7)</f>
        <v>0</v>
      </c>
      <c r="W22" s="26">
        <f t="shared" si="7"/>
        <v>0</v>
      </c>
      <c r="X22" s="38">
        <f>W22/(1+'Major Assumption Key'!$B$8)^($F22-'Major Assumption Key'!$B$7)</f>
        <v>0</v>
      </c>
      <c r="Y22" s="26">
        <f t="shared" si="8"/>
        <v>0</v>
      </c>
      <c r="Z22" s="38">
        <f t="shared" si="9"/>
        <v>0</v>
      </c>
      <c r="AA22" s="291"/>
      <c r="AB22" s="784">
        <f t="shared" si="10"/>
        <v>0</v>
      </c>
      <c r="AC22" s="855">
        <f t="shared" si="11"/>
        <v>0</v>
      </c>
      <c r="AD22" s="26">
        <f t="shared" si="12"/>
        <v>0</v>
      </c>
      <c r="AE22" s="38">
        <f t="shared" si="13"/>
        <v>0</v>
      </c>
    </row>
    <row r="23" spans="1:31" ht="19.95" customHeight="1">
      <c r="E23" s="767"/>
      <c r="F23" s="772">
        <f>'Major Assumption Key'!A35</f>
        <v>2036</v>
      </c>
      <c r="G23" s="925">
        <f>'Emissions and Fuel'!T311</f>
        <v>0</v>
      </c>
      <c r="H23" s="773">
        <f>IFERROR(_xlfn.XLOOKUP($F23,'BCA Guide - Parameter Values'!$B$82:$B$110,'BCA Guide - Parameter Values'!$F$82:$F$110,,0),"N/A")</f>
        <v>282.11153813306004</v>
      </c>
      <c r="I23" s="773">
        <f t="shared" si="1"/>
        <v>0</v>
      </c>
      <c r="J23" s="925">
        <f>$B$19*_xlfn.XLOOKUP($F23,'Auto Idling Supporting'!A:A,'Auto Idling Supporting'!E:E,,0)</f>
        <v>0</v>
      </c>
      <c r="K23" s="773">
        <f>IFERROR(_xlfn.XLOOKUP($F23,'BCA Guide - Parameter Values'!$B$82:$B$110,'BCA Guide - Parameter Values'!$C$82:$C$110,,0),0)</f>
        <v>22000</v>
      </c>
      <c r="L23" s="773">
        <f t="shared" si="2"/>
        <v>0</v>
      </c>
      <c r="M23" s="784">
        <f t="shared" si="3"/>
        <v>0</v>
      </c>
      <c r="N23" s="925">
        <f>'Emissions and Fuel'!U311</f>
        <v>0</v>
      </c>
      <c r="O23" s="773">
        <f>IFERROR(_xlfn.XLOOKUP($F23,'BCA Guide - Parameter Values'!$B$82:$B$110,'BCA Guide - Parameter Values'!$F$82:$F$110,,0),"N/A")</f>
        <v>282.11153813306004</v>
      </c>
      <c r="P23" s="773">
        <f t="shared" si="4"/>
        <v>0</v>
      </c>
      <c r="Q23" s="925">
        <f>$B$19*_xlfn.XLOOKUP($F23,'Auto Idling Supporting'!A:A,'Auto Idling Supporting'!H:H,,0)</f>
        <v>0</v>
      </c>
      <c r="R23" s="773">
        <f>IFERROR(_xlfn.XLOOKUP($F23,'BCA Guide - Parameter Values'!$B$82:$B$110,'BCA Guide - Parameter Values'!$C$82:$C$110,,0),0)</f>
        <v>22000</v>
      </c>
      <c r="S23" s="773">
        <f t="shared" si="5"/>
        <v>0</v>
      </c>
      <c r="T23" s="855">
        <f t="shared" si="6"/>
        <v>0</v>
      </c>
      <c r="U23" s="26">
        <f>IF(AND($F23&gt;=MIN('Major Assumption Key'!$B$4),$F23&lt;=MAX('Major Assumption Key'!$B$6)),P23-I23,0)*-1</f>
        <v>0</v>
      </c>
      <c r="V23" s="38">
        <f>U23/(1+0.02)^($F23-'Major Assumption Key'!$B$7)</f>
        <v>0</v>
      </c>
      <c r="W23" s="26">
        <f t="shared" si="7"/>
        <v>0</v>
      </c>
      <c r="X23" s="38">
        <f>W23/(1+'Major Assumption Key'!$B$8)^($F23-'Major Assumption Key'!$B$7)</f>
        <v>0</v>
      </c>
      <c r="Y23" s="26">
        <f t="shared" si="8"/>
        <v>0</v>
      </c>
      <c r="Z23" s="38">
        <f t="shared" si="9"/>
        <v>0</v>
      </c>
      <c r="AA23" s="291"/>
      <c r="AB23" s="784">
        <f t="shared" si="10"/>
        <v>0</v>
      </c>
      <c r="AC23" s="855">
        <f t="shared" si="11"/>
        <v>0</v>
      </c>
      <c r="AD23" s="26">
        <f t="shared" si="12"/>
        <v>0</v>
      </c>
      <c r="AE23" s="38">
        <f t="shared" si="13"/>
        <v>0</v>
      </c>
    </row>
    <row r="24" spans="1:31" ht="19.95" customHeight="1">
      <c r="E24" s="767"/>
      <c r="F24" s="772">
        <f>'Major Assumption Key'!A36</f>
        <v>2037</v>
      </c>
      <c r="G24" s="925">
        <f>'Emissions and Fuel'!T312</f>
        <v>0</v>
      </c>
      <c r="H24" s="773">
        <f>IFERROR(_xlfn.XLOOKUP($F24,'BCA Guide - Parameter Values'!$B$82:$B$110,'BCA Guide - Parameter Values'!$F$82:$F$110,,0),"N/A")</f>
        <v>286.58949905580704</v>
      </c>
      <c r="I24" s="773">
        <f t="shared" si="1"/>
        <v>0</v>
      </c>
      <c r="J24" s="925">
        <f>$B$19*_xlfn.XLOOKUP($F24,'Auto Idling Supporting'!A:A,'Auto Idling Supporting'!E:E,,0)</f>
        <v>0</v>
      </c>
      <c r="K24" s="773">
        <f>IFERROR(_xlfn.XLOOKUP($F24,'BCA Guide - Parameter Values'!$B$82:$B$110,'BCA Guide - Parameter Values'!$C$82:$C$110,,0),0)</f>
        <v>22000</v>
      </c>
      <c r="L24" s="773">
        <f t="shared" si="2"/>
        <v>0</v>
      </c>
      <c r="M24" s="784">
        <f t="shared" si="3"/>
        <v>0</v>
      </c>
      <c r="N24" s="925">
        <f>'Emissions and Fuel'!U312</f>
        <v>0</v>
      </c>
      <c r="O24" s="773">
        <f>IFERROR(_xlfn.XLOOKUP($F24,'BCA Guide - Parameter Values'!$B$82:$B$110,'BCA Guide - Parameter Values'!$F$82:$F$110,,0),"N/A")</f>
        <v>286.58949905580704</v>
      </c>
      <c r="P24" s="773">
        <f t="shared" si="4"/>
        <v>0</v>
      </c>
      <c r="Q24" s="925">
        <f>$B$19*_xlfn.XLOOKUP($F24,'Auto Idling Supporting'!A:A,'Auto Idling Supporting'!H:H,,0)</f>
        <v>0</v>
      </c>
      <c r="R24" s="773">
        <f>IFERROR(_xlfn.XLOOKUP($F24,'BCA Guide - Parameter Values'!$B$82:$B$110,'BCA Guide - Parameter Values'!$C$82:$C$110,,0),0)</f>
        <v>22000</v>
      </c>
      <c r="S24" s="773">
        <f t="shared" si="5"/>
        <v>0</v>
      </c>
      <c r="T24" s="855">
        <f t="shared" si="6"/>
        <v>0</v>
      </c>
      <c r="U24" s="26">
        <f>IF(AND($F24&gt;=MIN('Major Assumption Key'!$B$4),$F24&lt;=MAX('Major Assumption Key'!$B$6)),P24-I24,0)*-1</f>
        <v>0</v>
      </c>
      <c r="V24" s="38">
        <f>U24/(1+0.02)^($F24-'Major Assumption Key'!$B$7)</f>
        <v>0</v>
      </c>
      <c r="W24" s="26">
        <f t="shared" si="7"/>
        <v>0</v>
      </c>
      <c r="X24" s="38">
        <f>W24/(1+'Major Assumption Key'!$B$8)^($F24-'Major Assumption Key'!$B$7)</f>
        <v>0</v>
      </c>
      <c r="Y24" s="26">
        <f t="shared" si="8"/>
        <v>0</v>
      </c>
      <c r="Z24" s="38">
        <f t="shared" si="9"/>
        <v>0</v>
      </c>
      <c r="AA24" s="291"/>
      <c r="AB24" s="784">
        <f t="shared" si="10"/>
        <v>0</v>
      </c>
      <c r="AC24" s="855">
        <f t="shared" si="11"/>
        <v>0</v>
      </c>
      <c r="AD24" s="26">
        <f t="shared" si="12"/>
        <v>0</v>
      </c>
      <c r="AE24" s="38">
        <f t="shared" si="13"/>
        <v>0</v>
      </c>
    </row>
    <row r="25" spans="1:31" ht="19.95" customHeight="1">
      <c r="E25" s="767"/>
      <c r="F25" s="772">
        <f>'Major Assumption Key'!A37</f>
        <v>2038</v>
      </c>
      <c r="G25" s="925">
        <f>'Emissions and Fuel'!T313</f>
        <v>0</v>
      </c>
      <c r="H25" s="773">
        <f>IFERROR(_xlfn.XLOOKUP($F25,'BCA Guide - Parameter Values'!$B$82:$B$110,'BCA Guide - Parameter Values'!$F$82:$F$110,,0),"N/A")</f>
        <v>289.94796974786726</v>
      </c>
      <c r="I25" s="773">
        <f t="shared" si="1"/>
        <v>0</v>
      </c>
      <c r="J25" s="925">
        <f>$B$19*_xlfn.XLOOKUP($F25,'Auto Idling Supporting'!A:A,'Auto Idling Supporting'!E:E,,0)</f>
        <v>0</v>
      </c>
      <c r="K25" s="773">
        <f>IFERROR(_xlfn.XLOOKUP($F25,'BCA Guide - Parameter Values'!$B$82:$B$110,'BCA Guide - Parameter Values'!$C$82:$C$110,,0),0)</f>
        <v>22000</v>
      </c>
      <c r="L25" s="773">
        <f t="shared" si="2"/>
        <v>0</v>
      </c>
      <c r="M25" s="784">
        <f t="shared" si="3"/>
        <v>0</v>
      </c>
      <c r="N25" s="925">
        <f>'Emissions and Fuel'!U313</f>
        <v>0</v>
      </c>
      <c r="O25" s="773">
        <f>IFERROR(_xlfn.XLOOKUP($F25,'BCA Guide - Parameter Values'!$B$82:$B$110,'BCA Guide - Parameter Values'!$F$82:$F$110,,0),"N/A")</f>
        <v>289.94796974786726</v>
      </c>
      <c r="P25" s="773">
        <f t="shared" si="4"/>
        <v>0</v>
      </c>
      <c r="Q25" s="925">
        <f>$B$19*_xlfn.XLOOKUP($F25,'Auto Idling Supporting'!A:A,'Auto Idling Supporting'!H:H,,0)</f>
        <v>0</v>
      </c>
      <c r="R25" s="773">
        <f>IFERROR(_xlfn.XLOOKUP($F25,'BCA Guide - Parameter Values'!$B$82:$B$110,'BCA Guide - Parameter Values'!$C$82:$C$110,,0),0)</f>
        <v>22000</v>
      </c>
      <c r="S25" s="773">
        <f t="shared" si="5"/>
        <v>0</v>
      </c>
      <c r="T25" s="855">
        <f t="shared" si="6"/>
        <v>0</v>
      </c>
      <c r="U25" s="26">
        <f>IF(AND($F25&gt;=MIN('Major Assumption Key'!$B$4),$F25&lt;=MAX('Major Assumption Key'!$B$6)),P25-I25,0)*-1</f>
        <v>0</v>
      </c>
      <c r="V25" s="38">
        <f>U25/(1+0.02)^($F25-'Major Assumption Key'!$B$7)</f>
        <v>0</v>
      </c>
      <c r="W25" s="26">
        <f t="shared" si="7"/>
        <v>0</v>
      </c>
      <c r="X25" s="38">
        <f>W25/(1+'Major Assumption Key'!$B$8)^($F25-'Major Assumption Key'!$B$7)</f>
        <v>0</v>
      </c>
      <c r="Y25" s="26">
        <f t="shared" si="8"/>
        <v>0</v>
      </c>
      <c r="Z25" s="38">
        <f t="shared" si="9"/>
        <v>0</v>
      </c>
      <c r="AA25" s="291"/>
      <c r="AB25" s="784">
        <f t="shared" si="10"/>
        <v>0</v>
      </c>
      <c r="AC25" s="855">
        <f t="shared" si="11"/>
        <v>0</v>
      </c>
      <c r="AD25" s="26">
        <f t="shared" si="12"/>
        <v>0</v>
      </c>
      <c r="AE25" s="38">
        <f t="shared" si="13"/>
        <v>0</v>
      </c>
    </row>
    <row r="26" spans="1:31" ht="19.95" customHeight="1">
      <c r="E26" s="767"/>
      <c r="F26" s="772">
        <f>'Major Assumption Key'!A38</f>
        <v>2039</v>
      </c>
      <c r="G26" s="925">
        <f>'Emissions and Fuel'!T314</f>
        <v>0</v>
      </c>
      <c r="H26" s="773">
        <f>IFERROR(_xlfn.XLOOKUP($F26,'BCA Guide - Parameter Values'!$B$82:$B$110,'BCA Guide - Parameter Values'!$F$82:$F$110,,0),"N/A")</f>
        <v>294.42593067061426</v>
      </c>
      <c r="I26" s="773">
        <f t="shared" si="1"/>
        <v>0</v>
      </c>
      <c r="J26" s="925">
        <f>$B$19*_xlfn.XLOOKUP($F26,'Auto Idling Supporting'!A:A,'Auto Idling Supporting'!E:E,,0)</f>
        <v>0</v>
      </c>
      <c r="K26" s="773">
        <f>IFERROR(_xlfn.XLOOKUP($F26,'BCA Guide - Parameter Values'!$B$82:$B$110,'BCA Guide - Parameter Values'!$C$82:$C$110,,0),0)</f>
        <v>22000</v>
      </c>
      <c r="L26" s="773">
        <f t="shared" si="2"/>
        <v>0</v>
      </c>
      <c r="M26" s="784">
        <f t="shared" si="3"/>
        <v>0</v>
      </c>
      <c r="N26" s="925">
        <f>'Emissions and Fuel'!U314</f>
        <v>0</v>
      </c>
      <c r="O26" s="773">
        <f>IFERROR(_xlfn.XLOOKUP($F26,'BCA Guide - Parameter Values'!$B$82:$B$110,'BCA Guide - Parameter Values'!$F$82:$F$110,,0),"N/A")</f>
        <v>294.42593067061426</v>
      </c>
      <c r="P26" s="773">
        <f t="shared" si="4"/>
        <v>0</v>
      </c>
      <c r="Q26" s="925">
        <f>$B$19*_xlfn.XLOOKUP($F26,'Auto Idling Supporting'!A:A,'Auto Idling Supporting'!H:H,,0)</f>
        <v>0</v>
      </c>
      <c r="R26" s="773">
        <f>IFERROR(_xlfn.XLOOKUP($F26,'BCA Guide - Parameter Values'!$B$82:$B$110,'BCA Guide - Parameter Values'!$C$82:$C$110,,0),0)</f>
        <v>22000</v>
      </c>
      <c r="S26" s="773">
        <f t="shared" si="5"/>
        <v>0</v>
      </c>
      <c r="T26" s="855">
        <f t="shared" si="6"/>
        <v>0</v>
      </c>
      <c r="U26" s="26">
        <f>IF(AND($F26&gt;=MIN('Major Assumption Key'!$B$4),$F26&lt;=MAX('Major Assumption Key'!$B$6)),P26-I26,0)*-1</f>
        <v>0</v>
      </c>
      <c r="V26" s="38">
        <f>U26/(1+0.02)^($F26-'Major Assumption Key'!$B$7)</f>
        <v>0</v>
      </c>
      <c r="W26" s="26">
        <f t="shared" si="7"/>
        <v>0</v>
      </c>
      <c r="X26" s="38">
        <f>W26/(1+'Major Assumption Key'!$B$8)^($F26-'Major Assumption Key'!$B$7)</f>
        <v>0</v>
      </c>
      <c r="Y26" s="26">
        <f t="shared" si="8"/>
        <v>0</v>
      </c>
      <c r="Z26" s="38">
        <f t="shared" si="9"/>
        <v>0</v>
      </c>
      <c r="AA26" s="291"/>
      <c r="AB26" s="784">
        <f t="shared" si="10"/>
        <v>0</v>
      </c>
      <c r="AC26" s="855">
        <f t="shared" si="11"/>
        <v>0</v>
      </c>
      <c r="AD26" s="26">
        <f t="shared" si="12"/>
        <v>0</v>
      </c>
      <c r="AE26" s="38">
        <f t="shared" si="13"/>
        <v>0</v>
      </c>
    </row>
    <row r="27" spans="1:31" ht="19.95" customHeight="1">
      <c r="E27" s="767"/>
      <c r="F27" s="772">
        <f>'Major Assumption Key'!A39</f>
        <v>2040</v>
      </c>
      <c r="G27" s="925">
        <f>'Emissions and Fuel'!T315</f>
        <v>0</v>
      </c>
      <c r="H27" s="773">
        <f>IFERROR(_xlfn.XLOOKUP($F27,'BCA Guide - Parameter Values'!$B$82:$B$110,'BCA Guide - Parameter Values'!$F$82:$F$110,,0),"N/A")</f>
        <v>298.90389159336127</v>
      </c>
      <c r="I27" s="773">
        <f t="shared" si="1"/>
        <v>0</v>
      </c>
      <c r="J27" s="925">
        <f>$B$19*_xlfn.XLOOKUP($F27,'Auto Idling Supporting'!A:A,'Auto Idling Supporting'!E:E,,0)</f>
        <v>0</v>
      </c>
      <c r="K27" s="773">
        <f>IFERROR(_xlfn.XLOOKUP($F27,'BCA Guide - Parameter Values'!$B$82:$B$110,'BCA Guide - Parameter Values'!$C$82:$C$110,,0),0)</f>
        <v>22000</v>
      </c>
      <c r="L27" s="773">
        <f t="shared" si="2"/>
        <v>0</v>
      </c>
      <c r="M27" s="784">
        <f t="shared" si="3"/>
        <v>0</v>
      </c>
      <c r="N27" s="925">
        <f>'Emissions and Fuel'!U315</f>
        <v>0</v>
      </c>
      <c r="O27" s="773">
        <f>IFERROR(_xlfn.XLOOKUP($F27,'BCA Guide - Parameter Values'!$B$82:$B$110,'BCA Guide - Parameter Values'!$F$82:$F$110,,0),"N/A")</f>
        <v>298.90389159336127</v>
      </c>
      <c r="P27" s="773">
        <f t="shared" si="4"/>
        <v>0</v>
      </c>
      <c r="Q27" s="925">
        <f>$B$19*_xlfn.XLOOKUP($F27,'Auto Idling Supporting'!A:A,'Auto Idling Supporting'!H:H,,0)</f>
        <v>0</v>
      </c>
      <c r="R27" s="773">
        <f>IFERROR(_xlfn.XLOOKUP($F27,'BCA Guide - Parameter Values'!$B$82:$B$110,'BCA Guide - Parameter Values'!$C$82:$C$110,,0),0)</f>
        <v>22000</v>
      </c>
      <c r="S27" s="773">
        <f t="shared" si="5"/>
        <v>0</v>
      </c>
      <c r="T27" s="855">
        <f t="shared" si="6"/>
        <v>0</v>
      </c>
      <c r="U27" s="26">
        <f>IF(AND($F27&gt;=MIN('Major Assumption Key'!$B$4),$F27&lt;=MAX('Major Assumption Key'!$B$6)),P27-I27,0)*-1</f>
        <v>0</v>
      </c>
      <c r="V27" s="38">
        <f>U27/(1+0.02)^($F27-'Major Assumption Key'!$B$7)</f>
        <v>0</v>
      </c>
      <c r="W27" s="26">
        <f t="shared" si="7"/>
        <v>0</v>
      </c>
      <c r="X27" s="38">
        <f>W27/(1+'Major Assumption Key'!$B$8)^($F27-'Major Assumption Key'!$B$7)</f>
        <v>0</v>
      </c>
      <c r="Y27" s="26">
        <f t="shared" si="8"/>
        <v>0</v>
      </c>
      <c r="Z27" s="38">
        <f t="shared" si="9"/>
        <v>0</v>
      </c>
      <c r="AA27" s="291"/>
      <c r="AB27" s="784">
        <f t="shared" si="10"/>
        <v>0</v>
      </c>
      <c r="AC27" s="855">
        <f t="shared" si="11"/>
        <v>0</v>
      </c>
      <c r="AD27" s="26">
        <f t="shared" si="12"/>
        <v>0</v>
      </c>
      <c r="AE27" s="38">
        <f t="shared" si="13"/>
        <v>0</v>
      </c>
    </row>
    <row r="28" spans="1:31" ht="19.95" customHeight="1">
      <c r="E28" s="767"/>
      <c r="F28" s="772">
        <f>'Major Assumption Key'!A40</f>
        <v>2041</v>
      </c>
      <c r="G28" s="925">
        <f>'Emissions and Fuel'!T316</f>
        <v>0</v>
      </c>
      <c r="H28" s="773">
        <f>IFERROR(_xlfn.XLOOKUP($F28,'BCA Guide - Parameter Values'!$B$82:$B$110,'BCA Guide - Parameter Values'!$F$82:$F$110,,0),"N/A")</f>
        <v>303.38185251610821</v>
      </c>
      <c r="I28" s="773">
        <f t="shared" si="1"/>
        <v>0</v>
      </c>
      <c r="J28" s="925">
        <f>$B$19*_xlfn.XLOOKUP($F28,'Auto Idling Supporting'!A:A,'Auto Idling Supporting'!E:E,,0)</f>
        <v>0</v>
      </c>
      <c r="K28" s="773">
        <f>IFERROR(_xlfn.XLOOKUP($F28,'BCA Guide - Parameter Values'!$B$82:$B$110,'BCA Guide - Parameter Values'!$C$82:$C$110,,0),0)</f>
        <v>22000</v>
      </c>
      <c r="L28" s="773">
        <f t="shared" si="2"/>
        <v>0</v>
      </c>
      <c r="M28" s="784">
        <f t="shared" si="3"/>
        <v>0</v>
      </c>
      <c r="N28" s="925">
        <f>'Emissions and Fuel'!U316</f>
        <v>0</v>
      </c>
      <c r="O28" s="773">
        <f>IFERROR(_xlfn.XLOOKUP($F28,'BCA Guide - Parameter Values'!$B$82:$B$110,'BCA Guide - Parameter Values'!$F$82:$F$110,,0),"N/A")</f>
        <v>303.38185251610821</v>
      </c>
      <c r="P28" s="773">
        <f t="shared" si="4"/>
        <v>0</v>
      </c>
      <c r="Q28" s="925">
        <f>$B$19*_xlfn.XLOOKUP($F28,'Auto Idling Supporting'!A:A,'Auto Idling Supporting'!H:H,,0)</f>
        <v>0</v>
      </c>
      <c r="R28" s="773">
        <f>IFERROR(_xlfn.XLOOKUP($F28,'BCA Guide - Parameter Values'!$B$82:$B$110,'BCA Guide - Parameter Values'!$C$82:$C$110,,0),0)</f>
        <v>22000</v>
      </c>
      <c r="S28" s="773">
        <f t="shared" si="5"/>
        <v>0</v>
      </c>
      <c r="T28" s="855">
        <f t="shared" si="6"/>
        <v>0</v>
      </c>
      <c r="U28" s="26">
        <f>IF(AND($F28&gt;=MIN('Major Assumption Key'!$B$4),$F28&lt;=MAX('Major Assumption Key'!$B$6)),P28-I28,0)*-1</f>
        <v>0</v>
      </c>
      <c r="V28" s="38">
        <f>U28/(1+0.02)^($F28-'Major Assumption Key'!$B$7)</f>
        <v>0</v>
      </c>
      <c r="W28" s="26">
        <f t="shared" si="7"/>
        <v>0</v>
      </c>
      <c r="X28" s="38">
        <f>W28/(1+'Major Assumption Key'!$B$8)^($F28-'Major Assumption Key'!$B$7)</f>
        <v>0</v>
      </c>
      <c r="Y28" s="26">
        <f t="shared" si="8"/>
        <v>0</v>
      </c>
      <c r="Z28" s="38">
        <f t="shared" si="9"/>
        <v>0</v>
      </c>
      <c r="AA28" s="291"/>
      <c r="AB28" s="784">
        <f t="shared" si="10"/>
        <v>0</v>
      </c>
      <c r="AC28" s="855">
        <f t="shared" si="11"/>
        <v>0</v>
      </c>
      <c r="AD28" s="26">
        <f t="shared" si="12"/>
        <v>0</v>
      </c>
      <c r="AE28" s="38">
        <f t="shared" si="13"/>
        <v>0</v>
      </c>
    </row>
    <row r="29" spans="1:31" ht="19.95" customHeight="1">
      <c r="E29" s="767"/>
      <c r="F29" s="772">
        <f>'Major Assumption Key'!A41</f>
        <v>2042</v>
      </c>
      <c r="G29" s="925">
        <f>'Emissions and Fuel'!T317</f>
        <v>0</v>
      </c>
      <c r="H29" s="773">
        <f>IFERROR(_xlfn.XLOOKUP($F29,'BCA Guide - Parameter Values'!$B$82:$B$110,'BCA Guide - Parameter Values'!$F$82:$F$110,,0),"N/A")</f>
        <v>307.85981343885521</v>
      </c>
      <c r="I29" s="773">
        <f t="shared" si="1"/>
        <v>0</v>
      </c>
      <c r="J29" s="925">
        <f>$B$19*_xlfn.XLOOKUP($F29,'Auto Idling Supporting'!A:A,'Auto Idling Supporting'!E:E,,0)</f>
        <v>0</v>
      </c>
      <c r="K29" s="773">
        <f>IFERROR(_xlfn.XLOOKUP($F29,'BCA Guide - Parameter Values'!$B$82:$B$110,'BCA Guide - Parameter Values'!$C$82:$C$110,,0),0)</f>
        <v>22000</v>
      </c>
      <c r="L29" s="773">
        <f t="shared" si="2"/>
        <v>0</v>
      </c>
      <c r="M29" s="784">
        <f t="shared" si="3"/>
        <v>0</v>
      </c>
      <c r="N29" s="925">
        <f>'Emissions and Fuel'!U317</f>
        <v>0</v>
      </c>
      <c r="O29" s="773">
        <f>IFERROR(_xlfn.XLOOKUP($F29,'BCA Guide - Parameter Values'!$B$82:$B$110,'BCA Guide - Parameter Values'!$F$82:$F$110,,0),"N/A")</f>
        <v>307.85981343885521</v>
      </c>
      <c r="P29" s="773">
        <f t="shared" si="4"/>
        <v>0</v>
      </c>
      <c r="Q29" s="925">
        <f>$B$19*_xlfn.XLOOKUP($F29,'Auto Idling Supporting'!A:A,'Auto Idling Supporting'!H:H,,0)</f>
        <v>0</v>
      </c>
      <c r="R29" s="773">
        <f>IFERROR(_xlfn.XLOOKUP($F29,'BCA Guide - Parameter Values'!$B$82:$B$110,'BCA Guide - Parameter Values'!$C$82:$C$110,,0),0)</f>
        <v>22000</v>
      </c>
      <c r="S29" s="773">
        <f t="shared" si="5"/>
        <v>0</v>
      </c>
      <c r="T29" s="855">
        <f t="shared" si="6"/>
        <v>0</v>
      </c>
      <c r="U29" s="26">
        <f>IF(AND($F29&gt;=MIN('Major Assumption Key'!$B$4),$F29&lt;=MAX('Major Assumption Key'!$B$6)),P29-I29,0)*-1</f>
        <v>0</v>
      </c>
      <c r="V29" s="38">
        <f>U29/(1+0.02)^($F29-'Major Assumption Key'!$B$7)</f>
        <v>0</v>
      </c>
      <c r="W29" s="26">
        <f t="shared" si="7"/>
        <v>0</v>
      </c>
      <c r="X29" s="38">
        <f>W29/(1+'Major Assumption Key'!$B$8)^($F29-'Major Assumption Key'!$B$7)</f>
        <v>0</v>
      </c>
      <c r="Y29" s="26">
        <f t="shared" si="8"/>
        <v>0</v>
      </c>
      <c r="Z29" s="38">
        <f t="shared" si="9"/>
        <v>0</v>
      </c>
      <c r="AA29" s="291"/>
      <c r="AB29" s="784">
        <f t="shared" si="10"/>
        <v>0</v>
      </c>
      <c r="AC29" s="855">
        <f t="shared" si="11"/>
        <v>0</v>
      </c>
      <c r="AD29" s="26">
        <f t="shared" si="12"/>
        <v>0</v>
      </c>
      <c r="AE29" s="38">
        <f t="shared" si="13"/>
        <v>0</v>
      </c>
    </row>
    <row r="30" spans="1:31" ht="19.95" customHeight="1">
      <c r="E30" s="767"/>
      <c r="F30" s="772">
        <f>'Major Assumption Key'!A42</f>
        <v>2043</v>
      </c>
      <c r="G30" s="925">
        <f>'Emissions and Fuel'!T318</f>
        <v>0</v>
      </c>
      <c r="H30" s="773">
        <f>IFERROR(_xlfn.XLOOKUP($F30,'BCA Guide - Parameter Values'!$B$82:$B$110,'BCA Guide - Parameter Values'!$F$82:$F$110,,0),"N/A")</f>
        <v>312.33777436160221</v>
      </c>
      <c r="I30" s="773">
        <f t="shared" si="1"/>
        <v>0</v>
      </c>
      <c r="J30" s="925">
        <f>$B$19*_xlfn.XLOOKUP($F30,'Auto Idling Supporting'!A:A,'Auto Idling Supporting'!E:E,,0)</f>
        <v>0</v>
      </c>
      <c r="K30" s="773">
        <f>IFERROR(_xlfn.XLOOKUP($F30,'BCA Guide - Parameter Values'!$B$82:$B$110,'BCA Guide - Parameter Values'!$C$82:$C$110,,0),0)</f>
        <v>22000</v>
      </c>
      <c r="L30" s="773">
        <f t="shared" si="2"/>
        <v>0</v>
      </c>
      <c r="M30" s="784">
        <f t="shared" si="3"/>
        <v>0</v>
      </c>
      <c r="N30" s="925">
        <f>'Emissions and Fuel'!U318</f>
        <v>0</v>
      </c>
      <c r="O30" s="773">
        <f>IFERROR(_xlfn.XLOOKUP($F30,'BCA Guide - Parameter Values'!$B$82:$B$110,'BCA Guide - Parameter Values'!$F$82:$F$110,,0),"N/A")</f>
        <v>312.33777436160221</v>
      </c>
      <c r="P30" s="773">
        <f t="shared" si="4"/>
        <v>0</v>
      </c>
      <c r="Q30" s="925">
        <f>$B$19*_xlfn.XLOOKUP($F30,'Auto Idling Supporting'!A:A,'Auto Idling Supporting'!H:H,,0)</f>
        <v>0</v>
      </c>
      <c r="R30" s="773">
        <f>IFERROR(_xlfn.XLOOKUP($F30,'BCA Guide - Parameter Values'!$B$82:$B$110,'BCA Guide - Parameter Values'!$C$82:$C$110,,0),0)</f>
        <v>22000</v>
      </c>
      <c r="S30" s="773">
        <f t="shared" si="5"/>
        <v>0</v>
      </c>
      <c r="T30" s="855">
        <f t="shared" si="6"/>
        <v>0</v>
      </c>
      <c r="U30" s="26">
        <f>IF(AND($F30&gt;=MIN('Major Assumption Key'!$B$4),$F30&lt;=MAX('Major Assumption Key'!$B$6)),P30-I30,0)*-1</f>
        <v>0</v>
      </c>
      <c r="V30" s="38">
        <f>U30/(1+0.02)^($F30-'Major Assumption Key'!$B$7)</f>
        <v>0</v>
      </c>
      <c r="W30" s="26">
        <f t="shared" si="7"/>
        <v>0</v>
      </c>
      <c r="X30" s="38">
        <f>W30/(1+'Major Assumption Key'!$B$8)^($F30-'Major Assumption Key'!$B$7)</f>
        <v>0</v>
      </c>
      <c r="Y30" s="26">
        <f t="shared" si="8"/>
        <v>0</v>
      </c>
      <c r="Z30" s="38">
        <f t="shared" si="9"/>
        <v>0</v>
      </c>
      <c r="AA30" s="291"/>
      <c r="AB30" s="784">
        <f t="shared" si="10"/>
        <v>0</v>
      </c>
      <c r="AC30" s="855">
        <f t="shared" si="11"/>
        <v>0</v>
      </c>
      <c r="AD30" s="26">
        <f t="shared" si="12"/>
        <v>0</v>
      </c>
      <c r="AE30" s="38">
        <f t="shared" si="13"/>
        <v>0</v>
      </c>
    </row>
    <row r="31" spans="1:31" ht="19.95" customHeight="1">
      <c r="E31" s="767"/>
      <c r="F31" s="772">
        <f>'Major Assumption Key'!A43</f>
        <v>2044</v>
      </c>
      <c r="G31" s="925">
        <f>'Emissions and Fuel'!T319</f>
        <v>0</v>
      </c>
      <c r="H31" s="773">
        <f>IFERROR(_xlfn.XLOOKUP($F31,'BCA Guide - Parameter Values'!$B$82:$B$110,'BCA Guide - Parameter Values'!$F$82:$F$110,,0),"N/A")</f>
        <v>316.81573528434916</v>
      </c>
      <c r="I31" s="773">
        <f t="shared" si="1"/>
        <v>0</v>
      </c>
      <c r="J31" s="925">
        <f>$B$19*_xlfn.XLOOKUP($F31,'Auto Idling Supporting'!A:A,'Auto Idling Supporting'!E:E,,0)</f>
        <v>0</v>
      </c>
      <c r="K31" s="773">
        <f>IFERROR(_xlfn.XLOOKUP($F31,'BCA Guide - Parameter Values'!$B$82:$B$110,'BCA Guide - Parameter Values'!$C$82:$C$110,,0),0)</f>
        <v>22000</v>
      </c>
      <c r="L31" s="773">
        <f t="shared" si="2"/>
        <v>0</v>
      </c>
      <c r="M31" s="784">
        <f t="shared" si="3"/>
        <v>0</v>
      </c>
      <c r="N31" s="925">
        <f>'Emissions and Fuel'!U319</f>
        <v>0</v>
      </c>
      <c r="O31" s="773">
        <f>IFERROR(_xlfn.XLOOKUP($F31,'BCA Guide - Parameter Values'!$B$82:$B$110,'BCA Guide - Parameter Values'!$F$82:$F$110,,0),"N/A")</f>
        <v>316.81573528434916</v>
      </c>
      <c r="P31" s="773">
        <f t="shared" si="4"/>
        <v>0</v>
      </c>
      <c r="Q31" s="925">
        <f>$B$19*_xlfn.XLOOKUP($F31,'Auto Idling Supporting'!A:A,'Auto Idling Supporting'!H:H,,0)</f>
        <v>0</v>
      </c>
      <c r="R31" s="773">
        <f>IFERROR(_xlfn.XLOOKUP($F31,'BCA Guide - Parameter Values'!$B$82:$B$110,'BCA Guide - Parameter Values'!$C$82:$C$110,,0),0)</f>
        <v>22000</v>
      </c>
      <c r="S31" s="773">
        <f t="shared" si="5"/>
        <v>0</v>
      </c>
      <c r="T31" s="855">
        <f t="shared" si="6"/>
        <v>0</v>
      </c>
      <c r="U31" s="26">
        <f>IF(AND($F31&gt;=MIN('Major Assumption Key'!$B$4),$F31&lt;=MAX('Major Assumption Key'!$B$6)),P31-I31,0)*-1</f>
        <v>0</v>
      </c>
      <c r="V31" s="38">
        <f>U31/(1+0.02)^($F31-'Major Assumption Key'!$B$7)</f>
        <v>0</v>
      </c>
      <c r="W31" s="26">
        <f t="shared" si="7"/>
        <v>0</v>
      </c>
      <c r="X31" s="38">
        <f>W31/(1+'Major Assumption Key'!$B$8)^($F31-'Major Assumption Key'!$B$7)</f>
        <v>0</v>
      </c>
      <c r="Y31" s="26">
        <f t="shared" si="8"/>
        <v>0</v>
      </c>
      <c r="Z31" s="38">
        <f t="shared" si="9"/>
        <v>0</v>
      </c>
      <c r="AA31" s="291"/>
      <c r="AB31" s="784">
        <f t="shared" si="10"/>
        <v>0</v>
      </c>
      <c r="AC31" s="855">
        <f t="shared" si="11"/>
        <v>0</v>
      </c>
      <c r="AD31" s="26">
        <f t="shared" si="12"/>
        <v>0</v>
      </c>
      <c r="AE31" s="38">
        <f t="shared" si="13"/>
        <v>0</v>
      </c>
    </row>
    <row r="32" spans="1:31" ht="19.95" customHeight="1">
      <c r="F32" s="772">
        <f>'Major Assumption Key'!A44</f>
        <v>2045</v>
      </c>
      <c r="G32" s="925">
        <f>'Emissions and Fuel'!T320</f>
        <v>0</v>
      </c>
      <c r="H32" s="773">
        <f>IFERROR(_xlfn.XLOOKUP($F32,'BCA Guide - Parameter Values'!$B$82:$B$110,'BCA Guide - Parameter Values'!$F$82:$F$110,,0),"N/A")</f>
        <v>321.29369620709616</v>
      </c>
      <c r="I32" s="773">
        <f t="shared" si="1"/>
        <v>0</v>
      </c>
      <c r="J32" s="925">
        <f>$B$19*_xlfn.XLOOKUP($F32,'Auto Idling Supporting'!A:A,'Auto Idling Supporting'!E:E,,0)</f>
        <v>0</v>
      </c>
      <c r="K32" s="773">
        <f>IFERROR(_xlfn.XLOOKUP($F32,'BCA Guide - Parameter Values'!$B$82:$B$110,'BCA Guide - Parameter Values'!$C$82:$C$110,,0),0)</f>
        <v>22000</v>
      </c>
      <c r="L32" s="773">
        <f t="shared" si="2"/>
        <v>0</v>
      </c>
      <c r="M32" s="784">
        <f t="shared" si="3"/>
        <v>0</v>
      </c>
      <c r="N32" s="925">
        <f>'Emissions and Fuel'!U320</f>
        <v>0</v>
      </c>
      <c r="O32" s="773">
        <f>IFERROR(_xlfn.XLOOKUP($F32,'BCA Guide - Parameter Values'!$B$82:$B$110,'BCA Guide - Parameter Values'!$F$82:$F$110,,0),"N/A")</f>
        <v>321.29369620709616</v>
      </c>
      <c r="P32" s="773">
        <f t="shared" si="4"/>
        <v>0</v>
      </c>
      <c r="Q32" s="925">
        <f>$B$19*_xlfn.XLOOKUP($F32,'Auto Idling Supporting'!A:A,'Auto Idling Supporting'!H:H,,0)</f>
        <v>0</v>
      </c>
      <c r="R32" s="773">
        <f>IFERROR(_xlfn.XLOOKUP($F32,'BCA Guide - Parameter Values'!$B$82:$B$110,'BCA Guide - Parameter Values'!$C$82:$C$110,,0),0)</f>
        <v>22000</v>
      </c>
      <c r="S32" s="773">
        <f t="shared" si="5"/>
        <v>0</v>
      </c>
      <c r="T32" s="855">
        <f t="shared" si="6"/>
        <v>0</v>
      </c>
      <c r="U32" s="26">
        <f>IF(AND($F32&gt;=MIN('Major Assumption Key'!$B$4),$F32&lt;=MAX('Major Assumption Key'!$B$6)),P32-I32,0)*-1</f>
        <v>0</v>
      </c>
      <c r="V32" s="38">
        <f>U32/(1+0.02)^($F32-'Major Assumption Key'!$B$7)</f>
        <v>0</v>
      </c>
      <c r="W32" s="26">
        <f t="shared" si="7"/>
        <v>0</v>
      </c>
      <c r="X32" s="38">
        <f>W32/(1+'Major Assumption Key'!$B$8)^($F32-'Major Assumption Key'!$B$7)</f>
        <v>0</v>
      </c>
      <c r="Y32" s="26">
        <f t="shared" si="8"/>
        <v>0</v>
      </c>
      <c r="Z32" s="38">
        <f t="shared" si="9"/>
        <v>0</v>
      </c>
      <c r="AA32" s="291"/>
      <c r="AB32" s="784">
        <f t="shared" si="10"/>
        <v>0</v>
      </c>
      <c r="AC32" s="855">
        <f t="shared" si="11"/>
        <v>0</v>
      </c>
      <c r="AD32" s="26">
        <f t="shared" si="12"/>
        <v>0</v>
      </c>
      <c r="AE32" s="38">
        <f t="shared" si="13"/>
        <v>0</v>
      </c>
    </row>
    <row r="33" spans="6:31" ht="19.95" customHeight="1">
      <c r="F33" s="772">
        <f>'Major Assumption Key'!A45</f>
        <v>2046</v>
      </c>
      <c r="G33" s="925">
        <f>'Emissions and Fuel'!T321</f>
        <v>0</v>
      </c>
      <c r="H33" s="773">
        <f>IFERROR(_xlfn.XLOOKUP($F33,'BCA Guide - Parameter Values'!$B$82:$B$110,'BCA Guide - Parameter Values'!$F$82:$F$110,,0),"N/A")</f>
        <v>325.77165712984316</v>
      </c>
      <c r="I33" s="773">
        <f t="shared" si="1"/>
        <v>0</v>
      </c>
      <c r="J33" s="925">
        <f>$B$19*_xlfn.XLOOKUP($F33,'Auto Idling Supporting'!A:A,'Auto Idling Supporting'!E:E,,0)</f>
        <v>0</v>
      </c>
      <c r="K33" s="773">
        <f>IFERROR(_xlfn.XLOOKUP($F33,'BCA Guide - Parameter Values'!$B$82:$B$110,'BCA Guide - Parameter Values'!$C$82:$C$110,,0),0)</f>
        <v>22000</v>
      </c>
      <c r="L33" s="773">
        <f t="shared" si="2"/>
        <v>0</v>
      </c>
      <c r="M33" s="784">
        <f t="shared" si="3"/>
        <v>0</v>
      </c>
      <c r="N33" s="925">
        <f>'Emissions and Fuel'!U321</f>
        <v>0</v>
      </c>
      <c r="O33" s="773">
        <f>IFERROR(_xlfn.XLOOKUP($F33,'BCA Guide - Parameter Values'!$B$82:$B$110,'BCA Guide - Parameter Values'!$F$82:$F$110,,0),"N/A")</f>
        <v>325.77165712984316</v>
      </c>
      <c r="P33" s="773">
        <f t="shared" si="4"/>
        <v>0</v>
      </c>
      <c r="Q33" s="925">
        <f>$B$19*_xlfn.XLOOKUP($F33,'Auto Idling Supporting'!A:A,'Auto Idling Supporting'!H:H,,0)</f>
        <v>0</v>
      </c>
      <c r="R33" s="773">
        <f>IFERROR(_xlfn.XLOOKUP($F33,'BCA Guide - Parameter Values'!$B$82:$B$110,'BCA Guide - Parameter Values'!$C$82:$C$110,,0),0)</f>
        <v>22000</v>
      </c>
      <c r="S33" s="773">
        <f t="shared" si="5"/>
        <v>0</v>
      </c>
      <c r="T33" s="855">
        <f t="shared" si="6"/>
        <v>0</v>
      </c>
      <c r="U33" s="26">
        <f>IF(AND($F33&gt;=MIN('Major Assumption Key'!$B$4),$F33&lt;=MAX('Major Assumption Key'!$B$6)),P33-I33,0)*-1</f>
        <v>0</v>
      </c>
      <c r="V33" s="38">
        <f>U33/(1+0.02)^($F33-'Major Assumption Key'!$B$7)</f>
        <v>0</v>
      </c>
      <c r="W33" s="26">
        <f t="shared" si="7"/>
        <v>0</v>
      </c>
      <c r="X33" s="38">
        <f>W33/(1+'Major Assumption Key'!$B$8)^($F33-'Major Assumption Key'!$B$7)</f>
        <v>0</v>
      </c>
      <c r="Y33" s="26">
        <f t="shared" si="8"/>
        <v>0</v>
      </c>
      <c r="Z33" s="38">
        <f t="shared" si="9"/>
        <v>0</v>
      </c>
      <c r="AA33" s="291"/>
      <c r="AB33" s="784">
        <f t="shared" si="10"/>
        <v>0</v>
      </c>
      <c r="AC33" s="855">
        <f t="shared" si="11"/>
        <v>0</v>
      </c>
      <c r="AD33" s="26">
        <f t="shared" si="12"/>
        <v>0</v>
      </c>
      <c r="AE33" s="38">
        <f t="shared" si="13"/>
        <v>0</v>
      </c>
    </row>
    <row r="34" spans="6:31" ht="19.95" customHeight="1">
      <c r="F34" s="772">
        <f>'Major Assumption Key'!A46</f>
        <v>2047</v>
      </c>
      <c r="G34" s="925">
        <f>'Emissions and Fuel'!T322</f>
        <v>0</v>
      </c>
      <c r="H34" s="773">
        <f>IFERROR(_xlfn.XLOOKUP($F34,'BCA Guide - Parameter Values'!$B$82:$B$110,'BCA Guide - Parameter Values'!$F$82:$F$110,,0),"N/A")</f>
        <v>331.36910828327689</v>
      </c>
      <c r="I34" s="773">
        <f t="shared" si="1"/>
        <v>0</v>
      </c>
      <c r="J34" s="925">
        <f>$B$19*_xlfn.XLOOKUP($F34,'Auto Idling Supporting'!A:A,'Auto Idling Supporting'!E:E,,0)</f>
        <v>0</v>
      </c>
      <c r="K34" s="773">
        <f>IFERROR(_xlfn.XLOOKUP($F34,'BCA Guide - Parameter Values'!$B$82:$B$110,'BCA Guide - Parameter Values'!$C$82:$C$110,,0),0)</f>
        <v>22000</v>
      </c>
      <c r="L34" s="773">
        <f t="shared" si="2"/>
        <v>0</v>
      </c>
      <c r="M34" s="784">
        <f t="shared" si="3"/>
        <v>0</v>
      </c>
      <c r="N34" s="925">
        <f>'Emissions and Fuel'!U322</f>
        <v>0</v>
      </c>
      <c r="O34" s="773">
        <f>IFERROR(_xlfn.XLOOKUP($F34,'BCA Guide - Parameter Values'!$B$82:$B$110,'BCA Guide - Parameter Values'!$F$82:$F$110,,0),"N/A")</f>
        <v>331.36910828327689</v>
      </c>
      <c r="P34" s="773">
        <f t="shared" si="4"/>
        <v>0</v>
      </c>
      <c r="Q34" s="925">
        <f>$B$19*_xlfn.XLOOKUP($F34,'Auto Idling Supporting'!A:A,'Auto Idling Supporting'!H:H,,0)</f>
        <v>0</v>
      </c>
      <c r="R34" s="773">
        <f>IFERROR(_xlfn.XLOOKUP($F34,'BCA Guide - Parameter Values'!$B$82:$B$110,'BCA Guide - Parameter Values'!$C$82:$C$110,,0),0)</f>
        <v>22000</v>
      </c>
      <c r="S34" s="773">
        <f t="shared" si="5"/>
        <v>0</v>
      </c>
      <c r="T34" s="855">
        <f t="shared" si="6"/>
        <v>0</v>
      </c>
      <c r="U34" s="26">
        <f>IF(AND($F34&gt;=MIN('Major Assumption Key'!$B$4),$F34&lt;=MAX('Major Assumption Key'!$B$6)),P34-I34,0)*-1</f>
        <v>0</v>
      </c>
      <c r="V34" s="38">
        <f>U34/(1+0.02)^($F34-'Major Assumption Key'!$B$7)</f>
        <v>0</v>
      </c>
      <c r="W34" s="26">
        <f t="shared" si="7"/>
        <v>0</v>
      </c>
      <c r="X34" s="38">
        <f>W34/(1+'Major Assumption Key'!$B$8)^($F34-'Major Assumption Key'!$B$7)</f>
        <v>0</v>
      </c>
      <c r="Y34" s="26">
        <f t="shared" si="8"/>
        <v>0</v>
      </c>
      <c r="Z34" s="38">
        <f t="shared" si="9"/>
        <v>0</v>
      </c>
      <c r="AA34" s="291"/>
      <c r="AB34" s="784">
        <f t="shared" si="10"/>
        <v>0</v>
      </c>
      <c r="AC34" s="855">
        <f t="shared" si="11"/>
        <v>0</v>
      </c>
      <c r="AD34" s="26">
        <f t="shared" si="12"/>
        <v>0</v>
      </c>
      <c r="AE34" s="38">
        <f t="shared" si="13"/>
        <v>0</v>
      </c>
    </row>
    <row r="35" spans="6:31" ht="19.95" customHeight="1">
      <c r="F35" s="772">
        <f>'Major Assumption Key'!A47</f>
        <v>2048</v>
      </c>
      <c r="G35" s="925">
        <f>'Emissions and Fuel'!T323</f>
        <v>0</v>
      </c>
      <c r="H35" s="773">
        <f>IFERROR(_xlfn.XLOOKUP($F35,'BCA Guide - Parameter Values'!$B$82:$B$110,'BCA Guide - Parameter Values'!$F$82:$F$110,,0),"N/A")</f>
        <v>335.84706920602389</v>
      </c>
      <c r="I35" s="773">
        <f t="shared" si="1"/>
        <v>0</v>
      </c>
      <c r="J35" s="925">
        <f>$B$19*_xlfn.XLOOKUP($F35,'Auto Idling Supporting'!A:A,'Auto Idling Supporting'!E:E,,0)</f>
        <v>0</v>
      </c>
      <c r="K35" s="773">
        <f>IFERROR(_xlfn.XLOOKUP($F35,'BCA Guide - Parameter Values'!$B$82:$B$110,'BCA Guide - Parameter Values'!$C$82:$C$110,,0),0)</f>
        <v>22000</v>
      </c>
      <c r="L35" s="773">
        <f t="shared" si="2"/>
        <v>0</v>
      </c>
      <c r="M35" s="784">
        <f t="shared" si="3"/>
        <v>0</v>
      </c>
      <c r="N35" s="925">
        <f>'Emissions and Fuel'!U323</f>
        <v>0</v>
      </c>
      <c r="O35" s="773">
        <f>IFERROR(_xlfn.XLOOKUP($F35,'BCA Guide - Parameter Values'!$B$82:$B$110,'BCA Guide - Parameter Values'!$F$82:$F$110,,0),"N/A")</f>
        <v>335.84706920602389</v>
      </c>
      <c r="P35" s="773">
        <f t="shared" si="4"/>
        <v>0</v>
      </c>
      <c r="Q35" s="925">
        <f>$B$19*_xlfn.XLOOKUP($F35,'Auto Idling Supporting'!A:A,'Auto Idling Supporting'!H:H,,0)</f>
        <v>0</v>
      </c>
      <c r="R35" s="773">
        <f>IFERROR(_xlfn.XLOOKUP($F35,'BCA Guide - Parameter Values'!$B$82:$B$110,'BCA Guide - Parameter Values'!$C$82:$C$110,,0),0)</f>
        <v>22000</v>
      </c>
      <c r="S35" s="773">
        <f t="shared" si="5"/>
        <v>0</v>
      </c>
      <c r="T35" s="855">
        <f t="shared" si="6"/>
        <v>0</v>
      </c>
      <c r="U35" s="26">
        <f>IF(AND($F35&gt;=MIN('Major Assumption Key'!$B$4),$F35&lt;=MAX('Major Assumption Key'!$B$6)),P35-I35,0)*-1</f>
        <v>0</v>
      </c>
      <c r="V35" s="38">
        <f>U35/(1+0.02)^($F35-'Major Assumption Key'!$B$7)</f>
        <v>0</v>
      </c>
      <c r="W35" s="26">
        <f t="shared" si="7"/>
        <v>0</v>
      </c>
      <c r="X35" s="38">
        <f>W35/(1+'Major Assumption Key'!$B$8)^($F35-'Major Assumption Key'!$B$7)</f>
        <v>0</v>
      </c>
      <c r="Y35" s="26">
        <f t="shared" si="8"/>
        <v>0</v>
      </c>
      <c r="Z35" s="38">
        <f t="shared" si="9"/>
        <v>0</v>
      </c>
      <c r="AA35" s="291"/>
      <c r="AB35" s="784">
        <f t="shared" si="10"/>
        <v>0</v>
      </c>
      <c r="AC35" s="855">
        <f t="shared" si="11"/>
        <v>0</v>
      </c>
      <c r="AD35" s="26">
        <f t="shared" si="12"/>
        <v>0</v>
      </c>
      <c r="AE35" s="38">
        <f t="shared" si="13"/>
        <v>0</v>
      </c>
    </row>
    <row r="36" spans="6:31" ht="19.95" customHeight="1">
      <c r="F36" s="772">
        <f>'Major Assumption Key'!A48</f>
        <v>2049</v>
      </c>
      <c r="G36" s="925">
        <f>'Emissions and Fuel'!T324</f>
        <v>0</v>
      </c>
      <c r="H36" s="773">
        <f>IFERROR(_xlfn.XLOOKUP($F36,'BCA Guide - Parameter Values'!$B$82:$B$110,'BCA Guide - Parameter Values'!$F$82:$F$110,,0),"N/A")</f>
        <v>340.32503012877083</v>
      </c>
      <c r="I36" s="773">
        <f t="shared" si="1"/>
        <v>0</v>
      </c>
      <c r="J36" s="925">
        <f>$B$19*_xlfn.XLOOKUP($F36,'Auto Idling Supporting'!A:A,'Auto Idling Supporting'!E:E,,0)</f>
        <v>0</v>
      </c>
      <c r="K36" s="773">
        <f>IFERROR(_xlfn.XLOOKUP($F36,'BCA Guide - Parameter Values'!$B$82:$B$110,'BCA Guide - Parameter Values'!$C$82:$C$110,,0),0)</f>
        <v>22000</v>
      </c>
      <c r="L36" s="773">
        <f t="shared" si="2"/>
        <v>0</v>
      </c>
      <c r="M36" s="784">
        <f t="shared" si="3"/>
        <v>0</v>
      </c>
      <c r="N36" s="925">
        <f>'Emissions and Fuel'!U324</f>
        <v>0</v>
      </c>
      <c r="O36" s="773">
        <f>IFERROR(_xlfn.XLOOKUP($F36,'BCA Guide - Parameter Values'!$B$82:$B$110,'BCA Guide - Parameter Values'!$F$82:$F$110,,0),"N/A")</f>
        <v>340.32503012877083</v>
      </c>
      <c r="P36" s="773">
        <f t="shared" si="4"/>
        <v>0</v>
      </c>
      <c r="Q36" s="925">
        <f>$B$19*_xlfn.XLOOKUP($F36,'Auto Idling Supporting'!A:A,'Auto Idling Supporting'!H:H,,0)</f>
        <v>0</v>
      </c>
      <c r="R36" s="773">
        <f>IFERROR(_xlfn.XLOOKUP($F36,'BCA Guide - Parameter Values'!$B$82:$B$110,'BCA Guide - Parameter Values'!$C$82:$C$110,,0),0)</f>
        <v>22000</v>
      </c>
      <c r="S36" s="773">
        <f t="shared" si="5"/>
        <v>0</v>
      </c>
      <c r="T36" s="855">
        <f t="shared" si="6"/>
        <v>0</v>
      </c>
      <c r="U36" s="26">
        <f>IF(AND($F36&gt;=MIN('Major Assumption Key'!$B$4),$F36&lt;=MAX('Major Assumption Key'!$B$6)),P36-I36,0)*-1</f>
        <v>0</v>
      </c>
      <c r="V36" s="38">
        <f>U36/(1+0.02)^($F36-'Major Assumption Key'!$B$7)</f>
        <v>0</v>
      </c>
      <c r="W36" s="26">
        <f t="shared" si="7"/>
        <v>0</v>
      </c>
      <c r="X36" s="38">
        <f>W36/(1+'Major Assumption Key'!$B$8)^($F36-'Major Assumption Key'!$B$7)</f>
        <v>0</v>
      </c>
      <c r="Y36" s="26">
        <f t="shared" si="8"/>
        <v>0</v>
      </c>
      <c r="Z36" s="38">
        <f t="shared" si="9"/>
        <v>0</v>
      </c>
      <c r="AA36" s="291"/>
      <c r="AB36" s="784">
        <f t="shared" si="10"/>
        <v>0</v>
      </c>
      <c r="AC36" s="855">
        <f t="shared" si="11"/>
        <v>0</v>
      </c>
      <c r="AD36" s="26">
        <f t="shared" si="12"/>
        <v>0</v>
      </c>
      <c r="AE36" s="38">
        <f t="shared" si="13"/>
        <v>0</v>
      </c>
    </row>
    <row r="37" spans="6:31" ht="19.95" customHeight="1">
      <c r="F37" s="772">
        <f>'Major Assumption Key'!A49</f>
        <v>2050</v>
      </c>
      <c r="G37" s="925">
        <f>'Emissions and Fuel'!T325</f>
        <v>0</v>
      </c>
      <c r="H37" s="773">
        <f>IFERROR(_xlfn.XLOOKUP($F37,'BCA Guide - Parameter Values'!$B$82:$B$110,'BCA Guide - Parameter Values'!$F$82:$F$110,,0),"N/A")</f>
        <v>344.80299105151784</v>
      </c>
      <c r="I37" s="773">
        <f t="shared" si="1"/>
        <v>0</v>
      </c>
      <c r="J37" s="925">
        <f>$B$19*_xlfn.XLOOKUP($F37,'Auto Idling Supporting'!A:A,'Auto Idling Supporting'!E:E,,0)</f>
        <v>0</v>
      </c>
      <c r="K37" s="773">
        <f>IFERROR(_xlfn.XLOOKUP($F37,'BCA Guide - Parameter Values'!$B$82:$B$110,'BCA Guide - Parameter Values'!$C$82:$C$110,,0),0)</f>
        <v>22000</v>
      </c>
      <c r="L37" s="773">
        <f t="shared" si="2"/>
        <v>0</v>
      </c>
      <c r="M37" s="784">
        <f t="shared" si="3"/>
        <v>0</v>
      </c>
      <c r="N37" s="925">
        <f>'Emissions and Fuel'!U325</f>
        <v>0</v>
      </c>
      <c r="O37" s="773">
        <f>IFERROR(_xlfn.XLOOKUP($F37,'BCA Guide - Parameter Values'!$B$82:$B$110,'BCA Guide - Parameter Values'!$F$82:$F$110,,0),"N/A")</f>
        <v>344.80299105151784</v>
      </c>
      <c r="P37" s="773">
        <f t="shared" si="4"/>
        <v>0</v>
      </c>
      <c r="Q37" s="925">
        <f>$B$19*_xlfn.XLOOKUP($F37,'Auto Idling Supporting'!A:A,'Auto Idling Supporting'!H:H,,0)</f>
        <v>0</v>
      </c>
      <c r="R37" s="773">
        <f>IFERROR(_xlfn.XLOOKUP($F37,'BCA Guide - Parameter Values'!$B$82:$B$110,'BCA Guide - Parameter Values'!$C$82:$C$110,,0),0)</f>
        <v>22000</v>
      </c>
      <c r="S37" s="773">
        <f t="shared" si="5"/>
        <v>0</v>
      </c>
      <c r="T37" s="855">
        <f t="shared" si="6"/>
        <v>0</v>
      </c>
      <c r="U37" s="26">
        <f>IF(AND($F37&gt;=MIN('Major Assumption Key'!$B$4),$F37&lt;=MAX('Major Assumption Key'!$B$6)),P37-I37,0)*-1</f>
        <v>0</v>
      </c>
      <c r="V37" s="38">
        <f>U37/(1+0.02)^($F37-'Major Assumption Key'!$B$7)</f>
        <v>0</v>
      </c>
      <c r="W37" s="26">
        <f t="shared" si="7"/>
        <v>0</v>
      </c>
      <c r="X37" s="38">
        <f>W37/(1+'Major Assumption Key'!$B$8)^($F37-'Major Assumption Key'!$B$7)</f>
        <v>0</v>
      </c>
      <c r="Y37" s="26">
        <f t="shared" si="8"/>
        <v>0</v>
      </c>
      <c r="Z37" s="38">
        <f t="shared" si="9"/>
        <v>0</v>
      </c>
      <c r="AA37" s="291"/>
      <c r="AB37" s="784">
        <f t="shared" si="10"/>
        <v>0</v>
      </c>
      <c r="AC37" s="855">
        <f t="shared" si="11"/>
        <v>0</v>
      </c>
      <c r="AD37" s="26">
        <f t="shared" si="12"/>
        <v>0</v>
      </c>
      <c r="AE37" s="38">
        <f t="shared" si="13"/>
        <v>0</v>
      </c>
    </row>
    <row r="38" spans="6:31" ht="19.95" customHeight="1">
      <c r="F38" s="772">
        <f>'Major Assumption Key'!A50</f>
        <v>2051</v>
      </c>
      <c r="G38" s="925">
        <f>'Emissions and Fuel'!T326</f>
        <v>0</v>
      </c>
      <c r="H38" s="773">
        <f>IFERROR(_xlfn.XLOOKUP($F38,'BCA Guide - Parameter Values'!$B$82:$B$110,'BCA Guide - Parameter Values'!$F$82:$F$110,,0),"N/A")</f>
        <v>349.28095197426484</v>
      </c>
      <c r="I38" s="773">
        <f t="shared" si="1"/>
        <v>0</v>
      </c>
      <c r="J38" s="925">
        <f>$B$19*_xlfn.XLOOKUP($F38,'Auto Idling Supporting'!A:A,'Auto Idling Supporting'!E:E,,0)</f>
        <v>0</v>
      </c>
      <c r="K38" s="773">
        <f>IFERROR(_xlfn.XLOOKUP($F38,'BCA Guide - Parameter Values'!$B$82:$B$110,'BCA Guide - Parameter Values'!$C$82:$C$110,,0),0)</f>
        <v>22000</v>
      </c>
      <c r="L38" s="773">
        <f t="shared" si="2"/>
        <v>0</v>
      </c>
      <c r="M38" s="784">
        <f t="shared" si="3"/>
        <v>0</v>
      </c>
      <c r="N38" s="925">
        <f>'Emissions and Fuel'!U326</f>
        <v>0</v>
      </c>
      <c r="O38" s="773">
        <f>IFERROR(_xlfn.XLOOKUP($F38,'BCA Guide - Parameter Values'!$B$82:$B$110,'BCA Guide - Parameter Values'!$F$82:$F$110,,0),"N/A")</f>
        <v>349.28095197426484</v>
      </c>
      <c r="P38" s="773">
        <f t="shared" si="4"/>
        <v>0</v>
      </c>
      <c r="Q38" s="925">
        <f>$B$19*_xlfn.XLOOKUP($F38,'Auto Idling Supporting'!A:A,'Auto Idling Supporting'!H:H,,0)</f>
        <v>0</v>
      </c>
      <c r="R38" s="773">
        <f>IFERROR(_xlfn.XLOOKUP($F38,'BCA Guide - Parameter Values'!$B$82:$B$110,'BCA Guide - Parameter Values'!$C$82:$C$110,,0),0)</f>
        <v>22000</v>
      </c>
      <c r="S38" s="773">
        <f t="shared" si="5"/>
        <v>0</v>
      </c>
      <c r="T38" s="855">
        <f t="shared" si="6"/>
        <v>0</v>
      </c>
      <c r="U38" s="26">
        <f>IF(AND($F38&gt;=MIN('Major Assumption Key'!$B$4),$F38&lt;=MAX('Major Assumption Key'!$B$6)),P38-I38,0)*-1</f>
        <v>0</v>
      </c>
      <c r="V38" s="38">
        <f>U38/(1+0.02)^($F38-'Major Assumption Key'!$B$7)</f>
        <v>0</v>
      </c>
      <c r="W38" s="26">
        <f t="shared" si="7"/>
        <v>0</v>
      </c>
      <c r="X38" s="38">
        <f>W38/(1+'Major Assumption Key'!$B$8)^($F38-'Major Assumption Key'!$B$7)</f>
        <v>0</v>
      </c>
      <c r="Y38" s="26">
        <f t="shared" si="8"/>
        <v>0</v>
      </c>
      <c r="Z38" s="38">
        <f t="shared" si="9"/>
        <v>0</v>
      </c>
      <c r="AA38" s="291"/>
      <c r="AB38" s="784">
        <f t="shared" si="10"/>
        <v>0</v>
      </c>
      <c r="AC38" s="855">
        <f t="shared" si="11"/>
        <v>0</v>
      </c>
      <c r="AD38" s="26">
        <f t="shared" si="12"/>
        <v>0</v>
      </c>
      <c r="AE38" s="38">
        <f t="shared" si="13"/>
        <v>0</v>
      </c>
    </row>
    <row r="39" spans="6:31" ht="19.95" customHeight="1">
      <c r="F39" s="772">
        <f>'Major Assumption Key'!A51</f>
        <v>2052</v>
      </c>
      <c r="G39" s="925">
        <f>'Emissions and Fuel'!T327</f>
        <v>0</v>
      </c>
      <c r="H39" s="773" t="str">
        <f>IFERROR(_xlfn.XLOOKUP($F39,'BCA Guide - Parameter Values'!$B$82:$B$110,'BCA Guide - Parameter Values'!$F$82:$F$110,,0),"N/A")</f>
        <v>N/A</v>
      </c>
      <c r="I39" s="773">
        <f t="shared" si="1"/>
        <v>0</v>
      </c>
      <c r="J39" s="925">
        <f>$B$19*_xlfn.XLOOKUP($F39,'Auto Idling Supporting'!A:A,'Auto Idling Supporting'!E:E,,0)</f>
        <v>0</v>
      </c>
      <c r="K39" s="773">
        <f>IFERROR(_xlfn.XLOOKUP($F39,'BCA Guide - Parameter Values'!$B$82:$B$110,'BCA Guide - Parameter Values'!$C$82:$C$110,,0),0)</f>
        <v>0</v>
      </c>
      <c r="L39" s="773">
        <f t="shared" si="2"/>
        <v>0</v>
      </c>
      <c r="M39" s="784">
        <f t="shared" si="3"/>
        <v>0</v>
      </c>
      <c r="N39" s="925">
        <f>'Emissions and Fuel'!U327</f>
        <v>0</v>
      </c>
      <c r="O39" s="773" t="str">
        <f>IFERROR(_xlfn.XLOOKUP($F39,'BCA Guide - Parameter Values'!$B$82:$B$110,'BCA Guide - Parameter Values'!$F$82:$F$110,,0),"N/A")</f>
        <v>N/A</v>
      </c>
      <c r="P39" s="773">
        <f t="shared" si="4"/>
        <v>0</v>
      </c>
      <c r="Q39" s="925">
        <f>$B$19*_xlfn.XLOOKUP($F39,'Auto Idling Supporting'!A:A,'Auto Idling Supporting'!H:H,,0)</f>
        <v>0</v>
      </c>
      <c r="R39" s="773">
        <f>IFERROR(_xlfn.XLOOKUP($F39,'BCA Guide - Parameter Values'!$B$82:$B$110,'BCA Guide - Parameter Values'!$C$82:$C$110,,0),0)</f>
        <v>0</v>
      </c>
      <c r="S39" s="773">
        <f t="shared" si="5"/>
        <v>0</v>
      </c>
      <c r="T39" s="855">
        <f t="shared" si="6"/>
        <v>0</v>
      </c>
      <c r="U39" s="26">
        <f>IF(AND($F39&gt;=MIN('Major Assumption Key'!$B$4),$F39&lt;=MAX('Major Assumption Key'!$B$6)),P39-I39,0)*-1</f>
        <v>0</v>
      </c>
      <c r="V39" s="38">
        <f>U39/(1+0.02)^($F39-'Major Assumption Key'!$B$7)</f>
        <v>0</v>
      </c>
      <c r="W39" s="26">
        <f t="shared" si="7"/>
        <v>0</v>
      </c>
      <c r="X39" s="38">
        <f>W39/(1+'Major Assumption Key'!$B$8)^($F39-'Major Assumption Key'!$B$7)</f>
        <v>0</v>
      </c>
      <c r="Y39" s="26">
        <f t="shared" si="8"/>
        <v>0</v>
      </c>
      <c r="Z39" s="38">
        <f t="shared" si="9"/>
        <v>0</v>
      </c>
      <c r="AA39" s="291"/>
      <c r="AB39" s="784">
        <f t="shared" si="10"/>
        <v>0</v>
      </c>
      <c r="AC39" s="855">
        <f t="shared" si="11"/>
        <v>0</v>
      </c>
      <c r="AD39" s="26">
        <f t="shared" si="12"/>
        <v>0</v>
      </c>
      <c r="AE39" s="38">
        <f t="shared" si="13"/>
        <v>0</v>
      </c>
    </row>
    <row r="40" spans="6:31" ht="19.95" customHeight="1">
      <c r="F40" s="772">
        <f>'Major Assumption Key'!A52</f>
        <v>2053</v>
      </c>
      <c r="G40" s="925">
        <f>'Emissions and Fuel'!T328</f>
        <v>0</v>
      </c>
      <c r="H40" s="773" t="str">
        <f>IFERROR(_xlfn.XLOOKUP($F40,'BCA Guide - Parameter Values'!$B$82:$B$110,'BCA Guide - Parameter Values'!$F$82:$F$110,,0),"N/A")</f>
        <v>N/A</v>
      </c>
      <c r="I40" s="773">
        <f t="shared" si="1"/>
        <v>0</v>
      </c>
      <c r="J40" s="925">
        <f>$B$19*_xlfn.XLOOKUP($F40,'Auto Idling Supporting'!A:A,'Auto Idling Supporting'!E:E,,0)</f>
        <v>0</v>
      </c>
      <c r="K40" s="773">
        <f>IFERROR(_xlfn.XLOOKUP($F40,'BCA Guide - Parameter Values'!$B$82:$B$110,'BCA Guide - Parameter Values'!$C$82:$C$110,,0),0)</f>
        <v>0</v>
      </c>
      <c r="L40" s="773">
        <f t="shared" si="2"/>
        <v>0</v>
      </c>
      <c r="M40" s="784">
        <f t="shared" si="3"/>
        <v>0</v>
      </c>
      <c r="N40" s="925">
        <f>'Emissions and Fuel'!U328</f>
        <v>0</v>
      </c>
      <c r="O40" s="773" t="str">
        <f>IFERROR(_xlfn.XLOOKUP($F40,'BCA Guide - Parameter Values'!$B$82:$B$110,'BCA Guide - Parameter Values'!$F$82:$F$110,,0),"N/A")</f>
        <v>N/A</v>
      </c>
      <c r="P40" s="773">
        <f t="shared" si="4"/>
        <v>0</v>
      </c>
      <c r="Q40" s="925">
        <f>$B$19*_xlfn.XLOOKUP($F40,'Auto Idling Supporting'!A:A,'Auto Idling Supporting'!H:H,,0)</f>
        <v>0</v>
      </c>
      <c r="R40" s="773">
        <f>IFERROR(_xlfn.XLOOKUP($F40,'BCA Guide - Parameter Values'!$B$82:$B$110,'BCA Guide - Parameter Values'!$C$82:$C$110,,0),0)</f>
        <v>0</v>
      </c>
      <c r="S40" s="773">
        <f t="shared" si="5"/>
        <v>0</v>
      </c>
      <c r="T40" s="855">
        <f t="shared" si="6"/>
        <v>0</v>
      </c>
      <c r="U40" s="26">
        <f>IF(AND($F40&gt;=MIN('Major Assumption Key'!$B$4),$F40&lt;=MAX('Major Assumption Key'!$B$6)),P40-I40,0)*-1</f>
        <v>0</v>
      </c>
      <c r="V40" s="38">
        <f>U40/(1+0.02)^($F40-'Major Assumption Key'!$B$7)</f>
        <v>0</v>
      </c>
      <c r="W40" s="26">
        <f t="shared" si="7"/>
        <v>0</v>
      </c>
      <c r="X40" s="38">
        <f>W40/(1+'Major Assumption Key'!$B$8)^($F40-'Major Assumption Key'!$B$7)</f>
        <v>0</v>
      </c>
      <c r="Y40" s="26">
        <f t="shared" si="8"/>
        <v>0</v>
      </c>
      <c r="Z40" s="38">
        <f t="shared" si="9"/>
        <v>0</v>
      </c>
      <c r="AA40" s="291"/>
      <c r="AB40" s="784">
        <f t="shared" si="10"/>
        <v>0</v>
      </c>
      <c r="AC40" s="855">
        <f t="shared" si="11"/>
        <v>0</v>
      </c>
      <c r="AD40" s="26">
        <f t="shared" si="12"/>
        <v>0</v>
      </c>
      <c r="AE40" s="38">
        <f t="shared" si="13"/>
        <v>0</v>
      </c>
    </row>
    <row r="41" spans="6:31" ht="19.95" customHeight="1">
      <c r="F41" s="772">
        <f>'Major Assumption Key'!A53</f>
        <v>2054</v>
      </c>
      <c r="G41" s="925">
        <f>'Emissions and Fuel'!T329</f>
        <v>0</v>
      </c>
      <c r="H41" s="773" t="str">
        <f>IFERROR(_xlfn.XLOOKUP($F41,'BCA Guide - Parameter Values'!$B$82:$B$110,'BCA Guide - Parameter Values'!$F$82:$F$110,,0),"N/A")</f>
        <v>N/A</v>
      </c>
      <c r="I41" s="773">
        <f t="shared" si="1"/>
        <v>0</v>
      </c>
      <c r="J41" s="925">
        <f>$B$19*_xlfn.XLOOKUP($F41,'Auto Idling Supporting'!A:A,'Auto Idling Supporting'!E:E,,0)</f>
        <v>0</v>
      </c>
      <c r="K41" s="773">
        <f>IFERROR(_xlfn.XLOOKUP($F41,'BCA Guide - Parameter Values'!$B$82:$B$110,'BCA Guide - Parameter Values'!$C$82:$C$110,,0),0)</f>
        <v>0</v>
      </c>
      <c r="L41" s="773">
        <f t="shared" si="2"/>
        <v>0</v>
      </c>
      <c r="M41" s="784">
        <f t="shared" si="3"/>
        <v>0</v>
      </c>
      <c r="N41" s="925">
        <f>'Emissions and Fuel'!U329</f>
        <v>0</v>
      </c>
      <c r="O41" s="773" t="str">
        <f>IFERROR(_xlfn.XLOOKUP($F41,'BCA Guide - Parameter Values'!$B$82:$B$110,'BCA Guide - Parameter Values'!$F$82:$F$110,,0),"N/A")</f>
        <v>N/A</v>
      </c>
      <c r="P41" s="773">
        <f t="shared" si="4"/>
        <v>0</v>
      </c>
      <c r="Q41" s="925">
        <f>$B$19*_xlfn.XLOOKUP($F41,'Auto Idling Supporting'!A:A,'Auto Idling Supporting'!H:H,,0)</f>
        <v>0</v>
      </c>
      <c r="R41" s="773">
        <f>IFERROR(_xlfn.XLOOKUP($F41,'BCA Guide - Parameter Values'!$B$82:$B$110,'BCA Guide - Parameter Values'!$C$82:$C$110,,0),0)</f>
        <v>0</v>
      </c>
      <c r="S41" s="773">
        <f t="shared" si="5"/>
        <v>0</v>
      </c>
      <c r="T41" s="855">
        <f t="shared" si="6"/>
        <v>0</v>
      </c>
      <c r="U41" s="26">
        <f>IF(AND($F41&gt;=MIN('Major Assumption Key'!$B$4),$F41&lt;=MAX('Major Assumption Key'!$B$6)),P41-I41,0)*-1</f>
        <v>0</v>
      </c>
      <c r="V41" s="38">
        <f>U41/(1+0.02)^($F41-'Major Assumption Key'!$B$7)</f>
        <v>0</v>
      </c>
      <c r="W41" s="26">
        <f t="shared" si="7"/>
        <v>0</v>
      </c>
      <c r="X41" s="38">
        <f>W41/(1+'Major Assumption Key'!$B$8)^($F41-'Major Assumption Key'!$B$7)</f>
        <v>0</v>
      </c>
      <c r="Y41" s="26">
        <f t="shared" si="8"/>
        <v>0</v>
      </c>
      <c r="Z41" s="38">
        <f t="shared" si="9"/>
        <v>0</v>
      </c>
      <c r="AA41" s="291"/>
      <c r="AB41" s="784">
        <f t="shared" si="10"/>
        <v>0</v>
      </c>
      <c r="AC41" s="855">
        <f t="shared" si="11"/>
        <v>0</v>
      </c>
      <c r="AD41" s="26">
        <f t="shared" si="12"/>
        <v>0</v>
      </c>
      <c r="AE41" s="38">
        <f t="shared" si="13"/>
        <v>0</v>
      </c>
    </row>
    <row r="42" spans="6:31" ht="19.95" customHeight="1">
      <c r="F42" s="772">
        <f>'Major Assumption Key'!A54</f>
        <v>2055</v>
      </c>
      <c r="G42" s="925">
        <f>'Emissions and Fuel'!T330</f>
        <v>0</v>
      </c>
      <c r="H42" s="773" t="str">
        <f>IFERROR(_xlfn.XLOOKUP($F42,'BCA Guide - Parameter Values'!$B$82:$B$110,'BCA Guide - Parameter Values'!$F$82:$F$110,,0),"N/A")</f>
        <v>N/A</v>
      </c>
      <c r="I42" s="773">
        <f t="shared" si="1"/>
        <v>0</v>
      </c>
      <c r="J42" s="925">
        <f>$B$19*_xlfn.XLOOKUP($F42,'Auto Idling Supporting'!A:A,'Auto Idling Supporting'!E:E,,0)</f>
        <v>0</v>
      </c>
      <c r="K42" s="773">
        <f>IFERROR(_xlfn.XLOOKUP($F42,'BCA Guide - Parameter Values'!$B$82:$B$110,'BCA Guide - Parameter Values'!$C$82:$C$110,,0),0)</f>
        <v>0</v>
      </c>
      <c r="L42" s="773">
        <f t="shared" si="2"/>
        <v>0</v>
      </c>
      <c r="M42" s="784">
        <f t="shared" si="3"/>
        <v>0</v>
      </c>
      <c r="N42" s="925">
        <f>'Emissions and Fuel'!U330</f>
        <v>0</v>
      </c>
      <c r="O42" s="773" t="str">
        <f>IFERROR(_xlfn.XLOOKUP($F42,'BCA Guide - Parameter Values'!$B$82:$B$110,'BCA Guide - Parameter Values'!$F$82:$F$110,,0),"N/A")</f>
        <v>N/A</v>
      </c>
      <c r="P42" s="773">
        <f t="shared" si="4"/>
        <v>0</v>
      </c>
      <c r="Q42" s="925">
        <f>$B$19*_xlfn.XLOOKUP($F42,'Auto Idling Supporting'!A:A,'Auto Idling Supporting'!H:H,,0)</f>
        <v>0</v>
      </c>
      <c r="R42" s="773">
        <f>IFERROR(_xlfn.XLOOKUP($F42,'BCA Guide - Parameter Values'!$B$82:$B$110,'BCA Guide - Parameter Values'!$C$82:$C$110,,0),0)</f>
        <v>0</v>
      </c>
      <c r="S42" s="773">
        <f t="shared" si="5"/>
        <v>0</v>
      </c>
      <c r="T42" s="855">
        <f t="shared" si="6"/>
        <v>0</v>
      </c>
      <c r="U42" s="26">
        <f>IF(AND($F42&gt;=MIN('Major Assumption Key'!$B$4),$F42&lt;=MAX('Major Assumption Key'!$B$6)),P42-I42,0)*-1</f>
        <v>0</v>
      </c>
      <c r="V42" s="38">
        <f>U42/(1+0.02)^($F42-'Major Assumption Key'!$B$7)</f>
        <v>0</v>
      </c>
      <c r="W42" s="26">
        <f t="shared" si="7"/>
        <v>0</v>
      </c>
      <c r="X42" s="38">
        <f>W42/(1+'Major Assumption Key'!$B$8)^($F42-'Major Assumption Key'!$B$7)</f>
        <v>0</v>
      </c>
      <c r="Y42" s="26">
        <f t="shared" si="8"/>
        <v>0</v>
      </c>
      <c r="Z42" s="38">
        <f t="shared" si="9"/>
        <v>0</v>
      </c>
      <c r="AA42" s="291"/>
      <c r="AB42" s="784">
        <f t="shared" si="10"/>
        <v>0</v>
      </c>
      <c r="AC42" s="855">
        <f t="shared" si="11"/>
        <v>0</v>
      </c>
      <c r="AD42" s="26">
        <f t="shared" si="12"/>
        <v>0</v>
      </c>
      <c r="AE42" s="38">
        <f t="shared" si="13"/>
        <v>0</v>
      </c>
    </row>
    <row r="43" spans="6:31" ht="19.95" customHeight="1">
      <c r="F43" s="772">
        <f>'Major Assumption Key'!A55</f>
        <v>2056</v>
      </c>
      <c r="G43" s="925">
        <f>'Emissions and Fuel'!T331</f>
        <v>0</v>
      </c>
      <c r="H43" s="773" t="str">
        <f>IFERROR(_xlfn.XLOOKUP($F43,'BCA Guide - Parameter Values'!$B$82:$B$110,'BCA Guide - Parameter Values'!$F$82:$F$110,,0),"N/A")</f>
        <v>N/A</v>
      </c>
      <c r="I43" s="773">
        <f t="shared" si="1"/>
        <v>0</v>
      </c>
      <c r="J43" s="925">
        <f>$B$19*_xlfn.XLOOKUP($F43,'Auto Idling Supporting'!A:A,'Auto Idling Supporting'!E:E,,0)</f>
        <v>0</v>
      </c>
      <c r="K43" s="773">
        <f>IFERROR(_xlfn.XLOOKUP($F43,'BCA Guide - Parameter Values'!$B$82:$B$110,'BCA Guide - Parameter Values'!$C$82:$C$110,,0),0)</f>
        <v>0</v>
      </c>
      <c r="L43" s="773">
        <f t="shared" si="2"/>
        <v>0</v>
      </c>
      <c r="M43" s="784">
        <f t="shared" si="3"/>
        <v>0</v>
      </c>
      <c r="N43" s="925">
        <f>'Emissions and Fuel'!U331</f>
        <v>0</v>
      </c>
      <c r="O43" s="773" t="str">
        <f>IFERROR(_xlfn.XLOOKUP($F43,'BCA Guide - Parameter Values'!$B$82:$B$110,'BCA Guide - Parameter Values'!$F$82:$F$110,,0),"N/A")</f>
        <v>N/A</v>
      </c>
      <c r="P43" s="773">
        <f t="shared" si="4"/>
        <v>0</v>
      </c>
      <c r="Q43" s="925">
        <f>$B$19*_xlfn.XLOOKUP($F43,'Auto Idling Supporting'!A:A,'Auto Idling Supporting'!H:H,,0)</f>
        <v>0</v>
      </c>
      <c r="R43" s="773">
        <f>IFERROR(_xlfn.XLOOKUP($F43,'BCA Guide - Parameter Values'!$B$82:$B$110,'BCA Guide - Parameter Values'!$C$82:$C$110,,0),0)</f>
        <v>0</v>
      </c>
      <c r="S43" s="773">
        <f t="shared" si="5"/>
        <v>0</v>
      </c>
      <c r="T43" s="855">
        <f t="shared" si="6"/>
        <v>0</v>
      </c>
      <c r="U43" s="26">
        <f>IF(AND($F43&gt;=MIN('Major Assumption Key'!$B$4),$F43&lt;=MAX('Major Assumption Key'!$B$6)),P43-I43,0)*-1</f>
        <v>0</v>
      </c>
      <c r="V43" s="38">
        <f>U43/(1+0.02)^($F43-'Major Assumption Key'!$B$7)</f>
        <v>0</v>
      </c>
      <c r="W43" s="26">
        <f t="shared" si="7"/>
        <v>0</v>
      </c>
      <c r="X43" s="38">
        <f>W43/(1+'Major Assumption Key'!$B$8)^($F43-'Major Assumption Key'!$B$7)</f>
        <v>0</v>
      </c>
      <c r="Y43" s="26">
        <f t="shared" si="8"/>
        <v>0</v>
      </c>
      <c r="Z43" s="38">
        <f t="shared" si="9"/>
        <v>0</v>
      </c>
      <c r="AA43" s="291"/>
      <c r="AB43" s="784">
        <f t="shared" si="10"/>
        <v>0</v>
      </c>
      <c r="AC43" s="855">
        <f t="shared" si="11"/>
        <v>0</v>
      </c>
      <c r="AD43" s="26">
        <f t="shared" si="12"/>
        <v>0</v>
      </c>
      <c r="AE43" s="38">
        <f t="shared" si="13"/>
        <v>0</v>
      </c>
    </row>
    <row r="44" spans="6:31" ht="19.95" customHeight="1">
      <c r="F44" s="772">
        <f>'Major Assumption Key'!A56</f>
        <v>2057</v>
      </c>
      <c r="G44" s="925">
        <f>'Emissions and Fuel'!T332</f>
        <v>0</v>
      </c>
      <c r="H44" s="773" t="str">
        <f>IFERROR(_xlfn.XLOOKUP($F44,'BCA Guide - Parameter Values'!$B$82:$B$110,'BCA Guide - Parameter Values'!$F$82:$F$110,,0),"N/A")</f>
        <v>N/A</v>
      </c>
      <c r="I44" s="773">
        <f t="shared" si="1"/>
        <v>0</v>
      </c>
      <c r="J44" s="925">
        <f>$B$19*_xlfn.XLOOKUP($F44,'Auto Idling Supporting'!A:A,'Auto Idling Supporting'!E:E,,0)</f>
        <v>0</v>
      </c>
      <c r="K44" s="773">
        <f>IFERROR(_xlfn.XLOOKUP($F44,'BCA Guide - Parameter Values'!$B$82:$B$110,'BCA Guide - Parameter Values'!$C$82:$C$110,,0),0)</f>
        <v>0</v>
      </c>
      <c r="L44" s="773">
        <f t="shared" si="2"/>
        <v>0</v>
      </c>
      <c r="M44" s="784">
        <f t="shared" si="3"/>
        <v>0</v>
      </c>
      <c r="N44" s="925">
        <f>'Emissions and Fuel'!U332</f>
        <v>0</v>
      </c>
      <c r="O44" s="773" t="str">
        <f>IFERROR(_xlfn.XLOOKUP($F44,'BCA Guide - Parameter Values'!$B$82:$B$110,'BCA Guide - Parameter Values'!$F$82:$F$110,,0),"N/A")</f>
        <v>N/A</v>
      </c>
      <c r="P44" s="773">
        <f t="shared" si="4"/>
        <v>0</v>
      </c>
      <c r="Q44" s="925">
        <f>$B$19*_xlfn.XLOOKUP($F44,'Auto Idling Supporting'!A:A,'Auto Idling Supporting'!H:H,,0)</f>
        <v>0</v>
      </c>
      <c r="R44" s="773">
        <f>IFERROR(_xlfn.XLOOKUP($F44,'BCA Guide - Parameter Values'!$B$82:$B$110,'BCA Guide - Parameter Values'!$C$82:$C$110,,0),0)</f>
        <v>0</v>
      </c>
      <c r="S44" s="773">
        <f t="shared" si="5"/>
        <v>0</v>
      </c>
      <c r="T44" s="855">
        <f t="shared" si="6"/>
        <v>0</v>
      </c>
      <c r="U44" s="26">
        <f>IF(AND($F44&gt;=MIN('Major Assumption Key'!$B$4),$F44&lt;=MAX('Major Assumption Key'!$B$6)),P44-I44,0)*-1</f>
        <v>0</v>
      </c>
      <c r="V44" s="38">
        <f>U44/(1+0.02)^($F44-'Major Assumption Key'!$B$7)</f>
        <v>0</v>
      </c>
      <c r="W44" s="26">
        <f t="shared" si="7"/>
        <v>0</v>
      </c>
      <c r="X44" s="38">
        <f>W44/(1+'Major Assumption Key'!$B$8)^($F44-'Major Assumption Key'!$B$7)</f>
        <v>0</v>
      </c>
      <c r="Y44" s="26">
        <f t="shared" si="8"/>
        <v>0</v>
      </c>
      <c r="Z44" s="38">
        <f t="shared" si="9"/>
        <v>0</v>
      </c>
      <c r="AA44" s="291"/>
      <c r="AB44" s="784">
        <f t="shared" si="10"/>
        <v>0</v>
      </c>
      <c r="AC44" s="855">
        <f t="shared" si="11"/>
        <v>0</v>
      </c>
      <c r="AD44" s="26">
        <f t="shared" si="12"/>
        <v>0</v>
      </c>
      <c r="AE44" s="38">
        <f t="shared" si="13"/>
        <v>0</v>
      </c>
    </row>
    <row r="45" spans="6:31" ht="19.95" customHeight="1">
      <c r="F45" s="772">
        <f>'Major Assumption Key'!A57</f>
        <v>2058</v>
      </c>
      <c r="G45" s="925">
        <f>'Emissions and Fuel'!T333</f>
        <v>0</v>
      </c>
      <c r="H45" s="773" t="str">
        <f>IFERROR(_xlfn.XLOOKUP($F45,'BCA Guide - Parameter Values'!$B$82:$B$110,'BCA Guide - Parameter Values'!$F$82:$F$110,,0),"N/A")</f>
        <v>N/A</v>
      </c>
      <c r="I45" s="773">
        <f t="shared" si="1"/>
        <v>0</v>
      </c>
      <c r="J45" s="925">
        <f>$B$19*_xlfn.XLOOKUP($F45,'Auto Idling Supporting'!A:A,'Auto Idling Supporting'!E:E,,0)</f>
        <v>0</v>
      </c>
      <c r="K45" s="773">
        <f>IFERROR(_xlfn.XLOOKUP($F45,'BCA Guide - Parameter Values'!$B$82:$B$110,'BCA Guide - Parameter Values'!$C$82:$C$110,,0),0)</f>
        <v>0</v>
      </c>
      <c r="L45" s="773">
        <f t="shared" si="2"/>
        <v>0</v>
      </c>
      <c r="M45" s="784">
        <f t="shared" si="3"/>
        <v>0</v>
      </c>
      <c r="N45" s="925">
        <f>'Emissions and Fuel'!U333</f>
        <v>0</v>
      </c>
      <c r="O45" s="773" t="str">
        <f>IFERROR(_xlfn.XLOOKUP($F45,'BCA Guide - Parameter Values'!$B$82:$B$110,'BCA Guide - Parameter Values'!$F$82:$F$110,,0),"N/A")</f>
        <v>N/A</v>
      </c>
      <c r="P45" s="773">
        <f t="shared" si="4"/>
        <v>0</v>
      </c>
      <c r="Q45" s="925">
        <f>$B$19*_xlfn.XLOOKUP($F45,'Auto Idling Supporting'!A:A,'Auto Idling Supporting'!H:H,,0)</f>
        <v>0</v>
      </c>
      <c r="R45" s="773">
        <f>IFERROR(_xlfn.XLOOKUP($F45,'BCA Guide - Parameter Values'!$B$82:$B$110,'BCA Guide - Parameter Values'!$C$82:$C$110,,0),0)</f>
        <v>0</v>
      </c>
      <c r="S45" s="773">
        <f t="shared" si="5"/>
        <v>0</v>
      </c>
      <c r="T45" s="855">
        <f t="shared" si="6"/>
        <v>0</v>
      </c>
      <c r="U45" s="26">
        <f>IF(AND($F45&gt;=MIN('Major Assumption Key'!$B$4),$F45&lt;=MAX('Major Assumption Key'!$B$6)),P45-I45,0)*-1</f>
        <v>0</v>
      </c>
      <c r="V45" s="38">
        <f>U45/(1+0.02)^($F45-'Major Assumption Key'!$B$7)</f>
        <v>0</v>
      </c>
      <c r="W45" s="26">
        <f t="shared" si="7"/>
        <v>0</v>
      </c>
      <c r="X45" s="38">
        <f>W45/(1+'Major Assumption Key'!$B$8)^($F45-'Major Assumption Key'!$B$7)</f>
        <v>0</v>
      </c>
      <c r="Y45" s="26">
        <f t="shared" si="8"/>
        <v>0</v>
      </c>
      <c r="Z45" s="38">
        <f t="shared" si="9"/>
        <v>0</v>
      </c>
      <c r="AA45" s="291"/>
      <c r="AB45" s="784">
        <f t="shared" si="10"/>
        <v>0</v>
      </c>
      <c r="AC45" s="855">
        <f t="shared" si="11"/>
        <v>0</v>
      </c>
      <c r="AD45" s="26">
        <f t="shared" si="12"/>
        <v>0</v>
      </c>
      <c r="AE45" s="38">
        <f t="shared" si="13"/>
        <v>0</v>
      </c>
    </row>
    <row r="46" spans="6:31" ht="19.95" customHeight="1">
      <c r="F46" s="772">
        <f>'Major Assumption Key'!A58</f>
        <v>2059</v>
      </c>
      <c r="G46" s="925">
        <f>'Emissions and Fuel'!T334</f>
        <v>0</v>
      </c>
      <c r="H46" s="773" t="str">
        <f>IFERROR(_xlfn.XLOOKUP($F46,'BCA Guide - Parameter Values'!$B$82:$B$110,'BCA Guide - Parameter Values'!$F$82:$F$110,,0),"N/A")</f>
        <v>N/A</v>
      </c>
      <c r="I46" s="773">
        <f t="shared" si="1"/>
        <v>0</v>
      </c>
      <c r="J46" s="925">
        <f>$B$19*_xlfn.XLOOKUP($F46,'Auto Idling Supporting'!A:A,'Auto Idling Supporting'!E:E,,0)</f>
        <v>0</v>
      </c>
      <c r="K46" s="773">
        <f>IFERROR(_xlfn.XLOOKUP($F46,'BCA Guide - Parameter Values'!$B$82:$B$110,'BCA Guide - Parameter Values'!$C$82:$C$110,,0),0)</f>
        <v>0</v>
      </c>
      <c r="L46" s="773">
        <f t="shared" si="2"/>
        <v>0</v>
      </c>
      <c r="M46" s="784">
        <f t="shared" si="3"/>
        <v>0</v>
      </c>
      <c r="N46" s="925">
        <f>'Emissions and Fuel'!U334</f>
        <v>0</v>
      </c>
      <c r="O46" s="773" t="str">
        <f>IFERROR(_xlfn.XLOOKUP($F46,'BCA Guide - Parameter Values'!$B$82:$B$110,'BCA Guide - Parameter Values'!$F$82:$F$110,,0),"N/A")</f>
        <v>N/A</v>
      </c>
      <c r="P46" s="773">
        <f t="shared" si="4"/>
        <v>0</v>
      </c>
      <c r="Q46" s="925">
        <f>$B$19*_xlfn.XLOOKUP($F46,'Auto Idling Supporting'!A:A,'Auto Idling Supporting'!H:H,,0)</f>
        <v>0</v>
      </c>
      <c r="R46" s="773">
        <f>IFERROR(_xlfn.XLOOKUP($F46,'BCA Guide - Parameter Values'!$B$82:$B$110,'BCA Guide - Parameter Values'!$C$82:$C$110,,0),0)</f>
        <v>0</v>
      </c>
      <c r="S46" s="773">
        <f t="shared" si="5"/>
        <v>0</v>
      </c>
      <c r="T46" s="855">
        <f t="shared" si="6"/>
        <v>0</v>
      </c>
      <c r="U46" s="26">
        <f>IF(AND($F46&gt;=MIN('Major Assumption Key'!$B$4),$F46&lt;=MAX('Major Assumption Key'!$B$6)),P46-I46,0)*-1</f>
        <v>0</v>
      </c>
      <c r="V46" s="38">
        <f>U46/(1+0.02)^($F46-'Major Assumption Key'!$B$7)</f>
        <v>0</v>
      </c>
      <c r="W46" s="26">
        <f t="shared" si="7"/>
        <v>0</v>
      </c>
      <c r="X46" s="38">
        <f>W46/(1+'Major Assumption Key'!$B$8)^($F46-'Major Assumption Key'!$B$7)</f>
        <v>0</v>
      </c>
      <c r="Y46" s="26">
        <f t="shared" si="8"/>
        <v>0</v>
      </c>
      <c r="Z46" s="38">
        <f t="shared" si="9"/>
        <v>0</v>
      </c>
      <c r="AA46" s="291"/>
      <c r="AB46" s="784">
        <f t="shared" si="10"/>
        <v>0</v>
      </c>
      <c r="AC46" s="855">
        <f t="shared" si="11"/>
        <v>0</v>
      </c>
      <c r="AD46" s="26">
        <f t="shared" si="12"/>
        <v>0</v>
      </c>
      <c r="AE46" s="38">
        <f t="shared" si="13"/>
        <v>0</v>
      </c>
    </row>
    <row r="47" spans="6:31" ht="19.95" customHeight="1" thickBot="1">
      <c r="F47" s="772">
        <f>'Major Assumption Key'!A59</f>
        <v>2060</v>
      </c>
      <c r="G47" s="925">
        <f>'Emissions and Fuel'!T335</f>
        <v>0</v>
      </c>
      <c r="H47" s="773" t="str">
        <f>IFERROR(_xlfn.XLOOKUP($F47,'BCA Guide - Parameter Values'!$B$82:$B$110,'BCA Guide - Parameter Values'!$F$82:$F$110,,0),"N/A")</f>
        <v>N/A</v>
      </c>
      <c r="I47" s="773">
        <f t="shared" ref="I47" si="14">IFERROR(H47*G47,0)</f>
        <v>0</v>
      </c>
      <c r="J47" s="925">
        <f>$B$19*_xlfn.XLOOKUP($F47,'Auto Idling Supporting'!A:A,'Auto Idling Supporting'!E:E,,0)</f>
        <v>0</v>
      </c>
      <c r="K47" s="773">
        <f>IFERROR(_xlfn.XLOOKUP($F47,'BCA Guide - Parameter Values'!$B$82:$B$110,'BCA Guide - Parameter Values'!$C$82:$C$110,,0),0)</f>
        <v>0</v>
      </c>
      <c r="L47" s="773">
        <f t="shared" ref="L47" si="15">K47*J47</f>
        <v>0</v>
      </c>
      <c r="M47" s="784">
        <f>IF(AND($F47&gt;=$B$16,$F47&lt;=$B$18),L47+I47,0)</f>
        <v>0</v>
      </c>
      <c r="N47" s="925">
        <f>'Emissions and Fuel'!U335</f>
        <v>0</v>
      </c>
      <c r="O47" s="773" t="str">
        <f>IFERROR(_xlfn.XLOOKUP($F47,'BCA Guide - Parameter Values'!$B$82:$B$110,'BCA Guide - Parameter Values'!$F$82:$F$110,,0),"N/A")</f>
        <v>N/A</v>
      </c>
      <c r="P47" s="773">
        <f t="shared" si="4"/>
        <v>0</v>
      </c>
      <c r="Q47" s="925">
        <f>$B$19*_xlfn.XLOOKUP($F47,'Auto Idling Supporting'!A:A,'Auto Idling Supporting'!H:H,,0)</f>
        <v>0</v>
      </c>
      <c r="R47" s="773">
        <f>IFERROR(_xlfn.XLOOKUP($F47,'BCA Guide - Parameter Values'!$B$82:$B$110,'BCA Guide - Parameter Values'!$C$82:$C$110,,0),0)</f>
        <v>0</v>
      </c>
      <c r="S47" s="773">
        <f t="shared" ref="S47" si="16">R47*Q47</f>
        <v>0</v>
      </c>
      <c r="T47" s="855">
        <f t="shared" si="6"/>
        <v>0</v>
      </c>
      <c r="U47" s="26">
        <f>IF(AND($F47&gt;=MIN('Major Assumption Key'!$B$4),$F47&lt;=MAX('Major Assumption Key'!$B$6)),P47-I47,0)*-1</f>
        <v>0</v>
      </c>
      <c r="V47" s="38">
        <f>U47/(1+0.02)^($F47-'Major Assumption Key'!$B$7)</f>
        <v>0</v>
      </c>
      <c r="W47" s="26">
        <f t="shared" si="7"/>
        <v>0</v>
      </c>
      <c r="X47" s="38">
        <f>W47/(1+'Major Assumption Key'!$B$8)^($F47-'Major Assumption Key'!$B$7)</f>
        <v>0</v>
      </c>
      <c r="Y47" s="26">
        <f t="shared" ref="Y47" si="17">U47+W47</f>
        <v>0</v>
      </c>
      <c r="Z47" s="38">
        <f t="shared" ref="Z47" si="18">V47+X47</f>
        <v>0</v>
      </c>
      <c r="AA47" s="291"/>
      <c r="AB47" s="784">
        <f t="shared" si="10"/>
        <v>0</v>
      </c>
      <c r="AC47" s="855">
        <f t="shared" si="11"/>
        <v>0</v>
      </c>
      <c r="AD47" s="26">
        <f t="shared" si="12"/>
        <v>0</v>
      </c>
      <c r="AE47" s="38">
        <f t="shared" si="13"/>
        <v>0</v>
      </c>
    </row>
    <row r="48" spans="6:31" ht="19.95" customHeight="1" thickTop="1" thickBot="1">
      <c r="F48" s="115" t="s">
        <v>504</v>
      </c>
      <c r="G48" s="281"/>
      <c r="H48" s="281"/>
      <c r="I48" s="116"/>
      <c r="J48" s="116"/>
      <c r="K48" s="116"/>
      <c r="L48" s="116"/>
      <c r="M48" s="118">
        <f>SUMIFS($M$7:$M$47,$F$7:$F$47,"&gt;="&amp;$B$17,$F$7:$F$47,"&lt;="&amp;$B$18)</f>
        <v>0</v>
      </c>
      <c r="N48" s="281"/>
      <c r="O48" s="281"/>
      <c r="P48" s="116"/>
      <c r="Q48" s="116"/>
      <c r="R48" s="116"/>
      <c r="S48" s="116"/>
      <c r="T48" s="117">
        <f>SUMIFS($T$7:$T$47,$F$7:$F$47,"&gt;="&amp;$B$17,$F$7:$F$47,"&lt;="&amp;$B$18)</f>
        <v>0</v>
      </c>
      <c r="U48" s="20">
        <f>SUMIFS($U$7:$U$47,$F$7:$F$47,"&gt;="&amp;$B$17,$F$7:$F$47,"&lt;="&amp;$B$18)</f>
        <v>0</v>
      </c>
      <c r="V48" s="20">
        <f>SUMIFS($V$7:$V$47,$F$7:$F$47,"&gt;="&amp;$B$17,$F$7:$F$47,"&lt;="&amp;$B$18)</f>
        <v>0</v>
      </c>
      <c r="W48" s="20">
        <f>SUMIFS($W$7:$W$47,$F$7:$F$47,"&gt;="&amp;$B$17,$F$7:$F$47,"&lt;="&amp;$B$18)</f>
        <v>0</v>
      </c>
      <c r="X48" s="20">
        <f>SUMIFS($X$7:$X$47,$F$7:$F$47,"&gt;="&amp;$B$17,$F$7:$F$47,"&lt;="&amp;$B$18)</f>
        <v>0</v>
      </c>
      <c r="Y48" s="19">
        <f>SUMIFS($Y$7:$Y$47,$F$7:$F$47,"&gt;="&amp;$B$17,$F$7:$F$47,"&lt;="&amp;$B$18)</f>
        <v>0</v>
      </c>
      <c r="Z48" s="20">
        <f>SUMIFS($Z$7:$Z$47,$F$7:$F$47,"&gt;="&amp;$B$17,$F$7:$F$47,"&lt;="&amp;$B$18)</f>
        <v>0</v>
      </c>
      <c r="AA48" s="291"/>
      <c r="AB48" s="118">
        <f>ROUND(M48,-3)</f>
        <v>0</v>
      </c>
      <c r="AC48" s="119">
        <f>ROUND(T48,-3)</f>
        <v>0</v>
      </c>
      <c r="AD48" s="19">
        <f>ROUND(Y48,-3)</f>
        <v>0</v>
      </c>
      <c r="AE48" s="20">
        <f>ROUND(Z48,-3)</f>
        <v>0</v>
      </c>
    </row>
    <row r="49" spans="13:37" ht="19.95" customHeight="1">
      <c r="M49" s="51"/>
    </row>
    <row r="50" spans="13:37" ht="19.95" customHeight="1">
      <c r="N50" s="13"/>
      <c r="O50" s="13"/>
      <c r="P50" s="13"/>
      <c r="Q50" s="13"/>
      <c r="R50" s="13"/>
      <c r="S50" s="13"/>
      <c r="T50" s="13"/>
      <c r="U50" s="13"/>
      <c r="V50" s="13"/>
      <c r="W50" s="13"/>
      <c r="X50" s="13"/>
      <c r="Y50" s="13"/>
      <c r="Z50" s="13"/>
    </row>
    <row r="51" spans="13:37" ht="19.95" customHeight="1">
      <c r="N51" s="13"/>
      <c r="O51" s="13"/>
      <c r="P51" s="13"/>
      <c r="Q51" s="13"/>
      <c r="R51" s="13"/>
      <c r="S51" s="13"/>
      <c r="T51" s="13"/>
      <c r="U51" s="13"/>
      <c r="V51" s="13"/>
      <c r="W51" s="13"/>
      <c r="X51" s="13"/>
      <c r="Y51" s="13"/>
      <c r="Z51" s="13"/>
      <c r="AA51"/>
      <c r="AD51" s="13"/>
      <c r="AE51" s="13"/>
      <c r="AF51" s="13"/>
      <c r="AG51" s="13"/>
      <c r="AH51" s="13"/>
      <c r="AI51" s="13"/>
      <c r="AJ51" s="13"/>
      <c r="AK51" s="13"/>
    </row>
    <row r="52" spans="13:37" ht="19.95" customHeight="1">
      <c r="N52" s="13"/>
      <c r="O52" s="13"/>
      <c r="P52" s="13"/>
      <c r="Q52" s="13"/>
      <c r="R52" s="13"/>
      <c r="S52" s="13"/>
      <c r="T52" s="13"/>
      <c r="U52" s="13"/>
      <c r="V52" s="13"/>
      <c r="W52" s="13"/>
      <c r="X52" s="13"/>
      <c r="Y52" s="13"/>
      <c r="Z52" s="13"/>
      <c r="AA52"/>
      <c r="AD52" s="13"/>
      <c r="AE52" s="13"/>
      <c r="AF52" s="13"/>
      <c r="AG52" s="13"/>
      <c r="AH52" s="13"/>
      <c r="AI52" s="13"/>
      <c r="AJ52" s="13"/>
      <c r="AK52" s="13"/>
    </row>
    <row r="53" spans="13:37" ht="19.95" customHeight="1">
      <c r="N53" s="13"/>
      <c r="O53" s="13"/>
      <c r="P53" s="13"/>
      <c r="Q53" s="13"/>
      <c r="R53" s="13"/>
      <c r="S53" s="13"/>
      <c r="T53" s="13"/>
      <c r="U53" s="13"/>
      <c r="V53" s="13"/>
      <c r="W53" s="13"/>
      <c r="X53" s="13"/>
      <c r="Y53" s="13"/>
      <c r="Z53" s="13"/>
      <c r="AA53"/>
      <c r="AD53" s="13"/>
      <c r="AE53" s="13"/>
      <c r="AF53" s="13"/>
      <c r="AG53" s="13"/>
      <c r="AH53" s="13"/>
      <c r="AI53" s="13"/>
      <c r="AJ53" s="13"/>
      <c r="AK53" s="13"/>
    </row>
    <row r="54" spans="13:37" ht="19.95" customHeight="1">
      <c r="N54" s="13"/>
      <c r="O54" s="13"/>
      <c r="P54" s="13"/>
      <c r="Q54" s="13"/>
      <c r="R54" s="13"/>
      <c r="S54" s="13"/>
      <c r="T54" s="13"/>
      <c r="U54" s="13"/>
      <c r="V54" s="13"/>
      <c r="W54" s="13"/>
      <c r="X54" s="13"/>
      <c r="Y54" s="13"/>
      <c r="Z54" s="13"/>
      <c r="AA54"/>
      <c r="AD54" s="13"/>
      <c r="AE54" s="13"/>
      <c r="AF54" s="13"/>
      <c r="AG54" s="13"/>
      <c r="AH54" s="13"/>
      <c r="AI54" s="13"/>
      <c r="AJ54" s="13"/>
      <c r="AK54" s="13"/>
    </row>
    <row r="55" spans="13:37" ht="19.95" customHeight="1">
      <c r="N55" s="13"/>
      <c r="O55" s="13"/>
      <c r="P55" s="13"/>
      <c r="Q55" s="13"/>
      <c r="R55" s="13"/>
      <c r="S55" s="13"/>
      <c r="T55" s="13"/>
      <c r="U55" s="13"/>
      <c r="V55" s="13"/>
      <c r="W55" s="13"/>
      <c r="X55" s="13"/>
      <c r="Y55" s="13"/>
      <c r="Z55" s="13"/>
      <c r="AA55"/>
      <c r="AD55" s="13"/>
      <c r="AE55" s="13"/>
      <c r="AF55" s="13"/>
      <c r="AG55" s="13"/>
      <c r="AH55" s="13"/>
      <c r="AI55" s="13"/>
      <c r="AJ55" s="13"/>
      <c r="AK55" s="13"/>
    </row>
    <row r="56" spans="13:37">
      <c r="N56" s="13"/>
      <c r="O56" s="13"/>
      <c r="P56" s="13"/>
      <c r="Q56" s="13"/>
      <c r="R56" s="13"/>
      <c r="S56" s="13"/>
      <c r="T56" s="13"/>
      <c r="U56" s="13"/>
      <c r="V56" s="13"/>
      <c r="W56" s="13"/>
      <c r="X56" s="13"/>
      <c r="Y56" s="13"/>
      <c r="Z56" s="13"/>
      <c r="AA56"/>
      <c r="AD56" s="13"/>
      <c r="AE56" s="13"/>
      <c r="AF56" s="13"/>
      <c r="AG56" s="13"/>
      <c r="AH56" s="13"/>
      <c r="AI56" s="13"/>
      <c r="AJ56" s="13"/>
      <c r="AK56" s="13"/>
    </row>
    <row r="57" spans="13:37">
      <c r="N57" s="13"/>
      <c r="O57" s="13"/>
      <c r="P57" s="13"/>
      <c r="Q57" s="13"/>
      <c r="R57" s="13"/>
      <c r="S57" s="13"/>
      <c r="T57" s="13"/>
      <c r="U57" s="13"/>
      <c r="V57" s="13"/>
      <c r="W57" s="13"/>
      <c r="X57" s="13"/>
      <c r="Y57" s="13"/>
      <c r="Z57" s="13"/>
      <c r="AA57"/>
      <c r="AD57" s="13"/>
      <c r="AE57" s="13"/>
      <c r="AF57" s="13"/>
      <c r="AG57" s="13"/>
      <c r="AH57" s="13"/>
      <c r="AI57" s="13"/>
      <c r="AJ57" s="13"/>
      <c r="AK57" s="13"/>
    </row>
    <row r="58" spans="13:37">
      <c r="N58" s="13"/>
      <c r="O58" s="13"/>
      <c r="P58" s="13"/>
      <c r="Q58" s="13"/>
      <c r="R58" s="13"/>
      <c r="S58" s="13"/>
      <c r="T58" s="13"/>
      <c r="U58" s="13"/>
      <c r="V58" s="13"/>
      <c r="W58" s="13"/>
      <c r="X58" s="13"/>
      <c r="Y58" s="13"/>
      <c r="Z58" s="13"/>
      <c r="AA58"/>
      <c r="AD58" s="13"/>
      <c r="AE58" s="13"/>
      <c r="AF58" s="13"/>
      <c r="AG58" s="13"/>
      <c r="AH58" s="13"/>
      <c r="AI58" s="13"/>
      <c r="AJ58" s="13"/>
      <c r="AK58" s="13"/>
    </row>
    <row r="59" spans="13:37">
      <c r="N59" s="13"/>
      <c r="O59" s="13"/>
      <c r="P59" s="13"/>
      <c r="Q59" s="13"/>
      <c r="R59" s="13"/>
      <c r="S59" s="13"/>
      <c r="T59" s="13"/>
      <c r="U59" s="13"/>
      <c r="V59" s="13"/>
      <c r="W59" s="13"/>
      <c r="X59" s="13"/>
      <c r="Y59" s="13"/>
      <c r="Z59" s="13"/>
      <c r="AA59"/>
      <c r="AD59" s="13"/>
      <c r="AE59" s="13"/>
      <c r="AF59" s="13"/>
      <c r="AG59" s="13"/>
      <c r="AH59" s="13"/>
      <c r="AI59" s="13"/>
      <c r="AJ59" s="13"/>
      <c r="AK59" s="13"/>
    </row>
    <row r="60" spans="13:37">
      <c r="N60" s="13"/>
      <c r="O60" s="13"/>
      <c r="P60" s="13"/>
      <c r="Q60" s="13"/>
      <c r="R60" s="13"/>
      <c r="S60" s="13"/>
      <c r="T60" s="13"/>
      <c r="U60" s="13"/>
      <c r="V60" s="13"/>
      <c r="W60" s="13"/>
      <c r="X60" s="13"/>
      <c r="Y60" s="13"/>
      <c r="Z60" s="13"/>
      <c r="AA60"/>
      <c r="AD60" s="13"/>
      <c r="AE60" s="13"/>
      <c r="AF60" s="13"/>
      <c r="AG60" s="13"/>
      <c r="AH60" s="13"/>
      <c r="AI60" s="13"/>
      <c r="AJ60" s="13"/>
      <c r="AK60" s="13"/>
    </row>
    <row r="61" spans="13:37">
      <c r="N61" s="13"/>
      <c r="O61" s="13"/>
      <c r="P61" s="13"/>
      <c r="Q61" s="13"/>
      <c r="R61" s="13"/>
      <c r="S61" s="13"/>
      <c r="T61" s="13"/>
      <c r="U61" s="13"/>
      <c r="V61" s="13"/>
      <c r="W61" s="13"/>
      <c r="X61" s="13"/>
      <c r="Y61" s="13"/>
      <c r="Z61" s="13"/>
      <c r="AA61"/>
      <c r="AD61" s="13"/>
      <c r="AE61" s="13"/>
      <c r="AF61" s="13"/>
      <c r="AG61" s="13"/>
      <c r="AH61" s="13"/>
      <c r="AI61" s="13"/>
      <c r="AJ61" s="13"/>
      <c r="AK61" s="13"/>
    </row>
    <row r="62" spans="13:37">
      <c r="N62" s="13"/>
      <c r="O62" s="13"/>
      <c r="P62" s="13"/>
      <c r="Q62" s="13"/>
      <c r="R62" s="13"/>
      <c r="S62" s="13"/>
      <c r="T62" s="13"/>
      <c r="U62" s="13"/>
      <c r="V62" s="13"/>
      <c r="W62" s="13"/>
      <c r="X62" s="13"/>
      <c r="Y62" s="13"/>
      <c r="Z62" s="13"/>
      <c r="AA62"/>
      <c r="AD62" s="13"/>
      <c r="AE62" s="13"/>
      <c r="AF62" s="13"/>
      <c r="AG62" s="13"/>
      <c r="AH62" s="13"/>
      <c r="AI62" s="13"/>
      <c r="AJ62" s="13"/>
      <c r="AK62" s="13"/>
    </row>
    <row r="63" spans="13:37">
      <c r="N63" s="13"/>
      <c r="O63" s="13"/>
      <c r="P63" s="13"/>
      <c r="Q63" s="13"/>
      <c r="R63" s="13"/>
      <c r="S63" s="13"/>
      <c r="T63" s="13"/>
      <c r="U63" s="13"/>
      <c r="V63" s="13"/>
      <c r="W63" s="13"/>
      <c r="X63" s="13"/>
      <c r="Y63" s="13"/>
      <c r="Z63" s="13"/>
      <c r="AA63"/>
      <c r="AD63" s="13"/>
      <c r="AE63" s="13"/>
      <c r="AF63" s="13"/>
      <c r="AG63" s="13"/>
      <c r="AH63" s="13"/>
      <c r="AI63" s="13"/>
      <c r="AJ63" s="13"/>
      <c r="AK63" s="13"/>
    </row>
    <row r="64" spans="13:37">
      <c r="N64" s="13"/>
      <c r="O64" s="13"/>
      <c r="P64" s="13"/>
      <c r="Q64" s="13"/>
      <c r="R64" s="13"/>
      <c r="S64" s="13"/>
      <c r="T64" s="13"/>
      <c r="U64" s="13"/>
      <c r="V64" s="13"/>
      <c r="W64" s="13"/>
      <c r="X64" s="13"/>
      <c r="Y64" s="13"/>
      <c r="Z64" s="13"/>
      <c r="AA64"/>
      <c r="AD64" s="13"/>
      <c r="AE64" s="13"/>
      <c r="AF64" s="13"/>
      <c r="AG64" s="13"/>
      <c r="AH64" s="13"/>
      <c r="AI64" s="13"/>
      <c r="AJ64" s="13"/>
      <c r="AK64" s="13"/>
    </row>
    <row r="65" spans="14:37">
      <c r="N65" s="13"/>
      <c r="O65" s="13"/>
      <c r="P65" s="13"/>
      <c r="Q65" s="13"/>
      <c r="R65" s="13"/>
      <c r="S65" s="13"/>
      <c r="T65" s="13"/>
      <c r="U65" s="13"/>
      <c r="V65" s="13"/>
      <c r="W65" s="13"/>
      <c r="X65" s="13"/>
      <c r="Y65" s="13"/>
      <c r="Z65" s="13"/>
      <c r="AA65"/>
      <c r="AD65" s="13"/>
      <c r="AE65" s="13"/>
      <c r="AF65" s="13"/>
      <c r="AG65" s="13"/>
      <c r="AH65" s="13"/>
      <c r="AI65" s="13"/>
      <c r="AJ65" s="13"/>
      <c r="AK65" s="13"/>
    </row>
    <row r="66" spans="14:37">
      <c r="N66" s="13"/>
      <c r="O66" s="13"/>
      <c r="P66" s="13"/>
      <c r="Q66" s="13"/>
      <c r="R66" s="13"/>
      <c r="S66" s="13"/>
      <c r="T66" s="13"/>
      <c r="U66" s="13"/>
      <c r="V66" s="13"/>
      <c r="W66" s="13"/>
      <c r="X66" s="13"/>
      <c r="Y66" s="13"/>
      <c r="Z66" s="13"/>
      <c r="AA66"/>
      <c r="AD66" s="13"/>
      <c r="AE66" s="13"/>
      <c r="AF66" s="13"/>
      <c r="AG66" s="13"/>
      <c r="AH66" s="13"/>
      <c r="AI66" s="13"/>
      <c r="AJ66" s="13"/>
      <c r="AK66" s="13"/>
    </row>
    <row r="67" spans="14:37">
      <c r="N67" s="13"/>
      <c r="O67" s="13"/>
      <c r="P67" s="13"/>
      <c r="Q67" s="13"/>
      <c r="R67" s="13"/>
      <c r="S67" s="13"/>
      <c r="T67" s="13"/>
      <c r="U67" s="13"/>
      <c r="V67" s="13"/>
      <c r="W67" s="13"/>
      <c r="X67" s="13"/>
      <c r="Y67" s="13"/>
      <c r="Z67" s="13"/>
      <c r="AA67"/>
      <c r="AD67" s="13"/>
      <c r="AE67" s="13"/>
      <c r="AF67" s="13"/>
      <c r="AG67" s="13"/>
      <c r="AH67" s="13"/>
      <c r="AI67" s="13"/>
      <c r="AJ67" s="13"/>
      <c r="AK67" s="13"/>
    </row>
    <row r="68" spans="14:37">
      <c r="N68" s="13"/>
      <c r="O68" s="13"/>
      <c r="P68" s="13"/>
      <c r="Q68" s="13"/>
      <c r="R68" s="13"/>
      <c r="S68" s="13"/>
      <c r="T68" s="13"/>
      <c r="U68" s="13"/>
      <c r="V68" s="13"/>
      <c r="W68" s="13"/>
      <c r="X68" s="13"/>
      <c r="Y68" s="13"/>
      <c r="Z68" s="13"/>
      <c r="AA68"/>
      <c r="AD68" s="13"/>
      <c r="AE68" s="13"/>
      <c r="AF68" s="13"/>
      <c r="AG68" s="13"/>
      <c r="AH68" s="13"/>
      <c r="AI68" s="13"/>
      <c r="AJ68" s="13"/>
      <c r="AK68" s="13"/>
    </row>
    <row r="69" spans="14:37">
      <c r="N69" s="13"/>
      <c r="O69" s="13"/>
      <c r="P69" s="13"/>
      <c r="Q69" s="13"/>
      <c r="R69" s="13"/>
      <c r="S69" s="13"/>
      <c r="T69" s="13"/>
      <c r="U69" s="13"/>
      <c r="V69" s="13"/>
      <c r="W69" s="13"/>
      <c r="X69" s="13"/>
      <c r="Y69" s="13"/>
      <c r="Z69" s="13"/>
      <c r="AA69"/>
      <c r="AD69" s="13"/>
      <c r="AE69" s="13"/>
      <c r="AF69" s="13"/>
      <c r="AG69" s="13"/>
      <c r="AH69" s="13"/>
      <c r="AI69" s="13"/>
      <c r="AJ69" s="13"/>
      <c r="AK69" s="13"/>
    </row>
    <row r="70" spans="14:37">
      <c r="N70" s="13"/>
      <c r="O70" s="13"/>
      <c r="P70" s="13"/>
      <c r="Q70" s="13"/>
      <c r="R70" s="13"/>
      <c r="S70" s="13"/>
      <c r="T70" s="13"/>
      <c r="U70" s="13"/>
      <c r="V70" s="13"/>
      <c r="W70" s="13"/>
      <c r="X70" s="13"/>
      <c r="Y70" s="13"/>
      <c r="Z70" s="13"/>
      <c r="AA70"/>
      <c r="AD70" s="13"/>
      <c r="AE70" s="13"/>
      <c r="AF70" s="13"/>
      <c r="AG70" s="13"/>
      <c r="AH70" s="13"/>
      <c r="AI70" s="13"/>
      <c r="AJ70" s="13"/>
      <c r="AK70" s="13"/>
    </row>
    <row r="71" spans="14:37">
      <c r="N71" s="13"/>
      <c r="O71" s="13"/>
      <c r="P71" s="13"/>
      <c r="Q71" s="13"/>
      <c r="R71" s="13"/>
      <c r="S71" s="13"/>
      <c r="T71" s="13"/>
      <c r="U71" s="13"/>
      <c r="V71" s="13"/>
      <c r="W71" s="13"/>
      <c r="X71" s="13"/>
      <c r="Y71" s="13"/>
      <c r="Z71" s="13"/>
      <c r="AA71"/>
      <c r="AD71" s="13"/>
      <c r="AE71" s="13"/>
      <c r="AF71" s="13"/>
      <c r="AG71" s="13"/>
      <c r="AH71" s="13"/>
      <c r="AI71" s="13"/>
      <c r="AJ71" s="13"/>
      <c r="AK71" s="13"/>
    </row>
    <row r="72" spans="14:37">
      <c r="N72" s="13"/>
      <c r="O72" s="13"/>
      <c r="P72" s="13"/>
      <c r="Q72" s="13"/>
      <c r="R72" s="13"/>
      <c r="S72" s="13"/>
      <c r="T72" s="13"/>
      <c r="U72" s="13"/>
      <c r="V72" s="13"/>
      <c r="W72" s="13"/>
      <c r="X72" s="13"/>
      <c r="Y72" s="13"/>
      <c r="Z72" s="13"/>
      <c r="AA72"/>
      <c r="AD72" s="13"/>
      <c r="AE72" s="13"/>
      <c r="AF72" s="13"/>
      <c r="AG72" s="13"/>
      <c r="AH72" s="13"/>
      <c r="AI72" s="13"/>
      <c r="AJ72" s="13"/>
      <c r="AK72" s="13"/>
    </row>
    <row r="73" spans="14:37">
      <c r="AA73"/>
      <c r="AD73" s="13"/>
      <c r="AE73" s="13"/>
      <c r="AF73" s="13"/>
      <c r="AG73" s="13"/>
      <c r="AH73" s="13"/>
      <c r="AI73" s="13"/>
      <c r="AJ73" s="13"/>
      <c r="AK73" s="13"/>
    </row>
  </sheetData>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15"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77734375" defaultRowHeight="14.4"/>
  <cols>
    <col min="1" max="1" width="23.44140625" style="150" customWidth="1"/>
    <col min="2" max="2" width="19.77734375" style="148" customWidth="1"/>
    <col min="3" max="3" width="16.77734375" style="148" bestFit="1" customWidth="1"/>
    <col min="4" max="4" width="24.77734375" style="148" bestFit="1" customWidth="1"/>
    <col min="5" max="5" width="26.21875" style="148" bestFit="1" customWidth="1"/>
    <col min="6" max="6" width="24.44140625" style="148" bestFit="1" customWidth="1"/>
    <col min="7" max="7" width="18.21875" style="148" bestFit="1" customWidth="1"/>
    <col min="8" max="8" width="24.77734375" style="148" bestFit="1" customWidth="1"/>
    <col min="9" max="9" width="26.21875" style="148" bestFit="1" customWidth="1"/>
    <col min="10" max="11" width="6.77734375" style="148" customWidth="1"/>
    <col min="12" max="13" width="6.77734375" style="150" customWidth="1"/>
    <col min="14" max="14" width="16.44140625" style="150" bestFit="1" customWidth="1"/>
    <col min="15" max="15" width="12.77734375" style="150" customWidth="1"/>
    <col min="16" max="16" width="13.21875" style="150" customWidth="1"/>
    <col min="17" max="17" width="12.21875" style="150" customWidth="1"/>
    <col min="18" max="18" width="9" style="150" bestFit="1" customWidth="1"/>
    <col min="19" max="19" width="12" style="150" customWidth="1"/>
    <col min="20" max="20" width="13.77734375" style="150" customWidth="1"/>
    <col min="21" max="22" width="11" style="150" customWidth="1"/>
    <col min="23" max="23" width="9" style="150" bestFit="1" customWidth="1"/>
    <col min="24" max="16384" width="8.77734375" style="150"/>
  </cols>
  <sheetData>
    <row r="1" spans="1:15">
      <c r="A1" s="273" t="s">
        <v>546</v>
      </c>
      <c r="B1" s="273" t="s">
        <v>7257</v>
      </c>
      <c r="C1" s="274"/>
      <c r="D1" s="274"/>
      <c r="E1" s="274"/>
      <c r="F1" s="33" t="s">
        <v>187</v>
      </c>
      <c r="G1" s="45" t="str">
        <f>HYPERLINK("#'"&amp;INDEX('Master Key'!$B:$B,MATCH("Master Key",'Master Key'!$B:$B,0),1)&amp;"'!A1","Go To Sheet")</f>
        <v>Go To Sheet</v>
      </c>
    </row>
    <row r="2" spans="1:15">
      <c r="A2" s="149"/>
      <c r="B2" s="149"/>
      <c r="C2" s="926"/>
      <c r="D2" s="926"/>
      <c r="E2" s="926"/>
      <c r="F2" s="33"/>
      <c r="G2" s="45"/>
    </row>
    <row r="3" spans="1:15">
      <c r="A3" s="149" t="s">
        <v>7258</v>
      </c>
      <c r="B3" s="927">
        <f>'Major Assumption Key'!B12</f>
        <v>1.4738604988289711E-2</v>
      </c>
      <c r="C3" s="1"/>
      <c r="D3" s="926"/>
      <c r="E3" s="926"/>
      <c r="F3" s="33"/>
      <c r="G3" s="45"/>
    </row>
    <row r="4" spans="1:15" ht="15" thickBot="1">
      <c r="A4" s="149"/>
      <c r="B4" s="927"/>
      <c r="C4" s="1"/>
      <c r="D4" s="926"/>
      <c r="E4" s="926"/>
      <c r="F4" s="33"/>
      <c r="G4" s="45"/>
    </row>
    <row r="5" spans="1:15" s="513" customFormat="1" ht="15" thickBot="1">
      <c r="A5" s="506" t="s">
        <v>510</v>
      </c>
      <c r="B5" s="2154">
        <v>2021</v>
      </c>
      <c r="C5" s="2153"/>
      <c r="D5" s="2154">
        <v>2040</v>
      </c>
      <c r="E5" s="2152"/>
      <c r="F5" s="2152"/>
      <c r="G5" s="2153"/>
      <c r="H5" s="2154">
        <v>2040</v>
      </c>
      <c r="I5" s="2152"/>
      <c r="J5" s="2152"/>
      <c r="K5" s="2153"/>
      <c r="L5" s="2152">
        <v>2040</v>
      </c>
      <c r="M5" s="2152"/>
      <c r="N5" s="2152"/>
      <c r="O5" s="2153"/>
    </row>
    <row r="6" spans="1:15">
      <c r="A6" s="2150" t="s">
        <v>7259</v>
      </c>
      <c r="B6" s="2155" t="s">
        <v>7260</v>
      </c>
      <c r="C6" s="2156"/>
      <c r="D6" s="2144" t="s">
        <v>7261</v>
      </c>
      <c r="E6" s="2145"/>
      <c r="F6" s="2145"/>
      <c r="G6" s="2146"/>
      <c r="H6" s="2144" t="s">
        <v>7262</v>
      </c>
      <c r="I6" s="2145"/>
      <c r="J6" s="2145"/>
      <c r="K6" s="2146"/>
      <c r="L6" s="2159" t="s">
        <v>7263</v>
      </c>
      <c r="M6" s="2145"/>
      <c r="N6" s="2145"/>
      <c r="O6" s="2146"/>
    </row>
    <row r="7" spans="1:15">
      <c r="A7" s="2151"/>
      <c r="B7" s="2157"/>
      <c r="C7" s="2158"/>
      <c r="D7" s="2147" t="s">
        <v>66</v>
      </c>
      <c r="E7" s="2148"/>
      <c r="F7" s="2148" t="s">
        <v>131</v>
      </c>
      <c r="G7" s="2149"/>
      <c r="H7" s="2147" t="s">
        <v>66</v>
      </c>
      <c r="I7" s="2148"/>
      <c r="J7" s="2148" t="s">
        <v>131</v>
      </c>
      <c r="K7" s="2149"/>
      <c r="L7" s="2160" t="s">
        <v>66</v>
      </c>
      <c r="M7" s="2148"/>
      <c r="N7" s="2148" t="s">
        <v>131</v>
      </c>
      <c r="O7" s="2149"/>
    </row>
    <row r="8" spans="1:15">
      <c r="A8" s="2151"/>
      <c r="B8" s="495" t="s">
        <v>7264</v>
      </c>
      <c r="C8" s="491" t="s">
        <v>7265</v>
      </c>
      <c r="D8" s="495" t="s">
        <v>7264</v>
      </c>
      <c r="E8" s="490" t="s">
        <v>7265</v>
      </c>
      <c r="F8" s="490" t="s">
        <v>7264</v>
      </c>
      <c r="G8" s="491" t="s">
        <v>7265</v>
      </c>
      <c r="H8" s="495" t="s">
        <v>7264</v>
      </c>
      <c r="I8" s="490" t="s">
        <v>7265</v>
      </c>
      <c r="J8" s="490" t="s">
        <v>7264</v>
      </c>
      <c r="K8" s="491" t="s">
        <v>7265</v>
      </c>
      <c r="L8" s="494" t="s">
        <v>7264</v>
      </c>
      <c r="M8" s="490" t="s">
        <v>7265</v>
      </c>
      <c r="N8" s="490" t="s">
        <v>7264</v>
      </c>
      <c r="O8" s="491" t="s">
        <v>7265</v>
      </c>
    </row>
    <row r="9" spans="1:15">
      <c r="A9" s="493"/>
      <c r="B9" s="507"/>
      <c r="C9" s="508"/>
      <c r="D9" s="928"/>
      <c r="E9" s="929"/>
      <c r="F9" s="930"/>
      <c r="G9" s="931"/>
      <c r="H9" s="932"/>
      <c r="I9" s="933"/>
      <c r="J9" s="933"/>
      <c r="K9" s="934"/>
      <c r="L9" s="935"/>
      <c r="M9" s="933"/>
      <c r="N9" s="933"/>
      <c r="O9" s="934"/>
    </row>
    <row r="10" spans="1:15">
      <c r="A10" s="493"/>
      <c r="B10" s="507"/>
      <c r="C10" s="508"/>
      <c r="D10" s="928"/>
      <c r="E10" s="929"/>
      <c r="F10" s="930"/>
      <c r="G10" s="931"/>
      <c r="H10" s="932"/>
      <c r="I10" s="933"/>
      <c r="J10" s="933"/>
      <c r="K10" s="934"/>
      <c r="L10" s="935"/>
      <c r="M10" s="933"/>
      <c r="N10" s="933"/>
      <c r="O10" s="934"/>
    </row>
    <row r="11" spans="1:15">
      <c r="A11" s="493"/>
      <c r="B11" s="507"/>
      <c r="C11" s="508"/>
      <c r="D11" s="928"/>
      <c r="E11" s="929"/>
      <c r="F11" s="930"/>
      <c r="G11" s="931"/>
      <c r="H11" s="932"/>
      <c r="I11" s="933"/>
      <c r="J11" s="933"/>
      <c r="K11" s="934"/>
      <c r="L11" s="935"/>
      <c r="M11" s="933"/>
      <c r="N11" s="933"/>
      <c r="O11" s="934"/>
    </row>
    <row r="12" spans="1:15">
      <c r="A12" s="493"/>
      <c r="B12" s="507"/>
      <c r="C12" s="508"/>
      <c r="D12" s="928"/>
      <c r="E12" s="929"/>
      <c r="F12" s="930"/>
      <c r="G12" s="936"/>
      <c r="H12" s="932"/>
      <c r="I12" s="933"/>
      <c r="J12" s="933"/>
      <c r="K12" s="934"/>
      <c r="L12" s="935"/>
      <c r="M12" s="933"/>
      <c r="N12" s="933"/>
      <c r="O12" s="934"/>
    </row>
    <row r="13" spans="1:15">
      <c r="A13" s="493"/>
      <c r="B13" s="507"/>
      <c r="C13" s="508"/>
      <c r="D13" s="928"/>
      <c r="E13" s="929"/>
      <c r="F13" s="930"/>
      <c r="G13" s="931"/>
      <c r="H13" s="932"/>
      <c r="I13" s="933"/>
      <c r="J13" s="933"/>
      <c r="K13" s="934"/>
      <c r="L13" s="935"/>
      <c r="M13" s="933"/>
      <c r="N13" s="933"/>
      <c r="O13" s="934"/>
    </row>
    <row r="14" spans="1:15">
      <c r="A14" s="493"/>
      <c r="B14" s="507"/>
      <c r="C14" s="508"/>
      <c r="D14" s="928"/>
      <c r="E14" s="929"/>
      <c r="F14" s="930"/>
      <c r="G14" s="931"/>
      <c r="H14" s="932"/>
      <c r="I14" s="933"/>
      <c r="J14" s="933"/>
      <c r="K14" s="934"/>
      <c r="L14" s="935"/>
      <c r="M14" s="933"/>
      <c r="N14" s="933"/>
      <c r="O14" s="934"/>
    </row>
    <row r="15" spans="1:15">
      <c r="A15" s="493"/>
      <c r="B15" s="507"/>
      <c r="C15" s="508"/>
      <c r="D15" s="928"/>
      <c r="E15" s="929"/>
      <c r="F15" s="930"/>
      <c r="G15" s="931"/>
      <c r="H15" s="932"/>
      <c r="I15" s="933"/>
      <c r="J15" s="933"/>
      <c r="K15" s="934"/>
      <c r="L15" s="935"/>
      <c r="M15" s="933"/>
      <c r="N15" s="933"/>
      <c r="O15" s="934"/>
    </row>
    <row r="16" spans="1:15">
      <c r="A16" s="493"/>
      <c r="B16" s="507"/>
      <c r="C16" s="508"/>
      <c r="D16" s="928"/>
      <c r="E16" s="929"/>
      <c r="F16" s="937"/>
      <c r="G16" s="931"/>
      <c r="H16" s="932"/>
      <c r="I16" s="933"/>
      <c r="J16" s="933"/>
      <c r="K16" s="934"/>
      <c r="L16" s="935"/>
      <c r="M16" s="933"/>
      <c r="N16" s="933"/>
      <c r="O16" s="934"/>
    </row>
    <row r="17" spans="1:23">
      <c r="A17" s="493"/>
      <c r="B17" s="507"/>
      <c r="C17" s="508"/>
      <c r="D17" s="928"/>
      <c r="E17" s="929"/>
      <c r="F17" s="930"/>
      <c r="G17" s="931"/>
      <c r="H17" s="932"/>
      <c r="I17" s="933"/>
      <c r="J17" s="933"/>
      <c r="K17" s="934"/>
      <c r="L17" s="935"/>
      <c r="M17" s="933"/>
      <c r="N17" s="933"/>
      <c r="O17" s="934"/>
    </row>
    <row r="18" spans="1:23">
      <c r="A18" s="493"/>
      <c r="B18" s="507"/>
      <c r="C18" s="508"/>
      <c r="D18" s="928"/>
      <c r="E18" s="929"/>
      <c r="F18" s="930"/>
      <c r="G18" s="931"/>
      <c r="H18" s="932"/>
      <c r="I18" s="933"/>
      <c r="J18" s="933"/>
      <c r="K18" s="934"/>
      <c r="L18" s="935"/>
      <c r="M18" s="933"/>
      <c r="N18" s="933"/>
      <c r="O18" s="934"/>
    </row>
    <row r="19" spans="1:23" ht="15" thickBot="1">
      <c r="A19" s="493"/>
      <c r="B19" s="507"/>
      <c r="C19" s="508"/>
      <c r="D19" s="928"/>
      <c r="E19" s="929"/>
      <c r="F19" s="930"/>
      <c r="G19" s="931"/>
      <c r="H19" s="932"/>
      <c r="I19" s="933"/>
      <c r="J19" s="933"/>
      <c r="K19" s="934"/>
      <c r="L19" s="935"/>
      <c r="M19" s="933"/>
      <c r="N19" s="933"/>
      <c r="O19" s="934"/>
    </row>
    <row r="20" spans="1:23" ht="15" thickBot="1">
      <c r="A20" s="476" t="s">
        <v>63</v>
      </c>
      <c r="B20" s="509">
        <f t="shared" ref="B20:O20" si="0">SUM(B9:B19)</f>
        <v>0</v>
      </c>
      <c r="C20" s="503">
        <f t="shared" si="0"/>
        <v>0</v>
      </c>
      <c r="D20" s="511">
        <f t="shared" si="0"/>
        <v>0</v>
      </c>
      <c r="E20" s="502">
        <f t="shared" si="0"/>
        <v>0</v>
      </c>
      <c r="F20" s="502">
        <f t="shared" si="0"/>
        <v>0</v>
      </c>
      <c r="G20" s="512">
        <f t="shared" si="0"/>
        <v>0</v>
      </c>
      <c r="H20" s="509">
        <f t="shared" si="0"/>
        <v>0</v>
      </c>
      <c r="I20" s="501">
        <f t="shared" si="0"/>
        <v>0</v>
      </c>
      <c r="J20" s="501">
        <f t="shared" si="0"/>
        <v>0</v>
      </c>
      <c r="K20" s="503">
        <f t="shared" si="0"/>
        <v>0</v>
      </c>
      <c r="L20" s="510">
        <f t="shared" si="0"/>
        <v>0</v>
      </c>
      <c r="M20" s="501">
        <f t="shared" si="0"/>
        <v>0</v>
      </c>
      <c r="N20" s="501">
        <f t="shared" si="0"/>
        <v>0</v>
      </c>
      <c r="O20" s="503">
        <f t="shared" si="0"/>
        <v>0</v>
      </c>
    </row>
    <row r="21" spans="1:23">
      <c r="A21" s="492" t="s">
        <v>210</v>
      </c>
      <c r="B21" s="150"/>
      <c r="C21" s="150"/>
      <c r="D21" s="150"/>
      <c r="E21" s="150"/>
      <c r="F21" s="150"/>
      <c r="G21" s="150"/>
      <c r="H21" s="150"/>
      <c r="I21" s="150"/>
      <c r="J21" s="150"/>
      <c r="K21" s="150"/>
      <c r="N21" s="374"/>
      <c r="O21" s="374"/>
      <c r="P21"/>
      <c r="Q21"/>
      <c r="R21" s="33"/>
      <c r="S21" s="45"/>
      <c r="T21" s="148"/>
      <c r="U21" s="148"/>
      <c r="V21" s="148"/>
      <c r="W21" s="148"/>
    </row>
    <row r="22" spans="1:23">
      <c r="A22" s="500" t="s">
        <v>7069</v>
      </c>
      <c r="B22" s="374"/>
      <c r="C22" s="374"/>
      <c r="D22"/>
      <c r="E22"/>
      <c r="F22" s="33"/>
      <c r="G22" s="45"/>
    </row>
    <row r="23" spans="1:23">
      <c r="A23" s="470" t="s">
        <v>7266</v>
      </c>
      <c r="B23" s="374"/>
      <c r="C23" s="374"/>
      <c r="D23"/>
      <c r="E23"/>
      <c r="F23" s="33"/>
      <c r="G23" s="45"/>
    </row>
    <row r="24" spans="1:23" ht="16.5" customHeight="1">
      <c r="A24" s="1"/>
      <c r="B24" s="374"/>
      <c r="C24" s="374"/>
      <c r="D24"/>
      <c r="E24"/>
      <c r="F24" s="33"/>
      <c r="G24" s="45"/>
    </row>
    <row r="25" spans="1:23" ht="15" thickBot="1">
      <c r="A25" s="206" t="s">
        <v>7267</v>
      </c>
      <c r="B25" s="374"/>
      <c r="C25" s="374"/>
      <c r="D25"/>
      <c r="E25"/>
      <c r="F25" s="33"/>
      <c r="G25" s="45"/>
    </row>
    <row r="26" spans="1:23">
      <c r="A26" s="2137" t="s">
        <v>510</v>
      </c>
      <c r="B26" s="2142" t="s">
        <v>7260</v>
      </c>
      <c r="C26" s="2139" t="s">
        <v>66</v>
      </c>
      <c r="D26" s="2140"/>
      <c r="E26" s="2141"/>
      <c r="F26" s="2139" t="s">
        <v>131</v>
      </c>
      <c r="G26" s="2140"/>
      <c r="H26" s="2141"/>
      <c r="I26" s="150"/>
      <c r="J26" s="150"/>
      <c r="K26" s="150"/>
    </row>
    <row r="27" spans="1:23" s="498" customFormat="1">
      <c r="A27" s="2138"/>
      <c r="B27" s="2143"/>
      <c r="C27" s="496" t="s">
        <v>7261</v>
      </c>
      <c r="D27" s="496" t="s">
        <v>7268</v>
      </c>
      <c r="E27" s="497" t="s">
        <v>7269</v>
      </c>
      <c r="F27" s="496" t="s">
        <v>7261</v>
      </c>
      <c r="G27" s="496" t="s">
        <v>7268</v>
      </c>
      <c r="H27" s="497" t="s">
        <v>7269</v>
      </c>
    </row>
    <row r="28" spans="1:23">
      <c r="A28" s="499">
        <f>'Major Assumption Key'!A19</f>
        <v>2020</v>
      </c>
      <c r="B28" s="504"/>
      <c r="C28" s="505">
        <f t="shared" ref="C28:C59" si="1">SUM($D$20:$E$20)/(1+1%)^($D$5-A28)</f>
        <v>0</v>
      </c>
      <c r="D28" s="514">
        <f t="shared" ref="D28:D59" si="2">SUM($H$20:$I$20)/(1+1%)^($H$5-A28)/1000000</f>
        <v>0</v>
      </c>
      <c r="E28" s="515">
        <f t="shared" ref="E28:E59" si="3">SUM($L$20:$M$20)/(1+1%)^($L$5-A28)/1000000</f>
        <v>0</v>
      </c>
      <c r="F28" s="505">
        <f t="shared" ref="F28:F59" si="4">SUM($F$20:$G$20)/(1+1%)^($D$5-A28)</f>
        <v>0</v>
      </c>
      <c r="G28" s="514">
        <f t="shared" ref="G28:G59" si="5">SUM($J$20:$K$20)/(1+1%)^($H$5-A28)/1000000</f>
        <v>0</v>
      </c>
      <c r="H28" s="515">
        <f t="shared" ref="H28:H59" si="6">SUM($N$20:$O$20)/(1+1%)^($L$5-A28)/1000000</f>
        <v>0</v>
      </c>
      <c r="I28" s="150"/>
      <c r="J28" s="150"/>
      <c r="K28" s="150"/>
    </row>
    <row r="29" spans="1:23">
      <c r="A29" s="499">
        <f>'Major Assumption Key'!A20</f>
        <v>2021</v>
      </c>
      <c r="B29" s="504">
        <f>B20+C20</f>
        <v>0</v>
      </c>
      <c r="C29" s="505">
        <f t="shared" si="1"/>
        <v>0</v>
      </c>
      <c r="D29" s="514">
        <f t="shared" si="2"/>
        <v>0</v>
      </c>
      <c r="E29" s="515">
        <f t="shared" si="3"/>
        <v>0</v>
      </c>
      <c r="F29" s="505">
        <f t="shared" si="4"/>
        <v>0</v>
      </c>
      <c r="G29" s="514">
        <f t="shared" si="5"/>
        <v>0</v>
      </c>
      <c r="H29" s="515">
        <f t="shared" si="6"/>
        <v>0</v>
      </c>
      <c r="I29" s="150"/>
      <c r="J29" s="150"/>
      <c r="K29" s="150"/>
    </row>
    <row r="30" spans="1:23">
      <c r="A30" s="499">
        <f>'Major Assumption Key'!A21</f>
        <v>2022</v>
      </c>
      <c r="B30" s="504">
        <f>B29*(1+$B$3)</f>
        <v>0</v>
      </c>
      <c r="C30" s="505">
        <f t="shared" si="1"/>
        <v>0</v>
      </c>
      <c r="D30" s="514">
        <f t="shared" si="2"/>
        <v>0</v>
      </c>
      <c r="E30" s="515">
        <f t="shared" si="3"/>
        <v>0</v>
      </c>
      <c r="F30" s="505">
        <f t="shared" si="4"/>
        <v>0</v>
      </c>
      <c r="G30" s="514">
        <f t="shared" si="5"/>
        <v>0</v>
      </c>
      <c r="H30" s="515">
        <f t="shared" si="6"/>
        <v>0</v>
      </c>
      <c r="I30" s="150"/>
      <c r="J30" s="150"/>
      <c r="K30" s="150"/>
    </row>
    <row r="31" spans="1:23">
      <c r="A31" s="499">
        <f>'Major Assumption Key'!A22</f>
        <v>2023</v>
      </c>
      <c r="B31" s="504">
        <f t="shared" ref="B31:B68" si="7">B30*(1+$B$3)</f>
        <v>0</v>
      </c>
      <c r="C31" s="505">
        <f t="shared" si="1"/>
        <v>0</v>
      </c>
      <c r="D31" s="514">
        <f t="shared" si="2"/>
        <v>0</v>
      </c>
      <c r="E31" s="515">
        <f t="shared" si="3"/>
        <v>0</v>
      </c>
      <c r="F31" s="505">
        <f t="shared" si="4"/>
        <v>0</v>
      </c>
      <c r="G31" s="514">
        <f t="shared" si="5"/>
        <v>0</v>
      </c>
      <c r="H31" s="515">
        <f t="shared" si="6"/>
        <v>0</v>
      </c>
      <c r="I31" s="150"/>
      <c r="J31" s="150"/>
      <c r="K31" s="150"/>
    </row>
    <row r="32" spans="1:23">
      <c r="A32" s="499">
        <f>'Major Assumption Key'!A23</f>
        <v>2024</v>
      </c>
      <c r="B32" s="504">
        <f t="shared" si="7"/>
        <v>0</v>
      </c>
      <c r="C32" s="505">
        <f t="shared" si="1"/>
        <v>0</v>
      </c>
      <c r="D32" s="514">
        <f t="shared" si="2"/>
        <v>0</v>
      </c>
      <c r="E32" s="515">
        <f t="shared" si="3"/>
        <v>0</v>
      </c>
      <c r="F32" s="505">
        <f t="shared" si="4"/>
        <v>0</v>
      </c>
      <c r="G32" s="514">
        <f t="shared" si="5"/>
        <v>0</v>
      </c>
      <c r="H32" s="515">
        <f t="shared" si="6"/>
        <v>0</v>
      </c>
      <c r="I32" s="150"/>
      <c r="J32" s="150"/>
      <c r="K32" s="150"/>
    </row>
    <row r="33" spans="1:11">
      <c r="A33" s="499">
        <f>'Major Assumption Key'!A24</f>
        <v>2025</v>
      </c>
      <c r="B33" s="504">
        <f t="shared" si="7"/>
        <v>0</v>
      </c>
      <c r="C33" s="505">
        <f t="shared" si="1"/>
        <v>0</v>
      </c>
      <c r="D33" s="514">
        <f t="shared" si="2"/>
        <v>0</v>
      </c>
      <c r="E33" s="515">
        <f t="shared" si="3"/>
        <v>0</v>
      </c>
      <c r="F33" s="505">
        <f t="shared" si="4"/>
        <v>0</v>
      </c>
      <c r="G33" s="514">
        <f t="shared" si="5"/>
        <v>0</v>
      </c>
      <c r="H33" s="515">
        <f t="shared" si="6"/>
        <v>0</v>
      </c>
      <c r="I33" s="150"/>
      <c r="J33" s="150"/>
      <c r="K33" s="150"/>
    </row>
    <row r="34" spans="1:11">
      <c r="A34" s="499">
        <f>'Major Assumption Key'!A25</f>
        <v>2026</v>
      </c>
      <c r="B34" s="504">
        <f t="shared" si="7"/>
        <v>0</v>
      </c>
      <c r="C34" s="505">
        <f t="shared" si="1"/>
        <v>0</v>
      </c>
      <c r="D34" s="514">
        <f t="shared" si="2"/>
        <v>0</v>
      </c>
      <c r="E34" s="515">
        <f t="shared" si="3"/>
        <v>0</v>
      </c>
      <c r="F34" s="505">
        <f t="shared" si="4"/>
        <v>0</v>
      </c>
      <c r="G34" s="514">
        <f t="shared" si="5"/>
        <v>0</v>
      </c>
      <c r="H34" s="515">
        <f t="shared" si="6"/>
        <v>0</v>
      </c>
      <c r="I34" s="150"/>
      <c r="J34" s="150"/>
      <c r="K34" s="150"/>
    </row>
    <row r="35" spans="1:11">
      <c r="A35" s="499">
        <f>'Major Assumption Key'!A26</f>
        <v>2027</v>
      </c>
      <c r="B35" s="504">
        <f t="shared" si="7"/>
        <v>0</v>
      </c>
      <c r="C35" s="505">
        <f t="shared" si="1"/>
        <v>0</v>
      </c>
      <c r="D35" s="514">
        <f t="shared" si="2"/>
        <v>0</v>
      </c>
      <c r="E35" s="515">
        <f t="shared" si="3"/>
        <v>0</v>
      </c>
      <c r="F35" s="505">
        <f t="shared" si="4"/>
        <v>0</v>
      </c>
      <c r="G35" s="514">
        <f t="shared" si="5"/>
        <v>0</v>
      </c>
      <c r="H35" s="515">
        <f t="shared" si="6"/>
        <v>0</v>
      </c>
      <c r="I35" s="150"/>
      <c r="J35" s="150"/>
      <c r="K35" s="150"/>
    </row>
    <row r="36" spans="1:11">
      <c r="A36" s="499">
        <f>'Major Assumption Key'!A27</f>
        <v>2028</v>
      </c>
      <c r="B36" s="504">
        <f t="shared" si="7"/>
        <v>0</v>
      </c>
      <c r="C36" s="505">
        <f t="shared" si="1"/>
        <v>0</v>
      </c>
      <c r="D36" s="514">
        <f t="shared" si="2"/>
        <v>0</v>
      </c>
      <c r="E36" s="515">
        <f t="shared" si="3"/>
        <v>0</v>
      </c>
      <c r="F36" s="505">
        <f t="shared" si="4"/>
        <v>0</v>
      </c>
      <c r="G36" s="514">
        <f t="shared" si="5"/>
        <v>0</v>
      </c>
      <c r="H36" s="515">
        <f t="shared" si="6"/>
        <v>0</v>
      </c>
      <c r="I36" s="150"/>
      <c r="J36" s="150"/>
      <c r="K36" s="150"/>
    </row>
    <row r="37" spans="1:11">
      <c r="A37" s="499">
        <f>'Major Assumption Key'!A28</f>
        <v>2029</v>
      </c>
      <c r="B37" s="504">
        <f t="shared" si="7"/>
        <v>0</v>
      </c>
      <c r="C37" s="505">
        <f t="shared" si="1"/>
        <v>0</v>
      </c>
      <c r="D37" s="514">
        <f t="shared" si="2"/>
        <v>0</v>
      </c>
      <c r="E37" s="515">
        <f t="shared" si="3"/>
        <v>0</v>
      </c>
      <c r="F37" s="505">
        <f t="shared" si="4"/>
        <v>0</v>
      </c>
      <c r="G37" s="514">
        <f t="shared" si="5"/>
        <v>0</v>
      </c>
      <c r="H37" s="515">
        <f t="shared" si="6"/>
        <v>0</v>
      </c>
      <c r="I37" s="150"/>
      <c r="J37" s="150"/>
      <c r="K37" s="150"/>
    </row>
    <row r="38" spans="1:11">
      <c r="A38" s="499">
        <f>'Major Assumption Key'!A29</f>
        <v>2030</v>
      </c>
      <c r="B38" s="504">
        <f t="shared" si="7"/>
        <v>0</v>
      </c>
      <c r="C38" s="505">
        <f t="shared" si="1"/>
        <v>0</v>
      </c>
      <c r="D38" s="514">
        <f t="shared" si="2"/>
        <v>0</v>
      </c>
      <c r="E38" s="515">
        <f t="shared" si="3"/>
        <v>0</v>
      </c>
      <c r="F38" s="505">
        <f t="shared" si="4"/>
        <v>0</v>
      </c>
      <c r="G38" s="514">
        <f t="shared" si="5"/>
        <v>0</v>
      </c>
      <c r="H38" s="515">
        <f t="shared" si="6"/>
        <v>0</v>
      </c>
      <c r="I38" s="150"/>
      <c r="J38" s="150"/>
      <c r="K38" s="150"/>
    </row>
    <row r="39" spans="1:11">
      <c r="A39" s="499">
        <f>'Major Assumption Key'!A30</f>
        <v>2031</v>
      </c>
      <c r="B39" s="504">
        <f t="shared" si="7"/>
        <v>0</v>
      </c>
      <c r="C39" s="505">
        <f t="shared" si="1"/>
        <v>0</v>
      </c>
      <c r="D39" s="514">
        <f t="shared" si="2"/>
        <v>0</v>
      </c>
      <c r="E39" s="515">
        <f t="shared" si="3"/>
        <v>0</v>
      </c>
      <c r="F39" s="505">
        <f t="shared" si="4"/>
        <v>0</v>
      </c>
      <c r="G39" s="514">
        <f t="shared" si="5"/>
        <v>0</v>
      </c>
      <c r="H39" s="515">
        <f t="shared" si="6"/>
        <v>0</v>
      </c>
      <c r="I39" s="150"/>
      <c r="J39" s="150"/>
      <c r="K39" s="150"/>
    </row>
    <row r="40" spans="1:11">
      <c r="A40" s="499">
        <f>'Major Assumption Key'!A31</f>
        <v>2032</v>
      </c>
      <c r="B40" s="504">
        <f t="shared" si="7"/>
        <v>0</v>
      </c>
      <c r="C40" s="505">
        <f t="shared" si="1"/>
        <v>0</v>
      </c>
      <c r="D40" s="514">
        <f t="shared" si="2"/>
        <v>0</v>
      </c>
      <c r="E40" s="515">
        <f t="shared" si="3"/>
        <v>0</v>
      </c>
      <c r="F40" s="505">
        <f t="shared" si="4"/>
        <v>0</v>
      </c>
      <c r="G40" s="514">
        <f t="shared" si="5"/>
        <v>0</v>
      </c>
      <c r="H40" s="515">
        <f t="shared" si="6"/>
        <v>0</v>
      </c>
      <c r="I40" s="150"/>
      <c r="J40" s="150"/>
      <c r="K40" s="150"/>
    </row>
    <row r="41" spans="1:11">
      <c r="A41" s="499">
        <f>'Major Assumption Key'!A32</f>
        <v>2033</v>
      </c>
      <c r="B41" s="504">
        <f t="shared" si="7"/>
        <v>0</v>
      </c>
      <c r="C41" s="505">
        <f t="shared" si="1"/>
        <v>0</v>
      </c>
      <c r="D41" s="514">
        <f t="shared" si="2"/>
        <v>0</v>
      </c>
      <c r="E41" s="515">
        <f t="shared" si="3"/>
        <v>0</v>
      </c>
      <c r="F41" s="505">
        <f t="shared" si="4"/>
        <v>0</v>
      </c>
      <c r="G41" s="514">
        <f t="shared" si="5"/>
        <v>0</v>
      </c>
      <c r="H41" s="515">
        <f t="shared" si="6"/>
        <v>0</v>
      </c>
      <c r="I41" s="150"/>
      <c r="J41" s="150"/>
      <c r="K41" s="150"/>
    </row>
    <row r="42" spans="1:11">
      <c r="A42" s="499">
        <f>'Major Assumption Key'!A33</f>
        <v>2034</v>
      </c>
      <c r="B42" s="504">
        <f t="shared" si="7"/>
        <v>0</v>
      </c>
      <c r="C42" s="505">
        <f t="shared" si="1"/>
        <v>0</v>
      </c>
      <c r="D42" s="514">
        <f t="shared" si="2"/>
        <v>0</v>
      </c>
      <c r="E42" s="515">
        <f t="shared" si="3"/>
        <v>0</v>
      </c>
      <c r="F42" s="505">
        <f t="shared" si="4"/>
        <v>0</v>
      </c>
      <c r="G42" s="514">
        <f t="shared" si="5"/>
        <v>0</v>
      </c>
      <c r="H42" s="515">
        <f t="shared" si="6"/>
        <v>0</v>
      </c>
      <c r="I42" s="150"/>
      <c r="J42" s="150"/>
      <c r="K42" s="150"/>
    </row>
    <row r="43" spans="1:11">
      <c r="A43" s="499">
        <f>'Major Assumption Key'!A34</f>
        <v>2035</v>
      </c>
      <c r="B43" s="504">
        <f t="shared" si="7"/>
        <v>0</v>
      </c>
      <c r="C43" s="505">
        <f t="shared" si="1"/>
        <v>0</v>
      </c>
      <c r="D43" s="514">
        <f t="shared" si="2"/>
        <v>0</v>
      </c>
      <c r="E43" s="515">
        <f t="shared" si="3"/>
        <v>0</v>
      </c>
      <c r="F43" s="505">
        <f t="shared" si="4"/>
        <v>0</v>
      </c>
      <c r="G43" s="514">
        <f t="shared" si="5"/>
        <v>0</v>
      </c>
      <c r="H43" s="515">
        <f t="shared" si="6"/>
        <v>0</v>
      </c>
      <c r="I43" s="150"/>
      <c r="J43" s="150"/>
      <c r="K43" s="150"/>
    </row>
    <row r="44" spans="1:11">
      <c r="A44" s="499">
        <f>'Major Assumption Key'!A35</f>
        <v>2036</v>
      </c>
      <c r="B44" s="504">
        <f t="shared" si="7"/>
        <v>0</v>
      </c>
      <c r="C44" s="505">
        <f t="shared" si="1"/>
        <v>0</v>
      </c>
      <c r="D44" s="514">
        <f t="shared" si="2"/>
        <v>0</v>
      </c>
      <c r="E44" s="515">
        <f t="shared" si="3"/>
        <v>0</v>
      </c>
      <c r="F44" s="505">
        <f t="shared" si="4"/>
        <v>0</v>
      </c>
      <c r="G44" s="514">
        <f t="shared" si="5"/>
        <v>0</v>
      </c>
      <c r="H44" s="515">
        <f t="shared" si="6"/>
        <v>0</v>
      </c>
      <c r="I44" s="150"/>
      <c r="J44" s="150"/>
      <c r="K44" s="150"/>
    </row>
    <row r="45" spans="1:11">
      <c r="A45" s="499">
        <f>'Major Assumption Key'!A36</f>
        <v>2037</v>
      </c>
      <c r="B45" s="504">
        <f t="shared" si="7"/>
        <v>0</v>
      </c>
      <c r="C45" s="505">
        <f t="shared" si="1"/>
        <v>0</v>
      </c>
      <c r="D45" s="514">
        <f t="shared" si="2"/>
        <v>0</v>
      </c>
      <c r="E45" s="515">
        <f t="shared" si="3"/>
        <v>0</v>
      </c>
      <c r="F45" s="505">
        <f t="shared" si="4"/>
        <v>0</v>
      </c>
      <c r="G45" s="514">
        <f t="shared" si="5"/>
        <v>0</v>
      </c>
      <c r="H45" s="515">
        <f t="shared" si="6"/>
        <v>0</v>
      </c>
      <c r="I45" s="150"/>
      <c r="J45" s="150"/>
      <c r="K45" s="150"/>
    </row>
    <row r="46" spans="1:11">
      <c r="A46" s="499">
        <f>'Major Assumption Key'!A37</f>
        <v>2038</v>
      </c>
      <c r="B46" s="504">
        <f t="shared" si="7"/>
        <v>0</v>
      </c>
      <c r="C46" s="505">
        <f t="shared" si="1"/>
        <v>0</v>
      </c>
      <c r="D46" s="514">
        <f t="shared" si="2"/>
        <v>0</v>
      </c>
      <c r="E46" s="515">
        <f t="shared" si="3"/>
        <v>0</v>
      </c>
      <c r="F46" s="505">
        <f t="shared" si="4"/>
        <v>0</v>
      </c>
      <c r="G46" s="514">
        <f t="shared" si="5"/>
        <v>0</v>
      </c>
      <c r="H46" s="515">
        <f t="shared" si="6"/>
        <v>0</v>
      </c>
      <c r="I46" s="150"/>
      <c r="J46" s="150"/>
      <c r="K46" s="150"/>
    </row>
    <row r="47" spans="1:11">
      <c r="A47" s="499">
        <f>'Major Assumption Key'!A38</f>
        <v>2039</v>
      </c>
      <c r="B47" s="504">
        <f t="shared" si="7"/>
        <v>0</v>
      </c>
      <c r="C47" s="505">
        <f t="shared" si="1"/>
        <v>0</v>
      </c>
      <c r="D47" s="514">
        <f t="shared" si="2"/>
        <v>0</v>
      </c>
      <c r="E47" s="515">
        <f t="shared" si="3"/>
        <v>0</v>
      </c>
      <c r="F47" s="505">
        <f t="shared" si="4"/>
        <v>0</v>
      </c>
      <c r="G47" s="514">
        <f t="shared" si="5"/>
        <v>0</v>
      </c>
      <c r="H47" s="515">
        <f t="shared" si="6"/>
        <v>0</v>
      </c>
      <c r="I47" s="150"/>
      <c r="J47" s="150"/>
      <c r="K47" s="150"/>
    </row>
    <row r="48" spans="1:11">
      <c r="A48" s="499">
        <f>'Major Assumption Key'!A39</f>
        <v>2040</v>
      </c>
      <c r="B48" s="504">
        <f t="shared" si="7"/>
        <v>0</v>
      </c>
      <c r="C48" s="505">
        <f t="shared" si="1"/>
        <v>0</v>
      </c>
      <c r="D48" s="514">
        <f t="shared" si="2"/>
        <v>0</v>
      </c>
      <c r="E48" s="515">
        <f t="shared" si="3"/>
        <v>0</v>
      </c>
      <c r="F48" s="505">
        <f t="shared" si="4"/>
        <v>0</v>
      </c>
      <c r="G48" s="514">
        <f t="shared" si="5"/>
        <v>0</v>
      </c>
      <c r="H48" s="515">
        <f t="shared" si="6"/>
        <v>0</v>
      </c>
      <c r="I48" s="150"/>
      <c r="J48" s="150"/>
      <c r="K48" s="150"/>
    </row>
    <row r="49" spans="1:11">
      <c r="A49" s="499">
        <f>'Major Assumption Key'!A40</f>
        <v>2041</v>
      </c>
      <c r="B49" s="504">
        <f t="shared" si="7"/>
        <v>0</v>
      </c>
      <c r="C49" s="505">
        <f t="shared" si="1"/>
        <v>0</v>
      </c>
      <c r="D49" s="514">
        <f t="shared" si="2"/>
        <v>0</v>
      </c>
      <c r="E49" s="515">
        <f t="shared" si="3"/>
        <v>0</v>
      </c>
      <c r="F49" s="505">
        <f t="shared" si="4"/>
        <v>0</v>
      </c>
      <c r="G49" s="514">
        <f t="shared" si="5"/>
        <v>0</v>
      </c>
      <c r="H49" s="515">
        <f t="shared" si="6"/>
        <v>0</v>
      </c>
      <c r="I49" s="150"/>
      <c r="J49" s="150"/>
      <c r="K49" s="150"/>
    </row>
    <row r="50" spans="1:11">
      <c r="A50" s="499">
        <f>'Major Assumption Key'!A41</f>
        <v>2042</v>
      </c>
      <c r="B50" s="504">
        <f t="shared" si="7"/>
        <v>0</v>
      </c>
      <c r="C50" s="505">
        <f t="shared" si="1"/>
        <v>0</v>
      </c>
      <c r="D50" s="514">
        <f t="shared" si="2"/>
        <v>0</v>
      </c>
      <c r="E50" s="515">
        <f t="shared" si="3"/>
        <v>0</v>
      </c>
      <c r="F50" s="505">
        <f t="shared" si="4"/>
        <v>0</v>
      </c>
      <c r="G50" s="514">
        <f t="shared" si="5"/>
        <v>0</v>
      </c>
      <c r="H50" s="515">
        <f t="shared" si="6"/>
        <v>0</v>
      </c>
      <c r="I50" s="150"/>
      <c r="J50" s="150"/>
      <c r="K50" s="150"/>
    </row>
    <row r="51" spans="1:11">
      <c r="A51" s="499">
        <f>'Major Assumption Key'!A42</f>
        <v>2043</v>
      </c>
      <c r="B51" s="504">
        <f t="shared" si="7"/>
        <v>0</v>
      </c>
      <c r="C51" s="505">
        <f t="shared" si="1"/>
        <v>0</v>
      </c>
      <c r="D51" s="514">
        <f t="shared" si="2"/>
        <v>0</v>
      </c>
      <c r="E51" s="515">
        <f t="shared" si="3"/>
        <v>0</v>
      </c>
      <c r="F51" s="505">
        <f t="shared" si="4"/>
        <v>0</v>
      </c>
      <c r="G51" s="514">
        <f t="shared" si="5"/>
        <v>0</v>
      </c>
      <c r="H51" s="515">
        <f t="shared" si="6"/>
        <v>0</v>
      </c>
      <c r="I51" s="150"/>
      <c r="J51" s="150"/>
      <c r="K51" s="150"/>
    </row>
    <row r="52" spans="1:11">
      <c r="A52" s="499">
        <f>'Major Assumption Key'!A43</f>
        <v>2044</v>
      </c>
      <c r="B52" s="504">
        <f t="shared" si="7"/>
        <v>0</v>
      </c>
      <c r="C52" s="505">
        <f t="shared" si="1"/>
        <v>0</v>
      </c>
      <c r="D52" s="514">
        <f t="shared" si="2"/>
        <v>0</v>
      </c>
      <c r="E52" s="515">
        <f t="shared" si="3"/>
        <v>0</v>
      </c>
      <c r="F52" s="505">
        <f t="shared" si="4"/>
        <v>0</v>
      </c>
      <c r="G52" s="514">
        <f t="shared" si="5"/>
        <v>0</v>
      </c>
      <c r="H52" s="515">
        <f t="shared" si="6"/>
        <v>0</v>
      </c>
      <c r="I52" s="150"/>
      <c r="J52" s="150"/>
      <c r="K52" s="150"/>
    </row>
    <row r="53" spans="1:11">
      <c r="A53" s="499">
        <f>'Major Assumption Key'!A44</f>
        <v>2045</v>
      </c>
      <c r="B53" s="504">
        <f t="shared" si="7"/>
        <v>0</v>
      </c>
      <c r="C53" s="505">
        <f t="shared" si="1"/>
        <v>0</v>
      </c>
      <c r="D53" s="514">
        <f t="shared" si="2"/>
        <v>0</v>
      </c>
      <c r="E53" s="515">
        <f t="shared" si="3"/>
        <v>0</v>
      </c>
      <c r="F53" s="505">
        <f t="shared" si="4"/>
        <v>0</v>
      </c>
      <c r="G53" s="514">
        <f t="shared" si="5"/>
        <v>0</v>
      </c>
      <c r="H53" s="515">
        <f t="shared" si="6"/>
        <v>0</v>
      </c>
      <c r="I53" s="150"/>
      <c r="J53" s="150"/>
      <c r="K53" s="150"/>
    </row>
    <row r="54" spans="1:11">
      <c r="A54" s="499">
        <f>'Major Assumption Key'!A45</f>
        <v>2046</v>
      </c>
      <c r="B54" s="504">
        <f t="shared" si="7"/>
        <v>0</v>
      </c>
      <c r="C54" s="505">
        <f t="shared" si="1"/>
        <v>0</v>
      </c>
      <c r="D54" s="514">
        <f t="shared" si="2"/>
        <v>0</v>
      </c>
      <c r="E54" s="515">
        <f t="shared" si="3"/>
        <v>0</v>
      </c>
      <c r="F54" s="505">
        <f t="shared" si="4"/>
        <v>0</v>
      </c>
      <c r="G54" s="514">
        <f t="shared" si="5"/>
        <v>0</v>
      </c>
      <c r="H54" s="515">
        <f t="shared" si="6"/>
        <v>0</v>
      </c>
      <c r="I54" s="150"/>
      <c r="J54" s="150"/>
      <c r="K54" s="150"/>
    </row>
    <row r="55" spans="1:11">
      <c r="A55" s="499">
        <f>'Major Assumption Key'!A46</f>
        <v>2047</v>
      </c>
      <c r="B55" s="504">
        <f t="shared" si="7"/>
        <v>0</v>
      </c>
      <c r="C55" s="505">
        <f t="shared" si="1"/>
        <v>0</v>
      </c>
      <c r="D55" s="514">
        <f t="shared" si="2"/>
        <v>0</v>
      </c>
      <c r="E55" s="515">
        <f t="shared" si="3"/>
        <v>0</v>
      </c>
      <c r="F55" s="505">
        <f t="shared" si="4"/>
        <v>0</v>
      </c>
      <c r="G55" s="514">
        <f t="shared" si="5"/>
        <v>0</v>
      </c>
      <c r="H55" s="515">
        <f t="shared" si="6"/>
        <v>0</v>
      </c>
      <c r="I55" s="150"/>
      <c r="J55" s="150"/>
      <c r="K55" s="150"/>
    </row>
    <row r="56" spans="1:11">
      <c r="A56" s="499">
        <f>'Major Assumption Key'!A47</f>
        <v>2048</v>
      </c>
      <c r="B56" s="504">
        <f t="shared" si="7"/>
        <v>0</v>
      </c>
      <c r="C56" s="505">
        <f t="shared" si="1"/>
        <v>0</v>
      </c>
      <c r="D56" s="514">
        <f t="shared" si="2"/>
        <v>0</v>
      </c>
      <c r="E56" s="515">
        <f t="shared" si="3"/>
        <v>0</v>
      </c>
      <c r="F56" s="505">
        <f t="shared" si="4"/>
        <v>0</v>
      </c>
      <c r="G56" s="514">
        <f t="shared" si="5"/>
        <v>0</v>
      </c>
      <c r="H56" s="515">
        <f t="shared" si="6"/>
        <v>0</v>
      </c>
      <c r="I56" s="150"/>
      <c r="J56" s="150"/>
      <c r="K56" s="150"/>
    </row>
    <row r="57" spans="1:11">
      <c r="A57" s="499">
        <f>'Major Assumption Key'!A48</f>
        <v>2049</v>
      </c>
      <c r="B57" s="504">
        <f t="shared" si="7"/>
        <v>0</v>
      </c>
      <c r="C57" s="505">
        <f t="shared" si="1"/>
        <v>0</v>
      </c>
      <c r="D57" s="514">
        <f t="shared" si="2"/>
        <v>0</v>
      </c>
      <c r="E57" s="515">
        <f t="shared" si="3"/>
        <v>0</v>
      </c>
      <c r="F57" s="505">
        <f t="shared" si="4"/>
        <v>0</v>
      </c>
      <c r="G57" s="514">
        <f t="shared" si="5"/>
        <v>0</v>
      </c>
      <c r="H57" s="515">
        <f t="shared" si="6"/>
        <v>0</v>
      </c>
      <c r="I57" s="150"/>
      <c r="J57" s="150"/>
      <c r="K57" s="150"/>
    </row>
    <row r="58" spans="1:11">
      <c r="A58" s="499">
        <f>'Major Assumption Key'!A49</f>
        <v>2050</v>
      </c>
      <c r="B58" s="504">
        <f t="shared" si="7"/>
        <v>0</v>
      </c>
      <c r="C58" s="505">
        <f t="shared" si="1"/>
        <v>0</v>
      </c>
      <c r="D58" s="514">
        <f t="shared" si="2"/>
        <v>0</v>
      </c>
      <c r="E58" s="515">
        <f t="shared" si="3"/>
        <v>0</v>
      </c>
      <c r="F58" s="505">
        <f t="shared" si="4"/>
        <v>0</v>
      </c>
      <c r="G58" s="514">
        <f t="shared" si="5"/>
        <v>0</v>
      </c>
      <c r="H58" s="515">
        <f t="shared" si="6"/>
        <v>0</v>
      </c>
      <c r="I58" s="150"/>
      <c r="J58" s="150"/>
      <c r="K58" s="150"/>
    </row>
    <row r="59" spans="1:11" ht="15" thickBot="1">
      <c r="A59" s="499">
        <f>'Major Assumption Key'!A50</f>
        <v>2051</v>
      </c>
      <c r="B59" s="516">
        <f t="shared" si="7"/>
        <v>0</v>
      </c>
      <c r="C59" s="517">
        <f t="shared" si="1"/>
        <v>0</v>
      </c>
      <c r="D59" s="518">
        <f t="shared" si="2"/>
        <v>0</v>
      </c>
      <c r="E59" s="519">
        <f t="shared" si="3"/>
        <v>0</v>
      </c>
      <c r="F59" s="517">
        <f t="shared" si="4"/>
        <v>0</v>
      </c>
      <c r="G59" s="518">
        <f t="shared" si="5"/>
        <v>0</v>
      </c>
      <c r="H59" s="519">
        <f t="shared" si="6"/>
        <v>0</v>
      </c>
      <c r="I59" s="150"/>
      <c r="J59" s="150"/>
      <c r="K59" s="150"/>
    </row>
    <row r="60" spans="1:11" ht="15" thickBot="1">
      <c r="A60" s="499">
        <f>'Major Assumption Key'!A51</f>
        <v>2052</v>
      </c>
      <c r="B60" s="516">
        <f t="shared" si="7"/>
        <v>0</v>
      </c>
      <c r="C60" s="517">
        <f t="shared" ref="C60:C67" si="8">SUM($D$20:$E$20)/(1+1%)^($D$5-A60)</f>
        <v>0</v>
      </c>
      <c r="D60" s="518">
        <f t="shared" ref="D60:D67" si="9">SUM($H$20:$I$20)/(1+1%)^($H$5-A60)/1000000</f>
        <v>0</v>
      </c>
      <c r="E60" s="519">
        <f t="shared" ref="E60:E67" si="10">SUM($L$20:$M$20)/(1+1%)^($L$5-A60)/1000000</f>
        <v>0</v>
      </c>
      <c r="F60" s="517">
        <f t="shared" ref="F60:F67" si="11">SUM($F$20:$G$20)/(1+1%)^($D$5-A60)</f>
        <v>0</v>
      </c>
      <c r="G60" s="518">
        <f t="shared" ref="G60:G67" si="12">SUM($J$20:$K$20)/(1+1%)^($H$5-A60)/1000000</f>
        <v>0</v>
      </c>
      <c r="H60" s="519">
        <f t="shared" ref="H60:H67" si="13">SUM($N$20:$O$20)/(1+1%)^($L$5-A60)/1000000</f>
        <v>0</v>
      </c>
    </row>
    <row r="61" spans="1:11" ht="15" thickBot="1">
      <c r="A61" s="499">
        <f>'Major Assumption Key'!A52</f>
        <v>2053</v>
      </c>
      <c r="B61" s="516">
        <f t="shared" si="7"/>
        <v>0</v>
      </c>
      <c r="C61" s="517">
        <f t="shared" si="8"/>
        <v>0</v>
      </c>
      <c r="D61" s="518">
        <f t="shared" si="9"/>
        <v>0</v>
      </c>
      <c r="E61" s="519">
        <f t="shared" si="10"/>
        <v>0</v>
      </c>
      <c r="F61" s="517">
        <f t="shared" si="11"/>
        <v>0</v>
      </c>
      <c r="G61" s="518">
        <f t="shared" si="12"/>
        <v>0</v>
      </c>
      <c r="H61" s="519">
        <f t="shared" si="13"/>
        <v>0</v>
      </c>
    </row>
    <row r="62" spans="1:11" ht="15" thickBot="1">
      <c r="A62" s="499">
        <f>'Major Assumption Key'!A53</f>
        <v>2054</v>
      </c>
      <c r="B62" s="516">
        <f t="shared" si="7"/>
        <v>0</v>
      </c>
      <c r="C62" s="517">
        <f t="shared" si="8"/>
        <v>0</v>
      </c>
      <c r="D62" s="518">
        <f t="shared" si="9"/>
        <v>0</v>
      </c>
      <c r="E62" s="519">
        <f t="shared" si="10"/>
        <v>0</v>
      </c>
      <c r="F62" s="517">
        <f t="shared" si="11"/>
        <v>0</v>
      </c>
      <c r="G62" s="518">
        <f t="shared" si="12"/>
        <v>0</v>
      </c>
      <c r="H62" s="519">
        <f t="shared" si="13"/>
        <v>0</v>
      </c>
    </row>
    <row r="63" spans="1:11" ht="15" thickBot="1">
      <c r="A63" s="499">
        <f>'Major Assumption Key'!A54</f>
        <v>2055</v>
      </c>
      <c r="B63" s="516">
        <f t="shared" si="7"/>
        <v>0</v>
      </c>
      <c r="C63" s="517">
        <f t="shared" si="8"/>
        <v>0</v>
      </c>
      <c r="D63" s="518">
        <f t="shared" si="9"/>
        <v>0</v>
      </c>
      <c r="E63" s="519">
        <f t="shared" si="10"/>
        <v>0</v>
      </c>
      <c r="F63" s="517">
        <f t="shared" si="11"/>
        <v>0</v>
      </c>
      <c r="G63" s="518">
        <f t="shared" si="12"/>
        <v>0</v>
      </c>
      <c r="H63" s="519">
        <f t="shared" si="13"/>
        <v>0</v>
      </c>
    </row>
    <row r="64" spans="1:11" ht="15" thickBot="1">
      <c r="A64" s="499">
        <f>'Major Assumption Key'!A55</f>
        <v>2056</v>
      </c>
      <c r="B64" s="516">
        <f t="shared" si="7"/>
        <v>0</v>
      </c>
      <c r="C64" s="517">
        <f t="shared" si="8"/>
        <v>0</v>
      </c>
      <c r="D64" s="518">
        <f t="shared" si="9"/>
        <v>0</v>
      </c>
      <c r="E64" s="519">
        <f t="shared" si="10"/>
        <v>0</v>
      </c>
      <c r="F64" s="517">
        <f t="shared" si="11"/>
        <v>0</v>
      </c>
      <c r="G64" s="518">
        <f t="shared" si="12"/>
        <v>0</v>
      </c>
      <c r="H64" s="519">
        <f t="shared" si="13"/>
        <v>0</v>
      </c>
    </row>
    <row r="65" spans="1:8" ht="15" thickBot="1">
      <c r="A65" s="499">
        <f>'Major Assumption Key'!A56</f>
        <v>2057</v>
      </c>
      <c r="B65" s="516">
        <f t="shared" si="7"/>
        <v>0</v>
      </c>
      <c r="C65" s="517">
        <f t="shared" si="8"/>
        <v>0</v>
      </c>
      <c r="D65" s="518">
        <f t="shared" si="9"/>
        <v>0</v>
      </c>
      <c r="E65" s="519">
        <f t="shared" si="10"/>
        <v>0</v>
      </c>
      <c r="F65" s="517">
        <f t="shared" si="11"/>
        <v>0</v>
      </c>
      <c r="G65" s="518">
        <f t="shared" si="12"/>
        <v>0</v>
      </c>
      <c r="H65" s="519">
        <f t="shared" si="13"/>
        <v>0</v>
      </c>
    </row>
    <row r="66" spans="1:8" ht="15" thickBot="1">
      <c r="A66" s="499">
        <f>'Major Assumption Key'!A57</f>
        <v>2058</v>
      </c>
      <c r="B66" s="516">
        <f t="shared" si="7"/>
        <v>0</v>
      </c>
      <c r="C66" s="517">
        <f t="shared" si="8"/>
        <v>0</v>
      </c>
      <c r="D66" s="518">
        <f t="shared" si="9"/>
        <v>0</v>
      </c>
      <c r="E66" s="519">
        <f t="shared" si="10"/>
        <v>0</v>
      </c>
      <c r="F66" s="517">
        <f t="shared" si="11"/>
        <v>0</v>
      </c>
      <c r="G66" s="518">
        <f t="shared" si="12"/>
        <v>0</v>
      </c>
      <c r="H66" s="519">
        <f t="shared" si="13"/>
        <v>0</v>
      </c>
    </row>
    <row r="67" spans="1:8" ht="15" thickBot="1">
      <c r="A67" s="499">
        <f>'Major Assumption Key'!A58</f>
        <v>2059</v>
      </c>
      <c r="B67" s="516">
        <f t="shared" si="7"/>
        <v>0</v>
      </c>
      <c r="C67" s="517">
        <f t="shared" si="8"/>
        <v>0</v>
      </c>
      <c r="D67" s="518">
        <f t="shared" si="9"/>
        <v>0</v>
      </c>
      <c r="E67" s="519">
        <f t="shared" si="10"/>
        <v>0</v>
      </c>
      <c r="F67" s="517">
        <f t="shared" si="11"/>
        <v>0</v>
      </c>
      <c r="G67" s="518">
        <f t="shared" si="12"/>
        <v>0</v>
      </c>
      <c r="H67" s="519">
        <f t="shared" si="13"/>
        <v>0</v>
      </c>
    </row>
    <row r="68" spans="1:8" ht="15" thickBot="1">
      <c r="A68" s="499">
        <f>'Major Assumption Key'!A59</f>
        <v>2060</v>
      </c>
      <c r="B68" s="516">
        <f t="shared" si="7"/>
        <v>0</v>
      </c>
      <c r="C68" s="517">
        <f t="shared" ref="C68" si="14">SUM($D$20:$E$20)/(1+1%)^($D$5-A68)</f>
        <v>0</v>
      </c>
      <c r="D68" s="518">
        <f t="shared" ref="D68" si="15">SUM($H$20:$I$20)/(1+1%)^($H$5-A68)/1000000</f>
        <v>0</v>
      </c>
      <c r="E68" s="519">
        <f t="shared" ref="E68" si="16">SUM($L$20:$M$20)/(1+1%)^($L$5-A68)/1000000</f>
        <v>0</v>
      </c>
      <c r="F68" s="517">
        <f t="shared" ref="F68" si="17">SUM($F$20:$G$20)/(1+1%)^($D$5-A68)</f>
        <v>0</v>
      </c>
      <c r="G68" s="518">
        <f t="shared" ref="G68" si="18">SUM($J$20:$K$20)/(1+1%)^($H$5-A68)/1000000</f>
        <v>0</v>
      </c>
      <c r="H68" s="519">
        <f t="shared" ref="H68" si="19">SUM($N$20:$O$20)/(1+1%)^($L$5-A68)/1000000</f>
        <v>0</v>
      </c>
    </row>
  </sheetData>
  <mergeCells count="19">
    <mergeCell ref="L5:O5"/>
    <mergeCell ref="B5:C5"/>
    <mergeCell ref="D6:G6"/>
    <mergeCell ref="D7:E7"/>
    <mergeCell ref="F7:G7"/>
    <mergeCell ref="B6:C7"/>
    <mergeCell ref="D5:G5"/>
    <mergeCell ref="H5:K5"/>
    <mergeCell ref="L6:O6"/>
    <mergeCell ref="L7:M7"/>
    <mergeCell ref="N7:O7"/>
    <mergeCell ref="A26:A27"/>
    <mergeCell ref="F26:H26"/>
    <mergeCell ref="C26:E26"/>
    <mergeCell ref="B26:B27"/>
    <mergeCell ref="H6:K6"/>
    <mergeCell ref="H7:I7"/>
    <mergeCell ref="J7:K7"/>
    <mergeCell ref="A6:A8"/>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21875" defaultRowHeight="14.4"/>
  <cols>
    <col min="1" max="1" width="70.77734375" style="3" bestFit="1" customWidth="1"/>
    <col min="2" max="3" width="28.21875" style="3" customWidth="1"/>
    <col min="4" max="4" width="36.5546875" style="3" customWidth="1"/>
    <col min="5" max="5" width="7.5546875" style="3" customWidth="1"/>
    <col min="6" max="7" width="31" style="3" customWidth="1"/>
    <col min="8" max="8" width="25.5546875" style="3" customWidth="1"/>
    <col min="9" max="9" width="23.21875" style="3" customWidth="1"/>
    <col min="10" max="10" width="19.77734375" style="3" customWidth="1"/>
    <col min="11" max="11" width="20" style="3" bestFit="1" customWidth="1"/>
    <col min="12" max="12" width="18.21875" style="3" bestFit="1" customWidth="1"/>
    <col min="13" max="13" width="9.21875" style="129"/>
    <col min="14" max="14" width="14.21875" style="129" bestFit="1" customWidth="1"/>
    <col min="15" max="15" width="9.44140625" style="129" bestFit="1" customWidth="1"/>
    <col min="16" max="17" width="9" style="129" bestFit="1" customWidth="1"/>
    <col min="18" max="23" width="9.21875" style="129"/>
    <col min="34" max="34" width="9.21875" style="129"/>
    <col min="35" max="35" width="11.21875" style="129" bestFit="1" customWidth="1"/>
    <col min="36" max="16384" width="9.21875" style="129"/>
  </cols>
  <sheetData>
    <row r="1" spans="1:17" ht="25.2" customHeight="1">
      <c r="A1" s="271" t="s">
        <v>185</v>
      </c>
      <c r="B1" s="42" t="s">
        <v>7335</v>
      </c>
      <c r="C1" s="128"/>
      <c r="D1" s="128"/>
      <c r="E1" s="128"/>
      <c r="F1" s="33" t="s">
        <v>187</v>
      </c>
      <c r="G1" s="33"/>
      <c r="H1" s="45" t="str">
        <f>HYPERLINK("#'"&amp;INDEX('Master Key'!$B:$B,MATCH("Master Key",'Master Key'!$B:$B,0),1)&amp;"'!A1","Go To Sheet")</f>
        <v>Go To Sheet</v>
      </c>
    </row>
    <row r="2" spans="1:17" ht="15" thickBot="1">
      <c r="A2" s="129"/>
      <c r="E2" s="129"/>
    </row>
    <row r="3" spans="1:17" ht="60" customHeight="1">
      <c r="A3" s="155" t="s">
        <v>482</v>
      </c>
      <c r="B3" s="2054" t="s">
        <v>7336</v>
      </c>
      <c r="C3" s="2128"/>
      <c r="D3" s="2128"/>
      <c r="E3" s="130"/>
      <c r="F3" s="2055" t="s">
        <v>484</v>
      </c>
      <c r="G3" s="2056"/>
      <c r="H3" s="2056"/>
      <c r="I3" s="2056"/>
      <c r="J3" s="2056"/>
      <c r="K3" s="2056"/>
      <c r="L3" s="2058"/>
      <c r="M3" s="13"/>
      <c r="N3" s="1975" t="s">
        <v>420</v>
      </c>
      <c r="O3" s="1975"/>
      <c r="P3" s="1975"/>
      <c r="Q3" s="1975"/>
    </row>
    <row r="4" spans="1:17" ht="18" customHeight="1">
      <c r="A4" s="131"/>
      <c r="B4" s="131"/>
      <c r="C4" s="131"/>
      <c r="D4" s="131"/>
      <c r="E4" s="130"/>
      <c r="F4" s="132" t="s">
        <v>485</v>
      </c>
      <c r="G4" s="133" t="s">
        <v>66</v>
      </c>
      <c r="H4" s="135" t="s">
        <v>66</v>
      </c>
      <c r="I4" s="133" t="s">
        <v>131</v>
      </c>
      <c r="J4" s="136" t="s">
        <v>131</v>
      </c>
      <c r="K4" s="2129" t="s">
        <v>7155</v>
      </c>
      <c r="L4" s="2073"/>
      <c r="M4" s="291"/>
      <c r="N4" s="28" t="s">
        <v>66</v>
      </c>
      <c r="O4" s="30" t="s">
        <v>131</v>
      </c>
      <c r="P4" s="1933" t="s">
        <v>488</v>
      </c>
      <c r="Q4" s="1934"/>
    </row>
    <row r="5" spans="1:17" ht="60" customHeight="1" thickBot="1">
      <c r="A5" s="210" t="s">
        <v>489</v>
      </c>
      <c r="B5" s="2052" t="s">
        <v>7337</v>
      </c>
      <c r="C5" s="2052"/>
      <c r="D5" s="2052"/>
      <c r="E5" s="129"/>
      <c r="F5" s="137" t="s">
        <v>491</v>
      </c>
      <c r="G5" s="138" t="s">
        <v>503</v>
      </c>
      <c r="H5" s="139" t="s">
        <v>512</v>
      </c>
      <c r="I5" s="138" t="s">
        <v>503</v>
      </c>
      <c r="J5" s="140" t="s">
        <v>512</v>
      </c>
      <c r="K5" s="2130"/>
      <c r="L5" s="2075"/>
      <c r="M5" s="291"/>
      <c r="N5" s="29" t="s">
        <v>512</v>
      </c>
      <c r="O5" s="31" t="s">
        <v>512</v>
      </c>
      <c r="P5" s="1935"/>
      <c r="Q5" s="1936"/>
    </row>
    <row r="6" spans="1:17" ht="123" customHeight="1">
      <c r="A6" s="2161" t="s">
        <v>7338</v>
      </c>
      <c r="B6" s="2161"/>
      <c r="C6" s="2161"/>
      <c r="D6" s="2161"/>
      <c r="E6" s="129"/>
      <c r="F6" s="137"/>
      <c r="G6" s="138" t="s">
        <v>7339</v>
      </c>
      <c r="H6" s="139" t="s">
        <v>15</v>
      </c>
      <c r="I6" s="138" t="s">
        <v>7339</v>
      </c>
      <c r="J6" s="140" t="s">
        <v>15</v>
      </c>
      <c r="K6" s="141" t="s">
        <v>419</v>
      </c>
      <c r="L6" s="142" t="str">
        <f>"Discounted @ "&amp;TEXT('Major Assumption Key'!$B$8,"0.0%")</f>
        <v>Discounted @ 3.1%</v>
      </c>
      <c r="M6" s="291"/>
      <c r="N6" s="29" t="s">
        <v>666</v>
      </c>
      <c r="O6" s="31" t="s">
        <v>666</v>
      </c>
      <c r="P6" s="23" t="s">
        <v>419</v>
      </c>
      <c r="Q6" s="24" t="str">
        <f>"Discounted @ "&amp;TEXT('Major Assumption Key'!$B$8,"0.0%")</f>
        <v>Discounted @ 3.1%</v>
      </c>
    </row>
    <row r="7" spans="1:17" ht="19.95" customHeight="1">
      <c r="C7" s="129"/>
      <c r="D7" s="129"/>
      <c r="E7" s="129"/>
      <c r="F7" s="906">
        <f>'Major Assumption Key'!$A19</f>
        <v>2020</v>
      </c>
      <c r="G7" s="938">
        <v>0</v>
      </c>
      <c r="H7" s="784">
        <f>IF(AND($F7&gt;=MIN('Major Assumption Key'!$B$4),$F7&lt;=MAX('Major Assumption Key'!$B$6)),G7,0)</f>
        <v>0</v>
      </c>
      <c r="I7" s="938">
        <f t="shared" ref="I7" si="0">IF(F7=$B$21,B19*B20,0)</f>
        <v>0</v>
      </c>
      <c r="J7" s="848">
        <f>IF(AND($F7&gt;=MIN('Major Assumption Key'!$B$4),$F7&lt;=MAX('Major Assumption Key'!$B$6)),I7,0)</f>
        <v>0</v>
      </c>
      <c r="K7" s="37">
        <f t="shared" ref="K7" si="1">J7-H7</f>
        <v>0</v>
      </c>
      <c r="L7" s="38">
        <f>K7/(1+'Major Assumption Key'!$B$8)^($F7-'Major Assumption Key'!$B$7)</f>
        <v>0</v>
      </c>
      <c r="M7" s="291"/>
      <c r="N7" s="784">
        <f>ROUND(H7,-3)</f>
        <v>0</v>
      </c>
      <c r="O7" s="855">
        <f>ROUND(J7,-3)</f>
        <v>0</v>
      </c>
      <c r="P7" s="26">
        <f>ROUND(K7,-3)</f>
        <v>0</v>
      </c>
      <c r="Q7" s="38">
        <f>ROUND(L7,-3)</f>
        <v>0</v>
      </c>
    </row>
    <row r="8" spans="1:17" ht="19.95" customHeight="1">
      <c r="A8" s="129"/>
      <c r="B8" s="129"/>
      <c r="C8" s="129"/>
      <c r="D8" s="129"/>
      <c r="E8" s="129"/>
      <c r="F8" s="906">
        <f>'Major Assumption Key'!$A20</f>
        <v>2021</v>
      </c>
      <c r="G8" s="938">
        <v>0</v>
      </c>
      <c r="H8" s="784">
        <f>IF(AND($F8&gt;=MIN('Major Assumption Key'!$B$4),$F8&lt;=MAX('Major Assumption Key'!$B$6)),G8,0)</f>
        <v>0</v>
      </c>
      <c r="I8" s="938">
        <f t="shared" ref="I8:I47" si="2">IF(F8=$B$21,B20*B21,0)</f>
        <v>0</v>
      </c>
      <c r="J8" s="848">
        <f>IF(AND($F8&gt;=MIN('Major Assumption Key'!$B$4),$F8&lt;=MAX('Major Assumption Key'!$B$6)),I8,0)</f>
        <v>0</v>
      </c>
      <c r="K8" s="37">
        <f t="shared" ref="K8:K47" si="3">J8-H8</f>
        <v>0</v>
      </c>
      <c r="L8" s="38">
        <f>K8/(1+'Major Assumption Key'!$B$8)^($F8-'Major Assumption Key'!$B$7)</f>
        <v>0</v>
      </c>
      <c r="M8" s="291"/>
      <c r="N8" s="784">
        <f t="shared" ref="N8:N47" si="4">ROUND(H8,-3)</f>
        <v>0</v>
      </c>
      <c r="O8" s="855">
        <f t="shared" ref="O8:O47" si="5">ROUND(J8,-3)</f>
        <v>0</v>
      </c>
      <c r="P8" s="26">
        <f t="shared" ref="P8:P47" si="6">ROUND(K8,-3)</f>
        <v>0</v>
      </c>
      <c r="Q8" s="38">
        <f t="shared" ref="Q8:Q47" si="7">ROUND(L8,-3)</f>
        <v>0</v>
      </c>
    </row>
    <row r="9" spans="1:17" ht="19.95" customHeight="1">
      <c r="A9" s="1888" t="s">
        <v>432</v>
      </c>
      <c r="B9" s="1889"/>
      <c r="C9" s="1889"/>
      <c r="D9" s="1890"/>
      <c r="E9" s="129"/>
      <c r="F9" s="906">
        <f>'Major Assumption Key'!$A21</f>
        <v>2022</v>
      </c>
      <c r="G9" s="938">
        <v>0</v>
      </c>
      <c r="H9" s="784">
        <f>IF(AND($F9&gt;=MIN('Major Assumption Key'!$B$4),$F9&lt;=MAX('Major Assumption Key'!$B$6)),G9,0)</f>
        <v>0</v>
      </c>
      <c r="I9" s="938">
        <f t="shared" si="2"/>
        <v>0</v>
      </c>
      <c r="J9" s="848">
        <f>IF(AND($F9&gt;=MIN('Major Assumption Key'!$B$4),$F9&lt;=MAX('Major Assumption Key'!$B$6)),I9,0)</f>
        <v>0</v>
      </c>
      <c r="K9" s="37">
        <f t="shared" si="3"/>
        <v>0</v>
      </c>
      <c r="L9" s="38">
        <f>K9/(1+'Major Assumption Key'!$B$8)^($F9-'Major Assumption Key'!$B$7)</f>
        <v>0</v>
      </c>
      <c r="M9" s="291"/>
      <c r="N9" s="784">
        <f t="shared" si="4"/>
        <v>0</v>
      </c>
      <c r="O9" s="855">
        <f t="shared" si="5"/>
        <v>0</v>
      </c>
      <c r="P9" s="26">
        <f t="shared" si="6"/>
        <v>0</v>
      </c>
      <c r="Q9" s="38">
        <f t="shared" si="7"/>
        <v>0</v>
      </c>
    </row>
    <row r="10" spans="1:17" ht="19.95" customHeight="1">
      <c r="A10" s="1891" t="s">
        <v>418</v>
      </c>
      <c r="B10" s="1891"/>
      <c r="C10" s="49" t="s">
        <v>419</v>
      </c>
      <c r="D10" s="49" t="str">
        <f>_xlfn.CONCAT("Discounted @",TEXT('Major Assumption Key'!B8,"0.0%"))</f>
        <v>Discounted @3.1%</v>
      </c>
      <c r="E10" s="129"/>
      <c r="F10" s="906">
        <f>'Major Assumption Key'!$A22</f>
        <v>2023</v>
      </c>
      <c r="G10" s="938">
        <v>0</v>
      </c>
      <c r="H10" s="784">
        <f>IF(AND($F10&gt;=MIN('Major Assumption Key'!$B$4),$F10&lt;=MAX('Major Assumption Key'!$B$6)),G10,0)</f>
        <v>0</v>
      </c>
      <c r="I10" s="938">
        <f t="shared" si="2"/>
        <v>0</v>
      </c>
      <c r="J10" s="848">
        <f>IF(AND($F10&gt;=MIN('Major Assumption Key'!$B$4),$F10&lt;=MAX('Major Assumption Key'!$B$6)),I10,0)</f>
        <v>0</v>
      </c>
      <c r="K10" s="37">
        <f t="shared" si="3"/>
        <v>0</v>
      </c>
      <c r="L10" s="38">
        <f>K10/(1+'Major Assumption Key'!$B$8)^($F10-'Major Assumption Key'!$B$7)</f>
        <v>0</v>
      </c>
      <c r="M10" s="291"/>
      <c r="N10" s="784">
        <f t="shared" si="4"/>
        <v>0</v>
      </c>
      <c r="O10" s="855">
        <f t="shared" si="5"/>
        <v>0</v>
      </c>
      <c r="P10" s="26">
        <f t="shared" si="6"/>
        <v>0</v>
      </c>
      <c r="Q10" s="38">
        <f t="shared" si="7"/>
        <v>0</v>
      </c>
    </row>
    <row r="11" spans="1:17" ht="19.95" customHeight="1">
      <c r="A11" s="1892" t="s">
        <v>11</v>
      </c>
      <c r="B11" s="1892"/>
      <c r="C11" s="56">
        <f>'BCA Summary'!$H$7</f>
        <v>1.0111569298276737</v>
      </c>
      <c r="D11" s="56">
        <f>'BCA Summary'!$I$7</f>
        <v>0.6276932096418345</v>
      </c>
      <c r="E11" s="129"/>
      <c r="F11" s="906">
        <f>'Major Assumption Key'!$A23</f>
        <v>2024</v>
      </c>
      <c r="G11" s="938">
        <v>0</v>
      </c>
      <c r="H11" s="784">
        <f>IF(AND($F11&gt;=MIN('Major Assumption Key'!$B$4),$F11&lt;=MAX('Major Assumption Key'!$B$6)),G11,0)</f>
        <v>0</v>
      </c>
      <c r="I11" s="938">
        <f t="shared" si="2"/>
        <v>0</v>
      </c>
      <c r="J11" s="848">
        <f>IF(AND($F11&gt;=MIN('Major Assumption Key'!$B$4),$F11&lt;=MAX('Major Assumption Key'!$B$6)),I11,0)</f>
        <v>0</v>
      </c>
      <c r="K11" s="37">
        <f t="shared" si="3"/>
        <v>0</v>
      </c>
      <c r="L11" s="38">
        <f>K11/(1+'Major Assumption Key'!$B$8)^($F11-'Major Assumption Key'!$B$7)</f>
        <v>0</v>
      </c>
      <c r="M11" s="291"/>
      <c r="N11" s="784">
        <f t="shared" si="4"/>
        <v>0</v>
      </c>
      <c r="O11" s="855">
        <f t="shared" si="5"/>
        <v>0</v>
      </c>
      <c r="P11" s="26">
        <f t="shared" si="6"/>
        <v>0</v>
      </c>
      <c r="Q11" s="38">
        <f t="shared" si="7"/>
        <v>0</v>
      </c>
    </row>
    <row r="12" spans="1:17" ht="19.95" customHeight="1">
      <c r="A12" s="1892" t="s">
        <v>12</v>
      </c>
      <c r="B12" s="1892"/>
      <c r="C12" s="49">
        <f>'BCA Summary'!$H$8</f>
        <v>236636.98382712901</v>
      </c>
      <c r="D12" s="49">
        <f>'BCA Summary'!$I$8</f>
        <v>-6930297.4454113934</v>
      </c>
      <c r="E12" s="129"/>
      <c r="F12" s="906">
        <f>'Major Assumption Key'!$A24</f>
        <v>2025</v>
      </c>
      <c r="G12" s="938">
        <v>0</v>
      </c>
      <c r="H12" s="784">
        <f>IF(AND($F12&gt;=MIN('Major Assumption Key'!$B$4),$F12&lt;=MAX('Major Assumption Key'!$B$6)),G12,0)</f>
        <v>0</v>
      </c>
      <c r="I12" s="938">
        <f t="shared" si="2"/>
        <v>0</v>
      </c>
      <c r="J12" s="848">
        <f>IF(AND($F12&gt;=MIN('Major Assumption Key'!$B$4),$F12&lt;=MAX('Major Assumption Key'!$B$6)),I12,0)</f>
        <v>0</v>
      </c>
      <c r="K12" s="37">
        <f t="shared" si="3"/>
        <v>0</v>
      </c>
      <c r="L12" s="38">
        <f>K12/(1+'Major Assumption Key'!$B$8)^($F12-'Major Assumption Key'!$B$7)</f>
        <v>0</v>
      </c>
      <c r="M12" s="291"/>
      <c r="N12" s="784">
        <f t="shared" si="4"/>
        <v>0</v>
      </c>
      <c r="O12" s="855">
        <f t="shared" si="5"/>
        <v>0</v>
      </c>
      <c r="P12" s="26">
        <f t="shared" si="6"/>
        <v>0</v>
      </c>
      <c r="Q12" s="38">
        <f t="shared" si="7"/>
        <v>0</v>
      </c>
    </row>
    <row r="13" spans="1:17" ht="19.95" customHeight="1">
      <c r="E13" s="129"/>
      <c r="F13" s="906">
        <f>'Major Assumption Key'!$A25</f>
        <v>2026</v>
      </c>
      <c r="G13" s="938">
        <v>0</v>
      </c>
      <c r="H13" s="784">
        <f>IF(AND($F13&gt;=MIN('Major Assumption Key'!$B$4),$F13&lt;=MAX('Major Assumption Key'!$B$6)),G13,0)</f>
        <v>0</v>
      </c>
      <c r="I13" s="938">
        <f t="shared" si="2"/>
        <v>0</v>
      </c>
      <c r="J13" s="848">
        <f>IF(AND($F13&gt;=MIN('Major Assumption Key'!$B$4),$F13&lt;=MAX('Major Assumption Key'!$B$6)),I13,0)</f>
        <v>0</v>
      </c>
      <c r="K13" s="37">
        <f t="shared" si="3"/>
        <v>0</v>
      </c>
      <c r="L13" s="38">
        <f>K13/(1+'Major Assumption Key'!$B$8)^($F13-'Major Assumption Key'!$B$7)</f>
        <v>0</v>
      </c>
      <c r="M13" s="291"/>
      <c r="N13" s="784">
        <f t="shared" si="4"/>
        <v>0</v>
      </c>
      <c r="O13" s="855">
        <f t="shared" si="5"/>
        <v>0</v>
      </c>
      <c r="P13" s="26">
        <f t="shared" si="6"/>
        <v>0</v>
      </c>
      <c r="Q13" s="38">
        <f t="shared" si="7"/>
        <v>0</v>
      </c>
    </row>
    <row r="14" spans="1:17" ht="19.95" customHeight="1" thickBot="1">
      <c r="E14" s="129"/>
      <c r="F14" s="906">
        <f>'Major Assumption Key'!$A26</f>
        <v>2027</v>
      </c>
      <c r="G14" s="938">
        <v>0</v>
      </c>
      <c r="H14" s="784">
        <f>IF(AND($F14&gt;=MIN('Major Assumption Key'!$B$4),$F14&lt;=MAX('Major Assumption Key'!$B$6)),G14,0)</f>
        <v>0</v>
      </c>
      <c r="I14" s="938">
        <f t="shared" si="2"/>
        <v>0</v>
      </c>
      <c r="J14" s="848">
        <f>IF(AND($F14&gt;=MIN('Major Assumption Key'!$B$4),$F14&lt;=MAX('Major Assumption Key'!$B$6)),I14,0)</f>
        <v>0</v>
      </c>
      <c r="K14" s="37">
        <f t="shared" si="3"/>
        <v>0</v>
      </c>
      <c r="L14" s="38">
        <f>K14/(1+'Major Assumption Key'!$B$8)^($F14-'Major Assumption Key'!$B$7)</f>
        <v>0</v>
      </c>
      <c r="M14" s="291"/>
      <c r="N14" s="784">
        <f t="shared" si="4"/>
        <v>0</v>
      </c>
      <c r="O14" s="855">
        <f t="shared" si="5"/>
        <v>0</v>
      </c>
      <c r="P14" s="26">
        <f t="shared" si="6"/>
        <v>0</v>
      </c>
      <c r="Q14" s="38">
        <f t="shared" si="7"/>
        <v>0</v>
      </c>
    </row>
    <row r="15" spans="1:17" ht="19.95" customHeight="1">
      <c r="A15" s="377" t="s">
        <v>433</v>
      </c>
      <c r="B15" s="390" t="s">
        <v>434</v>
      </c>
      <c r="C15" s="2076" t="s">
        <v>498</v>
      </c>
      <c r="D15" s="2077"/>
      <c r="E15" s="129"/>
      <c r="F15" s="906">
        <f>'Major Assumption Key'!$A27</f>
        <v>2028</v>
      </c>
      <c r="G15" s="938">
        <v>0</v>
      </c>
      <c r="H15" s="784">
        <f>IF(AND($F15&gt;=MIN('Major Assumption Key'!$B$4),$F15&lt;=MAX('Major Assumption Key'!$B$6)),G15,0)</f>
        <v>0</v>
      </c>
      <c r="I15" s="938">
        <f t="shared" si="2"/>
        <v>0</v>
      </c>
      <c r="J15" s="848">
        <f>IF(AND($F15&gt;=MIN('Major Assumption Key'!$B$4),$F15&lt;=MAX('Major Assumption Key'!$B$6)),I15,0)</f>
        <v>0</v>
      </c>
      <c r="K15" s="37">
        <f t="shared" si="3"/>
        <v>0</v>
      </c>
      <c r="L15" s="38">
        <f>K15/(1+'Major Assumption Key'!$B$8)^($F15-'Major Assumption Key'!$B$7)</f>
        <v>0</v>
      </c>
      <c r="M15" s="291"/>
      <c r="N15" s="784">
        <f t="shared" si="4"/>
        <v>0</v>
      </c>
      <c r="O15" s="855">
        <f t="shared" si="5"/>
        <v>0</v>
      </c>
      <c r="P15" s="26">
        <f t="shared" si="6"/>
        <v>0</v>
      </c>
      <c r="Q15" s="38">
        <f t="shared" si="7"/>
        <v>0</v>
      </c>
    </row>
    <row r="16" spans="1:17" ht="19.95" customHeight="1">
      <c r="A16" s="768" t="str">
        <f>'Major Assumption Key'!$A$3</f>
        <v>Project Open Year:</v>
      </c>
      <c r="B16" s="777">
        <f>'Major Assumption Key'!$B$3</f>
        <v>2028</v>
      </c>
      <c r="C16" s="767" t="s">
        <v>436</v>
      </c>
      <c r="D16" s="547"/>
      <c r="E16" s="129"/>
      <c r="F16" s="906">
        <f>'Major Assumption Key'!$A28</f>
        <v>2029</v>
      </c>
      <c r="G16" s="938">
        <v>0</v>
      </c>
      <c r="H16" s="784">
        <f>IF(AND($F16&gt;=MIN('Major Assumption Key'!$B$4),$F16&lt;=MAX('Major Assumption Key'!$B$6)),G16,0)</f>
        <v>0</v>
      </c>
      <c r="I16" s="938">
        <f t="shared" si="2"/>
        <v>0</v>
      </c>
      <c r="J16" s="848">
        <f>IF(AND($F16&gt;=MIN('Major Assumption Key'!$B$4),$F16&lt;=MAX('Major Assumption Key'!$B$6)),I16,0)</f>
        <v>0</v>
      </c>
      <c r="K16" s="37">
        <f t="shared" si="3"/>
        <v>0</v>
      </c>
      <c r="L16" s="38">
        <f>K16/(1+'Major Assumption Key'!$B$8)^($F16-'Major Assumption Key'!$B$7)</f>
        <v>0</v>
      </c>
      <c r="M16" s="291"/>
      <c r="N16" s="784">
        <f t="shared" si="4"/>
        <v>0</v>
      </c>
      <c r="O16" s="855">
        <f t="shared" si="5"/>
        <v>0</v>
      </c>
      <c r="P16" s="26">
        <f t="shared" si="6"/>
        <v>0</v>
      </c>
      <c r="Q16" s="38">
        <f t="shared" si="7"/>
        <v>0</v>
      </c>
    </row>
    <row r="17" spans="1:17" ht="19.95" customHeight="1">
      <c r="A17" s="768" t="str">
        <f>'Major Assumption Key'!$A$4</f>
        <v>Planning Horizon Begin Year:</v>
      </c>
      <c r="B17" s="777">
        <f>'Major Assumption Key'!$B$4</f>
        <v>2022</v>
      </c>
      <c r="C17" s="767" t="s">
        <v>436</v>
      </c>
      <c r="D17" s="770"/>
      <c r="E17" s="129"/>
      <c r="F17" s="906">
        <f>'Major Assumption Key'!$A29</f>
        <v>2030</v>
      </c>
      <c r="G17" s="938">
        <v>0</v>
      </c>
      <c r="H17" s="784">
        <f>IF(AND($F17&gt;=MIN('Major Assumption Key'!$B$4),$F17&lt;=MAX('Major Assumption Key'!$B$6)),G17,0)</f>
        <v>0</v>
      </c>
      <c r="I17" s="938">
        <f t="shared" si="2"/>
        <v>0</v>
      </c>
      <c r="J17" s="848">
        <f>IF(AND($F17&gt;=MIN('Major Assumption Key'!$B$4),$F17&lt;=MAX('Major Assumption Key'!$B$6)),I17,0)</f>
        <v>0</v>
      </c>
      <c r="K17" s="37">
        <f t="shared" si="3"/>
        <v>0</v>
      </c>
      <c r="L17" s="38">
        <f>K17/(1+'Major Assumption Key'!$B$8)^($F17-'Major Assumption Key'!$B$7)</f>
        <v>0</v>
      </c>
      <c r="M17" s="291"/>
      <c r="N17" s="784">
        <f t="shared" si="4"/>
        <v>0</v>
      </c>
      <c r="O17" s="855">
        <f t="shared" si="5"/>
        <v>0</v>
      </c>
      <c r="P17" s="26">
        <f t="shared" si="6"/>
        <v>0</v>
      </c>
      <c r="Q17" s="38">
        <f t="shared" si="7"/>
        <v>0</v>
      </c>
    </row>
    <row r="18" spans="1:17" ht="19.95" customHeight="1">
      <c r="A18" s="768" t="str">
        <f>'Major Assumption Key'!$A$6</f>
        <v>Planning Horizon End Year:</v>
      </c>
      <c r="B18" s="777">
        <f>'Major Assumption Key'!$B$6</f>
        <v>2047</v>
      </c>
      <c r="C18" s="767" t="s">
        <v>436</v>
      </c>
      <c r="D18" s="770"/>
      <c r="E18" s="129"/>
      <c r="F18" s="906">
        <f>'Major Assumption Key'!$A30</f>
        <v>2031</v>
      </c>
      <c r="G18" s="938">
        <v>0</v>
      </c>
      <c r="H18" s="784">
        <f>IF(AND($F18&gt;=MIN('Major Assumption Key'!$B$4),$F18&lt;=MAX('Major Assumption Key'!$B$6)),G18,0)</f>
        <v>0</v>
      </c>
      <c r="I18" s="938">
        <f t="shared" si="2"/>
        <v>0</v>
      </c>
      <c r="J18" s="848">
        <f>IF(AND($F18&gt;=MIN('Major Assumption Key'!$B$4),$F18&lt;=MAX('Major Assumption Key'!$B$6)),I18,0)</f>
        <v>0</v>
      </c>
      <c r="K18" s="37">
        <f t="shared" si="3"/>
        <v>0</v>
      </c>
      <c r="L18" s="38">
        <f>K18/(1+'Major Assumption Key'!$B$8)^($F18-'Major Assumption Key'!$B$7)</f>
        <v>0</v>
      </c>
      <c r="M18" s="291"/>
      <c r="N18" s="784">
        <f t="shared" si="4"/>
        <v>0</v>
      </c>
      <c r="O18" s="855">
        <f t="shared" si="5"/>
        <v>0</v>
      </c>
      <c r="P18" s="26">
        <f t="shared" si="6"/>
        <v>0</v>
      </c>
      <c r="Q18" s="38">
        <f t="shared" si="7"/>
        <v>0</v>
      </c>
    </row>
    <row r="19" spans="1:17" ht="19.95" customHeight="1">
      <c r="A19" s="768" t="s">
        <v>7340</v>
      </c>
      <c r="B19" s="939"/>
      <c r="C19" s="914" t="s">
        <v>1134</v>
      </c>
      <c r="D19" s="349"/>
      <c r="E19" s="129"/>
      <c r="F19" s="906">
        <f>'Major Assumption Key'!$A31</f>
        <v>2032</v>
      </c>
      <c r="G19" s="938">
        <v>0</v>
      </c>
      <c r="H19" s="784">
        <f>IF(AND($F19&gt;=MIN('Major Assumption Key'!$B$4),$F19&lt;=MAX('Major Assumption Key'!$B$6)),G19,0)</f>
        <v>0</v>
      </c>
      <c r="I19" s="938">
        <f t="shared" si="2"/>
        <v>0</v>
      </c>
      <c r="J19" s="848">
        <f>IF(AND($F19&gt;=MIN('Major Assumption Key'!$B$4),$F19&lt;=MAX('Major Assumption Key'!$B$6)),I19,0)</f>
        <v>0</v>
      </c>
      <c r="K19" s="37">
        <f t="shared" si="3"/>
        <v>0</v>
      </c>
      <c r="L19" s="38">
        <f>K19/(1+'Major Assumption Key'!$B$8)^($F19-'Major Assumption Key'!$B$7)</f>
        <v>0</v>
      </c>
      <c r="M19" s="291"/>
      <c r="N19" s="784">
        <f t="shared" si="4"/>
        <v>0</v>
      </c>
      <c r="O19" s="855">
        <f t="shared" si="5"/>
        <v>0</v>
      </c>
      <c r="P19" s="26">
        <f t="shared" si="6"/>
        <v>0</v>
      </c>
      <c r="Q19" s="38">
        <f t="shared" si="7"/>
        <v>0</v>
      </c>
    </row>
    <row r="20" spans="1:17" ht="19.95" customHeight="1">
      <c r="A20" s="916" t="s">
        <v>7341</v>
      </c>
      <c r="B20" s="939"/>
      <c r="C20" s="914" t="s">
        <v>7342</v>
      </c>
      <c r="D20" s="349"/>
      <c r="E20" s="129"/>
      <c r="F20" s="906">
        <f>'Major Assumption Key'!$A32</f>
        <v>2033</v>
      </c>
      <c r="G20" s="938">
        <v>0</v>
      </c>
      <c r="H20" s="784">
        <f>IF(AND($F20&gt;=MIN('Major Assumption Key'!$B$4),$F20&lt;=MAX('Major Assumption Key'!$B$6)),G20,0)</f>
        <v>0</v>
      </c>
      <c r="I20" s="938">
        <f t="shared" si="2"/>
        <v>0</v>
      </c>
      <c r="J20" s="848">
        <f>IF(AND($F20&gt;=MIN('Major Assumption Key'!$B$4),$F20&lt;=MAX('Major Assumption Key'!$B$6)),I20,0)</f>
        <v>0</v>
      </c>
      <c r="K20" s="37">
        <f t="shared" si="3"/>
        <v>0</v>
      </c>
      <c r="L20" s="38">
        <f>K20/(1+'Major Assumption Key'!$B$8)^($F20-'Major Assumption Key'!$B$7)</f>
        <v>0</v>
      </c>
      <c r="M20" s="291"/>
      <c r="N20" s="784">
        <f t="shared" si="4"/>
        <v>0</v>
      </c>
      <c r="O20" s="855">
        <f t="shared" si="5"/>
        <v>0</v>
      </c>
      <c r="P20" s="26">
        <f t="shared" si="6"/>
        <v>0</v>
      </c>
      <c r="Q20" s="38">
        <f t="shared" si="7"/>
        <v>0</v>
      </c>
    </row>
    <row r="21" spans="1:17" ht="19.95" customHeight="1" thickBot="1">
      <c r="A21" s="940" t="s">
        <v>7343</v>
      </c>
      <c r="B21" s="939"/>
      <c r="C21" s="941"/>
      <c r="D21" s="389"/>
      <c r="E21" s="129"/>
      <c r="F21" s="906">
        <f>'Major Assumption Key'!$A33</f>
        <v>2034</v>
      </c>
      <c r="G21" s="938">
        <v>0</v>
      </c>
      <c r="H21" s="784">
        <f>IF(AND($F21&gt;=MIN('Major Assumption Key'!$B$4),$F21&lt;=MAX('Major Assumption Key'!$B$6)),G21,0)</f>
        <v>0</v>
      </c>
      <c r="I21" s="938">
        <f t="shared" si="2"/>
        <v>0</v>
      </c>
      <c r="J21" s="848">
        <f>IF(AND($F21&gt;=MIN('Major Assumption Key'!$B$4),$F21&lt;=MAX('Major Assumption Key'!$B$6)),I21,0)</f>
        <v>0</v>
      </c>
      <c r="K21" s="37">
        <f t="shared" si="3"/>
        <v>0</v>
      </c>
      <c r="L21" s="38">
        <f>K21/(1+'Major Assumption Key'!$B$8)^($F21-'Major Assumption Key'!$B$7)</f>
        <v>0</v>
      </c>
      <c r="M21" s="291"/>
      <c r="N21" s="784">
        <f t="shared" si="4"/>
        <v>0</v>
      </c>
      <c r="O21" s="855">
        <f t="shared" si="5"/>
        <v>0</v>
      </c>
      <c r="P21" s="26">
        <f t="shared" si="6"/>
        <v>0</v>
      </c>
      <c r="Q21" s="38">
        <f t="shared" si="7"/>
        <v>0</v>
      </c>
    </row>
    <row r="22" spans="1:17" ht="19.95" customHeight="1">
      <c r="C22" s="351"/>
      <c r="E22" s="129"/>
      <c r="F22" s="906">
        <f>'Major Assumption Key'!$A34</f>
        <v>2035</v>
      </c>
      <c r="G22" s="938">
        <v>0</v>
      </c>
      <c r="H22" s="784">
        <f>IF(AND($F22&gt;=MIN('Major Assumption Key'!$B$4),$F22&lt;=MAX('Major Assumption Key'!$B$6)),G22,0)</f>
        <v>0</v>
      </c>
      <c r="I22" s="938">
        <f t="shared" si="2"/>
        <v>0</v>
      </c>
      <c r="J22" s="848">
        <f>IF(AND($F22&gt;=MIN('Major Assumption Key'!$B$4),$F22&lt;=MAX('Major Assumption Key'!$B$6)),I22,0)</f>
        <v>0</v>
      </c>
      <c r="K22" s="37">
        <f t="shared" si="3"/>
        <v>0</v>
      </c>
      <c r="L22" s="38">
        <f>K22/(1+'Major Assumption Key'!$B$8)^($F22-'Major Assumption Key'!$B$7)</f>
        <v>0</v>
      </c>
      <c r="M22" s="291"/>
      <c r="N22" s="784">
        <f t="shared" si="4"/>
        <v>0</v>
      </c>
      <c r="O22" s="855">
        <f t="shared" si="5"/>
        <v>0</v>
      </c>
      <c r="P22" s="26">
        <f t="shared" si="6"/>
        <v>0</v>
      </c>
      <c r="Q22" s="38">
        <f t="shared" si="7"/>
        <v>0</v>
      </c>
    </row>
    <row r="23" spans="1:17" ht="19.95" customHeight="1">
      <c r="C23" s="351"/>
      <c r="E23" s="129"/>
      <c r="F23" s="906">
        <f>'Major Assumption Key'!$A35</f>
        <v>2036</v>
      </c>
      <c r="G23" s="938">
        <v>0</v>
      </c>
      <c r="H23" s="784">
        <f>IF(AND($F23&gt;=MIN('Major Assumption Key'!$B$4),$F23&lt;=MAX('Major Assumption Key'!$B$6)),G23,0)</f>
        <v>0</v>
      </c>
      <c r="I23" s="938">
        <f t="shared" si="2"/>
        <v>0</v>
      </c>
      <c r="J23" s="848">
        <f>IF(AND($F23&gt;=MIN('Major Assumption Key'!$B$4),$F23&lt;=MAX('Major Assumption Key'!$B$6)),I23,0)</f>
        <v>0</v>
      </c>
      <c r="K23" s="37">
        <f t="shared" si="3"/>
        <v>0</v>
      </c>
      <c r="L23" s="38">
        <f>K23/(1+'Major Assumption Key'!$B$8)^($F23-'Major Assumption Key'!$B$7)</f>
        <v>0</v>
      </c>
      <c r="M23" s="291"/>
      <c r="N23" s="784">
        <f t="shared" si="4"/>
        <v>0</v>
      </c>
      <c r="O23" s="855">
        <f t="shared" si="5"/>
        <v>0</v>
      </c>
      <c r="P23" s="26">
        <f t="shared" si="6"/>
        <v>0</v>
      </c>
      <c r="Q23" s="38">
        <f t="shared" si="7"/>
        <v>0</v>
      </c>
    </row>
    <row r="24" spans="1:17" ht="19.95" customHeight="1">
      <c r="E24" s="129"/>
      <c r="F24" s="906">
        <f>'Major Assumption Key'!$A36</f>
        <v>2037</v>
      </c>
      <c r="G24" s="938">
        <v>0</v>
      </c>
      <c r="H24" s="784">
        <f>IF(AND($F24&gt;=MIN('Major Assumption Key'!$B$4),$F24&lt;=MAX('Major Assumption Key'!$B$6)),G24,0)</f>
        <v>0</v>
      </c>
      <c r="I24" s="938">
        <f t="shared" si="2"/>
        <v>0</v>
      </c>
      <c r="J24" s="848">
        <f>IF(AND($F24&gt;=MIN('Major Assumption Key'!$B$4),$F24&lt;=MAX('Major Assumption Key'!$B$6)),I24,0)</f>
        <v>0</v>
      </c>
      <c r="K24" s="37">
        <f t="shared" si="3"/>
        <v>0</v>
      </c>
      <c r="L24" s="38">
        <f>K24/(1+'Major Assumption Key'!$B$8)^($F24-'Major Assumption Key'!$B$7)</f>
        <v>0</v>
      </c>
      <c r="M24" s="291"/>
      <c r="N24" s="784">
        <f t="shared" si="4"/>
        <v>0</v>
      </c>
      <c r="O24" s="855">
        <f t="shared" si="5"/>
        <v>0</v>
      </c>
      <c r="P24" s="26">
        <f t="shared" si="6"/>
        <v>0</v>
      </c>
      <c r="Q24" s="38">
        <f t="shared" si="7"/>
        <v>0</v>
      </c>
    </row>
    <row r="25" spans="1:17" ht="19.95" customHeight="1">
      <c r="B25" s="365"/>
      <c r="E25" s="129"/>
      <c r="F25" s="906">
        <f>'Major Assumption Key'!$A37</f>
        <v>2038</v>
      </c>
      <c r="G25" s="938">
        <v>0</v>
      </c>
      <c r="H25" s="784">
        <f>IF(AND($F25&gt;=MIN('Major Assumption Key'!$B$4),$F25&lt;=MAX('Major Assumption Key'!$B$6)),G25,0)</f>
        <v>0</v>
      </c>
      <c r="I25" s="938">
        <f t="shared" si="2"/>
        <v>0</v>
      </c>
      <c r="J25" s="848">
        <f>IF(AND($F25&gt;=MIN('Major Assumption Key'!$B$4),$F25&lt;=MAX('Major Assumption Key'!$B$6)),I25,0)</f>
        <v>0</v>
      </c>
      <c r="K25" s="37">
        <f t="shared" si="3"/>
        <v>0</v>
      </c>
      <c r="L25" s="38">
        <f>K25/(1+'Major Assumption Key'!$B$8)^($F25-'Major Assumption Key'!$B$7)</f>
        <v>0</v>
      </c>
      <c r="M25" s="291"/>
      <c r="N25" s="784">
        <f t="shared" si="4"/>
        <v>0</v>
      </c>
      <c r="O25" s="855">
        <f t="shared" si="5"/>
        <v>0</v>
      </c>
      <c r="P25" s="26">
        <f t="shared" si="6"/>
        <v>0</v>
      </c>
      <c r="Q25" s="38">
        <f t="shared" si="7"/>
        <v>0</v>
      </c>
    </row>
    <row r="26" spans="1:17" ht="19.95" customHeight="1">
      <c r="E26" s="129"/>
      <c r="F26" s="906">
        <f>'Major Assumption Key'!$A38</f>
        <v>2039</v>
      </c>
      <c r="G26" s="938">
        <v>0</v>
      </c>
      <c r="H26" s="784">
        <f>IF(AND($F26&gt;=MIN('Major Assumption Key'!$B$4),$F26&lt;=MAX('Major Assumption Key'!$B$6)),G26,0)</f>
        <v>0</v>
      </c>
      <c r="I26" s="938">
        <f t="shared" si="2"/>
        <v>0</v>
      </c>
      <c r="J26" s="848">
        <f>IF(AND($F26&gt;=MIN('Major Assumption Key'!$B$4),$F26&lt;=MAX('Major Assumption Key'!$B$6)),I26,0)</f>
        <v>0</v>
      </c>
      <c r="K26" s="37">
        <f t="shared" si="3"/>
        <v>0</v>
      </c>
      <c r="L26" s="38">
        <f>K26/(1+'Major Assumption Key'!$B$8)^($F26-'Major Assumption Key'!$B$7)</f>
        <v>0</v>
      </c>
      <c r="M26" s="291"/>
      <c r="N26" s="784">
        <f t="shared" si="4"/>
        <v>0</v>
      </c>
      <c r="O26" s="855">
        <f t="shared" si="5"/>
        <v>0</v>
      </c>
      <c r="P26" s="26">
        <f t="shared" si="6"/>
        <v>0</v>
      </c>
      <c r="Q26" s="38">
        <f t="shared" si="7"/>
        <v>0</v>
      </c>
    </row>
    <row r="27" spans="1:17" ht="19.95" customHeight="1">
      <c r="E27" s="129"/>
      <c r="F27" s="906">
        <f>'Major Assumption Key'!$A39</f>
        <v>2040</v>
      </c>
      <c r="G27" s="938">
        <v>0</v>
      </c>
      <c r="H27" s="784">
        <f>IF(AND($F27&gt;=MIN('Major Assumption Key'!$B$4),$F27&lt;=MAX('Major Assumption Key'!$B$6)),G27,0)</f>
        <v>0</v>
      </c>
      <c r="I27" s="938">
        <f t="shared" si="2"/>
        <v>0</v>
      </c>
      <c r="J27" s="848">
        <f>IF(AND($F27&gt;=MIN('Major Assumption Key'!$B$4),$F27&lt;=MAX('Major Assumption Key'!$B$6)),I27,0)</f>
        <v>0</v>
      </c>
      <c r="K27" s="37">
        <f t="shared" si="3"/>
        <v>0</v>
      </c>
      <c r="L27" s="38">
        <f>K27/(1+'Major Assumption Key'!$B$8)^($F27-'Major Assumption Key'!$B$7)</f>
        <v>0</v>
      </c>
      <c r="M27" s="291"/>
      <c r="N27" s="784">
        <f t="shared" si="4"/>
        <v>0</v>
      </c>
      <c r="O27" s="855">
        <f t="shared" si="5"/>
        <v>0</v>
      </c>
      <c r="P27" s="26">
        <f t="shared" si="6"/>
        <v>0</v>
      </c>
      <c r="Q27" s="38">
        <f t="shared" si="7"/>
        <v>0</v>
      </c>
    </row>
    <row r="28" spans="1:17" ht="19.95" customHeight="1">
      <c r="E28" s="129"/>
      <c r="F28" s="906">
        <f>'Major Assumption Key'!$A40</f>
        <v>2041</v>
      </c>
      <c r="G28" s="938">
        <v>0</v>
      </c>
      <c r="H28" s="784">
        <f>IF(AND($F28&gt;=MIN('Major Assumption Key'!$B$4),$F28&lt;=MAX('Major Assumption Key'!$B$6)),G28,0)</f>
        <v>0</v>
      </c>
      <c r="I28" s="938">
        <f t="shared" si="2"/>
        <v>0</v>
      </c>
      <c r="J28" s="848">
        <f>IF(AND($F28&gt;=MIN('Major Assumption Key'!$B$4),$F28&lt;=MAX('Major Assumption Key'!$B$6)),I28,0)</f>
        <v>0</v>
      </c>
      <c r="K28" s="37">
        <f t="shared" si="3"/>
        <v>0</v>
      </c>
      <c r="L28" s="38">
        <f>K28/(1+'Major Assumption Key'!$B$8)^($F28-'Major Assumption Key'!$B$7)</f>
        <v>0</v>
      </c>
      <c r="M28" s="291"/>
      <c r="N28" s="784">
        <f t="shared" si="4"/>
        <v>0</v>
      </c>
      <c r="O28" s="855">
        <f t="shared" si="5"/>
        <v>0</v>
      </c>
      <c r="P28" s="26">
        <f t="shared" si="6"/>
        <v>0</v>
      </c>
      <c r="Q28" s="38">
        <f t="shared" si="7"/>
        <v>0</v>
      </c>
    </row>
    <row r="29" spans="1:17" ht="19.95" customHeight="1">
      <c r="E29" s="129"/>
      <c r="F29" s="906">
        <f>'Major Assumption Key'!$A41</f>
        <v>2042</v>
      </c>
      <c r="G29" s="938">
        <v>0</v>
      </c>
      <c r="H29" s="784">
        <f>IF(AND($F29&gt;=MIN('Major Assumption Key'!$B$4),$F29&lt;=MAX('Major Assumption Key'!$B$6)),G29,0)</f>
        <v>0</v>
      </c>
      <c r="I29" s="938">
        <f t="shared" si="2"/>
        <v>0</v>
      </c>
      <c r="J29" s="848">
        <f>IF(AND($F29&gt;=MIN('Major Assumption Key'!$B$4),$F29&lt;=MAX('Major Assumption Key'!$B$6)),I29,0)</f>
        <v>0</v>
      </c>
      <c r="K29" s="37">
        <f t="shared" si="3"/>
        <v>0</v>
      </c>
      <c r="L29" s="38">
        <f>K29/(1+'Major Assumption Key'!$B$8)^($F29-'Major Assumption Key'!$B$7)</f>
        <v>0</v>
      </c>
      <c r="M29" s="291"/>
      <c r="N29" s="784">
        <f t="shared" si="4"/>
        <v>0</v>
      </c>
      <c r="O29" s="855">
        <f t="shared" si="5"/>
        <v>0</v>
      </c>
      <c r="P29" s="26">
        <f t="shared" si="6"/>
        <v>0</v>
      </c>
      <c r="Q29" s="38">
        <f t="shared" si="7"/>
        <v>0</v>
      </c>
    </row>
    <row r="30" spans="1:17" ht="19.95" customHeight="1">
      <c r="E30" s="129"/>
      <c r="F30" s="906">
        <f>'Major Assumption Key'!$A42</f>
        <v>2043</v>
      </c>
      <c r="G30" s="938">
        <v>0</v>
      </c>
      <c r="H30" s="784">
        <f>IF(AND($F30&gt;=MIN('Major Assumption Key'!$B$4),$F30&lt;=MAX('Major Assumption Key'!$B$6)),G30,0)</f>
        <v>0</v>
      </c>
      <c r="I30" s="938">
        <f t="shared" si="2"/>
        <v>0</v>
      </c>
      <c r="J30" s="848">
        <f>IF(AND($F30&gt;=MIN('Major Assumption Key'!$B$4),$F30&lt;=MAX('Major Assumption Key'!$B$6)),I30,0)</f>
        <v>0</v>
      </c>
      <c r="K30" s="37">
        <f t="shared" si="3"/>
        <v>0</v>
      </c>
      <c r="L30" s="38">
        <f>K30/(1+'Major Assumption Key'!$B$8)^($F30-'Major Assumption Key'!$B$7)</f>
        <v>0</v>
      </c>
      <c r="M30" s="291"/>
      <c r="N30" s="784">
        <f t="shared" si="4"/>
        <v>0</v>
      </c>
      <c r="O30" s="855">
        <f t="shared" si="5"/>
        <v>0</v>
      </c>
      <c r="P30" s="26">
        <f t="shared" si="6"/>
        <v>0</v>
      </c>
      <c r="Q30" s="38">
        <f t="shared" si="7"/>
        <v>0</v>
      </c>
    </row>
    <row r="31" spans="1:17" ht="19.95" customHeight="1">
      <c r="E31" s="129"/>
      <c r="F31" s="906">
        <f>'Major Assumption Key'!$A43</f>
        <v>2044</v>
      </c>
      <c r="G31" s="938">
        <v>0</v>
      </c>
      <c r="H31" s="784">
        <f>IF(AND($F31&gt;=MIN('Major Assumption Key'!$B$4),$F31&lt;=MAX('Major Assumption Key'!$B$6)),G31,0)</f>
        <v>0</v>
      </c>
      <c r="I31" s="938">
        <f t="shared" si="2"/>
        <v>0</v>
      </c>
      <c r="J31" s="848">
        <f>IF(AND($F31&gt;=MIN('Major Assumption Key'!$B$4),$F31&lt;=MAX('Major Assumption Key'!$B$6)),I31,0)</f>
        <v>0</v>
      </c>
      <c r="K31" s="37">
        <f t="shared" si="3"/>
        <v>0</v>
      </c>
      <c r="L31" s="38">
        <f>K31/(1+'Major Assumption Key'!$B$8)^($F31-'Major Assumption Key'!$B$7)</f>
        <v>0</v>
      </c>
      <c r="M31" s="291"/>
      <c r="N31" s="784">
        <f t="shared" si="4"/>
        <v>0</v>
      </c>
      <c r="O31" s="855">
        <f t="shared" si="5"/>
        <v>0</v>
      </c>
      <c r="P31" s="26">
        <f t="shared" si="6"/>
        <v>0</v>
      </c>
      <c r="Q31" s="38">
        <f t="shared" si="7"/>
        <v>0</v>
      </c>
    </row>
    <row r="32" spans="1:17" ht="19.95" customHeight="1">
      <c r="F32" s="906">
        <f>'Major Assumption Key'!$A44</f>
        <v>2045</v>
      </c>
      <c r="G32" s="938">
        <v>0</v>
      </c>
      <c r="H32" s="784">
        <f>IF(AND($F32&gt;=MIN('Major Assumption Key'!$B$4),$F32&lt;=MAX('Major Assumption Key'!$B$6)),G32,0)</f>
        <v>0</v>
      </c>
      <c r="I32" s="938">
        <f t="shared" si="2"/>
        <v>0</v>
      </c>
      <c r="J32" s="848">
        <f>IF(AND($F32&gt;=MIN('Major Assumption Key'!$B$4),$F32&lt;=MAX('Major Assumption Key'!$B$6)),I32,0)</f>
        <v>0</v>
      </c>
      <c r="K32" s="37">
        <f t="shared" si="3"/>
        <v>0</v>
      </c>
      <c r="L32" s="38">
        <f>K32/(1+'Major Assumption Key'!$B$8)^($F32-'Major Assumption Key'!$B$7)</f>
        <v>0</v>
      </c>
      <c r="M32" s="291"/>
      <c r="N32" s="784">
        <f t="shared" si="4"/>
        <v>0</v>
      </c>
      <c r="O32" s="855">
        <f t="shared" si="5"/>
        <v>0</v>
      </c>
      <c r="P32" s="26">
        <f t="shared" si="6"/>
        <v>0</v>
      </c>
      <c r="Q32" s="38">
        <f t="shared" si="7"/>
        <v>0</v>
      </c>
    </row>
    <row r="33" spans="6:17" ht="19.95" customHeight="1">
      <c r="F33" s="906">
        <f>'Major Assumption Key'!$A45</f>
        <v>2046</v>
      </c>
      <c r="G33" s="938">
        <v>0</v>
      </c>
      <c r="H33" s="784">
        <f>IF(AND($F33&gt;=MIN('Major Assumption Key'!$B$4),$F33&lt;=MAX('Major Assumption Key'!$B$6)),G33,0)</f>
        <v>0</v>
      </c>
      <c r="I33" s="938">
        <f t="shared" si="2"/>
        <v>0</v>
      </c>
      <c r="J33" s="848">
        <f>IF(AND($F33&gt;=MIN('Major Assumption Key'!$B$4),$F33&lt;=MAX('Major Assumption Key'!$B$6)),I33,0)</f>
        <v>0</v>
      </c>
      <c r="K33" s="37">
        <f t="shared" si="3"/>
        <v>0</v>
      </c>
      <c r="L33" s="38">
        <f>K33/(1+'Major Assumption Key'!$B$8)^($F33-'Major Assumption Key'!$B$7)</f>
        <v>0</v>
      </c>
      <c r="M33" s="291"/>
      <c r="N33" s="784">
        <f t="shared" si="4"/>
        <v>0</v>
      </c>
      <c r="O33" s="855">
        <f t="shared" si="5"/>
        <v>0</v>
      </c>
      <c r="P33" s="26">
        <f t="shared" si="6"/>
        <v>0</v>
      </c>
      <c r="Q33" s="38">
        <f t="shared" si="7"/>
        <v>0</v>
      </c>
    </row>
    <row r="34" spans="6:17" ht="19.95" customHeight="1">
      <c r="F34" s="906">
        <f>'Major Assumption Key'!$A46</f>
        <v>2047</v>
      </c>
      <c r="G34" s="938">
        <v>0</v>
      </c>
      <c r="H34" s="784">
        <f>IF(AND($F34&gt;=MIN('Major Assumption Key'!$B$4),$F34&lt;=MAX('Major Assumption Key'!$B$6)),G34,0)</f>
        <v>0</v>
      </c>
      <c r="I34" s="938">
        <f t="shared" si="2"/>
        <v>0</v>
      </c>
      <c r="J34" s="848">
        <f>IF(AND($F34&gt;=MIN('Major Assumption Key'!$B$4),$F34&lt;=MAX('Major Assumption Key'!$B$6)),I34,0)</f>
        <v>0</v>
      </c>
      <c r="K34" s="37">
        <f t="shared" si="3"/>
        <v>0</v>
      </c>
      <c r="L34" s="38">
        <f>K34/(1+'Major Assumption Key'!$B$8)^($F34-'Major Assumption Key'!$B$7)</f>
        <v>0</v>
      </c>
      <c r="M34" s="291"/>
      <c r="N34" s="784">
        <f t="shared" si="4"/>
        <v>0</v>
      </c>
      <c r="O34" s="855">
        <f t="shared" si="5"/>
        <v>0</v>
      </c>
      <c r="P34" s="26">
        <f t="shared" si="6"/>
        <v>0</v>
      </c>
      <c r="Q34" s="38">
        <f t="shared" si="7"/>
        <v>0</v>
      </c>
    </row>
    <row r="35" spans="6:17" ht="19.95" customHeight="1">
      <c r="F35" s="906">
        <f>'Major Assumption Key'!$A47</f>
        <v>2048</v>
      </c>
      <c r="G35" s="938">
        <v>0</v>
      </c>
      <c r="H35" s="784">
        <f>IF(AND($F35&gt;=MIN('Major Assumption Key'!$B$4),$F35&lt;=MAX('Major Assumption Key'!$B$6)),G35,0)</f>
        <v>0</v>
      </c>
      <c r="I35" s="938">
        <f t="shared" si="2"/>
        <v>0</v>
      </c>
      <c r="J35" s="848">
        <f>IF(AND($F35&gt;=MIN('Major Assumption Key'!$B$4),$F35&lt;=MAX('Major Assumption Key'!$B$6)),I35,0)</f>
        <v>0</v>
      </c>
      <c r="K35" s="37">
        <f t="shared" si="3"/>
        <v>0</v>
      </c>
      <c r="L35" s="38">
        <f>K35/(1+'Major Assumption Key'!$B$8)^($F35-'Major Assumption Key'!$B$7)</f>
        <v>0</v>
      </c>
      <c r="M35" s="291"/>
      <c r="N35" s="784">
        <f t="shared" si="4"/>
        <v>0</v>
      </c>
      <c r="O35" s="855">
        <f t="shared" si="5"/>
        <v>0</v>
      </c>
      <c r="P35" s="26">
        <f t="shared" si="6"/>
        <v>0</v>
      </c>
      <c r="Q35" s="38">
        <f t="shared" si="7"/>
        <v>0</v>
      </c>
    </row>
    <row r="36" spans="6:17" ht="19.95" customHeight="1">
      <c r="F36" s="906">
        <f>'Major Assumption Key'!$A48</f>
        <v>2049</v>
      </c>
      <c r="G36" s="938">
        <v>0</v>
      </c>
      <c r="H36" s="784">
        <f>IF(AND($F36&gt;=MIN('Major Assumption Key'!$B$4),$F36&lt;=MAX('Major Assumption Key'!$B$6)),G36,0)</f>
        <v>0</v>
      </c>
      <c r="I36" s="938">
        <f t="shared" si="2"/>
        <v>0</v>
      </c>
      <c r="J36" s="848">
        <f>IF(AND($F36&gt;=MIN('Major Assumption Key'!$B$4),$F36&lt;=MAX('Major Assumption Key'!$B$6)),I36,0)</f>
        <v>0</v>
      </c>
      <c r="K36" s="37">
        <f t="shared" si="3"/>
        <v>0</v>
      </c>
      <c r="L36" s="38">
        <f>K36/(1+'Major Assumption Key'!$B$8)^($F36-'Major Assumption Key'!$B$7)</f>
        <v>0</v>
      </c>
      <c r="M36" s="291"/>
      <c r="N36" s="784">
        <f t="shared" si="4"/>
        <v>0</v>
      </c>
      <c r="O36" s="855">
        <f t="shared" si="5"/>
        <v>0</v>
      </c>
      <c r="P36" s="26">
        <f t="shared" si="6"/>
        <v>0</v>
      </c>
      <c r="Q36" s="38">
        <f t="shared" si="7"/>
        <v>0</v>
      </c>
    </row>
    <row r="37" spans="6:17" ht="19.95" customHeight="1">
      <c r="F37" s="906">
        <f>'Major Assumption Key'!$A49</f>
        <v>2050</v>
      </c>
      <c r="G37" s="938">
        <v>0</v>
      </c>
      <c r="H37" s="784">
        <f>IF(AND($F37&gt;=MIN('Major Assumption Key'!$B$4),$F37&lt;=MAX('Major Assumption Key'!$B$6)),G37,0)</f>
        <v>0</v>
      </c>
      <c r="I37" s="938">
        <f t="shared" si="2"/>
        <v>0</v>
      </c>
      <c r="J37" s="848">
        <f>IF(AND($F37&gt;=MIN('Major Assumption Key'!$B$4),$F37&lt;=MAX('Major Assumption Key'!$B$6)),I37,0)</f>
        <v>0</v>
      </c>
      <c r="K37" s="37">
        <f t="shared" si="3"/>
        <v>0</v>
      </c>
      <c r="L37" s="38">
        <f>K37/(1+'Major Assumption Key'!$B$8)^($F37-'Major Assumption Key'!$B$7)</f>
        <v>0</v>
      </c>
      <c r="M37" s="291"/>
      <c r="N37" s="784">
        <f t="shared" si="4"/>
        <v>0</v>
      </c>
      <c r="O37" s="855">
        <f t="shared" si="5"/>
        <v>0</v>
      </c>
      <c r="P37" s="26">
        <f t="shared" si="6"/>
        <v>0</v>
      </c>
      <c r="Q37" s="38">
        <f t="shared" si="7"/>
        <v>0</v>
      </c>
    </row>
    <row r="38" spans="6:17" ht="19.95" customHeight="1">
      <c r="F38" s="906">
        <f>'Major Assumption Key'!$A50</f>
        <v>2051</v>
      </c>
      <c r="G38" s="938">
        <v>0</v>
      </c>
      <c r="H38" s="784">
        <f>IF(AND($F38&gt;=MIN('Major Assumption Key'!$B$4),$F38&lt;=MAX('Major Assumption Key'!$B$6)),G38,0)</f>
        <v>0</v>
      </c>
      <c r="I38" s="938">
        <f t="shared" si="2"/>
        <v>0</v>
      </c>
      <c r="J38" s="848">
        <f>IF(AND($F38&gt;=MIN('Major Assumption Key'!$B$4),$F38&lt;=MAX('Major Assumption Key'!$B$6)),I38,0)</f>
        <v>0</v>
      </c>
      <c r="K38" s="37">
        <f t="shared" si="3"/>
        <v>0</v>
      </c>
      <c r="L38" s="38">
        <f>K38/(1+'Major Assumption Key'!$B$8)^($F38-'Major Assumption Key'!$B$7)</f>
        <v>0</v>
      </c>
      <c r="M38" s="291"/>
      <c r="N38" s="784">
        <f t="shared" si="4"/>
        <v>0</v>
      </c>
      <c r="O38" s="855">
        <f t="shared" si="5"/>
        <v>0</v>
      </c>
      <c r="P38" s="26">
        <f t="shared" si="6"/>
        <v>0</v>
      </c>
      <c r="Q38" s="38">
        <f t="shared" si="7"/>
        <v>0</v>
      </c>
    </row>
    <row r="39" spans="6:17" ht="19.95" customHeight="1">
      <c r="F39" s="906">
        <f>'Major Assumption Key'!$A51</f>
        <v>2052</v>
      </c>
      <c r="G39" s="938">
        <v>0</v>
      </c>
      <c r="H39" s="784">
        <f>IF(AND($F39&gt;=MIN('Major Assumption Key'!$B$4),$F39&lt;=MAX('Major Assumption Key'!$B$6)),G39,0)</f>
        <v>0</v>
      </c>
      <c r="I39" s="938">
        <f t="shared" si="2"/>
        <v>0</v>
      </c>
      <c r="J39" s="848">
        <f>IF(AND($F39&gt;=MIN('Major Assumption Key'!$B$4),$F39&lt;=MAX('Major Assumption Key'!$B$6)),I39,0)</f>
        <v>0</v>
      </c>
      <c r="K39" s="37">
        <f t="shared" si="3"/>
        <v>0</v>
      </c>
      <c r="L39" s="38">
        <f>K39/(1+'Major Assumption Key'!$B$8)^($F39-'Major Assumption Key'!$B$7)</f>
        <v>0</v>
      </c>
      <c r="M39" s="291"/>
      <c r="N39" s="784">
        <f t="shared" si="4"/>
        <v>0</v>
      </c>
      <c r="O39" s="855">
        <f t="shared" si="5"/>
        <v>0</v>
      </c>
      <c r="P39" s="26">
        <f t="shared" si="6"/>
        <v>0</v>
      </c>
      <c r="Q39" s="38">
        <f t="shared" si="7"/>
        <v>0</v>
      </c>
    </row>
    <row r="40" spans="6:17" ht="19.95" customHeight="1">
      <c r="F40" s="906">
        <f>'Major Assumption Key'!$A52</f>
        <v>2053</v>
      </c>
      <c r="G40" s="938">
        <v>0</v>
      </c>
      <c r="H40" s="784">
        <f>IF(AND($F40&gt;=MIN('Major Assumption Key'!$B$4),$F40&lt;=MAX('Major Assumption Key'!$B$6)),G40,0)</f>
        <v>0</v>
      </c>
      <c r="I40" s="938">
        <f t="shared" si="2"/>
        <v>0</v>
      </c>
      <c r="J40" s="848">
        <f>IF(AND($F40&gt;=MIN('Major Assumption Key'!$B$4),$F40&lt;=MAX('Major Assumption Key'!$B$6)),I40,0)</f>
        <v>0</v>
      </c>
      <c r="K40" s="37">
        <f t="shared" si="3"/>
        <v>0</v>
      </c>
      <c r="L40" s="38">
        <f>K40/(1+'Major Assumption Key'!$B$8)^($F40-'Major Assumption Key'!$B$7)</f>
        <v>0</v>
      </c>
      <c r="M40" s="291"/>
      <c r="N40" s="784">
        <f t="shared" si="4"/>
        <v>0</v>
      </c>
      <c r="O40" s="855">
        <f t="shared" si="5"/>
        <v>0</v>
      </c>
      <c r="P40" s="26">
        <f t="shared" si="6"/>
        <v>0</v>
      </c>
      <c r="Q40" s="38">
        <f t="shared" si="7"/>
        <v>0</v>
      </c>
    </row>
    <row r="41" spans="6:17" ht="19.95" customHeight="1">
      <c r="F41" s="906">
        <f>'Major Assumption Key'!$A53</f>
        <v>2054</v>
      </c>
      <c r="G41" s="938">
        <v>0</v>
      </c>
      <c r="H41" s="784">
        <f>IF(AND($F41&gt;=MIN('Major Assumption Key'!$B$4),$F41&lt;=MAX('Major Assumption Key'!$B$6)),G41,0)</f>
        <v>0</v>
      </c>
      <c r="I41" s="938">
        <f t="shared" si="2"/>
        <v>0</v>
      </c>
      <c r="J41" s="848">
        <f>IF(AND($F41&gt;=MIN('Major Assumption Key'!$B$4),$F41&lt;=MAX('Major Assumption Key'!$B$6)),I41,0)</f>
        <v>0</v>
      </c>
      <c r="K41" s="37">
        <f t="shared" si="3"/>
        <v>0</v>
      </c>
      <c r="L41" s="38">
        <f>K41/(1+'Major Assumption Key'!$B$8)^($F41-'Major Assumption Key'!$B$7)</f>
        <v>0</v>
      </c>
      <c r="M41" s="291"/>
      <c r="N41" s="784">
        <f t="shared" si="4"/>
        <v>0</v>
      </c>
      <c r="O41" s="855">
        <f t="shared" si="5"/>
        <v>0</v>
      </c>
      <c r="P41" s="26">
        <f t="shared" si="6"/>
        <v>0</v>
      </c>
      <c r="Q41" s="38">
        <f t="shared" si="7"/>
        <v>0</v>
      </c>
    </row>
    <row r="42" spans="6:17" ht="19.95" customHeight="1">
      <c r="F42" s="906">
        <f>'Major Assumption Key'!$A54</f>
        <v>2055</v>
      </c>
      <c r="G42" s="938">
        <v>0</v>
      </c>
      <c r="H42" s="784">
        <f>IF(AND($F42&gt;=MIN('Major Assumption Key'!$B$4),$F42&lt;=MAX('Major Assumption Key'!$B$6)),G42,0)</f>
        <v>0</v>
      </c>
      <c r="I42" s="938">
        <f t="shared" si="2"/>
        <v>0</v>
      </c>
      <c r="J42" s="848">
        <f>IF(AND($F42&gt;=MIN('Major Assumption Key'!$B$4),$F42&lt;=MAX('Major Assumption Key'!$B$6)),I42,0)</f>
        <v>0</v>
      </c>
      <c r="K42" s="37">
        <f t="shared" si="3"/>
        <v>0</v>
      </c>
      <c r="L42" s="38">
        <f>K42/(1+'Major Assumption Key'!$B$8)^($F42-'Major Assumption Key'!$B$7)</f>
        <v>0</v>
      </c>
      <c r="M42" s="291"/>
      <c r="N42" s="784">
        <f t="shared" si="4"/>
        <v>0</v>
      </c>
      <c r="O42" s="855">
        <f t="shared" si="5"/>
        <v>0</v>
      </c>
      <c r="P42" s="26">
        <f t="shared" si="6"/>
        <v>0</v>
      </c>
      <c r="Q42" s="38">
        <f t="shared" si="7"/>
        <v>0</v>
      </c>
    </row>
    <row r="43" spans="6:17" ht="19.95" customHeight="1">
      <c r="F43" s="906">
        <f>'Major Assumption Key'!$A55</f>
        <v>2056</v>
      </c>
      <c r="G43" s="938">
        <v>0</v>
      </c>
      <c r="H43" s="784">
        <f>IF(AND($F43&gt;=MIN('Major Assumption Key'!$B$4),$F43&lt;=MAX('Major Assumption Key'!$B$6)),G43,0)</f>
        <v>0</v>
      </c>
      <c r="I43" s="938">
        <f t="shared" si="2"/>
        <v>0</v>
      </c>
      <c r="J43" s="848">
        <f>IF(AND($F43&gt;=MIN('Major Assumption Key'!$B$4),$F43&lt;=MAX('Major Assumption Key'!$B$6)),I43,0)</f>
        <v>0</v>
      </c>
      <c r="K43" s="37">
        <f t="shared" si="3"/>
        <v>0</v>
      </c>
      <c r="L43" s="38">
        <f>K43/(1+'Major Assumption Key'!$B$8)^($F43-'Major Assumption Key'!$B$7)</f>
        <v>0</v>
      </c>
      <c r="M43" s="291"/>
      <c r="N43" s="784">
        <f t="shared" si="4"/>
        <v>0</v>
      </c>
      <c r="O43" s="855">
        <f t="shared" si="5"/>
        <v>0</v>
      </c>
      <c r="P43" s="26">
        <f t="shared" si="6"/>
        <v>0</v>
      </c>
      <c r="Q43" s="38">
        <f t="shared" si="7"/>
        <v>0</v>
      </c>
    </row>
    <row r="44" spans="6:17" ht="19.95" customHeight="1">
      <c r="F44" s="906">
        <f>'Major Assumption Key'!$A56</f>
        <v>2057</v>
      </c>
      <c r="G44" s="938">
        <v>0</v>
      </c>
      <c r="H44" s="784">
        <f>IF(AND($F44&gt;=MIN('Major Assumption Key'!$B$4),$F44&lt;=MAX('Major Assumption Key'!$B$6)),G44,0)</f>
        <v>0</v>
      </c>
      <c r="I44" s="938">
        <f t="shared" si="2"/>
        <v>0</v>
      </c>
      <c r="J44" s="848">
        <f>IF(AND($F44&gt;=MIN('Major Assumption Key'!$B$4),$F44&lt;=MAX('Major Assumption Key'!$B$6)),I44,0)</f>
        <v>0</v>
      </c>
      <c r="K44" s="37">
        <f t="shared" si="3"/>
        <v>0</v>
      </c>
      <c r="L44" s="38">
        <f>K44/(1+'Major Assumption Key'!$B$8)^($F44-'Major Assumption Key'!$B$7)</f>
        <v>0</v>
      </c>
      <c r="M44" s="291"/>
      <c r="N44" s="784">
        <f t="shared" si="4"/>
        <v>0</v>
      </c>
      <c r="O44" s="855">
        <f t="shared" si="5"/>
        <v>0</v>
      </c>
      <c r="P44" s="26">
        <f t="shared" si="6"/>
        <v>0</v>
      </c>
      <c r="Q44" s="38">
        <f t="shared" si="7"/>
        <v>0</v>
      </c>
    </row>
    <row r="45" spans="6:17" ht="19.95" customHeight="1">
      <c r="F45" s="906">
        <f>'Major Assumption Key'!$A57</f>
        <v>2058</v>
      </c>
      <c r="G45" s="938">
        <v>0</v>
      </c>
      <c r="H45" s="784">
        <f>IF(AND($F45&gt;=MIN('Major Assumption Key'!$B$4),$F45&lt;=MAX('Major Assumption Key'!$B$6)),G45,0)</f>
        <v>0</v>
      </c>
      <c r="I45" s="938">
        <f t="shared" si="2"/>
        <v>0</v>
      </c>
      <c r="J45" s="848">
        <f>IF(AND($F45&gt;=MIN('Major Assumption Key'!$B$4),$F45&lt;=MAX('Major Assumption Key'!$B$6)),I45,0)</f>
        <v>0</v>
      </c>
      <c r="K45" s="37">
        <f t="shared" si="3"/>
        <v>0</v>
      </c>
      <c r="L45" s="38">
        <f>K45/(1+'Major Assumption Key'!$B$8)^($F45-'Major Assumption Key'!$B$7)</f>
        <v>0</v>
      </c>
      <c r="M45" s="291"/>
      <c r="N45" s="784">
        <f t="shared" si="4"/>
        <v>0</v>
      </c>
      <c r="O45" s="855">
        <f t="shared" si="5"/>
        <v>0</v>
      </c>
      <c r="P45" s="26">
        <f t="shared" si="6"/>
        <v>0</v>
      </c>
      <c r="Q45" s="38">
        <f t="shared" si="7"/>
        <v>0</v>
      </c>
    </row>
    <row r="46" spans="6:17" ht="19.95" customHeight="1">
      <c r="F46" s="906">
        <f>'Major Assumption Key'!$A58</f>
        <v>2059</v>
      </c>
      <c r="G46" s="938">
        <v>0</v>
      </c>
      <c r="H46" s="784">
        <f>IF(AND($F46&gt;=MIN('Major Assumption Key'!$B$4),$F46&lt;=MAX('Major Assumption Key'!$B$6)),G46,0)</f>
        <v>0</v>
      </c>
      <c r="I46" s="938">
        <f t="shared" si="2"/>
        <v>0</v>
      </c>
      <c r="J46" s="848">
        <f>IF(AND($F46&gt;=MIN('Major Assumption Key'!$B$4),$F46&lt;=MAX('Major Assumption Key'!$B$6)),I46,0)</f>
        <v>0</v>
      </c>
      <c r="K46" s="37">
        <f t="shared" si="3"/>
        <v>0</v>
      </c>
      <c r="L46" s="38">
        <f>K46/(1+'Major Assumption Key'!$B$8)^($F46-'Major Assumption Key'!$B$7)</f>
        <v>0</v>
      </c>
      <c r="M46" s="291"/>
      <c r="N46" s="784">
        <f t="shared" si="4"/>
        <v>0</v>
      </c>
      <c r="O46" s="855">
        <f t="shared" si="5"/>
        <v>0</v>
      </c>
      <c r="P46" s="26">
        <f t="shared" si="6"/>
        <v>0</v>
      </c>
      <c r="Q46" s="38">
        <f t="shared" si="7"/>
        <v>0</v>
      </c>
    </row>
    <row r="47" spans="6:17" ht="19.95" customHeight="1">
      <c r="F47" s="906">
        <f>'Major Assumption Key'!$A59</f>
        <v>2060</v>
      </c>
      <c r="G47" s="938">
        <v>0</v>
      </c>
      <c r="H47" s="784">
        <f>IF(AND($F47&gt;=MIN('Major Assumption Key'!$B$4),$F47&lt;=MAX('Major Assumption Key'!$B$6)),G47,0)</f>
        <v>0</v>
      </c>
      <c r="I47" s="938">
        <f t="shared" si="2"/>
        <v>0</v>
      </c>
      <c r="J47" s="848">
        <f>IF(AND($F47&gt;=MIN('Major Assumption Key'!$B$4),$F47&lt;=MAX('Major Assumption Key'!$B$6)),I47,0)</f>
        <v>0</v>
      </c>
      <c r="K47" s="37">
        <f t="shared" si="3"/>
        <v>0</v>
      </c>
      <c r="L47" s="38">
        <f>K47/(1+'Major Assumption Key'!$B$8)^($F47-'Major Assumption Key'!$B$7)</f>
        <v>0</v>
      </c>
      <c r="M47" s="291"/>
      <c r="N47" s="784">
        <f t="shared" si="4"/>
        <v>0</v>
      </c>
      <c r="O47" s="855">
        <f t="shared" si="5"/>
        <v>0</v>
      </c>
      <c r="P47" s="26">
        <f t="shared" si="6"/>
        <v>0</v>
      </c>
      <c r="Q47" s="38">
        <f t="shared" si="7"/>
        <v>0</v>
      </c>
    </row>
    <row r="48" spans="6:17" ht="19.95" customHeight="1" thickBot="1">
      <c r="F48" s="143" t="s">
        <v>504</v>
      </c>
      <c r="G48" s="144"/>
      <c r="H48" s="118">
        <f>SUMIFS($H$7:$H$47,$F$7:$F$47,"&gt;="&amp;$B$17,$F$7:$F$47,"&lt;="&amp;$B$18)</f>
        <v>0</v>
      </c>
      <c r="I48" s="144"/>
      <c r="J48" s="119">
        <f>SUMIFS($J$7:$J$47,$F$7:$F$47,"&gt;="&amp;$B$17,$F$7:$F$47,"&lt;="&amp;$B$18)</f>
        <v>0</v>
      </c>
      <c r="K48" s="146">
        <f>SUMIFS($K$7:$K$47,$F$7:$F$47,"&gt;="&amp;$B$17,$F$7:$F$47,"&lt;="&amp;$B$18)</f>
        <v>0</v>
      </c>
      <c r="L48" s="147">
        <f>SUMIFS($L$7:$L$47,$F$7:$F$47,"&gt;="&amp;$B$17,$F$7:$F$47,"&lt;="&amp;$B$18)</f>
        <v>0</v>
      </c>
      <c r="M48" s="291"/>
      <c r="N48" s="118">
        <f>ROUND(H48,-3)</f>
        <v>0</v>
      </c>
      <c r="O48" s="119">
        <f>ROUND(J48,-3)</f>
        <v>0</v>
      </c>
      <c r="P48" s="19">
        <f t="shared" ref="P48:Q48" si="8">ROUND(K48,-3)</f>
        <v>0</v>
      </c>
      <c r="Q48" s="20">
        <f t="shared" si="8"/>
        <v>0</v>
      </c>
    </row>
    <row r="49" spans="8:10" ht="19.95" customHeight="1">
      <c r="H49" s="51"/>
      <c r="J49" s="51"/>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18"/>
    <col min="16" max="19" width="14.21875" style="218" customWidth="1"/>
    <col min="20" max="25" width="9.21875" style="218"/>
    <col min="36" max="36" width="9.21875" style="218"/>
    <col min="37" max="37" width="11.21875" style="218" bestFit="1" customWidth="1"/>
    <col min="38" max="16384" width="9.21875" style="218"/>
  </cols>
  <sheetData>
    <row r="1" spans="1:19" ht="25.2" customHeight="1">
      <c r="A1" s="271" t="s">
        <v>185</v>
      </c>
      <c r="B1" s="42" t="s">
        <v>7344</v>
      </c>
      <c r="C1" s="217"/>
      <c r="D1" s="217"/>
      <c r="E1" s="217"/>
      <c r="F1" s="33" t="s">
        <v>187</v>
      </c>
      <c r="G1" s="45" t="str">
        <f>HYPERLINK("#'"&amp;INDEX('Master Key'!$B:$B,MATCH("Master Key",'Master Key'!$B:$B,0),1)&amp;"'!A1","Go To Sheet")</f>
        <v>Go To Sheet</v>
      </c>
    </row>
    <row r="2" spans="1:19" ht="15" thickBot="1">
      <c r="A2" s="218"/>
      <c r="B2" s="218"/>
      <c r="C2" s="218"/>
      <c r="D2" s="218"/>
      <c r="E2" s="218"/>
    </row>
    <row r="3" spans="1:19" ht="39.75" customHeight="1">
      <c r="A3" s="155" t="s">
        <v>482</v>
      </c>
      <c r="B3" s="2128" t="s">
        <v>7345</v>
      </c>
      <c r="C3" s="2128"/>
      <c r="D3" s="2128"/>
      <c r="E3" s="219"/>
      <c r="F3" s="2170" t="s">
        <v>484</v>
      </c>
      <c r="G3" s="2171"/>
      <c r="H3" s="2171"/>
      <c r="I3" s="2171"/>
      <c r="J3" s="2171"/>
      <c r="K3" s="2171"/>
      <c r="L3" s="2171"/>
      <c r="M3" s="2171"/>
      <c r="N3" s="2172"/>
      <c r="P3" s="2168" t="s">
        <v>420</v>
      </c>
      <c r="Q3" s="2169"/>
      <c r="R3" s="2169"/>
      <c r="S3" s="2169"/>
    </row>
    <row r="4" spans="1:19" ht="18">
      <c r="A4" s="131"/>
      <c r="E4" s="219"/>
      <c r="F4" s="220" t="s">
        <v>485</v>
      </c>
      <c r="G4" s="221" t="s">
        <v>66</v>
      </c>
      <c r="H4" s="222" t="s">
        <v>487</v>
      </c>
      <c r="I4" s="223" t="s">
        <v>66</v>
      </c>
      <c r="J4" s="221" t="s">
        <v>67</v>
      </c>
      <c r="K4" s="222" t="s">
        <v>131</v>
      </c>
      <c r="L4" s="224" t="s">
        <v>131</v>
      </c>
      <c r="M4" s="2164" t="s">
        <v>488</v>
      </c>
      <c r="N4" s="2165"/>
      <c r="O4" s="292"/>
      <c r="P4" s="223" t="s">
        <v>66</v>
      </c>
      <c r="Q4" s="224" t="s">
        <v>131</v>
      </c>
      <c r="R4" s="2164" t="s">
        <v>488</v>
      </c>
      <c r="S4" s="2165"/>
    </row>
    <row r="5" spans="1:19" ht="58.2" thickBot="1">
      <c r="A5" s="210" t="s">
        <v>489</v>
      </c>
      <c r="B5" s="2052" t="s">
        <v>7346</v>
      </c>
      <c r="C5" s="2052"/>
      <c r="D5" s="2052"/>
      <c r="E5" s="218"/>
      <c r="F5" s="225" t="s">
        <v>491</v>
      </c>
      <c r="G5" s="226" t="s">
        <v>7347</v>
      </c>
      <c r="H5" s="226" t="s">
        <v>7348</v>
      </c>
      <c r="I5" s="227" t="s">
        <v>15</v>
      </c>
      <c r="J5" s="226" t="s">
        <v>493</v>
      </c>
      <c r="K5" s="226" t="s">
        <v>494</v>
      </c>
      <c r="L5" s="228" t="s">
        <v>15</v>
      </c>
      <c r="M5" s="2166"/>
      <c r="N5" s="2167"/>
      <c r="O5" s="292"/>
      <c r="P5" s="227" t="s">
        <v>15</v>
      </c>
      <c r="Q5" s="228" t="s">
        <v>15</v>
      </c>
      <c r="R5" s="2166"/>
      <c r="S5" s="2167"/>
    </row>
    <row r="6" spans="1:19" ht="79.95" customHeight="1">
      <c r="E6" s="218"/>
      <c r="F6" s="225"/>
      <c r="G6" s="226" t="s">
        <v>7349</v>
      </c>
      <c r="H6" s="229" t="s">
        <v>7350</v>
      </c>
      <c r="I6" s="227" t="s">
        <v>7351</v>
      </c>
      <c r="J6" s="226" t="s">
        <v>7349</v>
      </c>
      <c r="K6" s="229" t="s">
        <v>7352</v>
      </c>
      <c r="L6" s="228" t="s">
        <v>7353</v>
      </c>
      <c r="M6" s="230" t="s">
        <v>419</v>
      </c>
      <c r="N6" s="231" t="str">
        <f>"Discounted @ "&amp;TEXT('Major Assumption Key'!$B$8,"0.0%")</f>
        <v>Discounted @ 3.1%</v>
      </c>
      <c r="O6" s="292"/>
      <c r="P6" s="227" t="s">
        <v>7351</v>
      </c>
      <c r="Q6" s="228" t="s">
        <v>7353</v>
      </c>
      <c r="R6" s="230" t="s">
        <v>419</v>
      </c>
      <c r="S6" s="231" t="str">
        <f>"Discounted @ "&amp;TEXT('Major Assumption Key'!$B$8,"0.0%")</f>
        <v>Discounted @ 3.1%</v>
      </c>
    </row>
    <row r="7" spans="1:19">
      <c r="C7" s="218"/>
      <c r="D7" s="218"/>
      <c r="E7" s="218"/>
      <c r="F7" s="232">
        <f>'Major Assumption Key'!A19</f>
        <v>2020</v>
      </c>
      <c r="G7" s="938">
        <f>SUM('Prop. Tax Inc Sidewalk Supp'!$D$19:$E$20)</f>
        <v>0</v>
      </c>
      <c r="H7" s="233">
        <f t="shared" ref="H7" si="0">G7*$B$19</f>
        <v>0</v>
      </c>
      <c r="I7" s="784">
        <f>IF(AND($F7&gt;=MIN('Major Assumption Key'!$B$4),$F7&lt;=MAX('Major Assumption Key'!$B$6)),H7,0)</f>
        <v>0</v>
      </c>
      <c r="J7" s="938">
        <f>SUM('Prop. Tax Inc Sidewalk Supp'!$G$19:$H$20)</f>
        <v>0</v>
      </c>
      <c r="K7" s="233">
        <f t="shared" ref="K7" si="1">J7*$B$19</f>
        <v>0</v>
      </c>
      <c r="L7" s="775">
        <f>IF(AND($F7&gt;=MIN('Major Assumption Key'!$B$4),$F7&lt;=MAX('Major Assumption Key'!$B$6)),K7,0)</f>
        <v>0</v>
      </c>
      <c r="M7" s="26">
        <f t="shared" ref="M7" si="2">L7-I7</f>
        <v>0</v>
      </c>
      <c r="N7" s="38">
        <f>M7/(1+'Major Assumption Key'!$B$8)^($F7-'Major Assumption Key'!$B$7)</f>
        <v>0</v>
      </c>
      <c r="O7" s="292"/>
      <c r="P7" s="784">
        <f t="shared" ref="P7" si="3">ROUND(I7,-3)</f>
        <v>0</v>
      </c>
      <c r="Q7" s="775">
        <f t="shared" ref="Q7" si="4">ROUND(L7,-3)</f>
        <v>0</v>
      </c>
      <c r="R7" s="26">
        <f t="shared" ref="R7:S7" si="5">ROUND(M7,-3)</f>
        <v>0</v>
      </c>
      <c r="S7" s="38">
        <f t="shared" si="5"/>
        <v>0</v>
      </c>
    </row>
    <row r="8" spans="1:19">
      <c r="A8" s="218"/>
      <c r="B8" s="218"/>
      <c r="C8" s="218"/>
      <c r="D8" s="218"/>
      <c r="E8" s="218"/>
      <c r="F8" s="232">
        <f>'Major Assumption Key'!A20</f>
        <v>2021</v>
      </c>
      <c r="G8" s="938">
        <f>SUM('Prop. Tax Inc Sidewalk Supp'!$D$19:$E$20)</f>
        <v>0</v>
      </c>
      <c r="H8" s="233">
        <f t="shared" ref="H8:H47" si="6">G8*$B$19</f>
        <v>0</v>
      </c>
      <c r="I8" s="784">
        <f>IF(AND($F8&gt;=MIN('Major Assumption Key'!$B$4),$F8&lt;=MAX('Major Assumption Key'!$B$6)),H8,0)</f>
        <v>0</v>
      </c>
      <c r="J8" s="938">
        <f>SUM('Prop. Tax Inc Sidewalk Supp'!$G$19:$H$20)</f>
        <v>0</v>
      </c>
      <c r="K8" s="233">
        <f t="shared" ref="K8:K47" si="7">J8*$B$19</f>
        <v>0</v>
      </c>
      <c r="L8" s="775">
        <f>IF(AND($F8&gt;=MIN('Major Assumption Key'!$B$4),$F8&lt;=MAX('Major Assumption Key'!$B$6)),K8,0)</f>
        <v>0</v>
      </c>
      <c r="M8" s="26">
        <f t="shared" ref="M8:M47" si="8">L8-I8</f>
        <v>0</v>
      </c>
      <c r="N8" s="38">
        <f>M8/(1+'Major Assumption Key'!$B$8)^($F8-'Major Assumption Key'!$B$7)</f>
        <v>0</v>
      </c>
      <c r="O8" s="292"/>
      <c r="P8" s="784">
        <f t="shared" ref="P8:P47" si="9">ROUND(I8,-3)</f>
        <v>0</v>
      </c>
      <c r="Q8" s="775">
        <f t="shared" ref="Q8:Q47" si="10">ROUND(L8,-3)</f>
        <v>0</v>
      </c>
      <c r="R8" s="26">
        <f t="shared" ref="R8:R47" si="11">ROUND(M8,-3)</f>
        <v>0</v>
      </c>
      <c r="S8" s="38">
        <f t="shared" ref="S8:S47" si="12">ROUND(N8,-3)</f>
        <v>0</v>
      </c>
    </row>
    <row r="9" spans="1:19" ht="18">
      <c r="A9" s="1888" t="s">
        <v>432</v>
      </c>
      <c r="B9" s="1889"/>
      <c r="C9" s="1889"/>
      <c r="D9" s="1890"/>
      <c r="E9" s="218"/>
      <c r="F9" s="232">
        <f>'Major Assumption Key'!A21</f>
        <v>2022</v>
      </c>
      <c r="G9" s="938">
        <f>SUM('Prop. Tax Inc Sidewalk Supp'!$D$19:$E$20)</f>
        <v>0</v>
      </c>
      <c r="H9" s="233">
        <f t="shared" si="6"/>
        <v>0</v>
      </c>
      <c r="I9" s="784">
        <f>IF(AND($F9&gt;=MIN('Major Assumption Key'!$B$4),$F9&lt;=MAX('Major Assumption Key'!$B$6)),H9,0)</f>
        <v>0</v>
      </c>
      <c r="J9" s="938">
        <f>SUM('Prop. Tax Inc Sidewalk Supp'!$G$19:$H$20)</f>
        <v>0</v>
      </c>
      <c r="K9" s="233">
        <f t="shared" si="7"/>
        <v>0</v>
      </c>
      <c r="L9" s="775">
        <f>IF(AND($F9&gt;=MIN('Major Assumption Key'!$B$4),$F9&lt;=MAX('Major Assumption Key'!$B$6)),K9,0)</f>
        <v>0</v>
      </c>
      <c r="M9" s="26">
        <f t="shared" si="8"/>
        <v>0</v>
      </c>
      <c r="N9" s="38">
        <f>M9/(1+'Major Assumption Key'!$B$8)^($F9-'Major Assumption Key'!$B$7)</f>
        <v>0</v>
      </c>
      <c r="O9" s="292"/>
      <c r="P9" s="784">
        <f t="shared" si="9"/>
        <v>0</v>
      </c>
      <c r="Q9" s="775">
        <f t="shared" si="10"/>
        <v>0</v>
      </c>
      <c r="R9" s="26">
        <f t="shared" si="11"/>
        <v>0</v>
      </c>
      <c r="S9" s="38">
        <f t="shared" si="12"/>
        <v>0</v>
      </c>
    </row>
    <row r="10" spans="1:19" ht="18">
      <c r="A10" s="1891" t="s">
        <v>418</v>
      </c>
      <c r="B10" s="1891"/>
      <c r="C10" s="49" t="s">
        <v>419</v>
      </c>
      <c r="D10" s="49" t="str">
        <f>_xlfn.CONCAT("Discounted @",TEXT('Major Assumption Key'!B8,"0.0%"))</f>
        <v>Discounted @3.1%</v>
      </c>
      <c r="E10" s="218"/>
      <c r="F10" s="232">
        <f>'Major Assumption Key'!A22</f>
        <v>2023</v>
      </c>
      <c r="G10" s="938">
        <f>SUM('Prop. Tax Inc Sidewalk Supp'!$D$19:$E$20)</f>
        <v>0</v>
      </c>
      <c r="H10" s="233">
        <f t="shared" si="6"/>
        <v>0</v>
      </c>
      <c r="I10" s="784">
        <f>IF(AND($F10&gt;=MIN('Major Assumption Key'!$B$4),$F10&lt;=MAX('Major Assumption Key'!$B$6)),H10,0)</f>
        <v>0</v>
      </c>
      <c r="J10" s="938">
        <f>SUM('Prop. Tax Inc Sidewalk Supp'!$G$19:$H$20)</f>
        <v>0</v>
      </c>
      <c r="K10" s="233">
        <f t="shared" si="7"/>
        <v>0</v>
      </c>
      <c r="L10" s="775">
        <f>IF(AND($F10&gt;=MIN('Major Assumption Key'!$B$4),$F10&lt;=MAX('Major Assumption Key'!$B$6)),K10,0)</f>
        <v>0</v>
      </c>
      <c r="M10" s="26">
        <f t="shared" si="8"/>
        <v>0</v>
      </c>
      <c r="N10" s="38">
        <f>M10/(1+'Major Assumption Key'!$B$8)^($F10-'Major Assumption Key'!$B$7)</f>
        <v>0</v>
      </c>
      <c r="O10" s="292"/>
      <c r="P10" s="784">
        <f t="shared" si="9"/>
        <v>0</v>
      </c>
      <c r="Q10" s="775">
        <f t="shared" si="10"/>
        <v>0</v>
      </c>
      <c r="R10" s="26">
        <f t="shared" si="11"/>
        <v>0</v>
      </c>
      <c r="S10" s="38">
        <f t="shared" si="12"/>
        <v>0</v>
      </c>
    </row>
    <row r="11" spans="1:19" ht="18">
      <c r="A11" s="1892" t="s">
        <v>11</v>
      </c>
      <c r="B11" s="1892"/>
      <c r="C11" s="263">
        <f>'BCA Summary'!$H$7</f>
        <v>1.0111569298276737</v>
      </c>
      <c r="D11" s="263">
        <f>'BCA Summary'!$I$7</f>
        <v>0.6276932096418345</v>
      </c>
      <c r="E11" s="218"/>
      <c r="F11" s="232">
        <f>'Major Assumption Key'!A23</f>
        <v>2024</v>
      </c>
      <c r="G11" s="938">
        <f>SUM('Prop. Tax Inc Sidewalk Supp'!$D$19:$E$20)</f>
        <v>0</v>
      </c>
      <c r="H11" s="233">
        <f t="shared" si="6"/>
        <v>0</v>
      </c>
      <c r="I11" s="784">
        <f>IF(AND($F11&gt;=MIN('Major Assumption Key'!$B$4),$F11&lt;=MAX('Major Assumption Key'!$B$6)),H11,0)</f>
        <v>0</v>
      </c>
      <c r="J11" s="938">
        <f>SUM('Prop. Tax Inc Sidewalk Supp'!$G$19:$H$20)</f>
        <v>0</v>
      </c>
      <c r="K11" s="233">
        <f t="shared" si="7"/>
        <v>0</v>
      </c>
      <c r="L11" s="775">
        <f>IF(AND($F11&gt;=MIN('Major Assumption Key'!$B$4),$F11&lt;=MAX('Major Assumption Key'!$B$6)),K11,0)</f>
        <v>0</v>
      </c>
      <c r="M11" s="26">
        <f t="shared" si="8"/>
        <v>0</v>
      </c>
      <c r="N11" s="38">
        <f>M11/(1+'Major Assumption Key'!$B$8)^($F11-'Major Assumption Key'!$B$7)</f>
        <v>0</v>
      </c>
      <c r="O11" s="292"/>
      <c r="P11" s="784">
        <f t="shared" si="9"/>
        <v>0</v>
      </c>
      <c r="Q11" s="775">
        <f t="shared" si="10"/>
        <v>0</v>
      </c>
      <c r="R11" s="26">
        <f t="shared" si="11"/>
        <v>0</v>
      </c>
      <c r="S11" s="38">
        <f t="shared" si="12"/>
        <v>0</v>
      </c>
    </row>
    <row r="12" spans="1:19" ht="18">
      <c r="A12" s="1892" t="s">
        <v>12</v>
      </c>
      <c r="B12" s="1892"/>
      <c r="C12" s="263">
        <f>'BCA Summary'!$H$8</f>
        <v>236636.98382712901</v>
      </c>
      <c r="D12" s="263">
        <f>'BCA Summary'!$I$8</f>
        <v>-6930297.4454113934</v>
      </c>
      <c r="E12" s="218"/>
      <c r="F12" s="232">
        <f>'Major Assumption Key'!A24</f>
        <v>2025</v>
      </c>
      <c r="G12" s="938">
        <f>SUM('Prop. Tax Inc Sidewalk Supp'!$D$19:$E$20)</f>
        <v>0</v>
      </c>
      <c r="H12" s="233">
        <f t="shared" si="6"/>
        <v>0</v>
      </c>
      <c r="I12" s="784">
        <f>IF(AND($F12&gt;=MIN('Major Assumption Key'!$B$4),$F12&lt;=MAX('Major Assumption Key'!$B$6)),H12,0)</f>
        <v>0</v>
      </c>
      <c r="J12" s="938">
        <f>SUM('Prop. Tax Inc Sidewalk Supp'!$G$19:$H$20)</f>
        <v>0</v>
      </c>
      <c r="K12" s="233">
        <f t="shared" si="7"/>
        <v>0</v>
      </c>
      <c r="L12" s="775">
        <f>IF(AND($F12&gt;=MIN('Major Assumption Key'!$B$4),$F12&lt;=MAX('Major Assumption Key'!$B$6)),K12,0)</f>
        <v>0</v>
      </c>
      <c r="M12" s="26">
        <f t="shared" si="8"/>
        <v>0</v>
      </c>
      <c r="N12" s="38">
        <f>M12/(1+'Major Assumption Key'!$B$8)^($F12-'Major Assumption Key'!$B$7)</f>
        <v>0</v>
      </c>
      <c r="O12" s="292"/>
      <c r="P12" s="784">
        <f t="shared" si="9"/>
        <v>0</v>
      </c>
      <c r="Q12" s="775">
        <f t="shared" si="10"/>
        <v>0</v>
      </c>
      <c r="R12" s="26">
        <f t="shared" si="11"/>
        <v>0</v>
      </c>
      <c r="S12" s="38">
        <f t="shared" si="12"/>
        <v>0</v>
      </c>
    </row>
    <row r="13" spans="1:19">
      <c r="E13" s="218"/>
      <c r="F13" s="232">
        <f>'Major Assumption Key'!A25</f>
        <v>2026</v>
      </c>
      <c r="G13" s="938">
        <f>SUM('Prop. Tax Inc Sidewalk Supp'!$D$19:$E$20)</f>
        <v>0</v>
      </c>
      <c r="H13" s="233">
        <f t="shared" si="6"/>
        <v>0</v>
      </c>
      <c r="I13" s="784">
        <f>IF(AND($F13&gt;=MIN('Major Assumption Key'!$B$4),$F13&lt;=MAX('Major Assumption Key'!$B$6)),H13,0)</f>
        <v>0</v>
      </c>
      <c r="J13" s="938">
        <f>SUM('Prop. Tax Inc Sidewalk Supp'!$G$19:$H$20)</f>
        <v>0</v>
      </c>
      <c r="K13" s="233">
        <f t="shared" si="7"/>
        <v>0</v>
      </c>
      <c r="L13" s="775">
        <f>IF(AND($F13&gt;=MIN('Major Assumption Key'!$B$4),$F13&lt;=MAX('Major Assumption Key'!$B$6)),K13,0)</f>
        <v>0</v>
      </c>
      <c r="M13" s="26">
        <f t="shared" si="8"/>
        <v>0</v>
      </c>
      <c r="N13" s="38">
        <f>M13/(1+'Major Assumption Key'!$B$8)^($F13-'Major Assumption Key'!$B$7)</f>
        <v>0</v>
      </c>
      <c r="O13" s="292"/>
      <c r="P13" s="784">
        <f t="shared" si="9"/>
        <v>0</v>
      </c>
      <c r="Q13" s="775">
        <f t="shared" si="10"/>
        <v>0</v>
      </c>
      <c r="R13" s="26">
        <f t="shared" si="11"/>
        <v>0</v>
      </c>
      <c r="S13" s="38">
        <f t="shared" si="12"/>
        <v>0</v>
      </c>
    </row>
    <row r="14" spans="1:19" ht="15" thickBot="1">
      <c r="E14" s="218"/>
      <c r="F14" s="232">
        <f>'Major Assumption Key'!A26</f>
        <v>2027</v>
      </c>
      <c r="G14" s="938">
        <f>SUM('Prop. Tax Inc Sidewalk Supp'!$D$19:$E$20)</f>
        <v>0</v>
      </c>
      <c r="H14" s="233">
        <f t="shared" si="6"/>
        <v>0</v>
      </c>
      <c r="I14" s="784">
        <f>IF(AND($F14&gt;=MIN('Major Assumption Key'!$B$4),$F14&lt;=MAX('Major Assumption Key'!$B$6)),H14,0)</f>
        <v>0</v>
      </c>
      <c r="J14" s="938">
        <f>SUM('Prop. Tax Inc Sidewalk Supp'!$G$19:$H$20)</f>
        <v>0</v>
      </c>
      <c r="K14" s="233">
        <f t="shared" si="7"/>
        <v>0</v>
      </c>
      <c r="L14" s="775">
        <f>IF(AND($F14&gt;=MIN('Major Assumption Key'!$B$4),$F14&lt;=MAX('Major Assumption Key'!$B$6)),K14,0)</f>
        <v>0</v>
      </c>
      <c r="M14" s="26">
        <f t="shared" si="8"/>
        <v>0</v>
      </c>
      <c r="N14" s="38">
        <f>M14/(1+'Major Assumption Key'!$B$8)^($F14-'Major Assumption Key'!$B$7)</f>
        <v>0</v>
      </c>
      <c r="O14" s="292"/>
      <c r="P14" s="784">
        <f t="shared" si="9"/>
        <v>0</v>
      </c>
      <c r="Q14" s="775">
        <f t="shared" si="10"/>
        <v>0</v>
      </c>
      <c r="R14" s="26">
        <f t="shared" si="11"/>
        <v>0</v>
      </c>
      <c r="S14" s="38">
        <f t="shared" si="12"/>
        <v>0</v>
      </c>
    </row>
    <row r="15" spans="1:19">
      <c r="A15" s="668" t="s">
        <v>433</v>
      </c>
      <c r="B15" s="669" t="s">
        <v>434</v>
      </c>
      <c r="C15" s="2162" t="s">
        <v>498</v>
      </c>
      <c r="D15" s="2163"/>
      <c r="E15" s="218"/>
      <c r="F15" s="232">
        <f>'Major Assumption Key'!A27</f>
        <v>2028</v>
      </c>
      <c r="G15" s="938">
        <f>SUM('Prop. Tax Inc Sidewalk Supp'!$D$19:$E$20)</f>
        <v>0</v>
      </c>
      <c r="H15" s="233">
        <f t="shared" si="6"/>
        <v>0</v>
      </c>
      <c r="I15" s="784">
        <f>IF(AND($F15&gt;=MIN('Major Assumption Key'!$B$4),$F15&lt;=MAX('Major Assumption Key'!$B$6)),H15,0)</f>
        <v>0</v>
      </c>
      <c r="J15" s="938">
        <f>SUM('Prop. Tax Inc Sidewalk Supp'!$G$19:$H$20)</f>
        <v>0</v>
      </c>
      <c r="K15" s="233">
        <f t="shared" si="7"/>
        <v>0</v>
      </c>
      <c r="L15" s="775">
        <f>IF(AND($F15&gt;=MIN('Major Assumption Key'!$B$4),$F15&lt;=MAX('Major Assumption Key'!$B$6)),K15,0)</f>
        <v>0</v>
      </c>
      <c r="M15" s="26">
        <f t="shared" si="8"/>
        <v>0</v>
      </c>
      <c r="N15" s="38">
        <f>M15/(1+'Major Assumption Key'!$B$8)^($F15-'Major Assumption Key'!$B$7)</f>
        <v>0</v>
      </c>
      <c r="O15" s="292"/>
      <c r="P15" s="784">
        <f t="shared" si="9"/>
        <v>0</v>
      </c>
      <c r="Q15" s="775">
        <f t="shared" si="10"/>
        <v>0</v>
      </c>
      <c r="R15" s="26">
        <f t="shared" si="11"/>
        <v>0</v>
      </c>
      <c r="S15" s="38">
        <f t="shared" si="12"/>
        <v>0</v>
      </c>
    </row>
    <row r="16" spans="1:19">
      <c r="A16" s="670" t="s">
        <v>1243</v>
      </c>
      <c r="B16" s="671">
        <f>'Major Assumption Key'!B4</f>
        <v>2022</v>
      </c>
      <c r="C16" s="218" t="s">
        <v>1244</v>
      </c>
      <c r="D16" s="672"/>
      <c r="E16" s="218"/>
      <c r="F16" s="232">
        <f>'Major Assumption Key'!A28</f>
        <v>2029</v>
      </c>
      <c r="G16" s="938">
        <f>SUM('Prop. Tax Inc Sidewalk Supp'!$D$19:$E$20)</f>
        <v>0</v>
      </c>
      <c r="H16" s="233">
        <f t="shared" si="6"/>
        <v>0</v>
      </c>
      <c r="I16" s="784">
        <f>IF(AND($F16&gt;=MIN('Major Assumption Key'!$B$4),$F16&lt;=MAX('Major Assumption Key'!$B$6)),H16,0)</f>
        <v>0</v>
      </c>
      <c r="J16" s="938">
        <f>SUM('Prop. Tax Inc Sidewalk Supp'!$G$19:$H$20)</f>
        <v>0</v>
      </c>
      <c r="K16" s="233">
        <f t="shared" si="7"/>
        <v>0</v>
      </c>
      <c r="L16" s="775">
        <f>IF(AND($F16&gt;=MIN('Major Assumption Key'!$B$4),$F16&lt;=MAX('Major Assumption Key'!$B$6)),K16,0)</f>
        <v>0</v>
      </c>
      <c r="M16" s="26">
        <f t="shared" si="8"/>
        <v>0</v>
      </c>
      <c r="N16" s="38">
        <f>M16/(1+'Major Assumption Key'!$B$8)^($F16-'Major Assumption Key'!$B$7)</f>
        <v>0</v>
      </c>
      <c r="O16" s="292"/>
      <c r="P16" s="784">
        <f t="shared" si="9"/>
        <v>0</v>
      </c>
      <c r="Q16" s="775">
        <f t="shared" si="10"/>
        <v>0</v>
      </c>
      <c r="R16" s="26">
        <f t="shared" si="11"/>
        <v>0</v>
      </c>
      <c r="S16" s="38">
        <f t="shared" si="12"/>
        <v>0</v>
      </c>
    </row>
    <row r="17" spans="1:19">
      <c r="A17" s="768" t="str">
        <f>'Major Assumption Key'!$A$4</f>
        <v>Planning Horizon Begin Year:</v>
      </c>
      <c r="B17" s="777">
        <f>'Major Assumption Key'!$B$4</f>
        <v>2022</v>
      </c>
      <c r="C17" s="767" t="s">
        <v>436</v>
      </c>
      <c r="D17" s="770"/>
      <c r="E17" s="218"/>
      <c r="F17" s="232">
        <f>'Major Assumption Key'!A29</f>
        <v>2030</v>
      </c>
      <c r="G17" s="938">
        <f>SUM('Prop. Tax Inc Sidewalk Supp'!$D$19:$E$20)</f>
        <v>0</v>
      </c>
      <c r="H17" s="233">
        <f t="shared" si="6"/>
        <v>0</v>
      </c>
      <c r="I17" s="784">
        <f>IF(AND($F17&gt;=MIN('Major Assumption Key'!$B$4),$F17&lt;=MAX('Major Assumption Key'!$B$6)),H17,0)</f>
        <v>0</v>
      </c>
      <c r="J17" s="938">
        <f>SUM('Prop. Tax Inc Sidewalk Supp'!$G$19:$H$20)</f>
        <v>0</v>
      </c>
      <c r="K17" s="233">
        <f t="shared" si="7"/>
        <v>0</v>
      </c>
      <c r="L17" s="775">
        <f>IF(AND($F17&gt;=MIN('Major Assumption Key'!$B$4),$F17&lt;=MAX('Major Assumption Key'!$B$6)),K17,0)</f>
        <v>0</v>
      </c>
      <c r="M17" s="26">
        <f t="shared" si="8"/>
        <v>0</v>
      </c>
      <c r="N17" s="38">
        <f>M17/(1+'Major Assumption Key'!$B$8)^($F17-'Major Assumption Key'!$B$7)</f>
        <v>0</v>
      </c>
      <c r="O17" s="292"/>
      <c r="P17" s="784">
        <f t="shared" si="9"/>
        <v>0</v>
      </c>
      <c r="Q17" s="775">
        <f t="shared" si="10"/>
        <v>0</v>
      </c>
      <c r="R17" s="26">
        <f t="shared" si="11"/>
        <v>0</v>
      </c>
      <c r="S17" s="38">
        <f t="shared" si="12"/>
        <v>0</v>
      </c>
    </row>
    <row r="18" spans="1:19">
      <c r="A18" s="768" t="str">
        <f>'Major Assumption Key'!$A$6</f>
        <v>Planning Horizon End Year:</v>
      </c>
      <c r="B18" s="777">
        <f>'Major Assumption Key'!$B$6</f>
        <v>2047</v>
      </c>
      <c r="C18" s="767" t="s">
        <v>436</v>
      </c>
      <c r="D18" s="770"/>
      <c r="E18" s="218"/>
      <c r="F18" s="232">
        <f>'Major Assumption Key'!A30</f>
        <v>2031</v>
      </c>
      <c r="G18" s="938">
        <f>SUM('Prop. Tax Inc Sidewalk Supp'!$D$19:$E$20)</f>
        <v>0</v>
      </c>
      <c r="H18" s="233">
        <f t="shared" si="6"/>
        <v>0</v>
      </c>
      <c r="I18" s="784">
        <f>IF(AND($F18&gt;=MIN('Major Assumption Key'!$B$4),$F18&lt;=MAX('Major Assumption Key'!$B$6)),H18,0)</f>
        <v>0</v>
      </c>
      <c r="J18" s="938">
        <f>SUM('Prop. Tax Inc Sidewalk Supp'!$G$19:$H$20)</f>
        <v>0</v>
      </c>
      <c r="K18" s="233">
        <f t="shared" si="7"/>
        <v>0</v>
      </c>
      <c r="L18" s="775">
        <f>IF(AND($F18&gt;=MIN('Major Assumption Key'!$B$4),$F18&lt;=MAX('Major Assumption Key'!$B$6)),K18,0)</f>
        <v>0</v>
      </c>
      <c r="M18" s="26">
        <f t="shared" si="8"/>
        <v>0</v>
      </c>
      <c r="N18" s="38">
        <f>M18/(1+'Major Assumption Key'!$B$8)^($F18-'Major Assumption Key'!$B$7)</f>
        <v>0</v>
      </c>
      <c r="O18" s="292"/>
      <c r="P18" s="784">
        <f t="shared" si="9"/>
        <v>0</v>
      </c>
      <c r="Q18" s="775">
        <f t="shared" si="10"/>
        <v>0</v>
      </c>
      <c r="R18" s="26">
        <f t="shared" si="11"/>
        <v>0</v>
      </c>
      <c r="S18" s="38">
        <f t="shared" si="12"/>
        <v>0</v>
      </c>
    </row>
    <row r="19" spans="1:19">
      <c r="A19" s="670" t="s">
        <v>7354</v>
      </c>
      <c r="B19" s="789">
        <f>'Prop. Tax Inc Sidewalk Supp'!B14</f>
        <v>2.3306620000000004E-2</v>
      </c>
      <c r="C19" s="942" t="s">
        <v>7355</v>
      </c>
      <c r="D19" s="672"/>
      <c r="E19" s="218"/>
      <c r="F19" s="232">
        <f>'Major Assumption Key'!A31</f>
        <v>2032</v>
      </c>
      <c r="G19" s="938">
        <f>SUM('Prop. Tax Inc Sidewalk Supp'!$D$19:$E$20)</f>
        <v>0</v>
      </c>
      <c r="H19" s="233">
        <f t="shared" si="6"/>
        <v>0</v>
      </c>
      <c r="I19" s="784">
        <f>IF(AND($F19&gt;=MIN('Major Assumption Key'!$B$4),$F19&lt;=MAX('Major Assumption Key'!$B$6)),H19,0)</f>
        <v>0</v>
      </c>
      <c r="J19" s="938">
        <f>SUM('Prop. Tax Inc Sidewalk Supp'!$G$19:$H$20)</f>
        <v>0</v>
      </c>
      <c r="K19" s="233">
        <f t="shared" si="7"/>
        <v>0</v>
      </c>
      <c r="L19" s="775">
        <f>IF(AND($F19&gt;=MIN('Major Assumption Key'!$B$4),$F19&lt;=MAX('Major Assumption Key'!$B$6)),K19,0)</f>
        <v>0</v>
      </c>
      <c r="M19" s="26">
        <f t="shared" si="8"/>
        <v>0</v>
      </c>
      <c r="N19" s="38">
        <f>M19/(1+'Major Assumption Key'!$B$8)^($F19-'Major Assumption Key'!$B$7)</f>
        <v>0</v>
      </c>
      <c r="O19" s="292"/>
      <c r="P19" s="784">
        <f t="shared" si="9"/>
        <v>0</v>
      </c>
      <c r="Q19" s="775">
        <f t="shared" si="10"/>
        <v>0</v>
      </c>
      <c r="R19" s="26">
        <f t="shared" si="11"/>
        <v>0</v>
      </c>
      <c r="S19" s="38">
        <f t="shared" si="12"/>
        <v>0</v>
      </c>
    </row>
    <row r="20" spans="1:19">
      <c r="A20" s="943" t="s">
        <v>7356</v>
      </c>
      <c r="B20" s="673">
        <f>4000*'Major Assumption Key'!$B$70</f>
        <v>5320</v>
      </c>
      <c r="C20" s="942" t="s">
        <v>7357</v>
      </c>
      <c r="D20" s="672"/>
      <c r="E20" s="218"/>
      <c r="F20" s="232">
        <f>'Major Assumption Key'!A32</f>
        <v>2033</v>
      </c>
      <c r="G20" s="938">
        <f>SUM('Prop. Tax Inc Sidewalk Supp'!$D$19:$E$20)</f>
        <v>0</v>
      </c>
      <c r="H20" s="233">
        <f t="shared" si="6"/>
        <v>0</v>
      </c>
      <c r="I20" s="784">
        <f>IF(AND($F20&gt;=MIN('Major Assumption Key'!$B$4),$F20&lt;=MAX('Major Assumption Key'!$B$6)),H20,0)</f>
        <v>0</v>
      </c>
      <c r="J20" s="938">
        <f>SUM('Prop. Tax Inc Sidewalk Supp'!$G$19:$H$20)</f>
        <v>0</v>
      </c>
      <c r="K20" s="233">
        <f t="shared" si="7"/>
        <v>0</v>
      </c>
      <c r="L20" s="775">
        <f>IF(AND($F20&gt;=MIN('Major Assumption Key'!$B$4),$F20&lt;=MAX('Major Assumption Key'!$B$6)),K20,0)</f>
        <v>0</v>
      </c>
      <c r="M20" s="26">
        <f t="shared" si="8"/>
        <v>0</v>
      </c>
      <c r="N20" s="38">
        <f>M20/(1+'Major Assumption Key'!$B$8)^($F20-'Major Assumption Key'!$B$7)</f>
        <v>0</v>
      </c>
      <c r="O20" s="292"/>
      <c r="P20" s="784">
        <f t="shared" si="9"/>
        <v>0</v>
      </c>
      <c r="Q20" s="775">
        <f t="shared" si="10"/>
        <v>0</v>
      </c>
      <c r="R20" s="26">
        <f t="shared" si="11"/>
        <v>0</v>
      </c>
      <c r="S20" s="38">
        <f t="shared" si="12"/>
        <v>0</v>
      </c>
    </row>
    <row r="21" spans="1:19" ht="15" thickBot="1">
      <c r="A21" s="944" t="s">
        <v>7358</v>
      </c>
      <c r="B21" s="945">
        <v>0.09</v>
      </c>
      <c r="C21" s="946" t="s">
        <v>7359</v>
      </c>
      <c r="D21" s="564"/>
      <c r="E21" s="218"/>
      <c r="F21" s="232">
        <f>'Major Assumption Key'!A33</f>
        <v>2034</v>
      </c>
      <c r="G21" s="938">
        <f>SUM('Prop. Tax Inc Sidewalk Supp'!$D$19:$E$20)</f>
        <v>0</v>
      </c>
      <c r="H21" s="233">
        <f t="shared" si="6"/>
        <v>0</v>
      </c>
      <c r="I21" s="784">
        <f>IF(AND($F21&gt;=MIN('Major Assumption Key'!$B$4),$F21&lt;=MAX('Major Assumption Key'!$B$6)),H21,0)</f>
        <v>0</v>
      </c>
      <c r="J21" s="938">
        <f>SUM('Prop. Tax Inc Sidewalk Supp'!$G$19:$H$20)</f>
        <v>0</v>
      </c>
      <c r="K21" s="233">
        <f t="shared" si="7"/>
        <v>0</v>
      </c>
      <c r="L21" s="775">
        <f>IF(AND($F21&gt;=MIN('Major Assumption Key'!$B$4),$F21&lt;=MAX('Major Assumption Key'!$B$6)),K21,0)</f>
        <v>0</v>
      </c>
      <c r="M21" s="26">
        <f t="shared" si="8"/>
        <v>0</v>
      </c>
      <c r="N21" s="38">
        <f>M21/(1+'Major Assumption Key'!$B$8)^($F21-'Major Assumption Key'!$B$7)</f>
        <v>0</v>
      </c>
      <c r="O21" s="292"/>
      <c r="P21" s="784">
        <f t="shared" si="9"/>
        <v>0</v>
      </c>
      <c r="Q21" s="775">
        <f t="shared" si="10"/>
        <v>0</v>
      </c>
      <c r="R21" s="26">
        <f t="shared" si="11"/>
        <v>0</v>
      </c>
      <c r="S21" s="38">
        <f t="shared" si="12"/>
        <v>0</v>
      </c>
    </row>
    <row r="22" spans="1:19">
      <c r="E22" s="218"/>
      <c r="F22" s="232">
        <f>'Major Assumption Key'!A34</f>
        <v>2035</v>
      </c>
      <c r="G22" s="938">
        <f>SUM('Prop. Tax Inc Sidewalk Supp'!$D$19:$E$20)</f>
        <v>0</v>
      </c>
      <c r="H22" s="233">
        <f t="shared" si="6"/>
        <v>0</v>
      </c>
      <c r="I22" s="784">
        <f>IF(AND($F22&gt;=MIN('Major Assumption Key'!$B$4),$F22&lt;=MAX('Major Assumption Key'!$B$6)),H22,0)</f>
        <v>0</v>
      </c>
      <c r="J22" s="938">
        <f>SUM('Prop. Tax Inc Sidewalk Supp'!$G$19:$H$20)</f>
        <v>0</v>
      </c>
      <c r="K22" s="233">
        <f t="shared" si="7"/>
        <v>0</v>
      </c>
      <c r="L22" s="775">
        <f>IF(AND($F22&gt;=MIN('Major Assumption Key'!$B$4),$F22&lt;=MAX('Major Assumption Key'!$B$6)),K22,0)</f>
        <v>0</v>
      </c>
      <c r="M22" s="26">
        <f t="shared" si="8"/>
        <v>0</v>
      </c>
      <c r="N22" s="38">
        <f>M22/(1+'Major Assumption Key'!$B$8)^($F22-'Major Assumption Key'!$B$7)</f>
        <v>0</v>
      </c>
      <c r="O22" s="292"/>
      <c r="P22" s="784">
        <f t="shared" si="9"/>
        <v>0</v>
      </c>
      <c r="Q22" s="775">
        <f t="shared" si="10"/>
        <v>0</v>
      </c>
      <c r="R22" s="26">
        <f t="shared" si="11"/>
        <v>0</v>
      </c>
      <c r="S22" s="38">
        <f t="shared" si="12"/>
        <v>0</v>
      </c>
    </row>
    <row r="23" spans="1:19">
      <c r="E23" s="218"/>
      <c r="F23" s="232">
        <f>'Major Assumption Key'!A35</f>
        <v>2036</v>
      </c>
      <c r="G23" s="938">
        <f>SUM('Prop. Tax Inc Sidewalk Supp'!$D$19:$E$20)</f>
        <v>0</v>
      </c>
      <c r="H23" s="233">
        <f t="shared" si="6"/>
        <v>0</v>
      </c>
      <c r="I23" s="784">
        <f>IF(AND($F23&gt;=MIN('Major Assumption Key'!$B$4),$F23&lt;=MAX('Major Assumption Key'!$B$6)),H23,0)</f>
        <v>0</v>
      </c>
      <c r="J23" s="938">
        <f>SUM('Prop. Tax Inc Sidewalk Supp'!$G$19:$H$20)</f>
        <v>0</v>
      </c>
      <c r="K23" s="233">
        <f t="shared" si="7"/>
        <v>0</v>
      </c>
      <c r="L23" s="775">
        <f>IF(AND($F23&gt;=MIN('Major Assumption Key'!$B$4),$F23&lt;=MAX('Major Assumption Key'!$B$6)),K23,0)</f>
        <v>0</v>
      </c>
      <c r="M23" s="26">
        <f t="shared" si="8"/>
        <v>0</v>
      </c>
      <c r="N23" s="38">
        <f>M23/(1+'Major Assumption Key'!$B$8)^($F23-'Major Assumption Key'!$B$7)</f>
        <v>0</v>
      </c>
      <c r="O23" s="292"/>
      <c r="P23" s="784">
        <f t="shared" si="9"/>
        <v>0</v>
      </c>
      <c r="Q23" s="775">
        <f t="shared" si="10"/>
        <v>0</v>
      </c>
      <c r="R23" s="26">
        <f t="shared" si="11"/>
        <v>0</v>
      </c>
      <c r="S23" s="38">
        <f t="shared" si="12"/>
        <v>0</v>
      </c>
    </row>
    <row r="24" spans="1:19">
      <c r="E24" s="218"/>
      <c r="F24" s="232">
        <f>'Major Assumption Key'!A36</f>
        <v>2037</v>
      </c>
      <c r="G24" s="938">
        <f>SUM('Prop. Tax Inc Sidewalk Supp'!$D$19:$E$20)</f>
        <v>0</v>
      </c>
      <c r="H24" s="233">
        <f t="shared" si="6"/>
        <v>0</v>
      </c>
      <c r="I24" s="784">
        <f>IF(AND($F24&gt;=MIN('Major Assumption Key'!$B$4),$F24&lt;=MAX('Major Assumption Key'!$B$6)),H24,0)</f>
        <v>0</v>
      </c>
      <c r="J24" s="938">
        <f>SUM('Prop. Tax Inc Sidewalk Supp'!$G$19:$H$20)</f>
        <v>0</v>
      </c>
      <c r="K24" s="233">
        <f t="shared" si="7"/>
        <v>0</v>
      </c>
      <c r="L24" s="775">
        <f>IF(AND($F24&gt;=MIN('Major Assumption Key'!$B$4),$F24&lt;=MAX('Major Assumption Key'!$B$6)),K24,0)</f>
        <v>0</v>
      </c>
      <c r="M24" s="26">
        <f t="shared" si="8"/>
        <v>0</v>
      </c>
      <c r="N24" s="38">
        <f>M24/(1+'Major Assumption Key'!$B$8)^($F24-'Major Assumption Key'!$B$7)</f>
        <v>0</v>
      </c>
      <c r="O24" s="292"/>
      <c r="P24" s="784">
        <f t="shared" si="9"/>
        <v>0</v>
      </c>
      <c r="Q24" s="775">
        <f t="shared" si="10"/>
        <v>0</v>
      </c>
      <c r="R24" s="26">
        <f t="shared" si="11"/>
        <v>0</v>
      </c>
      <c r="S24" s="38">
        <f t="shared" si="12"/>
        <v>0</v>
      </c>
    </row>
    <row r="25" spans="1:19" ht="15" customHeight="1">
      <c r="E25" s="218"/>
      <c r="F25" s="232">
        <f>'Major Assumption Key'!A37</f>
        <v>2038</v>
      </c>
      <c r="G25" s="938">
        <f>SUM('Prop. Tax Inc Sidewalk Supp'!$D$19:$E$20)</f>
        <v>0</v>
      </c>
      <c r="H25" s="233">
        <f t="shared" si="6"/>
        <v>0</v>
      </c>
      <c r="I25" s="784">
        <f>IF(AND($F25&gt;=MIN('Major Assumption Key'!$B$4),$F25&lt;=MAX('Major Assumption Key'!$B$6)),H25,0)</f>
        <v>0</v>
      </c>
      <c r="J25" s="938">
        <f>SUM('Prop. Tax Inc Sidewalk Supp'!$G$19:$H$20)</f>
        <v>0</v>
      </c>
      <c r="K25" s="233">
        <f t="shared" si="7"/>
        <v>0</v>
      </c>
      <c r="L25" s="775">
        <f>IF(AND($F25&gt;=MIN('Major Assumption Key'!$B$4),$F25&lt;=MAX('Major Assumption Key'!$B$6)),K25,0)</f>
        <v>0</v>
      </c>
      <c r="M25" s="26">
        <f t="shared" si="8"/>
        <v>0</v>
      </c>
      <c r="N25" s="38">
        <f>M25/(1+'Major Assumption Key'!$B$8)^($F25-'Major Assumption Key'!$B$7)</f>
        <v>0</v>
      </c>
      <c r="O25" s="292"/>
      <c r="P25" s="784">
        <f t="shared" si="9"/>
        <v>0</v>
      </c>
      <c r="Q25" s="775">
        <f t="shared" si="10"/>
        <v>0</v>
      </c>
      <c r="R25" s="26">
        <f t="shared" si="11"/>
        <v>0</v>
      </c>
      <c r="S25" s="38">
        <f t="shared" si="12"/>
        <v>0</v>
      </c>
    </row>
    <row r="26" spans="1:19" ht="15" customHeight="1">
      <c r="E26" s="218"/>
      <c r="F26" s="232">
        <f>'Major Assumption Key'!A38</f>
        <v>2039</v>
      </c>
      <c r="G26" s="938">
        <f>SUM('Prop. Tax Inc Sidewalk Supp'!$D$19:$E$20)</f>
        <v>0</v>
      </c>
      <c r="H26" s="233">
        <f t="shared" si="6"/>
        <v>0</v>
      </c>
      <c r="I26" s="784">
        <f>IF(AND($F26&gt;=MIN('Major Assumption Key'!$B$4),$F26&lt;=MAX('Major Assumption Key'!$B$6)),H26,0)</f>
        <v>0</v>
      </c>
      <c r="J26" s="938">
        <f>SUM('Prop. Tax Inc Sidewalk Supp'!$G$19:$H$20)</f>
        <v>0</v>
      </c>
      <c r="K26" s="233">
        <f t="shared" si="7"/>
        <v>0</v>
      </c>
      <c r="L26" s="775">
        <f>IF(AND($F26&gt;=MIN('Major Assumption Key'!$B$4),$F26&lt;=MAX('Major Assumption Key'!$B$6)),K26,0)</f>
        <v>0</v>
      </c>
      <c r="M26" s="26">
        <f t="shared" si="8"/>
        <v>0</v>
      </c>
      <c r="N26" s="38">
        <f>M26/(1+'Major Assumption Key'!$B$8)^($F26-'Major Assumption Key'!$B$7)</f>
        <v>0</v>
      </c>
      <c r="O26" s="292"/>
      <c r="P26" s="784">
        <f t="shared" si="9"/>
        <v>0</v>
      </c>
      <c r="Q26" s="775">
        <f t="shared" si="10"/>
        <v>0</v>
      </c>
      <c r="R26" s="26">
        <f t="shared" si="11"/>
        <v>0</v>
      </c>
      <c r="S26" s="38">
        <f t="shared" si="12"/>
        <v>0</v>
      </c>
    </row>
    <row r="27" spans="1:19" ht="15" customHeight="1">
      <c r="E27" s="218"/>
      <c r="F27" s="232">
        <f>'Major Assumption Key'!A39</f>
        <v>2040</v>
      </c>
      <c r="G27" s="938">
        <f>SUM('Prop. Tax Inc Sidewalk Supp'!$D$19:$E$20)</f>
        <v>0</v>
      </c>
      <c r="H27" s="233">
        <f t="shared" si="6"/>
        <v>0</v>
      </c>
      <c r="I27" s="784">
        <f>IF(AND($F27&gt;=MIN('Major Assumption Key'!$B$4),$F27&lt;=MAX('Major Assumption Key'!$B$6)),H27,0)</f>
        <v>0</v>
      </c>
      <c r="J27" s="938">
        <f>SUM('Prop. Tax Inc Sidewalk Supp'!$G$19:$H$20)</f>
        <v>0</v>
      </c>
      <c r="K27" s="233">
        <f t="shared" si="7"/>
        <v>0</v>
      </c>
      <c r="L27" s="775">
        <f>IF(AND($F27&gt;=MIN('Major Assumption Key'!$B$4),$F27&lt;=MAX('Major Assumption Key'!$B$6)),K27,0)</f>
        <v>0</v>
      </c>
      <c r="M27" s="26">
        <f t="shared" si="8"/>
        <v>0</v>
      </c>
      <c r="N27" s="38">
        <f>M27/(1+'Major Assumption Key'!$B$8)^($F27-'Major Assumption Key'!$B$7)</f>
        <v>0</v>
      </c>
      <c r="O27" s="292"/>
      <c r="P27" s="784">
        <f t="shared" si="9"/>
        <v>0</v>
      </c>
      <c r="Q27" s="775">
        <f t="shared" si="10"/>
        <v>0</v>
      </c>
      <c r="R27" s="26">
        <f t="shared" si="11"/>
        <v>0</v>
      </c>
      <c r="S27" s="38">
        <f t="shared" si="12"/>
        <v>0</v>
      </c>
    </row>
    <row r="28" spans="1:19" ht="15" customHeight="1">
      <c r="E28" s="218"/>
      <c r="F28" s="232">
        <f>'Major Assumption Key'!A40</f>
        <v>2041</v>
      </c>
      <c r="G28" s="938">
        <f>SUM('Prop. Tax Inc Sidewalk Supp'!$D$19:$E$20)</f>
        <v>0</v>
      </c>
      <c r="H28" s="233">
        <f t="shared" si="6"/>
        <v>0</v>
      </c>
      <c r="I28" s="784">
        <f>IF(AND($F28&gt;=MIN('Major Assumption Key'!$B$4),$F28&lt;=MAX('Major Assumption Key'!$B$6)),H28,0)</f>
        <v>0</v>
      </c>
      <c r="J28" s="938">
        <f>SUM('Prop. Tax Inc Sidewalk Supp'!$G$19:$H$20)</f>
        <v>0</v>
      </c>
      <c r="K28" s="233">
        <f t="shared" si="7"/>
        <v>0</v>
      </c>
      <c r="L28" s="775">
        <f>IF(AND($F28&gt;=MIN('Major Assumption Key'!$B$4),$F28&lt;=MAX('Major Assumption Key'!$B$6)),K28,0)</f>
        <v>0</v>
      </c>
      <c r="M28" s="26">
        <f t="shared" si="8"/>
        <v>0</v>
      </c>
      <c r="N28" s="38">
        <f>M28/(1+'Major Assumption Key'!$B$8)^($F28-'Major Assumption Key'!$B$7)</f>
        <v>0</v>
      </c>
      <c r="O28" s="292"/>
      <c r="P28" s="784">
        <f t="shared" si="9"/>
        <v>0</v>
      </c>
      <c r="Q28" s="775">
        <f t="shared" si="10"/>
        <v>0</v>
      </c>
      <c r="R28" s="26">
        <f t="shared" si="11"/>
        <v>0</v>
      </c>
      <c r="S28" s="38">
        <f t="shared" si="12"/>
        <v>0</v>
      </c>
    </row>
    <row r="29" spans="1:19" ht="15" customHeight="1">
      <c r="E29" s="218"/>
      <c r="F29" s="232">
        <f>'Major Assumption Key'!A41</f>
        <v>2042</v>
      </c>
      <c r="G29" s="938">
        <f>SUM('Prop. Tax Inc Sidewalk Supp'!$D$19:$E$20)</f>
        <v>0</v>
      </c>
      <c r="H29" s="233">
        <f t="shared" si="6"/>
        <v>0</v>
      </c>
      <c r="I29" s="784">
        <f>IF(AND($F29&gt;=MIN('Major Assumption Key'!$B$4),$F29&lt;=MAX('Major Assumption Key'!$B$6)),H29,0)</f>
        <v>0</v>
      </c>
      <c r="J29" s="938">
        <f>SUM('Prop. Tax Inc Sidewalk Supp'!$G$19:$H$20)</f>
        <v>0</v>
      </c>
      <c r="K29" s="233">
        <f t="shared" si="7"/>
        <v>0</v>
      </c>
      <c r="L29" s="775">
        <f>IF(AND($F29&gt;=MIN('Major Assumption Key'!$B$4),$F29&lt;=MAX('Major Assumption Key'!$B$6)),K29,0)</f>
        <v>0</v>
      </c>
      <c r="M29" s="26">
        <f t="shared" si="8"/>
        <v>0</v>
      </c>
      <c r="N29" s="38">
        <f>M29/(1+'Major Assumption Key'!$B$8)^($F29-'Major Assumption Key'!$B$7)</f>
        <v>0</v>
      </c>
      <c r="O29" s="292"/>
      <c r="P29" s="784">
        <f t="shared" si="9"/>
        <v>0</v>
      </c>
      <c r="Q29" s="775">
        <f t="shared" si="10"/>
        <v>0</v>
      </c>
      <c r="R29" s="26">
        <f t="shared" si="11"/>
        <v>0</v>
      </c>
      <c r="S29" s="38">
        <f t="shared" si="12"/>
        <v>0</v>
      </c>
    </row>
    <row r="30" spans="1:19">
      <c r="E30" s="218"/>
      <c r="F30" s="232">
        <f>'Major Assumption Key'!A42</f>
        <v>2043</v>
      </c>
      <c r="G30" s="938">
        <f>SUM('Prop. Tax Inc Sidewalk Supp'!$D$19:$E$20)</f>
        <v>0</v>
      </c>
      <c r="H30" s="233">
        <f t="shared" si="6"/>
        <v>0</v>
      </c>
      <c r="I30" s="784">
        <f>IF(AND($F30&gt;=MIN('Major Assumption Key'!$B$4),$F30&lt;=MAX('Major Assumption Key'!$B$6)),H30,0)</f>
        <v>0</v>
      </c>
      <c r="J30" s="938">
        <f>SUM('Prop. Tax Inc Sidewalk Supp'!$G$19:$H$20)</f>
        <v>0</v>
      </c>
      <c r="K30" s="233">
        <f t="shared" si="7"/>
        <v>0</v>
      </c>
      <c r="L30" s="775">
        <f>IF(AND($F30&gt;=MIN('Major Assumption Key'!$B$4),$F30&lt;=MAX('Major Assumption Key'!$B$6)),K30,0)</f>
        <v>0</v>
      </c>
      <c r="M30" s="26">
        <f t="shared" si="8"/>
        <v>0</v>
      </c>
      <c r="N30" s="38">
        <f>M30/(1+'Major Assumption Key'!$B$8)^($F30-'Major Assumption Key'!$B$7)</f>
        <v>0</v>
      </c>
      <c r="O30" s="292"/>
      <c r="P30" s="784">
        <f t="shared" si="9"/>
        <v>0</v>
      </c>
      <c r="Q30" s="775">
        <f t="shared" si="10"/>
        <v>0</v>
      </c>
      <c r="R30" s="26">
        <f t="shared" si="11"/>
        <v>0</v>
      </c>
      <c r="S30" s="38">
        <f t="shared" si="12"/>
        <v>0</v>
      </c>
    </row>
    <row r="31" spans="1:19">
      <c r="E31" s="218"/>
      <c r="F31" s="232">
        <f>'Major Assumption Key'!A43</f>
        <v>2044</v>
      </c>
      <c r="G31" s="938">
        <f>SUM('Prop. Tax Inc Sidewalk Supp'!$D$19:$E$20)</f>
        <v>0</v>
      </c>
      <c r="H31" s="233">
        <f t="shared" si="6"/>
        <v>0</v>
      </c>
      <c r="I31" s="784">
        <f>IF(AND($F31&gt;=MIN('Major Assumption Key'!$B$4),$F31&lt;=MAX('Major Assumption Key'!$B$6)),H31,0)</f>
        <v>0</v>
      </c>
      <c r="J31" s="938">
        <f>SUM('Prop. Tax Inc Sidewalk Supp'!$G$19:$H$20)</f>
        <v>0</v>
      </c>
      <c r="K31" s="233">
        <f t="shared" si="7"/>
        <v>0</v>
      </c>
      <c r="L31" s="775">
        <f>IF(AND($F31&gt;=MIN('Major Assumption Key'!$B$4),$F31&lt;=MAX('Major Assumption Key'!$B$6)),K31,0)</f>
        <v>0</v>
      </c>
      <c r="M31" s="26">
        <f t="shared" si="8"/>
        <v>0</v>
      </c>
      <c r="N31" s="38">
        <f>M31/(1+'Major Assumption Key'!$B$8)^($F31-'Major Assumption Key'!$B$7)</f>
        <v>0</v>
      </c>
      <c r="O31" s="292"/>
      <c r="P31" s="784">
        <f t="shared" si="9"/>
        <v>0</v>
      </c>
      <c r="Q31" s="775">
        <f t="shared" si="10"/>
        <v>0</v>
      </c>
      <c r="R31" s="26">
        <f t="shared" si="11"/>
        <v>0</v>
      </c>
      <c r="S31" s="38">
        <f t="shared" si="12"/>
        <v>0</v>
      </c>
    </row>
    <row r="32" spans="1:19" ht="14.7" customHeight="1">
      <c r="E32" s="218"/>
      <c r="F32" s="232">
        <f>'Major Assumption Key'!A44</f>
        <v>2045</v>
      </c>
      <c r="G32" s="938">
        <f>SUM('Prop. Tax Inc Sidewalk Supp'!$D$19:$E$20)</f>
        <v>0</v>
      </c>
      <c r="H32" s="233">
        <f t="shared" si="6"/>
        <v>0</v>
      </c>
      <c r="I32" s="784">
        <f>IF(AND($F32&gt;=MIN('Major Assumption Key'!$B$4),$F32&lt;=MAX('Major Assumption Key'!$B$6)),H32,0)</f>
        <v>0</v>
      </c>
      <c r="J32" s="938">
        <f>SUM('Prop. Tax Inc Sidewalk Supp'!$G$19:$H$20)</f>
        <v>0</v>
      </c>
      <c r="K32" s="233">
        <f t="shared" si="7"/>
        <v>0</v>
      </c>
      <c r="L32" s="775">
        <f>IF(AND($F32&gt;=MIN('Major Assumption Key'!$B$4),$F32&lt;=MAX('Major Assumption Key'!$B$6)),K32,0)</f>
        <v>0</v>
      </c>
      <c r="M32" s="26">
        <f t="shared" si="8"/>
        <v>0</v>
      </c>
      <c r="N32" s="38">
        <f>M32/(1+'Major Assumption Key'!$B$8)^($F32-'Major Assumption Key'!$B$7)</f>
        <v>0</v>
      </c>
      <c r="O32" s="292"/>
      <c r="P32" s="784">
        <f t="shared" si="9"/>
        <v>0</v>
      </c>
      <c r="Q32" s="775">
        <f t="shared" si="10"/>
        <v>0</v>
      </c>
      <c r="R32" s="26">
        <f t="shared" si="11"/>
        <v>0</v>
      </c>
      <c r="S32" s="38">
        <f t="shared" si="12"/>
        <v>0</v>
      </c>
    </row>
    <row r="33" spans="5:19">
      <c r="E33" s="218"/>
      <c r="F33" s="232">
        <f>'Major Assumption Key'!A45</f>
        <v>2046</v>
      </c>
      <c r="G33" s="938">
        <f>SUM('Prop. Tax Inc Sidewalk Supp'!$D$19:$E$20)</f>
        <v>0</v>
      </c>
      <c r="H33" s="233">
        <f t="shared" si="6"/>
        <v>0</v>
      </c>
      <c r="I33" s="784">
        <f>IF(AND($F33&gt;=MIN('Major Assumption Key'!$B$4),$F33&lt;=MAX('Major Assumption Key'!$B$6)),H33,0)</f>
        <v>0</v>
      </c>
      <c r="J33" s="938">
        <f>SUM('Prop. Tax Inc Sidewalk Supp'!$G$19:$H$20)</f>
        <v>0</v>
      </c>
      <c r="K33" s="233">
        <f t="shared" si="7"/>
        <v>0</v>
      </c>
      <c r="L33" s="775">
        <f>IF(AND($F33&gt;=MIN('Major Assumption Key'!$B$4),$F33&lt;=MAX('Major Assumption Key'!$B$6)),K33,0)</f>
        <v>0</v>
      </c>
      <c r="M33" s="26">
        <f t="shared" si="8"/>
        <v>0</v>
      </c>
      <c r="N33" s="38">
        <f>M33/(1+'Major Assumption Key'!$B$8)^($F33-'Major Assumption Key'!$B$7)</f>
        <v>0</v>
      </c>
      <c r="O33" s="292"/>
      <c r="P33" s="784">
        <f t="shared" si="9"/>
        <v>0</v>
      </c>
      <c r="Q33" s="775">
        <f t="shared" si="10"/>
        <v>0</v>
      </c>
      <c r="R33" s="26">
        <f t="shared" si="11"/>
        <v>0</v>
      </c>
      <c r="S33" s="38">
        <f t="shared" si="12"/>
        <v>0</v>
      </c>
    </row>
    <row r="34" spans="5:19" ht="14.7" customHeight="1">
      <c r="F34" s="232">
        <f>'Major Assumption Key'!A46</f>
        <v>2047</v>
      </c>
      <c r="G34" s="938">
        <f>SUM('Prop. Tax Inc Sidewalk Supp'!$D$19:$E$20)</f>
        <v>0</v>
      </c>
      <c r="H34" s="233">
        <f t="shared" si="6"/>
        <v>0</v>
      </c>
      <c r="I34" s="784">
        <f>IF(AND($F34&gt;=MIN('Major Assumption Key'!$B$4),$F34&lt;=MAX('Major Assumption Key'!$B$6)),H34,0)</f>
        <v>0</v>
      </c>
      <c r="J34" s="938">
        <f>SUM('Prop. Tax Inc Sidewalk Supp'!$G$19:$H$20)</f>
        <v>0</v>
      </c>
      <c r="K34" s="233">
        <f t="shared" si="7"/>
        <v>0</v>
      </c>
      <c r="L34" s="775">
        <f>IF(AND($F34&gt;=MIN('Major Assumption Key'!$B$4),$F34&lt;=MAX('Major Assumption Key'!$B$6)),K34,0)</f>
        <v>0</v>
      </c>
      <c r="M34" s="26">
        <f t="shared" si="8"/>
        <v>0</v>
      </c>
      <c r="N34" s="38">
        <f>M34/(1+'Major Assumption Key'!$B$8)^($F34-'Major Assumption Key'!$B$7)</f>
        <v>0</v>
      </c>
      <c r="O34" s="292"/>
      <c r="P34" s="784">
        <f t="shared" si="9"/>
        <v>0</v>
      </c>
      <c r="Q34" s="775">
        <f t="shared" si="10"/>
        <v>0</v>
      </c>
      <c r="R34" s="26">
        <f t="shared" si="11"/>
        <v>0</v>
      </c>
      <c r="S34" s="38">
        <f t="shared" si="12"/>
        <v>0</v>
      </c>
    </row>
    <row r="35" spans="5:19" ht="14.7" customHeight="1">
      <c r="F35" s="232">
        <f>'Major Assumption Key'!A47</f>
        <v>2048</v>
      </c>
      <c r="G35" s="938">
        <f>SUM('Prop. Tax Inc Sidewalk Supp'!$D$19:$E$20)</f>
        <v>0</v>
      </c>
      <c r="H35" s="233">
        <f t="shared" si="6"/>
        <v>0</v>
      </c>
      <c r="I35" s="784">
        <f>IF(AND($F35&gt;=MIN('Major Assumption Key'!$B$4),$F35&lt;=MAX('Major Assumption Key'!$B$6)),H35,0)</f>
        <v>0</v>
      </c>
      <c r="J35" s="938">
        <f>SUM('Prop. Tax Inc Sidewalk Supp'!$G$19:$H$20)</f>
        <v>0</v>
      </c>
      <c r="K35" s="233">
        <f t="shared" si="7"/>
        <v>0</v>
      </c>
      <c r="L35" s="775">
        <f>IF(AND($F35&gt;=MIN('Major Assumption Key'!$B$4),$F35&lt;=MAX('Major Assumption Key'!$B$6)),K35,0)</f>
        <v>0</v>
      </c>
      <c r="M35" s="26">
        <f t="shared" si="8"/>
        <v>0</v>
      </c>
      <c r="N35" s="38">
        <f>M35/(1+'Major Assumption Key'!$B$8)^($F35-'Major Assumption Key'!$B$7)</f>
        <v>0</v>
      </c>
      <c r="O35" s="292"/>
      <c r="P35" s="784">
        <f t="shared" si="9"/>
        <v>0</v>
      </c>
      <c r="Q35" s="775">
        <f t="shared" si="10"/>
        <v>0</v>
      </c>
      <c r="R35" s="26">
        <f t="shared" si="11"/>
        <v>0</v>
      </c>
      <c r="S35" s="38">
        <f t="shared" si="12"/>
        <v>0</v>
      </c>
    </row>
    <row r="36" spans="5:19" ht="14.7" customHeight="1">
      <c r="F36" s="232">
        <f>'Major Assumption Key'!A48</f>
        <v>2049</v>
      </c>
      <c r="G36" s="938">
        <f>SUM('Prop. Tax Inc Sidewalk Supp'!$D$19:$E$20)</f>
        <v>0</v>
      </c>
      <c r="H36" s="233">
        <f t="shared" si="6"/>
        <v>0</v>
      </c>
      <c r="I36" s="784">
        <f>IF(AND($F36&gt;=MIN('Major Assumption Key'!$B$4),$F36&lt;=MAX('Major Assumption Key'!$B$6)),H36,0)</f>
        <v>0</v>
      </c>
      <c r="J36" s="938">
        <f>SUM('Prop. Tax Inc Sidewalk Supp'!$G$19:$H$20)</f>
        <v>0</v>
      </c>
      <c r="K36" s="233">
        <f t="shared" si="7"/>
        <v>0</v>
      </c>
      <c r="L36" s="775">
        <f>IF(AND($F36&gt;=MIN('Major Assumption Key'!$B$4),$F36&lt;=MAX('Major Assumption Key'!$B$6)),K36,0)</f>
        <v>0</v>
      </c>
      <c r="M36" s="26">
        <f t="shared" si="8"/>
        <v>0</v>
      </c>
      <c r="N36" s="38">
        <f>M36/(1+'Major Assumption Key'!$B$8)^($F36-'Major Assumption Key'!$B$7)</f>
        <v>0</v>
      </c>
      <c r="O36" s="292"/>
      <c r="P36" s="784">
        <f t="shared" si="9"/>
        <v>0</v>
      </c>
      <c r="Q36" s="775">
        <f t="shared" si="10"/>
        <v>0</v>
      </c>
      <c r="R36" s="26">
        <f t="shared" si="11"/>
        <v>0</v>
      </c>
      <c r="S36" s="38">
        <f t="shared" si="12"/>
        <v>0</v>
      </c>
    </row>
    <row r="37" spans="5:19" ht="14.7" customHeight="1">
      <c r="F37" s="232">
        <f>'Major Assumption Key'!A49</f>
        <v>2050</v>
      </c>
      <c r="G37" s="938">
        <f>SUM('Prop. Tax Inc Sidewalk Supp'!$D$19:$E$20)</f>
        <v>0</v>
      </c>
      <c r="H37" s="233">
        <f t="shared" si="6"/>
        <v>0</v>
      </c>
      <c r="I37" s="784">
        <f>IF(AND($F37&gt;=MIN('Major Assumption Key'!$B$4),$F37&lt;=MAX('Major Assumption Key'!$B$6)),H37,0)</f>
        <v>0</v>
      </c>
      <c r="J37" s="938">
        <f>SUM('Prop. Tax Inc Sidewalk Supp'!$G$19:$H$20)</f>
        <v>0</v>
      </c>
      <c r="K37" s="233">
        <f t="shared" si="7"/>
        <v>0</v>
      </c>
      <c r="L37" s="775">
        <f>IF(AND($F37&gt;=MIN('Major Assumption Key'!$B$4),$F37&lt;=MAX('Major Assumption Key'!$B$6)),K37,0)</f>
        <v>0</v>
      </c>
      <c r="M37" s="26">
        <f t="shared" si="8"/>
        <v>0</v>
      </c>
      <c r="N37" s="38">
        <f>M37/(1+'Major Assumption Key'!$B$8)^($F37-'Major Assumption Key'!$B$7)</f>
        <v>0</v>
      </c>
      <c r="O37" s="292"/>
      <c r="P37" s="784">
        <f t="shared" si="9"/>
        <v>0</v>
      </c>
      <c r="Q37" s="775">
        <f t="shared" si="10"/>
        <v>0</v>
      </c>
      <c r="R37" s="26">
        <f t="shared" si="11"/>
        <v>0</v>
      </c>
      <c r="S37" s="38">
        <f t="shared" si="12"/>
        <v>0</v>
      </c>
    </row>
    <row r="38" spans="5:19" ht="14.7" customHeight="1">
      <c r="F38" s="232">
        <f>'Major Assumption Key'!A50</f>
        <v>2051</v>
      </c>
      <c r="G38" s="938">
        <f>SUM('Prop. Tax Inc Sidewalk Supp'!$D$19:$E$20)</f>
        <v>0</v>
      </c>
      <c r="H38" s="233">
        <f t="shared" si="6"/>
        <v>0</v>
      </c>
      <c r="I38" s="784">
        <f>IF(AND($F38&gt;=MIN('Major Assumption Key'!$B$4),$F38&lt;=MAX('Major Assumption Key'!$B$6)),H38,0)</f>
        <v>0</v>
      </c>
      <c r="J38" s="938">
        <f>SUM('Prop. Tax Inc Sidewalk Supp'!$G$19:$H$20)</f>
        <v>0</v>
      </c>
      <c r="K38" s="233">
        <f t="shared" si="7"/>
        <v>0</v>
      </c>
      <c r="L38" s="775">
        <f>IF(AND($F38&gt;=MIN('Major Assumption Key'!$B$4),$F38&lt;=MAX('Major Assumption Key'!$B$6)),K38,0)</f>
        <v>0</v>
      </c>
      <c r="M38" s="26">
        <f t="shared" si="8"/>
        <v>0</v>
      </c>
      <c r="N38" s="38">
        <f>M38/(1+'Major Assumption Key'!$B$8)^($F38-'Major Assumption Key'!$B$7)</f>
        <v>0</v>
      </c>
      <c r="O38" s="292"/>
      <c r="P38" s="784">
        <f t="shared" si="9"/>
        <v>0</v>
      </c>
      <c r="Q38" s="775">
        <f t="shared" si="10"/>
        <v>0</v>
      </c>
      <c r="R38" s="26">
        <f t="shared" si="11"/>
        <v>0</v>
      </c>
      <c r="S38" s="38">
        <f t="shared" si="12"/>
        <v>0</v>
      </c>
    </row>
    <row r="39" spans="5:19" ht="14.7" customHeight="1">
      <c r="F39" s="232">
        <f>'Major Assumption Key'!A51</f>
        <v>2052</v>
      </c>
      <c r="G39" s="938">
        <f>SUM('Prop. Tax Inc Sidewalk Supp'!$D$19:$E$20)</f>
        <v>0</v>
      </c>
      <c r="H39" s="233">
        <f t="shared" si="6"/>
        <v>0</v>
      </c>
      <c r="I39" s="784">
        <f>IF(AND($F39&gt;=MIN('Major Assumption Key'!$B$4),$F39&lt;=MAX('Major Assumption Key'!$B$6)),H39,0)</f>
        <v>0</v>
      </c>
      <c r="J39" s="938">
        <f>SUM('Prop. Tax Inc Sidewalk Supp'!$G$19:$H$20)</f>
        <v>0</v>
      </c>
      <c r="K39" s="233">
        <f t="shared" si="7"/>
        <v>0</v>
      </c>
      <c r="L39" s="775">
        <f>IF(AND($F39&gt;=MIN('Major Assumption Key'!$B$4),$F39&lt;=MAX('Major Assumption Key'!$B$6)),K39,0)</f>
        <v>0</v>
      </c>
      <c r="M39" s="26">
        <f t="shared" si="8"/>
        <v>0</v>
      </c>
      <c r="N39" s="38">
        <f>M39/(1+'Major Assumption Key'!$B$8)^($F39-'Major Assumption Key'!$B$7)</f>
        <v>0</v>
      </c>
      <c r="O39" s="292"/>
      <c r="P39" s="784">
        <f t="shared" si="9"/>
        <v>0</v>
      </c>
      <c r="Q39" s="775">
        <f t="shared" si="10"/>
        <v>0</v>
      </c>
      <c r="R39" s="26">
        <f t="shared" si="11"/>
        <v>0</v>
      </c>
      <c r="S39" s="38">
        <f t="shared" si="12"/>
        <v>0</v>
      </c>
    </row>
    <row r="40" spans="5:19" ht="14.7" customHeight="1">
      <c r="F40" s="232">
        <f>'Major Assumption Key'!A52</f>
        <v>2053</v>
      </c>
      <c r="G40" s="938">
        <f>SUM('Prop. Tax Inc Sidewalk Supp'!$D$19:$E$20)</f>
        <v>0</v>
      </c>
      <c r="H40" s="233">
        <f t="shared" si="6"/>
        <v>0</v>
      </c>
      <c r="I40" s="784">
        <f>IF(AND($F40&gt;=MIN('Major Assumption Key'!$B$4),$F40&lt;=MAX('Major Assumption Key'!$B$6)),H40,0)</f>
        <v>0</v>
      </c>
      <c r="J40" s="938">
        <f>SUM('Prop. Tax Inc Sidewalk Supp'!$G$19:$H$20)</f>
        <v>0</v>
      </c>
      <c r="K40" s="233">
        <f t="shared" si="7"/>
        <v>0</v>
      </c>
      <c r="L40" s="775">
        <f>IF(AND($F40&gt;=MIN('Major Assumption Key'!$B$4),$F40&lt;=MAX('Major Assumption Key'!$B$6)),K40,0)</f>
        <v>0</v>
      </c>
      <c r="M40" s="26">
        <f t="shared" si="8"/>
        <v>0</v>
      </c>
      <c r="N40" s="38">
        <f>M40/(1+'Major Assumption Key'!$B$8)^($F40-'Major Assumption Key'!$B$7)</f>
        <v>0</v>
      </c>
      <c r="O40" s="292"/>
      <c r="P40" s="784">
        <f t="shared" si="9"/>
        <v>0</v>
      </c>
      <c r="Q40" s="775">
        <f t="shared" si="10"/>
        <v>0</v>
      </c>
      <c r="R40" s="26">
        <f t="shared" si="11"/>
        <v>0</v>
      </c>
      <c r="S40" s="38">
        <f t="shared" si="12"/>
        <v>0</v>
      </c>
    </row>
    <row r="41" spans="5:19" ht="14.7" customHeight="1">
      <c r="F41" s="232">
        <f>'Major Assumption Key'!A53</f>
        <v>2054</v>
      </c>
      <c r="G41" s="938">
        <f>SUM('Prop. Tax Inc Sidewalk Supp'!$D$19:$E$20)</f>
        <v>0</v>
      </c>
      <c r="H41" s="233">
        <f t="shared" si="6"/>
        <v>0</v>
      </c>
      <c r="I41" s="784">
        <f>IF(AND($F41&gt;=MIN('Major Assumption Key'!$B$4),$F41&lt;=MAX('Major Assumption Key'!$B$6)),H41,0)</f>
        <v>0</v>
      </c>
      <c r="J41" s="938">
        <f>SUM('Prop. Tax Inc Sidewalk Supp'!$G$19:$H$20)</f>
        <v>0</v>
      </c>
      <c r="K41" s="233">
        <f t="shared" si="7"/>
        <v>0</v>
      </c>
      <c r="L41" s="775">
        <f>IF(AND($F41&gt;=MIN('Major Assumption Key'!$B$4),$F41&lt;=MAX('Major Assumption Key'!$B$6)),K41,0)</f>
        <v>0</v>
      </c>
      <c r="M41" s="26">
        <f t="shared" si="8"/>
        <v>0</v>
      </c>
      <c r="N41" s="38">
        <f>M41/(1+'Major Assumption Key'!$B$8)^($F41-'Major Assumption Key'!$B$7)</f>
        <v>0</v>
      </c>
      <c r="O41" s="292"/>
      <c r="P41" s="784">
        <f t="shared" si="9"/>
        <v>0</v>
      </c>
      <c r="Q41" s="775">
        <f t="shared" si="10"/>
        <v>0</v>
      </c>
      <c r="R41" s="26">
        <f t="shared" si="11"/>
        <v>0</v>
      </c>
      <c r="S41" s="38">
        <f t="shared" si="12"/>
        <v>0</v>
      </c>
    </row>
    <row r="42" spans="5:19" ht="14.7" customHeight="1">
      <c r="F42" s="232">
        <f>'Major Assumption Key'!A54</f>
        <v>2055</v>
      </c>
      <c r="G42" s="938">
        <f>SUM('Prop. Tax Inc Sidewalk Supp'!$D$19:$E$20)</f>
        <v>0</v>
      </c>
      <c r="H42" s="233">
        <f t="shared" si="6"/>
        <v>0</v>
      </c>
      <c r="I42" s="784">
        <f>IF(AND($F42&gt;=MIN('Major Assumption Key'!$B$4),$F42&lt;=MAX('Major Assumption Key'!$B$6)),H42,0)</f>
        <v>0</v>
      </c>
      <c r="J42" s="938">
        <f>SUM('Prop. Tax Inc Sidewalk Supp'!$G$19:$H$20)</f>
        <v>0</v>
      </c>
      <c r="K42" s="233">
        <f t="shared" si="7"/>
        <v>0</v>
      </c>
      <c r="L42" s="775">
        <f>IF(AND($F42&gt;=MIN('Major Assumption Key'!$B$4),$F42&lt;=MAX('Major Assumption Key'!$B$6)),K42,0)</f>
        <v>0</v>
      </c>
      <c r="M42" s="26">
        <f t="shared" si="8"/>
        <v>0</v>
      </c>
      <c r="N42" s="38">
        <f>M42/(1+'Major Assumption Key'!$B$8)^($F42-'Major Assumption Key'!$B$7)</f>
        <v>0</v>
      </c>
      <c r="O42" s="292"/>
      <c r="P42" s="784">
        <f t="shared" si="9"/>
        <v>0</v>
      </c>
      <c r="Q42" s="775">
        <f t="shared" si="10"/>
        <v>0</v>
      </c>
      <c r="R42" s="26">
        <f t="shared" si="11"/>
        <v>0</v>
      </c>
      <c r="S42" s="38">
        <f t="shared" si="12"/>
        <v>0</v>
      </c>
    </row>
    <row r="43" spans="5:19" ht="14.7" customHeight="1">
      <c r="F43" s="232">
        <f>'Major Assumption Key'!A55</f>
        <v>2056</v>
      </c>
      <c r="G43" s="938">
        <f>SUM('Prop. Tax Inc Sidewalk Supp'!$D$19:$E$20)</f>
        <v>0</v>
      </c>
      <c r="H43" s="233">
        <f t="shared" si="6"/>
        <v>0</v>
      </c>
      <c r="I43" s="784">
        <f>IF(AND($F43&gt;=MIN('Major Assumption Key'!$B$4),$F43&lt;=MAX('Major Assumption Key'!$B$6)),H43,0)</f>
        <v>0</v>
      </c>
      <c r="J43" s="938">
        <f>SUM('Prop. Tax Inc Sidewalk Supp'!$G$19:$H$20)</f>
        <v>0</v>
      </c>
      <c r="K43" s="233">
        <f t="shared" si="7"/>
        <v>0</v>
      </c>
      <c r="L43" s="775">
        <f>IF(AND($F43&gt;=MIN('Major Assumption Key'!$B$4),$F43&lt;=MAX('Major Assumption Key'!$B$6)),K43,0)</f>
        <v>0</v>
      </c>
      <c r="M43" s="26">
        <f t="shared" si="8"/>
        <v>0</v>
      </c>
      <c r="N43" s="38">
        <f>M43/(1+'Major Assumption Key'!$B$8)^($F43-'Major Assumption Key'!$B$7)</f>
        <v>0</v>
      </c>
      <c r="O43" s="292"/>
      <c r="P43" s="784">
        <f t="shared" si="9"/>
        <v>0</v>
      </c>
      <c r="Q43" s="775">
        <f t="shared" si="10"/>
        <v>0</v>
      </c>
      <c r="R43" s="26">
        <f t="shared" si="11"/>
        <v>0</v>
      </c>
      <c r="S43" s="38">
        <f t="shared" si="12"/>
        <v>0</v>
      </c>
    </row>
    <row r="44" spans="5:19" ht="14.7" customHeight="1">
      <c r="F44" s="232">
        <f>'Major Assumption Key'!A56</f>
        <v>2057</v>
      </c>
      <c r="G44" s="938">
        <f>SUM('Prop. Tax Inc Sidewalk Supp'!$D$19:$E$20)</f>
        <v>0</v>
      </c>
      <c r="H44" s="233">
        <f t="shared" si="6"/>
        <v>0</v>
      </c>
      <c r="I44" s="784">
        <f>IF(AND($F44&gt;=MIN('Major Assumption Key'!$B$4),$F44&lt;=MAX('Major Assumption Key'!$B$6)),H44,0)</f>
        <v>0</v>
      </c>
      <c r="J44" s="938">
        <f>SUM('Prop. Tax Inc Sidewalk Supp'!$G$19:$H$20)</f>
        <v>0</v>
      </c>
      <c r="K44" s="233">
        <f t="shared" si="7"/>
        <v>0</v>
      </c>
      <c r="L44" s="775">
        <f>IF(AND($F44&gt;=MIN('Major Assumption Key'!$B$4),$F44&lt;=MAX('Major Assumption Key'!$B$6)),K44,0)</f>
        <v>0</v>
      </c>
      <c r="M44" s="26">
        <f t="shared" si="8"/>
        <v>0</v>
      </c>
      <c r="N44" s="38">
        <f>M44/(1+'Major Assumption Key'!$B$8)^($F44-'Major Assumption Key'!$B$7)</f>
        <v>0</v>
      </c>
      <c r="O44" s="292"/>
      <c r="P44" s="784">
        <f t="shared" si="9"/>
        <v>0</v>
      </c>
      <c r="Q44" s="775">
        <f t="shared" si="10"/>
        <v>0</v>
      </c>
      <c r="R44" s="26">
        <f t="shared" si="11"/>
        <v>0</v>
      </c>
      <c r="S44" s="38">
        <f t="shared" si="12"/>
        <v>0</v>
      </c>
    </row>
    <row r="45" spans="5:19" ht="14.7" customHeight="1">
      <c r="F45" s="232">
        <f>'Major Assumption Key'!A57</f>
        <v>2058</v>
      </c>
      <c r="G45" s="938">
        <f>SUM('Prop. Tax Inc Sidewalk Supp'!$D$19:$E$20)</f>
        <v>0</v>
      </c>
      <c r="H45" s="233">
        <f t="shared" si="6"/>
        <v>0</v>
      </c>
      <c r="I45" s="784">
        <f>IF(AND($F45&gt;=MIN('Major Assumption Key'!$B$4),$F45&lt;=MAX('Major Assumption Key'!$B$6)),H45,0)</f>
        <v>0</v>
      </c>
      <c r="J45" s="938">
        <f>SUM('Prop. Tax Inc Sidewalk Supp'!$G$19:$H$20)</f>
        <v>0</v>
      </c>
      <c r="K45" s="233">
        <f t="shared" si="7"/>
        <v>0</v>
      </c>
      <c r="L45" s="775">
        <f>IF(AND($F45&gt;=MIN('Major Assumption Key'!$B$4),$F45&lt;=MAX('Major Assumption Key'!$B$6)),K45,0)</f>
        <v>0</v>
      </c>
      <c r="M45" s="26">
        <f t="shared" si="8"/>
        <v>0</v>
      </c>
      <c r="N45" s="38">
        <f>M45/(1+'Major Assumption Key'!$B$8)^($F45-'Major Assumption Key'!$B$7)</f>
        <v>0</v>
      </c>
      <c r="O45" s="292"/>
      <c r="P45" s="784">
        <f t="shared" si="9"/>
        <v>0</v>
      </c>
      <c r="Q45" s="775">
        <f t="shared" si="10"/>
        <v>0</v>
      </c>
      <c r="R45" s="26">
        <f t="shared" si="11"/>
        <v>0</v>
      </c>
      <c r="S45" s="38">
        <f t="shared" si="12"/>
        <v>0</v>
      </c>
    </row>
    <row r="46" spans="5:19" ht="14.7" customHeight="1">
      <c r="F46" s="232">
        <f>'Major Assumption Key'!A58</f>
        <v>2059</v>
      </c>
      <c r="G46" s="938">
        <f>SUM('Prop. Tax Inc Sidewalk Supp'!$D$19:$E$20)</f>
        <v>0</v>
      </c>
      <c r="H46" s="233">
        <f t="shared" si="6"/>
        <v>0</v>
      </c>
      <c r="I46" s="784">
        <f>IF(AND($F46&gt;=MIN('Major Assumption Key'!$B$4),$F46&lt;=MAX('Major Assumption Key'!$B$6)),H46,0)</f>
        <v>0</v>
      </c>
      <c r="J46" s="938">
        <f>SUM('Prop. Tax Inc Sidewalk Supp'!$G$19:$H$20)</f>
        <v>0</v>
      </c>
      <c r="K46" s="233">
        <f t="shared" si="7"/>
        <v>0</v>
      </c>
      <c r="L46" s="775">
        <f>IF(AND($F46&gt;=MIN('Major Assumption Key'!$B$4),$F46&lt;=MAX('Major Assumption Key'!$B$6)),K46,0)</f>
        <v>0</v>
      </c>
      <c r="M46" s="26">
        <f t="shared" si="8"/>
        <v>0</v>
      </c>
      <c r="N46" s="38">
        <f>M46/(1+'Major Assumption Key'!$B$8)^($F46-'Major Assumption Key'!$B$7)</f>
        <v>0</v>
      </c>
      <c r="O46" s="292"/>
      <c r="P46" s="784">
        <f t="shared" si="9"/>
        <v>0</v>
      </c>
      <c r="Q46" s="775">
        <f t="shared" si="10"/>
        <v>0</v>
      </c>
      <c r="R46" s="26">
        <f t="shared" si="11"/>
        <v>0</v>
      </c>
      <c r="S46" s="38">
        <f t="shared" si="12"/>
        <v>0</v>
      </c>
    </row>
    <row r="47" spans="5:19" ht="14.7" customHeight="1">
      <c r="F47" s="232">
        <f>'Major Assumption Key'!A59</f>
        <v>2060</v>
      </c>
      <c r="G47" s="938">
        <f>SUM('Prop. Tax Inc Sidewalk Supp'!$D$19:$E$20)</f>
        <v>0</v>
      </c>
      <c r="H47" s="233">
        <f t="shared" si="6"/>
        <v>0</v>
      </c>
      <c r="I47" s="784">
        <f>IF(AND($F47&gt;=MIN('Major Assumption Key'!$B$4),$F47&lt;=MAX('Major Assumption Key'!$B$6)),H47,0)</f>
        <v>0</v>
      </c>
      <c r="J47" s="938">
        <f>SUM('Prop. Tax Inc Sidewalk Supp'!$G$19:$H$20)</f>
        <v>0</v>
      </c>
      <c r="K47" s="233">
        <f t="shared" si="7"/>
        <v>0</v>
      </c>
      <c r="L47" s="775">
        <f>IF(AND($F47&gt;=MIN('Major Assumption Key'!$B$4),$F47&lt;=MAX('Major Assumption Key'!$B$6)),K47,0)</f>
        <v>0</v>
      </c>
      <c r="M47" s="26">
        <f t="shared" si="8"/>
        <v>0</v>
      </c>
      <c r="N47" s="38">
        <f>M47/(1+'Major Assumption Key'!$B$8)^($F47-'Major Assumption Key'!$B$7)</f>
        <v>0</v>
      </c>
      <c r="O47" s="292"/>
      <c r="P47" s="784">
        <f t="shared" si="9"/>
        <v>0</v>
      </c>
      <c r="Q47" s="775">
        <f t="shared" si="10"/>
        <v>0</v>
      </c>
      <c r="R47" s="26">
        <f t="shared" si="11"/>
        <v>0</v>
      </c>
      <c r="S47" s="38">
        <f t="shared" si="12"/>
        <v>0</v>
      </c>
    </row>
    <row r="48" spans="5:19" ht="14.7" customHeight="1" thickBot="1">
      <c r="F48" s="235" t="s">
        <v>504</v>
      </c>
      <c r="G48" s="236"/>
      <c r="H48" s="236"/>
      <c r="I48" s="118">
        <f>SUMIFS($I$7:$I$47,$F$7:$F$47,"&gt;="&amp;$B$17,$F$7:$F$47,"&lt;="&amp;$B$18)</f>
        <v>0</v>
      </c>
      <c r="J48" s="236"/>
      <c r="K48" s="236"/>
      <c r="L48" s="119">
        <f>SUMIFS($L$7:$L$47,$F$7:$F$47,"&gt;="&amp;$B$17,$F$7:$F$47,"&lt;="&amp;$B$18)</f>
        <v>0</v>
      </c>
      <c r="M48" s="237">
        <f>SUMIFS($M$7:$M$47,$F$7:$F$47,"&gt;="&amp;$B$17,$F$7:$F$47,"&lt;="&amp;$B$18)</f>
        <v>0</v>
      </c>
      <c r="N48" s="238">
        <f>SUMIFS($N$7:$N$47,$F$7:$F$47,"&gt;="&amp;$B$17,$F$7:$F$47,"&lt;="&amp;$B$18)</f>
        <v>0</v>
      </c>
      <c r="O48" s="292"/>
      <c r="P48" s="118">
        <f>ROUND(I48,-3)</f>
        <v>0</v>
      </c>
      <c r="Q48" s="119">
        <f>ROUND(L48,-3)</f>
        <v>0</v>
      </c>
      <c r="R48" s="237">
        <f>ROUND(M48,-3)</f>
        <v>0</v>
      </c>
      <c r="S48" s="238">
        <f>ROUND(N48,-3)</f>
        <v>0</v>
      </c>
    </row>
    <row r="49" spans="6:14" ht="14.7" customHeight="1">
      <c r="F49" s="246"/>
      <c r="G49" s="246"/>
      <c r="H49" s="218"/>
      <c r="I49" s="218"/>
      <c r="J49" s="218"/>
      <c r="K49" s="218"/>
      <c r="L49" s="218"/>
      <c r="M49" s="218"/>
      <c r="N49" s="218"/>
    </row>
    <row r="50" spans="6:14" ht="14.7" customHeight="1">
      <c r="F50" s="246"/>
      <c r="G50" s="246"/>
      <c r="H50" s="218"/>
      <c r="I50" s="218"/>
      <c r="J50" s="218"/>
      <c r="K50" s="218"/>
      <c r="L50" s="218"/>
      <c r="M50" s="218"/>
      <c r="N50" s="218"/>
    </row>
    <row r="51" spans="6:14" ht="14.7" customHeight="1">
      <c r="I51" s="51"/>
      <c r="L51" s="51"/>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27"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77734375" defaultRowHeight="14.4"/>
  <cols>
    <col min="1" max="1" width="51.77734375" style="243" bestFit="1" customWidth="1"/>
    <col min="2" max="2" width="75.77734375" style="241" customWidth="1"/>
    <col min="3" max="3" width="24.21875" style="241" customWidth="1"/>
    <col min="4" max="4" width="30.21875" style="241" bestFit="1" customWidth="1"/>
    <col min="5" max="5" width="31.21875" style="241" bestFit="1" customWidth="1"/>
    <col min="6" max="6" width="38.5546875" style="241" bestFit="1" customWidth="1"/>
    <col min="7" max="7" width="26.21875" style="241" bestFit="1" customWidth="1"/>
    <col min="8" max="8" width="27.21875" style="241" bestFit="1" customWidth="1"/>
    <col min="9" max="9" width="27.77734375" style="241" bestFit="1" customWidth="1"/>
    <col min="10" max="11" width="15.21875" style="241" customWidth="1"/>
    <col min="12" max="12" width="8.77734375" style="243"/>
    <col min="13" max="13" width="60.77734375" style="243" bestFit="1" customWidth="1"/>
    <col min="14" max="14" width="16.44140625" style="243" bestFit="1" customWidth="1"/>
    <col min="15" max="15" width="12.77734375" style="243" customWidth="1"/>
    <col min="16" max="16" width="13.21875" style="243" customWidth="1"/>
    <col min="17" max="17" width="12.21875" style="243" customWidth="1"/>
    <col min="18" max="18" width="9" style="243" bestFit="1" customWidth="1"/>
    <col min="19" max="19" width="12" style="243" customWidth="1"/>
    <col min="20" max="20" width="13.77734375" style="243" customWidth="1"/>
    <col min="21" max="22" width="11" style="243" customWidth="1"/>
    <col min="23" max="23" width="9" style="243" bestFit="1" customWidth="1"/>
    <col min="24" max="16384" width="8.77734375" style="243"/>
  </cols>
  <sheetData>
    <row r="1" spans="1:12" s="241" customFormat="1" ht="25.2" customHeight="1">
      <c r="A1" s="275" t="s">
        <v>185</v>
      </c>
      <c r="B1" s="275" t="s">
        <v>7360</v>
      </c>
      <c r="C1" s="276"/>
      <c r="D1" s="276"/>
      <c r="E1" s="276"/>
      <c r="F1" s="33" t="s">
        <v>187</v>
      </c>
      <c r="G1" s="45" t="str">
        <f>HYPERLINK("#'"&amp;INDEX('Master Key'!$B:$B,MATCH("Master Key",'Master Key'!$B:$B,0),1)&amp;"'!A1","Go To Sheet")</f>
        <v>Go To Sheet</v>
      </c>
      <c r="L1" s="243"/>
    </row>
    <row r="2" spans="1:12" s="241" customFormat="1" ht="11.25" customHeight="1">
      <c r="A2" s="239"/>
      <c r="B2" s="240"/>
      <c r="F2" s="33"/>
      <c r="G2" s="45"/>
      <c r="L2" s="243"/>
    </row>
    <row r="3" spans="1:12" s="241" customFormat="1">
      <c r="A3" s="242"/>
      <c r="L3" s="243"/>
    </row>
    <row r="4" spans="1:12" customFormat="1" ht="13.2">
      <c r="A4" s="245" t="s">
        <v>7354</v>
      </c>
      <c r="B4" s="245"/>
      <c r="F4" s="1"/>
    </row>
    <row r="5" spans="1:12" customFormat="1" ht="13.2">
      <c r="A5" s="39" t="s">
        <v>7361</v>
      </c>
      <c r="B5" s="39" t="str">
        <f>_xlfn.CONCAT("Tax Rate $",'Major Assumption Key'!$B$7)</f>
        <v>Tax Rate $2022</v>
      </c>
      <c r="F5" s="1"/>
    </row>
    <row r="6" spans="1:12" customFormat="1" ht="13.2">
      <c r="A6" s="369" t="s">
        <v>7362</v>
      </c>
      <c r="B6" s="369">
        <v>1.0944</v>
      </c>
    </row>
    <row r="7" spans="1:12" customFormat="1" ht="13.2">
      <c r="A7" s="369" t="s">
        <v>7363</v>
      </c>
      <c r="B7" s="369">
        <v>0.37692999999999999</v>
      </c>
    </row>
    <row r="8" spans="1:12" customFormat="1" ht="13.2">
      <c r="A8" s="369" t="s">
        <v>7364</v>
      </c>
      <c r="B8" s="369">
        <v>3.3489999999999999E-2</v>
      </c>
    </row>
    <row r="9" spans="1:12" customFormat="1" ht="13.2">
      <c r="A9" s="369" t="s">
        <v>7365</v>
      </c>
      <c r="B9" s="369">
        <v>8.7200000000000003E-3</v>
      </c>
    </row>
    <row r="10" spans="1:12" customFormat="1" ht="13.2">
      <c r="A10" s="369" t="s">
        <v>7366</v>
      </c>
      <c r="B10" s="369">
        <v>0.16220999999999999</v>
      </c>
    </row>
    <row r="11" spans="1:12" customFormat="1" ht="13.2">
      <c r="A11" s="369" t="s">
        <v>7367</v>
      </c>
      <c r="B11" s="369">
        <v>4.9899999999999996E-3</v>
      </c>
    </row>
    <row r="12" spans="1:12" customFormat="1" ht="13.2">
      <c r="A12" s="369" t="s">
        <v>7368</v>
      </c>
      <c r="B12" s="369">
        <v>9.9092E-2</v>
      </c>
    </row>
    <row r="13" spans="1:12" customFormat="1" ht="13.2">
      <c r="A13" s="369" t="s">
        <v>7369</v>
      </c>
      <c r="B13" s="369">
        <v>0.55083000000000004</v>
      </c>
      <c r="C13" s="213"/>
    </row>
    <row r="14" spans="1:12" customFormat="1" ht="13.2">
      <c r="A14" s="369" t="s">
        <v>473</v>
      </c>
      <c r="B14" s="370">
        <f>SUM(B6:B13)/100</f>
        <v>2.3306620000000004E-2</v>
      </c>
    </row>
    <row r="15" spans="1:12" customFormat="1" ht="13.2"/>
    <row r="16" spans="1:12" customFormat="1" ht="13.2"/>
    <row r="17" spans="1:11" customFormat="1" ht="13.2">
      <c r="A17" s="110" t="s">
        <v>7370</v>
      </c>
    </row>
    <row r="18" spans="1:11" customFormat="1" ht="13.2">
      <c r="A18" s="248" t="s">
        <v>7371</v>
      </c>
      <c r="B18" s="248" t="s">
        <v>7372</v>
      </c>
      <c r="C18" s="248" t="s">
        <v>7373</v>
      </c>
      <c r="D18" s="248" t="s">
        <v>7374</v>
      </c>
      <c r="E18" s="248" t="s">
        <v>7375</v>
      </c>
      <c r="F18" s="248" t="s">
        <v>7376</v>
      </c>
      <c r="G18" s="248" t="s">
        <v>7377</v>
      </c>
      <c r="H18" s="248" t="s">
        <v>7378</v>
      </c>
    </row>
    <row r="19" spans="1:11" customFormat="1">
      <c r="A19" s="279" t="s">
        <v>7379</v>
      </c>
      <c r="B19" s="947" t="s">
        <v>7380</v>
      </c>
      <c r="C19" s="250">
        <v>0</v>
      </c>
      <c r="D19" s="252">
        <v>0</v>
      </c>
      <c r="E19" s="253"/>
      <c r="F19" s="247">
        <f>'Prop. Tax Inc Sidewalk'!B20</f>
        <v>5320</v>
      </c>
      <c r="G19" s="262">
        <f>(F19*C19)+D19</f>
        <v>0</v>
      </c>
      <c r="H19" s="244"/>
    </row>
    <row r="20" spans="1:11" customFormat="1">
      <c r="A20" s="948" t="s">
        <v>7381</v>
      </c>
      <c r="B20" s="948" t="s">
        <v>7382</v>
      </c>
      <c r="C20" s="251"/>
      <c r="D20" s="253"/>
      <c r="E20" s="252">
        <v>0</v>
      </c>
      <c r="F20" s="949">
        <f>'Prop. Tax Inc Sidewalk'!B21</f>
        <v>0.09</v>
      </c>
      <c r="G20" s="262"/>
      <c r="H20" s="262">
        <f>E20*(1+F20)</f>
        <v>0</v>
      </c>
    </row>
    <row r="21" spans="1:11" customFormat="1">
      <c r="A21" s="241"/>
      <c r="B21" s="241"/>
      <c r="C21" s="241"/>
      <c r="D21" s="254"/>
      <c r="E21" s="254"/>
      <c r="F21" s="241"/>
      <c r="G21" s="241"/>
    </row>
    <row r="22" spans="1:11" customFormat="1" ht="13.2"/>
    <row r="23" spans="1:11" customFormat="1" ht="13.2"/>
    <row r="24" spans="1:11" customFormat="1" ht="13.2"/>
    <row r="25" spans="1:11" customFormat="1" ht="13.2"/>
    <row r="26" spans="1:11">
      <c r="B26" s="243"/>
      <c r="C26" s="243"/>
      <c r="G26" s="243"/>
      <c r="H26" s="243"/>
      <c r="I26" s="243"/>
      <c r="J26" s="243"/>
      <c r="K26" s="243"/>
    </row>
    <row r="27" spans="1:11">
      <c r="B27" s="243"/>
      <c r="C27" s="243"/>
      <c r="G27" s="243"/>
      <c r="H27" s="243"/>
      <c r="I27" s="243"/>
      <c r="J27" s="243"/>
      <c r="K27" s="243"/>
    </row>
    <row r="28" spans="1:11">
      <c r="B28" s="243"/>
      <c r="C28" s="243"/>
      <c r="E28" s="243"/>
      <c r="F28" s="243"/>
      <c r="G28" s="243"/>
      <c r="H28" s="243"/>
      <c r="I28" s="243"/>
      <c r="J28" s="243"/>
      <c r="K28" s="243"/>
    </row>
    <row r="29" spans="1:11">
      <c r="B29" s="243"/>
      <c r="C29" s="243"/>
      <c r="E29" s="243"/>
      <c r="F29" s="243"/>
      <c r="G29" s="243"/>
      <c r="H29" s="243"/>
      <c r="I29" s="243"/>
      <c r="J29" s="243"/>
      <c r="K29" s="243"/>
    </row>
    <row r="30" spans="1:11">
      <c r="B30" s="243"/>
      <c r="C30" s="243"/>
      <c r="E30" s="243"/>
      <c r="F30" s="243"/>
      <c r="G30" s="243"/>
      <c r="H30" s="243"/>
      <c r="I30" s="243"/>
      <c r="J30" s="243"/>
      <c r="K30" s="243"/>
    </row>
    <row r="31" spans="1:11">
      <c r="B31" s="243"/>
      <c r="C31" s="243"/>
      <c r="F31" s="243"/>
      <c r="G31" s="243"/>
      <c r="H31" s="243"/>
      <c r="I31" s="243"/>
      <c r="J31" s="243"/>
      <c r="K31" s="243"/>
    </row>
    <row r="32" spans="1:11">
      <c r="B32" s="243"/>
      <c r="C32" s="243"/>
      <c r="F32" s="243"/>
      <c r="G32" s="243"/>
      <c r="H32" s="243"/>
      <c r="I32" s="243"/>
      <c r="J32" s="243"/>
      <c r="K32" s="243"/>
    </row>
    <row r="33" spans="2:11">
      <c r="B33" s="243"/>
      <c r="C33" s="243"/>
      <c r="F33" s="243"/>
      <c r="G33" s="243"/>
      <c r="H33" s="243"/>
      <c r="I33" s="243"/>
      <c r="J33" s="243"/>
      <c r="K33" s="243"/>
    </row>
    <row r="34" spans="2:11">
      <c r="B34" s="243"/>
      <c r="C34" s="243"/>
      <c r="D34" s="243"/>
      <c r="E34" s="243"/>
      <c r="F34" s="243"/>
      <c r="G34" s="243"/>
      <c r="H34" s="243"/>
      <c r="I34" s="243"/>
    </row>
    <row r="35" spans="2:11">
      <c r="B35" s="243"/>
      <c r="C35" s="243"/>
      <c r="D35" s="243"/>
      <c r="E35" s="243"/>
      <c r="F35" s="243"/>
      <c r="G35" s="243"/>
      <c r="H35" s="243"/>
      <c r="I35" s="243"/>
    </row>
    <row r="36" spans="2:11">
      <c r="B36" s="243"/>
      <c r="C36" s="243"/>
      <c r="D36" s="243"/>
      <c r="E36" s="243"/>
      <c r="F36" s="243"/>
      <c r="G36" s="243"/>
      <c r="H36" s="243"/>
      <c r="I36" s="243"/>
    </row>
    <row r="37" spans="2:11">
      <c r="B37" s="243"/>
      <c r="C37" s="243"/>
      <c r="D37" s="243"/>
      <c r="E37" s="243"/>
      <c r="F37" s="243"/>
      <c r="G37" s="243"/>
      <c r="H37" s="243"/>
      <c r="I37" s="243"/>
    </row>
    <row r="38" spans="2:11">
      <c r="B38" s="243"/>
      <c r="C38" s="243"/>
      <c r="D38" s="243"/>
      <c r="E38" s="243"/>
      <c r="F38" s="243"/>
      <c r="G38" s="243"/>
      <c r="H38" s="243"/>
      <c r="I38" s="243"/>
    </row>
    <row r="39" spans="2:11">
      <c r="B39" s="243"/>
      <c r="C39" s="243"/>
      <c r="D39" s="243"/>
      <c r="E39" s="243"/>
      <c r="F39" s="243"/>
      <c r="G39" s="243"/>
      <c r="H39" s="243"/>
      <c r="I39" s="243"/>
    </row>
    <row r="40" spans="2:11">
      <c r="B40" s="243"/>
      <c r="C40" s="243"/>
      <c r="D40" s="243"/>
      <c r="E40" s="243"/>
      <c r="F40" s="243"/>
      <c r="G40" s="243"/>
      <c r="H40" s="243"/>
      <c r="I40" s="243"/>
    </row>
    <row r="41" spans="2:11">
      <c r="B41" s="243"/>
      <c r="C41" s="243"/>
      <c r="D41" s="243"/>
      <c r="E41" s="243"/>
      <c r="F41" s="243"/>
      <c r="G41" s="243"/>
      <c r="H41" s="243"/>
      <c r="I41" s="243"/>
    </row>
    <row r="42" spans="2:11">
      <c r="B42" s="243"/>
      <c r="C42" s="243"/>
      <c r="D42" s="243"/>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21875" defaultRowHeight="14.4"/>
  <cols>
    <col min="1" max="1" width="36.55468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18"/>
    <col min="16" max="19" width="15.77734375" style="218" customWidth="1"/>
    <col min="20" max="25" width="9.21875" style="218"/>
    <col min="36" max="36" width="9.21875" style="218"/>
    <col min="37" max="37" width="11.21875" style="218" bestFit="1" customWidth="1"/>
    <col min="38" max="16384" width="9.21875" style="218"/>
  </cols>
  <sheetData>
    <row r="1" spans="1:19" ht="25.2" customHeight="1">
      <c r="A1" s="271" t="s">
        <v>185</v>
      </c>
      <c r="B1" s="42" t="s">
        <v>7383</v>
      </c>
      <c r="C1" s="217"/>
      <c r="D1" s="217"/>
      <c r="E1" s="217"/>
      <c r="F1" s="33" t="s">
        <v>187</v>
      </c>
      <c r="G1" s="45" t="str">
        <f>HYPERLINK("#'"&amp;INDEX('Master Key'!$B:$B,MATCH("Master Key",'Master Key'!$B:$B,0),1)&amp;"'!A1","Go To Sheet")</f>
        <v>Go To Sheet</v>
      </c>
    </row>
    <row r="2" spans="1:19" ht="15" thickBot="1">
      <c r="A2" s="218"/>
      <c r="B2" s="218"/>
      <c r="C2" s="218"/>
      <c r="D2" s="218"/>
      <c r="E2" s="218"/>
    </row>
    <row r="3" spans="1:19" ht="39.75" customHeight="1">
      <c r="A3" s="155" t="s">
        <v>482</v>
      </c>
      <c r="B3" s="2128" t="s">
        <v>7345</v>
      </c>
      <c r="C3" s="2128"/>
      <c r="D3" s="2128"/>
      <c r="E3" s="219"/>
      <c r="F3" s="2170" t="s">
        <v>484</v>
      </c>
      <c r="G3" s="2171"/>
      <c r="H3" s="2171"/>
      <c r="I3" s="2171"/>
      <c r="J3" s="2171"/>
      <c r="K3" s="2171"/>
      <c r="L3" s="2171"/>
      <c r="M3" s="2171"/>
      <c r="N3" s="2172"/>
      <c r="P3" s="2168" t="s">
        <v>420</v>
      </c>
      <c r="Q3" s="2169"/>
      <c r="R3" s="2169"/>
      <c r="S3" s="2169"/>
    </row>
    <row r="4" spans="1:19" ht="18.75" customHeight="1">
      <c r="A4" s="131"/>
      <c r="E4" s="219"/>
      <c r="F4" s="220" t="s">
        <v>485</v>
      </c>
      <c r="G4" s="221" t="s">
        <v>66</v>
      </c>
      <c r="H4" s="222" t="s">
        <v>487</v>
      </c>
      <c r="I4" s="223" t="s">
        <v>66</v>
      </c>
      <c r="J4" s="221" t="s">
        <v>67</v>
      </c>
      <c r="K4" s="222" t="s">
        <v>131</v>
      </c>
      <c r="L4" s="224" t="s">
        <v>131</v>
      </c>
      <c r="M4" s="2164" t="s">
        <v>488</v>
      </c>
      <c r="N4" s="2165"/>
      <c r="O4" s="292"/>
      <c r="P4" s="223" t="s">
        <v>66</v>
      </c>
      <c r="Q4" s="224" t="s">
        <v>131</v>
      </c>
      <c r="R4" s="2164" t="s">
        <v>488</v>
      </c>
      <c r="S4" s="2165"/>
    </row>
    <row r="5" spans="1:19" ht="60.75" customHeight="1" thickBot="1">
      <c r="A5" s="210" t="s">
        <v>489</v>
      </c>
      <c r="B5" s="2052" t="s">
        <v>7384</v>
      </c>
      <c r="C5" s="2052"/>
      <c r="D5" s="2052"/>
      <c r="E5" s="218"/>
      <c r="F5" s="225" t="s">
        <v>491</v>
      </c>
      <c r="G5" s="226" t="s">
        <v>7347</v>
      </c>
      <c r="H5" s="226" t="s">
        <v>7385</v>
      </c>
      <c r="I5" s="227" t="s">
        <v>15</v>
      </c>
      <c r="J5" s="226" t="s">
        <v>493</v>
      </c>
      <c r="K5" s="226" t="s">
        <v>494</v>
      </c>
      <c r="L5" s="228" t="s">
        <v>15</v>
      </c>
      <c r="M5" s="2166"/>
      <c r="N5" s="2167"/>
      <c r="O5" s="292"/>
      <c r="P5" s="227" t="s">
        <v>15</v>
      </c>
      <c r="Q5" s="228" t="s">
        <v>15</v>
      </c>
      <c r="R5" s="2166"/>
      <c r="S5" s="2167"/>
    </row>
    <row r="6" spans="1:19" ht="72" customHeight="1">
      <c r="E6" s="218"/>
      <c r="F6" s="225"/>
      <c r="G6" s="226" t="s">
        <v>7386</v>
      </c>
      <c r="H6" s="229" t="s">
        <v>7350</v>
      </c>
      <c r="I6" s="227" t="s">
        <v>7351</v>
      </c>
      <c r="J6" s="226" t="s">
        <v>7349</v>
      </c>
      <c r="K6" s="229" t="s">
        <v>7352</v>
      </c>
      <c r="L6" s="228" t="s">
        <v>7353</v>
      </c>
      <c r="M6" s="230" t="s">
        <v>419</v>
      </c>
      <c r="N6" s="231" t="str">
        <f>"Discounted @ "&amp;TEXT('Major Assumption Key'!$B$8,"0.0%")</f>
        <v>Discounted @ 3.1%</v>
      </c>
      <c r="O6" s="292"/>
      <c r="P6" s="227" t="s">
        <v>7351</v>
      </c>
      <c r="Q6" s="228" t="s">
        <v>7353</v>
      </c>
      <c r="R6" s="230" t="s">
        <v>419</v>
      </c>
      <c r="S6" s="231" t="str">
        <f>"Discounted @ "&amp;TEXT('Major Assumption Key'!$B$8,"0.0%")</f>
        <v>Discounted @ 3.1%</v>
      </c>
    </row>
    <row r="7" spans="1:19">
      <c r="C7" s="218"/>
      <c r="D7" s="218"/>
      <c r="E7" s="218"/>
      <c r="F7" s="232">
        <f>'Major Assumption Key'!A19</f>
        <v>2020</v>
      </c>
      <c r="G7" s="938">
        <f>SUM('Prop. Tax Inc Bike Lane Supp'!$D$19:$D$20)</f>
        <v>0</v>
      </c>
      <c r="H7" s="233">
        <f t="shared" ref="H7" si="0">G7*$B$19</f>
        <v>0</v>
      </c>
      <c r="I7" s="784">
        <f>IF(AND($F7&gt;=MIN('Major Assumption Key'!$B$4),$F7&lt;=MAX('Major Assumption Key'!$B$6)),H7,0)</f>
        <v>0</v>
      </c>
      <c r="J7" s="938">
        <f>SUM('Prop. Tax Inc Bike Lane Supp'!$G$19:$H$20)</f>
        <v>0</v>
      </c>
      <c r="K7" s="233">
        <f t="shared" ref="K7" si="1">J7*$B$19</f>
        <v>0</v>
      </c>
      <c r="L7" s="775">
        <f>IF(AND($F7&gt;=MIN('Major Assumption Key'!$B$4),$F7&lt;=MAX('Major Assumption Key'!$B$6)),K7,0)</f>
        <v>0</v>
      </c>
      <c r="M7" s="26">
        <f t="shared" ref="M7" si="2">L7-I7</f>
        <v>0</v>
      </c>
      <c r="N7" s="38">
        <f>M7/(1+'Major Assumption Key'!$B$8)^($F7-'Major Assumption Key'!$B$7)</f>
        <v>0</v>
      </c>
      <c r="O7" s="292"/>
      <c r="P7" s="784">
        <f t="shared" ref="P7" si="3">ROUND(I7,-3)</f>
        <v>0</v>
      </c>
      <c r="Q7" s="775">
        <f t="shared" ref="Q7:S48" si="4">ROUND(L7,-3)</f>
        <v>0</v>
      </c>
      <c r="R7" s="26">
        <f t="shared" si="4"/>
        <v>0</v>
      </c>
      <c r="S7" s="38">
        <f t="shared" si="4"/>
        <v>0</v>
      </c>
    </row>
    <row r="8" spans="1:19">
      <c r="A8" s="218"/>
      <c r="B8" s="218"/>
      <c r="C8" s="218"/>
      <c r="D8" s="218"/>
      <c r="E8" s="218"/>
      <c r="F8" s="232">
        <f>'Major Assumption Key'!A20</f>
        <v>2021</v>
      </c>
      <c r="G8" s="938">
        <f>SUM('Prop. Tax Inc Bike Lane Supp'!$D$19:$D$20)</f>
        <v>0</v>
      </c>
      <c r="H8" s="233">
        <f t="shared" ref="H8:H47" si="5">G8*$B$19</f>
        <v>0</v>
      </c>
      <c r="I8" s="784">
        <f>IF(AND($F8&gt;=MIN('Major Assumption Key'!$B$4),$F8&lt;=MAX('Major Assumption Key'!$B$6)),H8,0)</f>
        <v>0</v>
      </c>
      <c r="J8" s="938">
        <f>SUM('Prop. Tax Inc Bike Lane Supp'!$G$19:$H$20)</f>
        <v>0</v>
      </c>
      <c r="K8" s="233">
        <f t="shared" ref="K8:K47" si="6">J8*$B$19</f>
        <v>0</v>
      </c>
      <c r="L8" s="775">
        <f>IF(AND($F8&gt;=MIN('Major Assumption Key'!$B$4),$F8&lt;=MAX('Major Assumption Key'!$B$6)),K8,0)</f>
        <v>0</v>
      </c>
      <c r="M8" s="26">
        <f t="shared" ref="M8:M47" si="7">L8-I8</f>
        <v>0</v>
      </c>
      <c r="N8" s="38">
        <f>M8/(1+'Major Assumption Key'!$B$8)^($F8-'Major Assumption Key'!$B$7)</f>
        <v>0</v>
      </c>
      <c r="O8" s="292"/>
      <c r="P8" s="784">
        <f t="shared" ref="P8:P47" si="8">ROUND(I8,-3)</f>
        <v>0</v>
      </c>
      <c r="Q8" s="775">
        <f t="shared" ref="Q8:Q47" si="9">ROUND(L8,-3)</f>
        <v>0</v>
      </c>
      <c r="R8" s="26">
        <f t="shared" ref="R8:R47" si="10">ROUND(M8,-3)</f>
        <v>0</v>
      </c>
      <c r="S8" s="38">
        <f t="shared" ref="S8:S47" si="11">ROUND(N8,-3)</f>
        <v>0</v>
      </c>
    </row>
    <row r="9" spans="1:19" ht="18">
      <c r="A9" s="1888" t="s">
        <v>432</v>
      </c>
      <c r="B9" s="1889"/>
      <c r="C9" s="1889"/>
      <c r="D9" s="1890"/>
      <c r="E9" s="218"/>
      <c r="F9" s="232">
        <f>'Major Assumption Key'!A21</f>
        <v>2022</v>
      </c>
      <c r="G9" s="938">
        <f>SUM('Prop. Tax Inc Bike Lane Supp'!$D$19:$D$20)</f>
        <v>0</v>
      </c>
      <c r="H9" s="233">
        <f t="shared" si="5"/>
        <v>0</v>
      </c>
      <c r="I9" s="784">
        <f>IF(AND($F9&gt;=MIN('Major Assumption Key'!$B$4),$F9&lt;=MAX('Major Assumption Key'!$B$6)),H9,0)</f>
        <v>0</v>
      </c>
      <c r="J9" s="938">
        <f>SUM('Prop. Tax Inc Bike Lane Supp'!$G$19:$H$20)</f>
        <v>0</v>
      </c>
      <c r="K9" s="233">
        <f t="shared" si="6"/>
        <v>0</v>
      </c>
      <c r="L9" s="775">
        <f>IF(AND($F9&gt;=MIN('Major Assumption Key'!$B$4),$F9&lt;=MAX('Major Assumption Key'!$B$6)),K9,0)</f>
        <v>0</v>
      </c>
      <c r="M9" s="26">
        <f t="shared" si="7"/>
        <v>0</v>
      </c>
      <c r="N9" s="38">
        <f>M9/(1+'Major Assumption Key'!$B$8)^($F9-'Major Assumption Key'!$B$7)</f>
        <v>0</v>
      </c>
      <c r="O9" s="292"/>
      <c r="P9" s="784">
        <f t="shared" si="8"/>
        <v>0</v>
      </c>
      <c r="Q9" s="775">
        <f t="shared" si="9"/>
        <v>0</v>
      </c>
      <c r="R9" s="26">
        <f t="shared" si="10"/>
        <v>0</v>
      </c>
      <c r="S9" s="38">
        <f t="shared" si="11"/>
        <v>0</v>
      </c>
    </row>
    <row r="10" spans="1:19" ht="18">
      <c r="A10" s="1891" t="s">
        <v>418</v>
      </c>
      <c r="B10" s="1891"/>
      <c r="C10" s="49" t="s">
        <v>419</v>
      </c>
      <c r="D10" s="49" t="str">
        <f>_xlfn.CONCAT("Discounted @",TEXT('Major Assumption Key'!B8,"0.0%"))</f>
        <v>Discounted @3.1%</v>
      </c>
      <c r="E10" s="218"/>
      <c r="F10" s="232">
        <f>'Major Assumption Key'!A22</f>
        <v>2023</v>
      </c>
      <c r="G10" s="938">
        <f>SUM('Prop. Tax Inc Bike Lane Supp'!$D$19:$D$20)</f>
        <v>0</v>
      </c>
      <c r="H10" s="233">
        <f t="shared" si="5"/>
        <v>0</v>
      </c>
      <c r="I10" s="784">
        <f>IF(AND($F10&gt;=MIN('Major Assumption Key'!$B$4),$F10&lt;=MAX('Major Assumption Key'!$B$6)),H10,0)</f>
        <v>0</v>
      </c>
      <c r="J10" s="938">
        <f>SUM('Prop. Tax Inc Bike Lane Supp'!$G$19:$H$20)</f>
        <v>0</v>
      </c>
      <c r="K10" s="233">
        <f t="shared" si="6"/>
        <v>0</v>
      </c>
      <c r="L10" s="775">
        <f>IF(AND($F10&gt;=MIN('Major Assumption Key'!$B$4),$F10&lt;=MAX('Major Assumption Key'!$B$6)),K10,0)</f>
        <v>0</v>
      </c>
      <c r="M10" s="26">
        <f t="shared" si="7"/>
        <v>0</v>
      </c>
      <c r="N10" s="38">
        <f>M10/(1+'Major Assumption Key'!$B$8)^($F10-'Major Assumption Key'!$B$7)</f>
        <v>0</v>
      </c>
      <c r="O10" s="292"/>
      <c r="P10" s="784">
        <f t="shared" si="8"/>
        <v>0</v>
      </c>
      <c r="Q10" s="775">
        <f t="shared" si="9"/>
        <v>0</v>
      </c>
      <c r="R10" s="26">
        <f t="shared" si="10"/>
        <v>0</v>
      </c>
      <c r="S10" s="38">
        <f t="shared" si="11"/>
        <v>0</v>
      </c>
    </row>
    <row r="11" spans="1:19" ht="18">
      <c r="A11" s="1892" t="s">
        <v>11</v>
      </c>
      <c r="B11" s="1892"/>
      <c r="C11" s="263">
        <f>'BCA Summary'!$H$7</f>
        <v>1.0111569298276737</v>
      </c>
      <c r="D11" s="263">
        <f>'BCA Summary'!$I$7</f>
        <v>0.6276932096418345</v>
      </c>
      <c r="E11" s="218"/>
      <c r="F11" s="232">
        <f>'Major Assumption Key'!A23</f>
        <v>2024</v>
      </c>
      <c r="G11" s="938">
        <f>SUM('Prop. Tax Inc Bike Lane Supp'!$D$19:$D$20)</f>
        <v>0</v>
      </c>
      <c r="H11" s="233">
        <f t="shared" si="5"/>
        <v>0</v>
      </c>
      <c r="I11" s="784">
        <f>IF(AND($F11&gt;=MIN('Major Assumption Key'!$B$4),$F11&lt;=MAX('Major Assumption Key'!$B$6)),H11,0)</f>
        <v>0</v>
      </c>
      <c r="J11" s="938">
        <f>SUM('Prop. Tax Inc Bike Lane Supp'!$G$19:$H$20)</f>
        <v>0</v>
      </c>
      <c r="K11" s="233">
        <f t="shared" si="6"/>
        <v>0</v>
      </c>
      <c r="L11" s="775">
        <f>IF(AND($F11&gt;=MIN('Major Assumption Key'!$B$4),$F11&lt;=MAX('Major Assumption Key'!$B$6)),K11,0)</f>
        <v>0</v>
      </c>
      <c r="M11" s="26">
        <f t="shared" si="7"/>
        <v>0</v>
      </c>
      <c r="N11" s="38">
        <f>M11/(1+'Major Assumption Key'!$B$8)^($F11-'Major Assumption Key'!$B$7)</f>
        <v>0</v>
      </c>
      <c r="O11" s="292"/>
      <c r="P11" s="784">
        <f t="shared" si="8"/>
        <v>0</v>
      </c>
      <c r="Q11" s="775">
        <f t="shared" si="9"/>
        <v>0</v>
      </c>
      <c r="R11" s="26">
        <f t="shared" si="10"/>
        <v>0</v>
      </c>
      <c r="S11" s="38">
        <f t="shared" si="11"/>
        <v>0</v>
      </c>
    </row>
    <row r="12" spans="1:19" ht="18">
      <c r="A12" s="1892" t="s">
        <v>12</v>
      </c>
      <c r="B12" s="1892"/>
      <c r="C12" s="263">
        <f>'BCA Summary'!$H$8</f>
        <v>236636.98382712901</v>
      </c>
      <c r="D12" s="263">
        <f>'BCA Summary'!$I$8</f>
        <v>-6930297.4454113934</v>
      </c>
      <c r="E12" s="218"/>
      <c r="F12" s="232">
        <f>'Major Assumption Key'!A24</f>
        <v>2025</v>
      </c>
      <c r="G12" s="938">
        <f>SUM('Prop. Tax Inc Bike Lane Supp'!$D$19:$D$20)</f>
        <v>0</v>
      </c>
      <c r="H12" s="233">
        <f t="shared" si="5"/>
        <v>0</v>
      </c>
      <c r="I12" s="784">
        <f>IF(AND($F12&gt;=MIN('Major Assumption Key'!$B$4),$F12&lt;=MAX('Major Assumption Key'!$B$6)),H12,0)</f>
        <v>0</v>
      </c>
      <c r="J12" s="938">
        <f>SUM('Prop. Tax Inc Bike Lane Supp'!$G$19:$H$20)</f>
        <v>0</v>
      </c>
      <c r="K12" s="233">
        <f t="shared" si="6"/>
        <v>0</v>
      </c>
      <c r="L12" s="775">
        <f>IF(AND($F12&gt;=MIN('Major Assumption Key'!$B$4),$F12&lt;=MAX('Major Assumption Key'!$B$6)),K12,0)</f>
        <v>0</v>
      </c>
      <c r="M12" s="26">
        <f t="shared" si="7"/>
        <v>0</v>
      </c>
      <c r="N12" s="38">
        <f>M12/(1+'Major Assumption Key'!$B$8)^($F12-'Major Assumption Key'!$B$7)</f>
        <v>0</v>
      </c>
      <c r="O12" s="292"/>
      <c r="P12" s="784">
        <f t="shared" si="8"/>
        <v>0</v>
      </c>
      <c r="Q12" s="775">
        <f t="shared" si="9"/>
        <v>0</v>
      </c>
      <c r="R12" s="26">
        <f t="shared" si="10"/>
        <v>0</v>
      </c>
      <c r="S12" s="38">
        <f t="shared" si="11"/>
        <v>0</v>
      </c>
    </row>
    <row r="13" spans="1:19">
      <c r="E13" s="218"/>
      <c r="F13" s="232">
        <f>'Major Assumption Key'!A25</f>
        <v>2026</v>
      </c>
      <c r="G13" s="938">
        <f>SUM('Prop. Tax Inc Bike Lane Supp'!$D$19:$D$20)</f>
        <v>0</v>
      </c>
      <c r="H13" s="233">
        <f t="shared" si="5"/>
        <v>0</v>
      </c>
      <c r="I13" s="784">
        <f>IF(AND($F13&gt;=MIN('Major Assumption Key'!$B$4),$F13&lt;=MAX('Major Assumption Key'!$B$6)),H13,0)</f>
        <v>0</v>
      </c>
      <c r="J13" s="938">
        <f>SUM('Prop. Tax Inc Bike Lane Supp'!$G$19:$H$20)</f>
        <v>0</v>
      </c>
      <c r="K13" s="233">
        <f t="shared" si="6"/>
        <v>0</v>
      </c>
      <c r="L13" s="775">
        <f>IF(AND($F13&gt;=MIN('Major Assumption Key'!$B$4),$F13&lt;=MAX('Major Assumption Key'!$B$6)),K13,0)</f>
        <v>0</v>
      </c>
      <c r="M13" s="26">
        <f t="shared" si="7"/>
        <v>0</v>
      </c>
      <c r="N13" s="38">
        <f>M13/(1+'Major Assumption Key'!$B$8)^($F13-'Major Assumption Key'!$B$7)</f>
        <v>0</v>
      </c>
      <c r="O13" s="292"/>
      <c r="P13" s="784">
        <f t="shared" si="8"/>
        <v>0</v>
      </c>
      <c r="Q13" s="775">
        <f t="shared" si="9"/>
        <v>0</v>
      </c>
      <c r="R13" s="26">
        <f t="shared" si="10"/>
        <v>0</v>
      </c>
      <c r="S13" s="38">
        <f t="shared" si="11"/>
        <v>0</v>
      </c>
    </row>
    <row r="14" spans="1:19" ht="15" thickBot="1">
      <c r="E14" s="218"/>
      <c r="F14" s="232">
        <f>'Major Assumption Key'!A26</f>
        <v>2027</v>
      </c>
      <c r="G14" s="938">
        <f>SUM('Prop. Tax Inc Bike Lane Supp'!$D$19:$D$20)</f>
        <v>0</v>
      </c>
      <c r="H14" s="233">
        <f t="shared" si="5"/>
        <v>0</v>
      </c>
      <c r="I14" s="784">
        <f>IF(AND($F14&gt;=MIN('Major Assumption Key'!$B$4),$F14&lt;=MAX('Major Assumption Key'!$B$6)),H14,0)</f>
        <v>0</v>
      </c>
      <c r="J14" s="938">
        <f>SUM('Prop. Tax Inc Bike Lane Supp'!$G$19:$H$20)</f>
        <v>0</v>
      </c>
      <c r="K14" s="233">
        <f t="shared" si="6"/>
        <v>0</v>
      </c>
      <c r="L14" s="775">
        <f>IF(AND($F14&gt;=MIN('Major Assumption Key'!$B$4),$F14&lt;=MAX('Major Assumption Key'!$B$6)),K14,0)</f>
        <v>0</v>
      </c>
      <c r="M14" s="26">
        <f t="shared" si="7"/>
        <v>0</v>
      </c>
      <c r="N14" s="38">
        <f>M14/(1+'Major Assumption Key'!$B$8)^($F14-'Major Assumption Key'!$B$7)</f>
        <v>0</v>
      </c>
      <c r="O14" s="292"/>
      <c r="P14" s="784">
        <f t="shared" si="8"/>
        <v>0</v>
      </c>
      <c r="Q14" s="775">
        <f t="shared" si="9"/>
        <v>0</v>
      </c>
      <c r="R14" s="26">
        <f t="shared" si="10"/>
        <v>0</v>
      </c>
      <c r="S14" s="38">
        <f t="shared" si="11"/>
        <v>0</v>
      </c>
    </row>
    <row r="15" spans="1:19">
      <c r="A15" s="668" t="s">
        <v>433</v>
      </c>
      <c r="B15" s="669" t="s">
        <v>434</v>
      </c>
      <c r="C15" s="2162" t="s">
        <v>498</v>
      </c>
      <c r="D15" s="2163"/>
      <c r="E15" s="218"/>
      <c r="F15" s="232">
        <f>'Major Assumption Key'!A27</f>
        <v>2028</v>
      </c>
      <c r="G15" s="938">
        <f>SUM('Prop. Tax Inc Bike Lane Supp'!$D$19:$D$20)</f>
        <v>0</v>
      </c>
      <c r="H15" s="233">
        <f t="shared" si="5"/>
        <v>0</v>
      </c>
      <c r="I15" s="784">
        <f>IF(AND($F15&gt;=MIN('Major Assumption Key'!$B$4),$F15&lt;=MAX('Major Assumption Key'!$B$6)),H15,0)</f>
        <v>0</v>
      </c>
      <c r="J15" s="938">
        <f>SUM('Prop. Tax Inc Bike Lane Supp'!$G$19:$H$20)</f>
        <v>0</v>
      </c>
      <c r="K15" s="233">
        <f t="shared" si="6"/>
        <v>0</v>
      </c>
      <c r="L15" s="775">
        <f>IF(AND($F15&gt;=MIN('Major Assumption Key'!$B$4),$F15&lt;=MAX('Major Assumption Key'!$B$6)),K15,0)</f>
        <v>0</v>
      </c>
      <c r="M15" s="26">
        <f t="shared" si="7"/>
        <v>0</v>
      </c>
      <c r="N15" s="38">
        <f>M15/(1+'Major Assumption Key'!$B$8)^($F15-'Major Assumption Key'!$B$7)</f>
        <v>0</v>
      </c>
      <c r="O15" s="292"/>
      <c r="P15" s="784">
        <f t="shared" si="8"/>
        <v>0</v>
      </c>
      <c r="Q15" s="775">
        <f t="shared" si="9"/>
        <v>0</v>
      </c>
      <c r="R15" s="26">
        <f t="shared" si="10"/>
        <v>0</v>
      </c>
      <c r="S15" s="38">
        <f t="shared" si="11"/>
        <v>0</v>
      </c>
    </row>
    <row r="16" spans="1:19">
      <c r="A16" s="670" t="s">
        <v>1243</v>
      </c>
      <c r="B16" s="671">
        <f>'Major Assumption Key'!B4</f>
        <v>2022</v>
      </c>
      <c r="C16" s="218" t="s">
        <v>1244</v>
      </c>
      <c r="D16" s="672"/>
      <c r="E16" s="218"/>
      <c r="F16" s="232">
        <f>'Major Assumption Key'!A28</f>
        <v>2029</v>
      </c>
      <c r="G16" s="938">
        <f>SUM('Prop. Tax Inc Bike Lane Supp'!$D$19:$D$20)</f>
        <v>0</v>
      </c>
      <c r="H16" s="233">
        <f t="shared" si="5"/>
        <v>0</v>
      </c>
      <c r="I16" s="784">
        <f>IF(AND($F16&gt;=MIN('Major Assumption Key'!$B$4),$F16&lt;=MAX('Major Assumption Key'!$B$6)),H16,0)</f>
        <v>0</v>
      </c>
      <c r="J16" s="938">
        <f>SUM('Prop. Tax Inc Bike Lane Supp'!$G$19:$H$20)</f>
        <v>0</v>
      </c>
      <c r="K16" s="233">
        <f t="shared" si="6"/>
        <v>0</v>
      </c>
      <c r="L16" s="775">
        <f>IF(AND($F16&gt;=MIN('Major Assumption Key'!$B$4),$F16&lt;=MAX('Major Assumption Key'!$B$6)),K16,0)</f>
        <v>0</v>
      </c>
      <c r="M16" s="26">
        <f t="shared" si="7"/>
        <v>0</v>
      </c>
      <c r="N16" s="38">
        <f>M16/(1+'Major Assumption Key'!$B$8)^($F16-'Major Assumption Key'!$B$7)</f>
        <v>0</v>
      </c>
      <c r="O16" s="292"/>
      <c r="P16" s="784">
        <f t="shared" si="8"/>
        <v>0</v>
      </c>
      <c r="Q16" s="775">
        <f t="shared" si="9"/>
        <v>0</v>
      </c>
      <c r="R16" s="26">
        <f t="shared" si="10"/>
        <v>0</v>
      </c>
      <c r="S16" s="38">
        <f t="shared" si="11"/>
        <v>0</v>
      </c>
    </row>
    <row r="17" spans="1:19">
      <c r="A17" s="768" t="str">
        <f>'Major Assumption Key'!$A$4</f>
        <v>Planning Horizon Begin Year:</v>
      </c>
      <c r="B17" s="777">
        <f>'Major Assumption Key'!$B$4</f>
        <v>2022</v>
      </c>
      <c r="C17" s="767" t="s">
        <v>436</v>
      </c>
      <c r="D17" s="672"/>
      <c r="E17" s="218"/>
      <c r="F17" s="232">
        <f>'Major Assumption Key'!A29</f>
        <v>2030</v>
      </c>
      <c r="G17" s="938">
        <f>SUM('Prop. Tax Inc Bike Lane Supp'!$D$19:$D$20)</f>
        <v>0</v>
      </c>
      <c r="H17" s="233">
        <f t="shared" si="5"/>
        <v>0</v>
      </c>
      <c r="I17" s="784">
        <f>IF(AND($F17&gt;=MIN('Major Assumption Key'!$B$4),$F17&lt;=MAX('Major Assumption Key'!$B$6)),H17,0)</f>
        <v>0</v>
      </c>
      <c r="J17" s="938">
        <f>SUM('Prop. Tax Inc Bike Lane Supp'!$G$19:$H$20)</f>
        <v>0</v>
      </c>
      <c r="K17" s="233">
        <f t="shared" si="6"/>
        <v>0</v>
      </c>
      <c r="L17" s="775">
        <f>IF(AND($F17&gt;=MIN('Major Assumption Key'!$B$4),$F17&lt;=MAX('Major Assumption Key'!$B$6)),K17,0)</f>
        <v>0</v>
      </c>
      <c r="M17" s="26">
        <f t="shared" si="7"/>
        <v>0</v>
      </c>
      <c r="N17" s="38">
        <f>M17/(1+'Major Assumption Key'!$B$8)^($F17-'Major Assumption Key'!$B$7)</f>
        <v>0</v>
      </c>
      <c r="O17" s="292"/>
      <c r="P17" s="784">
        <f t="shared" si="8"/>
        <v>0</v>
      </c>
      <c r="Q17" s="775">
        <f t="shared" si="9"/>
        <v>0</v>
      </c>
      <c r="R17" s="26">
        <f t="shared" si="10"/>
        <v>0</v>
      </c>
      <c r="S17" s="38">
        <f t="shared" si="11"/>
        <v>0</v>
      </c>
    </row>
    <row r="18" spans="1:19">
      <c r="A18" s="768" t="str">
        <f>'Major Assumption Key'!$A$6</f>
        <v>Planning Horizon End Year:</v>
      </c>
      <c r="B18" s="777">
        <f>'Major Assumption Key'!$B$6</f>
        <v>2047</v>
      </c>
      <c r="C18" s="767" t="s">
        <v>436</v>
      </c>
      <c r="D18" s="672"/>
      <c r="E18" s="218"/>
      <c r="F18" s="232">
        <f>'Major Assumption Key'!A30</f>
        <v>2031</v>
      </c>
      <c r="G18" s="938">
        <f>SUM('Prop. Tax Inc Bike Lane Supp'!$D$19:$D$20)</f>
        <v>0</v>
      </c>
      <c r="H18" s="233">
        <f t="shared" si="5"/>
        <v>0</v>
      </c>
      <c r="I18" s="784">
        <f>IF(AND($F18&gt;=MIN('Major Assumption Key'!$B$4),$F18&lt;=MAX('Major Assumption Key'!$B$6)),H18,0)</f>
        <v>0</v>
      </c>
      <c r="J18" s="938">
        <f>SUM('Prop. Tax Inc Bike Lane Supp'!$G$19:$H$20)</f>
        <v>0</v>
      </c>
      <c r="K18" s="233">
        <f t="shared" si="6"/>
        <v>0</v>
      </c>
      <c r="L18" s="775">
        <f>IF(AND($F18&gt;=MIN('Major Assumption Key'!$B$4),$F18&lt;=MAX('Major Assumption Key'!$B$6)),K18,0)</f>
        <v>0</v>
      </c>
      <c r="M18" s="26">
        <f t="shared" si="7"/>
        <v>0</v>
      </c>
      <c r="N18" s="38">
        <f>M18/(1+'Major Assumption Key'!$B$8)^($F18-'Major Assumption Key'!$B$7)</f>
        <v>0</v>
      </c>
      <c r="O18" s="292"/>
      <c r="P18" s="784">
        <f t="shared" si="8"/>
        <v>0</v>
      </c>
      <c r="Q18" s="775">
        <f t="shared" si="9"/>
        <v>0</v>
      </c>
      <c r="R18" s="26">
        <f t="shared" si="10"/>
        <v>0</v>
      </c>
      <c r="S18" s="38">
        <f t="shared" si="11"/>
        <v>0</v>
      </c>
    </row>
    <row r="19" spans="1:19">
      <c r="A19" s="670" t="s">
        <v>7354</v>
      </c>
      <c r="B19" s="789">
        <f>'Prop. Tax Inc Bike Lane Supp'!B14</f>
        <v>2.3306620000000004E-2</v>
      </c>
      <c r="C19" s="942" t="s">
        <v>7355</v>
      </c>
      <c r="D19" s="672"/>
      <c r="E19" s="218"/>
      <c r="F19" s="232">
        <f>'Major Assumption Key'!A31</f>
        <v>2032</v>
      </c>
      <c r="G19" s="938">
        <f>SUM('Prop. Tax Inc Bike Lane Supp'!$D$19:$D$20)</f>
        <v>0</v>
      </c>
      <c r="H19" s="233">
        <f t="shared" si="5"/>
        <v>0</v>
      </c>
      <c r="I19" s="784">
        <f>IF(AND($F19&gt;=MIN('Major Assumption Key'!$B$4),$F19&lt;=MAX('Major Assumption Key'!$B$6)),H19,0)</f>
        <v>0</v>
      </c>
      <c r="J19" s="938">
        <f>SUM('Prop. Tax Inc Bike Lane Supp'!$G$19:$H$20)</f>
        <v>0</v>
      </c>
      <c r="K19" s="233">
        <f t="shared" si="6"/>
        <v>0</v>
      </c>
      <c r="L19" s="775">
        <f>IF(AND($F19&gt;=MIN('Major Assumption Key'!$B$4),$F19&lt;=MAX('Major Assumption Key'!$B$6)),K19,0)</f>
        <v>0</v>
      </c>
      <c r="M19" s="26">
        <f t="shared" si="7"/>
        <v>0</v>
      </c>
      <c r="N19" s="38">
        <f>M19/(1+'Major Assumption Key'!$B$8)^($F19-'Major Assumption Key'!$B$7)</f>
        <v>0</v>
      </c>
      <c r="O19" s="292"/>
      <c r="P19" s="784">
        <f t="shared" si="8"/>
        <v>0</v>
      </c>
      <c r="Q19" s="775">
        <f t="shared" si="9"/>
        <v>0</v>
      </c>
      <c r="R19" s="26">
        <f t="shared" si="10"/>
        <v>0</v>
      </c>
      <c r="S19" s="38">
        <f t="shared" si="11"/>
        <v>0</v>
      </c>
    </row>
    <row r="20" spans="1:19">
      <c r="A20" s="943" t="s">
        <v>7387</v>
      </c>
      <c r="B20" s="950">
        <f>825.38*_xlfn.XLOOKUP(2016,'Major Assumption Key'!A64:A82,'Major Assumption Key'!B64:B82,,0)</f>
        <v>990.4559999999999</v>
      </c>
      <c r="C20" s="2" t="s">
        <v>7388</v>
      </c>
      <c r="D20" s="562"/>
      <c r="E20" s="218"/>
      <c r="F20" s="232">
        <f>'Major Assumption Key'!A32</f>
        <v>2033</v>
      </c>
      <c r="G20" s="938">
        <f>SUM('Prop. Tax Inc Bike Lane Supp'!$D$19:$D$20)</f>
        <v>0</v>
      </c>
      <c r="H20" s="233">
        <f t="shared" si="5"/>
        <v>0</v>
      </c>
      <c r="I20" s="784">
        <f>IF(AND($F20&gt;=MIN('Major Assumption Key'!$B$4),$F20&lt;=MAX('Major Assumption Key'!$B$6)),H20,0)</f>
        <v>0</v>
      </c>
      <c r="J20" s="938">
        <f>SUM('Prop. Tax Inc Bike Lane Supp'!$G$19:$H$20)</f>
        <v>0</v>
      </c>
      <c r="K20" s="233">
        <f t="shared" si="6"/>
        <v>0</v>
      </c>
      <c r="L20" s="775">
        <f>IF(AND($F20&gt;=MIN('Major Assumption Key'!$B$4),$F20&lt;=MAX('Major Assumption Key'!$B$6)),K20,0)</f>
        <v>0</v>
      </c>
      <c r="M20" s="26">
        <f t="shared" si="7"/>
        <v>0</v>
      </c>
      <c r="N20" s="38">
        <f>M20/(1+'Major Assumption Key'!$B$8)^($F20-'Major Assumption Key'!$B$7)</f>
        <v>0</v>
      </c>
      <c r="O20" s="292"/>
      <c r="P20" s="784">
        <f t="shared" si="8"/>
        <v>0</v>
      </c>
      <c r="Q20" s="775">
        <f t="shared" si="9"/>
        <v>0</v>
      </c>
      <c r="R20" s="26">
        <f t="shared" si="10"/>
        <v>0</v>
      </c>
      <c r="S20" s="38">
        <f t="shared" si="11"/>
        <v>0</v>
      </c>
    </row>
    <row r="21" spans="1:19" ht="15" thickBot="1">
      <c r="A21" s="944" t="s">
        <v>7389</v>
      </c>
      <c r="B21" s="951">
        <f>110.86*_xlfn.XLOOKUP(2016,'Major Assumption Key'!A64:A82,'Major Assumption Key'!B64:B82,,0)</f>
        <v>133.03199999999998</v>
      </c>
      <c r="C21" s="364" t="s">
        <v>7388</v>
      </c>
      <c r="D21" s="564"/>
      <c r="E21" s="218"/>
      <c r="F21" s="232">
        <f>'Major Assumption Key'!A33</f>
        <v>2034</v>
      </c>
      <c r="G21" s="938">
        <f>SUM('Prop. Tax Inc Bike Lane Supp'!$D$19:$D$20)</f>
        <v>0</v>
      </c>
      <c r="H21" s="233">
        <f t="shared" si="5"/>
        <v>0</v>
      </c>
      <c r="I21" s="784">
        <f>IF(AND($F21&gt;=MIN('Major Assumption Key'!$B$4),$F21&lt;=MAX('Major Assumption Key'!$B$6)),H21,0)</f>
        <v>0</v>
      </c>
      <c r="J21" s="938">
        <f>SUM('Prop. Tax Inc Bike Lane Supp'!$G$19:$H$20)</f>
        <v>0</v>
      </c>
      <c r="K21" s="233">
        <f t="shared" si="6"/>
        <v>0</v>
      </c>
      <c r="L21" s="775">
        <f>IF(AND($F21&gt;=MIN('Major Assumption Key'!$B$4),$F21&lt;=MAX('Major Assumption Key'!$B$6)),K21,0)</f>
        <v>0</v>
      </c>
      <c r="M21" s="26">
        <f t="shared" si="7"/>
        <v>0</v>
      </c>
      <c r="N21" s="38">
        <f>M21/(1+'Major Assumption Key'!$B$8)^($F21-'Major Assumption Key'!$B$7)</f>
        <v>0</v>
      </c>
      <c r="O21" s="292"/>
      <c r="P21" s="784">
        <f t="shared" si="8"/>
        <v>0</v>
      </c>
      <c r="Q21" s="775">
        <f t="shared" si="9"/>
        <v>0</v>
      </c>
      <c r="R21" s="26">
        <f t="shared" si="10"/>
        <v>0</v>
      </c>
      <c r="S21" s="38">
        <f t="shared" si="11"/>
        <v>0</v>
      </c>
    </row>
    <row r="22" spans="1:19">
      <c r="E22" s="218"/>
      <c r="F22" s="232">
        <f>'Major Assumption Key'!A34</f>
        <v>2035</v>
      </c>
      <c r="G22" s="938">
        <f>SUM('Prop. Tax Inc Bike Lane Supp'!$D$19:$D$20)</f>
        <v>0</v>
      </c>
      <c r="H22" s="233">
        <f t="shared" si="5"/>
        <v>0</v>
      </c>
      <c r="I22" s="784">
        <f>IF(AND($F22&gt;=MIN('Major Assumption Key'!$B$4),$F22&lt;=MAX('Major Assumption Key'!$B$6)),H22,0)</f>
        <v>0</v>
      </c>
      <c r="J22" s="938">
        <f>SUM('Prop. Tax Inc Bike Lane Supp'!$G$19:$H$20)</f>
        <v>0</v>
      </c>
      <c r="K22" s="233">
        <f t="shared" si="6"/>
        <v>0</v>
      </c>
      <c r="L22" s="775">
        <f>IF(AND($F22&gt;=MIN('Major Assumption Key'!$B$4),$F22&lt;=MAX('Major Assumption Key'!$B$6)),K22,0)</f>
        <v>0</v>
      </c>
      <c r="M22" s="26">
        <f t="shared" si="7"/>
        <v>0</v>
      </c>
      <c r="N22" s="38">
        <f>M22/(1+'Major Assumption Key'!$B$8)^($F22-'Major Assumption Key'!$B$7)</f>
        <v>0</v>
      </c>
      <c r="O22" s="292"/>
      <c r="P22" s="784">
        <f t="shared" si="8"/>
        <v>0</v>
      </c>
      <c r="Q22" s="775">
        <f t="shared" si="9"/>
        <v>0</v>
      </c>
      <c r="R22" s="26">
        <f t="shared" si="10"/>
        <v>0</v>
      </c>
      <c r="S22" s="38">
        <f t="shared" si="11"/>
        <v>0</v>
      </c>
    </row>
    <row r="23" spans="1:19">
      <c r="E23" s="218"/>
      <c r="F23" s="232">
        <f>'Major Assumption Key'!A35</f>
        <v>2036</v>
      </c>
      <c r="G23" s="938">
        <f>SUM('Prop. Tax Inc Bike Lane Supp'!$D$19:$D$20)</f>
        <v>0</v>
      </c>
      <c r="H23" s="233">
        <f t="shared" si="5"/>
        <v>0</v>
      </c>
      <c r="I23" s="784">
        <f>IF(AND($F23&gt;=MIN('Major Assumption Key'!$B$4),$F23&lt;=MAX('Major Assumption Key'!$B$6)),H23,0)</f>
        <v>0</v>
      </c>
      <c r="J23" s="938">
        <f>SUM('Prop. Tax Inc Bike Lane Supp'!$G$19:$H$20)</f>
        <v>0</v>
      </c>
      <c r="K23" s="233">
        <f t="shared" si="6"/>
        <v>0</v>
      </c>
      <c r="L23" s="775">
        <f>IF(AND($F23&gt;=MIN('Major Assumption Key'!$B$4),$F23&lt;=MAX('Major Assumption Key'!$B$6)),K23,0)</f>
        <v>0</v>
      </c>
      <c r="M23" s="26">
        <f t="shared" si="7"/>
        <v>0</v>
      </c>
      <c r="N23" s="38">
        <f>M23/(1+'Major Assumption Key'!$B$8)^($F23-'Major Assumption Key'!$B$7)</f>
        <v>0</v>
      </c>
      <c r="O23" s="292"/>
      <c r="P23" s="784">
        <f t="shared" si="8"/>
        <v>0</v>
      </c>
      <c r="Q23" s="775">
        <f t="shared" si="9"/>
        <v>0</v>
      </c>
      <c r="R23" s="26">
        <f t="shared" si="10"/>
        <v>0</v>
      </c>
      <c r="S23" s="38">
        <f t="shared" si="11"/>
        <v>0</v>
      </c>
    </row>
    <row r="24" spans="1:19">
      <c r="E24" s="218"/>
      <c r="F24" s="232">
        <f>'Major Assumption Key'!A36</f>
        <v>2037</v>
      </c>
      <c r="G24" s="938">
        <f>SUM('Prop. Tax Inc Bike Lane Supp'!$D$19:$D$20)</f>
        <v>0</v>
      </c>
      <c r="H24" s="233">
        <f t="shared" si="5"/>
        <v>0</v>
      </c>
      <c r="I24" s="784">
        <f>IF(AND($F24&gt;=MIN('Major Assumption Key'!$B$4),$F24&lt;=MAX('Major Assumption Key'!$B$6)),H24,0)</f>
        <v>0</v>
      </c>
      <c r="J24" s="938">
        <f>SUM('Prop. Tax Inc Bike Lane Supp'!$G$19:$H$20)</f>
        <v>0</v>
      </c>
      <c r="K24" s="233">
        <f t="shared" si="6"/>
        <v>0</v>
      </c>
      <c r="L24" s="775">
        <f>IF(AND($F24&gt;=MIN('Major Assumption Key'!$B$4),$F24&lt;=MAX('Major Assumption Key'!$B$6)),K24,0)</f>
        <v>0</v>
      </c>
      <c r="M24" s="26">
        <f t="shared" si="7"/>
        <v>0</v>
      </c>
      <c r="N24" s="38">
        <f>M24/(1+'Major Assumption Key'!$B$8)^($F24-'Major Assumption Key'!$B$7)</f>
        <v>0</v>
      </c>
      <c r="O24" s="292"/>
      <c r="P24" s="784">
        <f t="shared" si="8"/>
        <v>0</v>
      </c>
      <c r="Q24" s="775">
        <f t="shared" si="9"/>
        <v>0</v>
      </c>
      <c r="R24" s="26">
        <f t="shared" si="10"/>
        <v>0</v>
      </c>
      <c r="S24" s="38">
        <f t="shared" si="11"/>
        <v>0</v>
      </c>
    </row>
    <row r="25" spans="1:19" ht="15" customHeight="1">
      <c r="E25" s="218"/>
      <c r="F25" s="232">
        <f>'Major Assumption Key'!A37</f>
        <v>2038</v>
      </c>
      <c r="G25" s="938">
        <f>SUM('Prop. Tax Inc Bike Lane Supp'!$D$19:$D$20)</f>
        <v>0</v>
      </c>
      <c r="H25" s="233">
        <f t="shared" si="5"/>
        <v>0</v>
      </c>
      <c r="I25" s="784">
        <f>IF(AND($F25&gt;=MIN('Major Assumption Key'!$B$4),$F25&lt;=MAX('Major Assumption Key'!$B$6)),H25,0)</f>
        <v>0</v>
      </c>
      <c r="J25" s="938">
        <f>SUM('Prop. Tax Inc Bike Lane Supp'!$G$19:$H$20)</f>
        <v>0</v>
      </c>
      <c r="K25" s="233">
        <f t="shared" si="6"/>
        <v>0</v>
      </c>
      <c r="L25" s="775">
        <f>IF(AND($F25&gt;=MIN('Major Assumption Key'!$B$4),$F25&lt;=MAX('Major Assumption Key'!$B$6)),K25,0)</f>
        <v>0</v>
      </c>
      <c r="M25" s="26">
        <f t="shared" si="7"/>
        <v>0</v>
      </c>
      <c r="N25" s="38">
        <f>M25/(1+'Major Assumption Key'!$B$8)^($F25-'Major Assumption Key'!$B$7)</f>
        <v>0</v>
      </c>
      <c r="O25" s="292"/>
      <c r="P25" s="784">
        <f t="shared" si="8"/>
        <v>0</v>
      </c>
      <c r="Q25" s="775">
        <f t="shared" si="9"/>
        <v>0</v>
      </c>
      <c r="R25" s="26">
        <f t="shared" si="10"/>
        <v>0</v>
      </c>
      <c r="S25" s="38">
        <f t="shared" si="11"/>
        <v>0</v>
      </c>
    </row>
    <row r="26" spans="1:19" ht="15" customHeight="1">
      <c r="E26" s="218"/>
      <c r="F26" s="232">
        <f>'Major Assumption Key'!A38</f>
        <v>2039</v>
      </c>
      <c r="G26" s="938">
        <f>SUM('Prop. Tax Inc Bike Lane Supp'!$D$19:$D$20)</f>
        <v>0</v>
      </c>
      <c r="H26" s="233">
        <f t="shared" si="5"/>
        <v>0</v>
      </c>
      <c r="I26" s="784">
        <f>IF(AND($F26&gt;=MIN('Major Assumption Key'!$B$4),$F26&lt;=MAX('Major Assumption Key'!$B$6)),H26,0)</f>
        <v>0</v>
      </c>
      <c r="J26" s="938">
        <f>SUM('Prop. Tax Inc Bike Lane Supp'!$G$19:$H$20)</f>
        <v>0</v>
      </c>
      <c r="K26" s="233">
        <f t="shared" si="6"/>
        <v>0</v>
      </c>
      <c r="L26" s="775">
        <f>IF(AND($F26&gt;=MIN('Major Assumption Key'!$B$4),$F26&lt;=MAX('Major Assumption Key'!$B$6)),K26,0)</f>
        <v>0</v>
      </c>
      <c r="M26" s="26">
        <f t="shared" si="7"/>
        <v>0</v>
      </c>
      <c r="N26" s="38">
        <f>M26/(1+'Major Assumption Key'!$B$8)^($F26-'Major Assumption Key'!$B$7)</f>
        <v>0</v>
      </c>
      <c r="O26" s="292"/>
      <c r="P26" s="784">
        <f t="shared" si="8"/>
        <v>0</v>
      </c>
      <c r="Q26" s="775">
        <f t="shared" si="9"/>
        <v>0</v>
      </c>
      <c r="R26" s="26">
        <f t="shared" si="10"/>
        <v>0</v>
      </c>
      <c r="S26" s="38">
        <f t="shared" si="11"/>
        <v>0</v>
      </c>
    </row>
    <row r="27" spans="1:19" ht="15" customHeight="1">
      <c r="E27" s="218"/>
      <c r="F27" s="232">
        <f>'Major Assumption Key'!A39</f>
        <v>2040</v>
      </c>
      <c r="G27" s="938">
        <f>SUM('Prop. Tax Inc Bike Lane Supp'!$D$19:$D$20)</f>
        <v>0</v>
      </c>
      <c r="H27" s="233">
        <f t="shared" si="5"/>
        <v>0</v>
      </c>
      <c r="I27" s="784">
        <f>IF(AND($F27&gt;=MIN('Major Assumption Key'!$B$4),$F27&lt;=MAX('Major Assumption Key'!$B$6)),H27,0)</f>
        <v>0</v>
      </c>
      <c r="J27" s="938">
        <f>SUM('Prop. Tax Inc Bike Lane Supp'!$G$19:$H$20)</f>
        <v>0</v>
      </c>
      <c r="K27" s="233">
        <f t="shared" si="6"/>
        <v>0</v>
      </c>
      <c r="L27" s="775">
        <f>IF(AND($F27&gt;=MIN('Major Assumption Key'!$B$4),$F27&lt;=MAX('Major Assumption Key'!$B$6)),K27,0)</f>
        <v>0</v>
      </c>
      <c r="M27" s="26">
        <f t="shared" si="7"/>
        <v>0</v>
      </c>
      <c r="N27" s="38">
        <f>M27/(1+'Major Assumption Key'!$B$8)^($F27-'Major Assumption Key'!$B$7)</f>
        <v>0</v>
      </c>
      <c r="O27" s="292"/>
      <c r="P27" s="784">
        <f t="shared" si="8"/>
        <v>0</v>
      </c>
      <c r="Q27" s="775">
        <f t="shared" si="9"/>
        <v>0</v>
      </c>
      <c r="R27" s="26">
        <f t="shared" si="10"/>
        <v>0</v>
      </c>
      <c r="S27" s="38">
        <f t="shared" si="11"/>
        <v>0</v>
      </c>
    </row>
    <row r="28" spans="1:19" ht="15" customHeight="1">
      <c r="E28" s="218"/>
      <c r="F28" s="232">
        <f>'Major Assumption Key'!A40</f>
        <v>2041</v>
      </c>
      <c r="G28" s="938">
        <f>SUM('Prop. Tax Inc Bike Lane Supp'!$D$19:$D$20)</f>
        <v>0</v>
      </c>
      <c r="H28" s="233">
        <f t="shared" si="5"/>
        <v>0</v>
      </c>
      <c r="I28" s="784">
        <f>IF(AND($F28&gt;=MIN('Major Assumption Key'!$B$4),$F28&lt;=MAX('Major Assumption Key'!$B$6)),H28,0)</f>
        <v>0</v>
      </c>
      <c r="J28" s="938">
        <f>SUM('Prop. Tax Inc Bike Lane Supp'!$G$19:$H$20)</f>
        <v>0</v>
      </c>
      <c r="K28" s="233">
        <f t="shared" si="6"/>
        <v>0</v>
      </c>
      <c r="L28" s="775">
        <f>IF(AND($F28&gt;=MIN('Major Assumption Key'!$B$4),$F28&lt;=MAX('Major Assumption Key'!$B$6)),K28,0)</f>
        <v>0</v>
      </c>
      <c r="M28" s="26">
        <f t="shared" si="7"/>
        <v>0</v>
      </c>
      <c r="N28" s="38">
        <f>M28/(1+'Major Assumption Key'!$B$8)^($F28-'Major Assumption Key'!$B$7)</f>
        <v>0</v>
      </c>
      <c r="O28" s="292"/>
      <c r="P28" s="784">
        <f t="shared" si="8"/>
        <v>0</v>
      </c>
      <c r="Q28" s="775">
        <f t="shared" si="9"/>
        <v>0</v>
      </c>
      <c r="R28" s="26">
        <f t="shared" si="10"/>
        <v>0</v>
      </c>
      <c r="S28" s="38">
        <f t="shared" si="11"/>
        <v>0</v>
      </c>
    </row>
    <row r="29" spans="1:19" ht="15" customHeight="1">
      <c r="E29" s="218"/>
      <c r="F29" s="232">
        <f>'Major Assumption Key'!A41</f>
        <v>2042</v>
      </c>
      <c r="G29" s="938">
        <f>SUM('Prop. Tax Inc Bike Lane Supp'!$D$19:$D$20)</f>
        <v>0</v>
      </c>
      <c r="H29" s="233">
        <f t="shared" si="5"/>
        <v>0</v>
      </c>
      <c r="I29" s="784">
        <f>IF(AND($F29&gt;=MIN('Major Assumption Key'!$B$4),$F29&lt;=MAX('Major Assumption Key'!$B$6)),H29,0)</f>
        <v>0</v>
      </c>
      <c r="J29" s="938">
        <f>SUM('Prop. Tax Inc Bike Lane Supp'!$G$19:$H$20)</f>
        <v>0</v>
      </c>
      <c r="K29" s="233">
        <f t="shared" si="6"/>
        <v>0</v>
      </c>
      <c r="L29" s="775">
        <f>IF(AND($F29&gt;=MIN('Major Assumption Key'!$B$4),$F29&lt;=MAX('Major Assumption Key'!$B$6)),K29,0)</f>
        <v>0</v>
      </c>
      <c r="M29" s="26">
        <f t="shared" si="7"/>
        <v>0</v>
      </c>
      <c r="N29" s="38">
        <f>M29/(1+'Major Assumption Key'!$B$8)^($F29-'Major Assumption Key'!$B$7)</f>
        <v>0</v>
      </c>
      <c r="O29" s="292"/>
      <c r="P29" s="784">
        <f t="shared" si="8"/>
        <v>0</v>
      </c>
      <c r="Q29" s="775">
        <f t="shared" si="9"/>
        <v>0</v>
      </c>
      <c r="R29" s="26">
        <f t="shared" si="10"/>
        <v>0</v>
      </c>
      <c r="S29" s="38">
        <f t="shared" si="11"/>
        <v>0</v>
      </c>
    </row>
    <row r="30" spans="1:19">
      <c r="E30" s="218"/>
      <c r="F30" s="232">
        <f>'Major Assumption Key'!A42</f>
        <v>2043</v>
      </c>
      <c r="G30" s="938">
        <f>SUM('Prop. Tax Inc Bike Lane Supp'!$D$19:$D$20)</f>
        <v>0</v>
      </c>
      <c r="H30" s="233">
        <f t="shared" si="5"/>
        <v>0</v>
      </c>
      <c r="I30" s="784">
        <f>IF(AND($F30&gt;=MIN('Major Assumption Key'!$B$4),$F30&lt;=MAX('Major Assumption Key'!$B$6)),H30,0)</f>
        <v>0</v>
      </c>
      <c r="J30" s="938">
        <f>SUM('Prop. Tax Inc Bike Lane Supp'!$G$19:$H$20)</f>
        <v>0</v>
      </c>
      <c r="K30" s="233">
        <f t="shared" si="6"/>
        <v>0</v>
      </c>
      <c r="L30" s="775">
        <f>IF(AND($F30&gt;=MIN('Major Assumption Key'!$B$4),$F30&lt;=MAX('Major Assumption Key'!$B$6)),K30,0)</f>
        <v>0</v>
      </c>
      <c r="M30" s="26">
        <f t="shared" si="7"/>
        <v>0</v>
      </c>
      <c r="N30" s="38">
        <f>M30/(1+'Major Assumption Key'!$B$8)^($F30-'Major Assumption Key'!$B$7)</f>
        <v>0</v>
      </c>
      <c r="O30" s="292"/>
      <c r="P30" s="784">
        <f t="shared" si="8"/>
        <v>0</v>
      </c>
      <c r="Q30" s="775">
        <f t="shared" si="9"/>
        <v>0</v>
      </c>
      <c r="R30" s="26">
        <f t="shared" si="10"/>
        <v>0</v>
      </c>
      <c r="S30" s="38">
        <f t="shared" si="11"/>
        <v>0</v>
      </c>
    </row>
    <row r="31" spans="1:19">
      <c r="E31" s="218"/>
      <c r="F31" s="232">
        <f>'Major Assumption Key'!A43</f>
        <v>2044</v>
      </c>
      <c r="G31" s="938">
        <f>SUM('Prop. Tax Inc Bike Lane Supp'!$D$19:$D$20)</f>
        <v>0</v>
      </c>
      <c r="H31" s="233">
        <f t="shared" si="5"/>
        <v>0</v>
      </c>
      <c r="I31" s="784">
        <f>IF(AND($F31&gt;=MIN('Major Assumption Key'!$B$4),$F31&lt;=MAX('Major Assumption Key'!$B$6)),H31,0)</f>
        <v>0</v>
      </c>
      <c r="J31" s="938">
        <f>SUM('Prop. Tax Inc Bike Lane Supp'!$G$19:$H$20)</f>
        <v>0</v>
      </c>
      <c r="K31" s="233">
        <f t="shared" si="6"/>
        <v>0</v>
      </c>
      <c r="L31" s="775">
        <f>IF(AND($F31&gt;=MIN('Major Assumption Key'!$B$4),$F31&lt;=MAX('Major Assumption Key'!$B$6)),K31,0)</f>
        <v>0</v>
      </c>
      <c r="M31" s="26">
        <f t="shared" si="7"/>
        <v>0</v>
      </c>
      <c r="N31" s="38">
        <f>M31/(1+'Major Assumption Key'!$B$8)^($F31-'Major Assumption Key'!$B$7)</f>
        <v>0</v>
      </c>
      <c r="O31" s="292"/>
      <c r="P31" s="784">
        <f t="shared" si="8"/>
        <v>0</v>
      </c>
      <c r="Q31" s="775">
        <f t="shared" si="9"/>
        <v>0</v>
      </c>
      <c r="R31" s="26">
        <f t="shared" si="10"/>
        <v>0</v>
      </c>
      <c r="S31" s="38">
        <f t="shared" si="11"/>
        <v>0</v>
      </c>
    </row>
    <row r="32" spans="1:19" ht="14.7" customHeight="1">
      <c r="E32" s="218"/>
      <c r="F32" s="232">
        <f>'Major Assumption Key'!A44</f>
        <v>2045</v>
      </c>
      <c r="G32" s="938">
        <f>SUM('Prop. Tax Inc Bike Lane Supp'!$D$19:$D$20)</f>
        <v>0</v>
      </c>
      <c r="H32" s="233">
        <f t="shared" si="5"/>
        <v>0</v>
      </c>
      <c r="I32" s="784">
        <f>IF(AND($F32&gt;=MIN('Major Assumption Key'!$B$4),$F32&lt;=MAX('Major Assumption Key'!$B$6)),H32,0)</f>
        <v>0</v>
      </c>
      <c r="J32" s="938">
        <f>SUM('Prop. Tax Inc Bike Lane Supp'!$G$19:$H$20)</f>
        <v>0</v>
      </c>
      <c r="K32" s="233">
        <f t="shared" si="6"/>
        <v>0</v>
      </c>
      <c r="L32" s="775">
        <f>IF(AND($F32&gt;=MIN('Major Assumption Key'!$B$4),$F32&lt;=MAX('Major Assumption Key'!$B$6)),K32,0)</f>
        <v>0</v>
      </c>
      <c r="M32" s="26">
        <f t="shared" si="7"/>
        <v>0</v>
      </c>
      <c r="N32" s="38">
        <f>M32/(1+'Major Assumption Key'!$B$8)^($F32-'Major Assumption Key'!$B$7)</f>
        <v>0</v>
      </c>
      <c r="O32" s="292"/>
      <c r="P32" s="784">
        <f t="shared" si="8"/>
        <v>0</v>
      </c>
      <c r="Q32" s="775">
        <f t="shared" si="9"/>
        <v>0</v>
      </c>
      <c r="R32" s="26">
        <f t="shared" si="10"/>
        <v>0</v>
      </c>
      <c r="S32" s="38">
        <f t="shared" si="11"/>
        <v>0</v>
      </c>
    </row>
    <row r="33" spans="5:19">
      <c r="E33" s="218"/>
      <c r="F33" s="232">
        <f>'Major Assumption Key'!A45</f>
        <v>2046</v>
      </c>
      <c r="G33" s="938">
        <f>SUM('Prop. Tax Inc Bike Lane Supp'!$D$19:$D$20)</f>
        <v>0</v>
      </c>
      <c r="H33" s="233">
        <f t="shared" si="5"/>
        <v>0</v>
      </c>
      <c r="I33" s="784">
        <f>IF(AND($F33&gt;=MIN('Major Assumption Key'!$B$4),$F33&lt;=MAX('Major Assumption Key'!$B$6)),H33,0)</f>
        <v>0</v>
      </c>
      <c r="J33" s="938">
        <f>SUM('Prop. Tax Inc Bike Lane Supp'!$G$19:$H$20)</f>
        <v>0</v>
      </c>
      <c r="K33" s="233">
        <f t="shared" si="6"/>
        <v>0</v>
      </c>
      <c r="L33" s="775">
        <f>IF(AND($F33&gt;=MIN('Major Assumption Key'!$B$4),$F33&lt;=MAX('Major Assumption Key'!$B$6)),K33,0)</f>
        <v>0</v>
      </c>
      <c r="M33" s="26">
        <f t="shared" si="7"/>
        <v>0</v>
      </c>
      <c r="N33" s="38">
        <f>M33/(1+'Major Assumption Key'!$B$8)^($F33-'Major Assumption Key'!$B$7)</f>
        <v>0</v>
      </c>
      <c r="O33" s="292"/>
      <c r="P33" s="784">
        <f t="shared" si="8"/>
        <v>0</v>
      </c>
      <c r="Q33" s="775">
        <f t="shared" si="9"/>
        <v>0</v>
      </c>
      <c r="R33" s="26">
        <f t="shared" si="10"/>
        <v>0</v>
      </c>
      <c r="S33" s="38">
        <f t="shared" si="11"/>
        <v>0</v>
      </c>
    </row>
    <row r="34" spans="5:19" ht="14.7" customHeight="1">
      <c r="F34" s="232">
        <f>'Major Assumption Key'!A46</f>
        <v>2047</v>
      </c>
      <c r="G34" s="938">
        <f>SUM('Prop. Tax Inc Bike Lane Supp'!$D$19:$D$20)</f>
        <v>0</v>
      </c>
      <c r="H34" s="233">
        <f t="shared" si="5"/>
        <v>0</v>
      </c>
      <c r="I34" s="784">
        <f>IF(AND($F34&gt;=MIN('Major Assumption Key'!$B$4),$F34&lt;=MAX('Major Assumption Key'!$B$6)),H34,0)</f>
        <v>0</v>
      </c>
      <c r="J34" s="938">
        <f>SUM('Prop. Tax Inc Bike Lane Supp'!$G$19:$H$20)</f>
        <v>0</v>
      </c>
      <c r="K34" s="233">
        <f t="shared" si="6"/>
        <v>0</v>
      </c>
      <c r="L34" s="775">
        <f>IF(AND($F34&gt;=MIN('Major Assumption Key'!$B$4),$F34&lt;=MAX('Major Assumption Key'!$B$6)),K34,0)</f>
        <v>0</v>
      </c>
      <c r="M34" s="26">
        <f t="shared" si="7"/>
        <v>0</v>
      </c>
      <c r="N34" s="38">
        <f>M34/(1+'Major Assumption Key'!$B$8)^($F34-'Major Assumption Key'!$B$7)</f>
        <v>0</v>
      </c>
      <c r="O34" s="292"/>
      <c r="P34" s="784">
        <f t="shared" si="8"/>
        <v>0</v>
      </c>
      <c r="Q34" s="775">
        <f t="shared" si="9"/>
        <v>0</v>
      </c>
      <c r="R34" s="26">
        <f t="shared" si="10"/>
        <v>0</v>
      </c>
      <c r="S34" s="38">
        <f t="shared" si="11"/>
        <v>0</v>
      </c>
    </row>
    <row r="35" spans="5:19" ht="14.7" customHeight="1">
      <c r="F35" s="232">
        <f>'Major Assumption Key'!A47</f>
        <v>2048</v>
      </c>
      <c r="G35" s="938">
        <f>SUM('Prop. Tax Inc Bike Lane Supp'!$D$19:$D$20)</f>
        <v>0</v>
      </c>
      <c r="H35" s="233">
        <f t="shared" si="5"/>
        <v>0</v>
      </c>
      <c r="I35" s="784">
        <f>IF(AND($F35&gt;=MIN('Major Assumption Key'!$B$4),$F35&lt;=MAX('Major Assumption Key'!$B$6)),H35,0)</f>
        <v>0</v>
      </c>
      <c r="J35" s="938">
        <f>SUM('Prop. Tax Inc Bike Lane Supp'!$G$19:$H$20)</f>
        <v>0</v>
      </c>
      <c r="K35" s="233">
        <f t="shared" si="6"/>
        <v>0</v>
      </c>
      <c r="L35" s="775">
        <f>IF(AND($F35&gt;=MIN('Major Assumption Key'!$B$4),$F35&lt;=MAX('Major Assumption Key'!$B$6)),K35,0)</f>
        <v>0</v>
      </c>
      <c r="M35" s="26">
        <f t="shared" si="7"/>
        <v>0</v>
      </c>
      <c r="N35" s="38">
        <f>M35/(1+'Major Assumption Key'!$B$8)^($F35-'Major Assumption Key'!$B$7)</f>
        <v>0</v>
      </c>
      <c r="O35" s="292"/>
      <c r="P35" s="784">
        <f t="shared" si="8"/>
        <v>0</v>
      </c>
      <c r="Q35" s="775">
        <f t="shared" si="9"/>
        <v>0</v>
      </c>
      <c r="R35" s="26">
        <f t="shared" si="10"/>
        <v>0</v>
      </c>
      <c r="S35" s="38">
        <f t="shared" si="11"/>
        <v>0</v>
      </c>
    </row>
    <row r="36" spans="5:19" ht="14.7" customHeight="1">
      <c r="F36" s="232">
        <f>'Major Assumption Key'!A48</f>
        <v>2049</v>
      </c>
      <c r="G36" s="938">
        <f>SUM('Prop. Tax Inc Bike Lane Supp'!$D$19:$D$20)</f>
        <v>0</v>
      </c>
      <c r="H36" s="233">
        <f t="shared" si="5"/>
        <v>0</v>
      </c>
      <c r="I36" s="784">
        <f>IF(AND($F36&gt;=MIN('Major Assumption Key'!$B$4),$F36&lt;=MAX('Major Assumption Key'!$B$6)),H36,0)</f>
        <v>0</v>
      </c>
      <c r="J36" s="938">
        <f>SUM('Prop. Tax Inc Bike Lane Supp'!$G$19:$H$20)</f>
        <v>0</v>
      </c>
      <c r="K36" s="233">
        <f t="shared" si="6"/>
        <v>0</v>
      </c>
      <c r="L36" s="775">
        <f>IF(AND($F36&gt;=MIN('Major Assumption Key'!$B$4),$F36&lt;=MAX('Major Assumption Key'!$B$6)),K36,0)</f>
        <v>0</v>
      </c>
      <c r="M36" s="26">
        <f t="shared" si="7"/>
        <v>0</v>
      </c>
      <c r="N36" s="38">
        <f>M36/(1+'Major Assumption Key'!$B$8)^($F36-'Major Assumption Key'!$B$7)</f>
        <v>0</v>
      </c>
      <c r="O36" s="292"/>
      <c r="P36" s="784">
        <f t="shared" si="8"/>
        <v>0</v>
      </c>
      <c r="Q36" s="775">
        <f t="shared" si="9"/>
        <v>0</v>
      </c>
      <c r="R36" s="26">
        <f t="shared" si="10"/>
        <v>0</v>
      </c>
      <c r="S36" s="38">
        <f t="shared" si="11"/>
        <v>0</v>
      </c>
    </row>
    <row r="37" spans="5:19" ht="14.7" customHeight="1">
      <c r="F37" s="232">
        <f>'Major Assumption Key'!A49</f>
        <v>2050</v>
      </c>
      <c r="G37" s="938">
        <f>SUM('Prop. Tax Inc Bike Lane Supp'!$D$19:$D$20)</f>
        <v>0</v>
      </c>
      <c r="H37" s="233">
        <f t="shared" si="5"/>
        <v>0</v>
      </c>
      <c r="I37" s="784">
        <f>IF(AND($F37&gt;=MIN('Major Assumption Key'!$B$4),$F37&lt;=MAX('Major Assumption Key'!$B$6)),H37,0)</f>
        <v>0</v>
      </c>
      <c r="J37" s="938">
        <f>SUM('Prop. Tax Inc Bike Lane Supp'!$G$19:$H$20)</f>
        <v>0</v>
      </c>
      <c r="K37" s="233">
        <f t="shared" si="6"/>
        <v>0</v>
      </c>
      <c r="L37" s="775">
        <f>IF(AND($F37&gt;=MIN('Major Assumption Key'!$B$4),$F37&lt;=MAX('Major Assumption Key'!$B$6)),K37,0)</f>
        <v>0</v>
      </c>
      <c r="M37" s="26">
        <f t="shared" si="7"/>
        <v>0</v>
      </c>
      <c r="N37" s="38">
        <f>M37/(1+'Major Assumption Key'!$B$8)^($F37-'Major Assumption Key'!$B$7)</f>
        <v>0</v>
      </c>
      <c r="O37" s="292"/>
      <c r="P37" s="784">
        <f t="shared" si="8"/>
        <v>0</v>
      </c>
      <c r="Q37" s="775">
        <f t="shared" si="9"/>
        <v>0</v>
      </c>
      <c r="R37" s="26">
        <f t="shared" si="10"/>
        <v>0</v>
      </c>
      <c r="S37" s="38">
        <f t="shared" si="11"/>
        <v>0</v>
      </c>
    </row>
    <row r="38" spans="5:19" ht="14.7" customHeight="1">
      <c r="F38" s="232">
        <f>'Major Assumption Key'!A50</f>
        <v>2051</v>
      </c>
      <c r="G38" s="938">
        <f>SUM('Prop. Tax Inc Bike Lane Supp'!$D$19:$D$20)</f>
        <v>0</v>
      </c>
      <c r="H38" s="233">
        <f t="shared" si="5"/>
        <v>0</v>
      </c>
      <c r="I38" s="784">
        <f>IF(AND($F38&gt;=MIN('Major Assumption Key'!$B$4),$F38&lt;=MAX('Major Assumption Key'!$B$6)),H38,0)</f>
        <v>0</v>
      </c>
      <c r="J38" s="938">
        <f>SUM('Prop. Tax Inc Bike Lane Supp'!$G$19:$H$20)</f>
        <v>0</v>
      </c>
      <c r="K38" s="233">
        <f t="shared" si="6"/>
        <v>0</v>
      </c>
      <c r="L38" s="775">
        <f>IF(AND($F38&gt;=MIN('Major Assumption Key'!$B$4),$F38&lt;=MAX('Major Assumption Key'!$B$6)),K38,0)</f>
        <v>0</v>
      </c>
      <c r="M38" s="26">
        <f t="shared" si="7"/>
        <v>0</v>
      </c>
      <c r="N38" s="38">
        <f>M38/(1+'Major Assumption Key'!$B$8)^($F38-'Major Assumption Key'!$B$7)</f>
        <v>0</v>
      </c>
      <c r="O38" s="292"/>
      <c r="P38" s="784">
        <f t="shared" si="8"/>
        <v>0</v>
      </c>
      <c r="Q38" s="775">
        <f t="shared" si="9"/>
        <v>0</v>
      </c>
      <c r="R38" s="26">
        <f t="shared" si="10"/>
        <v>0</v>
      </c>
      <c r="S38" s="38">
        <f t="shared" si="11"/>
        <v>0</v>
      </c>
    </row>
    <row r="39" spans="5:19" ht="14.7" customHeight="1">
      <c r="F39" s="232">
        <f>'Major Assumption Key'!A51</f>
        <v>2052</v>
      </c>
      <c r="G39" s="938">
        <f>SUM('Prop. Tax Inc Bike Lane Supp'!$D$19:$D$20)</f>
        <v>0</v>
      </c>
      <c r="H39" s="233">
        <f t="shared" si="5"/>
        <v>0</v>
      </c>
      <c r="I39" s="784">
        <f>IF(AND($F39&gt;=MIN('Major Assumption Key'!$B$4),$F39&lt;=MAX('Major Assumption Key'!$B$6)),H39,0)</f>
        <v>0</v>
      </c>
      <c r="J39" s="938">
        <f>SUM('Prop. Tax Inc Bike Lane Supp'!$G$19:$H$20)</f>
        <v>0</v>
      </c>
      <c r="K39" s="233">
        <f t="shared" si="6"/>
        <v>0</v>
      </c>
      <c r="L39" s="775">
        <f>IF(AND($F39&gt;=MIN('Major Assumption Key'!$B$4),$F39&lt;=MAX('Major Assumption Key'!$B$6)),K39,0)</f>
        <v>0</v>
      </c>
      <c r="M39" s="26">
        <f t="shared" si="7"/>
        <v>0</v>
      </c>
      <c r="N39" s="38">
        <f>M39/(1+'Major Assumption Key'!$B$8)^($F39-'Major Assumption Key'!$B$7)</f>
        <v>0</v>
      </c>
      <c r="O39" s="292"/>
      <c r="P39" s="784">
        <f t="shared" si="8"/>
        <v>0</v>
      </c>
      <c r="Q39" s="775">
        <f t="shared" si="9"/>
        <v>0</v>
      </c>
      <c r="R39" s="26">
        <f t="shared" si="10"/>
        <v>0</v>
      </c>
      <c r="S39" s="38">
        <f t="shared" si="11"/>
        <v>0</v>
      </c>
    </row>
    <row r="40" spans="5:19" ht="14.7" customHeight="1">
      <c r="F40" s="232">
        <f>'Major Assumption Key'!A52</f>
        <v>2053</v>
      </c>
      <c r="G40" s="938">
        <f>SUM('Prop. Tax Inc Bike Lane Supp'!$D$19:$D$20)</f>
        <v>0</v>
      </c>
      <c r="H40" s="233">
        <f t="shared" si="5"/>
        <v>0</v>
      </c>
      <c r="I40" s="784">
        <f>IF(AND($F40&gt;=MIN('Major Assumption Key'!$B$4),$F40&lt;=MAX('Major Assumption Key'!$B$6)),H40,0)</f>
        <v>0</v>
      </c>
      <c r="J40" s="938">
        <f>SUM('Prop. Tax Inc Bike Lane Supp'!$G$19:$H$20)</f>
        <v>0</v>
      </c>
      <c r="K40" s="233">
        <f t="shared" si="6"/>
        <v>0</v>
      </c>
      <c r="L40" s="775">
        <f>IF(AND($F40&gt;=MIN('Major Assumption Key'!$B$4),$F40&lt;=MAX('Major Assumption Key'!$B$6)),K40,0)</f>
        <v>0</v>
      </c>
      <c r="M40" s="26">
        <f t="shared" si="7"/>
        <v>0</v>
      </c>
      <c r="N40" s="38">
        <f>M40/(1+'Major Assumption Key'!$B$8)^($F40-'Major Assumption Key'!$B$7)</f>
        <v>0</v>
      </c>
      <c r="O40" s="292"/>
      <c r="P40" s="784">
        <f t="shared" si="8"/>
        <v>0</v>
      </c>
      <c r="Q40" s="775">
        <f t="shared" si="9"/>
        <v>0</v>
      </c>
      <c r="R40" s="26">
        <f t="shared" si="10"/>
        <v>0</v>
      </c>
      <c r="S40" s="38">
        <f t="shared" si="11"/>
        <v>0</v>
      </c>
    </row>
    <row r="41" spans="5:19" ht="14.7" customHeight="1">
      <c r="F41" s="232">
        <f>'Major Assumption Key'!A53</f>
        <v>2054</v>
      </c>
      <c r="G41" s="938">
        <f>SUM('Prop. Tax Inc Bike Lane Supp'!$D$19:$D$20)</f>
        <v>0</v>
      </c>
      <c r="H41" s="233">
        <f t="shared" si="5"/>
        <v>0</v>
      </c>
      <c r="I41" s="784">
        <f>IF(AND($F41&gt;=MIN('Major Assumption Key'!$B$4),$F41&lt;=MAX('Major Assumption Key'!$B$6)),H41,0)</f>
        <v>0</v>
      </c>
      <c r="J41" s="938">
        <f>SUM('Prop. Tax Inc Bike Lane Supp'!$G$19:$H$20)</f>
        <v>0</v>
      </c>
      <c r="K41" s="233">
        <f t="shared" si="6"/>
        <v>0</v>
      </c>
      <c r="L41" s="775">
        <f>IF(AND($F41&gt;=MIN('Major Assumption Key'!$B$4),$F41&lt;=MAX('Major Assumption Key'!$B$6)),K41,0)</f>
        <v>0</v>
      </c>
      <c r="M41" s="26">
        <f t="shared" si="7"/>
        <v>0</v>
      </c>
      <c r="N41" s="38">
        <f>M41/(1+'Major Assumption Key'!$B$8)^($F41-'Major Assumption Key'!$B$7)</f>
        <v>0</v>
      </c>
      <c r="O41" s="292"/>
      <c r="P41" s="784">
        <f t="shared" si="8"/>
        <v>0</v>
      </c>
      <c r="Q41" s="775">
        <f t="shared" si="9"/>
        <v>0</v>
      </c>
      <c r="R41" s="26">
        <f t="shared" si="10"/>
        <v>0</v>
      </c>
      <c r="S41" s="38">
        <f t="shared" si="11"/>
        <v>0</v>
      </c>
    </row>
    <row r="42" spans="5:19" ht="14.7" customHeight="1">
      <c r="F42" s="232">
        <f>'Major Assumption Key'!A54</f>
        <v>2055</v>
      </c>
      <c r="G42" s="938">
        <f>SUM('Prop. Tax Inc Bike Lane Supp'!$D$19:$D$20)</f>
        <v>0</v>
      </c>
      <c r="H42" s="233">
        <f t="shared" si="5"/>
        <v>0</v>
      </c>
      <c r="I42" s="784">
        <f>IF(AND($F42&gt;=MIN('Major Assumption Key'!$B$4),$F42&lt;=MAX('Major Assumption Key'!$B$6)),H42,0)</f>
        <v>0</v>
      </c>
      <c r="J42" s="938">
        <f>SUM('Prop. Tax Inc Bike Lane Supp'!$G$19:$H$20)</f>
        <v>0</v>
      </c>
      <c r="K42" s="233">
        <f t="shared" si="6"/>
        <v>0</v>
      </c>
      <c r="L42" s="775">
        <f>IF(AND($F42&gt;=MIN('Major Assumption Key'!$B$4),$F42&lt;=MAX('Major Assumption Key'!$B$6)),K42,0)</f>
        <v>0</v>
      </c>
      <c r="M42" s="26">
        <f t="shared" si="7"/>
        <v>0</v>
      </c>
      <c r="N42" s="38">
        <f>M42/(1+'Major Assumption Key'!$B$8)^($F42-'Major Assumption Key'!$B$7)</f>
        <v>0</v>
      </c>
      <c r="O42" s="292"/>
      <c r="P42" s="784">
        <f t="shared" si="8"/>
        <v>0</v>
      </c>
      <c r="Q42" s="775">
        <f t="shared" si="9"/>
        <v>0</v>
      </c>
      <c r="R42" s="26">
        <f t="shared" si="10"/>
        <v>0</v>
      </c>
      <c r="S42" s="38">
        <f t="shared" si="11"/>
        <v>0</v>
      </c>
    </row>
    <row r="43" spans="5:19" ht="14.7" customHeight="1">
      <c r="F43" s="232">
        <f>'Major Assumption Key'!A55</f>
        <v>2056</v>
      </c>
      <c r="G43" s="938">
        <f>SUM('Prop. Tax Inc Bike Lane Supp'!$D$19:$D$20)</f>
        <v>0</v>
      </c>
      <c r="H43" s="233">
        <f t="shared" si="5"/>
        <v>0</v>
      </c>
      <c r="I43" s="784">
        <f>IF(AND($F43&gt;=MIN('Major Assumption Key'!$B$4),$F43&lt;=MAX('Major Assumption Key'!$B$6)),H43,0)</f>
        <v>0</v>
      </c>
      <c r="J43" s="938">
        <f>SUM('Prop. Tax Inc Bike Lane Supp'!$G$19:$H$20)</f>
        <v>0</v>
      </c>
      <c r="K43" s="233">
        <f t="shared" si="6"/>
        <v>0</v>
      </c>
      <c r="L43" s="775">
        <f>IF(AND($F43&gt;=MIN('Major Assumption Key'!$B$4),$F43&lt;=MAX('Major Assumption Key'!$B$6)),K43,0)</f>
        <v>0</v>
      </c>
      <c r="M43" s="26">
        <f t="shared" si="7"/>
        <v>0</v>
      </c>
      <c r="N43" s="38">
        <f>M43/(1+'Major Assumption Key'!$B$8)^($F43-'Major Assumption Key'!$B$7)</f>
        <v>0</v>
      </c>
      <c r="O43" s="292"/>
      <c r="P43" s="784">
        <f t="shared" si="8"/>
        <v>0</v>
      </c>
      <c r="Q43" s="775">
        <f t="shared" si="9"/>
        <v>0</v>
      </c>
      <c r="R43" s="26">
        <f t="shared" si="10"/>
        <v>0</v>
      </c>
      <c r="S43" s="38">
        <f t="shared" si="11"/>
        <v>0</v>
      </c>
    </row>
    <row r="44" spans="5:19" ht="14.7" customHeight="1">
      <c r="F44" s="232">
        <f>'Major Assumption Key'!A56</f>
        <v>2057</v>
      </c>
      <c r="G44" s="938">
        <f>SUM('Prop. Tax Inc Bike Lane Supp'!$D$19:$D$20)</f>
        <v>0</v>
      </c>
      <c r="H44" s="233">
        <f t="shared" si="5"/>
        <v>0</v>
      </c>
      <c r="I44" s="784">
        <f>IF(AND($F44&gt;=MIN('Major Assumption Key'!$B$4),$F44&lt;=MAX('Major Assumption Key'!$B$6)),H44,0)</f>
        <v>0</v>
      </c>
      <c r="J44" s="938">
        <f>SUM('Prop. Tax Inc Bike Lane Supp'!$G$19:$H$20)</f>
        <v>0</v>
      </c>
      <c r="K44" s="233">
        <f t="shared" si="6"/>
        <v>0</v>
      </c>
      <c r="L44" s="775">
        <f>IF(AND($F44&gt;=MIN('Major Assumption Key'!$B$4),$F44&lt;=MAX('Major Assumption Key'!$B$6)),K44,0)</f>
        <v>0</v>
      </c>
      <c r="M44" s="26">
        <f t="shared" si="7"/>
        <v>0</v>
      </c>
      <c r="N44" s="38">
        <f>M44/(1+'Major Assumption Key'!$B$8)^($F44-'Major Assumption Key'!$B$7)</f>
        <v>0</v>
      </c>
      <c r="O44" s="292"/>
      <c r="P44" s="784">
        <f t="shared" si="8"/>
        <v>0</v>
      </c>
      <c r="Q44" s="775">
        <f t="shared" si="9"/>
        <v>0</v>
      </c>
      <c r="R44" s="26">
        <f t="shared" si="10"/>
        <v>0</v>
      </c>
      <c r="S44" s="38">
        <f t="shared" si="11"/>
        <v>0</v>
      </c>
    </row>
    <row r="45" spans="5:19" ht="14.7" customHeight="1">
      <c r="F45" s="232">
        <f>'Major Assumption Key'!A57</f>
        <v>2058</v>
      </c>
      <c r="G45" s="938">
        <f>SUM('Prop. Tax Inc Bike Lane Supp'!$D$19:$D$20)</f>
        <v>0</v>
      </c>
      <c r="H45" s="233">
        <f t="shared" si="5"/>
        <v>0</v>
      </c>
      <c r="I45" s="784">
        <f>IF(AND($F45&gt;=MIN('Major Assumption Key'!$B$4),$F45&lt;=MAX('Major Assumption Key'!$B$6)),H45,0)</f>
        <v>0</v>
      </c>
      <c r="J45" s="938">
        <f>SUM('Prop. Tax Inc Bike Lane Supp'!$G$19:$H$20)</f>
        <v>0</v>
      </c>
      <c r="K45" s="233">
        <f t="shared" si="6"/>
        <v>0</v>
      </c>
      <c r="L45" s="775">
        <f>IF(AND($F45&gt;=MIN('Major Assumption Key'!$B$4),$F45&lt;=MAX('Major Assumption Key'!$B$6)),K45,0)</f>
        <v>0</v>
      </c>
      <c r="M45" s="26">
        <f t="shared" si="7"/>
        <v>0</v>
      </c>
      <c r="N45" s="38">
        <f>M45/(1+'Major Assumption Key'!$B$8)^($F45-'Major Assumption Key'!$B$7)</f>
        <v>0</v>
      </c>
      <c r="O45" s="292"/>
      <c r="P45" s="784">
        <f t="shared" si="8"/>
        <v>0</v>
      </c>
      <c r="Q45" s="775">
        <f t="shared" si="9"/>
        <v>0</v>
      </c>
      <c r="R45" s="26">
        <f t="shared" si="10"/>
        <v>0</v>
      </c>
      <c r="S45" s="38">
        <f t="shared" si="11"/>
        <v>0</v>
      </c>
    </row>
    <row r="46" spans="5:19" ht="14.7" customHeight="1">
      <c r="F46" s="232">
        <f>'Major Assumption Key'!A58</f>
        <v>2059</v>
      </c>
      <c r="G46" s="938">
        <f>SUM('Prop. Tax Inc Bike Lane Supp'!$D$19:$D$20)</f>
        <v>0</v>
      </c>
      <c r="H46" s="233">
        <f t="shared" si="5"/>
        <v>0</v>
      </c>
      <c r="I46" s="784">
        <f>IF(AND($F46&gt;=MIN('Major Assumption Key'!$B$4),$F46&lt;=MAX('Major Assumption Key'!$B$6)),H46,0)</f>
        <v>0</v>
      </c>
      <c r="J46" s="938">
        <f>SUM('Prop. Tax Inc Bike Lane Supp'!$G$19:$H$20)</f>
        <v>0</v>
      </c>
      <c r="K46" s="233">
        <f t="shared" si="6"/>
        <v>0</v>
      </c>
      <c r="L46" s="775">
        <f>IF(AND($F46&gt;=MIN('Major Assumption Key'!$B$4),$F46&lt;=MAX('Major Assumption Key'!$B$6)),K46,0)</f>
        <v>0</v>
      </c>
      <c r="M46" s="26">
        <f t="shared" si="7"/>
        <v>0</v>
      </c>
      <c r="N46" s="38">
        <f>M46/(1+'Major Assumption Key'!$B$8)^($F46-'Major Assumption Key'!$B$7)</f>
        <v>0</v>
      </c>
      <c r="O46" s="292"/>
      <c r="P46" s="784">
        <f t="shared" si="8"/>
        <v>0</v>
      </c>
      <c r="Q46" s="775">
        <f t="shared" si="9"/>
        <v>0</v>
      </c>
      <c r="R46" s="26">
        <f t="shared" si="10"/>
        <v>0</v>
      </c>
      <c r="S46" s="38">
        <f t="shared" si="11"/>
        <v>0</v>
      </c>
    </row>
    <row r="47" spans="5:19" ht="14.7" customHeight="1">
      <c r="F47" s="232">
        <f>'Major Assumption Key'!A59</f>
        <v>2060</v>
      </c>
      <c r="G47" s="938">
        <f>SUM('Prop. Tax Inc Bike Lane Supp'!$D$19:$D$20)</f>
        <v>0</v>
      </c>
      <c r="H47" s="233">
        <f t="shared" si="5"/>
        <v>0</v>
      </c>
      <c r="I47" s="784">
        <f>IF(AND($F47&gt;=MIN('Major Assumption Key'!$B$4),$F47&lt;=MAX('Major Assumption Key'!$B$6)),H47,0)</f>
        <v>0</v>
      </c>
      <c r="J47" s="938">
        <f>SUM('Prop. Tax Inc Bike Lane Supp'!$G$19:$H$20)</f>
        <v>0</v>
      </c>
      <c r="K47" s="233">
        <f t="shared" si="6"/>
        <v>0</v>
      </c>
      <c r="L47" s="775">
        <f>IF(AND($F47&gt;=MIN('Major Assumption Key'!$B$4),$F47&lt;=MAX('Major Assumption Key'!$B$6)),K47,0)</f>
        <v>0</v>
      </c>
      <c r="M47" s="26">
        <f t="shared" si="7"/>
        <v>0</v>
      </c>
      <c r="N47" s="38">
        <f>M47/(1+'Major Assumption Key'!$B$8)^($F47-'Major Assumption Key'!$B$7)</f>
        <v>0</v>
      </c>
      <c r="O47" s="292"/>
      <c r="P47" s="784">
        <f t="shared" si="8"/>
        <v>0</v>
      </c>
      <c r="Q47" s="775">
        <f t="shared" si="9"/>
        <v>0</v>
      </c>
      <c r="R47" s="26">
        <f t="shared" si="10"/>
        <v>0</v>
      </c>
      <c r="S47" s="38">
        <f t="shared" si="11"/>
        <v>0</v>
      </c>
    </row>
    <row r="48" spans="5:19" ht="14.7" customHeight="1" thickBot="1">
      <c r="F48" s="235" t="s">
        <v>504</v>
      </c>
      <c r="G48" s="236"/>
      <c r="H48" s="236"/>
      <c r="I48" s="118">
        <f>SUMIFS($I$7:$I$47,$F$7:$F$47,"&gt;="&amp;$B$17,$F$7:$F$47,"&lt;="&amp;$B$18)</f>
        <v>0</v>
      </c>
      <c r="J48" s="236"/>
      <c r="K48" s="236"/>
      <c r="L48" s="119">
        <f>SUMIFS($L$7:$L$47,$F$7:$F$47,"&gt;="&amp;$B$17,$F$7:$F$47,"&lt;="&amp;$B$18)</f>
        <v>0</v>
      </c>
      <c r="M48" s="237">
        <f>SUMIFS($M$7:$M$47,$F$7:$F$47,"&gt;="&amp;$B$17,$F$7:$F$47,"&lt;="&amp;$B$18)</f>
        <v>0</v>
      </c>
      <c r="N48" s="238">
        <f>SUMIFS($N$7:$N$47,$F$7:$F$47,"&gt;="&amp;$B$17,$F$7:$F$47,"&lt;="&amp;$B$18)</f>
        <v>0</v>
      </c>
      <c r="O48" s="292"/>
      <c r="P48" s="118">
        <f>ROUND(I48,-3)</f>
        <v>0</v>
      </c>
      <c r="Q48" s="119">
        <f t="shared" si="4"/>
        <v>0</v>
      </c>
      <c r="R48" s="237">
        <f>ROUND(M48,-3)</f>
        <v>0</v>
      </c>
      <c r="S48" s="238">
        <f>ROUND(N48,-3)</f>
        <v>0</v>
      </c>
    </row>
    <row r="49" spans="6:14" ht="14.7" customHeight="1">
      <c r="F49" s="246"/>
      <c r="G49" s="246"/>
      <c r="H49" s="218"/>
      <c r="I49" s="218"/>
      <c r="J49" s="218"/>
      <c r="K49" s="218"/>
      <c r="L49" s="218"/>
      <c r="M49" s="218"/>
      <c r="N49" s="218"/>
    </row>
    <row r="50" spans="6:14" ht="14.7" customHeight="1">
      <c r="F50" s="246"/>
      <c r="G50" s="246"/>
      <c r="H50" s="218"/>
      <c r="I50" s="218"/>
      <c r="J50" s="218"/>
      <c r="K50" s="218"/>
      <c r="L50" s="218"/>
      <c r="M50" s="218"/>
      <c r="N50" s="218"/>
    </row>
    <row r="51" spans="6:14" ht="14.7" customHeight="1">
      <c r="I51" s="51"/>
      <c r="L51" s="51"/>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opLeftCell="B8" zoomScale="70" zoomScaleNormal="70" workbookViewId="0">
      <selection sqref="A1:XFD1048576"/>
    </sheetView>
  </sheetViews>
  <sheetFormatPr defaultColWidth="9.21875" defaultRowHeight="14.4"/>
  <cols>
    <col min="1" max="1" width="29.5546875" style="1195" bestFit="1" customWidth="1"/>
    <col min="2" max="2" width="25.44140625" style="1195" bestFit="1" customWidth="1"/>
    <col min="3" max="3" width="22.5546875" style="1319" bestFit="1" customWidth="1"/>
    <col min="4" max="4" width="23.21875" style="1319" bestFit="1" customWidth="1"/>
    <col min="5" max="5" width="27.77734375" style="1319" bestFit="1" customWidth="1"/>
    <col min="6" max="6" width="16" style="1319" bestFit="1" customWidth="1"/>
    <col min="7" max="7" width="13.21875" style="1319" bestFit="1" customWidth="1"/>
    <col min="8" max="8" width="32" style="1319" bestFit="1" customWidth="1"/>
    <col min="9" max="9" width="15" style="1319" bestFit="1" customWidth="1"/>
    <col min="10" max="10" width="9.77734375" style="1319" bestFit="1" customWidth="1"/>
    <col min="11" max="11" width="18.21875" style="1319" bestFit="1" customWidth="1"/>
    <col min="12" max="12" width="25.5546875" style="1319" customWidth="1"/>
    <col min="13" max="13" width="22.44140625" style="1319" bestFit="1" customWidth="1"/>
    <col min="14" max="14" width="20" style="1195" bestFit="1" customWidth="1"/>
    <col min="15" max="15" width="42.44140625" style="1195" bestFit="1" customWidth="1"/>
    <col min="16" max="16" width="13.44140625" style="1195" bestFit="1" customWidth="1"/>
    <col min="17" max="17" width="18.21875" style="1195" bestFit="1" customWidth="1"/>
    <col min="18" max="20" width="9.21875" style="1013"/>
    <col min="21" max="22" width="14" style="1195" bestFit="1" customWidth="1"/>
    <col min="23" max="23" width="18.5546875" style="1195" bestFit="1" customWidth="1"/>
    <col min="24" max="24" width="16" style="1195" customWidth="1"/>
    <col min="25" max="25" width="13.5546875" style="1195" customWidth="1"/>
    <col min="26" max="55" width="11.77734375" style="1195" bestFit="1" customWidth="1"/>
    <col min="56" max="16384" width="9.21875" style="1195"/>
  </cols>
  <sheetData>
    <row r="1" spans="1:23" ht="25.2" customHeight="1">
      <c r="A1" s="1009" t="s">
        <v>413</v>
      </c>
      <c r="B1" s="1143" t="s">
        <v>423</v>
      </c>
      <c r="C1" s="1317"/>
      <c r="D1" s="1317"/>
      <c r="E1" s="1317"/>
      <c r="F1" s="1317"/>
      <c r="G1" s="1317"/>
      <c r="H1" s="1011"/>
      <c r="I1" s="1306"/>
    </row>
    <row r="2" spans="1:23" ht="15" thickBot="1"/>
    <row r="3" spans="1:23" ht="43.2" customHeight="1">
      <c r="H3" s="1331" t="s">
        <v>416</v>
      </c>
      <c r="I3" s="1332" t="s">
        <v>424</v>
      </c>
      <c r="J3" s="1332" t="s">
        <v>425</v>
      </c>
      <c r="K3" s="1326" t="str">
        <f>_xlfn.CONCAT("Discounted @ ", TEXT('Major Assumption Key'!B8,"0.0%"))</f>
        <v>Discounted @ 3.1%</v>
      </c>
      <c r="L3" s="1332" t="s">
        <v>426</v>
      </c>
      <c r="M3" s="1332" t="s">
        <v>427</v>
      </c>
      <c r="N3" s="1326" t="str">
        <f>_xlfn.CONCAT("Discounted @ ", TEXT('Major Assumption Key'!$B$8,"0.0%"))</f>
        <v>Discounted @ 3.1%</v>
      </c>
      <c r="O3" s="1332" t="s">
        <v>428</v>
      </c>
      <c r="P3" s="1332" t="s">
        <v>429</v>
      </c>
      <c r="Q3" s="1326" t="str">
        <f>_xlfn.CONCAT("Discounted @ ", TEXT('Major Assumption Key'!$B$8,"0.0%"))</f>
        <v>Discounted @ 3.1%</v>
      </c>
      <c r="U3" s="1325" t="s">
        <v>430</v>
      </c>
      <c r="V3" s="1332" t="s">
        <v>431</v>
      </c>
      <c r="W3" s="1326" t="str">
        <f>_xlfn.CONCAT("Project Costs Discounted @ ", TEXT('Major Assumption Key'!$B$8,"0.0%"))</f>
        <v>Project Costs Discounted @ 3.1%</v>
      </c>
    </row>
    <row r="4" spans="1:23">
      <c r="H4" s="1333">
        <f>'Major Assumption Key'!A19</f>
        <v>2020</v>
      </c>
      <c r="I4" s="1330">
        <f>IF(AND(H4&gt;=$C$24,H4&lt;=$D$24),IF($C$24=$D$24,$B$24*(1+$B$19)^(H4-$E$24),$B$24/($D$24-$C$24+1)*(1+$B$19)^(H4-$E$24)),0)</f>
        <v>0</v>
      </c>
      <c r="J4" s="1330">
        <f>$I4/(1+$B$19)^($H4-$B$20)</f>
        <v>0</v>
      </c>
      <c r="K4" s="1329">
        <f>$J4/(1+$B$21)^($H4-$B$20)</f>
        <v>0</v>
      </c>
      <c r="L4" s="1330">
        <f>IF(AND(H4&gt;=$C$25,H4&lt;=$D$25),IF($C$25=$D$25,$B$25*(1+$B$19)^(H4-$E$25),$B$25/($D$25-$C$25+1)*(1+$B$19)^(H4-$E$25)),0)</f>
        <v>0</v>
      </c>
      <c r="M4" s="1330">
        <f>$L4/(1+$B$19)^($H4-$B$20)</f>
        <v>0</v>
      </c>
      <c r="N4" s="1329">
        <f>$M4/(1+$B$21)^($H4-$B$20)</f>
        <v>0</v>
      </c>
      <c r="O4" s="1330">
        <f>IF(AND(H4&gt;=$C$26,H4&lt;=$D$26),IF($C$26=$D$26,$B$26*(1+$B$19)^(H4-$E$26),$B$26/($D$26-$C$26+1)*(1+$B$19)^(H4-$E$26)),0)</f>
        <v>0</v>
      </c>
      <c r="P4" s="1330">
        <f>$O4/(1+$B$19)^($H4-$B$20)</f>
        <v>0</v>
      </c>
      <c r="Q4" s="1329">
        <f>$P4/(1+$B$21)^($H4-$B$20)</f>
        <v>0</v>
      </c>
      <c r="U4" s="1328">
        <f t="shared" ref="U4" si="0">I4+L4+O4</f>
        <v>0</v>
      </c>
      <c r="V4" s="1330">
        <f t="shared" ref="V4" si="1">J4+M4+P4</f>
        <v>0</v>
      </c>
      <c r="W4" s="1329">
        <f t="shared" ref="W4" si="2">K4+N4+Q4</f>
        <v>0</v>
      </c>
    </row>
    <row r="5" spans="1:23">
      <c r="H5" s="1333">
        <f>'Major Assumption Key'!A20</f>
        <v>2021</v>
      </c>
      <c r="I5" s="1330">
        <f t="shared" ref="I5:I44" si="3">IF(AND(H5&gt;=$C$24,H5&lt;=$D$24),IF($C$24=$D$24,$B$24*(1+$B$19)^(H5-$E$24),$B$24/($D$24-$C$24+1)*(1+$B$19)^(H5-$E$24)),0)</f>
        <v>0</v>
      </c>
      <c r="J5" s="1330">
        <f t="shared" ref="J5:J44" si="4">$I5/(1+$B$19)^($H5-$B$20)</f>
        <v>0</v>
      </c>
      <c r="K5" s="1329">
        <f t="shared" ref="K5:K44" si="5">$J5/(1+$B$21)^($H5-$B$20)</f>
        <v>0</v>
      </c>
      <c r="L5" s="1330">
        <f t="shared" ref="L5:L44" si="6">IF(AND(H5&gt;=$C$25,H5&lt;=$D$25),IF($C$25=$D$25,$B$25*(1+$B$19)^(H5-$E$25),$B$25/($D$25-$C$25+1)*(1+$B$19)^(H5-$E$25)),0)</f>
        <v>0</v>
      </c>
      <c r="M5" s="1330">
        <f t="shared" ref="M5:M44" si="7">$L5/(1+$B$19)^($H5-$B$20)</f>
        <v>0</v>
      </c>
      <c r="N5" s="1329">
        <f t="shared" ref="N5:N44" si="8">$M5/(1+$B$21)^($H5-$B$20)</f>
        <v>0</v>
      </c>
      <c r="O5" s="1330">
        <f t="shared" ref="O5:O44" si="9">IF(AND(H5&gt;=$C$26,H5&lt;=$D$26),IF($C$26=$D$26,$B$26*(1+$B$19)^(H5-$E$26),$B$26/($D$26-$C$26+1)*(1+$B$19)^(H5-$E$26)),0)</f>
        <v>0</v>
      </c>
      <c r="P5" s="1330">
        <f t="shared" ref="P5:P44" si="10">$O5/(1+$B$19)^($H5-$B$20)</f>
        <v>0</v>
      </c>
      <c r="Q5" s="1329">
        <f t="shared" ref="Q5:Q44" si="11">$P5/(1+$B$21)^($H5-$B$20)</f>
        <v>0</v>
      </c>
      <c r="U5" s="1328">
        <f t="shared" ref="U5:U6" si="12">I5+L5+O5</f>
        <v>0</v>
      </c>
      <c r="V5" s="1330">
        <f t="shared" ref="V5:V6" si="13">J5+M5+P5</f>
        <v>0</v>
      </c>
      <c r="W5" s="1329">
        <f t="shared" ref="W5:W6" si="14">K5+N5+Q5</f>
        <v>0</v>
      </c>
    </row>
    <row r="6" spans="1:23" ht="14.7" customHeight="1">
      <c r="H6" s="1333">
        <f>'Major Assumption Key'!A21</f>
        <v>2022</v>
      </c>
      <c r="I6" s="1330">
        <f t="shared" si="3"/>
        <v>100000</v>
      </c>
      <c r="J6" s="1330">
        <f t="shared" si="4"/>
        <v>100000</v>
      </c>
      <c r="K6" s="1329">
        <f t="shared" si="5"/>
        <v>100000</v>
      </c>
      <c r="L6" s="1330">
        <f t="shared" si="6"/>
        <v>0</v>
      </c>
      <c r="M6" s="1330">
        <f t="shared" si="7"/>
        <v>0</v>
      </c>
      <c r="N6" s="1329">
        <f t="shared" si="8"/>
        <v>0</v>
      </c>
      <c r="O6" s="1330">
        <f t="shared" si="9"/>
        <v>0</v>
      </c>
      <c r="P6" s="1330">
        <f t="shared" si="10"/>
        <v>0</v>
      </c>
      <c r="Q6" s="1329">
        <f t="shared" si="11"/>
        <v>0</v>
      </c>
      <c r="U6" s="1328">
        <f t="shared" si="12"/>
        <v>100000</v>
      </c>
      <c r="V6" s="1330">
        <f t="shared" si="13"/>
        <v>100000</v>
      </c>
      <c r="W6" s="1329">
        <f t="shared" si="14"/>
        <v>100000</v>
      </c>
    </row>
    <row r="7" spans="1:23">
      <c r="H7" s="1333">
        <f>'Major Assumption Key'!A22</f>
        <v>2023</v>
      </c>
      <c r="I7" s="1330">
        <f t="shared" si="3"/>
        <v>0</v>
      </c>
      <c r="J7" s="1330">
        <f t="shared" si="4"/>
        <v>0</v>
      </c>
      <c r="K7" s="1329">
        <f t="shared" si="5"/>
        <v>0</v>
      </c>
      <c r="L7" s="1330">
        <f t="shared" si="6"/>
        <v>0</v>
      </c>
      <c r="M7" s="1330">
        <f t="shared" si="7"/>
        <v>0</v>
      </c>
      <c r="N7" s="1329">
        <f t="shared" si="8"/>
        <v>0</v>
      </c>
      <c r="O7" s="1330">
        <f t="shared" si="9"/>
        <v>0</v>
      </c>
      <c r="P7" s="1330">
        <f t="shared" si="10"/>
        <v>0</v>
      </c>
      <c r="Q7" s="1329">
        <f t="shared" si="11"/>
        <v>0</v>
      </c>
      <c r="U7" s="1328">
        <f t="shared" ref="U7:U44" si="15">I7+L7+O7</f>
        <v>0</v>
      </c>
      <c r="V7" s="1330">
        <f t="shared" ref="V7:V44" si="16">J7+M7+P7</f>
        <v>0</v>
      </c>
      <c r="W7" s="1329">
        <f t="shared" ref="W7:W44" si="17">K7+N7+Q7</f>
        <v>0</v>
      </c>
    </row>
    <row r="8" spans="1:23">
      <c r="H8" s="1333">
        <f>'Major Assumption Key'!A23</f>
        <v>2024</v>
      </c>
      <c r="I8" s="1330">
        <f t="shared" si="3"/>
        <v>0</v>
      </c>
      <c r="J8" s="1330">
        <f t="shared" si="4"/>
        <v>0</v>
      </c>
      <c r="K8" s="1329">
        <f t="shared" si="5"/>
        <v>0</v>
      </c>
      <c r="L8" s="1330">
        <f t="shared" si="6"/>
        <v>0</v>
      </c>
      <c r="M8" s="1330">
        <f t="shared" si="7"/>
        <v>0</v>
      </c>
      <c r="N8" s="1329">
        <f t="shared" si="8"/>
        <v>0</v>
      </c>
      <c r="O8" s="1330">
        <f t="shared" si="9"/>
        <v>0</v>
      </c>
      <c r="P8" s="1330">
        <f t="shared" si="10"/>
        <v>0</v>
      </c>
      <c r="Q8" s="1329">
        <f t="shared" si="11"/>
        <v>0</v>
      </c>
      <c r="U8" s="1328">
        <f t="shared" si="15"/>
        <v>0</v>
      </c>
      <c r="V8" s="1330">
        <f t="shared" si="16"/>
        <v>0</v>
      </c>
      <c r="W8" s="1329">
        <f t="shared" si="17"/>
        <v>0</v>
      </c>
    </row>
    <row r="9" spans="1:23" ht="18">
      <c r="A9" s="1859" t="s">
        <v>432</v>
      </c>
      <c r="B9" s="1860"/>
      <c r="C9" s="1860"/>
      <c r="D9" s="1861"/>
      <c r="E9" s="1717"/>
      <c r="F9" s="1717"/>
      <c r="H9" s="1333">
        <f>'Major Assumption Key'!A24</f>
        <v>2025</v>
      </c>
      <c r="I9" s="1330">
        <f t="shared" si="3"/>
        <v>0</v>
      </c>
      <c r="J9" s="1330">
        <f t="shared" si="4"/>
        <v>0</v>
      </c>
      <c r="K9" s="1329">
        <f t="shared" si="5"/>
        <v>0</v>
      </c>
      <c r="L9" s="1330">
        <f t="shared" si="6"/>
        <v>2990369.2423421857</v>
      </c>
      <c r="M9" s="1330">
        <f t="shared" si="7"/>
        <v>2753460.75</v>
      </c>
      <c r="N9" s="1329">
        <f t="shared" si="8"/>
        <v>2512481.6250091572</v>
      </c>
      <c r="O9" s="1330">
        <f t="shared" si="9"/>
        <v>0</v>
      </c>
      <c r="P9" s="1330">
        <f t="shared" si="10"/>
        <v>0</v>
      </c>
      <c r="Q9" s="1329">
        <f t="shared" si="11"/>
        <v>0</v>
      </c>
      <c r="U9" s="1328">
        <f t="shared" si="15"/>
        <v>2990369.2423421857</v>
      </c>
      <c r="V9" s="1330">
        <f t="shared" si="16"/>
        <v>2753460.75</v>
      </c>
      <c r="W9" s="1329">
        <f t="shared" si="17"/>
        <v>2512481.6250091572</v>
      </c>
    </row>
    <row r="10" spans="1:23" ht="18">
      <c r="A10" s="1862" t="s">
        <v>418</v>
      </c>
      <c r="B10" s="1862"/>
      <c r="C10" s="1340" t="s">
        <v>419</v>
      </c>
      <c r="D10" s="1340" t="str">
        <f>_xlfn.CONCAT("Discounted @",TEXT('Major Assumption Key'!B8,"0.0%"))</f>
        <v>Discounted @3.1%</v>
      </c>
      <c r="E10" s="1717"/>
      <c r="F10" s="1717"/>
      <c r="H10" s="1333">
        <f>'Major Assumption Key'!A25</f>
        <v>2026</v>
      </c>
      <c r="I10" s="1330">
        <f t="shared" si="3"/>
        <v>0</v>
      </c>
      <c r="J10" s="1330">
        <f t="shared" si="4"/>
        <v>0</v>
      </c>
      <c r="K10" s="1329">
        <f t="shared" si="5"/>
        <v>0</v>
      </c>
      <c r="L10" s="1330">
        <f t="shared" si="6"/>
        <v>0</v>
      </c>
      <c r="M10" s="1330">
        <f t="shared" si="7"/>
        <v>0</v>
      </c>
      <c r="N10" s="1329">
        <f t="shared" si="8"/>
        <v>0</v>
      </c>
      <c r="O10" s="1330">
        <f t="shared" si="9"/>
        <v>10245949.351393487</v>
      </c>
      <c r="P10" s="1330">
        <f t="shared" si="10"/>
        <v>9178202.5</v>
      </c>
      <c r="Q10" s="1329">
        <f t="shared" si="11"/>
        <v>8123121.9689917779</v>
      </c>
      <c r="U10" s="1328">
        <f t="shared" si="15"/>
        <v>10245949.351393487</v>
      </c>
      <c r="V10" s="1330">
        <f t="shared" si="16"/>
        <v>9178202.5</v>
      </c>
      <c r="W10" s="1329">
        <f t="shared" si="17"/>
        <v>8123121.9689917779</v>
      </c>
    </row>
    <row r="11" spans="1:23" ht="18">
      <c r="A11" s="1863" t="s">
        <v>11</v>
      </c>
      <c r="B11" s="1863"/>
      <c r="C11" s="1503">
        <f>'BCA Summary'!$H$7</f>
        <v>1.0111569298276737</v>
      </c>
      <c r="D11" s="1503">
        <f>'BCA Summary'!$I$7</f>
        <v>0.6276932096418345</v>
      </c>
      <c r="E11" s="1718"/>
      <c r="F11" s="1718"/>
      <c r="H11" s="1333">
        <f>'Major Assumption Key'!A26</f>
        <v>2027</v>
      </c>
      <c r="I11" s="1330">
        <f t="shared" si="3"/>
        <v>0</v>
      </c>
      <c r="J11" s="1330">
        <f t="shared" si="4"/>
        <v>0</v>
      </c>
      <c r="K11" s="1329">
        <f t="shared" si="5"/>
        <v>0</v>
      </c>
      <c r="L11" s="1330">
        <f t="shared" si="6"/>
        <v>0</v>
      </c>
      <c r="M11" s="1330">
        <f t="shared" si="7"/>
        <v>0</v>
      </c>
      <c r="N11" s="1329">
        <f t="shared" si="8"/>
        <v>0</v>
      </c>
      <c r="O11" s="1330">
        <f t="shared" si="9"/>
        <v>10531757.412248146</v>
      </c>
      <c r="P11" s="1330">
        <f t="shared" si="10"/>
        <v>9178202.5</v>
      </c>
      <c r="Q11" s="1329">
        <f t="shared" si="11"/>
        <v>7878876.7885468267</v>
      </c>
      <c r="U11" s="1328">
        <f t="shared" si="15"/>
        <v>10531757.412248146</v>
      </c>
      <c r="V11" s="1330">
        <f t="shared" si="16"/>
        <v>9178202.5</v>
      </c>
      <c r="W11" s="1329">
        <f t="shared" si="17"/>
        <v>7878876.7885468267</v>
      </c>
    </row>
    <row r="12" spans="1:23" ht="18">
      <c r="A12" s="1863" t="s">
        <v>12</v>
      </c>
      <c r="B12" s="1863"/>
      <c r="C12" s="1340">
        <f>'BCA Summary'!$H$8</f>
        <v>236636.98382712901</v>
      </c>
      <c r="D12" s="1340">
        <f>'BCA Summary'!$I$8</f>
        <v>-6930297.4454113934</v>
      </c>
      <c r="E12" s="1717"/>
      <c r="F12" s="1717"/>
      <c r="H12" s="1333">
        <f>'Major Assumption Key'!A27</f>
        <v>2028</v>
      </c>
      <c r="I12" s="1330">
        <f t="shared" si="3"/>
        <v>0</v>
      </c>
      <c r="J12" s="1330">
        <f t="shared" si="4"/>
        <v>0</v>
      </c>
      <c r="K12" s="1329">
        <f t="shared" si="5"/>
        <v>0</v>
      </c>
      <c r="L12" s="1330">
        <f t="shared" si="6"/>
        <v>0</v>
      </c>
      <c r="M12" s="1330">
        <f t="shared" si="7"/>
        <v>0</v>
      </c>
      <c r="N12" s="1329">
        <f t="shared" si="8"/>
        <v>0</v>
      </c>
      <c r="O12" s="1330">
        <f t="shared" si="9"/>
        <v>0</v>
      </c>
      <c r="P12" s="1330">
        <f t="shared" si="10"/>
        <v>0</v>
      </c>
      <c r="Q12" s="1329">
        <f t="shared" si="11"/>
        <v>0</v>
      </c>
      <c r="U12" s="1328">
        <f t="shared" si="15"/>
        <v>0</v>
      </c>
      <c r="V12" s="1330">
        <f t="shared" si="16"/>
        <v>0</v>
      </c>
      <c r="W12" s="1329">
        <f t="shared" si="17"/>
        <v>0</v>
      </c>
    </row>
    <row r="13" spans="1:23">
      <c r="H13" s="1333">
        <f>'Major Assumption Key'!A28</f>
        <v>2029</v>
      </c>
      <c r="I13" s="1330">
        <f t="shared" si="3"/>
        <v>0</v>
      </c>
      <c r="J13" s="1330">
        <f t="shared" si="4"/>
        <v>0</v>
      </c>
      <c r="K13" s="1329">
        <f t="shared" si="5"/>
        <v>0</v>
      </c>
      <c r="L13" s="1330">
        <f t="shared" si="6"/>
        <v>0</v>
      </c>
      <c r="M13" s="1330">
        <f t="shared" si="7"/>
        <v>0</v>
      </c>
      <c r="N13" s="1329">
        <f t="shared" si="8"/>
        <v>0</v>
      </c>
      <c r="O13" s="1330">
        <f t="shared" si="9"/>
        <v>0</v>
      </c>
      <c r="P13" s="1330">
        <f t="shared" si="10"/>
        <v>0</v>
      </c>
      <c r="Q13" s="1329">
        <f t="shared" si="11"/>
        <v>0</v>
      </c>
      <c r="U13" s="1328">
        <f t="shared" si="15"/>
        <v>0</v>
      </c>
      <c r="V13" s="1330">
        <f t="shared" si="16"/>
        <v>0</v>
      </c>
      <c r="W13" s="1329">
        <f t="shared" si="17"/>
        <v>0</v>
      </c>
    </row>
    <row r="14" spans="1:23" ht="15" thickBot="1">
      <c r="H14" s="1333">
        <f>'Major Assumption Key'!A29</f>
        <v>2030</v>
      </c>
      <c r="I14" s="1330">
        <f t="shared" si="3"/>
        <v>0</v>
      </c>
      <c r="J14" s="1330">
        <f t="shared" si="4"/>
        <v>0</v>
      </c>
      <c r="K14" s="1329">
        <f t="shared" si="5"/>
        <v>0</v>
      </c>
      <c r="L14" s="1330">
        <f t="shared" si="6"/>
        <v>0</v>
      </c>
      <c r="M14" s="1330">
        <f t="shared" si="7"/>
        <v>0</v>
      </c>
      <c r="N14" s="1329">
        <f t="shared" si="8"/>
        <v>0</v>
      </c>
      <c r="O14" s="1330">
        <f t="shared" si="9"/>
        <v>0</v>
      </c>
      <c r="P14" s="1330">
        <f t="shared" si="10"/>
        <v>0</v>
      </c>
      <c r="Q14" s="1329">
        <f t="shared" si="11"/>
        <v>0</v>
      </c>
      <c r="U14" s="1328">
        <f t="shared" si="15"/>
        <v>0</v>
      </c>
      <c r="V14" s="1330">
        <f t="shared" si="16"/>
        <v>0</v>
      </c>
      <c r="W14" s="1329">
        <f t="shared" si="17"/>
        <v>0</v>
      </c>
    </row>
    <row r="15" spans="1:23">
      <c r="A15" s="1293" t="s">
        <v>433</v>
      </c>
      <c r="B15" s="1294" t="s">
        <v>434</v>
      </c>
      <c r="C15" s="1295" t="s">
        <v>435</v>
      </c>
      <c r="D15" s="1864"/>
      <c r="E15" s="1864"/>
      <c r="F15" s="1719"/>
      <c r="H15" s="1333">
        <f>'Major Assumption Key'!A30</f>
        <v>2031</v>
      </c>
      <c r="I15" s="1330">
        <f t="shared" si="3"/>
        <v>0</v>
      </c>
      <c r="J15" s="1330">
        <f t="shared" si="4"/>
        <v>0</v>
      </c>
      <c r="K15" s="1329">
        <f t="shared" si="5"/>
        <v>0</v>
      </c>
      <c r="L15" s="1330">
        <f t="shared" si="6"/>
        <v>0</v>
      </c>
      <c r="M15" s="1330">
        <f t="shared" si="7"/>
        <v>0</v>
      </c>
      <c r="N15" s="1329">
        <f t="shared" si="8"/>
        <v>0</v>
      </c>
      <c r="O15" s="1330">
        <f t="shared" si="9"/>
        <v>0</v>
      </c>
      <c r="P15" s="1330">
        <f t="shared" si="10"/>
        <v>0</v>
      </c>
      <c r="Q15" s="1329">
        <f t="shared" si="11"/>
        <v>0</v>
      </c>
      <c r="U15" s="1328">
        <f t="shared" si="15"/>
        <v>0</v>
      </c>
      <c r="V15" s="1330">
        <f t="shared" si="16"/>
        <v>0</v>
      </c>
      <c r="W15" s="1329">
        <f t="shared" si="17"/>
        <v>0</v>
      </c>
    </row>
    <row r="16" spans="1:23">
      <c r="A16" s="1506" t="str">
        <f>'Major Assumption Key'!A3</f>
        <v>Project Open Year:</v>
      </c>
      <c r="B16" s="1174">
        <f>'Major Assumption Key'!B3</f>
        <v>2028</v>
      </c>
      <c r="C16" s="1289" t="s">
        <v>436</v>
      </c>
      <c r="H16" s="1333">
        <f>'Major Assumption Key'!A31</f>
        <v>2032</v>
      </c>
      <c r="I16" s="1330">
        <f t="shared" si="3"/>
        <v>0</v>
      </c>
      <c r="J16" s="1330">
        <f t="shared" si="4"/>
        <v>0</v>
      </c>
      <c r="K16" s="1329">
        <f t="shared" si="5"/>
        <v>0</v>
      </c>
      <c r="L16" s="1330">
        <f t="shared" si="6"/>
        <v>0</v>
      </c>
      <c r="M16" s="1330">
        <f t="shared" si="7"/>
        <v>0</v>
      </c>
      <c r="N16" s="1329">
        <f t="shared" si="8"/>
        <v>0</v>
      </c>
      <c r="O16" s="1330">
        <f t="shared" si="9"/>
        <v>0</v>
      </c>
      <c r="P16" s="1330">
        <f t="shared" si="10"/>
        <v>0</v>
      </c>
      <c r="Q16" s="1329">
        <f t="shared" si="11"/>
        <v>0</v>
      </c>
      <c r="U16" s="1328">
        <f t="shared" si="15"/>
        <v>0</v>
      </c>
      <c r="V16" s="1330">
        <f t="shared" si="16"/>
        <v>0</v>
      </c>
      <c r="W16" s="1329">
        <f t="shared" si="17"/>
        <v>0</v>
      </c>
    </row>
    <row r="17" spans="1:23">
      <c r="A17" s="1506" t="str">
        <f>'Major Assumption Key'!A4</f>
        <v>Planning Horizon Begin Year:</v>
      </c>
      <c r="B17" s="1174">
        <f>'Major Assumption Key'!B4</f>
        <v>2022</v>
      </c>
      <c r="C17" s="1289" t="s">
        <v>436</v>
      </c>
      <c r="H17" s="1333">
        <f>'Major Assumption Key'!A32</f>
        <v>2033</v>
      </c>
      <c r="I17" s="1330">
        <f t="shared" si="3"/>
        <v>0</v>
      </c>
      <c r="J17" s="1330">
        <f t="shared" si="4"/>
        <v>0</v>
      </c>
      <c r="K17" s="1329">
        <f t="shared" si="5"/>
        <v>0</v>
      </c>
      <c r="L17" s="1330">
        <f t="shared" si="6"/>
        <v>0</v>
      </c>
      <c r="M17" s="1330">
        <f t="shared" si="7"/>
        <v>0</v>
      </c>
      <c r="N17" s="1329">
        <f t="shared" si="8"/>
        <v>0</v>
      </c>
      <c r="O17" s="1330">
        <f t="shared" si="9"/>
        <v>0</v>
      </c>
      <c r="P17" s="1330">
        <f t="shared" si="10"/>
        <v>0</v>
      </c>
      <c r="Q17" s="1329">
        <f t="shared" si="11"/>
        <v>0</v>
      </c>
      <c r="U17" s="1328">
        <f t="shared" si="15"/>
        <v>0</v>
      </c>
      <c r="V17" s="1330">
        <f t="shared" si="16"/>
        <v>0</v>
      </c>
      <c r="W17" s="1329">
        <f t="shared" si="17"/>
        <v>0</v>
      </c>
    </row>
    <row r="18" spans="1:23">
      <c r="A18" s="1506" t="str">
        <f>'Major Assumption Key'!A6</f>
        <v>Planning Horizon End Year:</v>
      </c>
      <c r="B18" s="1174">
        <f>'Major Assumption Key'!B6</f>
        <v>2047</v>
      </c>
      <c r="C18" s="1289" t="s">
        <v>436</v>
      </c>
      <c r="H18" s="1333">
        <f>'Major Assumption Key'!A33</f>
        <v>2034</v>
      </c>
      <c r="I18" s="1330">
        <f t="shared" si="3"/>
        <v>0</v>
      </c>
      <c r="J18" s="1330">
        <f t="shared" si="4"/>
        <v>0</v>
      </c>
      <c r="K18" s="1329">
        <f t="shared" si="5"/>
        <v>0</v>
      </c>
      <c r="L18" s="1330">
        <f t="shared" si="6"/>
        <v>0</v>
      </c>
      <c r="M18" s="1330">
        <f t="shared" si="7"/>
        <v>0</v>
      </c>
      <c r="N18" s="1329">
        <f t="shared" si="8"/>
        <v>0</v>
      </c>
      <c r="O18" s="1330">
        <f t="shared" si="9"/>
        <v>0</v>
      </c>
      <c r="P18" s="1330">
        <f t="shared" si="10"/>
        <v>0</v>
      </c>
      <c r="Q18" s="1329">
        <f t="shared" si="11"/>
        <v>0</v>
      </c>
      <c r="U18" s="1328">
        <f t="shared" si="15"/>
        <v>0</v>
      </c>
      <c r="V18" s="1330">
        <f t="shared" si="16"/>
        <v>0</v>
      </c>
      <c r="W18" s="1329">
        <f t="shared" si="17"/>
        <v>0</v>
      </c>
    </row>
    <row r="19" spans="1:23">
      <c r="A19" s="1506" t="str">
        <f>'Major Assumption Key'!$A$10</f>
        <v>Inflation Rate</v>
      </c>
      <c r="B19" s="1720">
        <f>'Major Assumption Key'!$B$10</f>
        <v>2.7894736842105264E-2</v>
      </c>
      <c r="C19" s="1289" t="s">
        <v>436</v>
      </c>
      <c r="H19" s="1333">
        <f>'Major Assumption Key'!A34</f>
        <v>2035</v>
      </c>
      <c r="I19" s="1330">
        <f t="shared" si="3"/>
        <v>0</v>
      </c>
      <c r="J19" s="1330">
        <f t="shared" si="4"/>
        <v>0</v>
      </c>
      <c r="K19" s="1329">
        <f t="shared" si="5"/>
        <v>0</v>
      </c>
      <c r="L19" s="1330">
        <f t="shared" si="6"/>
        <v>0</v>
      </c>
      <c r="M19" s="1330">
        <f t="shared" si="7"/>
        <v>0</v>
      </c>
      <c r="N19" s="1329">
        <f t="shared" si="8"/>
        <v>0</v>
      </c>
      <c r="O19" s="1330">
        <f t="shared" si="9"/>
        <v>0</v>
      </c>
      <c r="P19" s="1330">
        <f t="shared" si="10"/>
        <v>0</v>
      </c>
      <c r="Q19" s="1329">
        <f t="shared" si="11"/>
        <v>0</v>
      </c>
      <c r="U19" s="1328">
        <f t="shared" si="15"/>
        <v>0</v>
      </c>
      <c r="V19" s="1330">
        <f t="shared" si="16"/>
        <v>0</v>
      </c>
      <c r="W19" s="1329">
        <f t="shared" si="17"/>
        <v>0</v>
      </c>
    </row>
    <row r="20" spans="1:23">
      <c r="A20" s="1301" t="str">
        <f>'Major Assumption Key'!$A$7</f>
        <v>Discount Year</v>
      </c>
      <c r="B20" s="1605">
        <f>'Major Assumption Key'!$B$7</f>
        <v>2022</v>
      </c>
      <c r="C20" s="1289" t="s">
        <v>436</v>
      </c>
      <c r="H20" s="1333">
        <f>'Major Assumption Key'!A35</f>
        <v>2036</v>
      </c>
      <c r="I20" s="1330">
        <f t="shared" si="3"/>
        <v>0</v>
      </c>
      <c r="J20" s="1330">
        <f t="shared" si="4"/>
        <v>0</v>
      </c>
      <c r="K20" s="1329">
        <f t="shared" si="5"/>
        <v>0</v>
      </c>
      <c r="L20" s="1330">
        <f t="shared" si="6"/>
        <v>0</v>
      </c>
      <c r="M20" s="1330">
        <f t="shared" si="7"/>
        <v>0</v>
      </c>
      <c r="N20" s="1329">
        <f t="shared" si="8"/>
        <v>0</v>
      </c>
      <c r="O20" s="1330">
        <f t="shared" si="9"/>
        <v>0</v>
      </c>
      <c r="P20" s="1330">
        <f t="shared" si="10"/>
        <v>0</v>
      </c>
      <c r="Q20" s="1329">
        <f t="shared" si="11"/>
        <v>0</v>
      </c>
      <c r="U20" s="1328">
        <f t="shared" si="15"/>
        <v>0</v>
      </c>
      <c r="V20" s="1330">
        <f t="shared" si="16"/>
        <v>0</v>
      </c>
      <c r="W20" s="1329">
        <f t="shared" si="17"/>
        <v>0</v>
      </c>
    </row>
    <row r="21" spans="1:23" ht="15" thickBot="1">
      <c r="A21" s="1334" t="str">
        <f>'Major Assumption Key'!$A$8</f>
        <v xml:space="preserve">Discount </v>
      </c>
      <c r="B21" s="1335">
        <f>'Major Assumption Key'!$B$8</f>
        <v>3.1E-2</v>
      </c>
      <c r="C21" s="1336" t="s">
        <v>436</v>
      </c>
      <c r="H21" s="1333">
        <f>'Major Assumption Key'!A36</f>
        <v>2037</v>
      </c>
      <c r="I21" s="1330">
        <f t="shared" si="3"/>
        <v>0</v>
      </c>
      <c r="J21" s="1330">
        <f t="shared" si="4"/>
        <v>0</v>
      </c>
      <c r="K21" s="1329">
        <f t="shared" si="5"/>
        <v>0</v>
      </c>
      <c r="L21" s="1330">
        <f t="shared" si="6"/>
        <v>0</v>
      </c>
      <c r="M21" s="1330">
        <f t="shared" si="7"/>
        <v>0</v>
      </c>
      <c r="N21" s="1329">
        <f t="shared" si="8"/>
        <v>0</v>
      </c>
      <c r="O21" s="1330">
        <f t="shared" si="9"/>
        <v>0</v>
      </c>
      <c r="P21" s="1330">
        <f t="shared" si="10"/>
        <v>0</v>
      </c>
      <c r="Q21" s="1329">
        <f t="shared" si="11"/>
        <v>0</v>
      </c>
      <c r="U21" s="1328">
        <f t="shared" si="15"/>
        <v>0</v>
      </c>
      <c r="V21" s="1330">
        <f t="shared" si="16"/>
        <v>0</v>
      </c>
      <c r="W21" s="1329">
        <f t="shared" si="17"/>
        <v>0</v>
      </c>
    </row>
    <row r="22" spans="1:23" ht="15" thickBot="1">
      <c r="H22" s="1333">
        <f>'Major Assumption Key'!A37</f>
        <v>2038</v>
      </c>
      <c r="I22" s="1330">
        <f t="shared" si="3"/>
        <v>0</v>
      </c>
      <c r="J22" s="1330">
        <f t="shared" si="4"/>
        <v>0</v>
      </c>
      <c r="K22" s="1329">
        <f t="shared" si="5"/>
        <v>0</v>
      </c>
      <c r="L22" s="1330">
        <f t="shared" si="6"/>
        <v>0</v>
      </c>
      <c r="M22" s="1330">
        <f t="shared" si="7"/>
        <v>0</v>
      </c>
      <c r="N22" s="1329">
        <f t="shared" si="8"/>
        <v>0</v>
      </c>
      <c r="O22" s="1330">
        <f t="shared" si="9"/>
        <v>0</v>
      </c>
      <c r="P22" s="1330">
        <f t="shared" si="10"/>
        <v>0</v>
      </c>
      <c r="Q22" s="1329">
        <f t="shared" si="11"/>
        <v>0</v>
      </c>
      <c r="U22" s="1328">
        <f t="shared" si="15"/>
        <v>0</v>
      </c>
      <c r="V22" s="1330">
        <f t="shared" si="16"/>
        <v>0</v>
      </c>
      <c r="W22" s="1329">
        <f t="shared" si="17"/>
        <v>0</v>
      </c>
    </row>
    <row r="23" spans="1:23">
      <c r="A23" s="1721"/>
      <c r="B23" s="1294" t="s">
        <v>437</v>
      </c>
      <c r="C23" s="1294" t="s">
        <v>438</v>
      </c>
      <c r="D23" s="1294" t="s">
        <v>439</v>
      </c>
      <c r="E23" s="1294" t="s">
        <v>440</v>
      </c>
      <c r="F23" s="1295" t="s">
        <v>435</v>
      </c>
      <c r="H23" s="1333">
        <f>'Major Assumption Key'!A38</f>
        <v>2039</v>
      </c>
      <c r="I23" s="1330">
        <f t="shared" si="3"/>
        <v>0</v>
      </c>
      <c r="J23" s="1330">
        <f t="shared" si="4"/>
        <v>0</v>
      </c>
      <c r="K23" s="1329">
        <f t="shared" si="5"/>
        <v>0</v>
      </c>
      <c r="L23" s="1330">
        <f t="shared" si="6"/>
        <v>0</v>
      </c>
      <c r="M23" s="1330">
        <f t="shared" si="7"/>
        <v>0</v>
      </c>
      <c r="N23" s="1329">
        <f t="shared" si="8"/>
        <v>0</v>
      </c>
      <c r="O23" s="1330">
        <f t="shared" si="9"/>
        <v>0</v>
      </c>
      <c r="P23" s="1330">
        <f t="shared" si="10"/>
        <v>0</v>
      </c>
      <c r="Q23" s="1329">
        <f t="shared" si="11"/>
        <v>0</v>
      </c>
      <c r="U23" s="1328">
        <f t="shared" si="15"/>
        <v>0</v>
      </c>
      <c r="V23" s="1330">
        <f t="shared" si="16"/>
        <v>0</v>
      </c>
      <c r="W23" s="1329">
        <f t="shared" si="17"/>
        <v>0</v>
      </c>
    </row>
    <row r="24" spans="1:23">
      <c r="A24" s="1301" t="s">
        <v>441</v>
      </c>
      <c r="B24" s="1722">
        <v>100000</v>
      </c>
      <c r="C24" s="1723">
        <v>2022</v>
      </c>
      <c r="D24" s="1723">
        <v>2022</v>
      </c>
      <c r="E24" s="1723">
        <v>2022</v>
      </c>
      <c r="F24" s="1724" t="s">
        <v>7913</v>
      </c>
      <c r="H24" s="1333">
        <f>'Major Assumption Key'!A39</f>
        <v>2040</v>
      </c>
      <c r="I24" s="1330">
        <f t="shared" si="3"/>
        <v>0</v>
      </c>
      <c r="J24" s="1330">
        <f t="shared" si="4"/>
        <v>0</v>
      </c>
      <c r="K24" s="1329">
        <f t="shared" si="5"/>
        <v>0</v>
      </c>
      <c r="L24" s="1330">
        <f t="shared" si="6"/>
        <v>0</v>
      </c>
      <c r="M24" s="1330">
        <f t="shared" si="7"/>
        <v>0</v>
      </c>
      <c r="N24" s="1329">
        <f t="shared" si="8"/>
        <v>0</v>
      </c>
      <c r="O24" s="1330">
        <f t="shared" si="9"/>
        <v>0</v>
      </c>
      <c r="P24" s="1330">
        <f t="shared" si="10"/>
        <v>0</v>
      </c>
      <c r="Q24" s="1329">
        <f t="shared" si="11"/>
        <v>0</v>
      </c>
      <c r="U24" s="1328">
        <f t="shared" si="15"/>
        <v>0</v>
      </c>
      <c r="V24" s="1330">
        <f t="shared" si="16"/>
        <v>0</v>
      </c>
      <c r="W24" s="1329">
        <f t="shared" si="17"/>
        <v>0</v>
      </c>
    </row>
    <row r="25" spans="1:23">
      <c r="A25" s="1301" t="s">
        <v>7953</v>
      </c>
      <c r="B25" s="1722">
        <f>B26*0.15</f>
        <v>2753460.75</v>
      </c>
      <c r="C25" s="1723">
        <v>2025</v>
      </c>
      <c r="D25" s="1723">
        <v>2025</v>
      </c>
      <c r="E25" s="1723">
        <v>2022</v>
      </c>
      <c r="F25" s="1724" t="s">
        <v>7911</v>
      </c>
      <c r="H25" s="1333">
        <f>'Major Assumption Key'!A40</f>
        <v>2041</v>
      </c>
      <c r="I25" s="1330">
        <f t="shared" si="3"/>
        <v>0</v>
      </c>
      <c r="J25" s="1330">
        <f t="shared" si="4"/>
        <v>0</v>
      </c>
      <c r="K25" s="1329">
        <f t="shared" si="5"/>
        <v>0</v>
      </c>
      <c r="L25" s="1330">
        <f t="shared" si="6"/>
        <v>0</v>
      </c>
      <c r="M25" s="1330">
        <f t="shared" si="7"/>
        <v>0</v>
      </c>
      <c r="N25" s="1329">
        <f t="shared" si="8"/>
        <v>0</v>
      </c>
      <c r="O25" s="1330">
        <f t="shared" si="9"/>
        <v>0</v>
      </c>
      <c r="P25" s="1330">
        <f t="shared" si="10"/>
        <v>0</v>
      </c>
      <c r="Q25" s="1329">
        <f t="shared" si="11"/>
        <v>0</v>
      </c>
      <c r="U25" s="1328">
        <f t="shared" si="15"/>
        <v>0</v>
      </c>
      <c r="V25" s="1330">
        <f t="shared" si="16"/>
        <v>0</v>
      </c>
      <c r="W25" s="1329">
        <f t="shared" si="17"/>
        <v>0</v>
      </c>
    </row>
    <row r="26" spans="1:23" ht="15" thickBot="1">
      <c r="A26" s="1334" t="s">
        <v>7912</v>
      </c>
      <c r="B26" s="1725">
        <v>18356405</v>
      </c>
      <c r="C26" s="1726">
        <v>2026</v>
      </c>
      <c r="D26" s="1726">
        <v>2027</v>
      </c>
      <c r="E26" s="1726">
        <v>2022</v>
      </c>
      <c r="F26" s="1727" t="s">
        <v>8202</v>
      </c>
      <c r="H26" s="1333">
        <f>'Major Assumption Key'!A41</f>
        <v>2042</v>
      </c>
      <c r="I26" s="1330">
        <f t="shared" si="3"/>
        <v>0</v>
      </c>
      <c r="J26" s="1330">
        <f t="shared" si="4"/>
        <v>0</v>
      </c>
      <c r="K26" s="1329">
        <f t="shared" si="5"/>
        <v>0</v>
      </c>
      <c r="L26" s="1330">
        <f t="shared" si="6"/>
        <v>0</v>
      </c>
      <c r="M26" s="1330">
        <f t="shared" si="7"/>
        <v>0</v>
      </c>
      <c r="N26" s="1329">
        <f t="shared" si="8"/>
        <v>0</v>
      </c>
      <c r="O26" s="1330">
        <f t="shared" si="9"/>
        <v>0</v>
      </c>
      <c r="P26" s="1330">
        <f t="shared" si="10"/>
        <v>0</v>
      </c>
      <c r="Q26" s="1329">
        <f t="shared" si="11"/>
        <v>0</v>
      </c>
      <c r="U26" s="1328">
        <f t="shared" si="15"/>
        <v>0</v>
      </c>
      <c r="V26" s="1330">
        <f t="shared" si="16"/>
        <v>0</v>
      </c>
      <c r="W26" s="1329">
        <f t="shared" si="17"/>
        <v>0</v>
      </c>
    </row>
    <row r="27" spans="1:23">
      <c r="H27" s="1333">
        <f>'Major Assumption Key'!A42</f>
        <v>2043</v>
      </c>
      <c r="I27" s="1330">
        <f t="shared" si="3"/>
        <v>0</v>
      </c>
      <c r="J27" s="1330">
        <f t="shared" si="4"/>
        <v>0</v>
      </c>
      <c r="K27" s="1329">
        <f t="shared" si="5"/>
        <v>0</v>
      </c>
      <c r="L27" s="1330">
        <f t="shared" si="6"/>
        <v>0</v>
      </c>
      <c r="M27" s="1330">
        <f t="shared" si="7"/>
        <v>0</v>
      </c>
      <c r="N27" s="1329">
        <f t="shared" si="8"/>
        <v>0</v>
      </c>
      <c r="O27" s="1330">
        <f t="shared" si="9"/>
        <v>0</v>
      </c>
      <c r="P27" s="1330">
        <f t="shared" si="10"/>
        <v>0</v>
      </c>
      <c r="Q27" s="1329">
        <f t="shared" si="11"/>
        <v>0</v>
      </c>
      <c r="U27" s="1328">
        <f t="shared" si="15"/>
        <v>0</v>
      </c>
      <c r="V27" s="1330">
        <f t="shared" si="16"/>
        <v>0</v>
      </c>
      <c r="W27" s="1329">
        <f t="shared" si="17"/>
        <v>0</v>
      </c>
    </row>
    <row r="28" spans="1:23">
      <c r="A28" s="1303"/>
      <c r="B28" s="1337"/>
      <c r="H28" s="1333">
        <f>'Major Assumption Key'!A43</f>
        <v>2044</v>
      </c>
      <c r="I28" s="1330">
        <f t="shared" si="3"/>
        <v>0</v>
      </c>
      <c r="J28" s="1330">
        <f t="shared" si="4"/>
        <v>0</v>
      </c>
      <c r="K28" s="1329">
        <f t="shared" si="5"/>
        <v>0</v>
      </c>
      <c r="L28" s="1330">
        <f t="shared" si="6"/>
        <v>0</v>
      </c>
      <c r="M28" s="1330">
        <f t="shared" si="7"/>
        <v>0</v>
      </c>
      <c r="N28" s="1329">
        <f t="shared" si="8"/>
        <v>0</v>
      </c>
      <c r="O28" s="1330">
        <f t="shared" si="9"/>
        <v>0</v>
      </c>
      <c r="P28" s="1330">
        <f t="shared" si="10"/>
        <v>0</v>
      </c>
      <c r="Q28" s="1329">
        <f t="shared" si="11"/>
        <v>0</v>
      </c>
      <c r="U28" s="1328">
        <f t="shared" si="15"/>
        <v>0</v>
      </c>
      <c r="V28" s="1330">
        <f t="shared" si="16"/>
        <v>0</v>
      </c>
      <c r="W28" s="1329">
        <f t="shared" si="17"/>
        <v>0</v>
      </c>
    </row>
    <row r="29" spans="1:23">
      <c r="A29" s="1303"/>
      <c r="B29" s="1337"/>
      <c r="H29" s="1333">
        <f>'Major Assumption Key'!A44</f>
        <v>2045</v>
      </c>
      <c r="I29" s="1330">
        <f t="shared" si="3"/>
        <v>0</v>
      </c>
      <c r="J29" s="1330">
        <f t="shared" si="4"/>
        <v>0</v>
      </c>
      <c r="K29" s="1329">
        <f t="shared" si="5"/>
        <v>0</v>
      </c>
      <c r="L29" s="1330">
        <f t="shared" si="6"/>
        <v>0</v>
      </c>
      <c r="M29" s="1330">
        <f t="shared" si="7"/>
        <v>0</v>
      </c>
      <c r="N29" s="1329">
        <f t="shared" si="8"/>
        <v>0</v>
      </c>
      <c r="O29" s="1330">
        <f t="shared" si="9"/>
        <v>0</v>
      </c>
      <c r="P29" s="1330">
        <f t="shared" si="10"/>
        <v>0</v>
      </c>
      <c r="Q29" s="1329">
        <f t="shared" si="11"/>
        <v>0</v>
      </c>
      <c r="U29" s="1328">
        <f t="shared" si="15"/>
        <v>0</v>
      </c>
      <c r="V29" s="1330">
        <f t="shared" si="16"/>
        <v>0</v>
      </c>
      <c r="W29" s="1329">
        <f t="shared" si="17"/>
        <v>0</v>
      </c>
    </row>
    <row r="30" spans="1:23">
      <c r="A30" s="1303"/>
      <c r="B30" s="1337"/>
      <c r="H30" s="1333">
        <f>'Major Assumption Key'!A45</f>
        <v>2046</v>
      </c>
      <c r="I30" s="1330">
        <f t="shared" si="3"/>
        <v>0</v>
      </c>
      <c r="J30" s="1330">
        <f t="shared" si="4"/>
        <v>0</v>
      </c>
      <c r="K30" s="1329">
        <f t="shared" si="5"/>
        <v>0</v>
      </c>
      <c r="L30" s="1330">
        <f t="shared" si="6"/>
        <v>0</v>
      </c>
      <c r="M30" s="1330">
        <f t="shared" si="7"/>
        <v>0</v>
      </c>
      <c r="N30" s="1329">
        <f t="shared" si="8"/>
        <v>0</v>
      </c>
      <c r="O30" s="1330">
        <f t="shared" si="9"/>
        <v>0</v>
      </c>
      <c r="P30" s="1330">
        <f t="shared" si="10"/>
        <v>0</v>
      </c>
      <c r="Q30" s="1329">
        <f t="shared" si="11"/>
        <v>0</v>
      </c>
      <c r="U30" s="1328">
        <f t="shared" si="15"/>
        <v>0</v>
      </c>
      <c r="V30" s="1330">
        <f t="shared" si="16"/>
        <v>0</v>
      </c>
      <c r="W30" s="1329">
        <f t="shared" si="17"/>
        <v>0</v>
      </c>
    </row>
    <row r="31" spans="1:23">
      <c r="A31" s="1303"/>
      <c r="B31" s="1337"/>
      <c r="H31" s="1333">
        <f>'Major Assumption Key'!A46</f>
        <v>2047</v>
      </c>
      <c r="I31" s="1330">
        <f t="shared" si="3"/>
        <v>0</v>
      </c>
      <c r="J31" s="1330">
        <f t="shared" si="4"/>
        <v>0</v>
      </c>
      <c r="K31" s="1329">
        <f t="shared" si="5"/>
        <v>0</v>
      </c>
      <c r="L31" s="1330">
        <f t="shared" si="6"/>
        <v>0</v>
      </c>
      <c r="M31" s="1330">
        <f t="shared" si="7"/>
        <v>0</v>
      </c>
      <c r="N31" s="1329">
        <f t="shared" si="8"/>
        <v>0</v>
      </c>
      <c r="O31" s="1330">
        <f t="shared" si="9"/>
        <v>0</v>
      </c>
      <c r="P31" s="1330">
        <f t="shared" si="10"/>
        <v>0</v>
      </c>
      <c r="Q31" s="1329">
        <f t="shared" si="11"/>
        <v>0</v>
      </c>
      <c r="U31" s="1328">
        <f t="shared" si="15"/>
        <v>0</v>
      </c>
      <c r="V31" s="1330">
        <f t="shared" si="16"/>
        <v>0</v>
      </c>
      <c r="W31" s="1329">
        <f t="shared" si="17"/>
        <v>0</v>
      </c>
    </row>
    <row r="32" spans="1:23">
      <c r="A32" s="1303"/>
      <c r="B32" s="1337"/>
      <c r="H32" s="1333">
        <f>'Major Assumption Key'!A47</f>
        <v>2048</v>
      </c>
      <c r="I32" s="1330">
        <f t="shared" si="3"/>
        <v>0</v>
      </c>
      <c r="J32" s="1330">
        <f t="shared" si="4"/>
        <v>0</v>
      </c>
      <c r="K32" s="1329">
        <f t="shared" si="5"/>
        <v>0</v>
      </c>
      <c r="L32" s="1330">
        <f t="shared" si="6"/>
        <v>0</v>
      </c>
      <c r="M32" s="1330">
        <f t="shared" si="7"/>
        <v>0</v>
      </c>
      <c r="N32" s="1329">
        <f t="shared" si="8"/>
        <v>0</v>
      </c>
      <c r="O32" s="1330">
        <f t="shared" si="9"/>
        <v>0</v>
      </c>
      <c r="P32" s="1330">
        <f t="shared" si="10"/>
        <v>0</v>
      </c>
      <c r="Q32" s="1329">
        <f t="shared" si="11"/>
        <v>0</v>
      </c>
      <c r="U32" s="1328">
        <f t="shared" si="15"/>
        <v>0</v>
      </c>
      <c r="V32" s="1330">
        <f t="shared" si="16"/>
        <v>0</v>
      </c>
      <c r="W32" s="1329">
        <f t="shared" si="17"/>
        <v>0</v>
      </c>
    </row>
    <row r="33" spans="1:23">
      <c r="A33" s="1303"/>
      <c r="B33" s="1337"/>
      <c r="H33" s="1333">
        <f>'Major Assumption Key'!A48</f>
        <v>2049</v>
      </c>
      <c r="I33" s="1330">
        <f t="shared" si="3"/>
        <v>0</v>
      </c>
      <c r="J33" s="1330">
        <f t="shared" si="4"/>
        <v>0</v>
      </c>
      <c r="K33" s="1329">
        <f t="shared" si="5"/>
        <v>0</v>
      </c>
      <c r="L33" s="1330">
        <f t="shared" si="6"/>
        <v>0</v>
      </c>
      <c r="M33" s="1330">
        <f t="shared" si="7"/>
        <v>0</v>
      </c>
      <c r="N33" s="1329">
        <f t="shared" si="8"/>
        <v>0</v>
      </c>
      <c r="O33" s="1330">
        <f t="shared" si="9"/>
        <v>0</v>
      </c>
      <c r="P33" s="1330">
        <f t="shared" si="10"/>
        <v>0</v>
      </c>
      <c r="Q33" s="1329">
        <f t="shared" si="11"/>
        <v>0</v>
      </c>
      <c r="U33" s="1328">
        <f t="shared" si="15"/>
        <v>0</v>
      </c>
      <c r="V33" s="1330">
        <f t="shared" si="16"/>
        <v>0</v>
      </c>
      <c r="W33" s="1329">
        <f t="shared" si="17"/>
        <v>0</v>
      </c>
    </row>
    <row r="34" spans="1:23">
      <c r="A34" s="1303"/>
      <c r="B34" s="1337"/>
      <c r="H34" s="1333">
        <f>'Major Assumption Key'!A49</f>
        <v>2050</v>
      </c>
      <c r="I34" s="1330">
        <f t="shared" si="3"/>
        <v>0</v>
      </c>
      <c r="J34" s="1330">
        <f t="shared" si="4"/>
        <v>0</v>
      </c>
      <c r="K34" s="1329">
        <f t="shared" si="5"/>
        <v>0</v>
      </c>
      <c r="L34" s="1330">
        <f t="shared" si="6"/>
        <v>0</v>
      </c>
      <c r="M34" s="1330">
        <f t="shared" si="7"/>
        <v>0</v>
      </c>
      <c r="N34" s="1329">
        <f t="shared" si="8"/>
        <v>0</v>
      </c>
      <c r="O34" s="1330">
        <f t="shared" si="9"/>
        <v>0</v>
      </c>
      <c r="P34" s="1330">
        <f t="shared" si="10"/>
        <v>0</v>
      </c>
      <c r="Q34" s="1329">
        <f t="shared" si="11"/>
        <v>0</v>
      </c>
      <c r="U34" s="1328">
        <f t="shared" si="15"/>
        <v>0</v>
      </c>
      <c r="V34" s="1330">
        <f t="shared" si="16"/>
        <v>0</v>
      </c>
      <c r="W34" s="1329">
        <f t="shared" si="17"/>
        <v>0</v>
      </c>
    </row>
    <row r="35" spans="1:23">
      <c r="A35" s="1303"/>
      <c r="B35" s="1337"/>
      <c r="H35" s="1333">
        <f>'Major Assumption Key'!A50</f>
        <v>2051</v>
      </c>
      <c r="I35" s="1330">
        <f t="shared" si="3"/>
        <v>0</v>
      </c>
      <c r="J35" s="1330">
        <f t="shared" si="4"/>
        <v>0</v>
      </c>
      <c r="K35" s="1329">
        <f t="shared" si="5"/>
        <v>0</v>
      </c>
      <c r="L35" s="1330">
        <f t="shared" si="6"/>
        <v>0</v>
      </c>
      <c r="M35" s="1330">
        <f t="shared" si="7"/>
        <v>0</v>
      </c>
      <c r="N35" s="1329">
        <f t="shared" si="8"/>
        <v>0</v>
      </c>
      <c r="O35" s="1330">
        <f t="shared" si="9"/>
        <v>0</v>
      </c>
      <c r="P35" s="1330">
        <f t="shared" si="10"/>
        <v>0</v>
      </c>
      <c r="Q35" s="1329">
        <f t="shared" si="11"/>
        <v>0</v>
      </c>
      <c r="U35" s="1328">
        <f t="shared" si="15"/>
        <v>0</v>
      </c>
      <c r="V35" s="1330">
        <f t="shared" si="16"/>
        <v>0</v>
      </c>
      <c r="W35" s="1329">
        <f t="shared" si="17"/>
        <v>0</v>
      </c>
    </row>
    <row r="36" spans="1:23">
      <c r="A36" s="1303"/>
      <c r="B36" s="1337"/>
      <c r="H36" s="1333">
        <f>'Major Assumption Key'!A51</f>
        <v>2052</v>
      </c>
      <c r="I36" s="1330">
        <f t="shared" si="3"/>
        <v>0</v>
      </c>
      <c r="J36" s="1330">
        <f t="shared" si="4"/>
        <v>0</v>
      </c>
      <c r="K36" s="1329">
        <f t="shared" si="5"/>
        <v>0</v>
      </c>
      <c r="L36" s="1330">
        <f t="shared" si="6"/>
        <v>0</v>
      </c>
      <c r="M36" s="1330">
        <f t="shared" si="7"/>
        <v>0</v>
      </c>
      <c r="N36" s="1329">
        <f t="shared" si="8"/>
        <v>0</v>
      </c>
      <c r="O36" s="1330">
        <f t="shared" si="9"/>
        <v>0</v>
      </c>
      <c r="P36" s="1330">
        <f t="shared" si="10"/>
        <v>0</v>
      </c>
      <c r="Q36" s="1329">
        <f t="shared" si="11"/>
        <v>0</v>
      </c>
      <c r="U36" s="1328">
        <f t="shared" si="15"/>
        <v>0</v>
      </c>
      <c r="V36" s="1330">
        <f t="shared" si="16"/>
        <v>0</v>
      </c>
      <c r="W36" s="1329">
        <f t="shared" si="17"/>
        <v>0</v>
      </c>
    </row>
    <row r="37" spans="1:23">
      <c r="A37" s="1303"/>
      <c r="B37" s="1337"/>
      <c r="H37" s="1333">
        <f>'Major Assumption Key'!A52</f>
        <v>2053</v>
      </c>
      <c r="I37" s="1330">
        <f t="shared" si="3"/>
        <v>0</v>
      </c>
      <c r="J37" s="1330">
        <f t="shared" si="4"/>
        <v>0</v>
      </c>
      <c r="K37" s="1329">
        <f t="shared" si="5"/>
        <v>0</v>
      </c>
      <c r="L37" s="1330">
        <f t="shared" si="6"/>
        <v>0</v>
      </c>
      <c r="M37" s="1330">
        <f t="shared" si="7"/>
        <v>0</v>
      </c>
      <c r="N37" s="1329">
        <f t="shared" si="8"/>
        <v>0</v>
      </c>
      <c r="O37" s="1330">
        <f t="shared" si="9"/>
        <v>0</v>
      </c>
      <c r="P37" s="1330">
        <f t="shared" si="10"/>
        <v>0</v>
      </c>
      <c r="Q37" s="1329">
        <f t="shared" si="11"/>
        <v>0</v>
      </c>
      <c r="U37" s="1328">
        <f t="shared" si="15"/>
        <v>0</v>
      </c>
      <c r="V37" s="1330">
        <f t="shared" si="16"/>
        <v>0</v>
      </c>
      <c r="W37" s="1329">
        <f t="shared" si="17"/>
        <v>0</v>
      </c>
    </row>
    <row r="38" spans="1:23">
      <c r="A38" s="1303"/>
      <c r="B38" s="1337"/>
      <c r="H38" s="1333">
        <f>'Major Assumption Key'!A53</f>
        <v>2054</v>
      </c>
      <c r="I38" s="1330">
        <f t="shared" si="3"/>
        <v>0</v>
      </c>
      <c r="J38" s="1330">
        <f t="shared" si="4"/>
        <v>0</v>
      </c>
      <c r="K38" s="1329">
        <f t="shared" si="5"/>
        <v>0</v>
      </c>
      <c r="L38" s="1330">
        <f t="shared" si="6"/>
        <v>0</v>
      </c>
      <c r="M38" s="1330">
        <f t="shared" si="7"/>
        <v>0</v>
      </c>
      <c r="N38" s="1329">
        <f t="shared" si="8"/>
        <v>0</v>
      </c>
      <c r="O38" s="1330">
        <f t="shared" si="9"/>
        <v>0</v>
      </c>
      <c r="P38" s="1330">
        <f t="shared" si="10"/>
        <v>0</v>
      </c>
      <c r="Q38" s="1329">
        <f t="shared" si="11"/>
        <v>0</v>
      </c>
      <c r="U38" s="1328">
        <f t="shared" si="15"/>
        <v>0</v>
      </c>
      <c r="V38" s="1330">
        <f t="shared" si="16"/>
        <v>0</v>
      </c>
      <c r="W38" s="1329">
        <f t="shared" si="17"/>
        <v>0</v>
      </c>
    </row>
    <row r="39" spans="1:23">
      <c r="A39" s="1303"/>
      <c r="B39" s="1337"/>
      <c r="H39" s="1333">
        <f>'Major Assumption Key'!A54</f>
        <v>2055</v>
      </c>
      <c r="I39" s="1330">
        <f t="shared" si="3"/>
        <v>0</v>
      </c>
      <c r="J39" s="1330">
        <f t="shared" si="4"/>
        <v>0</v>
      </c>
      <c r="K39" s="1329">
        <f t="shared" si="5"/>
        <v>0</v>
      </c>
      <c r="L39" s="1330">
        <f t="shared" si="6"/>
        <v>0</v>
      </c>
      <c r="M39" s="1330">
        <f t="shared" si="7"/>
        <v>0</v>
      </c>
      <c r="N39" s="1329">
        <f t="shared" si="8"/>
        <v>0</v>
      </c>
      <c r="O39" s="1330">
        <f t="shared" si="9"/>
        <v>0</v>
      </c>
      <c r="P39" s="1330">
        <f t="shared" si="10"/>
        <v>0</v>
      </c>
      <c r="Q39" s="1329">
        <f t="shared" si="11"/>
        <v>0</v>
      </c>
      <c r="U39" s="1328">
        <f t="shared" si="15"/>
        <v>0</v>
      </c>
      <c r="V39" s="1330">
        <f t="shared" si="16"/>
        <v>0</v>
      </c>
      <c r="W39" s="1329">
        <f t="shared" si="17"/>
        <v>0</v>
      </c>
    </row>
    <row r="40" spans="1:23">
      <c r="A40" s="1303"/>
      <c r="B40" s="1337"/>
      <c r="H40" s="1333">
        <f>'Major Assumption Key'!A55</f>
        <v>2056</v>
      </c>
      <c r="I40" s="1330">
        <f t="shared" si="3"/>
        <v>0</v>
      </c>
      <c r="J40" s="1330">
        <f t="shared" si="4"/>
        <v>0</v>
      </c>
      <c r="K40" s="1329">
        <f t="shared" si="5"/>
        <v>0</v>
      </c>
      <c r="L40" s="1330">
        <f t="shared" si="6"/>
        <v>0</v>
      </c>
      <c r="M40" s="1330">
        <f t="shared" si="7"/>
        <v>0</v>
      </c>
      <c r="N40" s="1329">
        <f t="shared" si="8"/>
        <v>0</v>
      </c>
      <c r="O40" s="1330">
        <f t="shared" si="9"/>
        <v>0</v>
      </c>
      <c r="P40" s="1330">
        <f t="shared" si="10"/>
        <v>0</v>
      </c>
      <c r="Q40" s="1329">
        <f t="shared" si="11"/>
        <v>0</v>
      </c>
      <c r="U40" s="1328">
        <f t="shared" si="15"/>
        <v>0</v>
      </c>
      <c r="V40" s="1330">
        <f t="shared" si="16"/>
        <v>0</v>
      </c>
      <c r="W40" s="1329">
        <f t="shared" si="17"/>
        <v>0</v>
      </c>
    </row>
    <row r="41" spans="1:23">
      <c r="A41" s="1303"/>
      <c r="B41" s="1337"/>
      <c r="H41" s="1333">
        <f>'Major Assumption Key'!A56</f>
        <v>2057</v>
      </c>
      <c r="I41" s="1330">
        <f t="shared" si="3"/>
        <v>0</v>
      </c>
      <c r="J41" s="1330">
        <f t="shared" si="4"/>
        <v>0</v>
      </c>
      <c r="K41" s="1329">
        <f t="shared" si="5"/>
        <v>0</v>
      </c>
      <c r="L41" s="1330">
        <f t="shared" si="6"/>
        <v>0</v>
      </c>
      <c r="M41" s="1330">
        <f t="shared" si="7"/>
        <v>0</v>
      </c>
      <c r="N41" s="1329">
        <f t="shared" si="8"/>
        <v>0</v>
      </c>
      <c r="O41" s="1330">
        <f t="shared" si="9"/>
        <v>0</v>
      </c>
      <c r="P41" s="1330">
        <f t="shared" si="10"/>
        <v>0</v>
      </c>
      <c r="Q41" s="1329">
        <f t="shared" si="11"/>
        <v>0</v>
      </c>
      <c r="U41" s="1328">
        <f t="shared" si="15"/>
        <v>0</v>
      </c>
      <c r="V41" s="1330">
        <f t="shared" si="16"/>
        <v>0</v>
      </c>
      <c r="W41" s="1329">
        <f t="shared" si="17"/>
        <v>0</v>
      </c>
    </row>
    <row r="42" spans="1:23">
      <c r="A42" s="1303"/>
      <c r="B42" s="1337"/>
      <c r="H42" s="1333">
        <f>'Major Assumption Key'!A57</f>
        <v>2058</v>
      </c>
      <c r="I42" s="1330">
        <f t="shared" si="3"/>
        <v>0</v>
      </c>
      <c r="J42" s="1330">
        <f t="shared" si="4"/>
        <v>0</v>
      </c>
      <c r="K42" s="1329">
        <f t="shared" si="5"/>
        <v>0</v>
      </c>
      <c r="L42" s="1330">
        <f t="shared" si="6"/>
        <v>0</v>
      </c>
      <c r="M42" s="1330">
        <f t="shared" si="7"/>
        <v>0</v>
      </c>
      <c r="N42" s="1329">
        <f t="shared" si="8"/>
        <v>0</v>
      </c>
      <c r="O42" s="1330">
        <f t="shared" si="9"/>
        <v>0</v>
      </c>
      <c r="P42" s="1330">
        <f t="shared" si="10"/>
        <v>0</v>
      </c>
      <c r="Q42" s="1329">
        <f t="shared" si="11"/>
        <v>0</v>
      </c>
      <c r="U42" s="1328">
        <f t="shared" si="15"/>
        <v>0</v>
      </c>
      <c r="V42" s="1330">
        <f t="shared" si="16"/>
        <v>0</v>
      </c>
      <c r="W42" s="1329">
        <f t="shared" si="17"/>
        <v>0</v>
      </c>
    </row>
    <row r="43" spans="1:23">
      <c r="A43" s="1303"/>
      <c r="B43" s="1337"/>
      <c r="H43" s="1333">
        <f>'Major Assumption Key'!A58</f>
        <v>2059</v>
      </c>
      <c r="I43" s="1330">
        <f t="shared" si="3"/>
        <v>0</v>
      </c>
      <c r="J43" s="1330">
        <f t="shared" si="4"/>
        <v>0</v>
      </c>
      <c r="K43" s="1329">
        <f t="shared" si="5"/>
        <v>0</v>
      </c>
      <c r="L43" s="1330">
        <f t="shared" si="6"/>
        <v>0</v>
      </c>
      <c r="M43" s="1330">
        <f t="shared" si="7"/>
        <v>0</v>
      </c>
      <c r="N43" s="1329">
        <f t="shared" si="8"/>
        <v>0</v>
      </c>
      <c r="O43" s="1330">
        <f t="shared" si="9"/>
        <v>0</v>
      </c>
      <c r="P43" s="1330">
        <f t="shared" si="10"/>
        <v>0</v>
      </c>
      <c r="Q43" s="1329">
        <f t="shared" si="11"/>
        <v>0</v>
      </c>
      <c r="U43" s="1328">
        <f t="shared" si="15"/>
        <v>0</v>
      </c>
      <c r="V43" s="1330">
        <f t="shared" si="16"/>
        <v>0</v>
      </c>
      <c r="W43" s="1329">
        <f t="shared" si="17"/>
        <v>0</v>
      </c>
    </row>
    <row r="44" spans="1:23" ht="15" thickBot="1">
      <c r="A44" s="1303"/>
      <c r="B44" s="1337"/>
      <c r="H44" s="1333">
        <f>'Major Assumption Key'!A59</f>
        <v>2060</v>
      </c>
      <c r="I44" s="1330">
        <f t="shared" si="3"/>
        <v>0</v>
      </c>
      <c r="J44" s="1330">
        <f t="shared" si="4"/>
        <v>0</v>
      </c>
      <c r="K44" s="1329">
        <f t="shared" si="5"/>
        <v>0</v>
      </c>
      <c r="L44" s="1330">
        <f t="shared" si="6"/>
        <v>0</v>
      </c>
      <c r="M44" s="1330">
        <f t="shared" si="7"/>
        <v>0</v>
      </c>
      <c r="N44" s="1329">
        <f t="shared" si="8"/>
        <v>0</v>
      </c>
      <c r="O44" s="1330">
        <f t="shared" si="9"/>
        <v>0</v>
      </c>
      <c r="P44" s="1330">
        <f t="shared" si="10"/>
        <v>0</v>
      </c>
      <c r="Q44" s="1329">
        <f t="shared" si="11"/>
        <v>0</v>
      </c>
      <c r="U44" s="1328">
        <f t="shared" si="15"/>
        <v>0</v>
      </c>
      <c r="V44" s="1330">
        <f t="shared" si="16"/>
        <v>0</v>
      </c>
      <c r="W44" s="1329">
        <f t="shared" si="17"/>
        <v>0</v>
      </c>
    </row>
    <row r="45" spans="1:23" ht="15" thickBot="1">
      <c r="A45" s="1303"/>
      <c r="B45" s="1337"/>
      <c r="H45" s="1728" t="s">
        <v>442</v>
      </c>
      <c r="I45" s="1729">
        <f t="shared" ref="I45:Q45" si="18">SUM(I4:I44)</f>
        <v>100000</v>
      </c>
      <c r="J45" s="1730">
        <f t="shared" si="18"/>
        <v>100000</v>
      </c>
      <c r="K45" s="1731">
        <f t="shared" si="18"/>
        <v>100000</v>
      </c>
      <c r="L45" s="1729">
        <f t="shared" si="18"/>
        <v>2990369.2423421857</v>
      </c>
      <c r="M45" s="1730">
        <f t="shared" si="18"/>
        <v>2753460.75</v>
      </c>
      <c r="N45" s="1731">
        <f t="shared" si="18"/>
        <v>2512481.6250091572</v>
      </c>
      <c r="O45" s="1729">
        <f t="shared" si="18"/>
        <v>20777706.763641633</v>
      </c>
      <c r="P45" s="1730">
        <f t="shared" si="18"/>
        <v>18356405</v>
      </c>
      <c r="Q45" s="1731">
        <f t="shared" si="18"/>
        <v>16001998.757538605</v>
      </c>
      <c r="U45" s="1729">
        <f>SUM(U4:U44)</f>
        <v>23868076.005983818</v>
      </c>
      <c r="V45" s="1730">
        <f>SUM(V4:V44)</f>
        <v>21209865.75</v>
      </c>
      <c r="W45" s="1731">
        <f>SUM(W4:W44)</f>
        <v>18614480.382547762</v>
      </c>
    </row>
    <row r="46" spans="1:23" ht="15" thickBot="1">
      <c r="A46" s="1303"/>
      <c r="B46" s="1337"/>
      <c r="H46" s="1732" t="s">
        <v>443</v>
      </c>
      <c r="I46" s="1733">
        <f t="shared" ref="I46:Q46" si="19">ROUND(I45,-3)</f>
        <v>100000</v>
      </c>
      <c r="J46" s="1734">
        <f t="shared" si="19"/>
        <v>100000</v>
      </c>
      <c r="K46" s="1735">
        <f t="shared" si="19"/>
        <v>100000</v>
      </c>
      <c r="L46" s="1733">
        <f t="shared" si="19"/>
        <v>2990000</v>
      </c>
      <c r="M46" s="1734">
        <f t="shared" si="19"/>
        <v>2753000</v>
      </c>
      <c r="N46" s="1735">
        <f t="shared" si="19"/>
        <v>2512000</v>
      </c>
      <c r="O46" s="1733">
        <f t="shared" si="19"/>
        <v>20778000</v>
      </c>
      <c r="P46" s="1734">
        <f t="shared" si="19"/>
        <v>18356000</v>
      </c>
      <c r="Q46" s="1735">
        <f t="shared" si="19"/>
        <v>16002000</v>
      </c>
      <c r="U46" s="1733">
        <f>ROUND(U45,-3)</f>
        <v>23868000</v>
      </c>
      <c r="V46" s="1734">
        <f>ROUND(V45,-3)</f>
        <v>21210000</v>
      </c>
      <c r="W46" s="1735">
        <f>ROUND(W45,-3)</f>
        <v>18614000</v>
      </c>
    </row>
    <row r="47" spans="1:23">
      <c r="A47" s="1303"/>
      <c r="B47" s="1337"/>
      <c r="K47" s="1195"/>
      <c r="L47" s="1195"/>
      <c r="M47" s="1195"/>
    </row>
    <row r="48" spans="1:23">
      <c r="A48" s="1303"/>
      <c r="B48" s="1337"/>
      <c r="K48" s="1195"/>
      <c r="L48" s="1195"/>
      <c r="M48" s="1195"/>
    </row>
    <row r="49" spans="1:13" ht="16.95" customHeight="1">
      <c r="A49" s="1303"/>
      <c r="B49" s="1337"/>
      <c r="K49" s="1195"/>
      <c r="L49" s="1736"/>
      <c r="M49" s="1195"/>
    </row>
    <row r="50" spans="1:13" ht="16.95" customHeight="1">
      <c r="A50" s="1303"/>
      <c r="B50" s="1337"/>
      <c r="K50" s="1195"/>
      <c r="L50" s="1736"/>
      <c r="M50" s="1195"/>
    </row>
    <row r="51" spans="1:13" ht="16.95" customHeight="1">
      <c r="A51" s="1303"/>
      <c r="B51" s="1337"/>
      <c r="K51" s="1195"/>
      <c r="L51" s="1195"/>
      <c r="M51" s="1195"/>
    </row>
    <row r="52" spans="1:13">
      <c r="A52" s="1303"/>
      <c r="B52" s="1337"/>
      <c r="K52" s="1195"/>
      <c r="L52" s="1195"/>
      <c r="M52" s="1195"/>
    </row>
    <row r="53" spans="1:13">
      <c r="A53" s="1303"/>
      <c r="B53" s="1337"/>
      <c r="K53" s="1195"/>
      <c r="L53" s="1195"/>
      <c r="M53" s="1195"/>
    </row>
    <row r="54" spans="1:13">
      <c r="A54" s="1303"/>
      <c r="B54" s="1337"/>
      <c r="K54" s="1195"/>
      <c r="L54" s="1195"/>
      <c r="M54" s="1195"/>
    </row>
    <row r="55" spans="1:13">
      <c r="A55" s="1303"/>
      <c r="B55" s="1337"/>
      <c r="K55" s="1195"/>
      <c r="L55" s="1195"/>
      <c r="M55" s="1195"/>
    </row>
    <row r="56" spans="1:13">
      <c r="A56" s="1303"/>
      <c r="B56" s="1337"/>
      <c r="K56" s="1195"/>
      <c r="L56" s="1195"/>
      <c r="M56" s="1195"/>
    </row>
    <row r="57" spans="1:13">
      <c r="A57" s="1303"/>
      <c r="B57" s="1337"/>
      <c r="K57" s="1195"/>
      <c r="L57" s="1195"/>
      <c r="M57" s="1195"/>
    </row>
    <row r="58" spans="1:13">
      <c r="A58" s="1303"/>
      <c r="B58" s="1337"/>
    </row>
    <row r="59" spans="1:13">
      <c r="A59" s="1303"/>
      <c r="B59" s="1337"/>
    </row>
    <row r="60" spans="1:13">
      <c r="A60" s="1303"/>
      <c r="B60" s="1337"/>
    </row>
    <row r="61" spans="1:13">
      <c r="A61" s="1303"/>
      <c r="B61" s="1337"/>
    </row>
    <row r="62" spans="1:13">
      <c r="A62" s="1303"/>
      <c r="B62" s="1337"/>
    </row>
    <row r="63" spans="1:13">
      <c r="A63" s="1303"/>
      <c r="B63" s="1337"/>
    </row>
    <row r="64" spans="1:13">
      <c r="A64" s="1303"/>
      <c r="B64" s="1337"/>
    </row>
    <row r="65" spans="1:2">
      <c r="A65" s="1303"/>
      <c r="B65" s="1737"/>
    </row>
    <row r="66" spans="1:2">
      <c r="A66" s="1319"/>
      <c r="B66" s="1319"/>
    </row>
    <row r="67" spans="1:2">
      <c r="A67" s="1319"/>
    </row>
    <row r="68" spans="1:2">
      <c r="A68" s="1319"/>
      <c r="B68" s="1319"/>
    </row>
    <row r="69" spans="1:2">
      <c r="A69" s="1319"/>
    </row>
    <row r="70" spans="1:2">
      <c r="A70" s="1319"/>
      <c r="B70" s="1319"/>
    </row>
    <row r="71" spans="1:2">
      <c r="A71" s="1319"/>
    </row>
    <row r="72" spans="1:2">
      <c r="A72" s="1319"/>
      <c r="B72" s="1319"/>
    </row>
    <row r="73" spans="1:2">
      <c r="A73" s="1319"/>
      <c r="B73" s="1319"/>
    </row>
    <row r="74" spans="1:2">
      <c r="A74" s="1319"/>
      <c r="B74" s="1319"/>
    </row>
    <row r="75" spans="1:2">
      <c r="A75" s="1319"/>
    </row>
    <row r="76" spans="1:2">
      <c r="A76" s="1319"/>
      <c r="B76" s="1319"/>
    </row>
    <row r="77" spans="1:2">
      <c r="A77" s="1319"/>
    </row>
    <row r="78" spans="1:2">
      <c r="A78" s="1319"/>
      <c r="B78" s="1319"/>
    </row>
    <row r="79" spans="1:2">
      <c r="A79" s="1319"/>
    </row>
    <row r="80" spans="1:2">
      <c r="A80" s="1319"/>
      <c r="B80" s="1319"/>
    </row>
    <row r="81" spans="1:2">
      <c r="A81" s="1319"/>
    </row>
    <row r="82" spans="1:2">
      <c r="A82" s="1319"/>
      <c r="B82" s="1319"/>
    </row>
    <row r="83" spans="1:2">
      <c r="A83" s="1319"/>
    </row>
    <row r="84" spans="1:2">
      <c r="A84" s="1319"/>
      <c r="B84" s="1319"/>
    </row>
    <row r="85" spans="1:2">
      <c r="A85" s="1319"/>
      <c r="B85" s="1319"/>
    </row>
  </sheetData>
  <sheetProtection algorithmName="SHA-512" hashValue="AZ6NrRpNlLV0yMGVzLyhGfzdzkd/XQwttthukLwRrT+UtYEOlJf7yI12WxZpxR84z/FJeBf7DFHgKMCKVt72bw==" saltValue="CQZKquwr9zxJjVkmOG+Fpg==" spinCount="100000" sheet="1" objects="1" scenarios="1"/>
  <mergeCells count="5">
    <mergeCell ref="A9:D9"/>
    <mergeCell ref="A10:B10"/>
    <mergeCell ref="A11:B11"/>
    <mergeCell ref="A12:B12"/>
    <mergeCell ref="D15:E15"/>
  </mergeCells>
  <phoneticPr fontId="20" type="noConversion"/>
  <printOptions gridLines="1"/>
  <pageMargins left="0.75" right="0.75" top="3.12" bottom="1" header="2.14" footer="0.5"/>
  <pageSetup scale="27"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77734375" defaultRowHeight="14.4"/>
  <cols>
    <col min="1" max="1" width="27.21875" style="243" customWidth="1"/>
    <col min="2" max="2" width="75.77734375" style="241" bestFit="1" customWidth="1"/>
    <col min="3" max="3" width="24.21875" style="241" customWidth="1"/>
    <col min="4" max="4" width="30.21875" style="241" bestFit="1" customWidth="1"/>
    <col min="5" max="5" width="31.21875" style="241" bestFit="1" customWidth="1"/>
    <col min="6" max="6" width="38.5546875" style="241" bestFit="1" customWidth="1"/>
    <col min="7" max="7" width="26.21875" style="241" bestFit="1" customWidth="1"/>
    <col min="8" max="8" width="27.21875" style="241" bestFit="1" customWidth="1"/>
    <col min="9" max="9" width="27.77734375" style="241" bestFit="1" customWidth="1"/>
    <col min="10" max="11" width="15.21875" style="241" customWidth="1"/>
    <col min="12" max="12" width="8.77734375" style="243"/>
    <col min="13" max="13" width="60.77734375" style="243" bestFit="1" customWidth="1"/>
    <col min="14" max="14" width="16.44140625" style="243" bestFit="1" customWidth="1"/>
    <col min="15" max="15" width="12.77734375" style="243" customWidth="1"/>
    <col min="16" max="16" width="13.21875" style="243" customWidth="1"/>
    <col min="17" max="17" width="12.21875" style="243" customWidth="1"/>
    <col min="18" max="18" width="9" style="243" bestFit="1" customWidth="1"/>
    <col min="19" max="19" width="12" style="243" customWidth="1"/>
    <col min="20" max="20" width="13.77734375" style="243" customWidth="1"/>
    <col min="21" max="22" width="11" style="243" customWidth="1"/>
    <col min="23" max="23" width="9" style="243" bestFit="1" customWidth="1"/>
    <col min="24" max="16384" width="8.77734375" style="243"/>
  </cols>
  <sheetData>
    <row r="1" spans="1:12" s="241" customFormat="1" ht="25.2" customHeight="1">
      <c r="A1" s="275" t="s">
        <v>546</v>
      </c>
      <c r="B1" s="275" t="s">
        <v>7390</v>
      </c>
      <c r="C1" s="276"/>
      <c r="D1" s="276"/>
      <c r="E1" s="276"/>
      <c r="F1" s="33" t="s">
        <v>187</v>
      </c>
      <c r="G1" s="45" t="str">
        <f>HYPERLINK("#'"&amp;INDEX('Master Key'!$B:$B,MATCH("Master Key",'Master Key'!$B:$B,0),1)&amp;"'!A1","Go To Sheet")</f>
        <v>Go To Sheet</v>
      </c>
      <c r="L1" s="243"/>
    </row>
    <row r="2" spans="1:12" s="241" customFormat="1" ht="11.25" customHeight="1">
      <c r="A2" s="239"/>
      <c r="B2" s="240"/>
      <c r="F2" s="33"/>
      <c r="G2" s="45"/>
      <c r="L2" s="243"/>
    </row>
    <row r="3" spans="1:12" s="241" customFormat="1">
      <c r="A3" s="242"/>
      <c r="L3" s="243"/>
    </row>
    <row r="4" spans="1:12" customFormat="1" ht="13.2">
      <c r="A4" s="245" t="s">
        <v>7354</v>
      </c>
      <c r="B4" s="245"/>
      <c r="F4" s="1"/>
    </row>
    <row r="5" spans="1:12" customFormat="1" ht="13.2">
      <c r="A5" s="369" t="s">
        <v>7361</v>
      </c>
      <c r="B5" s="369" t="str">
        <f>_xlfn.CONCAT("Tax Rate $",'Major Assumption Key'!$B$7)</f>
        <v>Tax Rate $2022</v>
      </c>
      <c r="F5" s="1"/>
    </row>
    <row r="6" spans="1:12" customFormat="1" ht="13.2">
      <c r="A6" s="369" t="s">
        <v>7362</v>
      </c>
      <c r="B6" s="369">
        <v>1.0944</v>
      </c>
    </row>
    <row r="7" spans="1:12" customFormat="1" ht="13.2">
      <c r="A7" s="369" t="s">
        <v>7363</v>
      </c>
      <c r="B7" s="369">
        <v>0.37692999999999999</v>
      </c>
    </row>
    <row r="8" spans="1:12" customFormat="1" ht="13.2">
      <c r="A8" s="369" t="s">
        <v>7364</v>
      </c>
      <c r="B8" s="369">
        <v>3.3489999999999999E-2</v>
      </c>
    </row>
    <row r="9" spans="1:12" customFormat="1" ht="13.2">
      <c r="A9" s="369" t="s">
        <v>7365</v>
      </c>
      <c r="B9" s="369">
        <v>8.7200000000000003E-3</v>
      </c>
    </row>
    <row r="10" spans="1:12" customFormat="1" ht="13.2">
      <c r="A10" s="369" t="s">
        <v>7366</v>
      </c>
      <c r="B10" s="369">
        <v>0.16220999999999999</v>
      </c>
    </row>
    <row r="11" spans="1:12" customFormat="1" ht="13.2">
      <c r="A11" s="369" t="s">
        <v>7367</v>
      </c>
      <c r="B11" s="369">
        <v>4.9899999999999996E-3</v>
      </c>
    </row>
    <row r="12" spans="1:12" customFormat="1" ht="13.2">
      <c r="A12" s="369" t="s">
        <v>7368</v>
      </c>
      <c r="B12" s="369">
        <v>9.9092E-2</v>
      </c>
    </row>
    <row r="13" spans="1:12" customFormat="1" ht="13.2">
      <c r="A13" s="369" t="s">
        <v>7369</v>
      </c>
      <c r="B13" s="369">
        <v>0.55083000000000004</v>
      </c>
    </row>
    <row r="14" spans="1:12" customFormat="1" ht="13.2">
      <c r="A14" s="369" t="s">
        <v>473</v>
      </c>
      <c r="B14" s="370">
        <f>SUM(B6:B13)/100</f>
        <v>2.3306620000000004E-2</v>
      </c>
    </row>
    <row r="15" spans="1:12" customFormat="1" ht="13.2"/>
    <row r="16" spans="1:12" customFormat="1" ht="13.2"/>
    <row r="17" spans="1:11" customFormat="1" ht="13.2">
      <c r="A17" s="110" t="s">
        <v>7370</v>
      </c>
    </row>
    <row r="18" spans="1:11" customFormat="1" ht="13.2">
      <c r="A18" s="248" t="s">
        <v>7391</v>
      </c>
      <c r="B18" s="248" t="s">
        <v>7372</v>
      </c>
      <c r="C18" s="248" t="s">
        <v>7373</v>
      </c>
      <c r="D18" s="255" t="s">
        <v>7374</v>
      </c>
      <c r="E18" s="255" t="s">
        <v>7375</v>
      </c>
      <c r="F18" s="248" t="s">
        <v>7376</v>
      </c>
      <c r="G18" s="248" t="s">
        <v>7377</v>
      </c>
      <c r="H18" s="248" t="s">
        <v>7378</v>
      </c>
    </row>
    <row r="19" spans="1:11" customFormat="1">
      <c r="A19" s="234" t="s">
        <v>7392</v>
      </c>
      <c r="B19" s="234" t="s">
        <v>7393</v>
      </c>
      <c r="C19" s="250">
        <v>0</v>
      </c>
      <c r="D19" s="252">
        <v>0</v>
      </c>
      <c r="E19" s="256"/>
      <c r="F19" s="952">
        <f>'Prop. Tax Inc Bike Lane'!B20</f>
        <v>990.4559999999999</v>
      </c>
      <c r="G19" s="262">
        <f>(F19*C19)+D19</f>
        <v>0</v>
      </c>
      <c r="H19" s="244"/>
    </row>
    <row r="20" spans="1:11" customFormat="1">
      <c r="A20" s="234" t="s">
        <v>7394</v>
      </c>
      <c r="B20" s="234" t="s">
        <v>7395</v>
      </c>
      <c r="C20" s="250">
        <v>0</v>
      </c>
      <c r="D20" s="252">
        <v>0</v>
      </c>
      <c r="E20" s="256"/>
      <c r="F20" s="952">
        <f>'Prop. Tax Inc Bike Lane'!B21</f>
        <v>133.03199999999998</v>
      </c>
      <c r="G20" s="262">
        <f>(F20*C20)+D20</f>
        <v>0</v>
      </c>
      <c r="H20" s="262"/>
    </row>
    <row r="21" spans="1:11" customFormat="1">
      <c r="A21" s="241"/>
      <c r="B21" s="241"/>
      <c r="C21" s="241"/>
      <c r="D21" s="254"/>
      <c r="E21" s="254"/>
      <c r="F21" s="241"/>
      <c r="G21" s="241"/>
    </row>
    <row r="22" spans="1:11">
      <c r="B22" s="243"/>
      <c r="C22" s="243"/>
      <c r="G22" s="243"/>
      <c r="H22" s="243"/>
      <c r="I22" s="243"/>
      <c r="J22" s="243"/>
      <c r="K22" s="243"/>
    </row>
    <row r="23" spans="1:11">
      <c r="B23" s="243"/>
      <c r="C23" s="243"/>
      <c r="G23" s="243"/>
      <c r="H23" s="243"/>
      <c r="I23" s="243"/>
      <c r="J23" s="243"/>
      <c r="K23" s="243"/>
    </row>
    <row r="24" spans="1:11">
      <c r="B24" s="243"/>
      <c r="C24" s="243"/>
      <c r="E24" s="243"/>
      <c r="F24" s="243"/>
      <c r="G24" s="243"/>
      <c r="H24" s="243"/>
      <c r="I24" s="243"/>
      <c r="J24" s="243"/>
      <c r="K24" s="243"/>
    </row>
    <row r="25" spans="1:11">
      <c r="B25" s="243"/>
      <c r="C25" s="243"/>
      <c r="E25" s="243"/>
      <c r="F25" s="243"/>
      <c r="G25" s="243"/>
      <c r="H25" s="243"/>
      <c r="I25" s="243"/>
      <c r="J25" s="243"/>
      <c r="K25" s="243"/>
    </row>
    <row r="26" spans="1:11">
      <c r="B26" s="243"/>
      <c r="C26" s="243"/>
      <c r="E26" s="243"/>
      <c r="F26" s="243"/>
      <c r="G26" s="243"/>
      <c r="H26" s="243"/>
      <c r="I26" s="243"/>
      <c r="J26" s="243"/>
      <c r="K26" s="243"/>
    </row>
    <row r="27" spans="1:11">
      <c r="B27" s="243"/>
      <c r="C27" s="243"/>
      <c r="F27" s="243"/>
      <c r="G27" s="243"/>
      <c r="H27" s="243"/>
      <c r="I27" s="243"/>
      <c r="J27" s="243"/>
      <c r="K27" s="243"/>
    </row>
    <row r="28" spans="1:11">
      <c r="B28" s="243"/>
      <c r="C28" s="243"/>
      <c r="F28" s="243"/>
      <c r="G28" s="243"/>
      <c r="H28" s="243"/>
      <c r="I28" s="243"/>
      <c r="J28" s="243"/>
      <c r="K28" s="243"/>
    </row>
    <row r="29" spans="1:11">
      <c r="B29" s="243"/>
      <c r="C29" s="243"/>
      <c r="F29" s="243"/>
      <c r="G29" s="243"/>
      <c r="H29" s="243"/>
      <c r="I29" s="243"/>
      <c r="J29" s="243"/>
      <c r="K29" s="243"/>
    </row>
    <row r="30" spans="1:11">
      <c r="B30" s="243"/>
      <c r="C30" s="243"/>
      <c r="D30" s="243"/>
      <c r="E30" s="243"/>
      <c r="F30" s="243"/>
      <c r="G30" s="243"/>
      <c r="H30" s="243"/>
      <c r="I30" s="243"/>
    </row>
    <row r="31" spans="1:11">
      <c r="B31" s="243"/>
      <c r="C31" s="243"/>
      <c r="D31" s="243"/>
      <c r="E31" s="243"/>
      <c r="F31" s="243"/>
      <c r="G31" s="243"/>
      <c r="H31" s="243"/>
      <c r="I31" s="243"/>
    </row>
    <row r="32" spans="1:11">
      <c r="B32" s="243"/>
      <c r="C32" s="243"/>
      <c r="D32" s="243"/>
      <c r="E32" s="243"/>
      <c r="F32" s="243"/>
      <c r="G32" s="243"/>
      <c r="H32" s="243"/>
      <c r="I32" s="243"/>
    </row>
    <row r="33" spans="2:9">
      <c r="B33" s="243"/>
      <c r="C33" s="243"/>
      <c r="D33" s="243"/>
      <c r="E33" s="243"/>
      <c r="F33" s="243"/>
      <c r="G33" s="243"/>
      <c r="H33" s="243"/>
      <c r="I33" s="243"/>
    </row>
    <row r="34" spans="2:9">
      <c r="B34" s="243"/>
      <c r="C34" s="243"/>
      <c r="D34" s="243"/>
      <c r="E34" s="243"/>
      <c r="F34" s="243"/>
      <c r="G34" s="243"/>
      <c r="H34" s="243"/>
      <c r="I34" s="243"/>
    </row>
    <row r="35" spans="2:9">
      <c r="B35" s="243"/>
      <c r="C35" s="243"/>
      <c r="D35" s="243"/>
      <c r="E35" s="243"/>
      <c r="F35" s="243"/>
      <c r="G35" s="243"/>
      <c r="H35" s="243"/>
      <c r="I35" s="243"/>
    </row>
    <row r="36" spans="2:9">
      <c r="B36" s="243"/>
      <c r="C36" s="243"/>
      <c r="D36" s="243"/>
      <c r="E36" s="243"/>
      <c r="F36" s="243"/>
      <c r="G36" s="243"/>
      <c r="H36" s="243"/>
      <c r="I36" s="243"/>
    </row>
    <row r="37" spans="2:9">
      <c r="B37" s="243"/>
      <c r="C37" s="243"/>
      <c r="D37" s="243"/>
      <c r="E37" s="243"/>
      <c r="F37" s="243"/>
      <c r="G37" s="243"/>
      <c r="H37" s="243"/>
      <c r="I37" s="243"/>
    </row>
    <row r="38" spans="2:9">
      <c r="B38" s="243"/>
      <c r="C38" s="243"/>
      <c r="D38" s="243"/>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21875" defaultRowHeight="14.4"/>
  <cols>
    <col min="1" max="1" width="47.777343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18"/>
    <col min="16" max="19" width="16.44140625" style="218" customWidth="1"/>
    <col min="20" max="25" width="9.21875" style="218"/>
    <col min="36" max="36" width="9.21875" style="218"/>
    <col min="37" max="37" width="11.21875" style="218" bestFit="1" customWidth="1"/>
    <col min="38" max="16384" width="9.21875" style="218"/>
  </cols>
  <sheetData>
    <row r="1" spans="1:19" ht="25.2" customHeight="1">
      <c r="A1" s="271" t="s">
        <v>185</v>
      </c>
      <c r="B1" s="42" t="s">
        <v>7396</v>
      </c>
      <c r="C1" s="217"/>
      <c r="D1" s="217"/>
      <c r="E1" s="217"/>
      <c r="F1" s="33" t="s">
        <v>187</v>
      </c>
      <c r="G1" s="45" t="str">
        <f>HYPERLINK("#'"&amp;INDEX('Master Key'!$B:$B,MATCH("Master Key",'Master Key'!$B:$B,0),1)&amp;"'!A1","Go To Sheet")</f>
        <v>Go To Sheet</v>
      </c>
    </row>
    <row r="2" spans="1:19" ht="15" thickBot="1">
      <c r="A2" s="218"/>
      <c r="B2" s="218"/>
      <c r="C2" s="218"/>
      <c r="D2" s="218"/>
      <c r="E2" s="218"/>
    </row>
    <row r="3" spans="1:19" ht="39.75" customHeight="1">
      <c r="A3" s="155" t="s">
        <v>482</v>
      </c>
      <c r="B3" s="2054" t="s">
        <v>7397</v>
      </c>
      <c r="C3" s="2128"/>
      <c r="D3" s="2128"/>
      <c r="E3" s="219"/>
      <c r="F3" s="2170" t="s">
        <v>484</v>
      </c>
      <c r="G3" s="2171"/>
      <c r="H3" s="2171"/>
      <c r="I3" s="2171"/>
      <c r="J3" s="2171"/>
      <c r="K3" s="2171"/>
      <c r="L3" s="2171"/>
      <c r="M3" s="2171"/>
      <c r="N3" s="2172"/>
      <c r="P3" s="2168" t="s">
        <v>420</v>
      </c>
      <c r="Q3" s="2169"/>
      <c r="R3" s="2169"/>
      <c r="S3" s="2169"/>
    </row>
    <row r="4" spans="1:19" ht="18">
      <c r="A4" s="131"/>
      <c r="E4" s="219"/>
      <c r="F4" s="220" t="s">
        <v>485</v>
      </c>
      <c r="G4" s="221" t="s">
        <v>66</v>
      </c>
      <c r="H4" s="222" t="s">
        <v>487</v>
      </c>
      <c r="I4" s="223" t="s">
        <v>66</v>
      </c>
      <c r="J4" s="221" t="s">
        <v>67</v>
      </c>
      <c r="K4" s="222" t="s">
        <v>131</v>
      </c>
      <c r="L4" s="224" t="s">
        <v>131</v>
      </c>
      <c r="M4" s="2164" t="s">
        <v>488</v>
      </c>
      <c r="N4" s="2165"/>
      <c r="O4" s="292"/>
      <c r="P4" s="223" t="s">
        <v>66</v>
      </c>
      <c r="Q4" s="224" t="s">
        <v>131</v>
      </c>
      <c r="R4" s="2164" t="s">
        <v>488</v>
      </c>
      <c r="S4" s="2165"/>
    </row>
    <row r="5" spans="1:19" ht="58.2" thickBot="1">
      <c r="A5" s="210" t="s">
        <v>489</v>
      </c>
      <c r="B5" s="2052" t="s">
        <v>7398</v>
      </c>
      <c r="C5" s="2052"/>
      <c r="D5" s="2052"/>
      <c r="E5" s="218"/>
      <c r="F5" s="225" t="s">
        <v>491</v>
      </c>
      <c r="G5" s="226" t="s">
        <v>7347</v>
      </c>
      <c r="H5" s="226" t="s">
        <v>7399</v>
      </c>
      <c r="I5" s="227" t="s">
        <v>15</v>
      </c>
      <c r="J5" s="226" t="s">
        <v>493</v>
      </c>
      <c r="K5" s="226" t="s">
        <v>494</v>
      </c>
      <c r="L5" s="228" t="s">
        <v>15</v>
      </c>
      <c r="M5" s="2166"/>
      <c r="N5" s="2167"/>
      <c r="O5" s="292"/>
      <c r="P5" s="227" t="s">
        <v>15</v>
      </c>
      <c r="Q5" s="228" t="s">
        <v>15</v>
      </c>
      <c r="R5" s="2166"/>
      <c r="S5" s="2167"/>
    </row>
    <row r="6" spans="1:19" ht="70.95" customHeight="1">
      <c r="E6" s="218"/>
      <c r="F6" s="225"/>
      <c r="G6" s="226" t="s">
        <v>7349</v>
      </c>
      <c r="H6" s="226" t="s">
        <v>7350</v>
      </c>
      <c r="I6" s="227" t="s">
        <v>7351</v>
      </c>
      <c r="J6" s="226" t="s">
        <v>7349</v>
      </c>
      <c r="K6" s="229" t="s">
        <v>7352</v>
      </c>
      <c r="L6" s="228" t="s">
        <v>7353</v>
      </c>
      <c r="M6" s="230" t="s">
        <v>419</v>
      </c>
      <c r="N6" s="231" t="str">
        <f>"Discounted @ "&amp;TEXT('Major Assumption Key'!$B$8,"0.0%")</f>
        <v>Discounted @ 3.1%</v>
      </c>
      <c r="O6" s="292"/>
      <c r="P6" s="227" t="s">
        <v>7351</v>
      </c>
      <c r="Q6" s="228" t="s">
        <v>7353</v>
      </c>
      <c r="R6" s="230" t="s">
        <v>419</v>
      </c>
      <c r="S6" s="231" t="str">
        <f>"Discounted @ "&amp;TEXT('Major Assumption Key'!$B$8,"0.0%")</f>
        <v>Discounted @ 3.1%</v>
      </c>
    </row>
    <row r="7" spans="1:19">
      <c r="C7" s="218"/>
      <c r="D7" s="218"/>
      <c r="E7" s="218"/>
      <c r="F7" s="232">
        <f>'Major Assumption Key'!A19</f>
        <v>2020</v>
      </c>
      <c r="G7" s="938">
        <f>SUM('P. Tax Inc Sidewalk &amp; Bike Supp'!$D$19:$E$21)</f>
        <v>0</v>
      </c>
      <c r="H7" s="233">
        <f t="shared" ref="H7" si="0">G7*$B$19</f>
        <v>0</v>
      </c>
      <c r="I7" s="784">
        <f>IF(AND($F7&gt;=MIN('Major Assumption Key'!$B$4),$F7&lt;=MAX('Major Assumption Key'!$B$6)),H7,0)</f>
        <v>0</v>
      </c>
      <c r="J7" s="938">
        <f>SUM('P. Tax Inc Sidewalk &amp; Bike Supp'!$G$19:$H$21)</f>
        <v>0</v>
      </c>
      <c r="K7" s="233">
        <f t="shared" ref="K7" si="1">J7*$B$19</f>
        <v>0</v>
      </c>
      <c r="L7" s="848">
        <f>IF(AND($F7&gt;=MIN('Major Assumption Key'!$B$4),$F7&lt;=MAX('Major Assumption Key'!$B$6)),K7,0)</f>
        <v>0</v>
      </c>
      <c r="M7" s="26">
        <f t="shared" ref="M7" si="2">L7-I7</f>
        <v>0</v>
      </c>
      <c r="N7" s="38">
        <f>M7/(1+'Major Assumption Key'!$B$8)^($F7-'Major Assumption Key'!$B$7)</f>
        <v>0</v>
      </c>
      <c r="O7" s="292"/>
      <c r="P7" s="784">
        <f t="shared" ref="P7:P48" si="3">ROUND(I7,-3)</f>
        <v>0</v>
      </c>
      <c r="Q7" s="775">
        <f>ROUND(L7,-3)</f>
        <v>0</v>
      </c>
      <c r="R7" s="26">
        <f>ROUND(M7,-3)</f>
        <v>0</v>
      </c>
      <c r="S7" s="38">
        <f>ROUND(N7,-3)</f>
        <v>0</v>
      </c>
    </row>
    <row r="8" spans="1:19">
      <c r="A8" s="218"/>
      <c r="B8" s="218"/>
      <c r="C8" s="218"/>
      <c r="D8" s="218"/>
      <c r="E8" s="218"/>
      <c r="F8" s="232">
        <f>'Major Assumption Key'!A20</f>
        <v>2021</v>
      </c>
      <c r="G8" s="938">
        <f>SUM('P. Tax Inc Sidewalk &amp; Bike Supp'!$D$19:$E$21)</f>
        <v>0</v>
      </c>
      <c r="H8" s="233">
        <f t="shared" ref="H8:H47" si="4">G8*$B$19</f>
        <v>0</v>
      </c>
      <c r="I8" s="784">
        <f>IF(AND($F8&gt;=MIN('Major Assumption Key'!$B$4),$F8&lt;=MAX('Major Assumption Key'!$B$6)),H8,0)</f>
        <v>0</v>
      </c>
      <c r="J8" s="938">
        <f>SUM('P. Tax Inc Sidewalk &amp; Bike Supp'!$G$19:$H$21)</f>
        <v>0</v>
      </c>
      <c r="K8" s="233">
        <f t="shared" ref="K8:K47" si="5">J8*$B$19</f>
        <v>0</v>
      </c>
      <c r="L8" s="848">
        <f>IF(AND($F8&gt;=MIN('Major Assumption Key'!$B$4),$F8&lt;=MAX('Major Assumption Key'!$B$6)),K8,0)</f>
        <v>0</v>
      </c>
      <c r="M8" s="26">
        <f t="shared" ref="M8:M47" si="6">L8-I8</f>
        <v>0</v>
      </c>
      <c r="N8" s="38">
        <f>M8/(1+'Major Assumption Key'!$B$8)^($F8-'Major Assumption Key'!$B$7)</f>
        <v>0</v>
      </c>
      <c r="O8" s="292"/>
      <c r="P8" s="784">
        <f t="shared" ref="P8:P47" si="7">ROUND(I8,-3)</f>
        <v>0</v>
      </c>
      <c r="Q8" s="775">
        <f t="shared" ref="Q8:Q47" si="8">ROUND(L8,-3)</f>
        <v>0</v>
      </c>
      <c r="R8" s="26">
        <f t="shared" ref="R8:R47" si="9">ROUND(M8,-3)</f>
        <v>0</v>
      </c>
      <c r="S8" s="38">
        <f t="shared" ref="S8:S47" si="10">ROUND(N8,-3)</f>
        <v>0</v>
      </c>
    </row>
    <row r="9" spans="1:19" ht="18">
      <c r="A9" s="1888" t="s">
        <v>432</v>
      </c>
      <c r="B9" s="1889"/>
      <c r="C9" s="1889"/>
      <c r="D9" s="1890"/>
      <c r="E9" s="218"/>
      <c r="F9" s="232">
        <f>'Major Assumption Key'!A21</f>
        <v>2022</v>
      </c>
      <c r="G9" s="938">
        <f>SUM('P. Tax Inc Sidewalk &amp; Bike Supp'!$D$19:$E$21)</f>
        <v>0</v>
      </c>
      <c r="H9" s="233">
        <f t="shared" si="4"/>
        <v>0</v>
      </c>
      <c r="I9" s="784">
        <f>IF(AND($F9&gt;=MIN('Major Assumption Key'!$B$4),$F9&lt;=MAX('Major Assumption Key'!$B$6)),H9,0)</f>
        <v>0</v>
      </c>
      <c r="J9" s="938">
        <f>SUM('P. Tax Inc Sidewalk &amp; Bike Supp'!$G$19:$H$21)</f>
        <v>0</v>
      </c>
      <c r="K9" s="233">
        <f t="shared" si="5"/>
        <v>0</v>
      </c>
      <c r="L9" s="848">
        <f>IF(AND($F9&gt;=MIN('Major Assumption Key'!$B$4),$F9&lt;=MAX('Major Assumption Key'!$B$6)),K9,0)</f>
        <v>0</v>
      </c>
      <c r="M9" s="26">
        <f t="shared" si="6"/>
        <v>0</v>
      </c>
      <c r="N9" s="38">
        <f>M9/(1+'Major Assumption Key'!$B$8)^($F9-'Major Assumption Key'!$B$7)</f>
        <v>0</v>
      </c>
      <c r="O9" s="292"/>
      <c r="P9" s="784">
        <f t="shared" si="7"/>
        <v>0</v>
      </c>
      <c r="Q9" s="775">
        <f t="shared" si="8"/>
        <v>0</v>
      </c>
      <c r="R9" s="26">
        <f t="shared" si="9"/>
        <v>0</v>
      </c>
      <c r="S9" s="38">
        <f t="shared" si="10"/>
        <v>0</v>
      </c>
    </row>
    <row r="10" spans="1:19" ht="18">
      <c r="A10" s="1891" t="s">
        <v>418</v>
      </c>
      <c r="B10" s="1891"/>
      <c r="C10" s="49" t="s">
        <v>419</v>
      </c>
      <c r="D10" s="49" t="str">
        <f>_xlfn.CONCAT("Discounted @",TEXT('Major Assumption Key'!B8,"0.0%"))</f>
        <v>Discounted @3.1%</v>
      </c>
      <c r="E10" s="218"/>
      <c r="F10" s="232">
        <f>'Major Assumption Key'!A22</f>
        <v>2023</v>
      </c>
      <c r="G10" s="938">
        <f>SUM('P. Tax Inc Sidewalk &amp; Bike Supp'!$D$19:$E$21)</f>
        <v>0</v>
      </c>
      <c r="H10" s="233">
        <f t="shared" si="4"/>
        <v>0</v>
      </c>
      <c r="I10" s="784">
        <f>IF(AND($F10&gt;=MIN('Major Assumption Key'!$B$4),$F10&lt;=MAX('Major Assumption Key'!$B$6)),H10,0)</f>
        <v>0</v>
      </c>
      <c r="J10" s="938">
        <f>SUM('P. Tax Inc Sidewalk &amp; Bike Supp'!$G$19:$H$21)</f>
        <v>0</v>
      </c>
      <c r="K10" s="233">
        <f t="shared" si="5"/>
        <v>0</v>
      </c>
      <c r="L10" s="848">
        <f>IF(AND($F10&gt;=MIN('Major Assumption Key'!$B$4),$F10&lt;=MAX('Major Assumption Key'!$B$6)),K10,0)</f>
        <v>0</v>
      </c>
      <c r="M10" s="26">
        <f t="shared" si="6"/>
        <v>0</v>
      </c>
      <c r="N10" s="38">
        <f>M10/(1+'Major Assumption Key'!$B$8)^($F10-'Major Assumption Key'!$B$7)</f>
        <v>0</v>
      </c>
      <c r="O10" s="292"/>
      <c r="P10" s="784">
        <f t="shared" si="7"/>
        <v>0</v>
      </c>
      <c r="Q10" s="775">
        <f t="shared" si="8"/>
        <v>0</v>
      </c>
      <c r="R10" s="26">
        <f t="shared" si="9"/>
        <v>0</v>
      </c>
      <c r="S10" s="38">
        <f t="shared" si="10"/>
        <v>0</v>
      </c>
    </row>
    <row r="11" spans="1:19" ht="18">
      <c r="A11" s="1892" t="s">
        <v>11</v>
      </c>
      <c r="B11" s="1892"/>
      <c r="C11" s="263">
        <f>'BCA Summary'!$H$7</f>
        <v>1.0111569298276737</v>
      </c>
      <c r="D11" s="263">
        <f>'BCA Summary'!$I$7</f>
        <v>0.6276932096418345</v>
      </c>
      <c r="E11" s="218"/>
      <c r="F11" s="232">
        <f>'Major Assumption Key'!A23</f>
        <v>2024</v>
      </c>
      <c r="G11" s="938">
        <f>SUM('P. Tax Inc Sidewalk &amp; Bike Supp'!$D$19:$E$21)</f>
        <v>0</v>
      </c>
      <c r="H11" s="233">
        <f t="shared" si="4"/>
        <v>0</v>
      </c>
      <c r="I11" s="784">
        <f>IF(AND($F11&gt;=MIN('Major Assumption Key'!$B$4),$F11&lt;=MAX('Major Assumption Key'!$B$6)),H11,0)</f>
        <v>0</v>
      </c>
      <c r="J11" s="938">
        <f>SUM('P. Tax Inc Sidewalk &amp; Bike Supp'!$G$19:$H$21)</f>
        <v>0</v>
      </c>
      <c r="K11" s="233">
        <f t="shared" si="5"/>
        <v>0</v>
      </c>
      <c r="L11" s="848">
        <f>IF(AND($F11&gt;=MIN('Major Assumption Key'!$B$4),$F11&lt;=MAX('Major Assumption Key'!$B$6)),K11,0)</f>
        <v>0</v>
      </c>
      <c r="M11" s="26">
        <f t="shared" si="6"/>
        <v>0</v>
      </c>
      <c r="N11" s="38">
        <f>M11/(1+'Major Assumption Key'!$B$8)^($F11-'Major Assumption Key'!$B$7)</f>
        <v>0</v>
      </c>
      <c r="O11" s="292"/>
      <c r="P11" s="784">
        <f t="shared" si="7"/>
        <v>0</v>
      </c>
      <c r="Q11" s="775">
        <f t="shared" si="8"/>
        <v>0</v>
      </c>
      <c r="R11" s="26">
        <f t="shared" si="9"/>
        <v>0</v>
      </c>
      <c r="S11" s="38">
        <f t="shared" si="10"/>
        <v>0</v>
      </c>
    </row>
    <row r="12" spans="1:19" ht="18">
      <c r="A12" s="1892" t="s">
        <v>12</v>
      </c>
      <c r="B12" s="1892"/>
      <c r="C12" s="263">
        <f>'BCA Summary'!$H$8</f>
        <v>236636.98382712901</v>
      </c>
      <c r="D12" s="263">
        <f>'BCA Summary'!$I$8</f>
        <v>-6930297.4454113934</v>
      </c>
      <c r="E12" s="218"/>
      <c r="F12" s="232">
        <f>'Major Assumption Key'!A24</f>
        <v>2025</v>
      </c>
      <c r="G12" s="938">
        <f>SUM('P. Tax Inc Sidewalk &amp; Bike Supp'!$D$19:$E$21)</f>
        <v>0</v>
      </c>
      <c r="H12" s="233">
        <f t="shared" si="4"/>
        <v>0</v>
      </c>
      <c r="I12" s="784">
        <f>IF(AND($F12&gt;=MIN('Major Assumption Key'!$B$4),$F12&lt;=MAX('Major Assumption Key'!$B$6)),H12,0)</f>
        <v>0</v>
      </c>
      <c r="J12" s="938">
        <f>SUM('P. Tax Inc Sidewalk &amp; Bike Supp'!$G$19:$H$21)</f>
        <v>0</v>
      </c>
      <c r="K12" s="233">
        <f t="shared" si="5"/>
        <v>0</v>
      </c>
      <c r="L12" s="848">
        <f>IF(AND($F12&gt;=MIN('Major Assumption Key'!$B$4),$F12&lt;=MAX('Major Assumption Key'!$B$6)),K12,0)</f>
        <v>0</v>
      </c>
      <c r="M12" s="26">
        <f t="shared" si="6"/>
        <v>0</v>
      </c>
      <c r="N12" s="38">
        <f>M12/(1+'Major Assumption Key'!$B$8)^($F12-'Major Assumption Key'!$B$7)</f>
        <v>0</v>
      </c>
      <c r="O12" s="292"/>
      <c r="P12" s="784">
        <f t="shared" si="7"/>
        <v>0</v>
      </c>
      <c r="Q12" s="775">
        <f t="shared" si="8"/>
        <v>0</v>
      </c>
      <c r="R12" s="26">
        <f t="shared" si="9"/>
        <v>0</v>
      </c>
      <c r="S12" s="38">
        <f t="shared" si="10"/>
        <v>0</v>
      </c>
    </row>
    <row r="13" spans="1:19">
      <c r="E13" s="218"/>
      <c r="F13" s="232">
        <f>'Major Assumption Key'!A25</f>
        <v>2026</v>
      </c>
      <c r="G13" s="938">
        <f>SUM('P. Tax Inc Sidewalk &amp; Bike Supp'!$D$19:$E$21)</f>
        <v>0</v>
      </c>
      <c r="H13" s="233">
        <f t="shared" si="4"/>
        <v>0</v>
      </c>
      <c r="I13" s="784">
        <f>IF(AND($F13&gt;=MIN('Major Assumption Key'!$B$4),$F13&lt;=MAX('Major Assumption Key'!$B$6)),H13,0)</f>
        <v>0</v>
      </c>
      <c r="J13" s="938">
        <f>SUM('P. Tax Inc Sidewalk &amp; Bike Supp'!$G$19:$H$21)</f>
        <v>0</v>
      </c>
      <c r="K13" s="233">
        <f t="shared" si="5"/>
        <v>0</v>
      </c>
      <c r="L13" s="848">
        <f>IF(AND($F13&gt;=MIN('Major Assumption Key'!$B$4),$F13&lt;=MAX('Major Assumption Key'!$B$6)),K13,0)</f>
        <v>0</v>
      </c>
      <c r="M13" s="26">
        <f t="shared" si="6"/>
        <v>0</v>
      </c>
      <c r="N13" s="38">
        <f>M13/(1+'Major Assumption Key'!$B$8)^($F13-'Major Assumption Key'!$B$7)</f>
        <v>0</v>
      </c>
      <c r="O13" s="292"/>
      <c r="P13" s="784">
        <f t="shared" si="7"/>
        <v>0</v>
      </c>
      <c r="Q13" s="775">
        <f t="shared" si="8"/>
        <v>0</v>
      </c>
      <c r="R13" s="26">
        <f t="shared" si="9"/>
        <v>0</v>
      </c>
      <c r="S13" s="38">
        <f t="shared" si="10"/>
        <v>0</v>
      </c>
    </row>
    <row r="14" spans="1:19" ht="15" thickBot="1">
      <c r="E14" s="218"/>
      <c r="F14" s="232">
        <f>'Major Assumption Key'!A26</f>
        <v>2027</v>
      </c>
      <c r="G14" s="938">
        <f>SUM('P. Tax Inc Sidewalk &amp; Bike Supp'!$D$19:$E$21)</f>
        <v>0</v>
      </c>
      <c r="H14" s="233">
        <f t="shared" si="4"/>
        <v>0</v>
      </c>
      <c r="I14" s="784">
        <f>IF(AND($F14&gt;=MIN('Major Assumption Key'!$B$4),$F14&lt;=MAX('Major Assumption Key'!$B$6)),H14,0)</f>
        <v>0</v>
      </c>
      <c r="J14" s="938">
        <f>SUM('P. Tax Inc Sidewalk &amp; Bike Supp'!$G$19:$H$21)</f>
        <v>0</v>
      </c>
      <c r="K14" s="233">
        <f t="shared" si="5"/>
        <v>0</v>
      </c>
      <c r="L14" s="848">
        <f>IF(AND($F14&gt;=MIN('Major Assumption Key'!$B$4),$F14&lt;=MAX('Major Assumption Key'!$B$6)),K14,0)</f>
        <v>0</v>
      </c>
      <c r="M14" s="26">
        <f t="shared" si="6"/>
        <v>0</v>
      </c>
      <c r="N14" s="38">
        <f>M14/(1+'Major Assumption Key'!$B$8)^($F14-'Major Assumption Key'!$B$7)</f>
        <v>0</v>
      </c>
      <c r="O14" s="292"/>
      <c r="P14" s="784">
        <f t="shared" si="7"/>
        <v>0</v>
      </c>
      <c r="Q14" s="775">
        <f t="shared" si="8"/>
        <v>0</v>
      </c>
      <c r="R14" s="26">
        <f t="shared" si="9"/>
        <v>0</v>
      </c>
      <c r="S14" s="38">
        <f t="shared" si="10"/>
        <v>0</v>
      </c>
    </row>
    <row r="15" spans="1:19">
      <c r="A15" s="668" t="s">
        <v>433</v>
      </c>
      <c r="B15" s="669" t="s">
        <v>434</v>
      </c>
      <c r="C15" s="2162" t="s">
        <v>498</v>
      </c>
      <c r="D15" s="2163"/>
      <c r="E15" s="218"/>
      <c r="F15" s="232">
        <f>'Major Assumption Key'!A27</f>
        <v>2028</v>
      </c>
      <c r="G15" s="938">
        <f>SUM('P. Tax Inc Sidewalk &amp; Bike Supp'!$D$19:$E$21)</f>
        <v>0</v>
      </c>
      <c r="H15" s="233">
        <f t="shared" si="4"/>
        <v>0</v>
      </c>
      <c r="I15" s="784">
        <f>IF(AND($F15&gt;=MIN('Major Assumption Key'!$B$4),$F15&lt;=MAX('Major Assumption Key'!$B$6)),H15,0)</f>
        <v>0</v>
      </c>
      <c r="J15" s="938">
        <f>SUM('P. Tax Inc Sidewalk &amp; Bike Supp'!$G$19:$H$21)</f>
        <v>0</v>
      </c>
      <c r="K15" s="233">
        <f t="shared" si="5"/>
        <v>0</v>
      </c>
      <c r="L15" s="848">
        <f>IF(AND($F15&gt;=MIN('Major Assumption Key'!$B$4),$F15&lt;=MAX('Major Assumption Key'!$B$6)),K15,0)</f>
        <v>0</v>
      </c>
      <c r="M15" s="26">
        <f t="shared" si="6"/>
        <v>0</v>
      </c>
      <c r="N15" s="38">
        <f>M15/(1+'Major Assumption Key'!$B$8)^($F15-'Major Assumption Key'!$B$7)</f>
        <v>0</v>
      </c>
      <c r="O15" s="292"/>
      <c r="P15" s="784">
        <f t="shared" si="7"/>
        <v>0</v>
      </c>
      <c r="Q15" s="775">
        <f t="shared" si="8"/>
        <v>0</v>
      </c>
      <c r="R15" s="26">
        <f t="shared" si="9"/>
        <v>0</v>
      </c>
      <c r="S15" s="38">
        <f t="shared" si="10"/>
        <v>0</v>
      </c>
    </row>
    <row r="16" spans="1:19">
      <c r="A16" s="670" t="s">
        <v>1243</v>
      </c>
      <c r="B16" s="671">
        <f>'Major Assumption Key'!B4</f>
        <v>2022</v>
      </c>
      <c r="C16" s="218" t="s">
        <v>1244</v>
      </c>
      <c r="D16" s="672"/>
      <c r="E16" s="218"/>
      <c r="F16" s="232">
        <f>'Major Assumption Key'!A28</f>
        <v>2029</v>
      </c>
      <c r="G16" s="938">
        <f>SUM('P. Tax Inc Sidewalk &amp; Bike Supp'!$D$19:$E$21)</f>
        <v>0</v>
      </c>
      <c r="H16" s="233">
        <f t="shared" si="4"/>
        <v>0</v>
      </c>
      <c r="I16" s="784">
        <f>IF(AND($F16&gt;=MIN('Major Assumption Key'!$B$4),$F16&lt;=MAX('Major Assumption Key'!$B$6)),H16,0)</f>
        <v>0</v>
      </c>
      <c r="J16" s="938">
        <f>SUM('P. Tax Inc Sidewalk &amp; Bike Supp'!$G$19:$H$21)</f>
        <v>0</v>
      </c>
      <c r="K16" s="233">
        <f t="shared" si="5"/>
        <v>0</v>
      </c>
      <c r="L16" s="848">
        <f>IF(AND($F16&gt;=MIN('Major Assumption Key'!$B$4),$F16&lt;=MAX('Major Assumption Key'!$B$6)),K16,0)</f>
        <v>0</v>
      </c>
      <c r="M16" s="26">
        <f t="shared" si="6"/>
        <v>0</v>
      </c>
      <c r="N16" s="38">
        <f>M16/(1+'Major Assumption Key'!$B$8)^($F16-'Major Assumption Key'!$B$7)</f>
        <v>0</v>
      </c>
      <c r="O16" s="292"/>
      <c r="P16" s="784">
        <f t="shared" si="7"/>
        <v>0</v>
      </c>
      <c r="Q16" s="775">
        <f t="shared" si="8"/>
        <v>0</v>
      </c>
      <c r="R16" s="26">
        <f t="shared" si="9"/>
        <v>0</v>
      </c>
      <c r="S16" s="38">
        <f t="shared" si="10"/>
        <v>0</v>
      </c>
    </row>
    <row r="17" spans="1:19">
      <c r="A17" s="768" t="str">
        <f>'Major Assumption Key'!$A$4</f>
        <v>Planning Horizon Begin Year:</v>
      </c>
      <c r="B17" s="777">
        <f>'Major Assumption Key'!$B$4</f>
        <v>2022</v>
      </c>
      <c r="C17" s="767" t="s">
        <v>436</v>
      </c>
      <c r="D17" s="672"/>
      <c r="E17" s="218"/>
      <c r="F17" s="232">
        <f>'Major Assumption Key'!A29</f>
        <v>2030</v>
      </c>
      <c r="G17" s="938">
        <f>SUM('P. Tax Inc Sidewalk &amp; Bike Supp'!$D$19:$E$21)</f>
        <v>0</v>
      </c>
      <c r="H17" s="233">
        <f t="shared" si="4"/>
        <v>0</v>
      </c>
      <c r="I17" s="784">
        <f>IF(AND($F17&gt;=MIN('Major Assumption Key'!$B$4),$F17&lt;=MAX('Major Assumption Key'!$B$6)),H17,0)</f>
        <v>0</v>
      </c>
      <c r="J17" s="938">
        <f>SUM('P. Tax Inc Sidewalk &amp; Bike Supp'!$G$19:$H$21)</f>
        <v>0</v>
      </c>
      <c r="K17" s="233">
        <f t="shared" si="5"/>
        <v>0</v>
      </c>
      <c r="L17" s="848">
        <f>IF(AND($F17&gt;=MIN('Major Assumption Key'!$B$4),$F17&lt;=MAX('Major Assumption Key'!$B$6)),K17,0)</f>
        <v>0</v>
      </c>
      <c r="M17" s="26">
        <f t="shared" si="6"/>
        <v>0</v>
      </c>
      <c r="N17" s="38">
        <f>M17/(1+'Major Assumption Key'!$B$8)^($F17-'Major Assumption Key'!$B$7)</f>
        <v>0</v>
      </c>
      <c r="O17" s="292"/>
      <c r="P17" s="784">
        <f t="shared" si="7"/>
        <v>0</v>
      </c>
      <c r="Q17" s="775">
        <f t="shared" si="8"/>
        <v>0</v>
      </c>
      <c r="R17" s="26">
        <f t="shared" si="9"/>
        <v>0</v>
      </c>
      <c r="S17" s="38">
        <f t="shared" si="10"/>
        <v>0</v>
      </c>
    </row>
    <row r="18" spans="1:19">
      <c r="A18" s="768" t="str">
        <f>'Major Assumption Key'!$A$6</f>
        <v>Planning Horizon End Year:</v>
      </c>
      <c r="B18" s="777">
        <f>'Major Assumption Key'!$B$6</f>
        <v>2047</v>
      </c>
      <c r="C18" s="767" t="s">
        <v>436</v>
      </c>
      <c r="D18" s="672"/>
      <c r="E18" s="218"/>
      <c r="F18" s="232">
        <f>'Major Assumption Key'!A30</f>
        <v>2031</v>
      </c>
      <c r="G18" s="938">
        <f>SUM('P. Tax Inc Sidewalk &amp; Bike Supp'!$D$19:$E$21)</f>
        <v>0</v>
      </c>
      <c r="H18" s="233">
        <f t="shared" si="4"/>
        <v>0</v>
      </c>
      <c r="I18" s="784">
        <f>IF(AND($F18&gt;=MIN('Major Assumption Key'!$B$4),$F18&lt;=MAX('Major Assumption Key'!$B$6)),H18,0)</f>
        <v>0</v>
      </c>
      <c r="J18" s="938">
        <f>SUM('P. Tax Inc Sidewalk &amp; Bike Supp'!$G$19:$H$21)</f>
        <v>0</v>
      </c>
      <c r="K18" s="233">
        <f t="shared" si="5"/>
        <v>0</v>
      </c>
      <c r="L18" s="848">
        <f>IF(AND($F18&gt;=MIN('Major Assumption Key'!$B$4),$F18&lt;=MAX('Major Assumption Key'!$B$6)),K18,0)</f>
        <v>0</v>
      </c>
      <c r="M18" s="26">
        <f t="shared" si="6"/>
        <v>0</v>
      </c>
      <c r="N18" s="38">
        <f>M18/(1+'Major Assumption Key'!$B$8)^($F18-'Major Assumption Key'!$B$7)</f>
        <v>0</v>
      </c>
      <c r="O18" s="292"/>
      <c r="P18" s="784">
        <f t="shared" si="7"/>
        <v>0</v>
      </c>
      <c r="Q18" s="775">
        <f t="shared" si="8"/>
        <v>0</v>
      </c>
      <c r="R18" s="26">
        <f t="shared" si="9"/>
        <v>0</v>
      </c>
      <c r="S18" s="38">
        <f t="shared" si="10"/>
        <v>0</v>
      </c>
    </row>
    <row r="19" spans="1:19">
      <c r="A19" s="670" t="s">
        <v>7354</v>
      </c>
      <c r="B19" s="789">
        <f>'P. Tax Inc Sidewalk &amp; Bike Supp'!B14</f>
        <v>2.3306620000000004E-2</v>
      </c>
      <c r="C19" s="942" t="s">
        <v>7355</v>
      </c>
      <c r="D19" s="672"/>
      <c r="E19" s="218"/>
      <c r="F19" s="232">
        <f>'Major Assumption Key'!A31</f>
        <v>2032</v>
      </c>
      <c r="G19" s="938">
        <f>SUM('P. Tax Inc Sidewalk &amp; Bike Supp'!$D$19:$E$21)</f>
        <v>0</v>
      </c>
      <c r="H19" s="233">
        <f t="shared" si="4"/>
        <v>0</v>
      </c>
      <c r="I19" s="784">
        <f>IF(AND($F19&gt;=MIN('Major Assumption Key'!$B$4),$F19&lt;=MAX('Major Assumption Key'!$B$6)),H19,0)</f>
        <v>0</v>
      </c>
      <c r="J19" s="938">
        <f>SUM('P. Tax Inc Sidewalk &amp; Bike Supp'!$G$19:$H$21)</f>
        <v>0</v>
      </c>
      <c r="K19" s="233">
        <f t="shared" si="5"/>
        <v>0</v>
      </c>
      <c r="L19" s="848">
        <f>IF(AND($F19&gt;=MIN('Major Assumption Key'!$B$4),$F19&lt;=MAX('Major Assumption Key'!$B$6)),K19,0)</f>
        <v>0</v>
      </c>
      <c r="M19" s="26">
        <f t="shared" si="6"/>
        <v>0</v>
      </c>
      <c r="N19" s="38">
        <f>M19/(1+'Major Assumption Key'!$B$8)^($F19-'Major Assumption Key'!$B$7)</f>
        <v>0</v>
      </c>
      <c r="O19" s="292"/>
      <c r="P19" s="784">
        <f t="shared" si="7"/>
        <v>0</v>
      </c>
      <c r="Q19" s="775">
        <f t="shared" si="8"/>
        <v>0</v>
      </c>
      <c r="R19" s="26">
        <f t="shared" si="9"/>
        <v>0</v>
      </c>
      <c r="S19" s="38">
        <f t="shared" si="10"/>
        <v>0</v>
      </c>
    </row>
    <row r="20" spans="1:19">
      <c r="A20" s="674" t="s">
        <v>7392</v>
      </c>
      <c r="B20" s="950">
        <f>825.38*'Major Assumption Key'!$B$78</f>
        <v>973.94839999999999</v>
      </c>
      <c r="C20" s="2" t="s">
        <v>7388</v>
      </c>
      <c r="D20" s="562"/>
      <c r="E20" s="218"/>
      <c r="F20" s="232">
        <f>'Major Assumption Key'!A32</f>
        <v>2033</v>
      </c>
      <c r="G20" s="938">
        <f>SUM('P. Tax Inc Sidewalk &amp; Bike Supp'!$D$19:$E$21)</f>
        <v>0</v>
      </c>
      <c r="H20" s="233">
        <f t="shared" si="4"/>
        <v>0</v>
      </c>
      <c r="I20" s="784">
        <f>IF(AND($F20&gt;=MIN('Major Assumption Key'!$B$4),$F20&lt;=MAX('Major Assumption Key'!$B$6)),H20,0)</f>
        <v>0</v>
      </c>
      <c r="J20" s="938">
        <f>SUM('P. Tax Inc Sidewalk &amp; Bike Supp'!$G$19:$H$21)</f>
        <v>0</v>
      </c>
      <c r="K20" s="233">
        <f t="shared" si="5"/>
        <v>0</v>
      </c>
      <c r="L20" s="848">
        <f>IF(AND($F20&gt;=MIN('Major Assumption Key'!$B$4),$F20&lt;=MAX('Major Assumption Key'!$B$6)),K20,0)</f>
        <v>0</v>
      </c>
      <c r="M20" s="26">
        <f t="shared" si="6"/>
        <v>0</v>
      </c>
      <c r="N20" s="38">
        <f>M20/(1+'Major Assumption Key'!$B$8)^($F20-'Major Assumption Key'!$B$7)</f>
        <v>0</v>
      </c>
      <c r="O20" s="292"/>
      <c r="P20" s="784">
        <f t="shared" si="7"/>
        <v>0</v>
      </c>
      <c r="Q20" s="775">
        <f t="shared" si="8"/>
        <v>0</v>
      </c>
      <c r="R20" s="26">
        <f t="shared" si="9"/>
        <v>0</v>
      </c>
      <c r="S20" s="38">
        <f t="shared" si="10"/>
        <v>0</v>
      </c>
    </row>
    <row r="21" spans="1:19">
      <c r="A21" s="674" t="s">
        <v>7394</v>
      </c>
      <c r="B21" s="950">
        <f>110.86*'Major Assumption Key'!$B$78</f>
        <v>130.81479999999999</v>
      </c>
      <c r="C21" s="2" t="s">
        <v>7388</v>
      </c>
      <c r="D21" s="562"/>
      <c r="E21" s="218"/>
      <c r="F21" s="232">
        <f>'Major Assumption Key'!A33</f>
        <v>2034</v>
      </c>
      <c r="G21" s="938">
        <f>SUM('P. Tax Inc Sidewalk &amp; Bike Supp'!$D$19:$E$21)</f>
        <v>0</v>
      </c>
      <c r="H21" s="233">
        <f t="shared" si="4"/>
        <v>0</v>
      </c>
      <c r="I21" s="784">
        <f>IF(AND($F21&gt;=MIN('Major Assumption Key'!$B$4),$F21&lt;=MAX('Major Assumption Key'!$B$6)),H21,0)</f>
        <v>0</v>
      </c>
      <c r="J21" s="938">
        <f>SUM('P. Tax Inc Sidewalk &amp; Bike Supp'!$G$19:$H$21)</f>
        <v>0</v>
      </c>
      <c r="K21" s="233">
        <f t="shared" si="5"/>
        <v>0</v>
      </c>
      <c r="L21" s="848">
        <f>IF(AND($F21&gt;=MIN('Major Assumption Key'!$B$4),$F21&lt;=MAX('Major Assumption Key'!$B$6)),K21,0)</f>
        <v>0</v>
      </c>
      <c r="M21" s="26">
        <f t="shared" si="6"/>
        <v>0</v>
      </c>
      <c r="N21" s="38">
        <f>M21/(1+'Major Assumption Key'!$B$8)^($F21-'Major Assumption Key'!$B$7)</f>
        <v>0</v>
      </c>
      <c r="O21" s="292"/>
      <c r="P21" s="784">
        <f t="shared" si="7"/>
        <v>0</v>
      </c>
      <c r="Q21" s="775">
        <f t="shared" si="8"/>
        <v>0</v>
      </c>
      <c r="R21" s="26">
        <f t="shared" si="9"/>
        <v>0</v>
      </c>
      <c r="S21" s="38">
        <f t="shared" si="10"/>
        <v>0</v>
      </c>
    </row>
    <row r="22" spans="1:19" ht="15" thickBot="1">
      <c r="A22" s="676" t="s">
        <v>7358</v>
      </c>
      <c r="B22" s="945">
        <v>0.09</v>
      </c>
      <c r="C22" s="677" t="s">
        <v>7359</v>
      </c>
      <c r="D22" s="564"/>
      <c r="E22" s="218"/>
      <c r="F22" s="232">
        <f>'Major Assumption Key'!A34</f>
        <v>2035</v>
      </c>
      <c r="G22" s="938">
        <f>SUM('P. Tax Inc Sidewalk &amp; Bike Supp'!$D$19:$E$21)</f>
        <v>0</v>
      </c>
      <c r="H22" s="233">
        <f t="shared" si="4"/>
        <v>0</v>
      </c>
      <c r="I22" s="784">
        <f>IF(AND($F22&gt;=MIN('Major Assumption Key'!$B$4),$F22&lt;=MAX('Major Assumption Key'!$B$6)),H22,0)</f>
        <v>0</v>
      </c>
      <c r="J22" s="938">
        <f>SUM('P. Tax Inc Sidewalk &amp; Bike Supp'!$G$19:$H$21)</f>
        <v>0</v>
      </c>
      <c r="K22" s="233">
        <f t="shared" si="5"/>
        <v>0</v>
      </c>
      <c r="L22" s="848">
        <f>IF(AND($F22&gt;=MIN('Major Assumption Key'!$B$4),$F22&lt;=MAX('Major Assumption Key'!$B$6)),K22,0)</f>
        <v>0</v>
      </c>
      <c r="M22" s="26">
        <f t="shared" si="6"/>
        <v>0</v>
      </c>
      <c r="N22" s="38">
        <f>M22/(1+'Major Assumption Key'!$B$8)^($F22-'Major Assumption Key'!$B$7)</f>
        <v>0</v>
      </c>
      <c r="O22" s="292"/>
      <c r="P22" s="784">
        <f t="shared" si="7"/>
        <v>0</v>
      </c>
      <c r="Q22" s="775">
        <f t="shared" si="8"/>
        <v>0</v>
      </c>
      <c r="R22" s="26">
        <f t="shared" si="9"/>
        <v>0</v>
      </c>
      <c r="S22" s="38">
        <f t="shared" si="10"/>
        <v>0</v>
      </c>
    </row>
    <row r="23" spans="1:19">
      <c r="E23" s="218"/>
      <c r="F23" s="232">
        <f>'Major Assumption Key'!A35</f>
        <v>2036</v>
      </c>
      <c r="G23" s="938">
        <f>SUM('P. Tax Inc Sidewalk &amp; Bike Supp'!$D$19:$E$21)</f>
        <v>0</v>
      </c>
      <c r="H23" s="233">
        <f t="shared" si="4"/>
        <v>0</v>
      </c>
      <c r="I23" s="784">
        <f>IF(AND($F23&gt;=MIN('Major Assumption Key'!$B$4),$F23&lt;=MAX('Major Assumption Key'!$B$6)),H23,0)</f>
        <v>0</v>
      </c>
      <c r="J23" s="938">
        <f>SUM('P. Tax Inc Sidewalk &amp; Bike Supp'!$G$19:$H$21)</f>
        <v>0</v>
      </c>
      <c r="K23" s="233">
        <f t="shared" si="5"/>
        <v>0</v>
      </c>
      <c r="L23" s="848">
        <f>IF(AND($F23&gt;=MIN('Major Assumption Key'!$B$4),$F23&lt;=MAX('Major Assumption Key'!$B$6)),K23,0)</f>
        <v>0</v>
      </c>
      <c r="M23" s="26">
        <f t="shared" si="6"/>
        <v>0</v>
      </c>
      <c r="N23" s="38">
        <f>M23/(1+'Major Assumption Key'!$B$8)^($F23-'Major Assumption Key'!$B$7)</f>
        <v>0</v>
      </c>
      <c r="O23" s="292"/>
      <c r="P23" s="784">
        <f t="shared" si="7"/>
        <v>0</v>
      </c>
      <c r="Q23" s="775">
        <f t="shared" si="8"/>
        <v>0</v>
      </c>
      <c r="R23" s="26">
        <f t="shared" si="9"/>
        <v>0</v>
      </c>
      <c r="S23" s="38">
        <f t="shared" si="10"/>
        <v>0</v>
      </c>
    </row>
    <row r="24" spans="1:19">
      <c r="E24" s="218"/>
      <c r="F24" s="232">
        <f>'Major Assumption Key'!A36</f>
        <v>2037</v>
      </c>
      <c r="G24" s="938">
        <f>SUM('P. Tax Inc Sidewalk &amp; Bike Supp'!$D$19:$E$21)</f>
        <v>0</v>
      </c>
      <c r="H24" s="233">
        <f t="shared" si="4"/>
        <v>0</v>
      </c>
      <c r="I24" s="784">
        <f>IF(AND($F24&gt;=MIN('Major Assumption Key'!$B$4),$F24&lt;=MAX('Major Assumption Key'!$B$6)),H24,0)</f>
        <v>0</v>
      </c>
      <c r="J24" s="938">
        <f>SUM('P. Tax Inc Sidewalk &amp; Bike Supp'!$G$19:$H$21)</f>
        <v>0</v>
      </c>
      <c r="K24" s="233">
        <f t="shared" si="5"/>
        <v>0</v>
      </c>
      <c r="L24" s="848">
        <f>IF(AND($F24&gt;=MIN('Major Assumption Key'!$B$4),$F24&lt;=MAX('Major Assumption Key'!$B$6)),K24,0)</f>
        <v>0</v>
      </c>
      <c r="M24" s="26">
        <f t="shared" si="6"/>
        <v>0</v>
      </c>
      <c r="N24" s="38">
        <f>M24/(1+'Major Assumption Key'!$B$8)^($F24-'Major Assumption Key'!$B$7)</f>
        <v>0</v>
      </c>
      <c r="O24" s="292"/>
      <c r="P24" s="784">
        <f t="shared" si="7"/>
        <v>0</v>
      </c>
      <c r="Q24" s="775">
        <f t="shared" si="8"/>
        <v>0</v>
      </c>
      <c r="R24" s="26">
        <f t="shared" si="9"/>
        <v>0</v>
      </c>
      <c r="S24" s="38">
        <f t="shared" si="10"/>
        <v>0</v>
      </c>
    </row>
    <row r="25" spans="1:19" ht="15" customHeight="1">
      <c r="E25" s="218"/>
      <c r="F25" s="232">
        <f>'Major Assumption Key'!A37</f>
        <v>2038</v>
      </c>
      <c r="G25" s="938">
        <f>SUM('P. Tax Inc Sidewalk &amp; Bike Supp'!$D$19:$E$21)</f>
        <v>0</v>
      </c>
      <c r="H25" s="233">
        <f t="shared" si="4"/>
        <v>0</v>
      </c>
      <c r="I25" s="784">
        <f>IF(AND($F25&gt;=MIN('Major Assumption Key'!$B$4),$F25&lt;=MAX('Major Assumption Key'!$B$6)),H25,0)</f>
        <v>0</v>
      </c>
      <c r="J25" s="938">
        <f>SUM('P. Tax Inc Sidewalk &amp; Bike Supp'!$G$19:$H$21)</f>
        <v>0</v>
      </c>
      <c r="K25" s="233">
        <f t="shared" si="5"/>
        <v>0</v>
      </c>
      <c r="L25" s="848">
        <f>IF(AND($F25&gt;=MIN('Major Assumption Key'!$B$4),$F25&lt;=MAX('Major Assumption Key'!$B$6)),K25,0)</f>
        <v>0</v>
      </c>
      <c r="M25" s="26">
        <f t="shared" si="6"/>
        <v>0</v>
      </c>
      <c r="N25" s="38">
        <f>M25/(1+'Major Assumption Key'!$B$8)^($F25-'Major Assumption Key'!$B$7)</f>
        <v>0</v>
      </c>
      <c r="O25" s="292"/>
      <c r="P25" s="784">
        <f t="shared" si="7"/>
        <v>0</v>
      </c>
      <c r="Q25" s="775">
        <f t="shared" si="8"/>
        <v>0</v>
      </c>
      <c r="R25" s="26">
        <f t="shared" si="9"/>
        <v>0</v>
      </c>
      <c r="S25" s="38">
        <f t="shared" si="10"/>
        <v>0</v>
      </c>
    </row>
    <row r="26" spans="1:19" ht="15" customHeight="1">
      <c r="E26" s="218"/>
      <c r="F26" s="232">
        <f>'Major Assumption Key'!A38</f>
        <v>2039</v>
      </c>
      <c r="G26" s="938">
        <f>SUM('P. Tax Inc Sidewalk &amp; Bike Supp'!$D$19:$E$21)</f>
        <v>0</v>
      </c>
      <c r="H26" s="233">
        <f t="shared" si="4"/>
        <v>0</v>
      </c>
      <c r="I26" s="784">
        <f>IF(AND($F26&gt;=MIN('Major Assumption Key'!$B$4),$F26&lt;=MAX('Major Assumption Key'!$B$6)),H26,0)</f>
        <v>0</v>
      </c>
      <c r="J26" s="938">
        <f>SUM('P. Tax Inc Sidewalk &amp; Bike Supp'!$G$19:$H$21)</f>
        <v>0</v>
      </c>
      <c r="K26" s="233">
        <f t="shared" si="5"/>
        <v>0</v>
      </c>
      <c r="L26" s="848">
        <f>IF(AND($F26&gt;=MIN('Major Assumption Key'!$B$4),$F26&lt;=MAX('Major Assumption Key'!$B$6)),K26,0)</f>
        <v>0</v>
      </c>
      <c r="M26" s="26">
        <f t="shared" si="6"/>
        <v>0</v>
      </c>
      <c r="N26" s="38">
        <f>M26/(1+'Major Assumption Key'!$B$8)^($F26-'Major Assumption Key'!$B$7)</f>
        <v>0</v>
      </c>
      <c r="O26" s="292"/>
      <c r="P26" s="784">
        <f t="shared" si="7"/>
        <v>0</v>
      </c>
      <c r="Q26" s="775">
        <f t="shared" si="8"/>
        <v>0</v>
      </c>
      <c r="R26" s="26">
        <f t="shared" si="9"/>
        <v>0</v>
      </c>
      <c r="S26" s="38">
        <f t="shared" si="10"/>
        <v>0</v>
      </c>
    </row>
    <row r="27" spans="1:19" ht="15" customHeight="1">
      <c r="E27" s="218"/>
      <c r="F27" s="232">
        <f>'Major Assumption Key'!A39</f>
        <v>2040</v>
      </c>
      <c r="G27" s="938">
        <f>SUM('P. Tax Inc Sidewalk &amp; Bike Supp'!$D$19:$E$21)</f>
        <v>0</v>
      </c>
      <c r="H27" s="233">
        <f t="shared" si="4"/>
        <v>0</v>
      </c>
      <c r="I27" s="784">
        <f>IF(AND($F27&gt;=MIN('Major Assumption Key'!$B$4),$F27&lt;=MAX('Major Assumption Key'!$B$6)),H27,0)</f>
        <v>0</v>
      </c>
      <c r="J27" s="938">
        <f>SUM('P. Tax Inc Sidewalk &amp; Bike Supp'!$G$19:$H$21)</f>
        <v>0</v>
      </c>
      <c r="K27" s="233">
        <f t="shared" si="5"/>
        <v>0</v>
      </c>
      <c r="L27" s="848">
        <f>IF(AND($F27&gt;=MIN('Major Assumption Key'!$B$4),$F27&lt;=MAX('Major Assumption Key'!$B$6)),K27,0)</f>
        <v>0</v>
      </c>
      <c r="M27" s="26">
        <f t="shared" si="6"/>
        <v>0</v>
      </c>
      <c r="N27" s="38">
        <f>M27/(1+'Major Assumption Key'!$B$8)^($F27-'Major Assumption Key'!$B$7)</f>
        <v>0</v>
      </c>
      <c r="O27" s="292"/>
      <c r="P27" s="784">
        <f t="shared" si="7"/>
        <v>0</v>
      </c>
      <c r="Q27" s="775">
        <f t="shared" si="8"/>
        <v>0</v>
      </c>
      <c r="R27" s="26">
        <f t="shared" si="9"/>
        <v>0</v>
      </c>
      <c r="S27" s="38">
        <f t="shared" si="10"/>
        <v>0</v>
      </c>
    </row>
    <row r="28" spans="1:19" ht="15" customHeight="1">
      <c r="E28" s="218"/>
      <c r="F28" s="232">
        <f>'Major Assumption Key'!A40</f>
        <v>2041</v>
      </c>
      <c r="G28" s="938">
        <f>SUM('P. Tax Inc Sidewalk &amp; Bike Supp'!$D$19:$E$21)</f>
        <v>0</v>
      </c>
      <c r="H28" s="233">
        <f t="shared" si="4"/>
        <v>0</v>
      </c>
      <c r="I28" s="784">
        <f>IF(AND($F28&gt;=MIN('Major Assumption Key'!$B$4),$F28&lt;=MAX('Major Assumption Key'!$B$6)),H28,0)</f>
        <v>0</v>
      </c>
      <c r="J28" s="938">
        <f>SUM('P. Tax Inc Sidewalk &amp; Bike Supp'!$G$19:$H$21)</f>
        <v>0</v>
      </c>
      <c r="K28" s="233">
        <f t="shared" si="5"/>
        <v>0</v>
      </c>
      <c r="L28" s="848">
        <f>IF(AND($F28&gt;=MIN('Major Assumption Key'!$B$4),$F28&lt;=MAX('Major Assumption Key'!$B$6)),K28,0)</f>
        <v>0</v>
      </c>
      <c r="M28" s="26">
        <f t="shared" si="6"/>
        <v>0</v>
      </c>
      <c r="N28" s="38">
        <f>M28/(1+'Major Assumption Key'!$B$8)^($F28-'Major Assumption Key'!$B$7)</f>
        <v>0</v>
      </c>
      <c r="O28" s="292"/>
      <c r="P28" s="784">
        <f t="shared" si="7"/>
        <v>0</v>
      </c>
      <c r="Q28" s="775">
        <f t="shared" si="8"/>
        <v>0</v>
      </c>
      <c r="R28" s="26">
        <f t="shared" si="9"/>
        <v>0</v>
      </c>
      <c r="S28" s="38">
        <f t="shared" si="10"/>
        <v>0</v>
      </c>
    </row>
    <row r="29" spans="1:19" ht="15" customHeight="1">
      <c r="E29" s="218"/>
      <c r="F29" s="232">
        <f>'Major Assumption Key'!A41</f>
        <v>2042</v>
      </c>
      <c r="G29" s="938">
        <f>SUM('P. Tax Inc Sidewalk &amp; Bike Supp'!$D$19:$E$21)</f>
        <v>0</v>
      </c>
      <c r="H29" s="233">
        <f t="shared" si="4"/>
        <v>0</v>
      </c>
      <c r="I29" s="784">
        <f>IF(AND($F29&gt;=MIN('Major Assumption Key'!$B$4),$F29&lt;=MAX('Major Assumption Key'!$B$6)),H29,0)</f>
        <v>0</v>
      </c>
      <c r="J29" s="938">
        <f>SUM('P. Tax Inc Sidewalk &amp; Bike Supp'!$G$19:$H$21)</f>
        <v>0</v>
      </c>
      <c r="K29" s="233">
        <f t="shared" si="5"/>
        <v>0</v>
      </c>
      <c r="L29" s="848">
        <f>IF(AND($F29&gt;=MIN('Major Assumption Key'!$B$4),$F29&lt;=MAX('Major Assumption Key'!$B$6)),K29,0)</f>
        <v>0</v>
      </c>
      <c r="M29" s="26">
        <f t="shared" si="6"/>
        <v>0</v>
      </c>
      <c r="N29" s="38">
        <f>M29/(1+'Major Assumption Key'!$B$8)^($F29-'Major Assumption Key'!$B$7)</f>
        <v>0</v>
      </c>
      <c r="O29" s="292"/>
      <c r="P29" s="784">
        <f t="shared" si="7"/>
        <v>0</v>
      </c>
      <c r="Q29" s="775">
        <f t="shared" si="8"/>
        <v>0</v>
      </c>
      <c r="R29" s="26">
        <f t="shared" si="9"/>
        <v>0</v>
      </c>
      <c r="S29" s="38">
        <f t="shared" si="10"/>
        <v>0</v>
      </c>
    </row>
    <row r="30" spans="1:19">
      <c r="E30" s="218"/>
      <c r="F30" s="232">
        <f>'Major Assumption Key'!A42</f>
        <v>2043</v>
      </c>
      <c r="G30" s="938">
        <f>SUM('P. Tax Inc Sidewalk &amp; Bike Supp'!$D$19:$E$21)</f>
        <v>0</v>
      </c>
      <c r="H30" s="233">
        <f t="shared" si="4"/>
        <v>0</v>
      </c>
      <c r="I30" s="784">
        <f>IF(AND($F30&gt;=MIN('Major Assumption Key'!$B$4),$F30&lt;=MAX('Major Assumption Key'!$B$6)),H30,0)</f>
        <v>0</v>
      </c>
      <c r="J30" s="938">
        <f>SUM('P. Tax Inc Sidewalk &amp; Bike Supp'!$G$19:$H$21)</f>
        <v>0</v>
      </c>
      <c r="K30" s="233">
        <f t="shared" si="5"/>
        <v>0</v>
      </c>
      <c r="L30" s="848">
        <f>IF(AND($F30&gt;=MIN('Major Assumption Key'!$B$4),$F30&lt;=MAX('Major Assumption Key'!$B$6)),K30,0)</f>
        <v>0</v>
      </c>
      <c r="M30" s="26">
        <f t="shared" si="6"/>
        <v>0</v>
      </c>
      <c r="N30" s="38">
        <f>M30/(1+'Major Assumption Key'!$B$8)^($F30-'Major Assumption Key'!$B$7)</f>
        <v>0</v>
      </c>
      <c r="O30" s="292"/>
      <c r="P30" s="784">
        <f t="shared" si="7"/>
        <v>0</v>
      </c>
      <c r="Q30" s="775">
        <f t="shared" si="8"/>
        <v>0</v>
      </c>
      <c r="R30" s="26">
        <f t="shared" si="9"/>
        <v>0</v>
      </c>
      <c r="S30" s="38">
        <f t="shared" si="10"/>
        <v>0</v>
      </c>
    </row>
    <row r="31" spans="1:19">
      <c r="E31" s="218"/>
      <c r="F31" s="232">
        <f>'Major Assumption Key'!A43</f>
        <v>2044</v>
      </c>
      <c r="G31" s="938">
        <f>SUM('P. Tax Inc Sidewalk &amp; Bike Supp'!$D$19:$E$21)</f>
        <v>0</v>
      </c>
      <c r="H31" s="233">
        <f t="shared" si="4"/>
        <v>0</v>
      </c>
      <c r="I31" s="784">
        <f>IF(AND($F31&gt;=MIN('Major Assumption Key'!$B$4),$F31&lt;=MAX('Major Assumption Key'!$B$6)),H31,0)</f>
        <v>0</v>
      </c>
      <c r="J31" s="938">
        <f>SUM('P. Tax Inc Sidewalk &amp; Bike Supp'!$G$19:$H$21)</f>
        <v>0</v>
      </c>
      <c r="K31" s="233">
        <f t="shared" si="5"/>
        <v>0</v>
      </c>
      <c r="L31" s="848">
        <f>IF(AND($F31&gt;=MIN('Major Assumption Key'!$B$4),$F31&lt;=MAX('Major Assumption Key'!$B$6)),K31,0)</f>
        <v>0</v>
      </c>
      <c r="M31" s="26">
        <f t="shared" si="6"/>
        <v>0</v>
      </c>
      <c r="N31" s="38">
        <f>M31/(1+'Major Assumption Key'!$B$8)^($F31-'Major Assumption Key'!$B$7)</f>
        <v>0</v>
      </c>
      <c r="O31" s="292"/>
      <c r="P31" s="784">
        <f t="shared" si="7"/>
        <v>0</v>
      </c>
      <c r="Q31" s="775">
        <f t="shared" si="8"/>
        <v>0</v>
      </c>
      <c r="R31" s="26">
        <f t="shared" si="9"/>
        <v>0</v>
      </c>
      <c r="S31" s="38">
        <f t="shared" si="10"/>
        <v>0</v>
      </c>
    </row>
    <row r="32" spans="1:19" ht="14.7" customHeight="1">
      <c r="E32" s="218"/>
      <c r="F32" s="232">
        <f>'Major Assumption Key'!A44</f>
        <v>2045</v>
      </c>
      <c r="G32" s="938">
        <f>SUM('P. Tax Inc Sidewalk &amp; Bike Supp'!$D$19:$E$21)</f>
        <v>0</v>
      </c>
      <c r="H32" s="233">
        <f t="shared" si="4"/>
        <v>0</v>
      </c>
      <c r="I32" s="784">
        <f>IF(AND($F32&gt;=MIN('Major Assumption Key'!$B$4),$F32&lt;=MAX('Major Assumption Key'!$B$6)),H32,0)</f>
        <v>0</v>
      </c>
      <c r="J32" s="938">
        <f>SUM('P. Tax Inc Sidewalk &amp; Bike Supp'!$G$19:$H$21)</f>
        <v>0</v>
      </c>
      <c r="K32" s="233">
        <f t="shared" si="5"/>
        <v>0</v>
      </c>
      <c r="L32" s="848">
        <f>IF(AND($F32&gt;=MIN('Major Assumption Key'!$B$4),$F32&lt;=MAX('Major Assumption Key'!$B$6)),K32,0)</f>
        <v>0</v>
      </c>
      <c r="M32" s="26">
        <f t="shared" si="6"/>
        <v>0</v>
      </c>
      <c r="N32" s="38">
        <f>M32/(1+'Major Assumption Key'!$B$8)^($F32-'Major Assumption Key'!$B$7)</f>
        <v>0</v>
      </c>
      <c r="O32" s="292"/>
      <c r="P32" s="784">
        <f t="shared" si="7"/>
        <v>0</v>
      </c>
      <c r="Q32" s="775">
        <f t="shared" si="8"/>
        <v>0</v>
      </c>
      <c r="R32" s="26">
        <f t="shared" si="9"/>
        <v>0</v>
      </c>
      <c r="S32" s="38">
        <f t="shared" si="10"/>
        <v>0</v>
      </c>
    </row>
    <row r="33" spans="5:19">
      <c r="E33" s="218"/>
      <c r="F33" s="232">
        <f>'Major Assumption Key'!A45</f>
        <v>2046</v>
      </c>
      <c r="G33" s="938">
        <f>SUM('P. Tax Inc Sidewalk &amp; Bike Supp'!$D$19:$E$21)</f>
        <v>0</v>
      </c>
      <c r="H33" s="233">
        <f t="shared" si="4"/>
        <v>0</v>
      </c>
      <c r="I33" s="784">
        <f>IF(AND($F33&gt;=MIN('Major Assumption Key'!$B$4),$F33&lt;=MAX('Major Assumption Key'!$B$6)),H33,0)</f>
        <v>0</v>
      </c>
      <c r="J33" s="938">
        <f>SUM('P. Tax Inc Sidewalk &amp; Bike Supp'!$G$19:$H$21)</f>
        <v>0</v>
      </c>
      <c r="K33" s="233">
        <f t="shared" si="5"/>
        <v>0</v>
      </c>
      <c r="L33" s="848">
        <f>IF(AND($F33&gt;=MIN('Major Assumption Key'!$B$4),$F33&lt;=MAX('Major Assumption Key'!$B$6)),K33,0)</f>
        <v>0</v>
      </c>
      <c r="M33" s="26">
        <f t="shared" si="6"/>
        <v>0</v>
      </c>
      <c r="N33" s="38">
        <f>M33/(1+'Major Assumption Key'!$B$8)^($F33-'Major Assumption Key'!$B$7)</f>
        <v>0</v>
      </c>
      <c r="O33" s="292"/>
      <c r="P33" s="784">
        <f t="shared" si="7"/>
        <v>0</v>
      </c>
      <c r="Q33" s="775">
        <f t="shared" si="8"/>
        <v>0</v>
      </c>
      <c r="R33" s="26">
        <f t="shared" si="9"/>
        <v>0</v>
      </c>
      <c r="S33" s="38">
        <f t="shared" si="10"/>
        <v>0</v>
      </c>
    </row>
    <row r="34" spans="5:19" ht="14.7" customHeight="1">
      <c r="F34" s="232">
        <f>'Major Assumption Key'!A46</f>
        <v>2047</v>
      </c>
      <c r="G34" s="938">
        <f>SUM('P. Tax Inc Sidewalk &amp; Bike Supp'!$D$19:$E$21)</f>
        <v>0</v>
      </c>
      <c r="H34" s="233">
        <f t="shared" si="4"/>
        <v>0</v>
      </c>
      <c r="I34" s="784">
        <f>IF(AND($F34&gt;=MIN('Major Assumption Key'!$B$4),$F34&lt;=MAX('Major Assumption Key'!$B$6)),H34,0)</f>
        <v>0</v>
      </c>
      <c r="J34" s="938">
        <f>SUM('P. Tax Inc Sidewalk &amp; Bike Supp'!$G$19:$H$21)</f>
        <v>0</v>
      </c>
      <c r="K34" s="233">
        <f t="shared" si="5"/>
        <v>0</v>
      </c>
      <c r="L34" s="848">
        <f>IF(AND($F34&gt;=MIN('Major Assumption Key'!$B$4),$F34&lt;=MAX('Major Assumption Key'!$B$6)),K34,0)</f>
        <v>0</v>
      </c>
      <c r="M34" s="26">
        <f t="shared" si="6"/>
        <v>0</v>
      </c>
      <c r="N34" s="38">
        <f>M34/(1+'Major Assumption Key'!$B$8)^($F34-'Major Assumption Key'!$B$7)</f>
        <v>0</v>
      </c>
      <c r="O34" s="292"/>
      <c r="P34" s="784">
        <f t="shared" si="7"/>
        <v>0</v>
      </c>
      <c r="Q34" s="775">
        <f t="shared" si="8"/>
        <v>0</v>
      </c>
      <c r="R34" s="26">
        <f t="shared" si="9"/>
        <v>0</v>
      </c>
      <c r="S34" s="38">
        <f t="shared" si="10"/>
        <v>0</v>
      </c>
    </row>
    <row r="35" spans="5:19" ht="14.7" customHeight="1">
      <c r="F35" s="232">
        <f>'Major Assumption Key'!A47</f>
        <v>2048</v>
      </c>
      <c r="G35" s="938">
        <f>SUM('P. Tax Inc Sidewalk &amp; Bike Supp'!$D$19:$E$21)</f>
        <v>0</v>
      </c>
      <c r="H35" s="233">
        <f t="shared" si="4"/>
        <v>0</v>
      </c>
      <c r="I35" s="784">
        <f>IF(AND($F35&gt;=MIN('Major Assumption Key'!$B$4),$F35&lt;=MAX('Major Assumption Key'!$B$6)),H35,0)</f>
        <v>0</v>
      </c>
      <c r="J35" s="938">
        <f>SUM('P. Tax Inc Sidewalk &amp; Bike Supp'!$G$19:$H$21)</f>
        <v>0</v>
      </c>
      <c r="K35" s="233">
        <f t="shared" si="5"/>
        <v>0</v>
      </c>
      <c r="L35" s="848">
        <f>IF(AND($F35&gt;=MIN('Major Assumption Key'!$B$4),$F35&lt;=MAX('Major Assumption Key'!$B$6)),K35,0)</f>
        <v>0</v>
      </c>
      <c r="M35" s="26">
        <f t="shared" si="6"/>
        <v>0</v>
      </c>
      <c r="N35" s="38">
        <f>M35/(1+'Major Assumption Key'!$B$8)^($F35-'Major Assumption Key'!$B$7)</f>
        <v>0</v>
      </c>
      <c r="O35" s="292"/>
      <c r="P35" s="784">
        <f t="shared" si="7"/>
        <v>0</v>
      </c>
      <c r="Q35" s="775">
        <f t="shared" si="8"/>
        <v>0</v>
      </c>
      <c r="R35" s="26">
        <f t="shared" si="9"/>
        <v>0</v>
      </c>
      <c r="S35" s="38">
        <f t="shared" si="10"/>
        <v>0</v>
      </c>
    </row>
    <row r="36" spans="5:19" ht="14.7" customHeight="1">
      <c r="F36" s="232">
        <f>'Major Assumption Key'!A48</f>
        <v>2049</v>
      </c>
      <c r="G36" s="938">
        <f>SUM('P. Tax Inc Sidewalk &amp; Bike Supp'!$D$19:$E$21)</f>
        <v>0</v>
      </c>
      <c r="H36" s="233">
        <f t="shared" si="4"/>
        <v>0</v>
      </c>
      <c r="I36" s="784">
        <f>IF(AND($F36&gt;=MIN('Major Assumption Key'!$B$4),$F36&lt;=MAX('Major Assumption Key'!$B$6)),H36,0)</f>
        <v>0</v>
      </c>
      <c r="J36" s="938">
        <f>SUM('P. Tax Inc Sidewalk &amp; Bike Supp'!$G$19:$H$21)</f>
        <v>0</v>
      </c>
      <c r="K36" s="233">
        <f t="shared" si="5"/>
        <v>0</v>
      </c>
      <c r="L36" s="848">
        <f>IF(AND($F36&gt;=MIN('Major Assumption Key'!$B$4),$F36&lt;=MAX('Major Assumption Key'!$B$6)),K36,0)</f>
        <v>0</v>
      </c>
      <c r="M36" s="26">
        <f t="shared" si="6"/>
        <v>0</v>
      </c>
      <c r="N36" s="38">
        <f>M36/(1+'Major Assumption Key'!$B$8)^($F36-'Major Assumption Key'!$B$7)</f>
        <v>0</v>
      </c>
      <c r="O36" s="292"/>
      <c r="P36" s="784">
        <f t="shared" si="7"/>
        <v>0</v>
      </c>
      <c r="Q36" s="775">
        <f t="shared" si="8"/>
        <v>0</v>
      </c>
      <c r="R36" s="26">
        <f t="shared" si="9"/>
        <v>0</v>
      </c>
      <c r="S36" s="38">
        <f t="shared" si="10"/>
        <v>0</v>
      </c>
    </row>
    <row r="37" spans="5:19" ht="14.7" customHeight="1">
      <c r="F37" s="232">
        <f>'Major Assumption Key'!A49</f>
        <v>2050</v>
      </c>
      <c r="G37" s="938">
        <f>SUM('P. Tax Inc Sidewalk &amp; Bike Supp'!$D$19:$E$21)</f>
        <v>0</v>
      </c>
      <c r="H37" s="233">
        <f t="shared" si="4"/>
        <v>0</v>
      </c>
      <c r="I37" s="784">
        <f>IF(AND($F37&gt;=MIN('Major Assumption Key'!$B$4),$F37&lt;=MAX('Major Assumption Key'!$B$6)),H37,0)</f>
        <v>0</v>
      </c>
      <c r="J37" s="938">
        <f>SUM('P. Tax Inc Sidewalk &amp; Bike Supp'!$G$19:$H$21)</f>
        <v>0</v>
      </c>
      <c r="K37" s="233">
        <f t="shared" si="5"/>
        <v>0</v>
      </c>
      <c r="L37" s="848">
        <f>IF(AND($F37&gt;=MIN('Major Assumption Key'!$B$4),$F37&lt;=MAX('Major Assumption Key'!$B$6)),K37,0)</f>
        <v>0</v>
      </c>
      <c r="M37" s="26">
        <f t="shared" si="6"/>
        <v>0</v>
      </c>
      <c r="N37" s="38">
        <f>M37/(1+'Major Assumption Key'!$B$8)^($F37-'Major Assumption Key'!$B$7)</f>
        <v>0</v>
      </c>
      <c r="O37" s="292"/>
      <c r="P37" s="784">
        <f t="shared" si="7"/>
        <v>0</v>
      </c>
      <c r="Q37" s="775">
        <f t="shared" si="8"/>
        <v>0</v>
      </c>
      <c r="R37" s="26">
        <f t="shared" si="9"/>
        <v>0</v>
      </c>
      <c r="S37" s="38">
        <f t="shared" si="10"/>
        <v>0</v>
      </c>
    </row>
    <row r="38" spans="5:19" ht="14.7" customHeight="1">
      <c r="F38" s="232">
        <f>'Major Assumption Key'!A50</f>
        <v>2051</v>
      </c>
      <c r="G38" s="938">
        <f>SUM('P. Tax Inc Sidewalk &amp; Bike Supp'!$D$19:$E$21)</f>
        <v>0</v>
      </c>
      <c r="H38" s="233">
        <f t="shared" si="4"/>
        <v>0</v>
      </c>
      <c r="I38" s="784">
        <f>IF(AND($F38&gt;=MIN('Major Assumption Key'!$B$4),$F38&lt;=MAX('Major Assumption Key'!$B$6)),H38,0)</f>
        <v>0</v>
      </c>
      <c r="J38" s="938">
        <f>SUM('P. Tax Inc Sidewalk &amp; Bike Supp'!$G$19:$H$21)</f>
        <v>0</v>
      </c>
      <c r="K38" s="233">
        <f t="shared" si="5"/>
        <v>0</v>
      </c>
      <c r="L38" s="848">
        <f>IF(AND($F38&gt;=MIN('Major Assumption Key'!$B$4),$F38&lt;=MAX('Major Assumption Key'!$B$6)),K38,0)</f>
        <v>0</v>
      </c>
      <c r="M38" s="26">
        <f t="shared" si="6"/>
        <v>0</v>
      </c>
      <c r="N38" s="38">
        <f>M38/(1+'Major Assumption Key'!$B$8)^($F38-'Major Assumption Key'!$B$7)</f>
        <v>0</v>
      </c>
      <c r="O38" s="292"/>
      <c r="P38" s="784">
        <f t="shared" si="7"/>
        <v>0</v>
      </c>
      <c r="Q38" s="775">
        <f t="shared" si="8"/>
        <v>0</v>
      </c>
      <c r="R38" s="26">
        <f t="shared" si="9"/>
        <v>0</v>
      </c>
      <c r="S38" s="38">
        <f t="shared" si="10"/>
        <v>0</v>
      </c>
    </row>
    <row r="39" spans="5:19" ht="14.7" customHeight="1">
      <c r="F39" s="232">
        <f>'Major Assumption Key'!A51</f>
        <v>2052</v>
      </c>
      <c r="G39" s="938">
        <f>SUM('P. Tax Inc Sidewalk &amp; Bike Supp'!$D$19:$E$21)</f>
        <v>0</v>
      </c>
      <c r="H39" s="233">
        <f t="shared" si="4"/>
        <v>0</v>
      </c>
      <c r="I39" s="784">
        <f>IF(AND($F39&gt;=MIN('Major Assumption Key'!$B$4),$F39&lt;=MAX('Major Assumption Key'!$B$6)),H39,0)</f>
        <v>0</v>
      </c>
      <c r="J39" s="938">
        <f>SUM('P. Tax Inc Sidewalk &amp; Bike Supp'!$G$19:$H$21)</f>
        <v>0</v>
      </c>
      <c r="K39" s="233">
        <f t="shared" si="5"/>
        <v>0</v>
      </c>
      <c r="L39" s="848">
        <f>IF(AND($F39&gt;=MIN('Major Assumption Key'!$B$4),$F39&lt;=MAX('Major Assumption Key'!$B$6)),K39,0)</f>
        <v>0</v>
      </c>
      <c r="M39" s="26">
        <f t="shared" si="6"/>
        <v>0</v>
      </c>
      <c r="N39" s="38">
        <f>M39/(1+'Major Assumption Key'!$B$8)^($F39-'Major Assumption Key'!$B$7)</f>
        <v>0</v>
      </c>
      <c r="O39" s="292"/>
      <c r="P39" s="784">
        <f t="shared" si="7"/>
        <v>0</v>
      </c>
      <c r="Q39" s="775">
        <f t="shared" si="8"/>
        <v>0</v>
      </c>
      <c r="R39" s="26">
        <f t="shared" si="9"/>
        <v>0</v>
      </c>
      <c r="S39" s="38">
        <f t="shared" si="10"/>
        <v>0</v>
      </c>
    </row>
    <row r="40" spans="5:19" ht="14.7" customHeight="1">
      <c r="F40" s="232">
        <f>'Major Assumption Key'!A52</f>
        <v>2053</v>
      </c>
      <c r="G40" s="938">
        <f>SUM('P. Tax Inc Sidewalk &amp; Bike Supp'!$D$19:$E$21)</f>
        <v>0</v>
      </c>
      <c r="H40" s="233">
        <f t="shared" si="4"/>
        <v>0</v>
      </c>
      <c r="I40" s="784">
        <f>IF(AND($F40&gt;=MIN('Major Assumption Key'!$B$4),$F40&lt;=MAX('Major Assumption Key'!$B$6)),H40,0)</f>
        <v>0</v>
      </c>
      <c r="J40" s="938">
        <f>SUM('P. Tax Inc Sidewalk &amp; Bike Supp'!$G$19:$H$21)</f>
        <v>0</v>
      </c>
      <c r="K40" s="233">
        <f t="shared" si="5"/>
        <v>0</v>
      </c>
      <c r="L40" s="848">
        <f>IF(AND($F40&gt;=MIN('Major Assumption Key'!$B$4),$F40&lt;=MAX('Major Assumption Key'!$B$6)),K40,0)</f>
        <v>0</v>
      </c>
      <c r="M40" s="26">
        <f t="shared" si="6"/>
        <v>0</v>
      </c>
      <c r="N40" s="38">
        <f>M40/(1+'Major Assumption Key'!$B$8)^($F40-'Major Assumption Key'!$B$7)</f>
        <v>0</v>
      </c>
      <c r="O40" s="292"/>
      <c r="P40" s="784">
        <f t="shared" si="7"/>
        <v>0</v>
      </c>
      <c r="Q40" s="775">
        <f t="shared" si="8"/>
        <v>0</v>
      </c>
      <c r="R40" s="26">
        <f t="shared" si="9"/>
        <v>0</v>
      </c>
      <c r="S40" s="38">
        <f t="shared" si="10"/>
        <v>0</v>
      </c>
    </row>
    <row r="41" spans="5:19" ht="14.7" customHeight="1">
      <c r="F41" s="232">
        <f>'Major Assumption Key'!A53</f>
        <v>2054</v>
      </c>
      <c r="G41" s="938">
        <f>SUM('P. Tax Inc Sidewalk &amp; Bike Supp'!$D$19:$E$21)</f>
        <v>0</v>
      </c>
      <c r="H41" s="233">
        <f t="shared" si="4"/>
        <v>0</v>
      </c>
      <c r="I41" s="784">
        <f>IF(AND($F41&gt;=MIN('Major Assumption Key'!$B$4),$F41&lt;=MAX('Major Assumption Key'!$B$6)),H41,0)</f>
        <v>0</v>
      </c>
      <c r="J41" s="938">
        <f>SUM('P. Tax Inc Sidewalk &amp; Bike Supp'!$G$19:$H$21)</f>
        <v>0</v>
      </c>
      <c r="K41" s="233">
        <f t="shared" si="5"/>
        <v>0</v>
      </c>
      <c r="L41" s="848">
        <f>IF(AND($F41&gt;=MIN('Major Assumption Key'!$B$4),$F41&lt;=MAX('Major Assumption Key'!$B$6)),K41,0)</f>
        <v>0</v>
      </c>
      <c r="M41" s="26">
        <f t="shared" si="6"/>
        <v>0</v>
      </c>
      <c r="N41" s="38">
        <f>M41/(1+'Major Assumption Key'!$B$8)^($F41-'Major Assumption Key'!$B$7)</f>
        <v>0</v>
      </c>
      <c r="O41" s="292"/>
      <c r="P41" s="784">
        <f t="shared" si="7"/>
        <v>0</v>
      </c>
      <c r="Q41" s="775">
        <f t="shared" si="8"/>
        <v>0</v>
      </c>
      <c r="R41" s="26">
        <f t="shared" si="9"/>
        <v>0</v>
      </c>
      <c r="S41" s="38">
        <f t="shared" si="10"/>
        <v>0</v>
      </c>
    </row>
    <row r="42" spans="5:19" ht="14.7" customHeight="1">
      <c r="F42" s="232">
        <f>'Major Assumption Key'!A54</f>
        <v>2055</v>
      </c>
      <c r="G42" s="938">
        <f>SUM('P. Tax Inc Sidewalk &amp; Bike Supp'!$D$19:$E$21)</f>
        <v>0</v>
      </c>
      <c r="H42" s="233">
        <f t="shared" si="4"/>
        <v>0</v>
      </c>
      <c r="I42" s="784">
        <f>IF(AND($F42&gt;=MIN('Major Assumption Key'!$B$4),$F42&lt;=MAX('Major Assumption Key'!$B$6)),H42,0)</f>
        <v>0</v>
      </c>
      <c r="J42" s="938">
        <f>SUM('P. Tax Inc Sidewalk &amp; Bike Supp'!$G$19:$H$21)</f>
        <v>0</v>
      </c>
      <c r="K42" s="233">
        <f t="shared" si="5"/>
        <v>0</v>
      </c>
      <c r="L42" s="848">
        <f>IF(AND($F42&gt;=MIN('Major Assumption Key'!$B$4),$F42&lt;=MAX('Major Assumption Key'!$B$6)),K42,0)</f>
        <v>0</v>
      </c>
      <c r="M42" s="26">
        <f t="shared" si="6"/>
        <v>0</v>
      </c>
      <c r="N42" s="38">
        <f>M42/(1+'Major Assumption Key'!$B$8)^($F42-'Major Assumption Key'!$B$7)</f>
        <v>0</v>
      </c>
      <c r="O42" s="292"/>
      <c r="P42" s="784">
        <f t="shared" si="7"/>
        <v>0</v>
      </c>
      <c r="Q42" s="775">
        <f t="shared" si="8"/>
        <v>0</v>
      </c>
      <c r="R42" s="26">
        <f t="shared" si="9"/>
        <v>0</v>
      </c>
      <c r="S42" s="38">
        <f t="shared" si="10"/>
        <v>0</v>
      </c>
    </row>
    <row r="43" spans="5:19" ht="14.7" customHeight="1">
      <c r="F43" s="232">
        <f>'Major Assumption Key'!A55</f>
        <v>2056</v>
      </c>
      <c r="G43" s="938">
        <f>SUM('P. Tax Inc Sidewalk &amp; Bike Supp'!$D$19:$E$21)</f>
        <v>0</v>
      </c>
      <c r="H43" s="233">
        <f t="shared" si="4"/>
        <v>0</v>
      </c>
      <c r="I43" s="784">
        <f>IF(AND($F43&gt;=MIN('Major Assumption Key'!$B$4),$F43&lt;=MAX('Major Assumption Key'!$B$6)),H43,0)</f>
        <v>0</v>
      </c>
      <c r="J43" s="938">
        <f>SUM('P. Tax Inc Sidewalk &amp; Bike Supp'!$G$19:$H$21)</f>
        <v>0</v>
      </c>
      <c r="K43" s="233">
        <f t="shared" si="5"/>
        <v>0</v>
      </c>
      <c r="L43" s="848">
        <f>IF(AND($F43&gt;=MIN('Major Assumption Key'!$B$4),$F43&lt;=MAX('Major Assumption Key'!$B$6)),K43,0)</f>
        <v>0</v>
      </c>
      <c r="M43" s="26">
        <f t="shared" si="6"/>
        <v>0</v>
      </c>
      <c r="N43" s="38">
        <f>M43/(1+'Major Assumption Key'!$B$8)^($F43-'Major Assumption Key'!$B$7)</f>
        <v>0</v>
      </c>
      <c r="O43" s="292"/>
      <c r="P43" s="784">
        <f t="shared" si="7"/>
        <v>0</v>
      </c>
      <c r="Q43" s="775">
        <f t="shared" si="8"/>
        <v>0</v>
      </c>
      <c r="R43" s="26">
        <f t="shared" si="9"/>
        <v>0</v>
      </c>
      <c r="S43" s="38">
        <f t="shared" si="10"/>
        <v>0</v>
      </c>
    </row>
    <row r="44" spans="5:19" ht="14.7" customHeight="1">
      <c r="F44" s="232">
        <f>'Major Assumption Key'!A56</f>
        <v>2057</v>
      </c>
      <c r="G44" s="938">
        <f>SUM('P. Tax Inc Sidewalk &amp; Bike Supp'!$D$19:$E$21)</f>
        <v>0</v>
      </c>
      <c r="H44" s="233">
        <f t="shared" si="4"/>
        <v>0</v>
      </c>
      <c r="I44" s="784">
        <f>IF(AND($F44&gt;=MIN('Major Assumption Key'!$B$4),$F44&lt;=MAX('Major Assumption Key'!$B$6)),H44,0)</f>
        <v>0</v>
      </c>
      <c r="J44" s="938">
        <f>SUM('P. Tax Inc Sidewalk &amp; Bike Supp'!$G$19:$H$21)</f>
        <v>0</v>
      </c>
      <c r="K44" s="233">
        <f t="shared" si="5"/>
        <v>0</v>
      </c>
      <c r="L44" s="848">
        <f>IF(AND($F44&gt;=MIN('Major Assumption Key'!$B$4),$F44&lt;=MAX('Major Assumption Key'!$B$6)),K44,0)</f>
        <v>0</v>
      </c>
      <c r="M44" s="26">
        <f t="shared" si="6"/>
        <v>0</v>
      </c>
      <c r="N44" s="38">
        <f>M44/(1+'Major Assumption Key'!$B$8)^($F44-'Major Assumption Key'!$B$7)</f>
        <v>0</v>
      </c>
      <c r="O44" s="292"/>
      <c r="P44" s="784">
        <f t="shared" si="7"/>
        <v>0</v>
      </c>
      <c r="Q44" s="775">
        <f t="shared" si="8"/>
        <v>0</v>
      </c>
      <c r="R44" s="26">
        <f t="shared" si="9"/>
        <v>0</v>
      </c>
      <c r="S44" s="38">
        <f t="shared" si="10"/>
        <v>0</v>
      </c>
    </row>
    <row r="45" spans="5:19" ht="14.7" customHeight="1">
      <c r="F45" s="232">
        <f>'Major Assumption Key'!A57</f>
        <v>2058</v>
      </c>
      <c r="G45" s="938">
        <f>SUM('P. Tax Inc Sidewalk &amp; Bike Supp'!$D$19:$E$21)</f>
        <v>0</v>
      </c>
      <c r="H45" s="233">
        <f t="shared" si="4"/>
        <v>0</v>
      </c>
      <c r="I45" s="784">
        <f>IF(AND($F45&gt;=MIN('Major Assumption Key'!$B$4),$F45&lt;=MAX('Major Assumption Key'!$B$6)),H45,0)</f>
        <v>0</v>
      </c>
      <c r="J45" s="938">
        <f>SUM('P. Tax Inc Sidewalk &amp; Bike Supp'!$G$19:$H$21)</f>
        <v>0</v>
      </c>
      <c r="K45" s="233">
        <f t="shared" si="5"/>
        <v>0</v>
      </c>
      <c r="L45" s="848">
        <f>IF(AND($F45&gt;=MIN('Major Assumption Key'!$B$4),$F45&lt;=MAX('Major Assumption Key'!$B$6)),K45,0)</f>
        <v>0</v>
      </c>
      <c r="M45" s="26">
        <f t="shared" si="6"/>
        <v>0</v>
      </c>
      <c r="N45" s="38">
        <f>M45/(1+'Major Assumption Key'!$B$8)^($F45-'Major Assumption Key'!$B$7)</f>
        <v>0</v>
      </c>
      <c r="O45" s="292"/>
      <c r="P45" s="784">
        <f t="shared" si="7"/>
        <v>0</v>
      </c>
      <c r="Q45" s="775">
        <f t="shared" si="8"/>
        <v>0</v>
      </c>
      <c r="R45" s="26">
        <f t="shared" si="9"/>
        <v>0</v>
      </c>
      <c r="S45" s="38">
        <f t="shared" si="10"/>
        <v>0</v>
      </c>
    </row>
    <row r="46" spans="5:19" ht="14.7" customHeight="1">
      <c r="F46" s="232">
        <f>'Major Assumption Key'!A58</f>
        <v>2059</v>
      </c>
      <c r="G46" s="938">
        <f>SUM('P. Tax Inc Sidewalk &amp; Bike Supp'!$D$19:$E$21)</f>
        <v>0</v>
      </c>
      <c r="H46" s="233">
        <f t="shared" si="4"/>
        <v>0</v>
      </c>
      <c r="I46" s="784">
        <f>IF(AND($F46&gt;=MIN('Major Assumption Key'!$B$4),$F46&lt;=MAX('Major Assumption Key'!$B$6)),H46,0)</f>
        <v>0</v>
      </c>
      <c r="J46" s="938">
        <f>SUM('P. Tax Inc Sidewalk &amp; Bike Supp'!$G$19:$H$21)</f>
        <v>0</v>
      </c>
      <c r="K46" s="233">
        <f t="shared" si="5"/>
        <v>0</v>
      </c>
      <c r="L46" s="848">
        <f>IF(AND($F46&gt;=MIN('Major Assumption Key'!$B$4),$F46&lt;=MAX('Major Assumption Key'!$B$6)),K46,0)</f>
        <v>0</v>
      </c>
      <c r="M46" s="26">
        <f t="shared" si="6"/>
        <v>0</v>
      </c>
      <c r="N46" s="38">
        <f>M46/(1+'Major Assumption Key'!$B$8)^($F46-'Major Assumption Key'!$B$7)</f>
        <v>0</v>
      </c>
      <c r="O46" s="292"/>
      <c r="P46" s="784">
        <f t="shared" si="7"/>
        <v>0</v>
      </c>
      <c r="Q46" s="775">
        <f t="shared" si="8"/>
        <v>0</v>
      </c>
      <c r="R46" s="26">
        <f t="shared" si="9"/>
        <v>0</v>
      </c>
      <c r="S46" s="38">
        <f t="shared" si="10"/>
        <v>0</v>
      </c>
    </row>
    <row r="47" spans="5:19" ht="14.7" customHeight="1">
      <c r="F47" s="232">
        <f>'Major Assumption Key'!A59</f>
        <v>2060</v>
      </c>
      <c r="G47" s="938">
        <f>SUM('P. Tax Inc Sidewalk &amp; Bike Supp'!$D$19:$E$21)</f>
        <v>0</v>
      </c>
      <c r="H47" s="233">
        <f t="shared" si="4"/>
        <v>0</v>
      </c>
      <c r="I47" s="784">
        <f>IF(AND($F47&gt;=MIN('Major Assumption Key'!$B$4),$F47&lt;=MAX('Major Assumption Key'!$B$6)),H47,0)</f>
        <v>0</v>
      </c>
      <c r="J47" s="938">
        <f>SUM('P. Tax Inc Sidewalk &amp; Bike Supp'!$G$19:$H$21)</f>
        <v>0</v>
      </c>
      <c r="K47" s="233">
        <f t="shared" si="5"/>
        <v>0</v>
      </c>
      <c r="L47" s="848">
        <f>IF(AND($F47&gt;=MIN('Major Assumption Key'!$B$4),$F47&lt;=MAX('Major Assumption Key'!$B$6)),K47,0)</f>
        <v>0</v>
      </c>
      <c r="M47" s="26">
        <f t="shared" si="6"/>
        <v>0</v>
      </c>
      <c r="N47" s="38">
        <f>M47/(1+'Major Assumption Key'!$B$8)^($F47-'Major Assumption Key'!$B$7)</f>
        <v>0</v>
      </c>
      <c r="O47" s="292"/>
      <c r="P47" s="784">
        <f t="shared" si="7"/>
        <v>0</v>
      </c>
      <c r="Q47" s="775">
        <f t="shared" si="8"/>
        <v>0</v>
      </c>
      <c r="R47" s="26">
        <f t="shared" si="9"/>
        <v>0</v>
      </c>
      <c r="S47" s="38">
        <f t="shared" si="10"/>
        <v>0</v>
      </c>
    </row>
    <row r="48" spans="5:19" ht="14.7" customHeight="1" thickBot="1">
      <c r="F48" s="235" t="s">
        <v>504</v>
      </c>
      <c r="G48" s="236"/>
      <c r="H48" s="236"/>
      <c r="I48" s="118">
        <f>SUMIFS($I$7:$I$47,$F$7:$F$47,"&gt;="&amp;$B$17,$F$7:$F$47,"&lt;="&amp;$B$18)</f>
        <v>0</v>
      </c>
      <c r="J48" s="236"/>
      <c r="K48" s="236"/>
      <c r="L48" s="119">
        <f>SUMIFS($L$7:$L$47,$F$7:$F$47,"&gt;="&amp;$B$17,$F$7:$F$47,"&lt;="&amp;$B$18)</f>
        <v>0</v>
      </c>
      <c r="M48" s="237">
        <f>SUMIFS($M$7:$M$47,$F$7:$F$47,"&gt;="&amp;$B$17,$F$7:$F$47,"&lt;="&amp;$B$18)</f>
        <v>0</v>
      </c>
      <c r="N48" s="238">
        <f>SUMIFS($N$7:$N$47,$F$7:$F$47,"&gt;="&amp;$B$17,$F$7:$F$47,"&lt;="&amp;$B$18)</f>
        <v>0</v>
      </c>
      <c r="O48" s="292"/>
      <c r="P48" s="118">
        <f t="shared" si="3"/>
        <v>0</v>
      </c>
      <c r="Q48" s="119">
        <f t="shared" ref="Q48" si="11">ROUND(L48,-3)</f>
        <v>0</v>
      </c>
      <c r="R48" s="237">
        <f>ROUND(M48,-3)</f>
        <v>0</v>
      </c>
      <c r="S48" s="238">
        <f>ROUND(N48,-3)</f>
        <v>0</v>
      </c>
    </row>
    <row r="49" spans="6:15" ht="14.7" customHeight="1">
      <c r="F49" s="246"/>
      <c r="G49" s="246"/>
      <c r="H49" s="218"/>
      <c r="I49" s="218"/>
      <c r="J49" s="218"/>
      <c r="K49" s="218"/>
      <c r="L49" s="218"/>
      <c r="M49" s="218"/>
      <c r="N49" s="218"/>
      <c r="O49" s="292"/>
    </row>
    <row r="50" spans="6:15" ht="14.7" customHeight="1">
      <c r="F50" s="246"/>
      <c r="G50" s="246"/>
      <c r="H50" s="218"/>
      <c r="I50" s="218"/>
      <c r="J50" s="218"/>
      <c r="K50" s="218"/>
      <c r="L50" s="218"/>
      <c r="M50" s="218"/>
      <c r="N50" s="218"/>
    </row>
    <row r="51" spans="6:15" ht="14.7" customHeight="1">
      <c r="I51" s="51"/>
      <c r="L51" s="51"/>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77734375" defaultRowHeight="14.4"/>
  <cols>
    <col min="1" max="1" width="31" style="243" customWidth="1"/>
    <col min="2" max="2" width="75.77734375" style="241" bestFit="1" customWidth="1"/>
    <col min="3" max="3" width="24.21875" style="241" customWidth="1"/>
    <col min="4" max="4" width="30.21875" style="241" bestFit="1" customWidth="1"/>
    <col min="5" max="5" width="31.21875" style="241" bestFit="1" customWidth="1"/>
    <col min="6" max="6" width="38.5546875" style="241" bestFit="1" customWidth="1"/>
    <col min="7" max="7" width="26.21875" style="241" bestFit="1" customWidth="1"/>
    <col min="8" max="8" width="27.21875" style="241" bestFit="1" customWidth="1"/>
    <col min="9" max="9" width="27.77734375" style="241" bestFit="1" customWidth="1"/>
    <col min="10" max="11" width="15.21875" style="241" customWidth="1"/>
    <col min="12" max="12" width="8.77734375" style="243"/>
    <col min="13" max="13" width="60.77734375" style="243" bestFit="1" customWidth="1"/>
    <col min="14" max="14" width="16.44140625" style="243" bestFit="1" customWidth="1"/>
    <col min="15" max="15" width="12.77734375" style="243" customWidth="1"/>
    <col min="16" max="16" width="13.21875" style="243" customWidth="1"/>
    <col min="17" max="17" width="12.21875" style="243" customWidth="1"/>
    <col min="18" max="18" width="9" style="243" bestFit="1" customWidth="1"/>
    <col min="19" max="19" width="12" style="243" customWidth="1"/>
    <col min="20" max="20" width="13.77734375" style="243" customWidth="1"/>
    <col min="21" max="22" width="11" style="243" customWidth="1"/>
    <col min="23" max="23" width="9" style="243" bestFit="1" customWidth="1"/>
    <col min="24" max="16384" width="8.77734375" style="243"/>
  </cols>
  <sheetData>
    <row r="1" spans="1:12" s="241" customFormat="1" ht="25.2" customHeight="1">
      <c r="A1" s="275" t="s">
        <v>546</v>
      </c>
      <c r="B1" s="275" t="s">
        <v>7400</v>
      </c>
      <c r="C1" s="276"/>
      <c r="D1" s="276"/>
      <c r="E1" s="276"/>
      <c r="F1" s="33" t="s">
        <v>187</v>
      </c>
      <c r="G1" s="45" t="str">
        <f>HYPERLINK("#'"&amp;INDEX('Master Key'!$B:$B,MATCH("Master Key",'Master Key'!$B:$B,0),1)&amp;"'!A1","Go To Sheet")</f>
        <v>Go To Sheet</v>
      </c>
      <c r="L1" s="243"/>
    </row>
    <row r="2" spans="1:12" s="241" customFormat="1" ht="11.25" customHeight="1">
      <c r="A2" s="239"/>
      <c r="B2" s="240"/>
      <c r="F2" s="33"/>
      <c r="G2" s="45"/>
      <c r="L2" s="243"/>
    </row>
    <row r="3" spans="1:12" s="241" customFormat="1">
      <c r="A3" s="242"/>
      <c r="L3" s="243"/>
    </row>
    <row r="4" spans="1:12" customFormat="1" ht="13.2">
      <c r="A4" s="245" t="s">
        <v>7354</v>
      </c>
      <c r="B4" s="245"/>
      <c r="F4" s="1"/>
    </row>
    <row r="5" spans="1:12" customFormat="1" ht="13.2">
      <c r="A5" s="369" t="s">
        <v>7361</v>
      </c>
      <c r="B5" s="369" t="str">
        <f>_xlfn.CONCAT("Tax Rate $",'Major Assumption Key'!$B$7)</f>
        <v>Tax Rate $2022</v>
      </c>
      <c r="F5" s="1"/>
    </row>
    <row r="6" spans="1:12" customFormat="1" ht="13.2">
      <c r="A6" s="369" t="s">
        <v>7362</v>
      </c>
      <c r="B6" s="369">
        <v>1.0944</v>
      </c>
    </row>
    <row r="7" spans="1:12" customFormat="1" ht="13.2">
      <c r="A7" s="369" t="s">
        <v>7363</v>
      </c>
      <c r="B7" s="369">
        <v>0.37692999999999999</v>
      </c>
    </row>
    <row r="8" spans="1:12" customFormat="1" ht="13.2">
      <c r="A8" s="369" t="s">
        <v>7364</v>
      </c>
      <c r="B8" s="369">
        <v>3.3489999999999999E-2</v>
      </c>
    </row>
    <row r="9" spans="1:12" customFormat="1" ht="13.2">
      <c r="A9" s="369" t="s">
        <v>7365</v>
      </c>
      <c r="B9" s="369">
        <v>8.7200000000000003E-3</v>
      </c>
    </row>
    <row r="10" spans="1:12" customFormat="1" ht="13.2">
      <c r="A10" s="369" t="s">
        <v>7366</v>
      </c>
      <c r="B10" s="369">
        <v>0.16220999999999999</v>
      </c>
    </row>
    <row r="11" spans="1:12" customFormat="1" ht="13.2">
      <c r="A11" s="369" t="s">
        <v>7367</v>
      </c>
      <c r="B11" s="369">
        <v>4.9899999999999996E-3</v>
      </c>
    </row>
    <row r="12" spans="1:12" customFormat="1" ht="13.2">
      <c r="A12" s="369" t="s">
        <v>7368</v>
      </c>
      <c r="B12" s="369">
        <v>9.9092E-2</v>
      </c>
    </row>
    <row r="13" spans="1:12" customFormat="1" ht="13.2">
      <c r="A13" s="369" t="s">
        <v>7369</v>
      </c>
      <c r="B13" s="369">
        <v>0.55083000000000004</v>
      </c>
    </row>
    <row r="14" spans="1:12" customFormat="1" ht="13.2">
      <c r="A14" s="369" t="s">
        <v>473</v>
      </c>
      <c r="B14" s="370">
        <f>SUM(B6:B13)/100</f>
        <v>2.3306620000000004E-2</v>
      </c>
    </row>
    <row r="15" spans="1:12" customFormat="1" ht="13.2"/>
    <row r="16" spans="1:12" customFormat="1" ht="13.2"/>
    <row r="17" spans="1:14" customFormat="1" ht="13.2">
      <c r="A17" s="110" t="s">
        <v>7370</v>
      </c>
    </row>
    <row r="18" spans="1:14" customFormat="1" ht="13.2">
      <c r="A18" s="248" t="s">
        <v>7401</v>
      </c>
      <c r="B18" s="248" t="s">
        <v>7372</v>
      </c>
      <c r="C18" s="248" t="s">
        <v>7373</v>
      </c>
      <c r="D18" s="255" t="s">
        <v>7374</v>
      </c>
      <c r="E18" s="255" t="s">
        <v>7375</v>
      </c>
      <c r="F18" s="248" t="s">
        <v>7376</v>
      </c>
      <c r="G18" s="248" t="s">
        <v>7377</v>
      </c>
      <c r="H18" s="248" t="s">
        <v>7378</v>
      </c>
    </row>
    <row r="19" spans="1:14" customFormat="1">
      <c r="A19" s="234" t="s">
        <v>7392</v>
      </c>
      <c r="B19" s="234" t="s">
        <v>7393</v>
      </c>
      <c r="C19" s="250">
        <v>0</v>
      </c>
      <c r="D19" s="252">
        <v>0</v>
      </c>
      <c r="E19" s="257"/>
      <c r="F19" s="952">
        <f>'Prop. Tax Inc Sidewalk &amp; Bike'!B20</f>
        <v>973.94839999999999</v>
      </c>
      <c r="G19" s="262">
        <f>(F19*C19)+D19</f>
        <v>0</v>
      </c>
      <c r="H19" s="244"/>
    </row>
    <row r="20" spans="1:14" customFormat="1">
      <c r="A20" s="234" t="s">
        <v>7394</v>
      </c>
      <c r="B20" s="234" t="s">
        <v>7395</v>
      </c>
      <c r="C20" s="250">
        <v>0</v>
      </c>
      <c r="D20" s="252">
        <v>0</v>
      </c>
      <c r="E20" s="257"/>
      <c r="F20" s="952">
        <f>'Prop. Tax Inc Sidewalk &amp; Bike'!B21</f>
        <v>130.81479999999999</v>
      </c>
      <c r="G20" s="262">
        <f>(F20*C20)+D20</f>
        <v>0</v>
      </c>
      <c r="H20" s="262"/>
    </row>
    <row r="21" spans="1:14" customFormat="1">
      <c r="A21" s="234" t="s">
        <v>7381</v>
      </c>
      <c r="B21" s="234" t="s">
        <v>7382</v>
      </c>
      <c r="C21" s="234"/>
      <c r="D21" s="253"/>
      <c r="E21" s="252">
        <v>0</v>
      </c>
      <c r="F21" s="949">
        <f>'Prop. Tax Inc Sidewalk &amp; Bike'!B22</f>
        <v>0.09</v>
      </c>
      <c r="G21" s="262"/>
      <c r="H21" s="262">
        <f>E21*(1+F21)</f>
        <v>0</v>
      </c>
    </row>
    <row r="22" spans="1:14" customFormat="1">
      <c r="A22" s="243"/>
      <c r="B22" s="243"/>
      <c r="C22" s="243"/>
      <c r="D22" s="258"/>
      <c r="E22" s="258"/>
      <c r="F22" s="243"/>
      <c r="G22" s="243"/>
      <c r="H22" s="243"/>
    </row>
    <row r="23" spans="1:14" customFormat="1" ht="13.2"/>
    <row r="24" spans="1:14" customFormat="1" ht="13.2"/>
    <row r="25" spans="1:14" customFormat="1" ht="13.2"/>
    <row r="26" spans="1:14">
      <c r="B26" s="243"/>
      <c r="C26" s="243"/>
      <c r="D26" s="243"/>
      <c r="E26" s="243"/>
      <c r="F26" s="243"/>
      <c r="G26" s="243"/>
      <c r="H26" s="243"/>
      <c r="I26" s="243"/>
      <c r="J26" s="243"/>
      <c r="K26" s="243"/>
      <c r="L26" s="241"/>
      <c r="M26" s="241"/>
      <c r="N26" s="241"/>
    </row>
    <row r="27" spans="1:14">
      <c r="B27" s="243"/>
      <c r="C27" s="243"/>
      <c r="D27" s="243"/>
      <c r="E27" s="243"/>
      <c r="F27" s="243"/>
      <c r="G27" s="243"/>
      <c r="H27" s="243"/>
      <c r="I27" s="243"/>
      <c r="J27" s="243"/>
      <c r="K27" s="243"/>
      <c r="L27" s="241"/>
      <c r="M27" s="241"/>
      <c r="N27" s="241"/>
    </row>
    <row r="28" spans="1:14">
      <c r="B28" s="243"/>
      <c r="C28" s="243"/>
      <c r="D28" s="243"/>
      <c r="E28" s="243"/>
      <c r="F28" s="243"/>
      <c r="G28" s="243"/>
      <c r="H28" s="243"/>
      <c r="I28" s="243"/>
      <c r="J28" s="243"/>
      <c r="K28" s="243"/>
      <c r="L28" s="241"/>
    </row>
    <row r="29" spans="1:14">
      <c r="B29" s="243"/>
      <c r="C29" s="243"/>
      <c r="D29" s="243"/>
      <c r="E29" s="243"/>
      <c r="F29" s="243"/>
      <c r="G29" s="243"/>
      <c r="H29" s="243"/>
      <c r="I29" s="243"/>
      <c r="J29" s="243"/>
      <c r="K29" s="243"/>
      <c r="L29" s="241"/>
    </row>
    <row r="30" spans="1:14">
      <c r="B30" s="243"/>
      <c r="C30" s="243"/>
      <c r="D30" s="243"/>
      <c r="E30" s="243"/>
      <c r="F30" s="243"/>
      <c r="G30" s="243"/>
      <c r="H30" s="243"/>
      <c r="I30" s="243"/>
      <c r="J30" s="243"/>
      <c r="K30" s="243"/>
      <c r="L30" s="241"/>
    </row>
    <row r="31" spans="1:14">
      <c r="B31" s="243"/>
      <c r="C31" s="243"/>
      <c r="D31" s="243"/>
      <c r="E31" s="243"/>
      <c r="F31" s="243"/>
      <c r="G31" s="243"/>
      <c r="H31" s="243"/>
      <c r="I31" s="243"/>
      <c r="J31" s="243"/>
      <c r="K31" s="243"/>
      <c r="L31" s="241"/>
      <c r="M31" s="241"/>
    </row>
    <row r="32" spans="1:14">
      <c r="B32" s="243"/>
      <c r="C32" s="243"/>
      <c r="D32" s="243"/>
      <c r="E32" s="243"/>
      <c r="F32" s="243"/>
      <c r="G32" s="243"/>
      <c r="H32" s="243"/>
      <c r="I32" s="243"/>
      <c r="J32" s="243"/>
      <c r="K32" s="243"/>
      <c r="L32" s="241"/>
      <c r="M32" s="241"/>
    </row>
    <row r="33" spans="2:13">
      <c r="B33" s="243"/>
      <c r="C33" s="243"/>
      <c r="D33" s="243"/>
      <c r="E33" s="243"/>
      <c r="F33" s="243"/>
      <c r="G33" s="243"/>
      <c r="H33" s="243"/>
      <c r="I33" s="243"/>
      <c r="J33" s="243"/>
      <c r="K33" s="243"/>
      <c r="L33" s="241"/>
      <c r="M33" s="241"/>
    </row>
    <row r="34" spans="2:13">
      <c r="B34" s="243"/>
      <c r="C34" s="243"/>
      <c r="D34" s="243"/>
      <c r="I34" s="243"/>
    </row>
    <row r="35" spans="2:13">
      <c r="I35" s="243"/>
    </row>
    <row r="36" spans="2:13">
      <c r="I36" s="243"/>
    </row>
    <row r="37" spans="2:13">
      <c r="I37" s="243"/>
    </row>
    <row r="38" spans="2:13">
      <c r="I38" s="243"/>
    </row>
    <row r="39" spans="2:13">
      <c r="I39" s="243"/>
    </row>
    <row r="40" spans="2:13">
      <c r="I40" s="243"/>
    </row>
    <row r="41" spans="2:13">
      <c r="I41" s="243"/>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21875" defaultRowHeight="14.4"/>
  <cols>
    <col min="1" max="1" width="30.4414062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3" width="32.21875" style="3" customWidth="1"/>
    <col min="14" max="14" width="19.77734375" style="3" customWidth="1"/>
    <col min="15" max="15" width="20" style="3" bestFit="1" customWidth="1"/>
    <col min="16" max="16" width="18.21875" style="3" bestFit="1" customWidth="1"/>
    <col min="17" max="17" width="9.21875" style="218"/>
    <col min="18" max="21" width="17.44140625" style="218" customWidth="1"/>
    <col min="22" max="27" width="9.21875" style="218"/>
    <col min="38" max="38" width="9.21875" style="218"/>
    <col min="39" max="39" width="11.21875" style="218" bestFit="1" customWidth="1"/>
    <col min="40" max="16384" width="9.21875" style="218"/>
  </cols>
  <sheetData>
    <row r="1" spans="1:21" ht="25.2" customHeight="1">
      <c r="A1" s="271" t="s">
        <v>185</v>
      </c>
      <c r="B1" s="42" t="s">
        <v>7402</v>
      </c>
      <c r="C1" s="217"/>
      <c r="D1" s="217"/>
      <c r="E1" s="217"/>
      <c r="F1" s="33" t="s">
        <v>187</v>
      </c>
      <c r="G1" s="45" t="str">
        <f>HYPERLINK("#'"&amp;INDEX('Master Key'!$B:$B,MATCH("Master Key",'Master Key'!$B:$B,0),1)&amp;"'!A1","Go To Sheet")</f>
        <v>Go To Sheet</v>
      </c>
    </row>
    <row r="2" spans="1:21" ht="15" thickBot="1">
      <c r="A2" s="218"/>
      <c r="B2" s="218"/>
      <c r="C2" s="218"/>
      <c r="D2" s="218"/>
      <c r="E2" s="218"/>
    </row>
    <row r="3" spans="1:21" ht="39.75" customHeight="1">
      <c r="A3" s="155" t="s">
        <v>482</v>
      </c>
      <c r="B3" s="2054" t="s">
        <v>7397</v>
      </c>
      <c r="C3" s="2128"/>
      <c r="D3" s="2128"/>
      <c r="E3" s="219"/>
      <c r="F3" s="2170" t="s">
        <v>484</v>
      </c>
      <c r="G3" s="2171"/>
      <c r="H3" s="2171"/>
      <c r="I3" s="2171"/>
      <c r="J3" s="2171"/>
      <c r="K3" s="2171"/>
      <c r="L3" s="2171"/>
      <c r="M3" s="2171"/>
      <c r="N3" s="2171"/>
      <c r="O3" s="2171"/>
      <c r="P3" s="2172"/>
      <c r="R3" s="2168" t="s">
        <v>420</v>
      </c>
      <c r="S3" s="2169"/>
      <c r="T3" s="2169"/>
      <c r="U3" s="2169"/>
    </row>
    <row r="4" spans="1:21" ht="18">
      <c r="A4" s="131"/>
      <c r="E4" s="219"/>
      <c r="F4" s="220" t="s">
        <v>485</v>
      </c>
      <c r="G4" s="221" t="s">
        <v>66</v>
      </c>
      <c r="H4" s="222" t="s">
        <v>487</v>
      </c>
      <c r="I4" s="223" t="s">
        <v>66</v>
      </c>
      <c r="J4" s="221" t="s">
        <v>67</v>
      </c>
      <c r="K4" s="222" t="s">
        <v>131</v>
      </c>
      <c r="L4" s="222"/>
      <c r="M4" s="222"/>
      <c r="N4" s="224" t="s">
        <v>131</v>
      </c>
      <c r="O4" s="2164" t="s">
        <v>488</v>
      </c>
      <c r="P4" s="2165"/>
      <c r="Q4" s="292"/>
      <c r="R4" s="223" t="s">
        <v>66</v>
      </c>
      <c r="S4" s="224" t="s">
        <v>131</v>
      </c>
      <c r="T4" s="2164" t="s">
        <v>488</v>
      </c>
      <c r="U4" s="2165"/>
    </row>
    <row r="5" spans="1:21" ht="58.2" thickBot="1">
      <c r="A5" s="210" t="s">
        <v>489</v>
      </c>
      <c r="B5" s="2052" t="s">
        <v>7403</v>
      </c>
      <c r="C5" s="2052"/>
      <c r="D5" s="2052"/>
      <c r="E5" s="218"/>
      <c r="F5" s="225" t="s">
        <v>491</v>
      </c>
      <c r="G5" s="226" t="s">
        <v>7347</v>
      </c>
      <c r="H5" s="226" t="s">
        <v>7404</v>
      </c>
      <c r="I5" s="227" t="s">
        <v>15</v>
      </c>
      <c r="J5" s="226" t="s">
        <v>493</v>
      </c>
      <c r="K5" s="226" t="s">
        <v>494</v>
      </c>
      <c r="L5" s="226"/>
      <c r="M5" s="226"/>
      <c r="N5" s="228" t="s">
        <v>15</v>
      </c>
      <c r="O5" s="2166"/>
      <c r="P5" s="2167"/>
      <c r="Q5" s="292"/>
      <c r="R5" s="227" t="s">
        <v>15</v>
      </c>
      <c r="S5" s="228" t="s">
        <v>15</v>
      </c>
      <c r="T5" s="2166"/>
      <c r="U5" s="2167"/>
    </row>
    <row r="6" spans="1:21" ht="69.599999999999994" customHeight="1">
      <c r="E6" s="218"/>
      <c r="F6" s="225"/>
      <c r="G6" s="226" t="s">
        <v>7349</v>
      </c>
      <c r="H6" s="229" t="s">
        <v>7350</v>
      </c>
      <c r="I6" s="227" t="s">
        <v>7351</v>
      </c>
      <c r="J6" s="226" t="s">
        <v>7349</v>
      </c>
      <c r="K6" s="229" t="s">
        <v>7352</v>
      </c>
      <c r="L6" s="229" t="s">
        <v>7405</v>
      </c>
      <c r="M6" s="229" t="s">
        <v>7406</v>
      </c>
      <c r="N6" s="228" t="s">
        <v>7353</v>
      </c>
      <c r="O6" s="230" t="s">
        <v>419</v>
      </c>
      <c r="P6" s="231" t="str">
        <f>"Discounted @ "&amp;TEXT('Major Assumption Key'!$B$8,"0.0%")</f>
        <v>Discounted @ 3.1%</v>
      </c>
      <c r="Q6" s="292"/>
      <c r="R6" s="227" t="s">
        <v>7351</v>
      </c>
      <c r="S6" s="228" t="s">
        <v>7353</v>
      </c>
      <c r="T6" s="230" t="s">
        <v>419</v>
      </c>
      <c r="U6" s="231" t="str">
        <f>"Discounted @ "&amp;TEXT('Major Assumption Key'!$B$8,"0.0%")</f>
        <v>Discounted @ 3.1%</v>
      </c>
    </row>
    <row r="7" spans="1:21">
      <c r="C7" s="218"/>
      <c r="D7" s="218"/>
      <c r="E7" s="218"/>
      <c r="F7" s="232">
        <f>'Major Assumption Key'!A19</f>
        <v>2020</v>
      </c>
      <c r="G7" s="938">
        <f>SUM('P. Tax Inc Shared Use Path Supp'!$D$19:$E$20)</f>
        <v>0</v>
      </c>
      <c r="H7" s="233">
        <f t="shared" ref="H7" si="0">G7*$B$19</f>
        <v>0</v>
      </c>
      <c r="I7" s="784">
        <f>IF(AND($F7&gt;='Major Assumption Key'!$B$4,$F7&lt;='Major Assumption Key'!$B$6),H7*M7,0)</f>
        <v>0</v>
      </c>
      <c r="J7" s="938">
        <f t="shared" ref="J7:J47" si="1">$G$7</f>
        <v>0</v>
      </c>
      <c r="K7" s="264">
        <f>SUM('P. Tax Inc Shared Use Path Supp'!$G$19:$H$20)-(SUM('P. Tax Inc Shared Use Path Supp'!$D$19:$E$20))</f>
        <v>0</v>
      </c>
      <c r="L7" s="625">
        <v>0</v>
      </c>
      <c r="M7" s="264"/>
      <c r="N7" s="775">
        <f>IF(AND($F7&gt;=MIN('Major Assumption Key'!$B$4),$F7&lt;=MAX('Major Assumption Key'!$B$6)),K7*M7,0)</f>
        <v>0</v>
      </c>
      <c r="O7" s="26">
        <f t="shared" ref="O7" si="2">N7-I7</f>
        <v>0</v>
      </c>
      <c r="P7" s="38">
        <f>O7/(1+'Major Assumption Key'!$B$8)^($F7-'Major Assumption Key'!$B$7)</f>
        <v>0</v>
      </c>
      <c r="Q7" s="292"/>
      <c r="R7" s="784">
        <f>ROUND(I7,-3)</f>
        <v>0</v>
      </c>
      <c r="S7" s="775">
        <f>ROUND(N7,-3)</f>
        <v>0</v>
      </c>
      <c r="T7" s="26">
        <f>ROUND(O7,-3)</f>
        <v>0</v>
      </c>
      <c r="U7" s="38">
        <f>ROUND(P7,-3)</f>
        <v>0</v>
      </c>
    </row>
    <row r="8" spans="1:21">
      <c r="A8" s="218"/>
      <c r="B8" s="218"/>
      <c r="C8" s="218"/>
      <c r="D8" s="218"/>
      <c r="E8" s="218"/>
      <c r="F8" s="232">
        <f>'Major Assumption Key'!A20</f>
        <v>2021</v>
      </c>
      <c r="G8" s="938">
        <f>SUM('P. Tax Inc Shared Use Path Supp'!$D$19:$E$20)</f>
        <v>0</v>
      </c>
      <c r="H8" s="233">
        <f t="shared" ref="H8:H47" si="3">G8*$B$19</f>
        <v>0</v>
      </c>
      <c r="I8" s="784">
        <f>IF(AND($F8&gt;='Major Assumption Key'!$B$4,$F8&lt;='Major Assumption Key'!$B$6),H8*M8,0)</f>
        <v>0</v>
      </c>
      <c r="J8" s="938">
        <f t="shared" si="1"/>
        <v>0</v>
      </c>
      <c r="K8" s="264">
        <f>SUM('P. Tax Inc Shared Use Path Supp'!$G$19:$H$20)-(SUM('P. Tax Inc Shared Use Path Supp'!$D$19:$E$20))</f>
        <v>0</v>
      </c>
      <c r="L8" s="625">
        <v>1</v>
      </c>
      <c r="M8" s="264"/>
      <c r="N8" s="775">
        <f>IF(AND($F8&gt;=MIN('Major Assumption Key'!$B$4),$F8&lt;=MAX('Major Assumption Key'!$B$6)),K8*M8,0)</f>
        <v>0</v>
      </c>
      <c r="O8" s="26">
        <f t="shared" ref="O8:O47" si="4">N8-I8</f>
        <v>0</v>
      </c>
      <c r="P8" s="38">
        <f>O8/(1+'Major Assumption Key'!$B$8)^($F8-'Major Assumption Key'!$B$7)</f>
        <v>0</v>
      </c>
      <c r="Q8" s="292"/>
      <c r="R8" s="784">
        <f t="shared" ref="R8:R47" si="5">ROUND(I8,-3)</f>
        <v>0</v>
      </c>
      <c r="S8" s="775">
        <f t="shared" ref="S8:S47" si="6">ROUND(N8,-3)</f>
        <v>0</v>
      </c>
      <c r="T8" s="26">
        <f t="shared" ref="T8:T47" si="7">ROUND(O8,-3)</f>
        <v>0</v>
      </c>
      <c r="U8" s="38">
        <f t="shared" ref="U8:U47" si="8">ROUND(P8,-3)</f>
        <v>0</v>
      </c>
    </row>
    <row r="9" spans="1:21" ht="18">
      <c r="A9" s="1888" t="s">
        <v>432</v>
      </c>
      <c r="B9" s="1889"/>
      <c r="C9" s="1889"/>
      <c r="D9" s="1890"/>
      <c r="E9" s="218"/>
      <c r="F9" s="232">
        <f>'Major Assumption Key'!A21</f>
        <v>2022</v>
      </c>
      <c r="G9" s="938">
        <f>SUM('P. Tax Inc Shared Use Path Supp'!$D$19:$E$20)</f>
        <v>0</v>
      </c>
      <c r="H9" s="233">
        <f t="shared" si="3"/>
        <v>0</v>
      </c>
      <c r="I9" s="784">
        <f>IF(AND($F9&gt;='Major Assumption Key'!$B$4,$F9&lt;='Major Assumption Key'!$B$6),H9*M9,0)</f>
        <v>0</v>
      </c>
      <c r="J9" s="938">
        <f t="shared" si="1"/>
        <v>0</v>
      </c>
      <c r="K9" s="264">
        <f>SUM('P. Tax Inc Shared Use Path Supp'!$G$19:$H$20)-(SUM('P. Tax Inc Shared Use Path Supp'!$D$19:$E$20))</f>
        <v>0</v>
      </c>
      <c r="L9" s="625">
        <v>2</v>
      </c>
      <c r="M9" s="264"/>
      <c r="N9" s="775">
        <f>IF(AND($F9&gt;=MIN('Major Assumption Key'!$B$4),$F9&lt;=MAX('Major Assumption Key'!$B$6)),K9*M9,0)</f>
        <v>0</v>
      </c>
      <c r="O9" s="26">
        <f t="shared" si="4"/>
        <v>0</v>
      </c>
      <c r="P9" s="38">
        <f>O9/(1+'Major Assumption Key'!$B$8)^($F9-'Major Assumption Key'!$B$7)</f>
        <v>0</v>
      </c>
      <c r="Q9" s="292"/>
      <c r="R9" s="784">
        <f t="shared" si="5"/>
        <v>0</v>
      </c>
      <c r="S9" s="775">
        <f t="shared" si="6"/>
        <v>0</v>
      </c>
      <c r="T9" s="26">
        <f t="shared" si="7"/>
        <v>0</v>
      </c>
      <c r="U9" s="38">
        <f t="shared" si="8"/>
        <v>0</v>
      </c>
    </row>
    <row r="10" spans="1:21" ht="18">
      <c r="A10" s="1891" t="s">
        <v>418</v>
      </c>
      <c r="B10" s="1891"/>
      <c r="C10" s="49" t="s">
        <v>419</v>
      </c>
      <c r="D10" s="49" t="str">
        <f>_xlfn.CONCAT("Discounted @",TEXT('Major Assumption Key'!B8,"0.0%"))</f>
        <v>Discounted @3.1%</v>
      </c>
      <c r="E10" s="218"/>
      <c r="F10" s="232">
        <f>'Major Assumption Key'!A22</f>
        <v>2023</v>
      </c>
      <c r="G10" s="938">
        <f>SUM('P. Tax Inc Shared Use Path Supp'!$D$19:$E$20)</f>
        <v>0</v>
      </c>
      <c r="H10" s="233">
        <f t="shared" si="3"/>
        <v>0</v>
      </c>
      <c r="I10" s="784">
        <f>IF(AND($F10&gt;='Major Assumption Key'!$B$4,$F10&lt;='Major Assumption Key'!$B$6),H10*M10,0)</f>
        <v>0</v>
      </c>
      <c r="J10" s="938">
        <f t="shared" si="1"/>
        <v>0</v>
      </c>
      <c r="K10" s="264">
        <f>SUM('P. Tax Inc Shared Use Path Supp'!$G$19:$H$20)-(SUM('P. Tax Inc Shared Use Path Supp'!$D$19:$E$20))</f>
        <v>0</v>
      </c>
      <c r="L10" s="625">
        <v>3</v>
      </c>
      <c r="M10" s="264"/>
      <c r="N10" s="775">
        <f>IF(AND($F10&gt;=MIN('Major Assumption Key'!$B$4),$F10&lt;=MAX('Major Assumption Key'!$B$6)),K10*M10,0)</f>
        <v>0</v>
      </c>
      <c r="O10" s="26">
        <f t="shared" si="4"/>
        <v>0</v>
      </c>
      <c r="P10" s="38">
        <f>O10/(1+'Major Assumption Key'!$B$8)^($F10-'Major Assumption Key'!$B$7)</f>
        <v>0</v>
      </c>
      <c r="Q10" s="292"/>
      <c r="R10" s="784">
        <f t="shared" si="5"/>
        <v>0</v>
      </c>
      <c r="S10" s="775">
        <f t="shared" si="6"/>
        <v>0</v>
      </c>
      <c r="T10" s="26">
        <f t="shared" si="7"/>
        <v>0</v>
      </c>
      <c r="U10" s="38">
        <f t="shared" si="8"/>
        <v>0</v>
      </c>
    </row>
    <row r="11" spans="1:21" ht="18">
      <c r="A11" s="1892" t="s">
        <v>11</v>
      </c>
      <c r="B11" s="1892"/>
      <c r="C11" s="263">
        <f>'BCA Summary'!$H$7</f>
        <v>1.0111569298276737</v>
      </c>
      <c r="D11" s="263">
        <f>'BCA Summary'!$I$7</f>
        <v>0.6276932096418345</v>
      </c>
      <c r="E11" s="218"/>
      <c r="F11" s="232">
        <f>'Major Assumption Key'!A23</f>
        <v>2024</v>
      </c>
      <c r="G11" s="938">
        <f>SUM('P. Tax Inc Shared Use Path Supp'!$D$19:$E$20)</f>
        <v>0</v>
      </c>
      <c r="H11" s="233">
        <f t="shared" si="3"/>
        <v>0</v>
      </c>
      <c r="I11" s="784">
        <f>IF(AND($F11&gt;='Major Assumption Key'!$B$4,$F11&lt;='Major Assumption Key'!$B$6),H11*M11,0)</f>
        <v>0</v>
      </c>
      <c r="J11" s="938">
        <f t="shared" si="1"/>
        <v>0</v>
      </c>
      <c r="K11" s="264">
        <f>SUM('P. Tax Inc Shared Use Path Supp'!$G$19:$H$20)-(SUM('P. Tax Inc Shared Use Path Supp'!$D$19:$E$20))</f>
        <v>0</v>
      </c>
      <c r="L11" s="625">
        <v>4</v>
      </c>
      <c r="M11" s="264"/>
      <c r="N11" s="775">
        <f>IF(AND($F11&gt;=MIN('Major Assumption Key'!$B$4),$F11&lt;=MAX('Major Assumption Key'!$B$6)),K11*M11,0)</f>
        <v>0</v>
      </c>
      <c r="O11" s="26">
        <f t="shared" si="4"/>
        <v>0</v>
      </c>
      <c r="P11" s="38">
        <f>O11/(1+'Major Assumption Key'!$B$8)^($F11-'Major Assumption Key'!$B$7)</f>
        <v>0</v>
      </c>
      <c r="Q11" s="292"/>
      <c r="R11" s="784">
        <f t="shared" si="5"/>
        <v>0</v>
      </c>
      <c r="S11" s="775">
        <f t="shared" si="6"/>
        <v>0</v>
      </c>
      <c r="T11" s="26">
        <f t="shared" si="7"/>
        <v>0</v>
      </c>
      <c r="U11" s="38">
        <f t="shared" si="8"/>
        <v>0</v>
      </c>
    </row>
    <row r="12" spans="1:21" ht="18">
      <c r="A12" s="1892" t="s">
        <v>12</v>
      </c>
      <c r="B12" s="1892"/>
      <c r="C12" s="263">
        <f>'BCA Summary'!$H$8</f>
        <v>236636.98382712901</v>
      </c>
      <c r="D12" s="263">
        <f>'BCA Summary'!$I$8</f>
        <v>-6930297.4454113934</v>
      </c>
      <c r="E12" s="218"/>
      <c r="F12" s="232">
        <f>'Major Assumption Key'!A24</f>
        <v>2025</v>
      </c>
      <c r="G12" s="938">
        <f>SUM('P. Tax Inc Shared Use Path Supp'!$D$19:$E$20)</f>
        <v>0</v>
      </c>
      <c r="H12" s="233">
        <f t="shared" si="3"/>
        <v>0</v>
      </c>
      <c r="I12" s="784">
        <f>IF(AND($F12&gt;='Major Assumption Key'!$B$4,$F12&lt;='Major Assumption Key'!$B$6),H12*M12,0)</f>
        <v>0</v>
      </c>
      <c r="J12" s="938">
        <f t="shared" si="1"/>
        <v>0</v>
      </c>
      <c r="K12" s="264">
        <f>SUM('P. Tax Inc Shared Use Path Supp'!$G$19:$H$20)-(SUM('P. Tax Inc Shared Use Path Supp'!$D$19:$E$20))</f>
        <v>0</v>
      </c>
      <c r="L12" s="625">
        <v>5</v>
      </c>
      <c r="M12" s="264"/>
      <c r="N12" s="775">
        <f>IF(AND($F12&gt;=MIN('Major Assumption Key'!$B$4),$F12&lt;=MAX('Major Assumption Key'!$B$6)),K12*M12,0)</f>
        <v>0</v>
      </c>
      <c r="O12" s="26">
        <f t="shared" si="4"/>
        <v>0</v>
      </c>
      <c r="P12" s="38">
        <f>O12/(1+'Major Assumption Key'!$B$8)^($F12-'Major Assumption Key'!$B$7)</f>
        <v>0</v>
      </c>
      <c r="Q12" s="292"/>
      <c r="R12" s="784">
        <f t="shared" si="5"/>
        <v>0</v>
      </c>
      <c r="S12" s="775">
        <f t="shared" si="6"/>
        <v>0</v>
      </c>
      <c r="T12" s="26">
        <f t="shared" si="7"/>
        <v>0</v>
      </c>
      <c r="U12" s="38">
        <f t="shared" si="8"/>
        <v>0</v>
      </c>
    </row>
    <row r="13" spans="1:21">
      <c r="E13" s="218"/>
      <c r="F13" s="232">
        <f>'Major Assumption Key'!A25</f>
        <v>2026</v>
      </c>
      <c r="G13" s="938">
        <f>SUM('P. Tax Inc Shared Use Path Supp'!$D$19:$E$20)</f>
        <v>0</v>
      </c>
      <c r="H13" s="233">
        <f t="shared" si="3"/>
        <v>0</v>
      </c>
      <c r="I13" s="784">
        <f>IF(AND($F13&gt;='Major Assumption Key'!$B$4,$F13&lt;='Major Assumption Key'!$B$6),H13*M13,0)</f>
        <v>0</v>
      </c>
      <c r="J13" s="938">
        <f t="shared" si="1"/>
        <v>0</v>
      </c>
      <c r="K13" s="264">
        <f>SUM('P. Tax Inc Shared Use Path Supp'!$G$19:$H$20)-(SUM('P. Tax Inc Shared Use Path Supp'!$D$19:$E$20))</f>
        <v>0</v>
      </c>
      <c r="L13" s="625">
        <v>6</v>
      </c>
      <c r="M13" s="264"/>
      <c r="N13" s="775">
        <f>IF(AND($F13&gt;=MIN('Major Assumption Key'!$B$4),$F13&lt;=MAX('Major Assumption Key'!$B$6)),K13*M13,0)</f>
        <v>0</v>
      </c>
      <c r="O13" s="26">
        <f t="shared" si="4"/>
        <v>0</v>
      </c>
      <c r="P13" s="38">
        <f>O13/(1+'Major Assumption Key'!$B$8)^($F13-'Major Assumption Key'!$B$7)</f>
        <v>0</v>
      </c>
      <c r="Q13" s="292"/>
      <c r="R13" s="784">
        <f t="shared" si="5"/>
        <v>0</v>
      </c>
      <c r="S13" s="775">
        <f t="shared" si="6"/>
        <v>0</v>
      </c>
      <c r="T13" s="26">
        <f t="shared" si="7"/>
        <v>0</v>
      </c>
      <c r="U13" s="38">
        <f t="shared" si="8"/>
        <v>0</v>
      </c>
    </row>
    <row r="14" spans="1:21" ht="15" thickBot="1">
      <c r="E14" s="218"/>
      <c r="F14" s="232">
        <f>'Major Assumption Key'!A26</f>
        <v>2027</v>
      </c>
      <c r="G14" s="938">
        <f>SUM('P. Tax Inc Shared Use Path Supp'!$D$19:$E$20)</f>
        <v>0</v>
      </c>
      <c r="H14" s="233">
        <f t="shared" si="3"/>
        <v>0</v>
      </c>
      <c r="I14" s="784">
        <f>IF(AND($F14&gt;='Major Assumption Key'!$B$4,$F14&lt;='Major Assumption Key'!$B$6),H14*M14,0)</f>
        <v>0</v>
      </c>
      <c r="J14" s="938">
        <f t="shared" si="1"/>
        <v>0</v>
      </c>
      <c r="K14" s="264">
        <f>SUM('P. Tax Inc Shared Use Path Supp'!$G$19:$H$20)-(SUM('P. Tax Inc Shared Use Path Supp'!$D$19:$E$20))</f>
        <v>0</v>
      </c>
      <c r="L14" s="625">
        <v>7</v>
      </c>
      <c r="M14" s="264"/>
      <c r="N14" s="775">
        <f>IF(AND($F14&gt;=MIN('Major Assumption Key'!$B$4),$F14&lt;=MAX('Major Assumption Key'!$B$6)),K14*M14,0)</f>
        <v>0</v>
      </c>
      <c r="O14" s="26">
        <f t="shared" si="4"/>
        <v>0</v>
      </c>
      <c r="P14" s="38">
        <f>O14/(1+'Major Assumption Key'!$B$8)^($F14-'Major Assumption Key'!$B$7)</f>
        <v>0</v>
      </c>
      <c r="Q14" s="292"/>
      <c r="R14" s="784">
        <f t="shared" si="5"/>
        <v>0</v>
      </c>
      <c r="S14" s="775">
        <f t="shared" si="6"/>
        <v>0</v>
      </c>
      <c r="T14" s="26">
        <f t="shared" si="7"/>
        <v>0</v>
      </c>
      <c r="U14" s="38">
        <f t="shared" si="8"/>
        <v>0</v>
      </c>
    </row>
    <row r="15" spans="1:21">
      <c r="A15" s="668" t="s">
        <v>433</v>
      </c>
      <c r="B15" s="669" t="s">
        <v>434</v>
      </c>
      <c r="C15" s="2162" t="s">
        <v>498</v>
      </c>
      <c r="D15" s="2163"/>
      <c r="E15" s="218"/>
      <c r="F15" s="232">
        <f>'Major Assumption Key'!A27</f>
        <v>2028</v>
      </c>
      <c r="G15" s="938">
        <f>SUM('P. Tax Inc Shared Use Path Supp'!$D$19:$E$20)</f>
        <v>0</v>
      </c>
      <c r="H15" s="233">
        <f t="shared" si="3"/>
        <v>0</v>
      </c>
      <c r="I15" s="784">
        <f>IF(AND($F15&gt;='Major Assumption Key'!$B$4,$F15&lt;='Major Assumption Key'!$B$6),H15*M15,0)</f>
        <v>0</v>
      </c>
      <c r="J15" s="938">
        <f t="shared" si="1"/>
        <v>0</v>
      </c>
      <c r="K15" s="264">
        <f>SUM('P. Tax Inc Shared Use Path Supp'!$G$19:$H$20)-(SUM('P. Tax Inc Shared Use Path Supp'!$D$19:$E$20))</f>
        <v>0</v>
      </c>
      <c r="L15" s="625">
        <v>8</v>
      </c>
      <c r="M15" s="264"/>
      <c r="N15" s="775">
        <f>IF(AND($F15&gt;=MIN('Major Assumption Key'!$B$4),$F15&lt;=MAX('Major Assumption Key'!$B$6)),K15*M15,0)</f>
        <v>0</v>
      </c>
      <c r="O15" s="26">
        <f t="shared" si="4"/>
        <v>0</v>
      </c>
      <c r="P15" s="38">
        <f>O15/(1+'Major Assumption Key'!$B$8)^($F15-'Major Assumption Key'!$B$7)</f>
        <v>0</v>
      </c>
      <c r="Q15" s="292"/>
      <c r="R15" s="784">
        <f t="shared" si="5"/>
        <v>0</v>
      </c>
      <c r="S15" s="775">
        <f t="shared" si="6"/>
        <v>0</v>
      </c>
      <c r="T15" s="26">
        <f t="shared" si="7"/>
        <v>0</v>
      </c>
      <c r="U15" s="38">
        <f t="shared" si="8"/>
        <v>0</v>
      </c>
    </row>
    <row r="16" spans="1:21">
      <c r="A16" s="670" t="s">
        <v>1243</v>
      </c>
      <c r="B16" s="671">
        <f>'Major Assumption Key'!B4</f>
        <v>2022</v>
      </c>
      <c r="C16" s="218" t="s">
        <v>1244</v>
      </c>
      <c r="D16" s="672"/>
      <c r="E16" s="218"/>
      <c r="F16" s="232">
        <f>'Major Assumption Key'!A28</f>
        <v>2029</v>
      </c>
      <c r="G16" s="938">
        <f>SUM('P. Tax Inc Shared Use Path Supp'!$D$19:$E$20)</f>
        <v>0</v>
      </c>
      <c r="H16" s="233">
        <f t="shared" si="3"/>
        <v>0</v>
      </c>
      <c r="I16" s="784">
        <f>IF(AND($F16&gt;='Major Assumption Key'!$B$4,$F16&lt;='Major Assumption Key'!$B$6),H16*M16,0)</f>
        <v>0</v>
      </c>
      <c r="J16" s="938">
        <f t="shared" si="1"/>
        <v>0</v>
      </c>
      <c r="K16" s="264">
        <f>SUM('P. Tax Inc Shared Use Path Supp'!$G$19:$H$20)-(SUM('P. Tax Inc Shared Use Path Supp'!$D$19:$E$20))</f>
        <v>0</v>
      </c>
      <c r="L16" s="625">
        <v>9</v>
      </c>
      <c r="M16" s="264"/>
      <c r="N16" s="775">
        <f>IF(AND($F16&gt;=MIN('Major Assumption Key'!$B$4),$F16&lt;=MAX('Major Assumption Key'!$B$6)),K16*M16,0)</f>
        <v>0</v>
      </c>
      <c r="O16" s="26">
        <f t="shared" si="4"/>
        <v>0</v>
      </c>
      <c r="P16" s="38">
        <f>O16/(1+'Major Assumption Key'!$B$8)^($F16-'Major Assumption Key'!$B$7)</f>
        <v>0</v>
      </c>
      <c r="Q16" s="292"/>
      <c r="R16" s="784">
        <f t="shared" si="5"/>
        <v>0</v>
      </c>
      <c r="S16" s="775">
        <f t="shared" si="6"/>
        <v>0</v>
      </c>
      <c r="T16" s="26">
        <f t="shared" si="7"/>
        <v>0</v>
      </c>
      <c r="U16" s="38">
        <f t="shared" si="8"/>
        <v>0</v>
      </c>
    </row>
    <row r="17" spans="1:21">
      <c r="A17" s="768" t="str">
        <f>'Major Assumption Key'!$A$4</f>
        <v>Planning Horizon Begin Year:</v>
      </c>
      <c r="B17" s="777">
        <f>'Major Assumption Key'!$B$4</f>
        <v>2022</v>
      </c>
      <c r="C17" s="767" t="s">
        <v>436</v>
      </c>
      <c r="D17" s="672"/>
      <c r="E17" s="218"/>
      <c r="F17" s="232">
        <f>'Major Assumption Key'!A29</f>
        <v>2030</v>
      </c>
      <c r="G17" s="938">
        <f>SUM('P. Tax Inc Shared Use Path Supp'!$D$19:$E$20)</f>
        <v>0</v>
      </c>
      <c r="H17" s="233">
        <f t="shared" si="3"/>
        <v>0</v>
      </c>
      <c r="I17" s="784">
        <f>IF(AND($F17&gt;='Major Assumption Key'!$B$4,$F17&lt;='Major Assumption Key'!$B$6),H17*M17,0)</f>
        <v>0</v>
      </c>
      <c r="J17" s="938">
        <f t="shared" si="1"/>
        <v>0</v>
      </c>
      <c r="K17" s="264">
        <f>SUM('P. Tax Inc Shared Use Path Supp'!$G$19:$H$20)-(SUM('P. Tax Inc Shared Use Path Supp'!$D$19:$E$20))</f>
        <v>0</v>
      </c>
      <c r="L17" s="625">
        <v>10</v>
      </c>
      <c r="M17" s="264"/>
      <c r="N17" s="775">
        <f>IF(AND($F17&gt;=MIN('Major Assumption Key'!$B$4),$F17&lt;=MAX('Major Assumption Key'!$B$6)),K17*M17,0)</f>
        <v>0</v>
      </c>
      <c r="O17" s="26">
        <f t="shared" si="4"/>
        <v>0</v>
      </c>
      <c r="P17" s="38">
        <f>O17/(1+'Major Assumption Key'!$B$8)^($F17-'Major Assumption Key'!$B$7)</f>
        <v>0</v>
      </c>
      <c r="Q17" s="292"/>
      <c r="R17" s="784">
        <f t="shared" si="5"/>
        <v>0</v>
      </c>
      <c r="S17" s="775">
        <f t="shared" si="6"/>
        <v>0</v>
      </c>
      <c r="T17" s="26">
        <f t="shared" si="7"/>
        <v>0</v>
      </c>
      <c r="U17" s="38">
        <f t="shared" si="8"/>
        <v>0</v>
      </c>
    </row>
    <row r="18" spans="1:21">
      <c r="A18" s="768" t="str">
        <f>'Major Assumption Key'!$A$6</f>
        <v>Planning Horizon End Year:</v>
      </c>
      <c r="B18" s="777">
        <f>'Major Assumption Key'!$B$6</f>
        <v>2047</v>
      </c>
      <c r="C18" s="767" t="s">
        <v>436</v>
      </c>
      <c r="D18" s="672"/>
      <c r="E18" s="218"/>
      <c r="F18" s="232">
        <f>'Major Assumption Key'!A30</f>
        <v>2031</v>
      </c>
      <c r="G18" s="938">
        <f>SUM('P. Tax Inc Shared Use Path Supp'!$D$19:$E$20)</f>
        <v>0</v>
      </c>
      <c r="H18" s="233">
        <f t="shared" si="3"/>
        <v>0</v>
      </c>
      <c r="I18" s="784">
        <f>IF(AND($F18&gt;='Major Assumption Key'!$B$4,$F18&lt;='Major Assumption Key'!$B$6),H18*M18,0)</f>
        <v>0</v>
      </c>
      <c r="J18" s="938">
        <f t="shared" si="1"/>
        <v>0</v>
      </c>
      <c r="K18" s="264">
        <f>SUM('P. Tax Inc Shared Use Path Supp'!$G$19:$H$20)-(SUM('P. Tax Inc Shared Use Path Supp'!$D$19:$E$20))</f>
        <v>0</v>
      </c>
      <c r="L18" s="625">
        <v>11</v>
      </c>
      <c r="M18" s="264"/>
      <c r="N18" s="775">
        <f>IF(AND($F18&gt;=MIN('Major Assumption Key'!$B$4),$F18&lt;=MAX('Major Assumption Key'!$B$6)),K18*M18,0)</f>
        <v>0</v>
      </c>
      <c r="O18" s="26">
        <f t="shared" si="4"/>
        <v>0</v>
      </c>
      <c r="P18" s="38">
        <f>O18/(1+'Major Assumption Key'!$B$8)^($F18-'Major Assumption Key'!$B$7)</f>
        <v>0</v>
      </c>
      <c r="Q18" s="292"/>
      <c r="R18" s="784">
        <f t="shared" si="5"/>
        <v>0</v>
      </c>
      <c r="S18" s="775">
        <f t="shared" si="6"/>
        <v>0</v>
      </c>
      <c r="T18" s="26">
        <f t="shared" si="7"/>
        <v>0</v>
      </c>
      <c r="U18" s="38">
        <f t="shared" si="8"/>
        <v>0</v>
      </c>
    </row>
    <row r="19" spans="1:21">
      <c r="A19" s="953" t="s">
        <v>7407</v>
      </c>
      <c r="B19" s="789">
        <f>'P. Tax Inc Shared Use Path Supp'!B14</f>
        <v>2.3306620000000004E-2</v>
      </c>
      <c r="C19" s="942" t="s">
        <v>7355</v>
      </c>
      <c r="D19" s="672"/>
      <c r="E19" s="218"/>
      <c r="F19" s="232">
        <f>'Major Assumption Key'!A31</f>
        <v>2032</v>
      </c>
      <c r="G19" s="938">
        <f>SUM('P. Tax Inc Shared Use Path Supp'!$D$19:$E$20)</f>
        <v>0</v>
      </c>
      <c r="H19" s="233">
        <f t="shared" si="3"/>
        <v>0</v>
      </c>
      <c r="I19" s="784">
        <f>IF(AND($F19&gt;='Major Assumption Key'!$B$4,$F19&lt;='Major Assumption Key'!$B$6),H19*M19,0)</f>
        <v>0</v>
      </c>
      <c r="J19" s="938">
        <f t="shared" si="1"/>
        <v>0</v>
      </c>
      <c r="K19" s="264">
        <f>SUM('P. Tax Inc Shared Use Path Supp'!$G$19:$H$20)-(SUM('P. Tax Inc Shared Use Path Supp'!$D$19:$E$20))</f>
        <v>0</v>
      </c>
      <c r="L19" s="625">
        <v>12</v>
      </c>
      <c r="M19" s="264"/>
      <c r="N19" s="775">
        <f>IF(AND($F19&gt;=MIN('Major Assumption Key'!$B$4),$F19&lt;=MAX('Major Assumption Key'!$B$6)),K19*M19,0)</f>
        <v>0</v>
      </c>
      <c r="O19" s="26">
        <f t="shared" si="4"/>
        <v>0</v>
      </c>
      <c r="P19" s="38">
        <f>O19/(1+'Major Assumption Key'!$B$8)^($F19-'Major Assumption Key'!$B$7)</f>
        <v>0</v>
      </c>
      <c r="Q19" s="292"/>
      <c r="R19" s="784">
        <f t="shared" si="5"/>
        <v>0</v>
      </c>
      <c r="S19" s="775">
        <f t="shared" si="6"/>
        <v>0</v>
      </c>
      <c r="T19" s="26">
        <f t="shared" si="7"/>
        <v>0</v>
      </c>
      <c r="U19" s="38">
        <f t="shared" si="8"/>
        <v>0</v>
      </c>
    </row>
    <row r="20" spans="1:21">
      <c r="A20" s="674" t="s">
        <v>7408</v>
      </c>
      <c r="B20" s="675">
        <v>0.05</v>
      </c>
      <c r="C20" s="2" t="s">
        <v>7388</v>
      </c>
      <c r="D20" s="562"/>
      <c r="E20" s="218"/>
      <c r="F20" s="232">
        <f>'Major Assumption Key'!A32</f>
        <v>2033</v>
      </c>
      <c r="G20" s="938">
        <f>SUM('P. Tax Inc Shared Use Path Supp'!$D$19:$E$20)</f>
        <v>0</v>
      </c>
      <c r="H20" s="233">
        <f t="shared" si="3"/>
        <v>0</v>
      </c>
      <c r="I20" s="784">
        <f>IF(AND($F20&gt;='Major Assumption Key'!$B$4,$F20&lt;='Major Assumption Key'!$B$6),H20*M20,0)</f>
        <v>0</v>
      </c>
      <c r="J20" s="938">
        <f t="shared" si="1"/>
        <v>0</v>
      </c>
      <c r="K20" s="264">
        <f>SUM('P. Tax Inc Shared Use Path Supp'!$G$19:$H$20)-(SUM('P. Tax Inc Shared Use Path Supp'!$D$19:$E$20))</f>
        <v>0</v>
      </c>
      <c r="L20" s="625">
        <v>13</v>
      </c>
      <c r="M20" s="264"/>
      <c r="N20" s="775">
        <f>IF(AND($F20&gt;=MIN('Major Assumption Key'!$B$4),$F20&lt;=MAX('Major Assumption Key'!$B$6)),K20*M20,0)</f>
        <v>0</v>
      </c>
      <c r="O20" s="26">
        <f t="shared" si="4"/>
        <v>0</v>
      </c>
      <c r="P20" s="38">
        <f>O20/(1+'Major Assumption Key'!$B$8)^($F20-'Major Assumption Key'!$B$7)</f>
        <v>0</v>
      </c>
      <c r="Q20" s="292"/>
      <c r="R20" s="784">
        <f t="shared" si="5"/>
        <v>0</v>
      </c>
      <c r="S20" s="775">
        <f t="shared" si="6"/>
        <v>0</v>
      </c>
      <c r="T20" s="26">
        <f t="shared" si="7"/>
        <v>0</v>
      </c>
      <c r="U20" s="38">
        <f t="shared" si="8"/>
        <v>0</v>
      </c>
    </row>
    <row r="21" spans="1:21" ht="15" thickBot="1">
      <c r="A21" s="676" t="s">
        <v>7381</v>
      </c>
      <c r="B21" s="945">
        <v>0.09</v>
      </c>
      <c r="C21" s="677" t="s">
        <v>7359</v>
      </c>
      <c r="D21" s="564"/>
      <c r="E21" s="218"/>
      <c r="F21" s="232">
        <f>'Major Assumption Key'!A33</f>
        <v>2034</v>
      </c>
      <c r="G21" s="938">
        <f>SUM('P. Tax Inc Shared Use Path Supp'!$D$19:$E$20)</f>
        <v>0</v>
      </c>
      <c r="H21" s="233">
        <f t="shared" si="3"/>
        <v>0</v>
      </c>
      <c r="I21" s="784">
        <f>IF(AND($F21&gt;='Major Assumption Key'!$B$4,$F21&lt;='Major Assumption Key'!$B$6),H21*M21,0)</f>
        <v>0</v>
      </c>
      <c r="J21" s="938">
        <f t="shared" si="1"/>
        <v>0</v>
      </c>
      <c r="K21" s="264">
        <f>SUM('P. Tax Inc Shared Use Path Supp'!$G$19:$H$20)-(SUM('P. Tax Inc Shared Use Path Supp'!$D$19:$E$20))</f>
        <v>0</v>
      </c>
      <c r="L21" s="625">
        <v>14</v>
      </c>
      <c r="M21" s="264"/>
      <c r="N21" s="775">
        <f>IF(AND($F21&gt;=MIN('Major Assumption Key'!$B$4),$F21&lt;=MAX('Major Assumption Key'!$B$6)),K21*M21,0)</f>
        <v>0</v>
      </c>
      <c r="O21" s="26">
        <f t="shared" si="4"/>
        <v>0</v>
      </c>
      <c r="P21" s="38">
        <f>O21/(1+'Major Assumption Key'!$B$8)^($F21-'Major Assumption Key'!$B$7)</f>
        <v>0</v>
      </c>
      <c r="Q21" s="292"/>
      <c r="R21" s="784">
        <f t="shared" si="5"/>
        <v>0</v>
      </c>
      <c r="S21" s="775">
        <f t="shared" si="6"/>
        <v>0</v>
      </c>
      <c r="T21" s="26">
        <f t="shared" si="7"/>
        <v>0</v>
      </c>
      <c r="U21" s="38">
        <f t="shared" si="8"/>
        <v>0</v>
      </c>
    </row>
    <row r="22" spans="1:21">
      <c r="E22" s="218"/>
      <c r="F22" s="232">
        <f>'Major Assumption Key'!A34</f>
        <v>2035</v>
      </c>
      <c r="G22" s="938">
        <f>SUM('P. Tax Inc Shared Use Path Supp'!$D$19:$E$20)</f>
        <v>0</v>
      </c>
      <c r="H22" s="233">
        <f t="shared" si="3"/>
        <v>0</v>
      </c>
      <c r="I22" s="784">
        <f>IF(AND($F22&gt;='Major Assumption Key'!$B$4,$F22&lt;='Major Assumption Key'!$B$6),H22*M22,0)</f>
        <v>0</v>
      </c>
      <c r="J22" s="938">
        <f t="shared" si="1"/>
        <v>0</v>
      </c>
      <c r="K22" s="264">
        <f>SUM('P. Tax Inc Shared Use Path Supp'!$G$19:$H$20)-(SUM('P. Tax Inc Shared Use Path Supp'!$D$19:$E$20))</f>
        <v>0</v>
      </c>
      <c r="L22" s="625">
        <v>15</v>
      </c>
      <c r="M22" s="264"/>
      <c r="N22" s="775">
        <f>IF(AND($F22&gt;=MIN('Major Assumption Key'!$B$4),$F22&lt;=MAX('Major Assumption Key'!$B$6)),K22*M22,0)</f>
        <v>0</v>
      </c>
      <c r="O22" s="26">
        <f t="shared" si="4"/>
        <v>0</v>
      </c>
      <c r="P22" s="38">
        <f>O22/(1+'Major Assumption Key'!$B$8)^($F22-'Major Assumption Key'!$B$7)</f>
        <v>0</v>
      </c>
      <c r="Q22" s="292"/>
      <c r="R22" s="784">
        <f t="shared" si="5"/>
        <v>0</v>
      </c>
      <c r="S22" s="775">
        <f t="shared" si="6"/>
        <v>0</v>
      </c>
      <c r="T22" s="26">
        <f t="shared" si="7"/>
        <v>0</v>
      </c>
      <c r="U22" s="38">
        <f t="shared" si="8"/>
        <v>0</v>
      </c>
    </row>
    <row r="23" spans="1:21">
      <c r="E23" s="218"/>
      <c r="F23" s="232">
        <f>'Major Assumption Key'!A35</f>
        <v>2036</v>
      </c>
      <c r="G23" s="938">
        <f>SUM('P. Tax Inc Shared Use Path Supp'!$D$19:$E$20)</f>
        <v>0</v>
      </c>
      <c r="H23" s="233">
        <f t="shared" si="3"/>
        <v>0</v>
      </c>
      <c r="I23" s="784">
        <f>IF(AND($F23&gt;='Major Assumption Key'!$B$4,$F23&lt;='Major Assumption Key'!$B$6),H23*M23,0)</f>
        <v>0</v>
      </c>
      <c r="J23" s="938">
        <f t="shared" si="1"/>
        <v>0</v>
      </c>
      <c r="K23" s="264">
        <f>SUM('P. Tax Inc Shared Use Path Supp'!$G$19:$H$20)-(SUM('P. Tax Inc Shared Use Path Supp'!$D$19:$E$20))</f>
        <v>0</v>
      </c>
      <c r="L23" s="625">
        <v>16</v>
      </c>
      <c r="M23" s="264"/>
      <c r="N23" s="775">
        <f>IF(AND($F23&gt;=MIN('Major Assumption Key'!$B$4),$F23&lt;=MAX('Major Assumption Key'!$B$6)),K23*M23,0)</f>
        <v>0</v>
      </c>
      <c r="O23" s="26">
        <f t="shared" si="4"/>
        <v>0</v>
      </c>
      <c r="P23" s="38">
        <f>O23/(1+'Major Assumption Key'!$B$8)^($F23-'Major Assumption Key'!$B$7)</f>
        <v>0</v>
      </c>
      <c r="Q23" s="292"/>
      <c r="R23" s="784">
        <f t="shared" si="5"/>
        <v>0</v>
      </c>
      <c r="S23" s="775">
        <f t="shared" si="6"/>
        <v>0</v>
      </c>
      <c r="T23" s="26">
        <f t="shared" si="7"/>
        <v>0</v>
      </c>
      <c r="U23" s="38">
        <f t="shared" si="8"/>
        <v>0</v>
      </c>
    </row>
    <row r="24" spans="1:21">
      <c r="E24" s="218"/>
      <c r="F24" s="232">
        <f>'Major Assumption Key'!A36</f>
        <v>2037</v>
      </c>
      <c r="G24" s="938">
        <f>SUM('P. Tax Inc Shared Use Path Supp'!$D$19:$E$20)</f>
        <v>0</v>
      </c>
      <c r="H24" s="233">
        <f t="shared" si="3"/>
        <v>0</v>
      </c>
      <c r="I24" s="784">
        <f>IF(AND($F24&gt;='Major Assumption Key'!$B$4,$F24&lt;='Major Assumption Key'!$B$6),H24*M24,0)</f>
        <v>0</v>
      </c>
      <c r="J24" s="938">
        <f t="shared" si="1"/>
        <v>0</v>
      </c>
      <c r="K24" s="264">
        <f>SUM('P. Tax Inc Shared Use Path Supp'!$G$19:$H$20)-(SUM('P. Tax Inc Shared Use Path Supp'!$D$19:$E$20))</f>
        <v>0</v>
      </c>
      <c r="L24" s="625">
        <v>17</v>
      </c>
      <c r="M24" s="264"/>
      <c r="N24" s="775">
        <f>IF(AND($F24&gt;=MIN('Major Assumption Key'!$B$4),$F24&lt;=MAX('Major Assumption Key'!$B$6)),K24*M24,0)</f>
        <v>0</v>
      </c>
      <c r="O24" s="26">
        <f t="shared" si="4"/>
        <v>0</v>
      </c>
      <c r="P24" s="38">
        <f>O24/(1+'Major Assumption Key'!$B$8)^($F24-'Major Assumption Key'!$B$7)</f>
        <v>0</v>
      </c>
      <c r="Q24" s="292"/>
      <c r="R24" s="784">
        <f t="shared" si="5"/>
        <v>0</v>
      </c>
      <c r="S24" s="775">
        <f t="shared" si="6"/>
        <v>0</v>
      </c>
      <c r="T24" s="26">
        <f t="shared" si="7"/>
        <v>0</v>
      </c>
      <c r="U24" s="38">
        <f t="shared" si="8"/>
        <v>0</v>
      </c>
    </row>
    <row r="25" spans="1:21" ht="15" customHeight="1">
      <c r="E25" s="218"/>
      <c r="F25" s="232">
        <f>'Major Assumption Key'!A37</f>
        <v>2038</v>
      </c>
      <c r="G25" s="938">
        <f>SUM('P. Tax Inc Shared Use Path Supp'!$D$19:$E$20)</f>
        <v>0</v>
      </c>
      <c r="H25" s="233">
        <f t="shared" si="3"/>
        <v>0</v>
      </c>
      <c r="I25" s="784">
        <f>IF(AND($F25&gt;='Major Assumption Key'!$B$4,$F25&lt;='Major Assumption Key'!$B$6),H25*M25,0)</f>
        <v>0</v>
      </c>
      <c r="J25" s="938">
        <f t="shared" si="1"/>
        <v>0</v>
      </c>
      <c r="K25" s="264">
        <f>SUM('P. Tax Inc Shared Use Path Supp'!$G$19:$H$20)-(SUM('P. Tax Inc Shared Use Path Supp'!$D$19:$E$20))</f>
        <v>0</v>
      </c>
      <c r="L25" s="625">
        <v>18</v>
      </c>
      <c r="M25" s="264"/>
      <c r="N25" s="775">
        <f>IF(AND($F25&gt;=MIN('Major Assumption Key'!$B$4),$F25&lt;=MAX('Major Assumption Key'!$B$6)),K25*M25,0)</f>
        <v>0</v>
      </c>
      <c r="O25" s="26">
        <f t="shared" si="4"/>
        <v>0</v>
      </c>
      <c r="P25" s="38">
        <f>O25/(1+'Major Assumption Key'!$B$8)^($F25-'Major Assumption Key'!$B$7)</f>
        <v>0</v>
      </c>
      <c r="Q25" s="292"/>
      <c r="R25" s="784">
        <f t="shared" si="5"/>
        <v>0</v>
      </c>
      <c r="S25" s="775">
        <f t="shared" si="6"/>
        <v>0</v>
      </c>
      <c r="T25" s="26">
        <f t="shared" si="7"/>
        <v>0</v>
      </c>
      <c r="U25" s="38">
        <f t="shared" si="8"/>
        <v>0</v>
      </c>
    </row>
    <row r="26" spans="1:21" ht="15" customHeight="1">
      <c r="E26" s="218"/>
      <c r="F26" s="232">
        <f>'Major Assumption Key'!A38</f>
        <v>2039</v>
      </c>
      <c r="G26" s="938">
        <f>SUM('P. Tax Inc Shared Use Path Supp'!$D$19:$E$20)</f>
        <v>0</v>
      </c>
      <c r="H26" s="233">
        <f t="shared" si="3"/>
        <v>0</v>
      </c>
      <c r="I26" s="784">
        <f>IF(AND($F26&gt;='Major Assumption Key'!$B$4,$F26&lt;='Major Assumption Key'!$B$6),H26*M26,0)</f>
        <v>0</v>
      </c>
      <c r="J26" s="938">
        <f t="shared" si="1"/>
        <v>0</v>
      </c>
      <c r="K26" s="264">
        <f>SUM('P. Tax Inc Shared Use Path Supp'!$G$19:$H$20)-(SUM('P. Tax Inc Shared Use Path Supp'!$D$19:$E$20))</f>
        <v>0</v>
      </c>
      <c r="L26" s="625">
        <v>19</v>
      </c>
      <c r="M26" s="264"/>
      <c r="N26" s="775">
        <f>IF(AND($F26&gt;=MIN('Major Assumption Key'!$B$4),$F26&lt;=MAX('Major Assumption Key'!$B$6)),K26*M26,0)</f>
        <v>0</v>
      </c>
      <c r="O26" s="26">
        <f t="shared" si="4"/>
        <v>0</v>
      </c>
      <c r="P26" s="38">
        <f>O26/(1+'Major Assumption Key'!$B$8)^($F26-'Major Assumption Key'!$B$7)</f>
        <v>0</v>
      </c>
      <c r="Q26" s="292"/>
      <c r="R26" s="784">
        <f t="shared" si="5"/>
        <v>0</v>
      </c>
      <c r="S26" s="775">
        <f t="shared" si="6"/>
        <v>0</v>
      </c>
      <c r="T26" s="26">
        <f t="shared" si="7"/>
        <v>0</v>
      </c>
      <c r="U26" s="38">
        <f t="shared" si="8"/>
        <v>0</v>
      </c>
    </row>
    <row r="27" spans="1:21" ht="15" customHeight="1">
      <c r="E27" s="218"/>
      <c r="F27" s="232">
        <f>'Major Assumption Key'!A39</f>
        <v>2040</v>
      </c>
      <c r="G27" s="938">
        <f>SUM('P. Tax Inc Shared Use Path Supp'!$D$19:$E$20)</f>
        <v>0</v>
      </c>
      <c r="H27" s="233">
        <f t="shared" si="3"/>
        <v>0</v>
      </c>
      <c r="I27" s="784">
        <f>IF(AND($F27&gt;='Major Assumption Key'!$B$4,$F27&lt;='Major Assumption Key'!$B$6),H27*M27,0)</f>
        <v>0</v>
      </c>
      <c r="J27" s="938">
        <f t="shared" si="1"/>
        <v>0</v>
      </c>
      <c r="K27" s="264">
        <f>SUM('P. Tax Inc Shared Use Path Supp'!$G$19:$H$20)-(SUM('P. Tax Inc Shared Use Path Supp'!$D$19:$E$20))</f>
        <v>0</v>
      </c>
      <c r="L27" s="625">
        <v>20</v>
      </c>
      <c r="M27" s="264"/>
      <c r="N27" s="775">
        <f>IF(AND($F27&gt;=MIN('Major Assumption Key'!$B$4),$F27&lt;=MAX('Major Assumption Key'!$B$6)),K27*M27,0)</f>
        <v>0</v>
      </c>
      <c r="O27" s="26">
        <f t="shared" si="4"/>
        <v>0</v>
      </c>
      <c r="P27" s="38">
        <f>O27/(1+'Major Assumption Key'!$B$8)^($F27-'Major Assumption Key'!$B$7)</f>
        <v>0</v>
      </c>
      <c r="Q27" s="292"/>
      <c r="R27" s="784">
        <f t="shared" si="5"/>
        <v>0</v>
      </c>
      <c r="S27" s="775">
        <f t="shared" si="6"/>
        <v>0</v>
      </c>
      <c r="T27" s="26">
        <f t="shared" si="7"/>
        <v>0</v>
      </c>
      <c r="U27" s="38">
        <f t="shared" si="8"/>
        <v>0</v>
      </c>
    </row>
    <row r="28" spans="1:21" ht="15" customHeight="1">
      <c r="E28" s="218"/>
      <c r="F28" s="232">
        <f>'Major Assumption Key'!A40</f>
        <v>2041</v>
      </c>
      <c r="G28" s="938">
        <f>SUM('P. Tax Inc Shared Use Path Supp'!$D$19:$E$20)</f>
        <v>0</v>
      </c>
      <c r="H28" s="233">
        <f t="shared" si="3"/>
        <v>0</v>
      </c>
      <c r="I28" s="784">
        <f>IF(AND($F28&gt;='Major Assumption Key'!$B$4,$F28&lt;='Major Assumption Key'!$B$6),H28*M28,0)</f>
        <v>0</v>
      </c>
      <c r="J28" s="938">
        <f t="shared" si="1"/>
        <v>0</v>
      </c>
      <c r="K28" s="264">
        <f>SUM('P. Tax Inc Shared Use Path Supp'!$G$19:$H$20)-(SUM('P. Tax Inc Shared Use Path Supp'!$D$19:$E$20))</f>
        <v>0</v>
      </c>
      <c r="L28" s="625">
        <v>21</v>
      </c>
      <c r="M28" s="264"/>
      <c r="N28" s="775">
        <f>IF(AND($F28&gt;=MIN('Major Assumption Key'!$B$4),$F28&lt;=MAX('Major Assumption Key'!$B$6)),K28*M28,0)</f>
        <v>0</v>
      </c>
      <c r="O28" s="26">
        <f t="shared" si="4"/>
        <v>0</v>
      </c>
      <c r="P28" s="38">
        <f>O28/(1+'Major Assumption Key'!$B$8)^($F28-'Major Assumption Key'!$B$7)</f>
        <v>0</v>
      </c>
      <c r="Q28" s="292"/>
      <c r="R28" s="784">
        <f t="shared" si="5"/>
        <v>0</v>
      </c>
      <c r="S28" s="775">
        <f t="shared" si="6"/>
        <v>0</v>
      </c>
      <c r="T28" s="26">
        <f t="shared" si="7"/>
        <v>0</v>
      </c>
      <c r="U28" s="38">
        <f t="shared" si="8"/>
        <v>0</v>
      </c>
    </row>
    <row r="29" spans="1:21" ht="15" customHeight="1">
      <c r="E29" s="218"/>
      <c r="F29" s="232">
        <f>'Major Assumption Key'!A41</f>
        <v>2042</v>
      </c>
      <c r="G29" s="938">
        <f>SUM('P. Tax Inc Shared Use Path Supp'!$D$19:$E$20)</f>
        <v>0</v>
      </c>
      <c r="H29" s="233">
        <f t="shared" si="3"/>
        <v>0</v>
      </c>
      <c r="I29" s="784">
        <f>IF(AND($F29&gt;='Major Assumption Key'!$B$4,$F29&lt;='Major Assumption Key'!$B$6),H29*M29,0)</f>
        <v>0</v>
      </c>
      <c r="J29" s="938">
        <f t="shared" si="1"/>
        <v>0</v>
      </c>
      <c r="K29" s="264">
        <f>SUM('P. Tax Inc Shared Use Path Supp'!$G$19:$H$20)-(SUM('P. Tax Inc Shared Use Path Supp'!$D$19:$E$20))</f>
        <v>0</v>
      </c>
      <c r="L29" s="625">
        <v>22</v>
      </c>
      <c r="M29" s="264"/>
      <c r="N29" s="775">
        <f>IF(AND($F29&gt;=MIN('Major Assumption Key'!$B$4),$F29&lt;=MAX('Major Assumption Key'!$B$6)),K29*M29,0)</f>
        <v>0</v>
      </c>
      <c r="O29" s="26">
        <f t="shared" si="4"/>
        <v>0</v>
      </c>
      <c r="P29" s="38">
        <f>O29/(1+'Major Assumption Key'!$B$8)^($F29-'Major Assumption Key'!$B$7)</f>
        <v>0</v>
      </c>
      <c r="Q29" s="292"/>
      <c r="R29" s="784">
        <f t="shared" si="5"/>
        <v>0</v>
      </c>
      <c r="S29" s="775">
        <f t="shared" si="6"/>
        <v>0</v>
      </c>
      <c r="T29" s="26">
        <f t="shared" si="7"/>
        <v>0</v>
      </c>
      <c r="U29" s="38">
        <f t="shared" si="8"/>
        <v>0</v>
      </c>
    </row>
    <row r="30" spans="1:21">
      <c r="E30" s="218"/>
      <c r="F30" s="232">
        <f>'Major Assumption Key'!A42</f>
        <v>2043</v>
      </c>
      <c r="G30" s="938">
        <f>SUM('P. Tax Inc Shared Use Path Supp'!$D$19:$E$20)</f>
        <v>0</v>
      </c>
      <c r="H30" s="233">
        <f t="shared" si="3"/>
        <v>0</v>
      </c>
      <c r="I30" s="784">
        <f>IF(AND($F30&gt;='Major Assumption Key'!$B$4,$F30&lt;='Major Assumption Key'!$B$6),H30*M30,0)</f>
        <v>0</v>
      </c>
      <c r="J30" s="938">
        <f t="shared" si="1"/>
        <v>0</v>
      </c>
      <c r="K30" s="264">
        <f>SUM('P. Tax Inc Shared Use Path Supp'!$G$19:$H$20)-(SUM('P. Tax Inc Shared Use Path Supp'!$D$19:$E$20))</f>
        <v>0</v>
      </c>
      <c r="L30" s="625">
        <v>23</v>
      </c>
      <c r="M30" s="264"/>
      <c r="N30" s="775">
        <f>IF(AND($F30&gt;=MIN('Major Assumption Key'!$B$4),$F30&lt;=MAX('Major Assumption Key'!$B$6)),K30*M30,0)</f>
        <v>0</v>
      </c>
      <c r="O30" s="26">
        <f t="shared" si="4"/>
        <v>0</v>
      </c>
      <c r="P30" s="38">
        <f>O30/(1+'Major Assumption Key'!$B$8)^($F30-'Major Assumption Key'!$B$7)</f>
        <v>0</v>
      </c>
      <c r="Q30" s="292"/>
      <c r="R30" s="784">
        <f t="shared" si="5"/>
        <v>0</v>
      </c>
      <c r="S30" s="775">
        <f t="shared" si="6"/>
        <v>0</v>
      </c>
      <c r="T30" s="26">
        <f t="shared" si="7"/>
        <v>0</v>
      </c>
      <c r="U30" s="38">
        <f t="shared" si="8"/>
        <v>0</v>
      </c>
    </row>
    <row r="31" spans="1:21">
      <c r="E31" s="218"/>
      <c r="F31" s="232">
        <f>'Major Assumption Key'!A43</f>
        <v>2044</v>
      </c>
      <c r="G31" s="938">
        <f>SUM('P. Tax Inc Shared Use Path Supp'!$D$19:$E$20)</f>
        <v>0</v>
      </c>
      <c r="H31" s="233">
        <f t="shared" si="3"/>
        <v>0</v>
      </c>
      <c r="I31" s="784">
        <f>IF(AND($F31&gt;='Major Assumption Key'!$B$4,$F31&lt;='Major Assumption Key'!$B$6),H31*M31,0)</f>
        <v>0</v>
      </c>
      <c r="J31" s="938">
        <f t="shared" si="1"/>
        <v>0</v>
      </c>
      <c r="K31" s="264">
        <f>SUM('P. Tax Inc Shared Use Path Supp'!$G$19:$H$20)-(SUM('P. Tax Inc Shared Use Path Supp'!$D$19:$E$20))</f>
        <v>0</v>
      </c>
      <c r="L31" s="625">
        <v>24</v>
      </c>
      <c r="M31" s="264"/>
      <c r="N31" s="775">
        <f>IF(AND($F31&gt;=MIN('Major Assumption Key'!$B$4),$F31&lt;=MAX('Major Assumption Key'!$B$6)),K31*M31,0)</f>
        <v>0</v>
      </c>
      <c r="O31" s="26">
        <f t="shared" si="4"/>
        <v>0</v>
      </c>
      <c r="P31" s="38">
        <f>O31/(1+'Major Assumption Key'!$B$8)^($F31-'Major Assumption Key'!$B$7)</f>
        <v>0</v>
      </c>
      <c r="Q31" s="292"/>
      <c r="R31" s="784">
        <f t="shared" si="5"/>
        <v>0</v>
      </c>
      <c r="S31" s="775">
        <f t="shared" si="6"/>
        <v>0</v>
      </c>
      <c r="T31" s="26">
        <f t="shared" si="7"/>
        <v>0</v>
      </c>
      <c r="U31" s="38">
        <f t="shared" si="8"/>
        <v>0</v>
      </c>
    </row>
    <row r="32" spans="1:21" ht="14.7" customHeight="1">
      <c r="E32" s="218"/>
      <c r="F32" s="232">
        <f>'Major Assumption Key'!A44</f>
        <v>2045</v>
      </c>
      <c r="G32" s="938">
        <f>SUM('P. Tax Inc Shared Use Path Supp'!$D$19:$E$20)</f>
        <v>0</v>
      </c>
      <c r="H32" s="233">
        <f t="shared" si="3"/>
        <v>0</v>
      </c>
      <c r="I32" s="784">
        <f>IF(AND($F32&gt;='Major Assumption Key'!$B$4,$F32&lt;='Major Assumption Key'!$B$6),H32*M32,0)</f>
        <v>0</v>
      </c>
      <c r="J32" s="938">
        <f t="shared" si="1"/>
        <v>0</v>
      </c>
      <c r="K32" s="264">
        <f>SUM('P. Tax Inc Shared Use Path Supp'!$G$19:$H$20)-(SUM('P. Tax Inc Shared Use Path Supp'!$D$19:$E$20))</f>
        <v>0</v>
      </c>
      <c r="L32" s="625">
        <v>25</v>
      </c>
      <c r="M32" s="264"/>
      <c r="N32" s="775">
        <f>IF(AND($F32&gt;=MIN('Major Assumption Key'!$B$4),$F32&lt;=MAX('Major Assumption Key'!$B$6)),K32*M32,0)</f>
        <v>0</v>
      </c>
      <c r="O32" s="26">
        <f t="shared" si="4"/>
        <v>0</v>
      </c>
      <c r="P32" s="38">
        <f>O32/(1+'Major Assumption Key'!$B$8)^($F32-'Major Assumption Key'!$B$7)</f>
        <v>0</v>
      </c>
      <c r="Q32" s="292"/>
      <c r="R32" s="784">
        <f t="shared" si="5"/>
        <v>0</v>
      </c>
      <c r="S32" s="775">
        <f t="shared" si="6"/>
        <v>0</v>
      </c>
      <c r="T32" s="26">
        <f t="shared" si="7"/>
        <v>0</v>
      </c>
      <c r="U32" s="38">
        <f t="shared" si="8"/>
        <v>0</v>
      </c>
    </row>
    <row r="33" spans="5:21">
      <c r="E33" s="218"/>
      <c r="F33" s="232">
        <f>'Major Assumption Key'!A45</f>
        <v>2046</v>
      </c>
      <c r="G33" s="938">
        <f>SUM('P. Tax Inc Shared Use Path Supp'!$D$19:$E$20)</f>
        <v>0</v>
      </c>
      <c r="H33" s="233">
        <f t="shared" si="3"/>
        <v>0</v>
      </c>
      <c r="I33" s="784">
        <f>IF(AND($F33&gt;='Major Assumption Key'!$B$4,$F33&lt;='Major Assumption Key'!$B$6),H33*M33,0)</f>
        <v>0</v>
      </c>
      <c r="J33" s="938">
        <f t="shared" si="1"/>
        <v>0</v>
      </c>
      <c r="K33" s="264">
        <f>SUM('P. Tax Inc Shared Use Path Supp'!$G$19:$H$20)-(SUM('P. Tax Inc Shared Use Path Supp'!$D$19:$E$20))</f>
        <v>0</v>
      </c>
      <c r="L33" s="625">
        <v>26</v>
      </c>
      <c r="M33" s="264"/>
      <c r="N33" s="775">
        <f>IF(AND($F33&gt;=MIN('Major Assumption Key'!$B$4),$F33&lt;=MAX('Major Assumption Key'!$B$6)),K33*M33,0)</f>
        <v>0</v>
      </c>
      <c r="O33" s="26">
        <f t="shared" si="4"/>
        <v>0</v>
      </c>
      <c r="P33" s="38">
        <f>O33/(1+'Major Assumption Key'!$B$8)^($F33-'Major Assumption Key'!$B$7)</f>
        <v>0</v>
      </c>
      <c r="Q33" s="292"/>
      <c r="R33" s="784">
        <f t="shared" si="5"/>
        <v>0</v>
      </c>
      <c r="S33" s="775">
        <f t="shared" si="6"/>
        <v>0</v>
      </c>
      <c r="T33" s="26">
        <f t="shared" si="7"/>
        <v>0</v>
      </c>
      <c r="U33" s="38">
        <f t="shared" si="8"/>
        <v>0</v>
      </c>
    </row>
    <row r="34" spans="5:21" ht="14.7" customHeight="1">
      <c r="F34" s="232">
        <f>'Major Assumption Key'!A46</f>
        <v>2047</v>
      </c>
      <c r="G34" s="938">
        <f>SUM('P. Tax Inc Shared Use Path Supp'!$D$19:$E$20)</f>
        <v>0</v>
      </c>
      <c r="H34" s="233">
        <f t="shared" si="3"/>
        <v>0</v>
      </c>
      <c r="I34" s="784">
        <f>IF(AND($F34&gt;='Major Assumption Key'!$B$4,$F34&lt;='Major Assumption Key'!$B$6),H34*M34,0)</f>
        <v>0</v>
      </c>
      <c r="J34" s="938">
        <f t="shared" si="1"/>
        <v>0</v>
      </c>
      <c r="K34" s="264">
        <f>SUM('P. Tax Inc Shared Use Path Supp'!$G$19:$H$20)-(SUM('P. Tax Inc Shared Use Path Supp'!$D$19:$E$20))</f>
        <v>0</v>
      </c>
      <c r="L34" s="625">
        <v>27</v>
      </c>
      <c r="M34" s="264"/>
      <c r="N34" s="775">
        <f>IF(AND($F34&gt;=MIN('Major Assumption Key'!$B$4),$F34&lt;=MAX('Major Assumption Key'!$B$6)),K34*M34,0)</f>
        <v>0</v>
      </c>
      <c r="O34" s="26">
        <f t="shared" si="4"/>
        <v>0</v>
      </c>
      <c r="P34" s="38">
        <f>O34/(1+'Major Assumption Key'!$B$8)^($F34-'Major Assumption Key'!$B$7)</f>
        <v>0</v>
      </c>
      <c r="Q34" s="292"/>
      <c r="R34" s="784">
        <f t="shared" si="5"/>
        <v>0</v>
      </c>
      <c r="S34" s="775">
        <f t="shared" si="6"/>
        <v>0</v>
      </c>
      <c r="T34" s="26">
        <f t="shared" si="7"/>
        <v>0</v>
      </c>
      <c r="U34" s="38">
        <f t="shared" si="8"/>
        <v>0</v>
      </c>
    </row>
    <row r="35" spans="5:21" ht="14.7" customHeight="1">
      <c r="F35" s="232">
        <f>'Major Assumption Key'!A47</f>
        <v>2048</v>
      </c>
      <c r="G35" s="938">
        <f>SUM('P. Tax Inc Shared Use Path Supp'!$D$19:$E$20)</f>
        <v>0</v>
      </c>
      <c r="H35" s="233">
        <f t="shared" si="3"/>
        <v>0</v>
      </c>
      <c r="I35" s="784">
        <f>IF(AND($F35&gt;='Major Assumption Key'!$B$4,$F35&lt;='Major Assumption Key'!$B$6),H35*M35,0)</f>
        <v>0</v>
      </c>
      <c r="J35" s="938">
        <f t="shared" si="1"/>
        <v>0</v>
      </c>
      <c r="K35" s="264">
        <f>SUM('P. Tax Inc Shared Use Path Supp'!$G$19:$H$20)-(SUM('P. Tax Inc Shared Use Path Supp'!$D$19:$E$20))</f>
        <v>0</v>
      </c>
      <c r="L35" s="625">
        <v>28</v>
      </c>
      <c r="M35" s="264"/>
      <c r="N35" s="775">
        <f>IF(AND($F35&gt;=MIN('Major Assumption Key'!$B$4),$F35&lt;=MAX('Major Assumption Key'!$B$6)),K35*M35,0)</f>
        <v>0</v>
      </c>
      <c r="O35" s="26">
        <f t="shared" si="4"/>
        <v>0</v>
      </c>
      <c r="P35" s="38">
        <f>O35/(1+'Major Assumption Key'!$B$8)^($F35-'Major Assumption Key'!$B$7)</f>
        <v>0</v>
      </c>
      <c r="Q35" s="292"/>
      <c r="R35" s="784">
        <f t="shared" si="5"/>
        <v>0</v>
      </c>
      <c r="S35" s="775">
        <f t="shared" si="6"/>
        <v>0</v>
      </c>
      <c r="T35" s="26">
        <f t="shared" si="7"/>
        <v>0</v>
      </c>
      <c r="U35" s="38">
        <f t="shared" si="8"/>
        <v>0</v>
      </c>
    </row>
    <row r="36" spans="5:21" ht="14.7" customHeight="1">
      <c r="F36" s="232">
        <f>'Major Assumption Key'!A48</f>
        <v>2049</v>
      </c>
      <c r="G36" s="938">
        <f>SUM('P. Tax Inc Shared Use Path Supp'!$D$19:$E$20)</f>
        <v>0</v>
      </c>
      <c r="H36" s="233">
        <f t="shared" si="3"/>
        <v>0</v>
      </c>
      <c r="I36" s="784">
        <f>IF(AND($F36&gt;='Major Assumption Key'!$B$4,$F36&lt;='Major Assumption Key'!$B$6),H36*M36,0)</f>
        <v>0</v>
      </c>
      <c r="J36" s="938">
        <f t="shared" si="1"/>
        <v>0</v>
      </c>
      <c r="K36" s="264">
        <f>SUM('P. Tax Inc Shared Use Path Supp'!$G$19:$H$20)-(SUM('P. Tax Inc Shared Use Path Supp'!$D$19:$E$20))</f>
        <v>0</v>
      </c>
      <c r="L36" s="625">
        <v>29</v>
      </c>
      <c r="M36" s="264"/>
      <c r="N36" s="775">
        <f>IF(AND($F36&gt;=MIN('Major Assumption Key'!$B$4),$F36&lt;=MAX('Major Assumption Key'!$B$6)),K36*M36,0)</f>
        <v>0</v>
      </c>
      <c r="O36" s="26">
        <f t="shared" si="4"/>
        <v>0</v>
      </c>
      <c r="P36" s="38">
        <f>O36/(1+'Major Assumption Key'!$B$8)^($F36-'Major Assumption Key'!$B$7)</f>
        <v>0</v>
      </c>
      <c r="Q36" s="292"/>
      <c r="R36" s="784">
        <f t="shared" si="5"/>
        <v>0</v>
      </c>
      <c r="S36" s="775">
        <f t="shared" si="6"/>
        <v>0</v>
      </c>
      <c r="T36" s="26">
        <f t="shared" si="7"/>
        <v>0</v>
      </c>
      <c r="U36" s="38">
        <f t="shared" si="8"/>
        <v>0</v>
      </c>
    </row>
    <row r="37" spans="5:21" ht="14.7" customHeight="1">
      <c r="F37" s="232">
        <f>'Major Assumption Key'!A49</f>
        <v>2050</v>
      </c>
      <c r="G37" s="938">
        <f>SUM('P. Tax Inc Shared Use Path Supp'!$D$19:$E$20)</f>
        <v>0</v>
      </c>
      <c r="H37" s="233">
        <f t="shared" si="3"/>
        <v>0</v>
      </c>
      <c r="I37" s="784">
        <f>IF(AND($F37&gt;='Major Assumption Key'!$B$4,$F37&lt;='Major Assumption Key'!$B$6),H37*M37,0)</f>
        <v>0</v>
      </c>
      <c r="J37" s="938">
        <f t="shared" si="1"/>
        <v>0</v>
      </c>
      <c r="K37" s="264">
        <f>SUM('P. Tax Inc Shared Use Path Supp'!$G$19:$H$20)-(SUM('P. Tax Inc Shared Use Path Supp'!$D$19:$E$20))</f>
        <v>0</v>
      </c>
      <c r="L37" s="625">
        <v>30</v>
      </c>
      <c r="M37" s="264"/>
      <c r="N37" s="775">
        <f>IF(AND($F37&gt;=MIN('Major Assumption Key'!$B$4),$F37&lt;=MAX('Major Assumption Key'!$B$6)),K37*M37,0)</f>
        <v>0</v>
      </c>
      <c r="O37" s="26">
        <f t="shared" si="4"/>
        <v>0</v>
      </c>
      <c r="P37" s="38">
        <f>O37/(1+'Major Assumption Key'!$B$8)^($F37-'Major Assumption Key'!$B$7)</f>
        <v>0</v>
      </c>
      <c r="Q37" s="292"/>
      <c r="R37" s="784">
        <f t="shared" si="5"/>
        <v>0</v>
      </c>
      <c r="S37" s="775">
        <f t="shared" si="6"/>
        <v>0</v>
      </c>
      <c r="T37" s="26">
        <f t="shared" si="7"/>
        <v>0</v>
      </c>
      <c r="U37" s="38">
        <f t="shared" si="8"/>
        <v>0</v>
      </c>
    </row>
    <row r="38" spans="5:21" ht="14.7" customHeight="1">
      <c r="F38" s="232">
        <f>'Major Assumption Key'!A50</f>
        <v>2051</v>
      </c>
      <c r="G38" s="938">
        <f>SUM('P. Tax Inc Shared Use Path Supp'!$D$19:$E$20)</f>
        <v>0</v>
      </c>
      <c r="H38" s="233">
        <f t="shared" si="3"/>
        <v>0</v>
      </c>
      <c r="I38" s="784">
        <f>IF(AND($F38&gt;='Major Assumption Key'!$B$4,$F38&lt;='Major Assumption Key'!$B$6),H38*M38,0)</f>
        <v>0</v>
      </c>
      <c r="J38" s="938">
        <f t="shared" si="1"/>
        <v>0</v>
      </c>
      <c r="K38" s="264">
        <f>SUM('P. Tax Inc Shared Use Path Supp'!$G$19:$H$20)-(SUM('P. Tax Inc Shared Use Path Supp'!$D$19:$E$20))</f>
        <v>0</v>
      </c>
      <c r="L38" s="625">
        <v>31</v>
      </c>
      <c r="M38" s="264"/>
      <c r="N38" s="775">
        <f>IF(AND($F38&gt;=MIN('Major Assumption Key'!$B$4),$F38&lt;=MAX('Major Assumption Key'!$B$6)),K38*M38,0)</f>
        <v>0</v>
      </c>
      <c r="O38" s="26">
        <f t="shared" si="4"/>
        <v>0</v>
      </c>
      <c r="P38" s="38">
        <f>O38/(1+'Major Assumption Key'!$B$8)^($F38-'Major Assumption Key'!$B$7)</f>
        <v>0</v>
      </c>
      <c r="Q38" s="292"/>
      <c r="R38" s="784">
        <f t="shared" si="5"/>
        <v>0</v>
      </c>
      <c r="S38" s="775">
        <f t="shared" si="6"/>
        <v>0</v>
      </c>
      <c r="T38" s="26">
        <f t="shared" si="7"/>
        <v>0</v>
      </c>
      <c r="U38" s="38">
        <f t="shared" si="8"/>
        <v>0</v>
      </c>
    </row>
    <row r="39" spans="5:21" ht="14.7" customHeight="1">
      <c r="F39" s="232">
        <f>'Major Assumption Key'!A51</f>
        <v>2052</v>
      </c>
      <c r="G39" s="938">
        <f>SUM('P. Tax Inc Shared Use Path Supp'!$D$19:$E$20)</f>
        <v>0</v>
      </c>
      <c r="H39" s="233">
        <f t="shared" si="3"/>
        <v>0</v>
      </c>
      <c r="I39" s="784">
        <f>IF(AND($F39&gt;='Major Assumption Key'!$B$4,$F39&lt;='Major Assumption Key'!$B$6),H39*M39,0)</f>
        <v>0</v>
      </c>
      <c r="J39" s="938">
        <f t="shared" si="1"/>
        <v>0</v>
      </c>
      <c r="K39" s="264">
        <f>SUM('P. Tax Inc Shared Use Path Supp'!$G$19:$H$20)-(SUM('P. Tax Inc Shared Use Path Supp'!$D$19:$E$20))</f>
        <v>0</v>
      </c>
      <c r="L39" s="625">
        <v>32</v>
      </c>
      <c r="M39" s="264"/>
      <c r="N39" s="775">
        <f>IF(AND($F39&gt;=MIN('Major Assumption Key'!$B$4),$F39&lt;=MAX('Major Assumption Key'!$B$6)),K39*M39,0)</f>
        <v>0</v>
      </c>
      <c r="O39" s="26">
        <f t="shared" si="4"/>
        <v>0</v>
      </c>
      <c r="P39" s="38">
        <f>O39/(1+'Major Assumption Key'!$B$8)^($F39-'Major Assumption Key'!$B$7)</f>
        <v>0</v>
      </c>
      <c r="Q39" s="292"/>
      <c r="R39" s="784">
        <f t="shared" si="5"/>
        <v>0</v>
      </c>
      <c r="S39" s="775">
        <f t="shared" si="6"/>
        <v>0</v>
      </c>
      <c r="T39" s="26">
        <f t="shared" si="7"/>
        <v>0</v>
      </c>
      <c r="U39" s="38">
        <f t="shared" si="8"/>
        <v>0</v>
      </c>
    </row>
    <row r="40" spans="5:21" ht="14.7" customHeight="1">
      <c r="F40" s="232">
        <f>'Major Assumption Key'!A52</f>
        <v>2053</v>
      </c>
      <c r="G40" s="938">
        <f>SUM('P. Tax Inc Shared Use Path Supp'!$D$19:$E$20)</f>
        <v>0</v>
      </c>
      <c r="H40" s="233">
        <f t="shared" si="3"/>
        <v>0</v>
      </c>
      <c r="I40" s="784">
        <f>IF(AND($F40&gt;='Major Assumption Key'!$B$4,$F40&lt;='Major Assumption Key'!$B$6),H40*M40,0)</f>
        <v>0</v>
      </c>
      <c r="J40" s="938">
        <f t="shared" si="1"/>
        <v>0</v>
      </c>
      <c r="K40" s="264">
        <f>SUM('P. Tax Inc Shared Use Path Supp'!$G$19:$H$20)-(SUM('P. Tax Inc Shared Use Path Supp'!$D$19:$E$20))</f>
        <v>0</v>
      </c>
      <c r="L40" s="625">
        <v>33</v>
      </c>
      <c r="M40" s="264"/>
      <c r="N40" s="775">
        <f>IF(AND($F40&gt;=MIN('Major Assumption Key'!$B$4),$F40&lt;=MAX('Major Assumption Key'!$B$6)),K40*M40,0)</f>
        <v>0</v>
      </c>
      <c r="O40" s="26">
        <f t="shared" si="4"/>
        <v>0</v>
      </c>
      <c r="P40" s="38">
        <f>O40/(1+'Major Assumption Key'!$B$8)^($F40-'Major Assumption Key'!$B$7)</f>
        <v>0</v>
      </c>
      <c r="Q40" s="292"/>
      <c r="R40" s="784">
        <f t="shared" si="5"/>
        <v>0</v>
      </c>
      <c r="S40" s="775">
        <f t="shared" si="6"/>
        <v>0</v>
      </c>
      <c r="T40" s="26">
        <f t="shared" si="7"/>
        <v>0</v>
      </c>
      <c r="U40" s="38">
        <f t="shared" si="8"/>
        <v>0</v>
      </c>
    </row>
    <row r="41" spans="5:21" ht="14.7" customHeight="1">
      <c r="F41" s="232">
        <f>'Major Assumption Key'!A53</f>
        <v>2054</v>
      </c>
      <c r="G41" s="938">
        <f>SUM('P. Tax Inc Shared Use Path Supp'!$D$19:$E$20)</f>
        <v>0</v>
      </c>
      <c r="H41" s="233">
        <f t="shared" si="3"/>
        <v>0</v>
      </c>
      <c r="I41" s="784">
        <f>IF(AND($F41&gt;='Major Assumption Key'!$B$4,$F41&lt;='Major Assumption Key'!$B$6),H41*M41,0)</f>
        <v>0</v>
      </c>
      <c r="J41" s="938">
        <f t="shared" si="1"/>
        <v>0</v>
      </c>
      <c r="K41" s="264">
        <f>SUM('P. Tax Inc Shared Use Path Supp'!$G$19:$H$20)-(SUM('P. Tax Inc Shared Use Path Supp'!$D$19:$E$20))</f>
        <v>0</v>
      </c>
      <c r="L41" s="625">
        <v>34</v>
      </c>
      <c r="M41" s="264"/>
      <c r="N41" s="775">
        <f>IF(AND($F41&gt;=MIN('Major Assumption Key'!$B$4),$F41&lt;=MAX('Major Assumption Key'!$B$6)),K41*M41,0)</f>
        <v>0</v>
      </c>
      <c r="O41" s="26">
        <f t="shared" si="4"/>
        <v>0</v>
      </c>
      <c r="P41" s="38">
        <f>O41/(1+'Major Assumption Key'!$B$8)^($F41-'Major Assumption Key'!$B$7)</f>
        <v>0</v>
      </c>
      <c r="Q41" s="292"/>
      <c r="R41" s="784">
        <f t="shared" si="5"/>
        <v>0</v>
      </c>
      <c r="S41" s="775">
        <f t="shared" si="6"/>
        <v>0</v>
      </c>
      <c r="T41" s="26">
        <f t="shared" si="7"/>
        <v>0</v>
      </c>
      <c r="U41" s="38">
        <f t="shared" si="8"/>
        <v>0</v>
      </c>
    </row>
    <row r="42" spans="5:21" ht="14.7" customHeight="1">
      <c r="F42" s="232">
        <f>'Major Assumption Key'!A54</f>
        <v>2055</v>
      </c>
      <c r="G42" s="938">
        <f>SUM('P. Tax Inc Shared Use Path Supp'!$D$19:$E$20)</f>
        <v>0</v>
      </c>
      <c r="H42" s="233">
        <f t="shared" si="3"/>
        <v>0</v>
      </c>
      <c r="I42" s="784">
        <f>IF(AND($F42&gt;='Major Assumption Key'!$B$4,$F42&lt;='Major Assumption Key'!$B$6),H42*M42,0)</f>
        <v>0</v>
      </c>
      <c r="J42" s="938">
        <f t="shared" si="1"/>
        <v>0</v>
      </c>
      <c r="K42" s="264">
        <f>SUM('P. Tax Inc Shared Use Path Supp'!$G$19:$H$20)-(SUM('P. Tax Inc Shared Use Path Supp'!$D$19:$E$20))</f>
        <v>0</v>
      </c>
      <c r="L42" s="625">
        <v>35</v>
      </c>
      <c r="M42" s="264"/>
      <c r="N42" s="775">
        <f>IF(AND($F42&gt;=MIN('Major Assumption Key'!$B$4),$F42&lt;=MAX('Major Assumption Key'!$B$6)),K42*M42,0)</f>
        <v>0</v>
      </c>
      <c r="O42" s="26">
        <f t="shared" si="4"/>
        <v>0</v>
      </c>
      <c r="P42" s="38">
        <f>O42/(1+'Major Assumption Key'!$B$8)^($F42-'Major Assumption Key'!$B$7)</f>
        <v>0</v>
      </c>
      <c r="Q42" s="292"/>
      <c r="R42" s="784">
        <f t="shared" si="5"/>
        <v>0</v>
      </c>
      <c r="S42" s="775">
        <f t="shared" si="6"/>
        <v>0</v>
      </c>
      <c r="T42" s="26">
        <f t="shared" si="7"/>
        <v>0</v>
      </c>
      <c r="U42" s="38">
        <f t="shared" si="8"/>
        <v>0</v>
      </c>
    </row>
    <row r="43" spans="5:21" ht="14.7" customHeight="1">
      <c r="F43" s="232">
        <f>'Major Assumption Key'!A55</f>
        <v>2056</v>
      </c>
      <c r="G43" s="938">
        <f>SUM('P. Tax Inc Shared Use Path Supp'!$D$19:$E$20)</f>
        <v>0</v>
      </c>
      <c r="H43" s="233">
        <f t="shared" si="3"/>
        <v>0</v>
      </c>
      <c r="I43" s="784">
        <f>IF(AND($F43&gt;='Major Assumption Key'!$B$4,$F43&lt;='Major Assumption Key'!$B$6),H43*M43,0)</f>
        <v>0</v>
      </c>
      <c r="J43" s="938">
        <f t="shared" si="1"/>
        <v>0</v>
      </c>
      <c r="K43" s="264">
        <f>SUM('P. Tax Inc Shared Use Path Supp'!$G$19:$H$20)-(SUM('P. Tax Inc Shared Use Path Supp'!$D$19:$E$20))</f>
        <v>0</v>
      </c>
      <c r="L43" s="625">
        <v>36</v>
      </c>
      <c r="M43" s="264"/>
      <c r="N43" s="775">
        <f>IF(AND($F43&gt;=MIN('Major Assumption Key'!$B$4),$F43&lt;=MAX('Major Assumption Key'!$B$6)),K43*M43,0)</f>
        <v>0</v>
      </c>
      <c r="O43" s="26">
        <f t="shared" si="4"/>
        <v>0</v>
      </c>
      <c r="P43" s="38">
        <f>O43/(1+'Major Assumption Key'!$B$8)^($F43-'Major Assumption Key'!$B$7)</f>
        <v>0</v>
      </c>
      <c r="Q43" s="292"/>
      <c r="R43" s="784">
        <f t="shared" si="5"/>
        <v>0</v>
      </c>
      <c r="S43" s="775">
        <f t="shared" si="6"/>
        <v>0</v>
      </c>
      <c r="T43" s="26">
        <f t="shared" si="7"/>
        <v>0</v>
      </c>
      <c r="U43" s="38">
        <f t="shared" si="8"/>
        <v>0</v>
      </c>
    </row>
    <row r="44" spans="5:21" ht="14.7" customHeight="1">
      <c r="F44" s="232">
        <f>'Major Assumption Key'!A56</f>
        <v>2057</v>
      </c>
      <c r="G44" s="938">
        <f>SUM('P. Tax Inc Shared Use Path Supp'!$D$19:$E$20)</f>
        <v>0</v>
      </c>
      <c r="H44" s="233">
        <f t="shared" si="3"/>
        <v>0</v>
      </c>
      <c r="I44" s="784">
        <f>IF(AND($F44&gt;='Major Assumption Key'!$B$4,$F44&lt;='Major Assumption Key'!$B$6),H44*M44,0)</f>
        <v>0</v>
      </c>
      <c r="J44" s="938">
        <f t="shared" si="1"/>
        <v>0</v>
      </c>
      <c r="K44" s="264">
        <f>SUM('P. Tax Inc Shared Use Path Supp'!$G$19:$H$20)-(SUM('P. Tax Inc Shared Use Path Supp'!$D$19:$E$20))</f>
        <v>0</v>
      </c>
      <c r="L44" s="625">
        <v>37</v>
      </c>
      <c r="M44" s="264"/>
      <c r="N44" s="775">
        <f>IF(AND($F44&gt;=MIN('Major Assumption Key'!$B$4),$F44&lt;=MAX('Major Assumption Key'!$B$6)),K44*M44,0)</f>
        <v>0</v>
      </c>
      <c r="O44" s="26">
        <f t="shared" si="4"/>
        <v>0</v>
      </c>
      <c r="P44" s="38">
        <f>O44/(1+'Major Assumption Key'!$B$8)^($F44-'Major Assumption Key'!$B$7)</f>
        <v>0</v>
      </c>
      <c r="Q44" s="292"/>
      <c r="R44" s="784">
        <f t="shared" si="5"/>
        <v>0</v>
      </c>
      <c r="S44" s="775">
        <f t="shared" si="6"/>
        <v>0</v>
      </c>
      <c r="T44" s="26">
        <f t="shared" si="7"/>
        <v>0</v>
      </c>
      <c r="U44" s="38">
        <f t="shared" si="8"/>
        <v>0</v>
      </c>
    </row>
    <row r="45" spans="5:21" ht="14.7" customHeight="1">
      <c r="F45" s="232">
        <f>'Major Assumption Key'!A57</f>
        <v>2058</v>
      </c>
      <c r="G45" s="938">
        <f>SUM('P. Tax Inc Shared Use Path Supp'!$D$19:$E$20)</f>
        <v>0</v>
      </c>
      <c r="H45" s="233">
        <f t="shared" si="3"/>
        <v>0</v>
      </c>
      <c r="I45" s="784">
        <f>IF(AND($F45&gt;='Major Assumption Key'!$B$4,$F45&lt;='Major Assumption Key'!$B$6),H45*M45,0)</f>
        <v>0</v>
      </c>
      <c r="J45" s="938">
        <f t="shared" si="1"/>
        <v>0</v>
      </c>
      <c r="K45" s="264">
        <f>SUM('P. Tax Inc Shared Use Path Supp'!$G$19:$H$20)-(SUM('P. Tax Inc Shared Use Path Supp'!$D$19:$E$20))</f>
        <v>0</v>
      </c>
      <c r="L45" s="625">
        <v>38</v>
      </c>
      <c r="M45" s="264"/>
      <c r="N45" s="775">
        <f>IF(AND($F45&gt;=MIN('Major Assumption Key'!$B$4),$F45&lt;=MAX('Major Assumption Key'!$B$6)),K45*M45,0)</f>
        <v>0</v>
      </c>
      <c r="O45" s="26">
        <f t="shared" si="4"/>
        <v>0</v>
      </c>
      <c r="P45" s="38">
        <f>O45/(1+'Major Assumption Key'!$B$8)^($F45-'Major Assumption Key'!$B$7)</f>
        <v>0</v>
      </c>
      <c r="Q45" s="292"/>
      <c r="R45" s="784">
        <f t="shared" si="5"/>
        <v>0</v>
      </c>
      <c r="S45" s="775">
        <f t="shared" si="6"/>
        <v>0</v>
      </c>
      <c r="T45" s="26">
        <f t="shared" si="7"/>
        <v>0</v>
      </c>
      <c r="U45" s="38">
        <f t="shared" si="8"/>
        <v>0</v>
      </c>
    </row>
    <row r="46" spans="5:21" ht="14.7" customHeight="1">
      <c r="F46" s="232">
        <f>'Major Assumption Key'!A58</f>
        <v>2059</v>
      </c>
      <c r="G46" s="938">
        <f>SUM('P. Tax Inc Shared Use Path Supp'!$D$19:$E$20)</f>
        <v>0</v>
      </c>
      <c r="H46" s="233">
        <f t="shared" si="3"/>
        <v>0</v>
      </c>
      <c r="I46" s="784">
        <f>IF(AND($F46&gt;='Major Assumption Key'!$B$4,$F46&lt;='Major Assumption Key'!$B$6),H46*M46,0)</f>
        <v>0</v>
      </c>
      <c r="J46" s="938">
        <f t="shared" si="1"/>
        <v>0</v>
      </c>
      <c r="K46" s="264">
        <f>SUM('P. Tax Inc Shared Use Path Supp'!$G$19:$H$20)-(SUM('P. Tax Inc Shared Use Path Supp'!$D$19:$E$20))</f>
        <v>0</v>
      </c>
      <c r="L46" s="625">
        <v>39</v>
      </c>
      <c r="M46" s="264"/>
      <c r="N46" s="775">
        <f>IF(AND($F46&gt;=MIN('Major Assumption Key'!$B$4),$F46&lt;=MAX('Major Assumption Key'!$B$6)),K46*M46,0)</f>
        <v>0</v>
      </c>
      <c r="O46" s="26">
        <f t="shared" si="4"/>
        <v>0</v>
      </c>
      <c r="P46" s="38">
        <f>O46/(1+'Major Assumption Key'!$B$8)^($F46-'Major Assumption Key'!$B$7)</f>
        <v>0</v>
      </c>
      <c r="Q46" s="292"/>
      <c r="R46" s="784">
        <f t="shared" si="5"/>
        <v>0</v>
      </c>
      <c r="S46" s="775">
        <f t="shared" si="6"/>
        <v>0</v>
      </c>
      <c r="T46" s="26">
        <f t="shared" si="7"/>
        <v>0</v>
      </c>
      <c r="U46" s="38">
        <f t="shared" si="8"/>
        <v>0</v>
      </c>
    </row>
    <row r="47" spans="5:21" ht="14.7" customHeight="1">
      <c r="F47" s="232">
        <f>'Major Assumption Key'!A59</f>
        <v>2060</v>
      </c>
      <c r="G47" s="938">
        <f>SUM('P. Tax Inc Shared Use Path Supp'!$D$19:$E$20)</f>
        <v>0</v>
      </c>
      <c r="H47" s="233">
        <f t="shared" si="3"/>
        <v>0</v>
      </c>
      <c r="I47" s="784">
        <f>IF(AND($F47&gt;='Major Assumption Key'!$B$4,$F47&lt;='Major Assumption Key'!$B$6),H47*M47,0)</f>
        <v>0</v>
      </c>
      <c r="J47" s="938">
        <f t="shared" si="1"/>
        <v>0</v>
      </c>
      <c r="K47" s="264">
        <f>SUM('P. Tax Inc Shared Use Path Supp'!$G$19:$H$20)-(SUM('P. Tax Inc Shared Use Path Supp'!$D$19:$E$20))</f>
        <v>0</v>
      </c>
      <c r="L47" s="625">
        <v>40</v>
      </c>
      <c r="M47" s="264"/>
      <c r="N47" s="775">
        <f>IF(AND($F47&gt;=MIN('Major Assumption Key'!$B$4),$F47&lt;=MAX('Major Assumption Key'!$B$6)),K47*M47,0)</f>
        <v>0</v>
      </c>
      <c r="O47" s="26">
        <f t="shared" si="4"/>
        <v>0</v>
      </c>
      <c r="P47" s="38">
        <f>O47/(1+'Major Assumption Key'!$B$8)^($F47-'Major Assumption Key'!$B$7)</f>
        <v>0</v>
      </c>
      <c r="Q47" s="292"/>
      <c r="R47" s="784">
        <f t="shared" si="5"/>
        <v>0</v>
      </c>
      <c r="S47" s="775">
        <f t="shared" si="6"/>
        <v>0</v>
      </c>
      <c r="T47" s="26">
        <f t="shared" si="7"/>
        <v>0</v>
      </c>
      <c r="U47" s="38">
        <f t="shared" si="8"/>
        <v>0</v>
      </c>
    </row>
    <row r="48" spans="5:21" ht="14.7" customHeight="1" thickBot="1">
      <c r="F48" s="235" t="s">
        <v>504</v>
      </c>
      <c r="G48" s="236"/>
      <c r="H48" s="236"/>
      <c r="I48" s="118">
        <f>SUMIFS($I$7:$I$47,$F$7:$F$47,"&gt;="&amp;$B$17,$F$7:$F$47,"&lt;="&amp;$B$18)</f>
        <v>0</v>
      </c>
      <c r="J48" s="236"/>
      <c r="K48" s="236"/>
      <c r="L48" s="236"/>
      <c r="M48" s="236"/>
      <c r="N48" s="119">
        <f>SUMIFS($N$7:$N$47,$F$7:$F$47,"&gt;="&amp;$B$17,$F$7:$F$47,"&lt;="&amp;$B$18)</f>
        <v>0</v>
      </c>
      <c r="O48" s="237">
        <f>SUMIFS($O$7:$O$47,$F$7:$F$47,"&gt;="&amp;$B$17,$F$7:$F$47,"&lt;="&amp;$B$18)</f>
        <v>0</v>
      </c>
      <c r="P48" s="237">
        <f>SUMIFS($P$7:$P$47,$F$7:$F$47,"&gt;="&amp;$B$17,$F$7:$F$47,"&lt;="&amp;$B$18)</f>
        <v>0</v>
      </c>
      <c r="Q48" s="292"/>
      <c r="R48" s="118">
        <f t="shared" ref="R48" si="9">ROUND(I48,-3)</f>
        <v>0</v>
      </c>
      <c r="S48" s="119">
        <f t="shared" ref="S48" si="10">ROUND(N48,-3)</f>
        <v>0</v>
      </c>
      <c r="T48" s="237">
        <f>ROUND(O48,-3)</f>
        <v>0</v>
      </c>
      <c r="U48" s="238">
        <f>ROUND(P48,-3)</f>
        <v>0</v>
      </c>
    </row>
    <row r="49" spans="6:17" ht="14.7" customHeight="1">
      <c r="F49" s="246"/>
      <c r="G49" s="246"/>
      <c r="H49" s="218"/>
      <c r="I49" s="218"/>
      <c r="J49" s="218"/>
      <c r="K49" s="218"/>
      <c r="L49" s="218"/>
      <c r="M49" s="218"/>
      <c r="N49" s="218"/>
      <c r="O49" s="218"/>
      <c r="P49" s="218"/>
      <c r="Q49" s="292"/>
    </row>
    <row r="50" spans="6:17" ht="14.7" customHeight="1">
      <c r="F50" s="246"/>
      <c r="G50" s="246"/>
      <c r="H50" s="218"/>
      <c r="I50" s="218"/>
      <c r="J50" s="218"/>
      <c r="K50" s="218"/>
      <c r="L50" s="218"/>
      <c r="M50" s="218"/>
      <c r="N50" s="218"/>
      <c r="O50" s="218"/>
      <c r="P50" s="218"/>
    </row>
    <row r="51" spans="6:17" ht="14.7" customHeight="1">
      <c r="I51" s="51"/>
      <c r="N51" s="51"/>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77734375" defaultRowHeight="14.4"/>
  <cols>
    <col min="1" max="1" width="35.77734375" style="243" customWidth="1"/>
    <col min="2" max="2" width="75.77734375" style="241" bestFit="1" customWidth="1"/>
    <col min="3" max="3" width="24.21875" style="241" customWidth="1"/>
    <col min="4" max="4" width="30.21875" style="241" bestFit="1" customWidth="1"/>
    <col min="5" max="5" width="31.21875" style="241" bestFit="1" customWidth="1"/>
    <col min="6" max="6" width="38.5546875" style="241" bestFit="1" customWidth="1"/>
    <col min="7" max="7" width="26.21875" style="241" bestFit="1" customWidth="1"/>
    <col min="8" max="8" width="27.21875" style="241" bestFit="1" customWidth="1"/>
    <col min="9" max="9" width="27.77734375" style="241" bestFit="1" customWidth="1"/>
    <col min="10" max="11" width="15.21875" style="241" customWidth="1"/>
    <col min="12" max="12" width="8.77734375" style="243"/>
    <col min="13" max="13" width="60.77734375" style="243" bestFit="1" customWidth="1"/>
    <col min="14" max="14" width="16.44140625" style="243" bestFit="1" customWidth="1"/>
    <col min="15" max="15" width="12.77734375" style="243" customWidth="1"/>
    <col min="16" max="16" width="13.21875" style="243" customWidth="1"/>
    <col min="17" max="17" width="12.21875" style="243" customWidth="1"/>
    <col min="18" max="18" width="9" style="243" bestFit="1" customWidth="1"/>
    <col min="19" max="19" width="12" style="243" customWidth="1"/>
    <col min="20" max="20" width="13.77734375" style="243" customWidth="1"/>
    <col min="21" max="22" width="11" style="243" customWidth="1"/>
    <col min="23" max="23" width="9" style="243" bestFit="1" customWidth="1"/>
    <col min="24" max="16384" width="8.77734375" style="243"/>
  </cols>
  <sheetData>
    <row r="1" spans="1:12" s="241" customFormat="1" ht="25.2" customHeight="1">
      <c r="A1" s="271" t="s">
        <v>546</v>
      </c>
      <c r="B1" s="42" t="s">
        <v>7409</v>
      </c>
      <c r="C1" s="267"/>
      <c r="D1" s="267"/>
      <c r="E1" s="267"/>
      <c r="F1" s="33" t="s">
        <v>187</v>
      </c>
      <c r="G1" s="45" t="str">
        <f>HYPERLINK("#'"&amp;INDEX('Master Key'!$B:$B,MATCH("Master Key",'Master Key'!$B:$B,0),1)&amp;"'!A1","Go To Sheet")</f>
        <v>Go To Sheet</v>
      </c>
      <c r="L1" s="243"/>
    </row>
    <row r="2" spans="1:12" s="241" customFormat="1" ht="11.25" customHeight="1">
      <c r="A2" s="239"/>
      <c r="B2" s="240"/>
      <c r="F2" s="33"/>
      <c r="G2" s="45"/>
      <c r="L2" s="243"/>
    </row>
    <row r="3" spans="1:12" s="241" customFormat="1">
      <c r="A3" s="242"/>
      <c r="L3" s="243"/>
    </row>
    <row r="4" spans="1:12" customFormat="1" ht="13.2">
      <c r="A4" s="245" t="s">
        <v>7354</v>
      </c>
      <c r="B4" s="245"/>
      <c r="F4" s="1"/>
    </row>
    <row r="5" spans="1:12" customFormat="1" ht="13.2">
      <c r="A5" s="39" t="s">
        <v>7361</v>
      </c>
      <c r="B5" s="320" t="str">
        <f>_xlfn.CONCAT("Tax Rate $",'Major Assumption Key'!$B$7)</f>
        <v>Tax Rate $2022</v>
      </c>
      <c r="F5" s="1"/>
    </row>
    <row r="6" spans="1:12" customFormat="1" ht="13.2">
      <c r="A6" s="369" t="s">
        <v>7362</v>
      </c>
      <c r="B6" s="629">
        <v>1.0944</v>
      </c>
    </row>
    <row r="7" spans="1:12" customFormat="1" ht="13.2">
      <c r="A7" s="369" t="s">
        <v>7363</v>
      </c>
      <c r="B7" s="629">
        <v>0.37692999999999999</v>
      </c>
    </row>
    <row r="8" spans="1:12" customFormat="1" ht="13.2">
      <c r="A8" s="369" t="s">
        <v>7364</v>
      </c>
      <c r="B8" s="629">
        <v>3.3489999999999999E-2</v>
      </c>
    </row>
    <row r="9" spans="1:12" customFormat="1" ht="13.2">
      <c r="A9" s="369" t="s">
        <v>7365</v>
      </c>
      <c r="B9" s="629">
        <v>8.7200000000000003E-3</v>
      </c>
    </row>
    <row r="10" spans="1:12" customFormat="1" ht="13.2">
      <c r="A10" s="369" t="s">
        <v>7366</v>
      </c>
      <c r="B10" s="629">
        <v>0.16220999999999999</v>
      </c>
    </row>
    <row r="11" spans="1:12" customFormat="1" ht="13.2">
      <c r="A11" s="369" t="s">
        <v>7367</v>
      </c>
      <c r="B11" s="629">
        <v>4.9899999999999996E-3</v>
      </c>
    </row>
    <row r="12" spans="1:12" customFormat="1" ht="13.2">
      <c r="A12" s="369" t="s">
        <v>7368</v>
      </c>
      <c r="B12" s="629">
        <v>9.9092E-2</v>
      </c>
    </row>
    <row r="13" spans="1:12" customFormat="1" ht="13.2">
      <c r="A13" s="369" t="s">
        <v>7369</v>
      </c>
      <c r="B13" s="629">
        <v>0.55083000000000004</v>
      </c>
    </row>
    <row r="14" spans="1:12" customFormat="1" ht="13.2">
      <c r="A14" s="369" t="s">
        <v>473</v>
      </c>
      <c r="B14" s="370">
        <f>SUM(B6:B13)/100</f>
        <v>2.3306620000000004E-2</v>
      </c>
    </row>
    <row r="15" spans="1:12" customFormat="1" ht="13.2"/>
    <row r="16" spans="1:12" customFormat="1" ht="13.2"/>
    <row r="17" spans="1:14" customFormat="1" ht="13.2">
      <c r="A17" s="110" t="s">
        <v>7370</v>
      </c>
    </row>
    <row r="18" spans="1:14" customFormat="1" ht="13.2">
      <c r="A18" s="248" t="s">
        <v>7410</v>
      </c>
      <c r="B18" s="248" t="s">
        <v>7372</v>
      </c>
      <c r="C18" s="248" t="s">
        <v>7373</v>
      </c>
      <c r="D18" s="255" t="s">
        <v>7374</v>
      </c>
      <c r="E18" s="255" t="s">
        <v>7375</v>
      </c>
      <c r="F18" s="248" t="s">
        <v>7376</v>
      </c>
      <c r="G18" s="248" t="s">
        <v>7377</v>
      </c>
      <c r="H18" s="248" t="s">
        <v>7378</v>
      </c>
    </row>
    <row r="19" spans="1:14" customFormat="1">
      <c r="A19" s="249" t="s">
        <v>7408</v>
      </c>
      <c r="B19" s="249" t="s">
        <v>7411</v>
      </c>
      <c r="C19" s="249"/>
      <c r="D19" s="252">
        <v>0</v>
      </c>
      <c r="E19" s="259"/>
      <c r="F19" s="265">
        <f>'Prop. Tax Inc Shared Use Path'!B20</f>
        <v>0.05</v>
      </c>
      <c r="G19" s="262">
        <f>D19*(1+F19)</f>
        <v>0</v>
      </c>
      <c r="H19" s="244"/>
    </row>
    <row r="20" spans="1:14" customFormat="1">
      <c r="A20" s="249" t="s">
        <v>7381</v>
      </c>
      <c r="B20" s="249" t="s">
        <v>7382</v>
      </c>
      <c r="C20" s="249"/>
      <c r="D20" s="260"/>
      <c r="E20" s="261">
        <v>0</v>
      </c>
      <c r="F20" s="954">
        <f>'Prop. Tax Inc Shared Use Path'!B21</f>
        <v>0.09</v>
      </c>
      <c r="G20" s="262"/>
      <c r="H20" s="262">
        <f>E20*(1+F20)</f>
        <v>0</v>
      </c>
    </row>
    <row r="21" spans="1:14" customFormat="1">
      <c r="A21" s="243"/>
      <c r="B21" s="243"/>
      <c r="C21" s="243"/>
      <c r="D21" s="243"/>
      <c r="E21" s="243"/>
      <c r="F21" s="243"/>
      <c r="G21" s="243"/>
      <c r="H21" s="243"/>
    </row>
    <row r="22" spans="1:14" customFormat="1">
      <c r="A22" s="243"/>
      <c r="B22" s="243"/>
      <c r="C22" s="243"/>
      <c r="D22" s="243"/>
      <c r="E22" s="243"/>
      <c r="F22" s="243"/>
      <c r="G22" s="243"/>
      <c r="H22" s="243"/>
    </row>
    <row r="23" spans="1:14" customFormat="1">
      <c r="A23" s="243"/>
      <c r="B23" s="243"/>
      <c r="C23" s="243"/>
      <c r="D23" s="243"/>
      <c r="E23" s="243"/>
      <c r="F23" s="243"/>
      <c r="G23" s="243"/>
      <c r="H23" s="243"/>
    </row>
    <row r="24" spans="1:14" customFormat="1">
      <c r="A24" s="243"/>
      <c r="B24" s="243"/>
      <c r="C24" s="243"/>
      <c r="D24" s="243"/>
      <c r="E24" s="243"/>
      <c r="F24" s="243"/>
      <c r="G24" s="243"/>
      <c r="H24" s="243"/>
    </row>
    <row r="25" spans="1:14" customFormat="1">
      <c r="A25" s="243"/>
      <c r="B25" s="243"/>
      <c r="C25" s="243"/>
      <c r="D25" s="243"/>
      <c r="E25" s="243"/>
      <c r="F25" s="243"/>
      <c r="G25" s="243"/>
      <c r="H25" s="243"/>
    </row>
    <row r="26" spans="1:14">
      <c r="B26" s="243"/>
      <c r="C26" s="243"/>
      <c r="D26" s="243"/>
      <c r="E26" s="243"/>
      <c r="F26" s="243"/>
      <c r="G26" s="243"/>
      <c r="H26" s="243"/>
      <c r="I26" s="243"/>
      <c r="J26" s="243"/>
      <c r="K26" s="243"/>
      <c r="L26" s="241"/>
      <c r="M26" s="241"/>
      <c r="N26" s="241"/>
    </row>
    <row r="27" spans="1:14">
      <c r="B27" s="243"/>
      <c r="C27" s="243"/>
      <c r="D27" s="243"/>
      <c r="E27" s="243"/>
      <c r="F27" s="243"/>
      <c r="G27" s="243"/>
      <c r="H27" s="243"/>
      <c r="I27" s="243"/>
      <c r="J27" s="243"/>
      <c r="K27" s="243"/>
      <c r="L27" s="241"/>
      <c r="M27" s="241"/>
      <c r="N27" s="241"/>
    </row>
    <row r="28" spans="1:14">
      <c r="B28" s="243"/>
      <c r="C28" s="243"/>
      <c r="D28" s="243"/>
      <c r="E28" s="243"/>
      <c r="F28" s="243"/>
      <c r="G28" s="243"/>
      <c r="H28" s="243"/>
      <c r="I28" s="243"/>
      <c r="J28" s="243"/>
      <c r="K28" s="243"/>
      <c r="L28" s="241"/>
    </row>
    <row r="29" spans="1:14">
      <c r="B29" s="243"/>
      <c r="C29" s="243"/>
      <c r="D29" s="243"/>
      <c r="I29" s="243"/>
      <c r="J29" s="243"/>
      <c r="K29" s="243"/>
      <c r="L29" s="241"/>
    </row>
    <row r="30" spans="1:14">
      <c r="I30" s="243"/>
      <c r="J30" s="243"/>
      <c r="K30" s="243"/>
      <c r="L30" s="241"/>
    </row>
    <row r="31" spans="1:14">
      <c r="I31" s="243"/>
      <c r="J31" s="243"/>
      <c r="K31" s="243"/>
      <c r="L31" s="241"/>
      <c r="M31" s="241"/>
    </row>
    <row r="32" spans="1:14">
      <c r="I32" s="243"/>
      <c r="J32" s="243"/>
      <c r="K32" s="243"/>
      <c r="L32" s="241"/>
      <c r="M32" s="241"/>
    </row>
    <row r="33" spans="9:13">
      <c r="I33" s="243"/>
      <c r="J33" s="243"/>
      <c r="K33" s="243"/>
      <c r="L33" s="241"/>
      <c r="M33" s="241"/>
    </row>
    <row r="34" spans="9:13">
      <c r="I34" s="243"/>
    </row>
    <row r="35" spans="9:13">
      <c r="I35" s="243"/>
    </row>
    <row r="36" spans="9:13">
      <c r="I36" s="243"/>
    </row>
    <row r="37" spans="9:13">
      <c r="I37" s="243"/>
    </row>
    <row r="38" spans="9:13">
      <c r="I38" s="243"/>
    </row>
    <row r="39" spans="9:13">
      <c r="I39" s="243"/>
    </row>
    <row r="40" spans="9:13">
      <c r="I40" s="243"/>
    </row>
    <row r="41" spans="9:13">
      <c r="I41" s="243"/>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21875" bestFit="1" customWidth="1"/>
    <col min="2" max="2" width="37.21875" bestFit="1" customWidth="1"/>
    <col min="6" max="6" width="24.44140625" bestFit="1" customWidth="1"/>
    <col min="7" max="7" width="10.44140625" bestFit="1" customWidth="1"/>
  </cols>
  <sheetData>
    <row r="1" spans="1:7" ht="14.4">
      <c r="A1" s="271" t="s">
        <v>546</v>
      </c>
      <c r="B1" s="42" t="s">
        <v>7412</v>
      </c>
      <c r="C1" s="267"/>
      <c r="D1" s="267"/>
      <c r="E1" s="267"/>
      <c r="F1" s="33" t="s">
        <v>187</v>
      </c>
      <c r="G1" s="45" t="str">
        <f>HYPERLINK("#'"&amp;INDEX('Master Key'!$B:$B,MATCH("Master Key",'Master Key'!$B:$B,0),1)&amp;"'!A1","Go To Sheet")</f>
        <v>Go To Sheet</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94"/>
      <c r="B1" s="294"/>
      <c r="C1" s="294"/>
    </row>
    <row r="2" spans="1:3">
      <c r="A2" s="295" t="s">
        <v>7413</v>
      </c>
      <c r="B2" s="294" t="s">
        <v>7414</v>
      </c>
      <c r="C2" s="294" t="s">
        <v>7415</v>
      </c>
    </row>
    <row r="3" spans="1:3">
      <c r="A3" s="295" t="s">
        <v>7416</v>
      </c>
      <c r="B3" s="294" t="s">
        <v>7414</v>
      </c>
      <c r="C3" s="294" t="s">
        <v>7415</v>
      </c>
    </row>
    <row r="4" spans="1:3">
      <c r="A4" s="295" t="s">
        <v>7417</v>
      </c>
      <c r="B4" s="294" t="s">
        <v>7417</v>
      </c>
      <c r="C4" s="294" t="s">
        <v>7418</v>
      </c>
    </row>
    <row r="5" spans="1:3">
      <c r="A5" s="295" t="s">
        <v>7419</v>
      </c>
      <c r="B5" s="294" t="s">
        <v>7419</v>
      </c>
      <c r="C5" s="294" t="s">
        <v>7420</v>
      </c>
    </row>
    <row r="6" spans="1:3">
      <c r="A6" s="295" t="s">
        <v>7421</v>
      </c>
      <c r="B6" s="294" t="s">
        <v>7417</v>
      </c>
      <c r="C6" s="294" t="s">
        <v>7422</v>
      </c>
    </row>
    <row r="7" spans="1:3">
      <c r="A7" s="295" t="s">
        <v>7423</v>
      </c>
      <c r="B7" s="294" t="s">
        <v>7417</v>
      </c>
      <c r="C7" s="294" t="s">
        <v>7424</v>
      </c>
    </row>
    <row r="8" spans="1:3">
      <c r="A8" s="295" t="s">
        <v>7425</v>
      </c>
      <c r="B8" s="294" t="s">
        <v>7425</v>
      </c>
      <c r="C8" s="294" t="s">
        <v>7426</v>
      </c>
    </row>
    <row r="9" spans="1:3">
      <c r="A9" s="295" t="s">
        <v>7427</v>
      </c>
      <c r="B9" s="294" t="s">
        <v>7427</v>
      </c>
      <c r="C9" s="294" t="s">
        <v>7428</v>
      </c>
    </row>
    <row r="10" spans="1:3">
      <c r="A10" s="295" t="s">
        <v>7429</v>
      </c>
      <c r="B10" s="294" t="s">
        <v>7429</v>
      </c>
      <c r="C10" s="294" t="s">
        <v>7430</v>
      </c>
    </row>
    <row r="11" spans="1:3">
      <c r="A11" s="295" t="s">
        <v>7431</v>
      </c>
      <c r="B11" s="294" t="s">
        <v>7431</v>
      </c>
      <c r="C11" s="294" t="s">
        <v>7432</v>
      </c>
    </row>
    <row r="12" spans="1:3">
      <c r="A12" s="295" t="s">
        <v>7433</v>
      </c>
      <c r="B12" s="294" t="s">
        <v>7433</v>
      </c>
      <c r="C12" s="294" t="s">
        <v>7434</v>
      </c>
    </row>
    <row r="13" spans="1:3">
      <c r="A13" s="295" t="s">
        <v>7435</v>
      </c>
      <c r="B13" s="294" t="s">
        <v>7435</v>
      </c>
      <c r="C13" s="294" t="s">
        <v>7436</v>
      </c>
    </row>
    <row r="14" spans="1:3">
      <c r="A14" s="295" t="s">
        <v>7437</v>
      </c>
      <c r="B14" s="294" t="s">
        <v>7437</v>
      </c>
      <c r="C14" s="294" t="s">
        <v>7438</v>
      </c>
    </row>
    <row r="15" spans="1:3">
      <c r="A15" s="295" t="s">
        <v>7439</v>
      </c>
      <c r="B15" s="294" t="s">
        <v>7439</v>
      </c>
      <c r="C15" s="294" t="s">
        <v>7440</v>
      </c>
    </row>
    <row r="16" spans="1:3">
      <c r="A16" s="295" t="s">
        <v>7441</v>
      </c>
      <c r="B16" s="294" t="s">
        <v>7441</v>
      </c>
      <c r="C16" s="294" t="s">
        <v>7442</v>
      </c>
    </row>
    <row r="17" spans="1:3">
      <c r="A17" s="295" t="s">
        <v>7443</v>
      </c>
      <c r="B17" s="294" t="s">
        <v>7443</v>
      </c>
      <c r="C17" s="294" t="s">
        <v>7444</v>
      </c>
    </row>
    <row r="18" spans="1:3">
      <c r="A18" s="295" t="s">
        <v>7445</v>
      </c>
      <c r="B18" s="294" t="s">
        <v>7445</v>
      </c>
      <c r="C18" s="294" t="s">
        <v>7446</v>
      </c>
    </row>
    <row r="19" spans="1:3">
      <c r="A19" s="295" t="s">
        <v>7447</v>
      </c>
      <c r="B19" s="294" t="s">
        <v>7448</v>
      </c>
      <c r="C19" s="294" t="s">
        <v>7449</v>
      </c>
    </row>
    <row r="20" spans="1:3">
      <c r="A20" s="295" t="s">
        <v>7450</v>
      </c>
      <c r="B20" s="294" t="s">
        <v>7450</v>
      </c>
      <c r="C20" s="294" t="s">
        <v>7451</v>
      </c>
    </row>
    <row r="21" spans="1:3">
      <c r="A21" s="295" t="s">
        <v>7452</v>
      </c>
      <c r="B21" s="294" t="s">
        <v>7452</v>
      </c>
      <c r="C21" s="294" t="s">
        <v>7453</v>
      </c>
    </row>
    <row r="22" spans="1:3">
      <c r="A22" s="295" t="s">
        <v>7454</v>
      </c>
      <c r="B22" s="294" t="s">
        <v>7454</v>
      </c>
      <c r="C22" s="294" t="s">
        <v>7455</v>
      </c>
    </row>
    <row r="23" spans="1:3">
      <c r="A23" s="295" t="s">
        <v>7456</v>
      </c>
      <c r="B23" s="294" t="s">
        <v>7456</v>
      </c>
      <c r="C23" s="294" t="s">
        <v>7457</v>
      </c>
    </row>
    <row r="24" spans="1:3">
      <c r="A24" s="295" t="s">
        <v>7458</v>
      </c>
      <c r="B24" s="294" t="s">
        <v>7458</v>
      </c>
      <c r="C24" s="294" t="s">
        <v>7459</v>
      </c>
    </row>
    <row r="25" spans="1:3">
      <c r="A25" s="295" t="s">
        <v>7460</v>
      </c>
      <c r="B25" s="294" t="s">
        <v>7460</v>
      </c>
      <c r="C25" s="294" t="s">
        <v>7461</v>
      </c>
    </row>
    <row r="26" spans="1:3">
      <c r="A26" s="295" t="s">
        <v>7462</v>
      </c>
      <c r="B26" s="294" t="s">
        <v>7462</v>
      </c>
      <c r="C26" s="294" t="s">
        <v>7463</v>
      </c>
    </row>
    <row r="27" spans="1:3">
      <c r="A27" s="295" t="s">
        <v>7464</v>
      </c>
      <c r="B27" s="294" t="s">
        <v>7464</v>
      </c>
      <c r="C27" s="294" t="s">
        <v>7465</v>
      </c>
    </row>
    <row r="28" spans="1:3">
      <c r="A28" s="295" t="s">
        <v>7466</v>
      </c>
      <c r="B28" s="294" t="s">
        <v>7466</v>
      </c>
      <c r="C28" s="294" t="s">
        <v>7467</v>
      </c>
    </row>
    <row r="29" spans="1:3">
      <c r="A29" s="295" t="s">
        <v>7468</v>
      </c>
      <c r="B29" s="294" t="s">
        <v>7414</v>
      </c>
      <c r="C29" s="294" t="s">
        <v>7415</v>
      </c>
    </row>
    <row r="30" spans="1:3">
      <c r="A30" s="295" t="s">
        <v>7469</v>
      </c>
      <c r="B30" s="294" t="s">
        <v>7469</v>
      </c>
      <c r="C30" s="294" t="s">
        <v>7470</v>
      </c>
    </row>
    <row r="31" spans="1:3">
      <c r="A31" s="295" t="s">
        <v>7471</v>
      </c>
      <c r="B31" s="294" t="s">
        <v>7472</v>
      </c>
      <c r="C31" s="294" t="s">
        <v>7473</v>
      </c>
    </row>
    <row r="32" spans="1:3">
      <c r="A32" s="295" t="s">
        <v>7474</v>
      </c>
      <c r="B32" s="294" t="s">
        <v>7472</v>
      </c>
      <c r="C32" s="294" t="s">
        <v>7475</v>
      </c>
    </row>
    <row r="33" spans="1:3">
      <c r="A33" s="295" t="s">
        <v>7476</v>
      </c>
      <c r="B33" s="294" t="s">
        <v>7472</v>
      </c>
      <c r="C33" s="294" t="s">
        <v>7477</v>
      </c>
    </row>
    <row r="34" spans="1:3">
      <c r="A34" s="295" t="s">
        <v>7478</v>
      </c>
      <c r="B34" s="294" t="s">
        <v>7472</v>
      </c>
      <c r="C34" s="294" t="s">
        <v>7479</v>
      </c>
    </row>
    <row r="35" spans="1:3">
      <c r="A35" s="295" t="s">
        <v>7480</v>
      </c>
      <c r="B35" s="294" t="s">
        <v>7472</v>
      </c>
      <c r="C35" s="294" t="s">
        <v>7481</v>
      </c>
    </row>
    <row r="36" spans="1:3">
      <c r="A36" s="295" t="s">
        <v>7482</v>
      </c>
      <c r="B36" s="294" t="s">
        <v>7482</v>
      </c>
      <c r="C36" s="294" t="s">
        <v>7483</v>
      </c>
    </row>
    <row r="37" spans="1:3">
      <c r="A37" s="295" t="s">
        <v>7484</v>
      </c>
      <c r="B37" s="294" t="s">
        <v>7484</v>
      </c>
      <c r="C37" s="294" t="s">
        <v>7485</v>
      </c>
    </row>
    <row r="38" spans="1:3">
      <c r="A38" s="295" t="s">
        <v>7486</v>
      </c>
      <c r="B38" s="294" t="s">
        <v>7486</v>
      </c>
      <c r="C38" s="294" t="s">
        <v>7487</v>
      </c>
    </row>
    <row r="39" spans="1:3">
      <c r="A39" s="295" t="s">
        <v>7488</v>
      </c>
      <c r="B39" s="294" t="s">
        <v>7488</v>
      </c>
      <c r="C39" s="294" t="s">
        <v>7489</v>
      </c>
    </row>
    <row r="40" spans="1:3">
      <c r="A40" s="295" t="s">
        <v>7490</v>
      </c>
      <c r="B40" s="294" t="s">
        <v>7490</v>
      </c>
      <c r="C40" s="294" t="s">
        <v>7491</v>
      </c>
    </row>
    <row r="41" spans="1:3">
      <c r="A41" s="295" t="s">
        <v>7492</v>
      </c>
      <c r="B41" s="294" t="s">
        <v>7492</v>
      </c>
      <c r="C41" s="294" t="s">
        <v>7493</v>
      </c>
    </row>
    <row r="42" spans="1:3">
      <c r="A42" s="295" t="s">
        <v>7494</v>
      </c>
      <c r="B42" s="294" t="s">
        <v>7494</v>
      </c>
      <c r="C42" s="294" t="s">
        <v>7495</v>
      </c>
    </row>
    <row r="43" spans="1:3">
      <c r="A43" s="295" t="s">
        <v>7496</v>
      </c>
      <c r="B43" s="294" t="s">
        <v>7496</v>
      </c>
      <c r="C43" s="294" t="s">
        <v>7497</v>
      </c>
    </row>
    <row r="44" spans="1:3">
      <c r="A44" s="295" t="s">
        <v>7498</v>
      </c>
      <c r="B44" s="294" t="s">
        <v>7498</v>
      </c>
      <c r="C44" s="294" t="s">
        <v>7499</v>
      </c>
    </row>
    <row r="45" spans="1:3">
      <c r="A45" s="295" t="s">
        <v>7500</v>
      </c>
      <c r="B45" s="294" t="s">
        <v>7500</v>
      </c>
      <c r="C45" s="294" t="s">
        <v>7501</v>
      </c>
    </row>
    <row r="46" spans="1:3">
      <c r="A46" s="295" t="s">
        <v>7502</v>
      </c>
      <c r="B46" s="294" t="s">
        <v>7502</v>
      </c>
      <c r="C46" s="294" t="s">
        <v>7503</v>
      </c>
    </row>
    <row r="47" spans="1:3">
      <c r="A47" s="295" t="s">
        <v>7504</v>
      </c>
      <c r="B47" s="294" t="s">
        <v>7504</v>
      </c>
      <c r="C47" s="294" t="s">
        <v>7505</v>
      </c>
    </row>
    <row r="48" spans="1:3">
      <c r="A48" s="295" t="s">
        <v>7506</v>
      </c>
      <c r="B48" s="294" t="s">
        <v>7506</v>
      </c>
      <c r="C48" s="294" t="s">
        <v>7507</v>
      </c>
    </row>
    <row r="49" spans="1:3">
      <c r="A49" s="295" t="s">
        <v>7508</v>
      </c>
      <c r="B49" s="294" t="s">
        <v>7508</v>
      </c>
      <c r="C49" s="294" t="s">
        <v>7509</v>
      </c>
    </row>
    <row r="50" spans="1:3">
      <c r="A50" s="295" t="s">
        <v>7510</v>
      </c>
      <c r="B50" s="294" t="s">
        <v>7510</v>
      </c>
      <c r="C50" s="294" t="s">
        <v>7511</v>
      </c>
    </row>
    <row r="51" spans="1:3">
      <c r="A51" s="295" t="s">
        <v>7512</v>
      </c>
      <c r="B51" s="294" t="s">
        <v>7512</v>
      </c>
      <c r="C51" s="294" t="s">
        <v>7513</v>
      </c>
    </row>
    <row r="52" spans="1:3">
      <c r="A52" s="295" t="s">
        <v>7514</v>
      </c>
      <c r="B52" s="294" t="s">
        <v>7514</v>
      </c>
      <c r="C52" s="294" t="s">
        <v>7515</v>
      </c>
    </row>
    <row r="53" spans="1:3">
      <c r="A53" s="295" t="s">
        <v>7516</v>
      </c>
      <c r="B53" s="294" t="s">
        <v>7516</v>
      </c>
      <c r="C53" s="294" t="s">
        <v>7517</v>
      </c>
    </row>
    <row r="54" spans="1:3">
      <c r="A54" s="295" t="s">
        <v>7518</v>
      </c>
      <c r="B54" s="294" t="s">
        <v>7518</v>
      </c>
      <c r="C54" s="294" t="s">
        <v>7519</v>
      </c>
    </row>
    <row r="55" spans="1:3">
      <c r="A55" s="295" t="s">
        <v>7520</v>
      </c>
      <c r="B55" s="294" t="s">
        <v>7520</v>
      </c>
      <c r="C55" s="294" t="s">
        <v>7521</v>
      </c>
    </row>
    <row r="56" spans="1:3">
      <c r="A56" s="295" t="s">
        <v>7472</v>
      </c>
      <c r="B56" s="294" t="s">
        <v>7472</v>
      </c>
      <c r="C56" s="294" t="s">
        <v>7522</v>
      </c>
    </row>
    <row r="57" spans="1:3">
      <c r="A57" s="295" t="s">
        <v>7523</v>
      </c>
      <c r="B57" s="294" t="s">
        <v>7433</v>
      </c>
      <c r="C57" s="294" t="s">
        <v>7524</v>
      </c>
    </row>
    <row r="58" spans="1:3">
      <c r="A58" s="295" t="s">
        <v>7525</v>
      </c>
      <c r="B58" s="294" t="s">
        <v>7417</v>
      </c>
      <c r="C58" s="294" t="s">
        <v>7526</v>
      </c>
    </row>
    <row r="59" spans="1:3">
      <c r="A59" s="295" t="s">
        <v>7527</v>
      </c>
      <c r="B59" s="294" t="s">
        <v>7417</v>
      </c>
      <c r="C59" s="294" t="s">
        <v>7528</v>
      </c>
    </row>
    <row r="60" spans="1:3">
      <c r="A60" s="295" t="s">
        <v>7529</v>
      </c>
      <c r="B60" s="294" t="s">
        <v>7417</v>
      </c>
      <c r="C60" s="294" t="s">
        <v>7530</v>
      </c>
    </row>
    <row r="61" spans="1:3">
      <c r="A61" s="295" t="s">
        <v>7531</v>
      </c>
      <c r="B61" s="294" t="s">
        <v>7417</v>
      </c>
      <c r="C61" s="294" t="s">
        <v>7532</v>
      </c>
    </row>
    <row r="62" spans="1:3">
      <c r="A62" s="295" t="s">
        <v>7533</v>
      </c>
      <c r="B62" s="294" t="s">
        <v>7417</v>
      </c>
      <c r="C62" s="294" t="s">
        <v>7534</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7535</v>
      </c>
    </row>
    <row r="3" spans="1:6">
      <c r="A3" s="1" t="s">
        <v>379</v>
      </c>
      <c r="B3" s="1" t="s">
        <v>7536</v>
      </c>
      <c r="C3" s="1" t="s">
        <v>7537</v>
      </c>
      <c r="D3" s="1" t="s">
        <v>284</v>
      </c>
      <c r="E3" s="1" t="s">
        <v>7265</v>
      </c>
      <c r="F3" s="1" t="s">
        <v>7282</v>
      </c>
    </row>
    <row r="4" spans="1:6">
      <c r="A4" s="1" t="s">
        <v>7538</v>
      </c>
      <c r="B4">
        <v>1.8200999999999998E-2</v>
      </c>
      <c r="C4">
        <v>5.5599999999999997E-2</v>
      </c>
      <c r="D4">
        <v>0.35360000000000003</v>
      </c>
      <c r="E4">
        <v>1.0251E-2</v>
      </c>
      <c r="F4">
        <v>21.14</v>
      </c>
    </row>
    <row r="5" spans="1:6">
      <c r="A5" s="1" t="s">
        <v>128</v>
      </c>
      <c r="B5">
        <v>0.1</v>
      </c>
      <c r="C5">
        <v>0.37</v>
      </c>
      <c r="D5">
        <v>1.45</v>
      </c>
      <c r="E5">
        <v>0.06</v>
      </c>
      <c r="F5">
        <v>171.83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zoomScale="70" zoomScaleNormal="70" workbookViewId="0">
      <selection sqref="A1:XFD1048576"/>
    </sheetView>
  </sheetViews>
  <sheetFormatPr defaultColWidth="9.21875" defaultRowHeight="14.4"/>
  <cols>
    <col min="1" max="1" width="69.77734375" style="1195" customWidth="1"/>
    <col min="2" max="2" width="18.77734375" style="1195" customWidth="1"/>
    <col min="3" max="3" width="32.21875" style="1195" customWidth="1"/>
    <col min="4" max="4" width="21.77734375" style="1195" hidden="1" customWidth="1"/>
    <col min="5" max="5" width="29.77734375" style="1195" hidden="1" customWidth="1"/>
    <col min="6" max="6" width="23.77734375" style="1195" hidden="1" customWidth="1"/>
    <col min="7" max="7" width="27" style="1195" hidden="1" customWidth="1"/>
    <col min="8" max="8" width="26.21875" style="1195" hidden="1" customWidth="1"/>
    <col min="9" max="10" width="18.5546875" style="1195" hidden="1" customWidth="1"/>
    <col min="11" max="11" width="33.77734375" style="1195" hidden="1" customWidth="1"/>
    <col min="12" max="13" width="18.77734375" style="1319" hidden="1" customWidth="1"/>
    <col min="14" max="17" width="18.77734375" style="1319" customWidth="1"/>
    <col min="18" max="18" width="18.77734375" style="1195" customWidth="1"/>
    <col min="19" max="19" width="27.21875" style="1195" customWidth="1"/>
    <col min="20" max="21" width="18.77734375" style="1195" customWidth="1"/>
    <col min="22" max="22" width="18.77734375" style="1195" hidden="1" customWidth="1"/>
    <col min="23" max="23" width="27.44140625" style="1195" hidden="1" customWidth="1"/>
    <col min="24" max="24" width="18.77734375" style="1195" hidden="1" customWidth="1"/>
    <col min="25" max="25" width="31.44140625" style="1195" hidden="1" customWidth="1"/>
    <col min="26" max="26" width="18.77734375" style="1195" hidden="1" customWidth="1"/>
    <col min="27" max="27" width="32.44140625" style="1195" hidden="1" customWidth="1"/>
    <col min="28" max="28" width="24.77734375" style="1195" hidden="1" customWidth="1"/>
    <col min="29" max="29" width="20.21875" style="1195" hidden="1" customWidth="1"/>
    <col min="30" max="31" width="18.77734375" style="1195" hidden="1" customWidth="1"/>
    <col min="32" max="32" width="18.77734375" style="1319" customWidth="1"/>
    <col min="33" max="33" width="18.77734375" style="1195" customWidth="1"/>
    <col min="34" max="35" width="18.77734375" style="1319" customWidth="1"/>
    <col min="36" max="37" width="18.77734375" style="1319" hidden="1" customWidth="1"/>
    <col min="38" max="38" width="27.21875" style="1319" customWidth="1"/>
    <col min="39" max="39" width="18.77734375" style="1319" customWidth="1"/>
    <col min="40" max="40" width="22.77734375" style="1319" customWidth="1"/>
    <col min="41" max="41" width="24.5546875" style="1319" customWidth="1"/>
    <col min="42" max="45" width="18.77734375" style="1195" hidden="1" customWidth="1"/>
    <col min="46" max="47" width="22.21875" style="1013" hidden="1" customWidth="1"/>
    <col min="48" max="49" width="18.77734375" style="1195" customWidth="1"/>
    <col min="50" max="50" width="11.77734375" style="1195" hidden="1" customWidth="1"/>
    <col min="51" max="51" width="12.77734375" style="1013" hidden="1" customWidth="1"/>
    <col min="52" max="52" width="18.5546875" style="1013" hidden="1" customWidth="1"/>
    <col min="53" max="53" width="12.77734375" style="1013" hidden="1" customWidth="1"/>
    <col min="54" max="54" width="18.5546875" style="1013" hidden="1" customWidth="1"/>
    <col min="55" max="55" width="12.77734375" style="1013" hidden="1" customWidth="1"/>
    <col min="56" max="56" width="18.5546875" style="1013" hidden="1" customWidth="1"/>
    <col min="57" max="57" width="12.77734375" style="1013" hidden="1" customWidth="1"/>
    <col min="58" max="58" width="16.44140625" style="1013" hidden="1" customWidth="1"/>
    <col min="59" max="69" width="11.77734375" style="1195" bestFit="1" customWidth="1"/>
    <col min="70" max="16384" width="9.21875" style="1195"/>
  </cols>
  <sheetData>
    <row r="1" spans="1:58" ht="25.2" customHeight="1" thickBot="1">
      <c r="A1" s="1009" t="s">
        <v>413</v>
      </c>
      <c r="B1" s="1143" t="s">
        <v>444</v>
      </c>
      <c r="C1" s="1317"/>
      <c r="D1" s="1317"/>
      <c r="E1" s="1317"/>
      <c r="F1" s="1317"/>
      <c r="G1" s="1317"/>
      <c r="H1" s="1317"/>
      <c r="I1" s="1317"/>
      <c r="J1" s="1011"/>
      <c r="K1" s="1318"/>
      <c r="P1" s="1195"/>
      <c r="Q1" s="1195"/>
      <c r="AB1" s="1011"/>
      <c r="AC1" s="1012"/>
      <c r="AF1" s="1195"/>
      <c r="AH1" s="1195"/>
      <c r="AI1" s="1195"/>
      <c r="AJ1" s="1195"/>
      <c r="AK1" s="1195"/>
      <c r="AL1" s="1195"/>
      <c r="AM1" s="1195"/>
      <c r="AN1" s="1195"/>
      <c r="AO1" s="1195"/>
    </row>
    <row r="2" spans="1:58" ht="21.6" thickBot="1">
      <c r="A2" s="1320" t="s">
        <v>445</v>
      </c>
      <c r="B2" s="1867" t="str">
        <f>HYPERLINK("#'"&amp;INDEX('Master Key'!$B:$B,MATCH(B3,'Master Key'!$B:$B,0),1)&amp;"'!A1","Go To Sheet")</f>
        <v>Go To Sheet</v>
      </c>
      <c r="C2" s="1867"/>
      <c r="D2" s="1867" t="str">
        <f>HYPERLINK("#'"&amp;INDEX('Master Key'!$B:$B,MATCH(D3,'Master Key'!$B:$B,0),1)&amp;"'!A1","Go To Sheet")</f>
        <v>Go To Sheet</v>
      </c>
      <c r="E2" s="1867"/>
      <c r="F2" s="1867" t="str">
        <f>HYPERLINK("#'"&amp;INDEX('Master Key'!$B:$B,MATCH(F3,'Master Key'!$B:$B,0),1)&amp;"'!A1","Go To Sheet")</f>
        <v>Go To Sheet</v>
      </c>
      <c r="G2" s="1867"/>
      <c r="H2" s="1867" t="str">
        <f>HYPERLINK("#'"&amp;INDEX('Master Key'!$B:$B,MATCH(H3,'Master Key'!$B:$B,0),1)&amp;"'!A1","Go To Sheet")</f>
        <v>Go To Sheet</v>
      </c>
      <c r="I2" s="1867"/>
      <c r="J2" s="1867" t="str">
        <f>HYPERLINK("#'"&amp;INDEX('Master Key'!$B:$B,MATCH(J3,'Master Key'!$B:$B,0),1)&amp;"'!A1","Go To Sheet")</f>
        <v>Go To Sheet</v>
      </c>
      <c r="K2" s="1867"/>
      <c r="L2" s="1867" t="str">
        <f>HYPERLINK("#'"&amp;INDEX('Master Key'!$B:$B,MATCH(L3,'Master Key'!$B:$B,0),1)&amp;"'!A1","Go To Sheet")</f>
        <v>Go To Sheet</v>
      </c>
      <c r="M2" s="1867"/>
      <c r="N2" s="1867" t="str">
        <f>HYPERLINK("#'"&amp;INDEX('Master Key'!$B:$B,MATCH(N3,'Master Key'!$B:$B,0),1)&amp;"'!A1","Go To Sheet")</f>
        <v>Go To Sheet</v>
      </c>
      <c r="O2" s="1867"/>
      <c r="P2" s="1867" t="str">
        <f>HYPERLINK("#'"&amp;INDEX('Master Key'!$B:$B,MATCH(P3,'Master Key'!$B:$B,0),1)&amp;"'!A1","Go To Sheet")</f>
        <v>Go To Sheet</v>
      </c>
      <c r="Q2" s="1867"/>
      <c r="R2" s="1867" t="str">
        <f>HYPERLINK("#'"&amp;INDEX('Master Key'!$B:$B,MATCH("Facility Improve - Ped",'Master Key'!$B:$B,0),1)&amp;"'!A1","Go To Sheet")</f>
        <v>Go To Sheet</v>
      </c>
      <c r="S2" s="1867"/>
      <c r="T2" s="1867" t="str">
        <f>HYPERLINK("#'"&amp;INDEX('Master Key'!$B:$B,MATCH("Facility Improve - Bike",'Master Key'!$B:$B,0),1)&amp;"'!A1","Go To Sheet")</f>
        <v>Go To Sheet</v>
      </c>
      <c r="U2" s="1867"/>
      <c r="V2" s="1867" t="str">
        <f>HYPERLINK("#'"&amp;INDEX('Master Key'!$B:$B,MATCH("Facility Improve - Transit Stop",'Master Key'!$B:$B,0),1)&amp;"'!A1","Go To Sheet")</f>
        <v>Go To Sheet</v>
      </c>
      <c r="W2" s="1867"/>
      <c r="X2" s="1867" t="str">
        <f>HYPERLINK("#'"&amp;INDEX('Master Key'!$B:$B,MATCH(X3,'Master Key'!$B:$B,0),1)&amp;"'!A1","Go To Sheet")</f>
        <v>Go To Sheet</v>
      </c>
      <c r="Y2" s="1867"/>
      <c r="Z2" s="1867" t="str">
        <f>HYPERLINK("#'"&amp;INDEX('Master Key'!$B:$B,MATCH("Amenity Improve - Transit Veh ",'Master Key'!$B:$B,0),1)&amp;"'!A1","Go To Sheet")</f>
        <v>Go To Sheet</v>
      </c>
      <c r="AA2" s="1867"/>
      <c r="AB2" s="1867" t="str">
        <f>HYPERLINK("#'"&amp;INDEX('Master Key'!$B:$B,MATCH("Value of Travel Time",'Master Key'!$B:$B,0),1)&amp;"'!A1","Go To Sheet")</f>
        <v>Go To Sheet</v>
      </c>
      <c r="AC2" s="1867"/>
      <c r="AD2" s="1867" t="str">
        <f>HYPERLINK("#'"&amp;INDEX('Master Key'!$B:$B,MATCH("Operating Cost Savings",'Master Key'!$B:$B,0),1)&amp;"'!A1","Go To Sheet")</f>
        <v>Go To Sheet</v>
      </c>
      <c r="AE2" s="1867"/>
      <c r="AF2" s="1867" t="str">
        <f>HYPERLINK("#'"&amp;INDEX('Master Key'!$B:$B,MATCH("Mortality Reduction - Walk",'Master Key'!$B:$B,0),1)&amp;"'!A1","Go To Sheet")</f>
        <v>Go To Sheet</v>
      </c>
      <c r="AG2" s="1867"/>
      <c r="AH2" s="1867" t="str">
        <f>HYPERLINK("#'"&amp;INDEX('Master Key'!$B:$B,MATCH("Mortality Reduction - Bike",'Master Key'!$B:$B,0),1)&amp;"'!A1","Go To Sheet")</f>
        <v>Go To Sheet</v>
      </c>
      <c r="AI2" s="1867"/>
      <c r="AJ2" s="1867" t="str">
        <f>HYPERLINK("#'"&amp;INDEX('Master Key'!$B:$B,MATCH(AJ3,'Master Key'!$B:$B,0),1)&amp;"'!A1","Go To Sheet")</f>
        <v>Go To Sheet</v>
      </c>
      <c r="AK2" s="1867"/>
      <c r="AL2" s="1867" t="str">
        <f>HYPERLINK("#'"&amp;INDEX('Master Key'!$B:$B,MATCH(AL3,'Master Key'!$B:$B,0),1)&amp;"'!A1","Go To Sheet")</f>
        <v>Go To Sheet</v>
      </c>
      <c r="AM2" s="1867"/>
      <c r="AN2" s="1867" t="str">
        <f>HYPERLINK("#'"&amp;INDEX('Master Key'!$B:$B,MATCH(AN3,'Master Key'!$B:$B,0),1)&amp;"'!A1","Go To Sheet")</f>
        <v>Go To Sheet</v>
      </c>
      <c r="AO2" s="1867"/>
      <c r="AP2" s="1867" t="str">
        <f>HYPERLINK("#'"&amp;INDEX('Master Key'!$B:$B,MATCH("Auto Idling Benefit - Fuel",'Master Key'!$B:$B,0),1)&amp;"'!A1","Go To Sheet")</f>
        <v>Go To Sheet</v>
      </c>
      <c r="AQ2" s="1867"/>
      <c r="AR2" s="1867" t="str">
        <f>HYPERLINK("#'"&amp;INDEX('Master Key'!$B:$B,MATCH("Auto Idling Env. Benefits",'Master Key'!$B:$B,0),1)&amp;"'!A1","Go To Sheet")</f>
        <v>Go To Sheet</v>
      </c>
      <c r="AS2" s="1867"/>
      <c r="AT2" s="1867" t="str">
        <f>HYPERLINK("#'"&amp;INDEX('Master Key'!$B:$B,MATCH("Repurposed ROW",'Master Key'!$B:$B,0),1)&amp;"'!A1","Go To Sheet")</f>
        <v>Go To Sheet</v>
      </c>
      <c r="AU2" s="1867"/>
      <c r="AV2" s="1321"/>
      <c r="AW2" s="1322"/>
      <c r="AY2" s="1867" t="str">
        <f>HYPERLINK("#'"&amp;INDEX('Master Key'!$B:$B,MATCH("Prop. Tax Inc Sidewalk",'Master Key'!$B:$B,0),1)&amp;"'!A1","Go To Sheet")</f>
        <v>Go To Sheet</v>
      </c>
      <c r="AZ2" s="1867"/>
      <c r="BA2" s="1867" t="str">
        <f>HYPERLINK("#'"&amp;INDEX('Master Key'!$B:$B,MATCH("Prop. Tax Inc Bike Lane",'Master Key'!$B:$B,0),1)&amp;"'!A1","Go To Sheet")</f>
        <v>Go To Sheet</v>
      </c>
      <c r="BB2" s="1867"/>
      <c r="BC2" s="1867" t="str">
        <f>HYPERLINK("#'"&amp;INDEX('Master Key'!$B:$B,MATCH("Prop. Tax Inc Sidewalk &amp; Bike",'Master Key'!$B:$B,0),1)&amp;"'!A1","Go To Sheet")</f>
        <v>Go To Sheet</v>
      </c>
      <c r="BD2" s="1867"/>
      <c r="BE2" s="1867" t="str">
        <f>HYPERLINK("#'"&amp;INDEX('Master Key'!$B:$B,MATCH("Prop. Tax Inc Shared Use Path",'Master Key'!$B:$B,0),1)&amp;"'!A1","Go To Sheet")</f>
        <v>Go To Sheet</v>
      </c>
      <c r="BF2" s="1867"/>
    </row>
    <row r="3" spans="1:58" ht="21.6" thickBot="1">
      <c r="A3" s="1323" t="s">
        <v>446</v>
      </c>
      <c r="B3" s="1865" t="s">
        <v>447</v>
      </c>
      <c r="C3" s="1866"/>
      <c r="D3" s="1865" t="s">
        <v>448</v>
      </c>
      <c r="E3" s="1866"/>
      <c r="F3" s="1865" t="s">
        <v>449</v>
      </c>
      <c r="G3" s="1866"/>
      <c r="H3" s="1865" t="s">
        <v>450</v>
      </c>
      <c r="I3" s="1866"/>
      <c r="J3" s="1865" t="s">
        <v>451</v>
      </c>
      <c r="K3" s="1866"/>
      <c r="L3" s="1865" t="s">
        <v>452</v>
      </c>
      <c r="M3" s="1866"/>
      <c r="N3" s="1865" t="s">
        <v>453</v>
      </c>
      <c r="O3" s="1866"/>
      <c r="P3" s="1865" t="s">
        <v>454</v>
      </c>
      <c r="Q3" s="1866"/>
      <c r="R3" s="1865" t="s">
        <v>455</v>
      </c>
      <c r="S3" s="1866"/>
      <c r="T3" s="1865" t="s">
        <v>456</v>
      </c>
      <c r="U3" s="1866"/>
      <c r="V3" s="1865" t="s">
        <v>457</v>
      </c>
      <c r="W3" s="1866"/>
      <c r="X3" s="1865" t="s">
        <v>458</v>
      </c>
      <c r="Y3" s="1866"/>
      <c r="Z3" s="1865" t="s">
        <v>459</v>
      </c>
      <c r="AA3" s="1866"/>
      <c r="AB3" s="1865" t="s">
        <v>460</v>
      </c>
      <c r="AC3" s="1866"/>
      <c r="AD3" s="1865" t="s">
        <v>461</v>
      </c>
      <c r="AE3" s="1866"/>
      <c r="AF3" s="1865" t="s">
        <v>462</v>
      </c>
      <c r="AG3" s="1866"/>
      <c r="AH3" s="1865" t="s">
        <v>463</v>
      </c>
      <c r="AI3" s="1866"/>
      <c r="AJ3" s="1865" t="s">
        <v>146</v>
      </c>
      <c r="AK3" s="1866"/>
      <c r="AL3" s="1865" t="s">
        <v>148</v>
      </c>
      <c r="AM3" s="1866"/>
      <c r="AN3" s="1865" t="s">
        <v>150</v>
      </c>
      <c r="AO3" s="1866"/>
      <c r="AP3" s="1865" t="s">
        <v>464</v>
      </c>
      <c r="AQ3" s="1866"/>
      <c r="AR3" s="1865" t="s">
        <v>465</v>
      </c>
      <c r="AS3" s="1866"/>
      <c r="AT3" s="1865" t="s">
        <v>466</v>
      </c>
      <c r="AU3" s="1866"/>
      <c r="AV3" s="1865" t="s">
        <v>467</v>
      </c>
      <c r="AW3" s="1866"/>
      <c r="AY3" s="1865" t="s">
        <v>468</v>
      </c>
      <c r="AZ3" s="1866"/>
      <c r="BA3" s="1865" t="s">
        <v>469</v>
      </c>
      <c r="BB3" s="1866"/>
      <c r="BC3" s="1865" t="s">
        <v>470</v>
      </c>
      <c r="BD3" s="1866"/>
      <c r="BE3" s="1865" t="s">
        <v>471</v>
      </c>
      <c r="BF3" s="1866"/>
    </row>
    <row r="4" spans="1:58" ht="42.6" customHeight="1">
      <c r="A4" s="1324" t="s">
        <v>416</v>
      </c>
      <c r="B4" s="1325" t="s">
        <v>419</v>
      </c>
      <c r="C4" s="1326" t="str">
        <f>"Discounted @ "&amp;TEXT('Major Assumption Key'!$B$8,"0.0%")</f>
        <v>Discounted @ 3.1%</v>
      </c>
      <c r="D4" s="1325" t="s">
        <v>419</v>
      </c>
      <c r="E4" s="1326" t="str">
        <f>"Discounted @ "&amp;TEXT('Major Assumption Key'!$B$8,"0.0%")</f>
        <v>Discounted @ 3.1%</v>
      </c>
      <c r="F4" s="1325" t="s">
        <v>419</v>
      </c>
      <c r="G4" s="1326" t="str">
        <f>"Discounted @ "&amp;TEXT('Major Assumption Key'!$B$8,"0.0%")</f>
        <v>Discounted @ 3.1%</v>
      </c>
      <c r="H4" s="1325" t="s">
        <v>419</v>
      </c>
      <c r="I4" s="1326" t="str">
        <f>"Discounted @ "&amp;TEXT('Major Assumption Key'!$B$8,"0.0%")</f>
        <v>Discounted @ 3.1%</v>
      </c>
      <c r="J4" s="1325" t="s">
        <v>419</v>
      </c>
      <c r="K4" s="1326" t="str">
        <f>"Discounted @ "&amp;TEXT('Major Assumption Key'!$B$8,"0.0%")</f>
        <v>Discounted @ 3.1%</v>
      </c>
      <c r="L4" s="1325" t="s">
        <v>419</v>
      </c>
      <c r="M4" s="1326" t="str">
        <f>"Discounted @ "&amp;TEXT('Major Assumption Key'!$B$8,"0.0%")</f>
        <v>Discounted @ 3.1%</v>
      </c>
      <c r="N4" s="1325" t="s">
        <v>419</v>
      </c>
      <c r="O4" s="1326" t="str">
        <f>"Discounted @ "&amp;TEXT('Major Assumption Key'!$B$8,"0.0%")</f>
        <v>Discounted @ 3.1%</v>
      </c>
      <c r="P4" s="1325" t="s">
        <v>419</v>
      </c>
      <c r="Q4" s="1326" t="str">
        <f>"Discounted @ "&amp;TEXT('Major Assumption Key'!$B$8,"0.0%")</f>
        <v>Discounted @ 3.1%</v>
      </c>
      <c r="R4" s="1325" t="s">
        <v>419</v>
      </c>
      <c r="S4" s="1326" t="str">
        <f>"Discounted @ "&amp;TEXT('Major Assumption Key'!$B$8,"0.0%")</f>
        <v>Discounted @ 3.1%</v>
      </c>
      <c r="T4" s="1325" t="s">
        <v>419</v>
      </c>
      <c r="U4" s="1326" t="str">
        <f>"Discounted @ "&amp;TEXT('Major Assumption Key'!$B$8,"0.0%")</f>
        <v>Discounted @ 3.1%</v>
      </c>
      <c r="V4" s="1325" t="s">
        <v>419</v>
      </c>
      <c r="W4" s="1326" t="str">
        <f>"Discounted @ "&amp;TEXT('Major Assumption Key'!$B$8,"0.0%")</f>
        <v>Discounted @ 3.1%</v>
      </c>
      <c r="X4" s="1325" t="s">
        <v>419</v>
      </c>
      <c r="Y4" s="1326" t="str">
        <f>"Discounted @ "&amp;TEXT('Major Assumption Key'!$B$8,"0.0%")</f>
        <v>Discounted @ 3.1%</v>
      </c>
      <c r="Z4" s="1325" t="s">
        <v>419</v>
      </c>
      <c r="AA4" s="1326" t="str">
        <f>"Discounted @ "&amp;TEXT('Major Assumption Key'!$B$8,"0.0%")</f>
        <v>Discounted @ 3.1%</v>
      </c>
      <c r="AB4" s="1325" t="s">
        <v>419</v>
      </c>
      <c r="AC4" s="1326" t="str">
        <f>"Discounted @ "&amp;TEXT('Major Assumption Key'!$B$8,"0.0%")</f>
        <v>Discounted @ 3.1%</v>
      </c>
      <c r="AD4" s="1325" t="s">
        <v>419</v>
      </c>
      <c r="AE4" s="1326" t="str">
        <f>"Discounted @ "&amp;TEXT('Major Assumption Key'!$B$8,"0.0%")</f>
        <v>Discounted @ 3.1%</v>
      </c>
      <c r="AF4" s="1325" t="s">
        <v>419</v>
      </c>
      <c r="AG4" s="1326" t="str">
        <f>"Discounted @ "&amp;TEXT('Major Assumption Key'!$B$8,"0.0%")</f>
        <v>Discounted @ 3.1%</v>
      </c>
      <c r="AH4" s="1325" t="s">
        <v>419</v>
      </c>
      <c r="AI4" s="1326" t="str">
        <f>"Discounted @ "&amp;TEXT('Major Assumption Key'!$B$8,"0.0%")</f>
        <v>Discounted @ 3.1%</v>
      </c>
      <c r="AJ4" s="1325" t="s">
        <v>419</v>
      </c>
      <c r="AK4" s="1326" t="str">
        <f>"Discounted @ "&amp;TEXT('Major Assumption Key'!$B$8,"0.0%")</f>
        <v>Discounted @ 3.1%</v>
      </c>
      <c r="AL4" s="1325" t="s">
        <v>419</v>
      </c>
      <c r="AM4" s="1326" t="str">
        <f>"Discounted @ "&amp;TEXT('Major Assumption Key'!$B$8,"0.0%")</f>
        <v>Discounted @ 3.1%</v>
      </c>
      <c r="AN4" s="1325" t="s">
        <v>419</v>
      </c>
      <c r="AO4" s="1326" t="str">
        <f>"Discounted @ "&amp;TEXT('Major Assumption Key'!$B$8,"0.0%")</f>
        <v>Discounted @ 3.1%</v>
      </c>
      <c r="AP4" s="1325" t="s">
        <v>419</v>
      </c>
      <c r="AQ4" s="1326" t="str">
        <f>"Discounted @ "&amp;TEXT('Major Assumption Key'!$B$8,"0.0%")</f>
        <v>Discounted @ 3.1%</v>
      </c>
      <c r="AR4" s="1325" t="s">
        <v>472</v>
      </c>
      <c r="AS4" s="1326" t="str">
        <f>"Discounted @ "&amp;TEXT('Major Assumption Key'!$B$8,"0.0%")&amp;" &amp; "&amp;"2% (CO2)"</f>
        <v>Discounted @ 3.1% &amp; 2% (CO2)</v>
      </c>
      <c r="AT4" s="1325" t="s">
        <v>472</v>
      </c>
      <c r="AU4" s="1326" t="str">
        <f>"Discounted @ "&amp;TEXT('Major Assumption Key'!$B$8,"0.0%")</f>
        <v>Discounted @ 3.1%</v>
      </c>
      <c r="AV4" s="1325" t="s">
        <v>419</v>
      </c>
      <c r="AW4" s="1326" t="str">
        <f>"Discounted @ "&amp;TEXT('Major Assumption Key'!$B$8,"0.0%")</f>
        <v>Discounted @ 3.1%</v>
      </c>
      <c r="AY4" s="1325" t="s">
        <v>419</v>
      </c>
      <c r="AZ4" s="1326" t="str">
        <f>"Discounted @ "&amp;TEXT('Major Assumption Key'!$B$8,"0.0%")</f>
        <v>Discounted @ 3.1%</v>
      </c>
      <c r="BA4" s="1325" t="s">
        <v>419</v>
      </c>
      <c r="BB4" s="1326" t="str">
        <f>"Discounted @ "&amp;TEXT('Major Assumption Key'!$B$8,"0.0%")</f>
        <v>Discounted @ 3.1%</v>
      </c>
      <c r="BC4" s="1325" t="s">
        <v>419</v>
      </c>
      <c r="BD4" s="1326" t="str">
        <f>"Discounted @ "&amp;TEXT('Major Assumption Key'!$B$8,"0.0%")</f>
        <v>Discounted @ 3.1%</v>
      </c>
      <c r="BE4" s="1325" t="s">
        <v>419</v>
      </c>
      <c r="BF4" s="1326" t="str">
        <f>"Discounted @ "&amp;TEXT('Major Assumption Key'!$B$8,"0.0%")</f>
        <v>Discounted @ 3.1%</v>
      </c>
    </row>
    <row r="5" spans="1:58">
      <c r="A5" s="1327">
        <f>'Major Assumption Key'!A19</f>
        <v>2020</v>
      </c>
      <c r="B5" s="1328">
        <f>'Useful Life'!N7</f>
        <v>0</v>
      </c>
      <c r="C5" s="1329">
        <f>'Useful Life'!O7</f>
        <v>0</v>
      </c>
      <c r="D5" s="1328">
        <f>_xlfn.XLOOKUP(A5,'Non-Roadway Maintenance'!$F$8:$F$48,'Non-Roadway Maintenance'!$K$8:$K$48,,0)</f>
        <v>0</v>
      </c>
      <c r="E5" s="1329">
        <f>_xlfn.XLOOKUP(A5,'Non-Roadway Maintenance'!$F$8:$F$48,'Non-Roadway Maintenance'!$L$8:$L$48,,0)</f>
        <v>0</v>
      </c>
      <c r="F5" s="1330">
        <f>'State of Good Repair AP-CP'!S7</f>
        <v>0</v>
      </c>
      <c r="G5" s="1330">
        <f>'State of Good Repair AP-CP'!T7</f>
        <v>0</v>
      </c>
      <c r="H5" s="1328">
        <f>'State of Good Repair - AP-AP'!S7</f>
        <v>0</v>
      </c>
      <c r="I5" s="1329">
        <f>'State of Good Repair - AP-AP'!T7</f>
        <v>0</v>
      </c>
      <c r="J5" s="1328">
        <f>'State of Good Repair CP-CP '!S7</f>
        <v>0</v>
      </c>
      <c r="K5" s="1329">
        <f>'State of Good Repair CP-CP '!T7</f>
        <v>0</v>
      </c>
      <c r="L5" s="1328">
        <f>'Roadway Safety'!W7</f>
        <v>0</v>
      </c>
      <c r="M5" s="1329">
        <f>'Roadway Safety'!X7</f>
        <v>0</v>
      </c>
      <c r="N5" s="1328">
        <f>'Pedestrian Safety'!Q7</f>
        <v>0</v>
      </c>
      <c r="O5" s="1329">
        <f>'Pedestrian Safety'!R7</f>
        <v>0</v>
      </c>
      <c r="P5" s="1328">
        <f>'Bike Safety'!S7</f>
        <v>0</v>
      </c>
      <c r="Q5" s="1329">
        <f>'Bike Safety'!T7</f>
        <v>0</v>
      </c>
      <c r="R5" s="1328">
        <f>'Facility Improve - Ped'!AK7</f>
        <v>0</v>
      </c>
      <c r="S5" s="1329">
        <f>'Facility Improve - Ped'!AL7</f>
        <v>0</v>
      </c>
      <c r="T5" s="1328">
        <f>'Facility Improve - Bike'!Q7</f>
        <v>0</v>
      </c>
      <c r="U5" s="1329">
        <f>'Facility Improve - Bike'!R7</f>
        <v>0</v>
      </c>
      <c r="V5" s="1328">
        <f>'Facility Improve - Transit Stop'!Y7</f>
        <v>0</v>
      </c>
      <c r="W5" s="1329">
        <f>'Facility Improve - Transit Stop'!Z7</f>
        <v>0</v>
      </c>
      <c r="X5" s="1330">
        <f>_xlfn.XLOOKUP(A5,'Serve Improve - Transit Mode'!F:F,'Serve Improve - Transit Mode'!Y:Y,,0)</f>
        <v>0</v>
      </c>
      <c r="Y5" s="1330">
        <f>_xlfn.XLOOKUP(A5,'Serve Improve - Transit Mode'!F:F,'Serve Improve - Transit Mode'!Z:Z,,0)</f>
        <v>0</v>
      </c>
      <c r="Z5" s="1328">
        <f>'Amenity Improve - Transit Veh '!Q7</f>
        <v>0</v>
      </c>
      <c r="AA5" s="1329">
        <f>'Amenity Improve - Transit Veh '!R7</f>
        <v>0</v>
      </c>
      <c r="AB5" s="1328">
        <f>'Value of Travel Time'!AD7</f>
        <v>0</v>
      </c>
      <c r="AC5" s="1329">
        <f>'Value of Travel Time'!AE7</f>
        <v>0</v>
      </c>
      <c r="AD5" s="1328">
        <f>'Operating Cost Savings'!P7</f>
        <v>0</v>
      </c>
      <c r="AE5" s="1329">
        <f>'Operating Cost Savings'!Q7</f>
        <v>0</v>
      </c>
      <c r="AF5" s="1328">
        <f>'Mortality Reduction - Walk'!O7</f>
        <v>0</v>
      </c>
      <c r="AG5" s="1329">
        <f>'Mortality Reduction - Walk'!P7</f>
        <v>0</v>
      </c>
      <c r="AH5" s="1328">
        <f>'Mortality Reduction - Bike'!O7</f>
        <v>0</v>
      </c>
      <c r="AI5" s="1329">
        <f>'Mortality Reduction - Bike'!P7</f>
        <v>0</v>
      </c>
      <c r="AJ5" s="1328">
        <f>'Emission Reduction (VMT)'!S7</f>
        <v>0</v>
      </c>
      <c r="AK5" s="1329">
        <f>'Emission Reduction (VMT)'!T7</f>
        <v>0</v>
      </c>
      <c r="AL5" s="1328">
        <f>'Emission Reduction (Metric Ton)'!AA7</f>
        <v>0</v>
      </c>
      <c r="AM5" s="1329">
        <f>'Emission Reduction (Metric Ton)'!AB7</f>
        <v>0</v>
      </c>
      <c r="AN5" s="1328">
        <f>'Other Highway Use Externalities'!Q7</f>
        <v>0</v>
      </c>
      <c r="AO5" s="1329">
        <f>'Other Highway Use Externalities'!R7</f>
        <v>0</v>
      </c>
      <c r="AP5" s="1328">
        <f>'Auto Idling Benefit - Fuel'!O7</f>
        <v>0</v>
      </c>
      <c r="AQ5" s="1329">
        <f>'Auto Idling Benefit - Fuel'!P7</f>
        <v>0</v>
      </c>
      <c r="AR5" s="1328">
        <f>'Auto Idling Env. Benefits'!Y7</f>
        <v>0</v>
      </c>
      <c r="AS5" s="1329">
        <f>'Auto Idling Env. Benefits'!Z7</f>
        <v>0</v>
      </c>
      <c r="AT5" s="1328">
        <f>_xlfn.XLOOKUP(A5,'Repurposed ROW'!F:F,'Repurposed ROW'!K:K,,0)</f>
        <v>0</v>
      </c>
      <c r="AU5" s="1329">
        <f>_xlfn.XLOOKUP(A5,'Repurposed ROW'!F:F,'Repurposed ROW'!L:L,,0)</f>
        <v>0</v>
      </c>
      <c r="AV5" s="1328">
        <f>SUM(B5,D5,F5,H5,J5,L5,N5,P5,R5,T5,V5,X5,Z5,AB5,AD5,AF5,AH5,AJ5,AL5,AN5,AP5,AR5,AT5)</f>
        <v>0</v>
      </c>
      <c r="AW5" s="1329">
        <f>SUM(C5,E5,G5,I5,K5,M5,O5,Q5,S5,U5,W5,Y5,AA5,AC5,AE5,AG5,AI5,AK5,AM5,AO5,AQ5,AS5,AU5)</f>
        <v>0</v>
      </c>
      <c r="AY5" s="1328">
        <f>'Prop. Tax Inc Sidewalk'!M7</f>
        <v>0</v>
      </c>
      <c r="AZ5" s="1329">
        <f>'Prop. Tax Inc Sidewalk'!N7</f>
        <v>0</v>
      </c>
      <c r="BA5" s="1328">
        <f>'Prop. Tax Inc Bike Lane'!M7</f>
        <v>0</v>
      </c>
      <c r="BB5" s="1329">
        <f>'Prop. Tax Inc Bike Lane'!N7</f>
        <v>0</v>
      </c>
      <c r="BC5" s="1328">
        <f>'Prop. Tax Inc Sidewalk &amp; Bike'!M7</f>
        <v>0</v>
      </c>
      <c r="BD5" s="1329">
        <f>'Prop. Tax Inc Sidewalk &amp; Bike'!N7</f>
        <v>0</v>
      </c>
      <c r="BE5" s="1328">
        <f>'Prop. Tax Inc Shared Use Path'!O7</f>
        <v>0</v>
      </c>
      <c r="BF5" s="1329">
        <f>'Prop. Tax Inc Shared Use Path'!P7</f>
        <v>0</v>
      </c>
    </row>
    <row r="6" spans="1:58">
      <c r="A6" s="1327">
        <f>'Major Assumption Key'!A20</f>
        <v>2021</v>
      </c>
      <c r="B6" s="1328">
        <f>'Useful Life'!N8</f>
        <v>0</v>
      </c>
      <c r="C6" s="1329">
        <f>'Useful Life'!O8</f>
        <v>0</v>
      </c>
      <c r="D6" s="1328">
        <f>_xlfn.XLOOKUP(A6,'Non-Roadway Maintenance'!$F$8:$F$48,'Non-Roadway Maintenance'!$K$8:$K$48,,0)</f>
        <v>0</v>
      </c>
      <c r="E6" s="1329">
        <f>_xlfn.XLOOKUP(A6,'Non-Roadway Maintenance'!$F$8:$F$48,'Non-Roadway Maintenance'!$L$8:$L$48,,0)</f>
        <v>0</v>
      </c>
      <c r="F6" s="1330">
        <f>'State of Good Repair AP-CP'!S8</f>
        <v>0</v>
      </c>
      <c r="G6" s="1330">
        <f>'State of Good Repair AP-CP'!T8</f>
        <v>0</v>
      </c>
      <c r="H6" s="1328">
        <f>'State of Good Repair - AP-AP'!S8</f>
        <v>0</v>
      </c>
      <c r="I6" s="1329">
        <f>'State of Good Repair - AP-AP'!T8</f>
        <v>0</v>
      </c>
      <c r="J6" s="1328">
        <f>'State of Good Repair CP-CP '!S8</f>
        <v>0</v>
      </c>
      <c r="K6" s="1329">
        <f>'State of Good Repair CP-CP '!T8</f>
        <v>0</v>
      </c>
      <c r="L6" s="1328">
        <f>'Roadway Safety'!W8</f>
        <v>0</v>
      </c>
      <c r="M6" s="1329">
        <f>'Roadway Safety'!X8</f>
        <v>0</v>
      </c>
      <c r="N6" s="1328">
        <f>'Pedestrian Safety'!Q8</f>
        <v>0</v>
      </c>
      <c r="O6" s="1329">
        <f>'Pedestrian Safety'!R8</f>
        <v>0</v>
      </c>
      <c r="P6" s="1328">
        <f>'Bike Safety'!S8</f>
        <v>0</v>
      </c>
      <c r="Q6" s="1329">
        <f>'Bike Safety'!T8</f>
        <v>0</v>
      </c>
      <c r="R6" s="1328">
        <f>'Facility Improve - Ped'!AK8</f>
        <v>0</v>
      </c>
      <c r="S6" s="1329">
        <f>'Facility Improve - Ped'!AL8</f>
        <v>0</v>
      </c>
      <c r="T6" s="1328">
        <f>'Facility Improve - Bike'!Q8</f>
        <v>0</v>
      </c>
      <c r="U6" s="1329">
        <f>'Facility Improve - Bike'!R8</f>
        <v>0</v>
      </c>
      <c r="V6" s="1328">
        <f>'Facility Improve - Transit Stop'!Y8</f>
        <v>0</v>
      </c>
      <c r="W6" s="1329">
        <f>'Facility Improve - Transit Stop'!Z8</f>
        <v>0</v>
      </c>
      <c r="X6" s="1330">
        <f>_xlfn.XLOOKUP(A6,'Serve Improve - Transit Mode'!F:F,'Serve Improve - Transit Mode'!Y:Y,,0)</f>
        <v>0</v>
      </c>
      <c r="Y6" s="1330">
        <f>_xlfn.XLOOKUP(A6,'Serve Improve - Transit Mode'!F:F,'Serve Improve - Transit Mode'!Z:Z,,0)</f>
        <v>0</v>
      </c>
      <c r="Z6" s="1328">
        <f>'Amenity Improve - Transit Veh '!Q8</f>
        <v>0</v>
      </c>
      <c r="AA6" s="1329">
        <f>'Amenity Improve - Transit Veh '!R8</f>
        <v>0</v>
      </c>
      <c r="AB6" s="1328">
        <f>'Value of Travel Time'!AD8</f>
        <v>0</v>
      </c>
      <c r="AC6" s="1329">
        <f>'Value of Travel Time'!AE8</f>
        <v>0</v>
      </c>
      <c r="AD6" s="1328">
        <f>'Operating Cost Savings'!P8</f>
        <v>0</v>
      </c>
      <c r="AE6" s="1329">
        <f>'Operating Cost Savings'!Q8</f>
        <v>0</v>
      </c>
      <c r="AF6" s="1328">
        <f>'Mortality Reduction - Walk'!O8</f>
        <v>0</v>
      </c>
      <c r="AG6" s="1329">
        <f>'Mortality Reduction - Walk'!P8</f>
        <v>0</v>
      </c>
      <c r="AH6" s="1328">
        <f>'Mortality Reduction - Bike'!O8</f>
        <v>0</v>
      </c>
      <c r="AI6" s="1329">
        <f>'Mortality Reduction - Bike'!P8</f>
        <v>0</v>
      </c>
      <c r="AJ6" s="1328">
        <f>'Emission Reduction (VMT)'!S8</f>
        <v>0</v>
      </c>
      <c r="AK6" s="1329">
        <f>'Emission Reduction (VMT)'!T8</f>
        <v>0</v>
      </c>
      <c r="AL6" s="1328">
        <f>'Emission Reduction (Metric Ton)'!AA8</f>
        <v>0</v>
      </c>
      <c r="AM6" s="1329">
        <f>'Emission Reduction (Metric Ton)'!AB8</f>
        <v>0</v>
      </c>
      <c r="AN6" s="1328">
        <f>'Other Highway Use Externalities'!Q8</f>
        <v>0</v>
      </c>
      <c r="AO6" s="1329">
        <f>'Other Highway Use Externalities'!R8</f>
        <v>0</v>
      </c>
      <c r="AP6" s="1328">
        <f>'Auto Idling Benefit - Fuel'!O8</f>
        <v>0</v>
      </c>
      <c r="AQ6" s="1329">
        <f>'Auto Idling Benefit - Fuel'!P8</f>
        <v>0</v>
      </c>
      <c r="AR6" s="1328">
        <f>'Auto Idling Env. Benefits'!Y8</f>
        <v>0</v>
      </c>
      <c r="AS6" s="1329">
        <f>'Auto Idling Env. Benefits'!Z8</f>
        <v>0</v>
      </c>
      <c r="AT6" s="1328">
        <f>_xlfn.XLOOKUP(A6,'Repurposed ROW'!F:F,'Repurposed ROW'!K:K,,0)</f>
        <v>0</v>
      </c>
      <c r="AU6" s="1329">
        <f>_xlfn.XLOOKUP(A6,'Repurposed ROW'!F:F,'Repurposed ROW'!L:L,,0)</f>
        <v>0</v>
      </c>
      <c r="AV6" s="1328">
        <f t="shared" ref="AV6:AV45" si="0">SUM(B6,D6,F6,H6,J6,L6,N6,P6,R6,T6,V6,X6,Z6,AB6,AD6,AF6,AH6,AJ6,AL6,AN6,AP6,AR6,AT6)</f>
        <v>0</v>
      </c>
      <c r="AW6" s="1329">
        <f t="shared" ref="AW6:AW45" si="1">SUM(C6,E6,G6,I6,K6,M6,O6,Q6,S6,U6,W6,Y6,AA6,AC6,AE6,AG6,AI6,AK6,AM6,AO6,AQ6,AS6,AU6)</f>
        <v>0</v>
      </c>
      <c r="AY6" s="1328">
        <f>'Prop. Tax Inc Sidewalk'!M8</f>
        <v>0</v>
      </c>
      <c r="AZ6" s="1329">
        <f>'Prop. Tax Inc Sidewalk'!N8</f>
        <v>0</v>
      </c>
      <c r="BA6" s="1328">
        <f>'Prop. Tax Inc Bike Lane'!M8</f>
        <v>0</v>
      </c>
      <c r="BB6" s="1329">
        <f>'Prop. Tax Inc Bike Lane'!N8</f>
        <v>0</v>
      </c>
      <c r="BC6" s="1328">
        <f>'Prop. Tax Inc Sidewalk &amp; Bike'!M8</f>
        <v>0</v>
      </c>
      <c r="BD6" s="1329">
        <f>'Prop. Tax Inc Sidewalk &amp; Bike'!N8</f>
        <v>0</v>
      </c>
      <c r="BE6" s="1328">
        <f>'Prop. Tax Inc Shared Use Path'!O8</f>
        <v>0</v>
      </c>
      <c r="BF6" s="1329">
        <f>'Prop. Tax Inc Shared Use Path'!P8</f>
        <v>0</v>
      </c>
    </row>
    <row r="7" spans="1:58">
      <c r="A7" s="1327">
        <f>'Major Assumption Key'!A21</f>
        <v>2022</v>
      </c>
      <c r="B7" s="1328">
        <f>'Useful Life'!N9</f>
        <v>0</v>
      </c>
      <c r="C7" s="1329">
        <f>'Useful Life'!O9</f>
        <v>0</v>
      </c>
      <c r="D7" s="1328">
        <f>_xlfn.XLOOKUP(A7,'Non-Roadway Maintenance'!$F$8:$F$48,'Non-Roadway Maintenance'!$K$8:$K$48,,0)</f>
        <v>0</v>
      </c>
      <c r="E7" s="1329">
        <f>_xlfn.XLOOKUP(A7,'Non-Roadway Maintenance'!$F$8:$F$48,'Non-Roadway Maintenance'!$L$8:$L$48,,0)</f>
        <v>0</v>
      </c>
      <c r="F7" s="1330">
        <f>'State of Good Repair AP-CP'!S9</f>
        <v>0</v>
      </c>
      <c r="G7" s="1330">
        <f>'State of Good Repair AP-CP'!T9</f>
        <v>0</v>
      </c>
      <c r="H7" s="1328">
        <f>'State of Good Repair - AP-AP'!S9</f>
        <v>0</v>
      </c>
      <c r="I7" s="1329">
        <f>'State of Good Repair - AP-AP'!T9</f>
        <v>0</v>
      </c>
      <c r="J7" s="1328">
        <f>'State of Good Repair CP-CP '!S9</f>
        <v>0</v>
      </c>
      <c r="K7" s="1329">
        <f>'State of Good Repair CP-CP '!T9</f>
        <v>0</v>
      </c>
      <c r="L7" s="1328">
        <f>'Roadway Safety'!W9</f>
        <v>0</v>
      </c>
      <c r="M7" s="1329">
        <f>'Roadway Safety'!X9</f>
        <v>0</v>
      </c>
      <c r="N7" s="1328">
        <f>'Pedestrian Safety'!Q9</f>
        <v>0</v>
      </c>
      <c r="O7" s="1329">
        <f>'Pedestrian Safety'!R9</f>
        <v>0</v>
      </c>
      <c r="P7" s="1328">
        <f>'Bike Safety'!S9</f>
        <v>0</v>
      </c>
      <c r="Q7" s="1329">
        <f>'Bike Safety'!T9</f>
        <v>0</v>
      </c>
      <c r="R7" s="1328">
        <f>'Facility Improve - Ped'!AK9</f>
        <v>0</v>
      </c>
      <c r="S7" s="1329">
        <f>'Facility Improve - Ped'!AL9</f>
        <v>0</v>
      </c>
      <c r="T7" s="1328">
        <f>'Facility Improve - Bike'!Q9</f>
        <v>0</v>
      </c>
      <c r="U7" s="1329">
        <f>'Facility Improve - Bike'!R9</f>
        <v>0</v>
      </c>
      <c r="V7" s="1328">
        <f>'Facility Improve - Transit Stop'!Y9</f>
        <v>0</v>
      </c>
      <c r="W7" s="1329">
        <f>'Facility Improve - Transit Stop'!Z9</f>
        <v>0</v>
      </c>
      <c r="X7" s="1330">
        <f>_xlfn.XLOOKUP(A7,'Serve Improve - Transit Mode'!F:F,'Serve Improve - Transit Mode'!Y:Y,,0)</f>
        <v>0</v>
      </c>
      <c r="Y7" s="1330">
        <f>_xlfn.XLOOKUP(A7,'Serve Improve - Transit Mode'!F:F,'Serve Improve - Transit Mode'!Z:Z,,0)</f>
        <v>0</v>
      </c>
      <c r="Z7" s="1328">
        <f>'Amenity Improve - Transit Veh '!Q9</f>
        <v>0</v>
      </c>
      <c r="AA7" s="1329">
        <f>'Amenity Improve - Transit Veh '!R9</f>
        <v>0</v>
      </c>
      <c r="AB7" s="1328">
        <f>'Value of Travel Time'!AD9</f>
        <v>0</v>
      </c>
      <c r="AC7" s="1329">
        <f>'Value of Travel Time'!AE9</f>
        <v>0</v>
      </c>
      <c r="AD7" s="1328">
        <f>'Operating Cost Savings'!P9</f>
        <v>0</v>
      </c>
      <c r="AE7" s="1329">
        <f>'Operating Cost Savings'!Q9</f>
        <v>0</v>
      </c>
      <c r="AF7" s="1328">
        <f>'Mortality Reduction - Walk'!O9</f>
        <v>0</v>
      </c>
      <c r="AG7" s="1329">
        <f>'Mortality Reduction - Walk'!P9</f>
        <v>0</v>
      </c>
      <c r="AH7" s="1328">
        <f>'Mortality Reduction - Bike'!O9</f>
        <v>0</v>
      </c>
      <c r="AI7" s="1329">
        <f>'Mortality Reduction - Bike'!P9</f>
        <v>0</v>
      </c>
      <c r="AJ7" s="1328">
        <f>'Emission Reduction (VMT)'!S9</f>
        <v>0</v>
      </c>
      <c r="AK7" s="1329">
        <f>'Emission Reduction (VMT)'!T9</f>
        <v>0</v>
      </c>
      <c r="AL7" s="1328">
        <f>'Emission Reduction (Metric Ton)'!AA9</f>
        <v>0</v>
      </c>
      <c r="AM7" s="1329">
        <f>'Emission Reduction (Metric Ton)'!AB9</f>
        <v>0</v>
      </c>
      <c r="AN7" s="1328">
        <f>'Other Highway Use Externalities'!Q9</f>
        <v>0</v>
      </c>
      <c r="AO7" s="1329">
        <f>'Other Highway Use Externalities'!R9</f>
        <v>0</v>
      </c>
      <c r="AP7" s="1328">
        <f>'Auto Idling Benefit - Fuel'!O9</f>
        <v>0</v>
      </c>
      <c r="AQ7" s="1329">
        <f>'Auto Idling Benefit - Fuel'!P9</f>
        <v>0</v>
      </c>
      <c r="AR7" s="1328">
        <f>'Auto Idling Env. Benefits'!Y9</f>
        <v>0</v>
      </c>
      <c r="AS7" s="1329">
        <f>'Auto Idling Env. Benefits'!Z9</f>
        <v>0</v>
      </c>
      <c r="AT7" s="1328">
        <f>_xlfn.XLOOKUP(A7,'Repurposed ROW'!F:F,'Repurposed ROW'!K:K,,0)</f>
        <v>0</v>
      </c>
      <c r="AU7" s="1329">
        <f>_xlfn.XLOOKUP(A7,'Repurposed ROW'!F:F,'Repurposed ROW'!L:L,,0)</f>
        <v>0</v>
      </c>
      <c r="AV7" s="1328">
        <f t="shared" si="0"/>
        <v>0</v>
      </c>
      <c r="AW7" s="1329">
        <f t="shared" si="1"/>
        <v>0</v>
      </c>
      <c r="AY7" s="1328">
        <f>'Prop. Tax Inc Sidewalk'!M9</f>
        <v>0</v>
      </c>
      <c r="AZ7" s="1329">
        <f>'Prop. Tax Inc Sidewalk'!N9</f>
        <v>0</v>
      </c>
      <c r="BA7" s="1328">
        <f>'Prop. Tax Inc Bike Lane'!M9</f>
        <v>0</v>
      </c>
      <c r="BB7" s="1329">
        <f>'Prop. Tax Inc Bike Lane'!N9</f>
        <v>0</v>
      </c>
      <c r="BC7" s="1328">
        <f>'Prop. Tax Inc Sidewalk &amp; Bike'!M9</f>
        <v>0</v>
      </c>
      <c r="BD7" s="1329">
        <f>'Prop. Tax Inc Sidewalk &amp; Bike'!N9</f>
        <v>0</v>
      </c>
      <c r="BE7" s="1328">
        <f>'Prop. Tax Inc Shared Use Path'!O9</f>
        <v>0</v>
      </c>
      <c r="BF7" s="1329">
        <f>'Prop. Tax Inc Shared Use Path'!P9</f>
        <v>0</v>
      </c>
    </row>
    <row r="8" spans="1:58">
      <c r="A8" s="1327">
        <f>'Major Assumption Key'!A22</f>
        <v>2023</v>
      </c>
      <c r="B8" s="1328">
        <f>'Useful Life'!N10</f>
        <v>0</v>
      </c>
      <c r="C8" s="1329">
        <f>'Useful Life'!O10</f>
        <v>0</v>
      </c>
      <c r="D8" s="1328">
        <f>_xlfn.XLOOKUP(A8,'Non-Roadway Maintenance'!$F$8:$F$48,'Non-Roadway Maintenance'!$K$8:$K$48,,0)</f>
        <v>0</v>
      </c>
      <c r="E8" s="1329">
        <f>_xlfn.XLOOKUP(A8,'Non-Roadway Maintenance'!$F$8:$F$48,'Non-Roadway Maintenance'!$L$8:$L$48,,0)</f>
        <v>0</v>
      </c>
      <c r="F8" s="1330">
        <f>'State of Good Repair AP-CP'!S10</f>
        <v>0</v>
      </c>
      <c r="G8" s="1330">
        <f>'State of Good Repair AP-CP'!T10</f>
        <v>0</v>
      </c>
      <c r="H8" s="1328">
        <f>'State of Good Repair - AP-AP'!S10</f>
        <v>0</v>
      </c>
      <c r="I8" s="1329">
        <f>'State of Good Repair - AP-AP'!T10</f>
        <v>0</v>
      </c>
      <c r="J8" s="1328">
        <f>'State of Good Repair CP-CP '!S10</f>
        <v>0</v>
      </c>
      <c r="K8" s="1329">
        <f>'State of Good Repair CP-CP '!T10</f>
        <v>0</v>
      </c>
      <c r="L8" s="1328">
        <f>'Roadway Safety'!W10</f>
        <v>0</v>
      </c>
      <c r="M8" s="1329">
        <f>'Roadway Safety'!X10</f>
        <v>0</v>
      </c>
      <c r="N8" s="1328">
        <f>'Pedestrian Safety'!Q10</f>
        <v>0</v>
      </c>
      <c r="O8" s="1329">
        <f>'Pedestrian Safety'!R10</f>
        <v>0</v>
      </c>
      <c r="P8" s="1328">
        <f>'Bike Safety'!S10</f>
        <v>0</v>
      </c>
      <c r="Q8" s="1329">
        <f>'Bike Safety'!T10</f>
        <v>0</v>
      </c>
      <c r="R8" s="1328">
        <f>'Facility Improve - Ped'!AK10</f>
        <v>0</v>
      </c>
      <c r="S8" s="1329">
        <f>'Facility Improve - Ped'!AL10</f>
        <v>0</v>
      </c>
      <c r="T8" s="1328">
        <f>'Facility Improve - Bike'!Q10</f>
        <v>0</v>
      </c>
      <c r="U8" s="1329">
        <f>'Facility Improve - Bike'!R10</f>
        <v>0</v>
      </c>
      <c r="V8" s="1328">
        <f>'Facility Improve - Transit Stop'!Y10</f>
        <v>0</v>
      </c>
      <c r="W8" s="1329">
        <f>'Facility Improve - Transit Stop'!Z10</f>
        <v>0</v>
      </c>
      <c r="X8" s="1330">
        <f>_xlfn.XLOOKUP(A8,'Serve Improve - Transit Mode'!F:F,'Serve Improve - Transit Mode'!Y:Y,,0)</f>
        <v>0</v>
      </c>
      <c r="Y8" s="1330">
        <f>_xlfn.XLOOKUP(A8,'Serve Improve - Transit Mode'!F:F,'Serve Improve - Transit Mode'!Z:Z,,0)</f>
        <v>0</v>
      </c>
      <c r="Z8" s="1328">
        <f>'Amenity Improve - Transit Veh '!Q10</f>
        <v>0</v>
      </c>
      <c r="AA8" s="1329">
        <f>'Amenity Improve - Transit Veh '!R10</f>
        <v>0</v>
      </c>
      <c r="AB8" s="1328">
        <f>'Value of Travel Time'!AD10</f>
        <v>0</v>
      </c>
      <c r="AC8" s="1329">
        <f>'Value of Travel Time'!AE10</f>
        <v>0</v>
      </c>
      <c r="AD8" s="1328">
        <f>'Operating Cost Savings'!P10</f>
        <v>0</v>
      </c>
      <c r="AE8" s="1329">
        <f>'Operating Cost Savings'!Q10</f>
        <v>0</v>
      </c>
      <c r="AF8" s="1328">
        <f>'Mortality Reduction - Walk'!O10</f>
        <v>0</v>
      </c>
      <c r="AG8" s="1329">
        <f>'Mortality Reduction - Walk'!P10</f>
        <v>0</v>
      </c>
      <c r="AH8" s="1328">
        <f>'Mortality Reduction - Bike'!O10</f>
        <v>0</v>
      </c>
      <c r="AI8" s="1329">
        <f>'Mortality Reduction - Bike'!P10</f>
        <v>0</v>
      </c>
      <c r="AJ8" s="1328">
        <f>'Emission Reduction (VMT)'!S10</f>
        <v>0</v>
      </c>
      <c r="AK8" s="1329">
        <f>'Emission Reduction (VMT)'!T10</f>
        <v>0</v>
      </c>
      <c r="AL8" s="1328">
        <f>'Emission Reduction (Metric Ton)'!AA10</f>
        <v>0</v>
      </c>
      <c r="AM8" s="1329">
        <f>'Emission Reduction (Metric Ton)'!AB10</f>
        <v>0</v>
      </c>
      <c r="AN8" s="1328">
        <f>'Other Highway Use Externalities'!Q10</f>
        <v>0</v>
      </c>
      <c r="AO8" s="1329">
        <f>'Other Highway Use Externalities'!R10</f>
        <v>0</v>
      </c>
      <c r="AP8" s="1328">
        <f>'Auto Idling Benefit - Fuel'!O10</f>
        <v>0</v>
      </c>
      <c r="AQ8" s="1329">
        <f>'Auto Idling Benefit - Fuel'!P10</f>
        <v>0</v>
      </c>
      <c r="AR8" s="1328">
        <f>'Auto Idling Env. Benefits'!Y10</f>
        <v>0</v>
      </c>
      <c r="AS8" s="1329">
        <f>'Auto Idling Env. Benefits'!Z10</f>
        <v>0</v>
      </c>
      <c r="AT8" s="1328">
        <f>_xlfn.XLOOKUP(A8,'Repurposed ROW'!F:F,'Repurposed ROW'!K:K,,0)</f>
        <v>0</v>
      </c>
      <c r="AU8" s="1329">
        <f>_xlfn.XLOOKUP(A8,'Repurposed ROW'!F:F,'Repurposed ROW'!L:L,,0)</f>
        <v>0</v>
      </c>
      <c r="AV8" s="1328">
        <f t="shared" si="0"/>
        <v>0</v>
      </c>
      <c r="AW8" s="1329">
        <f t="shared" si="1"/>
        <v>0</v>
      </c>
      <c r="AY8" s="1328">
        <f>'Prop. Tax Inc Sidewalk'!M10</f>
        <v>0</v>
      </c>
      <c r="AZ8" s="1329">
        <f>'Prop. Tax Inc Sidewalk'!N10</f>
        <v>0</v>
      </c>
      <c r="BA8" s="1328">
        <f>'Prop. Tax Inc Bike Lane'!M10</f>
        <v>0</v>
      </c>
      <c r="BB8" s="1329">
        <f>'Prop. Tax Inc Bike Lane'!N10</f>
        <v>0</v>
      </c>
      <c r="BC8" s="1328">
        <f>'Prop. Tax Inc Sidewalk &amp; Bike'!M10</f>
        <v>0</v>
      </c>
      <c r="BD8" s="1329">
        <f>'Prop. Tax Inc Sidewalk &amp; Bike'!N10</f>
        <v>0</v>
      </c>
      <c r="BE8" s="1328">
        <f>'Prop. Tax Inc Shared Use Path'!O10</f>
        <v>0</v>
      </c>
      <c r="BF8" s="1329">
        <f>'Prop. Tax Inc Shared Use Path'!P10</f>
        <v>0</v>
      </c>
    </row>
    <row r="9" spans="1:58">
      <c r="A9" s="1327">
        <f>'Major Assumption Key'!A23</f>
        <v>2024</v>
      </c>
      <c r="B9" s="1328">
        <f>'Useful Life'!N11</f>
        <v>0</v>
      </c>
      <c r="C9" s="1329">
        <f>'Useful Life'!O11</f>
        <v>0</v>
      </c>
      <c r="D9" s="1328">
        <f>_xlfn.XLOOKUP(A9,'Non-Roadway Maintenance'!$F$8:$F$48,'Non-Roadway Maintenance'!$K$8:$K$48,,0)</f>
        <v>0</v>
      </c>
      <c r="E9" s="1329">
        <f>_xlfn.XLOOKUP(A9,'Non-Roadway Maintenance'!$F$8:$F$48,'Non-Roadway Maintenance'!$L$8:$L$48,,0)</f>
        <v>0</v>
      </c>
      <c r="F9" s="1330">
        <f>'State of Good Repair AP-CP'!S11</f>
        <v>0</v>
      </c>
      <c r="G9" s="1330">
        <f>'State of Good Repair AP-CP'!T11</f>
        <v>0</v>
      </c>
      <c r="H9" s="1328">
        <f>'State of Good Repair - AP-AP'!S11</f>
        <v>0</v>
      </c>
      <c r="I9" s="1329">
        <f>'State of Good Repair - AP-AP'!T11</f>
        <v>0</v>
      </c>
      <c r="J9" s="1328">
        <f>'State of Good Repair CP-CP '!S11</f>
        <v>0</v>
      </c>
      <c r="K9" s="1329">
        <f>'State of Good Repair CP-CP '!T11</f>
        <v>0</v>
      </c>
      <c r="L9" s="1328">
        <f>'Roadway Safety'!W11</f>
        <v>0</v>
      </c>
      <c r="M9" s="1329">
        <f>'Roadway Safety'!X11</f>
        <v>0</v>
      </c>
      <c r="N9" s="1328">
        <f>'Pedestrian Safety'!Q11</f>
        <v>0</v>
      </c>
      <c r="O9" s="1329">
        <f>'Pedestrian Safety'!R11</f>
        <v>0</v>
      </c>
      <c r="P9" s="1328">
        <f>'Bike Safety'!S11</f>
        <v>0</v>
      </c>
      <c r="Q9" s="1329">
        <f>'Bike Safety'!T11</f>
        <v>0</v>
      </c>
      <c r="R9" s="1328">
        <f>'Facility Improve - Ped'!AK11</f>
        <v>0</v>
      </c>
      <c r="S9" s="1329">
        <f>'Facility Improve - Ped'!AL11</f>
        <v>0</v>
      </c>
      <c r="T9" s="1328">
        <f>'Facility Improve - Bike'!Q11</f>
        <v>0</v>
      </c>
      <c r="U9" s="1329">
        <f>'Facility Improve - Bike'!R11</f>
        <v>0</v>
      </c>
      <c r="V9" s="1328">
        <f>'Facility Improve - Transit Stop'!Y11</f>
        <v>0</v>
      </c>
      <c r="W9" s="1329">
        <f>'Facility Improve - Transit Stop'!Z11</f>
        <v>0</v>
      </c>
      <c r="X9" s="1330">
        <f>_xlfn.XLOOKUP(A9,'Serve Improve - Transit Mode'!F:F,'Serve Improve - Transit Mode'!Y:Y,,0)</f>
        <v>0</v>
      </c>
      <c r="Y9" s="1330">
        <f>_xlfn.XLOOKUP(A9,'Serve Improve - Transit Mode'!F:F,'Serve Improve - Transit Mode'!Z:Z,,0)</f>
        <v>0</v>
      </c>
      <c r="Z9" s="1328">
        <f>'Amenity Improve - Transit Veh '!Q11</f>
        <v>0</v>
      </c>
      <c r="AA9" s="1329">
        <f>'Amenity Improve - Transit Veh '!R11</f>
        <v>0</v>
      </c>
      <c r="AB9" s="1328">
        <f>'Value of Travel Time'!AD11</f>
        <v>0</v>
      </c>
      <c r="AC9" s="1329">
        <f>'Value of Travel Time'!AE11</f>
        <v>0</v>
      </c>
      <c r="AD9" s="1328">
        <f>'Operating Cost Savings'!P11</f>
        <v>0</v>
      </c>
      <c r="AE9" s="1329">
        <f>'Operating Cost Savings'!Q11</f>
        <v>0</v>
      </c>
      <c r="AF9" s="1328">
        <f>'Mortality Reduction - Walk'!O11</f>
        <v>0</v>
      </c>
      <c r="AG9" s="1329">
        <f>'Mortality Reduction - Walk'!P11</f>
        <v>0</v>
      </c>
      <c r="AH9" s="1328">
        <f>'Mortality Reduction - Bike'!O11</f>
        <v>0</v>
      </c>
      <c r="AI9" s="1329">
        <f>'Mortality Reduction - Bike'!P11</f>
        <v>0</v>
      </c>
      <c r="AJ9" s="1328">
        <f>'Emission Reduction (VMT)'!S11</f>
        <v>0</v>
      </c>
      <c r="AK9" s="1329">
        <f>'Emission Reduction (VMT)'!T11</f>
        <v>0</v>
      </c>
      <c r="AL9" s="1328">
        <f>'Emission Reduction (Metric Ton)'!AA11</f>
        <v>0</v>
      </c>
      <c r="AM9" s="1329">
        <f>'Emission Reduction (Metric Ton)'!AB11</f>
        <v>0</v>
      </c>
      <c r="AN9" s="1328">
        <f>'Other Highway Use Externalities'!Q11</f>
        <v>0</v>
      </c>
      <c r="AO9" s="1329">
        <f>'Other Highway Use Externalities'!R11</f>
        <v>0</v>
      </c>
      <c r="AP9" s="1328">
        <f>'Auto Idling Benefit - Fuel'!O11</f>
        <v>0</v>
      </c>
      <c r="AQ9" s="1329">
        <f>'Auto Idling Benefit - Fuel'!P11</f>
        <v>0</v>
      </c>
      <c r="AR9" s="1328">
        <f>'Auto Idling Env. Benefits'!Y11</f>
        <v>0</v>
      </c>
      <c r="AS9" s="1329">
        <f>'Auto Idling Env. Benefits'!Z11</f>
        <v>0</v>
      </c>
      <c r="AT9" s="1328">
        <f>_xlfn.XLOOKUP(A9,'Repurposed ROW'!F:F,'Repurposed ROW'!K:K,,0)</f>
        <v>0</v>
      </c>
      <c r="AU9" s="1329">
        <f>_xlfn.XLOOKUP(A9,'Repurposed ROW'!F:F,'Repurposed ROW'!L:L,,0)</f>
        <v>0</v>
      </c>
      <c r="AV9" s="1328">
        <f t="shared" si="0"/>
        <v>0</v>
      </c>
      <c r="AW9" s="1329">
        <f t="shared" si="1"/>
        <v>0</v>
      </c>
      <c r="AY9" s="1328">
        <f>'Prop. Tax Inc Sidewalk'!M11</f>
        <v>0</v>
      </c>
      <c r="AZ9" s="1329">
        <f>'Prop. Tax Inc Sidewalk'!N11</f>
        <v>0</v>
      </c>
      <c r="BA9" s="1328">
        <f>'Prop. Tax Inc Bike Lane'!M11</f>
        <v>0</v>
      </c>
      <c r="BB9" s="1329">
        <f>'Prop. Tax Inc Bike Lane'!N11</f>
        <v>0</v>
      </c>
      <c r="BC9" s="1328">
        <f>'Prop. Tax Inc Sidewalk &amp; Bike'!M11</f>
        <v>0</v>
      </c>
      <c r="BD9" s="1329">
        <f>'Prop. Tax Inc Sidewalk &amp; Bike'!N11</f>
        <v>0</v>
      </c>
      <c r="BE9" s="1328">
        <f>'Prop. Tax Inc Shared Use Path'!O11</f>
        <v>0</v>
      </c>
      <c r="BF9" s="1329">
        <f>'Prop. Tax Inc Shared Use Path'!P11</f>
        <v>0</v>
      </c>
    </row>
    <row r="10" spans="1:58">
      <c r="A10" s="1327">
        <f>'Major Assumption Key'!A24</f>
        <v>2025</v>
      </c>
      <c r="B10" s="1328">
        <f>'Useful Life'!N12</f>
        <v>0</v>
      </c>
      <c r="C10" s="1329">
        <f>'Useful Life'!O12</f>
        <v>0</v>
      </c>
      <c r="D10" s="1328">
        <f>_xlfn.XLOOKUP(A10,'Non-Roadway Maintenance'!$F$8:$F$48,'Non-Roadway Maintenance'!$K$8:$K$48,,0)</f>
        <v>0</v>
      </c>
      <c r="E10" s="1329">
        <f>_xlfn.XLOOKUP(A10,'Non-Roadway Maintenance'!$F$8:$F$48,'Non-Roadway Maintenance'!$L$8:$L$48,,0)</f>
        <v>0</v>
      </c>
      <c r="F10" s="1330">
        <f>'State of Good Repair AP-CP'!S12</f>
        <v>0</v>
      </c>
      <c r="G10" s="1330">
        <f>'State of Good Repair AP-CP'!T12</f>
        <v>0</v>
      </c>
      <c r="H10" s="1328">
        <f>'State of Good Repair - AP-AP'!S12</f>
        <v>0</v>
      </c>
      <c r="I10" s="1329">
        <f>'State of Good Repair - AP-AP'!T12</f>
        <v>0</v>
      </c>
      <c r="J10" s="1328">
        <f>'State of Good Repair CP-CP '!S12</f>
        <v>0</v>
      </c>
      <c r="K10" s="1329">
        <f>'State of Good Repair CP-CP '!T12</f>
        <v>0</v>
      </c>
      <c r="L10" s="1328">
        <f>'Roadway Safety'!W12</f>
        <v>0</v>
      </c>
      <c r="M10" s="1329">
        <f>'Roadway Safety'!X12</f>
        <v>0</v>
      </c>
      <c r="N10" s="1328">
        <f>'Pedestrian Safety'!Q12</f>
        <v>0</v>
      </c>
      <c r="O10" s="1329">
        <f>'Pedestrian Safety'!R12</f>
        <v>0</v>
      </c>
      <c r="P10" s="1328">
        <f>'Bike Safety'!S12</f>
        <v>0</v>
      </c>
      <c r="Q10" s="1329">
        <f>'Bike Safety'!T12</f>
        <v>0</v>
      </c>
      <c r="R10" s="1328">
        <f>'Facility Improve - Ped'!AK12</f>
        <v>0</v>
      </c>
      <c r="S10" s="1329">
        <f>'Facility Improve - Ped'!AL12</f>
        <v>0</v>
      </c>
      <c r="T10" s="1328">
        <f>'Facility Improve - Bike'!Q12</f>
        <v>0</v>
      </c>
      <c r="U10" s="1329">
        <f>'Facility Improve - Bike'!R12</f>
        <v>0</v>
      </c>
      <c r="V10" s="1328">
        <f>'Facility Improve - Transit Stop'!Y12</f>
        <v>0</v>
      </c>
      <c r="W10" s="1329">
        <f>'Facility Improve - Transit Stop'!Z12</f>
        <v>0</v>
      </c>
      <c r="X10" s="1330">
        <f>_xlfn.XLOOKUP(A10,'Serve Improve - Transit Mode'!F:F,'Serve Improve - Transit Mode'!Y:Y,,0)</f>
        <v>0</v>
      </c>
      <c r="Y10" s="1330">
        <f>_xlfn.XLOOKUP(A10,'Serve Improve - Transit Mode'!F:F,'Serve Improve - Transit Mode'!Z:Z,,0)</f>
        <v>0</v>
      </c>
      <c r="Z10" s="1328">
        <f>'Amenity Improve - Transit Veh '!Q12</f>
        <v>0</v>
      </c>
      <c r="AA10" s="1329">
        <f>'Amenity Improve - Transit Veh '!R12</f>
        <v>0</v>
      </c>
      <c r="AB10" s="1328">
        <f>'Value of Travel Time'!AD12</f>
        <v>0</v>
      </c>
      <c r="AC10" s="1329">
        <f>'Value of Travel Time'!AE12</f>
        <v>0</v>
      </c>
      <c r="AD10" s="1328">
        <f>'Operating Cost Savings'!P12</f>
        <v>0</v>
      </c>
      <c r="AE10" s="1329">
        <f>'Operating Cost Savings'!Q12</f>
        <v>0</v>
      </c>
      <c r="AF10" s="1328">
        <f>'Mortality Reduction - Walk'!O12</f>
        <v>0</v>
      </c>
      <c r="AG10" s="1329">
        <f>'Mortality Reduction - Walk'!P12</f>
        <v>0</v>
      </c>
      <c r="AH10" s="1328">
        <f>'Mortality Reduction - Bike'!O12</f>
        <v>0</v>
      </c>
      <c r="AI10" s="1329">
        <f>'Mortality Reduction - Bike'!P12</f>
        <v>0</v>
      </c>
      <c r="AJ10" s="1328">
        <f>'Emission Reduction (VMT)'!S12</f>
        <v>0</v>
      </c>
      <c r="AK10" s="1329">
        <f>'Emission Reduction (VMT)'!T12</f>
        <v>0</v>
      </c>
      <c r="AL10" s="1328">
        <f>'Emission Reduction (Metric Ton)'!AA12</f>
        <v>0</v>
      </c>
      <c r="AM10" s="1329">
        <f>'Emission Reduction (Metric Ton)'!AB12</f>
        <v>0</v>
      </c>
      <c r="AN10" s="1328">
        <f>'Other Highway Use Externalities'!Q12</f>
        <v>0</v>
      </c>
      <c r="AO10" s="1329">
        <f>'Other Highway Use Externalities'!R12</f>
        <v>0</v>
      </c>
      <c r="AP10" s="1328">
        <f>'Auto Idling Benefit - Fuel'!O12</f>
        <v>0</v>
      </c>
      <c r="AQ10" s="1329">
        <f>'Auto Idling Benefit - Fuel'!P12</f>
        <v>0</v>
      </c>
      <c r="AR10" s="1328">
        <f>'Auto Idling Env. Benefits'!Y12</f>
        <v>0</v>
      </c>
      <c r="AS10" s="1329">
        <f>'Auto Idling Env. Benefits'!Z12</f>
        <v>0</v>
      </c>
      <c r="AT10" s="1328">
        <f>_xlfn.XLOOKUP(A10,'Repurposed ROW'!F:F,'Repurposed ROW'!K:K,,0)</f>
        <v>0</v>
      </c>
      <c r="AU10" s="1329">
        <f>_xlfn.XLOOKUP(A10,'Repurposed ROW'!F:F,'Repurposed ROW'!L:L,,0)</f>
        <v>0</v>
      </c>
      <c r="AV10" s="1328">
        <f t="shared" si="0"/>
        <v>0</v>
      </c>
      <c r="AW10" s="1329">
        <f t="shared" si="1"/>
        <v>0</v>
      </c>
      <c r="AY10" s="1328">
        <f>'Prop. Tax Inc Sidewalk'!M12</f>
        <v>0</v>
      </c>
      <c r="AZ10" s="1329">
        <f>'Prop. Tax Inc Sidewalk'!N12</f>
        <v>0</v>
      </c>
      <c r="BA10" s="1328">
        <f>'Prop. Tax Inc Bike Lane'!M12</f>
        <v>0</v>
      </c>
      <c r="BB10" s="1329">
        <f>'Prop. Tax Inc Bike Lane'!N12</f>
        <v>0</v>
      </c>
      <c r="BC10" s="1328">
        <f>'Prop. Tax Inc Sidewalk &amp; Bike'!M12</f>
        <v>0</v>
      </c>
      <c r="BD10" s="1329">
        <f>'Prop. Tax Inc Sidewalk &amp; Bike'!N12</f>
        <v>0</v>
      </c>
      <c r="BE10" s="1328">
        <f>'Prop. Tax Inc Shared Use Path'!O12</f>
        <v>0</v>
      </c>
      <c r="BF10" s="1329">
        <f>'Prop. Tax Inc Shared Use Path'!P12</f>
        <v>0</v>
      </c>
    </row>
    <row r="11" spans="1:58">
      <c r="A11" s="1327">
        <f>'Major Assumption Key'!A25</f>
        <v>2026</v>
      </c>
      <c r="B11" s="1328">
        <f>'Useful Life'!N13</f>
        <v>0</v>
      </c>
      <c r="C11" s="1329">
        <f>'Useful Life'!O13</f>
        <v>0</v>
      </c>
      <c r="D11" s="1328">
        <f>_xlfn.XLOOKUP(A11,'Non-Roadway Maintenance'!$F$8:$F$48,'Non-Roadway Maintenance'!$K$8:$K$48,,0)</f>
        <v>0</v>
      </c>
      <c r="E11" s="1329">
        <f>_xlfn.XLOOKUP(A11,'Non-Roadway Maintenance'!$F$8:$F$48,'Non-Roadway Maintenance'!$L$8:$L$48,,0)</f>
        <v>0</v>
      </c>
      <c r="F11" s="1330">
        <f>'State of Good Repair AP-CP'!S13</f>
        <v>0</v>
      </c>
      <c r="G11" s="1330">
        <f>'State of Good Repair AP-CP'!T13</f>
        <v>0</v>
      </c>
      <c r="H11" s="1328">
        <f>'State of Good Repair - AP-AP'!S13</f>
        <v>0</v>
      </c>
      <c r="I11" s="1329">
        <f>'State of Good Repair - AP-AP'!T13</f>
        <v>0</v>
      </c>
      <c r="J11" s="1328">
        <f>'State of Good Repair CP-CP '!S13</f>
        <v>0</v>
      </c>
      <c r="K11" s="1329">
        <f>'State of Good Repair CP-CP '!T13</f>
        <v>0</v>
      </c>
      <c r="L11" s="1328">
        <f>'Roadway Safety'!W13</f>
        <v>0</v>
      </c>
      <c r="M11" s="1329">
        <f>'Roadway Safety'!X13</f>
        <v>0</v>
      </c>
      <c r="N11" s="1328">
        <f>'Pedestrian Safety'!Q13</f>
        <v>0</v>
      </c>
      <c r="O11" s="1329">
        <f>'Pedestrian Safety'!R13</f>
        <v>0</v>
      </c>
      <c r="P11" s="1328">
        <f>'Bike Safety'!S13</f>
        <v>0</v>
      </c>
      <c r="Q11" s="1329">
        <f>'Bike Safety'!T13</f>
        <v>0</v>
      </c>
      <c r="R11" s="1328">
        <f>'Facility Improve - Ped'!AK13</f>
        <v>0</v>
      </c>
      <c r="S11" s="1329">
        <f>'Facility Improve - Ped'!AL13</f>
        <v>0</v>
      </c>
      <c r="T11" s="1328">
        <f>'Facility Improve - Bike'!Q13</f>
        <v>0</v>
      </c>
      <c r="U11" s="1329">
        <f>'Facility Improve - Bike'!R13</f>
        <v>0</v>
      </c>
      <c r="V11" s="1328">
        <f>'Facility Improve - Transit Stop'!Y13</f>
        <v>0</v>
      </c>
      <c r="W11" s="1329">
        <f>'Facility Improve - Transit Stop'!Z13</f>
        <v>0</v>
      </c>
      <c r="X11" s="1330">
        <f>_xlfn.XLOOKUP(A11,'Serve Improve - Transit Mode'!F:F,'Serve Improve - Transit Mode'!Y:Y,,0)</f>
        <v>0</v>
      </c>
      <c r="Y11" s="1330">
        <f>_xlfn.XLOOKUP(A11,'Serve Improve - Transit Mode'!F:F,'Serve Improve - Transit Mode'!Z:Z,,0)</f>
        <v>0</v>
      </c>
      <c r="Z11" s="1328">
        <f>'Amenity Improve - Transit Veh '!Q13</f>
        <v>0</v>
      </c>
      <c r="AA11" s="1329">
        <f>'Amenity Improve - Transit Veh '!R13</f>
        <v>0</v>
      </c>
      <c r="AB11" s="1328">
        <f>'Value of Travel Time'!AD13</f>
        <v>0</v>
      </c>
      <c r="AC11" s="1329">
        <f>'Value of Travel Time'!AE13</f>
        <v>0</v>
      </c>
      <c r="AD11" s="1328">
        <f>'Operating Cost Savings'!P13</f>
        <v>0</v>
      </c>
      <c r="AE11" s="1329">
        <f>'Operating Cost Savings'!Q13</f>
        <v>0</v>
      </c>
      <c r="AF11" s="1328">
        <f>'Mortality Reduction - Walk'!O13</f>
        <v>0</v>
      </c>
      <c r="AG11" s="1329">
        <f>'Mortality Reduction - Walk'!P13</f>
        <v>0</v>
      </c>
      <c r="AH11" s="1328">
        <f>'Mortality Reduction - Bike'!O13</f>
        <v>0</v>
      </c>
      <c r="AI11" s="1329">
        <f>'Mortality Reduction - Bike'!P13</f>
        <v>0</v>
      </c>
      <c r="AJ11" s="1328">
        <f>'Emission Reduction (VMT)'!S13</f>
        <v>0</v>
      </c>
      <c r="AK11" s="1329">
        <f>'Emission Reduction (VMT)'!T13</f>
        <v>0</v>
      </c>
      <c r="AL11" s="1328">
        <f>'Emission Reduction (Metric Ton)'!AA13</f>
        <v>0</v>
      </c>
      <c r="AM11" s="1329">
        <f>'Emission Reduction (Metric Ton)'!AB13</f>
        <v>0</v>
      </c>
      <c r="AN11" s="1328">
        <f>'Other Highway Use Externalities'!Q13</f>
        <v>0</v>
      </c>
      <c r="AO11" s="1329">
        <f>'Other Highway Use Externalities'!R13</f>
        <v>0</v>
      </c>
      <c r="AP11" s="1328">
        <f>'Auto Idling Benefit - Fuel'!O13</f>
        <v>0</v>
      </c>
      <c r="AQ11" s="1329">
        <f>'Auto Idling Benefit - Fuel'!P13</f>
        <v>0</v>
      </c>
      <c r="AR11" s="1328">
        <f>'Auto Idling Env. Benefits'!Y13</f>
        <v>0</v>
      </c>
      <c r="AS11" s="1329">
        <f>'Auto Idling Env. Benefits'!Z13</f>
        <v>0</v>
      </c>
      <c r="AT11" s="1328">
        <f>_xlfn.XLOOKUP(A11,'Repurposed ROW'!F:F,'Repurposed ROW'!K:K,,0)</f>
        <v>0</v>
      </c>
      <c r="AU11" s="1329">
        <f>_xlfn.XLOOKUP(A11,'Repurposed ROW'!F:F,'Repurposed ROW'!L:L,,0)</f>
        <v>0</v>
      </c>
      <c r="AV11" s="1328">
        <f t="shared" si="0"/>
        <v>0</v>
      </c>
      <c r="AW11" s="1329">
        <f t="shared" si="1"/>
        <v>0</v>
      </c>
      <c r="AY11" s="1328">
        <f>'Prop. Tax Inc Sidewalk'!M13</f>
        <v>0</v>
      </c>
      <c r="AZ11" s="1329">
        <f>'Prop. Tax Inc Sidewalk'!N13</f>
        <v>0</v>
      </c>
      <c r="BA11" s="1328">
        <f>'Prop. Tax Inc Bike Lane'!M13</f>
        <v>0</v>
      </c>
      <c r="BB11" s="1329">
        <f>'Prop. Tax Inc Bike Lane'!N13</f>
        <v>0</v>
      </c>
      <c r="BC11" s="1328">
        <f>'Prop. Tax Inc Sidewalk &amp; Bike'!M13</f>
        <v>0</v>
      </c>
      <c r="BD11" s="1329">
        <f>'Prop. Tax Inc Sidewalk &amp; Bike'!N13</f>
        <v>0</v>
      </c>
      <c r="BE11" s="1328">
        <f>'Prop. Tax Inc Shared Use Path'!O13</f>
        <v>0</v>
      </c>
      <c r="BF11" s="1329">
        <f>'Prop. Tax Inc Shared Use Path'!P13</f>
        <v>0</v>
      </c>
    </row>
    <row r="12" spans="1:58">
      <c r="A12" s="1327">
        <f>'Major Assumption Key'!A26</f>
        <v>2027</v>
      </c>
      <c r="B12" s="1328">
        <f>'Useful Life'!N14</f>
        <v>0</v>
      </c>
      <c r="C12" s="1329">
        <f>'Useful Life'!O14</f>
        <v>0</v>
      </c>
      <c r="D12" s="1328">
        <f>_xlfn.XLOOKUP(A12,'Non-Roadway Maintenance'!$F$8:$F$48,'Non-Roadway Maintenance'!$K$8:$K$48,,0)</f>
        <v>0</v>
      </c>
      <c r="E12" s="1329">
        <f>_xlfn.XLOOKUP(A12,'Non-Roadway Maintenance'!$F$8:$F$48,'Non-Roadway Maintenance'!$L$8:$L$48,,0)</f>
        <v>0</v>
      </c>
      <c r="F12" s="1330">
        <f>'State of Good Repair AP-CP'!S14</f>
        <v>0</v>
      </c>
      <c r="G12" s="1330">
        <f>'State of Good Repair AP-CP'!T14</f>
        <v>0</v>
      </c>
      <c r="H12" s="1328">
        <f>'State of Good Repair - AP-AP'!S14</f>
        <v>0</v>
      </c>
      <c r="I12" s="1329">
        <f>'State of Good Repair - AP-AP'!T14</f>
        <v>0</v>
      </c>
      <c r="J12" s="1328">
        <f>'State of Good Repair CP-CP '!S14</f>
        <v>0</v>
      </c>
      <c r="K12" s="1329">
        <f>'State of Good Repair CP-CP '!T14</f>
        <v>0</v>
      </c>
      <c r="L12" s="1328">
        <f>'Roadway Safety'!W14</f>
        <v>0</v>
      </c>
      <c r="M12" s="1329">
        <f>'Roadway Safety'!X14</f>
        <v>0</v>
      </c>
      <c r="N12" s="1328">
        <f>'Pedestrian Safety'!Q14</f>
        <v>0</v>
      </c>
      <c r="O12" s="1329">
        <f>'Pedestrian Safety'!R14</f>
        <v>0</v>
      </c>
      <c r="P12" s="1328">
        <f>'Bike Safety'!S14</f>
        <v>0</v>
      </c>
      <c r="Q12" s="1329">
        <f>'Bike Safety'!T14</f>
        <v>0</v>
      </c>
      <c r="R12" s="1328">
        <f>'Facility Improve - Ped'!AK14</f>
        <v>0</v>
      </c>
      <c r="S12" s="1329">
        <f>'Facility Improve - Ped'!AL14</f>
        <v>0</v>
      </c>
      <c r="T12" s="1328">
        <f>'Facility Improve - Bike'!Q14</f>
        <v>0</v>
      </c>
      <c r="U12" s="1329">
        <f>'Facility Improve - Bike'!R14</f>
        <v>0</v>
      </c>
      <c r="V12" s="1328">
        <f>'Facility Improve - Transit Stop'!Y14</f>
        <v>0</v>
      </c>
      <c r="W12" s="1329">
        <f>'Facility Improve - Transit Stop'!Z14</f>
        <v>0</v>
      </c>
      <c r="X12" s="1330">
        <f>_xlfn.XLOOKUP(A12,'Serve Improve - Transit Mode'!F:F,'Serve Improve - Transit Mode'!Y:Y,,0)</f>
        <v>0</v>
      </c>
      <c r="Y12" s="1330">
        <f>_xlfn.XLOOKUP(A12,'Serve Improve - Transit Mode'!F:F,'Serve Improve - Transit Mode'!Z:Z,,0)</f>
        <v>0</v>
      </c>
      <c r="Z12" s="1328">
        <f>'Amenity Improve - Transit Veh '!Q14</f>
        <v>0</v>
      </c>
      <c r="AA12" s="1329">
        <f>'Amenity Improve - Transit Veh '!R14</f>
        <v>0</v>
      </c>
      <c r="AB12" s="1328">
        <f>'Value of Travel Time'!AD14</f>
        <v>0</v>
      </c>
      <c r="AC12" s="1329">
        <f>'Value of Travel Time'!AE14</f>
        <v>0</v>
      </c>
      <c r="AD12" s="1328">
        <f>'Operating Cost Savings'!P14</f>
        <v>0</v>
      </c>
      <c r="AE12" s="1329">
        <f>'Operating Cost Savings'!Q14</f>
        <v>0</v>
      </c>
      <c r="AF12" s="1328">
        <f>'Mortality Reduction - Walk'!O14</f>
        <v>0</v>
      </c>
      <c r="AG12" s="1329">
        <f>'Mortality Reduction - Walk'!P14</f>
        <v>0</v>
      </c>
      <c r="AH12" s="1328">
        <f>'Mortality Reduction - Bike'!O14</f>
        <v>0</v>
      </c>
      <c r="AI12" s="1329">
        <f>'Mortality Reduction - Bike'!P14</f>
        <v>0</v>
      </c>
      <c r="AJ12" s="1328">
        <f>'Emission Reduction (VMT)'!S14</f>
        <v>0</v>
      </c>
      <c r="AK12" s="1329">
        <f>'Emission Reduction (VMT)'!T14</f>
        <v>0</v>
      </c>
      <c r="AL12" s="1328">
        <f>'Emission Reduction (Metric Ton)'!AA14</f>
        <v>0</v>
      </c>
      <c r="AM12" s="1329">
        <f>'Emission Reduction (Metric Ton)'!AB14</f>
        <v>0</v>
      </c>
      <c r="AN12" s="1328">
        <f>'Other Highway Use Externalities'!Q14</f>
        <v>0</v>
      </c>
      <c r="AO12" s="1329">
        <f>'Other Highway Use Externalities'!R14</f>
        <v>0</v>
      </c>
      <c r="AP12" s="1328">
        <f>'Auto Idling Benefit - Fuel'!O14</f>
        <v>0</v>
      </c>
      <c r="AQ12" s="1329">
        <f>'Auto Idling Benefit - Fuel'!P14</f>
        <v>0</v>
      </c>
      <c r="AR12" s="1328">
        <f>'Auto Idling Env. Benefits'!Y14</f>
        <v>0</v>
      </c>
      <c r="AS12" s="1329">
        <f>'Auto Idling Env. Benefits'!Z14</f>
        <v>0</v>
      </c>
      <c r="AT12" s="1328">
        <f>_xlfn.XLOOKUP(A12,'Repurposed ROW'!F:F,'Repurposed ROW'!K:K,,0)</f>
        <v>0</v>
      </c>
      <c r="AU12" s="1329">
        <f>_xlfn.XLOOKUP(A12,'Repurposed ROW'!F:F,'Repurposed ROW'!L:L,,0)</f>
        <v>0</v>
      </c>
      <c r="AV12" s="1328">
        <f t="shared" si="0"/>
        <v>0</v>
      </c>
      <c r="AW12" s="1329">
        <f t="shared" si="1"/>
        <v>0</v>
      </c>
      <c r="AY12" s="1328">
        <f>'Prop. Tax Inc Sidewalk'!M14</f>
        <v>0</v>
      </c>
      <c r="AZ12" s="1329">
        <f>'Prop. Tax Inc Sidewalk'!N14</f>
        <v>0</v>
      </c>
      <c r="BA12" s="1328">
        <f>'Prop. Tax Inc Bike Lane'!M14</f>
        <v>0</v>
      </c>
      <c r="BB12" s="1329">
        <f>'Prop. Tax Inc Bike Lane'!N14</f>
        <v>0</v>
      </c>
      <c r="BC12" s="1328">
        <f>'Prop. Tax Inc Sidewalk &amp; Bike'!M14</f>
        <v>0</v>
      </c>
      <c r="BD12" s="1329">
        <f>'Prop. Tax Inc Sidewalk &amp; Bike'!N14</f>
        <v>0</v>
      </c>
      <c r="BE12" s="1328">
        <f>'Prop. Tax Inc Shared Use Path'!O14</f>
        <v>0</v>
      </c>
      <c r="BF12" s="1329">
        <f>'Prop. Tax Inc Shared Use Path'!P14</f>
        <v>0</v>
      </c>
    </row>
    <row r="13" spans="1:58">
      <c r="A13" s="1327">
        <f>'Major Assumption Key'!A27</f>
        <v>2028</v>
      </c>
      <c r="B13" s="1328">
        <f>'Useful Life'!N15</f>
        <v>0</v>
      </c>
      <c r="C13" s="1329">
        <f>'Useful Life'!O15</f>
        <v>0</v>
      </c>
      <c r="D13" s="1328">
        <f>_xlfn.XLOOKUP(A13,'Non-Roadway Maintenance'!$F$8:$F$48,'Non-Roadway Maintenance'!$K$8:$K$48,,0)</f>
        <v>0</v>
      </c>
      <c r="E13" s="1329">
        <f>_xlfn.XLOOKUP(A13,'Non-Roadway Maintenance'!$F$8:$F$48,'Non-Roadway Maintenance'!$L$8:$L$48,,0)</f>
        <v>0</v>
      </c>
      <c r="F13" s="1330">
        <f>'State of Good Repair AP-CP'!S15</f>
        <v>0</v>
      </c>
      <c r="G13" s="1330">
        <f>'State of Good Repair AP-CP'!T15</f>
        <v>0</v>
      </c>
      <c r="H13" s="1328">
        <f>'State of Good Repair - AP-AP'!S15</f>
        <v>0</v>
      </c>
      <c r="I13" s="1329">
        <f>'State of Good Repair - AP-AP'!T15</f>
        <v>0</v>
      </c>
      <c r="J13" s="1328">
        <f>'State of Good Repair CP-CP '!S15</f>
        <v>0</v>
      </c>
      <c r="K13" s="1329">
        <f>'State of Good Repair CP-CP '!T15</f>
        <v>0</v>
      </c>
      <c r="L13" s="1328">
        <f>'Roadway Safety'!W15</f>
        <v>0</v>
      </c>
      <c r="M13" s="1329">
        <f>'Roadway Safety'!X15</f>
        <v>0</v>
      </c>
      <c r="N13" s="1328">
        <f>'Pedestrian Safety'!Q15</f>
        <v>56002.799999999988</v>
      </c>
      <c r="O13" s="1329">
        <f>'Pedestrian Safety'!R15</f>
        <v>46629.176915768789</v>
      </c>
      <c r="P13" s="1328">
        <f>'Bike Safety'!S15</f>
        <v>169919.99999999997</v>
      </c>
      <c r="Q13" s="1329">
        <f>'Bike Safety'!T15</f>
        <v>141479.17142584716</v>
      </c>
      <c r="R13" s="1328">
        <f>'Facility Improve - Ped'!AK15</f>
        <v>29943.348363794696</v>
      </c>
      <c r="S13" s="1329">
        <f>'Facility Improve - Ped'!AL15</f>
        <v>24931.497859140596</v>
      </c>
      <c r="T13" s="1328">
        <f>'Facility Improve - Bike'!Q15</f>
        <v>31769.399060570424</v>
      </c>
      <c r="U13" s="1329">
        <f>'Facility Improve - Bike'!R15</f>
        <v>26451.908284996418</v>
      </c>
      <c r="V13" s="1328">
        <f>'Facility Improve - Transit Stop'!Y15</f>
        <v>0</v>
      </c>
      <c r="W13" s="1329">
        <f>'Facility Improve - Transit Stop'!Z15</f>
        <v>0</v>
      </c>
      <c r="X13" s="1330">
        <f>_xlfn.XLOOKUP(A13,'Serve Improve - Transit Mode'!F:F,'Serve Improve - Transit Mode'!Y:Y,,0)</f>
        <v>0</v>
      </c>
      <c r="Y13" s="1330">
        <f>_xlfn.XLOOKUP(A13,'Serve Improve - Transit Mode'!F:F,'Serve Improve - Transit Mode'!Z:Z,,0)</f>
        <v>0</v>
      </c>
      <c r="Z13" s="1328">
        <f>'Amenity Improve - Transit Veh '!Q15</f>
        <v>0</v>
      </c>
      <c r="AA13" s="1329">
        <f>'Amenity Improve - Transit Veh '!R15</f>
        <v>0</v>
      </c>
      <c r="AB13" s="1328">
        <f>'Value of Travel Time'!AD15</f>
        <v>0</v>
      </c>
      <c r="AC13" s="1329">
        <f>'Value of Travel Time'!AE15</f>
        <v>0</v>
      </c>
      <c r="AD13" s="1328">
        <f>'Operating Cost Savings'!P15</f>
        <v>0</v>
      </c>
      <c r="AE13" s="1329">
        <f>'Operating Cost Savings'!Q15</f>
        <v>0</v>
      </c>
      <c r="AF13" s="1328">
        <f>'Mortality Reduction - Walk'!O15</f>
        <v>3912.6267413407213</v>
      </c>
      <c r="AG13" s="1329">
        <f>'Mortality Reduction - Walk'!P15</f>
        <v>3257.7400509857443</v>
      </c>
      <c r="AH13" s="1328">
        <f>'Mortality Reduction - Bike'!O15</f>
        <v>175653.63517331457</v>
      </c>
      <c r="AI13" s="1329">
        <f>'Mortality Reduction - Bike'!P15</f>
        <v>146253.12360086272</v>
      </c>
      <c r="AJ13" s="1328">
        <f>'Emission Reduction (VMT)'!S15</f>
        <v>0</v>
      </c>
      <c r="AK13" s="1329">
        <f>'Emission Reduction (VMT)'!T15</f>
        <v>0</v>
      </c>
      <c r="AL13" s="1328">
        <f>'Emission Reduction (Metric Ton)'!AA15</f>
        <v>11383.667611078146</v>
      </c>
      <c r="AM13" s="1329">
        <f>'Emission Reduction (Metric Ton)'!AB15</f>
        <v>9528.4757694532655</v>
      </c>
      <c r="AN13" s="1328">
        <f>'Other Highway Use Externalities'!Q15</f>
        <v>5444.6511436271285</v>
      </c>
      <c r="AO13" s="1329">
        <f>'Other Highway Use Externalities'!R15</f>
        <v>4533.3376442040808</v>
      </c>
      <c r="AP13" s="1328">
        <f>'Auto Idling Benefit - Fuel'!O15</f>
        <v>0</v>
      </c>
      <c r="AQ13" s="1329">
        <f>'Auto Idling Benefit - Fuel'!P15</f>
        <v>0</v>
      </c>
      <c r="AR13" s="1328">
        <f>'Auto Idling Env. Benefits'!Y15</f>
        <v>0</v>
      </c>
      <c r="AS13" s="1329">
        <f>'Auto Idling Env. Benefits'!Z15</f>
        <v>0</v>
      </c>
      <c r="AT13" s="1328">
        <f>_xlfn.XLOOKUP(A13,'Repurposed ROW'!F:F,'Repurposed ROW'!K:K,,0)</f>
        <v>0</v>
      </c>
      <c r="AU13" s="1329">
        <f>_xlfn.XLOOKUP(A13,'Repurposed ROW'!F:F,'Repurposed ROW'!L:L,,0)</f>
        <v>0</v>
      </c>
      <c r="AV13" s="1328">
        <f t="shared" si="0"/>
        <v>484030.12809372565</v>
      </c>
      <c r="AW13" s="1329">
        <f t="shared" si="1"/>
        <v>403064.43155125878</v>
      </c>
      <c r="AY13" s="1328">
        <f>'Prop. Tax Inc Sidewalk'!M15</f>
        <v>0</v>
      </c>
      <c r="AZ13" s="1329">
        <f>'Prop. Tax Inc Sidewalk'!N15</f>
        <v>0</v>
      </c>
      <c r="BA13" s="1328">
        <f>'Prop. Tax Inc Bike Lane'!M15</f>
        <v>0</v>
      </c>
      <c r="BB13" s="1329">
        <f>'Prop. Tax Inc Bike Lane'!N15</f>
        <v>0</v>
      </c>
      <c r="BC13" s="1328">
        <f>'Prop. Tax Inc Sidewalk &amp; Bike'!M15</f>
        <v>0</v>
      </c>
      <c r="BD13" s="1329">
        <f>'Prop. Tax Inc Sidewalk &amp; Bike'!N15</f>
        <v>0</v>
      </c>
      <c r="BE13" s="1328">
        <f>'Prop. Tax Inc Shared Use Path'!O15</f>
        <v>0</v>
      </c>
      <c r="BF13" s="1329">
        <f>'Prop. Tax Inc Shared Use Path'!P15</f>
        <v>0</v>
      </c>
    </row>
    <row r="14" spans="1:58">
      <c r="A14" s="1327">
        <f>'Major Assumption Key'!A28</f>
        <v>2029</v>
      </c>
      <c r="B14" s="1328">
        <f>'Useful Life'!N16</f>
        <v>0</v>
      </c>
      <c r="C14" s="1329">
        <f>'Useful Life'!O16</f>
        <v>0</v>
      </c>
      <c r="D14" s="1328">
        <f>_xlfn.XLOOKUP(A14,'Non-Roadway Maintenance'!$F$8:$F$48,'Non-Roadway Maintenance'!$K$8:$K$48,,0)</f>
        <v>0</v>
      </c>
      <c r="E14" s="1329">
        <f>_xlfn.XLOOKUP(A14,'Non-Roadway Maintenance'!$F$8:$F$48,'Non-Roadway Maintenance'!$L$8:$L$48,,0)</f>
        <v>0</v>
      </c>
      <c r="F14" s="1330">
        <f>'State of Good Repair AP-CP'!S16</f>
        <v>0</v>
      </c>
      <c r="G14" s="1330">
        <f>'State of Good Repair AP-CP'!T16</f>
        <v>0</v>
      </c>
      <c r="H14" s="1328">
        <f>'State of Good Repair - AP-AP'!S16</f>
        <v>0</v>
      </c>
      <c r="I14" s="1329">
        <f>'State of Good Repair - AP-AP'!T16</f>
        <v>0</v>
      </c>
      <c r="J14" s="1328">
        <f>'State of Good Repair CP-CP '!S16</f>
        <v>0</v>
      </c>
      <c r="K14" s="1329">
        <f>'State of Good Repair CP-CP '!T16</f>
        <v>0</v>
      </c>
      <c r="L14" s="1328">
        <f>'Roadway Safety'!W16</f>
        <v>0</v>
      </c>
      <c r="M14" s="1329">
        <f>'Roadway Safety'!X16</f>
        <v>0</v>
      </c>
      <c r="N14" s="1328">
        <f>'Pedestrian Safety'!Q16</f>
        <v>56002.799999999988</v>
      </c>
      <c r="O14" s="1329">
        <f>'Pedestrian Safety'!R16</f>
        <v>45227.135708796115</v>
      </c>
      <c r="P14" s="1328">
        <f>'Bike Safety'!S16</f>
        <v>169919.99999999997</v>
      </c>
      <c r="Q14" s="1329">
        <f>'Bike Safety'!T16</f>
        <v>137225.19051973536</v>
      </c>
      <c r="R14" s="1328">
        <f>'Facility Improve - Ped'!AK16</f>
        <v>30381.64146659258</v>
      </c>
      <c r="S14" s="1329">
        <f>'Facility Improve - Ped'!AL16</f>
        <v>24535.820024455392</v>
      </c>
      <c r="T14" s="1328">
        <f>'Facility Improve - Bike'!Q16</f>
        <v>32237.635684039509</v>
      </c>
      <c r="U14" s="1329">
        <f>'Facility Improve - Bike'!R16</f>
        <v>26034.696908240006</v>
      </c>
      <c r="V14" s="1328">
        <f>'Facility Improve - Transit Stop'!Y16</f>
        <v>0</v>
      </c>
      <c r="W14" s="1329">
        <f>'Facility Improve - Transit Stop'!Z16</f>
        <v>0</v>
      </c>
      <c r="X14" s="1330">
        <f>_xlfn.XLOOKUP(A14,'Serve Improve - Transit Mode'!F:F,'Serve Improve - Transit Mode'!Y:Y,,0)</f>
        <v>0</v>
      </c>
      <c r="Y14" s="1330">
        <f>_xlfn.XLOOKUP(A14,'Serve Improve - Transit Mode'!F:F,'Serve Improve - Transit Mode'!Z:Z,,0)</f>
        <v>0</v>
      </c>
      <c r="Z14" s="1328">
        <f>'Amenity Improve - Transit Veh '!Q16</f>
        <v>0</v>
      </c>
      <c r="AA14" s="1329">
        <f>'Amenity Improve - Transit Veh '!R16</f>
        <v>0</v>
      </c>
      <c r="AB14" s="1328">
        <f>'Value of Travel Time'!AD16</f>
        <v>0</v>
      </c>
      <c r="AC14" s="1329">
        <f>'Value of Travel Time'!AE16</f>
        <v>0</v>
      </c>
      <c r="AD14" s="1328">
        <f>'Operating Cost Savings'!P16</f>
        <v>0</v>
      </c>
      <c r="AE14" s="1329">
        <f>'Operating Cost Savings'!Q16</f>
        <v>0</v>
      </c>
      <c r="AF14" s="1328">
        <f>'Mortality Reduction - Walk'!O16</f>
        <v>3917.2691891778832</v>
      </c>
      <c r="AG14" s="1329">
        <f>'Mortality Reduction - Walk'!P16</f>
        <v>3163.5358451154921</v>
      </c>
      <c r="AH14" s="1328">
        <f>'Mortality Reduction - Bike'!O16</f>
        <v>178242.52471689123</v>
      </c>
      <c r="AI14" s="1329">
        <f>'Mortality Reduction - Bike'!P16</f>
        <v>143946.35365462597</v>
      </c>
      <c r="AJ14" s="1328">
        <f>'Emission Reduction (VMT)'!S16</f>
        <v>0</v>
      </c>
      <c r="AK14" s="1329">
        <f>'Emission Reduction (VMT)'!T16</f>
        <v>0</v>
      </c>
      <c r="AL14" s="1328">
        <f>'Emission Reduction (Metric Ton)'!AA16</f>
        <v>11373.12326726261</v>
      </c>
      <c r="AM14" s="1329">
        <f>'Emission Reduction (Metric Ton)'!AB16</f>
        <v>9241.9768148508374</v>
      </c>
      <c r="AN14" s="1328">
        <f>'Other Highway Use Externalities'!Q16</f>
        <v>5501.9768497690311</v>
      </c>
      <c r="AO14" s="1329">
        <f>'Other Highway Use Externalities'!R16</f>
        <v>4443.3252203668126</v>
      </c>
      <c r="AP14" s="1328">
        <f>'Auto Idling Benefit - Fuel'!O16</f>
        <v>0</v>
      </c>
      <c r="AQ14" s="1329">
        <f>'Auto Idling Benefit - Fuel'!P16</f>
        <v>0</v>
      </c>
      <c r="AR14" s="1328">
        <f>'Auto Idling Env. Benefits'!Y16</f>
        <v>0</v>
      </c>
      <c r="AS14" s="1329">
        <f>'Auto Idling Env. Benefits'!Z16</f>
        <v>0</v>
      </c>
      <c r="AT14" s="1328">
        <f>_xlfn.XLOOKUP(A14,'Repurposed ROW'!F:F,'Repurposed ROW'!K:K,,0)</f>
        <v>0</v>
      </c>
      <c r="AU14" s="1329">
        <f>_xlfn.XLOOKUP(A14,'Repurposed ROW'!F:F,'Repurposed ROW'!L:L,,0)</f>
        <v>0</v>
      </c>
      <c r="AV14" s="1328">
        <f t="shared" si="0"/>
        <v>487576.97117373277</v>
      </c>
      <c r="AW14" s="1329">
        <f t="shared" si="1"/>
        <v>393818.03469618596</v>
      </c>
      <c r="AY14" s="1328">
        <f>'Prop. Tax Inc Sidewalk'!M16</f>
        <v>0</v>
      </c>
      <c r="AZ14" s="1329">
        <f>'Prop. Tax Inc Sidewalk'!N16</f>
        <v>0</v>
      </c>
      <c r="BA14" s="1328">
        <f>'Prop. Tax Inc Bike Lane'!M16</f>
        <v>0</v>
      </c>
      <c r="BB14" s="1329">
        <f>'Prop. Tax Inc Bike Lane'!N16</f>
        <v>0</v>
      </c>
      <c r="BC14" s="1328">
        <f>'Prop. Tax Inc Sidewalk &amp; Bike'!M16</f>
        <v>0</v>
      </c>
      <c r="BD14" s="1329">
        <f>'Prop. Tax Inc Sidewalk &amp; Bike'!N16</f>
        <v>0</v>
      </c>
      <c r="BE14" s="1328">
        <f>'Prop. Tax Inc Shared Use Path'!O16</f>
        <v>0</v>
      </c>
      <c r="BF14" s="1329">
        <f>'Prop. Tax Inc Shared Use Path'!P16</f>
        <v>0</v>
      </c>
    </row>
    <row r="15" spans="1:58">
      <c r="A15" s="1327">
        <f>'Major Assumption Key'!A29</f>
        <v>2030</v>
      </c>
      <c r="B15" s="1328">
        <f>'Useful Life'!N17</f>
        <v>0</v>
      </c>
      <c r="C15" s="1329">
        <f>'Useful Life'!O17</f>
        <v>0</v>
      </c>
      <c r="D15" s="1328">
        <f>_xlfn.XLOOKUP(A15,'Non-Roadway Maintenance'!$F$8:$F$48,'Non-Roadway Maintenance'!$K$8:$K$48,,0)</f>
        <v>0</v>
      </c>
      <c r="E15" s="1329">
        <f>_xlfn.XLOOKUP(A15,'Non-Roadway Maintenance'!$F$8:$F$48,'Non-Roadway Maintenance'!$L$8:$L$48,,0)</f>
        <v>0</v>
      </c>
      <c r="F15" s="1330">
        <f>'State of Good Repair AP-CP'!S17</f>
        <v>0</v>
      </c>
      <c r="G15" s="1330">
        <f>'State of Good Repair AP-CP'!T17</f>
        <v>0</v>
      </c>
      <c r="H15" s="1328">
        <f>'State of Good Repair - AP-AP'!S17</f>
        <v>0</v>
      </c>
      <c r="I15" s="1329">
        <f>'State of Good Repair - AP-AP'!T17</f>
        <v>0</v>
      </c>
      <c r="J15" s="1328">
        <f>'State of Good Repair CP-CP '!S17</f>
        <v>0</v>
      </c>
      <c r="K15" s="1329">
        <f>'State of Good Repair CP-CP '!T17</f>
        <v>0</v>
      </c>
      <c r="L15" s="1328">
        <f>'Roadway Safety'!W17</f>
        <v>0</v>
      </c>
      <c r="M15" s="1329">
        <f>'Roadway Safety'!X17</f>
        <v>0</v>
      </c>
      <c r="N15" s="1328">
        <f>'Pedestrian Safety'!Q17</f>
        <v>56002.799999999988</v>
      </c>
      <c r="O15" s="1329">
        <f>'Pedestrian Safety'!R17</f>
        <v>43867.250929967136</v>
      </c>
      <c r="P15" s="1328">
        <f>'Bike Safety'!S17</f>
        <v>169919.99999999997</v>
      </c>
      <c r="Q15" s="1329">
        <f>'Bike Safety'!T17</f>
        <v>133099.11786589271</v>
      </c>
      <c r="R15" s="1328">
        <f>'Facility Improve - Ped'!AK17</f>
        <v>30826.390803020877</v>
      </c>
      <c r="S15" s="1329">
        <f>'Facility Improve - Ped'!AL17</f>
        <v>24146.45375983608</v>
      </c>
      <c r="T15" s="1328">
        <f>'Facility Improve - Bike'!Q17</f>
        <v>32712.773462142955</v>
      </c>
      <c r="U15" s="1329">
        <f>'Facility Improve - Bike'!R17</f>
        <v>25624.065976683221</v>
      </c>
      <c r="V15" s="1328">
        <f>'Facility Improve - Transit Stop'!Y17</f>
        <v>0</v>
      </c>
      <c r="W15" s="1329">
        <f>'Facility Improve - Transit Stop'!Z17</f>
        <v>0</v>
      </c>
      <c r="X15" s="1330">
        <f>_xlfn.XLOOKUP(A15,'Serve Improve - Transit Mode'!F:F,'Serve Improve - Transit Mode'!Y:Y,,0)</f>
        <v>0</v>
      </c>
      <c r="Y15" s="1330">
        <f>_xlfn.XLOOKUP(A15,'Serve Improve - Transit Mode'!F:F,'Serve Improve - Transit Mode'!Z:Z,,0)</f>
        <v>0</v>
      </c>
      <c r="Z15" s="1328">
        <f>'Amenity Improve - Transit Veh '!Q17</f>
        <v>0</v>
      </c>
      <c r="AA15" s="1329">
        <f>'Amenity Improve - Transit Veh '!R17</f>
        <v>0</v>
      </c>
      <c r="AB15" s="1328">
        <f>'Value of Travel Time'!AD17</f>
        <v>0</v>
      </c>
      <c r="AC15" s="1329">
        <f>'Value of Travel Time'!AE17</f>
        <v>0</v>
      </c>
      <c r="AD15" s="1328">
        <f>'Operating Cost Savings'!P17</f>
        <v>0</v>
      </c>
      <c r="AE15" s="1329">
        <f>'Operating Cost Savings'!Q17</f>
        <v>0</v>
      </c>
      <c r="AF15" s="1328">
        <f>'Mortality Reduction - Walk'!O17</f>
        <v>3921.9171454172892</v>
      </c>
      <c r="AG15" s="1329">
        <f>'Mortality Reduction - Walk'!P17</f>
        <v>3072.0557462227007</v>
      </c>
      <c r="AH15" s="1328">
        <f>'Mortality Reduction - Bike'!O17</f>
        <v>180869.5708808089</v>
      </c>
      <c r="AI15" s="1329">
        <f>'Mortality Reduction - Bike'!P17</f>
        <v>141675.96711992833</v>
      </c>
      <c r="AJ15" s="1328">
        <f>'Emission Reduction (VMT)'!S17</f>
        <v>0</v>
      </c>
      <c r="AK15" s="1329">
        <f>'Emission Reduction (VMT)'!T17</f>
        <v>0</v>
      </c>
      <c r="AL15" s="1328">
        <f>'Emission Reduction (Metric Ton)'!AA17</f>
        <v>11410.271445034905</v>
      </c>
      <c r="AM15" s="1329">
        <f>'Emission Reduction (Metric Ton)'!AB17</f>
        <v>9001.8449378325895</v>
      </c>
      <c r="AN15" s="1328">
        <f>'Other Highway Use Externalities'!Q17</f>
        <v>5560.0600919037315</v>
      </c>
      <c r="AO15" s="1329">
        <f>'Other Highway Use Externalities'!R17</f>
        <v>4355.2206539179679</v>
      </c>
      <c r="AP15" s="1328">
        <f>'Auto Idling Benefit - Fuel'!O17</f>
        <v>0</v>
      </c>
      <c r="AQ15" s="1329">
        <f>'Auto Idling Benefit - Fuel'!P17</f>
        <v>0</v>
      </c>
      <c r="AR15" s="1328">
        <f>'Auto Idling Env. Benefits'!Y17</f>
        <v>0</v>
      </c>
      <c r="AS15" s="1329">
        <f>'Auto Idling Env. Benefits'!Z17</f>
        <v>0</v>
      </c>
      <c r="AT15" s="1328">
        <f>_xlfn.XLOOKUP(A15,'Repurposed ROW'!F:F,'Repurposed ROW'!K:K,,0)</f>
        <v>0</v>
      </c>
      <c r="AU15" s="1329">
        <f>_xlfn.XLOOKUP(A15,'Repurposed ROW'!F:F,'Repurposed ROW'!L:L,,0)</f>
        <v>0</v>
      </c>
      <c r="AV15" s="1328">
        <f t="shared" si="0"/>
        <v>491223.78382832865</v>
      </c>
      <c r="AW15" s="1329">
        <f t="shared" si="1"/>
        <v>384841.97699028079</v>
      </c>
      <c r="AY15" s="1328">
        <f>'Prop. Tax Inc Sidewalk'!M17</f>
        <v>0</v>
      </c>
      <c r="AZ15" s="1329">
        <f>'Prop. Tax Inc Sidewalk'!N17</f>
        <v>0</v>
      </c>
      <c r="BA15" s="1328">
        <f>'Prop. Tax Inc Bike Lane'!M17</f>
        <v>0</v>
      </c>
      <c r="BB15" s="1329">
        <f>'Prop. Tax Inc Bike Lane'!N17</f>
        <v>0</v>
      </c>
      <c r="BC15" s="1328">
        <f>'Prop. Tax Inc Sidewalk &amp; Bike'!M17</f>
        <v>0</v>
      </c>
      <c r="BD15" s="1329">
        <f>'Prop. Tax Inc Sidewalk &amp; Bike'!N17</f>
        <v>0</v>
      </c>
      <c r="BE15" s="1328">
        <f>'Prop. Tax Inc Shared Use Path'!O17</f>
        <v>0</v>
      </c>
      <c r="BF15" s="1329">
        <f>'Prop. Tax Inc Shared Use Path'!P17</f>
        <v>0</v>
      </c>
    </row>
    <row r="16" spans="1:58">
      <c r="A16" s="1327">
        <f>'Major Assumption Key'!A30</f>
        <v>2031</v>
      </c>
      <c r="B16" s="1328">
        <f>'Useful Life'!N18</f>
        <v>0</v>
      </c>
      <c r="C16" s="1329">
        <f>'Useful Life'!O18</f>
        <v>0</v>
      </c>
      <c r="D16" s="1328">
        <f>_xlfn.XLOOKUP(A16,'Non-Roadway Maintenance'!$F$8:$F$48,'Non-Roadway Maintenance'!$K$8:$K$48,,0)</f>
        <v>0</v>
      </c>
      <c r="E16" s="1329">
        <f>_xlfn.XLOOKUP(A16,'Non-Roadway Maintenance'!$F$8:$F$48,'Non-Roadway Maintenance'!$L$8:$L$48,,0)</f>
        <v>0</v>
      </c>
      <c r="F16" s="1330">
        <f>'State of Good Repair AP-CP'!S18</f>
        <v>0</v>
      </c>
      <c r="G16" s="1330">
        <f>'State of Good Repair AP-CP'!T18</f>
        <v>0</v>
      </c>
      <c r="H16" s="1328">
        <f>'State of Good Repair - AP-AP'!S18</f>
        <v>0</v>
      </c>
      <c r="I16" s="1329">
        <f>'State of Good Repair - AP-AP'!T18</f>
        <v>0</v>
      </c>
      <c r="J16" s="1328">
        <f>'State of Good Repair CP-CP '!S18</f>
        <v>0</v>
      </c>
      <c r="K16" s="1329">
        <f>'State of Good Repair CP-CP '!T18</f>
        <v>0</v>
      </c>
      <c r="L16" s="1328">
        <f>'Roadway Safety'!W18</f>
        <v>0</v>
      </c>
      <c r="M16" s="1329">
        <f>'Roadway Safety'!X18</f>
        <v>0</v>
      </c>
      <c r="N16" s="1328">
        <f>'Pedestrian Safety'!Q18</f>
        <v>56002.799999999988</v>
      </c>
      <c r="O16" s="1329">
        <f>'Pedestrian Safety'!R18</f>
        <v>42548.255024216429</v>
      </c>
      <c r="P16" s="1328">
        <f>'Bike Safety'!S18</f>
        <v>169919.99999999997</v>
      </c>
      <c r="Q16" s="1329">
        <f>'Bike Safety'!T18</f>
        <v>129097.10753238868</v>
      </c>
      <c r="R16" s="1328">
        <f>'Facility Improve - Ped'!AK18</f>
        <v>31277.691524690868</v>
      </c>
      <c r="S16" s="1329">
        <f>'Facility Improve - Ped'!AL18</f>
        <v>23763.297470150068</v>
      </c>
      <c r="T16" s="1328">
        <f>'Facility Improve - Bike'!Q18</f>
        <v>33194.914108272882</v>
      </c>
      <c r="U16" s="1329">
        <f>'Facility Improve - Bike'!R18</f>
        <v>25219.911700589164</v>
      </c>
      <c r="V16" s="1328">
        <f>'Facility Improve - Transit Stop'!Y18</f>
        <v>0</v>
      </c>
      <c r="W16" s="1329">
        <f>'Facility Improve - Transit Stop'!Z18</f>
        <v>0</v>
      </c>
      <c r="X16" s="1330">
        <f>_xlfn.XLOOKUP(A16,'Serve Improve - Transit Mode'!F:F,'Serve Improve - Transit Mode'!Y:Y,,0)</f>
        <v>0</v>
      </c>
      <c r="Y16" s="1330">
        <f>_xlfn.XLOOKUP(A16,'Serve Improve - Transit Mode'!F:F,'Serve Improve - Transit Mode'!Z:Z,,0)</f>
        <v>0</v>
      </c>
      <c r="Z16" s="1328">
        <f>'Amenity Improve - Transit Veh '!Q18</f>
        <v>0</v>
      </c>
      <c r="AA16" s="1329">
        <f>'Amenity Improve - Transit Veh '!R18</f>
        <v>0</v>
      </c>
      <c r="AB16" s="1328">
        <f>'Value of Travel Time'!AD18</f>
        <v>0</v>
      </c>
      <c r="AC16" s="1329">
        <f>'Value of Travel Time'!AE18</f>
        <v>0</v>
      </c>
      <c r="AD16" s="1328">
        <f>'Operating Cost Savings'!P18</f>
        <v>0</v>
      </c>
      <c r="AE16" s="1329">
        <f>'Operating Cost Savings'!Q18</f>
        <v>0</v>
      </c>
      <c r="AF16" s="1328">
        <f>'Mortality Reduction - Walk'!O18</f>
        <v>3926.5706165948222</v>
      </c>
      <c r="AG16" s="1329">
        <f>'Mortality Reduction - Walk'!P18</f>
        <v>2983.220981191499</v>
      </c>
      <c r="AH16" s="1328">
        <f>'Mortality Reduction - Bike'!O18</f>
        <v>183535.33604042255</v>
      </c>
      <c r="AI16" s="1329">
        <f>'Mortality Reduction - Bike'!P18</f>
        <v>139441.39014126369</v>
      </c>
      <c r="AJ16" s="1328">
        <f>'Emission Reduction (VMT)'!S18</f>
        <v>0</v>
      </c>
      <c r="AK16" s="1329">
        <f>'Emission Reduction (VMT)'!T18</f>
        <v>0</v>
      </c>
      <c r="AL16" s="1328">
        <f>'Emission Reduction (Metric Ton)'!AA18</f>
        <v>11488.447463335024</v>
      </c>
      <c r="AM16" s="1329">
        <f>'Emission Reduction (Metric Ton)'!AB18</f>
        <v>8799.1472174674054</v>
      </c>
      <c r="AN16" s="1328">
        <f>'Other Highway Use Externalities'!Q18</f>
        <v>5618.9116964877903</v>
      </c>
      <c r="AO16" s="1329">
        <f>'Other Highway Use Externalities'!R18</f>
        <v>4268.9809763210969</v>
      </c>
      <c r="AP16" s="1328">
        <f>'Auto Idling Benefit - Fuel'!O18</f>
        <v>0</v>
      </c>
      <c r="AQ16" s="1329">
        <f>'Auto Idling Benefit - Fuel'!P18</f>
        <v>0</v>
      </c>
      <c r="AR16" s="1328">
        <f>'Auto Idling Env. Benefits'!Y18</f>
        <v>0</v>
      </c>
      <c r="AS16" s="1329">
        <f>'Auto Idling Env. Benefits'!Z18</f>
        <v>0</v>
      </c>
      <c r="AT16" s="1328">
        <f>_xlfn.XLOOKUP(A16,'Repurposed ROW'!F:F,'Repurposed ROW'!K:K,,0)</f>
        <v>0</v>
      </c>
      <c r="AU16" s="1329">
        <f>_xlfn.XLOOKUP(A16,'Repurposed ROW'!F:F,'Repurposed ROW'!L:L,,0)</f>
        <v>0</v>
      </c>
      <c r="AV16" s="1328">
        <f t="shared" si="0"/>
        <v>494964.67144980386</v>
      </c>
      <c r="AW16" s="1329">
        <f t="shared" si="1"/>
        <v>376121.31104358804</v>
      </c>
      <c r="AY16" s="1328">
        <f>'Prop. Tax Inc Sidewalk'!M18</f>
        <v>0</v>
      </c>
      <c r="AZ16" s="1329">
        <f>'Prop. Tax Inc Sidewalk'!N18</f>
        <v>0</v>
      </c>
      <c r="BA16" s="1328">
        <f>'Prop. Tax Inc Bike Lane'!M18</f>
        <v>0</v>
      </c>
      <c r="BB16" s="1329">
        <f>'Prop. Tax Inc Bike Lane'!N18</f>
        <v>0</v>
      </c>
      <c r="BC16" s="1328">
        <f>'Prop. Tax Inc Sidewalk &amp; Bike'!M18</f>
        <v>0</v>
      </c>
      <c r="BD16" s="1329">
        <f>'Prop. Tax Inc Sidewalk &amp; Bike'!N18</f>
        <v>0</v>
      </c>
      <c r="BE16" s="1328">
        <f>'Prop. Tax Inc Shared Use Path'!O18</f>
        <v>0</v>
      </c>
      <c r="BF16" s="1329">
        <f>'Prop. Tax Inc Shared Use Path'!P18</f>
        <v>0</v>
      </c>
    </row>
    <row r="17" spans="1:58">
      <c r="A17" s="1327">
        <f>'Major Assumption Key'!A31</f>
        <v>2032</v>
      </c>
      <c r="B17" s="1328">
        <f>'Useful Life'!N19</f>
        <v>0</v>
      </c>
      <c r="C17" s="1329">
        <f>'Useful Life'!O19</f>
        <v>0</v>
      </c>
      <c r="D17" s="1328">
        <f>_xlfn.XLOOKUP(A17,'Non-Roadway Maintenance'!$F$8:$F$48,'Non-Roadway Maintenance'!$K$8:$K$48,,0)</f>
        <v>0</v>
      </c>
      <c r="E17" s="1329">
        <f>_xlfn.XLOOKUP(A17,'Non-Roadway Maintenance'!$F$8:$F$48,'Non-Roadway Maintenance'!$L$8:$L$48,,0)</f>
        <v>0</v>
      </c>
      <c r="F17" s="1330">
        <f>'State of Good Repair AP-CP'!S19</f>
        <v>0</v>
      </c>
      <c r="G17" s="1330">
        <f>'State of Good Repair AP-CP'!T19</f>
        <v>0</v>
      </c>
      <c r="H17" s="1328">
        <f>'State of Good Repair - AP-AP'!S19</f>
        <v>0</v>
      </c>
      <c r="I17" s="1329">
        <f>'State of Good Repair - AP-AP'!T19</f>
        <v>0</v>
      </c>
      <c r="J17" s="1328">
        <f>'State of Good Repair CP-CP '!S19</f>
        <v>0</v>
      </c>
      <c r="K17" s="1329">
        <f>'State of Good Repair CP-CP '!T19</f>
        <v>0</v>
      </c>
      <c r="L17" s="1328">
        <f>'Roadway Safety'!W19</f>
        <v>0</v>
      </c>
      <c r="M17" s="1329">
        <f>'Roadway Safety'!X19</f>
        <v>0</v>
      </c>
      <c r="N17" s="1328">
        <f>'Pedestrian Safety'!Q19</f>
        <v>56002.799999999988</v>
      </c>
      <c r="O17" s="1329">
        <f>'Pedestrian Safety'!R19</f>
        <v>41268.918549191498</v>
      </c>
      <c r="P17" s="1328">
        <f>'Bike Safety'!S19</f>
        <v>169919.99999999997</v>
      </c>
      <c r="Q17" s="1329">
        <f>'Bike Safety'!T19</f>
        <v>125215.42922637117</v>
      </c>
      <c r="R17" s="1328">
        <f>'Facility Improve - Ped'!AK19</f>
        <v>31735.640185610777</v>
      </c>
      <c r="S17" s="1329">
        <f>'Facility Improve - Ped'!AL19</f>
        <v>23386.251221839262</v>
      </c>
      <c r="T17" s="1328">
        <f>'Facility Improve - Bike'!Q19</f>
        <v>33684.160834934919</v>
      </c>
      <c r="U17" s="1329">
        <f>'Facility Improve - Bike'!R19</f>
        <v>24822.131927239276</v>
      </c>
      <c r="V17" s="1328">
        <f>'Facility Improve - Transit Stop'!Y19</f>
        <v>0</v>
      </c>
      <c r="W17" s="1329">
        <f>'Facility Improve - Transit Stop'!Z19</f>
        <v>0</v>
      </c>
      <c r="X17" s="1330">
        <f>_xlfn.XLOOKUP(A17,'Serve Improve - Transit Mode'!F:F,'Serve Improve - Transit Mode'!Y:Y,,0)</f>
        <v>0</v>
      </c>
      <c r="Y17" s="1330">
        <f>_xlfn.XLOOKUP(A17,'Serve Improve - Transit Mode'!F:F,'Serve Improve - Transit Mode'!Z:Z,,0)</f>
        <v>0</v>
      </c>
      <c r="Z17" s="1328">
        <f>'Amenity Improve - Transit Veh '!Q19</f>
        <v>0</v>
      </c>
      <c r="AA17" s="1329">
        <f>'Amenity Improve - Transit Veh '!R19</f>
        <v>0</v>
      </c>
      <c r="AB17" s="1328">
        <f>'Value of Travel Time'!AD19</f>
        <v>0</v>
      </c>
      <c r="AC17" s="1329">
        <f>'Value of Travel Time'!AE19</f>
        <v>0</v>
      </c>
      <c r="AD17" s="1328">
        <f>'Operating Cost Savings'!P19</f>
        <v>0</v>
      </c>
      <c r="AE17" s="1329">
        <f>'Operating Cost Savings'!Q19</f>
        <v>0</v>
      </c>
      <c r="AF17" s="1328">
        <f>'Mortality Reduction - Walk'!O19</f>
        <v>3931.2296092541187</v>
      </c>
      <c r="AG17" s="1329">
        <f>'Mortality Reduction - Walk'!P19</f>
        <v>2896.9550547915132</v>
      </c>
      <c r="AH17" s="1328">
        <f>'Mortality Reduction - Bike'!O19</f>
        <v>186240.39085971535</v>
      </c>
      <c r="AI17" s="1329">
        <f>'Mortality Reduction - Bike'!P19</f>
        <v>137242.05791423254</v>
      </c>
      <c r="AJ17" s="1328">
        <f>'Emission Reduction (VMT)'!S19</f>
        <v>0</v>
      </c>
      <c r="AK17" s="1329">
        <f>'Emission Reduction (VMT)'!T19</f>
        <v>0</v>
      </c>
      <c r="AL17" s="1328">
        <f>'Emission Reduction (Metric Ton)'!AA19</f>
        <v>11523.041138753528</v>
      </c>
      <c r="AM17" s="1329">
        <f>'Emission Reduction (Metric Ton)'!AB19</f>
        <v>8568.2334535420669</v>
      </c>
      <c r="AN17" s="1328">
        <f>'Other Highway Use Externalities'!Q19</f>
        <v>5678.5426482257826</v>
      </c>
      <c r="AO17" s="1329">
        <f>'Other Highway Use Externalities'!R19</f>
        <v>4184.5642365692438</v>
      </c>
      <c r="AP17" s="1328">
        <f>'Auto Idling Benefit - Fuel'!O19</f>
        <v>0</v>
      </c>
      <c r="AQ17" s="1329">
        <f>'Auto Idling Benefit - Fuel'!P19</f>
        <v>0</v>
      </c>
      <c r="AR17" s="1328">
        <f>'Auto Idling Env. Benefits'!Y19</f>
        <v>0</v>
      </c>
      <c r="AS17" s="1329">
        <f>'Auto Idling Env. Benefits'!Z19</f>
        <v>0</v>
      </c>
      <c r="AT17" s="1328">
        <f>_xlfn.XLOOKUP(A17,'Repurposed ROW'!F:F,'Repurposed ROW'!K:K,,0)</f>
        <v>0</v>
      </c>
      <c r="AU17" s="1329">
        <f>_xlfn.XLOOKUP(A17,'Repurposed ROW'!F:F,'Repurposed ROW'!L:L,,0)</f>
        <v>0</v>
      </c>
      <c r="AV17" s="1328">
        <f t="shared" si="0"/>
        <v>498715.80527649442</v>
      </c>
      <c r="AW17" s="1329">
        <f t="shared" si="1"/>
        <v>367584.54158377653</v>
      </c>
      <c r="AY17" s="1328">
        <f>'Prop. Tax Inc Sidewalk'!M19</f>
        <v>0</v>
      </c>
      <c r="AZ17" s="1329">
        <f>'Prop. Tax Inc Sidewalk'!N19</f>
        <v>0</v>
      </c>
      <c r="BA17" s="1328">
        <f>'Prop. Tax Inc Bike Lane'!M19</f>
        <v>0</v>
      </c>
      <c r="BB17" s="1329">
        <f>'Prop. Tax Inc Bike Lane'!N19</f>
        <v>0</v>
      </c>
      <c r="BC17" s="1328">
        <f>'Prop. Tax Inc Sidewalk &amp; Bike'!M19</f>
        <v>0</v>
      </c>
      <c r="BD17" s="1329">
        <f>'Prop. Tax Inc Sidewalk &amp; Bike'!N19</f>
        <v>0</v>
      </c>
      <c r="BE17" s="1328">
        <f>'Prop. Tax Inc Shared Use Path'!O19</f>
        <v>0</v>
      </c>
      <c r="BF17" s="1329">
        <f>'Prop. Tax Inc Shared Use Path'!P19</f>
        <v>0</v>
      </c>
    </row>
    <row r="18" spans="1:58">
      <c r="A18" s="1327">
        <f>'Major Assumption Key'!A32</f>
        <v>2033</v>
      </c>
      <c r="B18" s="1328">
        <f>'Useful Life'!N20</f>
        <v>0</v>
      </c>
      <c r="C18" s="1329">
        <f>'Useful Life'!O20</f>
        <v>0</v>
      </c>
      <c r="D18" s="1328">
        <f>_xlfn.XLOOKUP(A18,'Non-Roadway Maintenance'!$F$8:$F$48,'Non-Roadway Maintenance'!$K$8:$K$48,,0)</f>
        <v>0</v>
      </c>
      <c r="E18" s="1329">
        <f>_xlfn.XLOOKUP(A18,'Non-Roadway Maintenance'!$F$8:$F$48,'Non-Roadway Maintenance'!$L$8:$L$48,,0)</f>
        <v>0</v>
      </c>
      <c r="F18" s="1330">
        <f>'State of Good Repair AP-CP'!S20</f>
        <v>0</v>
      </c>
      <c r="G18" s="1330">
        <f>'State of Good Repair AP-CP'!T20</f>
        <v>0</v>
      </c>
      <c r="H18" s="1328">
        <f>'State of Good Repair - AP-AP'!S20</f>
        <v>0</v>
      </c>
      <c r="I18" s="1329">
        <f>'State of Good Repair - AP-AP'!T20</f>
        <v>0</v>
      </c>
      <c r="J18" s="1328">
        <f>'State of Good Repair CP-CP '!S20</f>
        <v>0</v>
      </c>
      <c r="K18" s="1329">
        <f>'State of Good Repair CP-CP '!T20</f>
        <v>0</v>
      </c>
      <c r="L18" s="1328">
        <f>'Roadway Safety'!W20</f>
        <v>0</v>
      </c>
      <c r="M18" s="1329">
        <f>'Roadway Safety'!X20</f>
        <v>0</v>
      </c>
      <c r="N18" s="1328">
        <f>'Pedestrian Safety'!Q20</f>
        <v>56002.799999999988</v>
      </c>
      <c r="O18" s="1329">
        <f>'Pedestrian Safety'!R20</f>
        <v>40028.049029283706</v>
      </c>
      <c r="P18" s="1328">
        <f>'Bike Safety'!S20</f>
        <v>169919.99999999997</v>
      </c>
      <c r="Q18" s="1329">
        <f>'Bike Safety'!T20</f>
        <v>121450.46481704284</v>
      </c>
      <c r="R18" s="1328">
        <f>'Facility Improve - Ped'!AK20</f>
        <v>32200.334762855171</v>
      </c>
      <c r="S18" s="1329">
        <f>'Facility Improve - Ped'!AL20</f>
        <v>23015.216715002025</v>
      </c>
      <c r="T18" s="1328">
        <f>'Facility Improve - Bike'!Q20</f>
        <v>34180.618375843042</v>
      </c>
      <c r="U18" s="1329">
        <f>'Facility Improve - Bike'!R20</f>
        <v>24430.626115113548</v>
      </c>
      <c r="V18" s="1328">
        <f>'Facility Improve - Transit Stop'!Y20</f>
        <v>0</v>
      </c>
      <c r="W18" s="1329">
        <f>'Facility Improve - Transit Stop'!Z20</f>
        <v>0</v>
      </c>
      <c r="X18" s="1330">
        <f>_xlfn.XLOOKUP(A18,'Serve Improve - Transit Mode'!F:F,'Serve Improve - Transit Mode'!Y:Y,,0)</f>
        <v>0</v>
      </c>
      <c r="Y18" s="1330">
        <f>_xlfn.XLOOKUP(A18,'Serve Improve - Transit Mode'!F:F,'Serve Improve - Transit Mode'!Z:Z,,0)</f>
        <v>0</v>
      </c>
      <c r="Z18" s="1328">
        <f>'Amenity Improve - Transit Veh '!Q20</f>
        <v>0</v>
      </c>
      <c r="AA18" s="1329">
        <f>'Amenity Improve - Transit Veh '!R20</f>
        <v>0</v>
      </c>
      <c r="AB18" s="1328">
        <f>'Value of Travel Time'!AD20</f>
        <v>0</v>
      </c>
      <c r="AC18" s="1329">
        <f>'Value of Travel Time'!AE20</f>
        <v>0</v>
      </c>
      <c r="AD18" s="1328">
        <f>'Operating Cost Savings'!P20</f>
        <v>0</v>
      </c>
      <c r="AE18" s="1329">
        <f>'Operating Cost Savings'!Q20</f>
        <v>0</v>
      </c>
      <c r="AF18" s="1328">
        <f>'Mortality Reduction - Walk'!O20</f>
        <v>3935.8941299465819</v>
      </c>
      <c r="AG18" s="1329">
        <f>'Mortality Reduction - Walk'!P20</f>
        <v>2813.1836838081622</v>
      </c>
      <c r="AH18" s="1328">
        <f>'Mortality Reduction - Bike'!O20</f>
        <v>188985.31441346137</v>
      </c>
      <c r="AI18" s="1329">
        <f>'Mortality Reduction - Bike'!P20</f>
        <v>135077.4145427841</v>
      </c>
      <c r="AJ18" s="1328">
        <f>'Emission Reduction (VMT)'!S20</f>
        <v>0</v>
      </c>
      <c r="AK18" s="1329">
        <f>'Emission Reduction (VMT)'!T20</f>
        <v>0</v>
      </c>
      <c r="AL18" s="1328">
        <f>'Emission Reduction (Metric Ton)'!AA20</f>
        <v>11604.501667435114</v>
      </c>
      <c r="AM18" s="1329">
        <f>'Emission Reduction (Metric Ton)'!AB20</f>
        <v>8377.2022634773948</v>
      </c>
      <c r="AN18" s="1328">
        <f>'Other Highway Use Externalities'!Q20</f>
        <v>5738.9640923975603</v>
      </c>
      <c r="AO18" s="1329">
        <f>'Other Highway Use Externalities'!R20</f>
        <v>4101.9294761652673</v>
      </c>
      <c r="AP18" s="1328">
        <f>'Auto Idling Benefit - Fuel'!O20</f>
        <v>0</v>
      </c>
      <c r="AQ18" s="1329">
        <f>'Auto Idling Benefit - Fuel'!P20</f>
        <v>0</v>
      </c>
      <c r="AR18" s="1328">
        <f>'Auto Idling Env. Benefits'!Y20</f>
        <v>0</v>
      </c>
      <c r="AS18" s="1329">
        <f>'Auto Idling Env. Benefits'!Z20</f>
        <v>0</v>
      </c>
      <c r="AT18" s="1328">
        <f>_xlfn.XLOOKUP(A18,'Repurposed ROW'!F:F,'Repurposed ROW'!K:K,,0)</f>
        <v>0</v>
      </c>
      <c r="AU18" s="1329">
        <f>_xlfn.XLOOKUP(A18,'Repurposed ROW'!F:F,'Repurposed ROW'!L:L,,0)</f>
        <v>0</v>
      </c>
      <c r="AV18" s="1328">
        <f t="shared" si="0"/>
        <v>502568.42744193878</v>
      </c>
      <c r="AW18" s="1329">
        <f t="shared" si="1"/>
        <v>359294.08664267702</v>
      </c>
      <c r="AY18" s="1328">
        <f>'Prop. Tax Inc Sidewalk'!M20</f>
        <v>0</v>
      </c>
      <c r="AZ18" s="1329">
        <f>'Prop. Tax Inc Sidewalk'!N20</f>
        <v>0</v>
      </c>
      <c r="BA18" s="1328">
        <f>'Prop. Tax Inc Bike Lane'!M20</f>
        <v>0</v>
      </c>
      <c r="BB18" s="1329">
        <f>'Prop. Tax Inc Bike Lane'!N20</f>
        <v>0</v>
      </c>
      <c r="BC18" s="1328">
        <f>'Prop. Tax Inc Sidewalk &amp; Bike'!M20</f>
        <v>0</v>
      </c>
      <c r="BD18" s="1329">
        <f>'Prop. Tax Inc Sidewalk &amp; Bike'!N20</f>
        <v>0</v>
      </c>
      <c r="BE18" s="1328">
        <f>'Prop. Tax Inc Shared Use Path'!O20</f>
        <v>0</v>
      </c>
      <c r="BF18" s="1329">
        <f>'Prop. Tax Inc Shared Use Path'!P20</f>
        <v>0</v>
      </c>
    </row>
    <row r="19" spans="1:58">
      <c r="A19" s="1327">
        <f>'Major Assumption Key'!A33</f>
        <v>2034</v>
      </c>
      <c r="B19" s="1328">
        <f>'Useful Life'!N21</f>
        <v>0</v>
      </c>
      <c r="C19" s="1329">
        <f>'Useful Life'!O21</f>
        <v>0</v>
      </c>
      <c r="D19" s="1328">
        <f>_xlfn.XLOOKUP(A19,'Non-Roadway Maintenance'!$F$8:$F$48,'Non-Roadway Maintenance'!$K$8:$K$48,,0)</f>
        <v>0</v>
      </c>
      <c r="E19" s="1329">
        <f>_xlfn.XLOOKUP(A19,'Non-Roadway Maintenance'!$F$8:$F$48,'Non-Roadway Maintenance'!$L$8:$L$48,,0)</f>
        <v>0</v>
      </c>
      <c r="F19" s="1330">
        <f>'State of Good Repair AP-CP'!S21</f>
        <v>0</v>
      </c>
      <c r="G19" s="1330">
        <f>'State of Good Repair AP-CP'!T21</f>
        <v>0</v>
      </c>
      <c r="H19" s="1328">
        <f>'State of Good Repair - AP-AP'!S21</f>
        <v>0</v>
      </c>
      <c r="I19" s="1329">
        <f>'State of Good Repair - AP-AP'!T21</f>
        <v>0</v>
      </c>
      <c r="J19" s="1328">
        <f>'State of Good Repair CP-CP '!S21</f>
        <v>0</v>
      </c>
      <c r="K19" s="1329">
        <f>'State of Good Repair CP-CP '!T21</f>
        <v>0</v>
      </c>
      <c r="L19" s="1328">
        <f>'Roadway Safety'!W21</f>
        <v>0</v>
      </c>
      <c r="M19" s="1329">
        <f>'Roadway Safety'!X21</f>
        <v>0</v>
      </c>
      <c r="N19" s="1328">
        <f>'Pedestrian Safety'!Q21</f>
        <v>56002.799999999988</v>
      </c>
      <c r="O19" s="1329">
        <f>'Pedestrian Safety'!R21</f>
        <v>38824.489844116099</v>
      </c>
      <c r="P19" s="1328">
        <f>'Bike Safety'!S21</f>
        <v>169919.99999999997</v>
      </c>
      <c r="Q19" s="1329">
        <f>'Bike Safety'!T21</f>
        <v>117798.70496318414</v>
      </c>
      <c r="R19" s="1328">
        <f>'Facility Improve - Ped'!AK21</f>
        <v>32671.874677538926</v>
      </c>
      <c r="S19" s="1329">
        <f>'Facility Improve - Ped'!AL21</f>
        <v>22650.097255964778</v>
      </c>
      <c r="T19" s="1328">
        <f>'Facility Improve - Bike'!Q21</f>
        <v>34684.393008340063</v>
      </c>
      <c r="U19" s="1329">
        <f>'Facility Improve - Bike'!R21</f>
        <v>24045.29530847798</v>
      </c>
      <c r="V19" s="1328">
        <f>'Facility Improve - Transit Stop'!Y21</f>
        <v>0</v>
      </c>
      <c r="W19" s="1329">
        <f>'Facility Improve - Transit Stop'!Z21</f>
        <v>0</v>
      </c>
      <c r="X19" s="1330">
        <f>_xlfn.XLOOKUP(A19,'Serve Improve - Transit Mode'!F:F,'Serve Improve - Transit Mode'!Y:Y,,0)</f>
        <v>0</v>
      </c>
      <c r="Y19" s="1330">
        <f>_xlfn.XLOOKUP(A19,'Serve Improve - Transit Mode'!F:F,'Serve Improve - Transit Mode'!Z:Z,,0)</f>
        <v>0</v>
      </c>
      <c r="Z19" s="1328">
        <f>'Amenity Improve - Transit Veh '!Q21</f>
        <v>0</v>
      </c>
      <c r="AA19" s="1329">
        <f>'Amenity Improve - Transit Veh '!R21</f>
        <v>0</v>
      </c>
      <c r="AB19" s="1328">
        <f>'Value of Travel Time'!AD21</f>
        <v>0</v>
      </c>
      <c r="AC19" s="1329">
        <f>'Value of Travel Time'!AE21</f>
        <v>0</v>
      </c>
      <c r="AD19" s="1328">
        <f>'Operating Cost Savings'!P21</f>
        <v>0</v>
      </c>
      <c r="AE19" s="1329">
        <f>'Operating Cost Savings'!Q21</f>
        <v>0</v>
      </c>
      <c r="AF19" s="1328">
        <f>'Mortality Reduction - Walk'!O21</f>
        <v>3940.5641852313879</v>
      </c>
      <c r="AG19" s="1329">
        <f>'Mortality Reduction - Walk'!P21</f>
        <v>2731.8347330776978</v>
      </c>
      <c r="AH19" s="1328">
        <f>'Mortality Reduction - Bike'!O21</f>
        <v>191770.69431118909</v>
      </c>
      <c r="AI19" s="1329">
        <f>'Mortality Reduction - Bike'!P21</f>
        <v>132946.91289870962</v>
      </c>
      <c r="AJ19" s="1328">
        <f>'Emission Reduction (VMT)'!S21</f>
        <v>0</v>
      </c>
      <c r="AK19" s="1329">
        <f>'Emission Reduction (VMT)'!T21</f>
        <v>0</v>
      </c>
      <c r="AL19" s="1328">
        <f>'Emission Reduction (Metric Ton)'!AA21</f>
        <v>11687.422501281424</v>
      </c>
      <c r="AM19" s="1329">
        <f>'Emission Reduction (Metric Ton)'!AB21</f>
        <v>8191.0892909015256</v>
      </c>
      <c r="AN19" s="1328">
        <f>'Other Highway Use Externalities'!Q21</f>
        <v>5800.1873372197042</v>
      </c>
      <c r="AO19" s="1329">
        <f>'Other Highway Use Externalities'!R21</f>
        <v>4021.0367047336431</v>
      </c>
      <c r="AP19" s="1328">
        <f>'Auto Idling Benefit - Fuel'!O21</f>
        <v>0</v>
      </c>
      <c r="AQ19" s="1329">
        <f>'Auto Idling Benefit - Fuel'!P21</f>
        <v>0</v>
      </c>
      <c r="AR19" s="1328">
        <f>'Auto Idling Env. Benefits'!Y21</f>
        <v>0</v>
      </c>
      <c r="AS19" s="1329">
        <f>'Auto Idling Env. Benefits'!Z21</f>
        <v>0</v>
      </c>
      <c r="AT19" s="1328">
        <f>_xlfn.XLOOKUP(A19,'Repurposed ROW'!F:F,'Repurposed ROW'!K:K,,0)</f>
        <v>0</v>
      </c>
      <c r="AU19" s="1329">
        <f>_xlfn.XLOOKUP(A19,'Repurposed ROW'!F:F,'Repurposed ROW'!L:L,,0)</f>
        <v>0</v>
      </c>
      <c r="AV19" s="1328">
        <f t="shared" si="0"/>
        <v>506477.93602080055</v>
      </c>
      <c r="AW19" s="1329">
        <f t="shared" si="1"/>
        <v>351209.46099916543</v>
      </c>
      <c r="AY19" s="1328">
        <f>'Prop. Tax Inc Sidewalk'!M21</f>
        <v>0</v>
      </c>
      <c r="AZ19" s="1329">
        <f>'Prop. Tax Inc Sidewalk'!N21</f>
        <v>0</v>
      </c>
      <c r="BA19" s="1328">
        <f>'Prop. Tax Inc Bike Lane'!M21</f>
        <v>0</v>
      </c>
      <c r="BB19" s="1329">
        <f>'Prop. Tax Inc Bike Lane'!N21</f>
        <v>0</v>
      </c>
      <c r="BC19" s="1328">
        <f>'Prop. Tax Inc Sidewalk &amp; Bike'!M21</f>
        <v>0</v>
      </c>
      <c r="BD19" s="1329">
        <f>'Prop. Tax Inc Sidewalk &amp; Bike'!N21</f>
        <v>0</v>
      </c>
      <c r="BE19" s="1328">
        <f>'Prop. Tax Inc Shared Use Path'!O21</f>
        <v>0</v>
      </c>
      <c r="BF19" s="1329">
        <f>'Prop. Tax Inc Shared Use Path'!P21</f>
        <v>0</v>
      </c>
    </row>
    <row r="20" spans="1:58">
      <c r="A20" s="1327">
        <f>'Major Assumption Key'!A34</f>
        <v>2035</v>
      </c>
      <c r="B20" s="1328">
        <f>'Useful Life'!N22</f>
        <v>0</v>
      </c>
      <c r="C20" s="1329">
        <f>'Useful Life'!O22</f>
        <v>0</v>
      </c>
      <c r="D20" s="1328">
        <f>_xlfn.XLOOKUP(A20,'Non-Roadway Maintenance'!$F$8:$F$48,'Non-Roadway Maintenance'!$K$8:$K$48,,0)</f>
        <v>0</v>
      </c>
      <c r="E20" s="1329">
        <f>_xlfn.XLOOKUP(A20,'Non-Roadway Maintenance'!$F$8:$F$48,'Non-Roadway Maintenance'!$L$8:$L$48,,0)</f>
        <v>0</v>
      </c>
      <c r="F20" s="1330">
        <f>'State of Good Repair AP-CP'!S22</f>
        <v>0</v>
      </c>
      <c r="G20" s="1330">
        <f>'State of Good Repair AP-CP'!T22</f>
        <v>0</v>
      </c>
      <c r="H20" s="1328">
        <f>'State of Good Repair - AP-AP'!S22</f>
        <v>0</v>
      </c>
      <c r="I20" s="1329">
        <f>'State of Good Repair - AP-AP'!T22</f>
        <v>0</v>
      </c>
      <c r="J20" s="1328">
        <f>'State of Good Repair CP-CP '!S22</f>
        <v>0</v>
      </c>
      <c r="K20" s="1329">
        <f>'State of Good Repair CP-CP '!T22</f>
        <v>0</v>
      </c>
      <c r="L20" s="1328">
        <f>'Roadway Safety'!W22</f>
        <v>0</v>
      </c>
      <c r="M20" s="1329">
        <f>'Roadway Safety'!X22</f>
        <v>0</v>
      </c>
      <c r="N20" s="1328">
        <f>'Pedestrian Safety'!Q22</f>
        <v>56002.799999999988</v>
      </c>
      <c r="O20" s="1329">
        <f>'Pedestrian Safety'!R22</f>
        <v>37657.11915045209</v>
      </c>
      <c r="P20" s="1328">
        <f>'Bike Safety'!S22</f>
        <v>169919.99999999997</v>
      </c>
      <c r="Q20" s="1329">
        <f>'Bike Safety'!T22</f>
        <v>114256.74584207966</v>
      </c>
      <c r="R20" s="1328">
        <f>'Facility Improve - Ped'!AK22</f>
        <v>33150.360816100387</v>
      </c>
      <c r="S20" s="1329">
        <f>'Facility Improve - Ped'!AL22</f>
        <v>22290.797730334387</v>
      </c>
      <c r="T20" s="1328">
        <f>'Facility Improve - Bike'!Q22</f>
        <v>35195.592576148585</v>
      </c>
      <c r="U20" s="1329">
        <f>'Facility Improve - Bike'!R22</f>
        <v>23666.042112372856</v>
      </c>
      <c r="V20" s="1328">
        <f>'Facility Improve - Transit Stop'!Y22</f>
        <v>0</v>
      </c>
      <c r="W20" s="1329">
        <f>'Facility Improve - Transit Stop'!Z22</f>
        <v>0</v>
      </c>
      <c r="X20" s="1330">
        <f>_xlfn.XLOOKUP(A20,'Serve Improve - Transit Mode'!F:F,'Serve Improve - Transit Mode'!Y:Y,,0)</f>
        <v>0</v>
      </c>
      <c r="Y20" s="1330">
        <f>_xlfn.XLOOKUP(A20,'Serve Improve - Transit Mode'!F:F,'Serve Improve - Transit Mode'!Z:Z,,0)</f>
        <v>0</v>
      </c>
      <c r="Z20" s="1328">
        <f>'Amenity Improve - Transit Veh '!Q22</f>
        <v>0</v>
      </c>
      <c r="AA20" s="1329">
        <f>'Amenity Improve - Transit Veh '!R22</f>
        <v>0</v>
      </c>
      <c r="AB20" s="1328">
        <f>'Value of Travel Time'!AD22</f>
        <v>0</v>
      </c>
      <c r="AC20" s="1329">
        <f>'Value of Travel Time'!AE22</f>
        <v>0</v>
      </c>
      <c r="AD20" s="1328">
        <f>'Operating Cost Savings'!P22</f>
        <v>0</v>
      </c>
      <c r="AE20" s="1329">
        <f>'Operating Cost Savings'!Q22</f>
        <v>0</v>
      </c>
      <c r="AF20" s="1328">
        <f>'Mortality Reduction - Walk'!O22</f>
        <v>3945.2397816754942</v>
      </c>
      <c r="AG20" s="1329">
        <f>'Mortality Reduction - Walk'!P22</f>
        <v>2652.838153371933</v>
      </c>
      <c r="AH20" s="1328">
        <f>'Mortality Reduction - Bike'!O22</f>
        <v>194597.12682297177</v>
      </c>
      <c r="AI20" s="1329">
        <f>'Mortality Reduction - Bike'!P22</f>
        <v>130850.01448335235</v>
      </c>
      <c r="AJ20" s="1328">
        <f>'Emission Reduction (VMT)'!S22</f>
        <v>0</v>
      </c>
      <c r="AK20" s="1329">
        <f>'Emission Reduction (VMT)'!T22</f>
        <v>0</v>
      </c>
      <c r="AL20" s="1328">
        <f>'Emission Reduction (Metric Ton)'!AA22</f>
        <v>11727.463429784022</v>
      </c>
      <c r="AM20" s="1329">
        <f>'Emission Reduction (Metric Ton)'!AB22</f>
        <v>7979.5434501926511</v>
      </c>
      <c r="AN20" s="1328">
        <f>'Other Highway Use Externalities'!Q22</f>
        <v>5862.2238562418279</v>
      </c>
      <c r="AO20" s="1329">
        <f>'Other Highway Use Externalities'!R22</f>
        <v>3941.8468762476391</v>
      </c>
      <c r="AP20" s="1328">
        <f>'Auto Idling Benefit - Fuel'!O22</f>
        <v>0</v>
      </c>
      <c r="AQ20" s="1329">
        <f>'Auto Idling Benefit - Fuel'!P22</f>
        <v>0</v>
      </c>
      <c r="AR20" s="1328">
        <f>'Auto Idling Env. Benefits'!Y22</f>
        <v>0</v>
      </c>
      <c r="AS20" s="1329">
        <f>'Auto Idling Env. Benefits'!Z22</f>
        <v>0</v>
      </c>
      <c r="AT20" s="1328">
        <f>_xlfn.XLOOKUP(A20,'Repurposed ROW'!F:F,'Repurposed ROW'!K:K,,0)</f>
        <v>0</v>
      </c>
      <c r="AU20" s="1329">
        <f>_xlfn.XLOOKUP(A20,'Repurposed ROW'!F:F,'Repurposed ROW'!L:L,,0)</f>
        <v>0</v>
      </c>
      <c r="AV20" s="1328">
        <f t="shared" si="0"/>
        <v>510400.80728292209</v>
      </c>
      <c r="AW20" s="1329">
        <f t="shared" si="1"/>
        <v>343294.94779840356</v>
      </c>
      <c r="AY20" s="1328">
        <f>'Prop. Tax Inc Sidewalk'!M22</f>
        <v>0</v>
      </c>
      <c r="AZ20" s="1329">
        <f>'Prop. Tax Inc Sidewalk'!N22</f>
        <v>0</v>
      </c>
      <c r="BA20" s="1328">
        <f>'Prop. Tax Inc Bike Lane'!M22</f>
        <v>0</v>
      </c>
      <c r="BB20" s="1329">
        <f>'Prop. Tax Inc Bike Lane'!N22</f>
        <v>0</v>
      </c>
      <c r="BC20" s="1328">
        <f>'Prop. Tax Inc Sidewalk &amp; Bike'!M22</f>
        <v>0</v>
      </c>
      <c r="BD20" s="1329">
        <f>'Prop. Tax Inc Sidewalk &amp; Bike'!N22</f>
        <v>0</v>
      </c>
      <c r="BE20" s="1328">
        <f>'Prop. Tax Inc Shared Use Path'!O22</f>
        <v>0</v>
      </c>
      <c r="BF20" s="1329">
        <f>'Prop. Tax Inc Shared Use Path'!P22</f>
        <v>0</v>
      </c>
    </row>
    <row r="21" spans="1:58">
      <c r="A21" s="1327">
        <f>'Major Assumption Key'!A35</f>
        <v>2036</v>
      </c>
      <c r="B21" s="1328">
        <f>'Useful Life'!N23</f>
        <v>0</v>
      </c>
      <c r="C21" s="1329">
        <f>'Useful Life'!O23</f>
        <v>0</v>
      </c>
      <c r="D21" s="1328">
        <f>_xlfn.XLOOKUP(A21,'Non-Roadway Maintenance'!$F$8:$F$48,'Non-Roadway Maintenance'!$K$8:$K$48,,0)</f>
        <v>0</v>
      </c>
      <c r="E21" s="1329">
        <f>_xlfn.XLOOKUP(A21,'Non-Roadway Maintenance'!$F$8:$F$48,'Non-Roadway Maintenance'!$L$8:$L$48,,0)</f>
        <v>0</v>
      </c>
      <c r="F21" s="1330">
        <f>'State of Good Repair AP-CP'!S23</f>
        <v>0</v>
      </c>
      <c r="G21" s="1330">
        <f>'State of Good Repair AP-CP'!T23</f>
        <v>0</v>
      </c>
      <c r="H21" s="1328">
        <f>'State of Good Repair - AP-AP'!S23</f>
        <v>0</v>
      </c>
      <c r="I21" s="1329">
        <f>'State of Good Repair - AP-AP'!T23</f>
        <v>0</v>
      </c>
      <c r="J21" s="1328">
        <f>'State of Good Repair CP-CP '!S23</f>
        <v>0</v>
      </c>
      <c r="K21" s="1329">
        <f>'State of Good Repair CP-CP '!T23</f>
        <v>0</v>
      </c>
      <c r="L21" s="1328">
        <f>'Roadway Safety'!W23</f>
        <v>0</v>
      </c>
      <c r="M21" s="1329">
        <f>'Roadway Safety'!X23</f>
        <v>0</v>
      </c>
      <c r="N21" s="1328">
        <f>'Pedestrian Safety'!Q23</f>
        <v>56002.799999999988</v>
      </c>
      <c r="O21" s="1329">
        <f>'Pedestrian Safety'!R23</f>
        <v>36524.848836519974</v>
      </c>
      <c r="P21" s="1328">
        <f>'Bike Safety'!S23</f>
        <v>169919.99999999997</v>
      </c>
      <c r="Q21" s="1329">
        <f>'Bike Safety'!T23</f>
        <v>110821.28597679891</v>
      </c>
      <c r="R21" s="1328">
        <f>'Facility Improve - Ped'!AK23</f>
        <v>33635.895551898153</v>
      </c>
      <c r="S21" s="1329">
        <f>'Facility Improve - Ped'!AL23</f>
        <v>21937.224576522156</v>
      </c>
      <c r="T21" s="1328">
        <f>'Facility Improve - Bike'!Q23</f>
        <v>35714.326512457221</v>
      </c>
      <c r="U21" s="1329">
        <f>'Facility Improve - Bike'!R23</f>
        <v>23292.77066799549</v>
      </c>
      <c r="V21" s="1328">
        <f>'Facility Improve - Transit Stop'!Y23</f>
        <v>0</v>
      </c>
      <c r="W21" s="1329">
        <f>'Facility Improve - Transit Stop'!Z23</f>
        <v>0</v>
      </c>
      <c r="X21" s="1330">
        <f>_xlfn.XLOOKUP(A21,'Serve Improve - Transit Mode'!F:F,'Serve Improve - Transit Mode'!Y:Y,,0)</f>
        <v>0</v>
      </c>
      <c r="Y21" s="1330">
        <f>_xlfn.XLOOKUP(A21,'Serve Improve - Transit Mode'!F:F,'Serve Improve - Transit Mode'!Z:Z,,0)</f>
        <v>0</v>
      </c>
      <c r="Z21" s="1328">
        <f>'Amenity Improve - Transit Veh '!Q23</f>
        <v>0</v>
      </c>
      <c r="AA21" s="1329">
        <f>'Amenity Improve - Transit Veh '!R23</f>
        <v>0</v>
      </c>
      <c r="AB21" s="1328">
        <f>'Value of Travel Time'!AD23</f>
        <v>0</v>
      </c>
      <c r="AC21" s="1329">
        <f>'Value of Travel Time'!AE23</f>
        <v>0</v>
      </c>
      <c r="AD21" s="1328">
        <f>'Operating Cost Savings'!P23</f>
        <v>0</v>
      </c>
      <c r="AE21" s="1329">
        <f>'Operating Cost Savings'!Q23</f>
        <v>0</v>
      </c>
      <c r="AF21" s="1328">
        <f>'Mortality Reduction - Walk'!O23</f>
        <v>3949.9209258536498</v>
      </c>
      <c r="AG21" s="1329">
        <f>'Mortality Reduction - Walk'!P23</f>
        <v>2576.1259210791536</v>
      </c>
      <c r="AH21" s="1328">
        <f>'Mortality Reduction - Bike'!O23</f>
        <v>197465.21700707162</v>
      </c>
      <c r="AI21" s="1329">
        <f>'Mortality Reduction - Bike'!P23</f>
        <v>128786.18929149803</v>
      </c>
      <c r="AJ21" s="1328">
        <f>'Emission Reduction (VMT)'!S23</f>
        <v>0</v>
      </c>
      <c r="AK21" s="1329">
        <f>'Emission Reduction (VMT)'!T23</f>
        <v>0</v>
      </c>
      <c r="AL21" s="1328">
        <f>'Emission Reduction (Metric Ton)'!AA23</f>
        <v>11813.483054669457</v>
      </c>
      <c r="AM21" s="1329">
        <f>'Emission Reduction (Metric Ton)'!AB23</f>
        <v>7803.7976219711763</v>
      </c>
      <c r="AN21" s="1328">
        <f>'Other Highway Use Externalities'!Q23</f>
        <v>5925.08529077813</v>
      </c>
      <c r="AO21" s="1329">
        <f>'Other Highway Use Externalities'!R23</f>
        <v>3864.3218658559795</v>
      </c>
      <c r="AP21" s="1328">
        <f>'Auto Idling Benefit - Fuel'!O23</f>
        <v>0</v>
      </c>
      <c r="AQ21" s="1329">
        <f>'Auto Idling Benefit - Fuel'!P23</f>
        <v>0</v>
      </c>
      <c r="AR21" s="1328">
        <f>'Auto Idling Env. Benefits'!Y23</f>
        <v>0</v>
      </c>
      <c r="AS21" s="1329">
        <f>'Auto Idling Env. Benefits'!Z23</f>
        <v>0</v>
      </c>
      <c r="AT21" s="1328">
        <f>_xlfn.XLOOKUP(A21,'Repurposed ROW'!F:F,'Repurposed ROW'!K:K,,0)</f>
        <v>0</v>
      </c>
      <c r="AU21" s="1329">
        <f>_xlfn.XLOOKUP(A21,'Repurposed ROW'!F:F,'Repurposed ROW'!L:L,,0)</f>
        <v>0</v>
      </c>
      <c r="AV21" s="1328">
        <f t="shared" si="0"/>
        <v>514426.72834272817</v>
      </c>
      <c r="AW21" s="1329">
        <f t="shared" si="1"/>
        <v>335606.56475824094</v>
      </c>
      <c r="AY21" s="1328">
        <f>'Prop. Tax Inc Sidewalk'!M23</f>
        <v>0</v>
      </c>
      <c r="AZ21" s="1329">
        <f>'Prop. Tax Inc Sidewalk'!N23</f>
        <v>0</v>
      </c>
      <c r="BA21" s="1328">
        <f>'Prop. Tax Inc Bike Lane'!M23</f>
        <v>0</v>
      </c>
      <c r="BB21" s="1329">
        <f>'Prop. Tax Inc Bike Lane'!N23</f>
        <v>0</v>
      </c>
      <c r="BC21" s="1328">
        <f>'Prop. Tax Inc Sidewalk &amp; Bike'!M23</f>
        <v>0</v>
      </c>
      <c r="BD21" s="1329">
        <f>'Prop. Tax Inc Sidewalk &amp; Bike'!N23</f>
        <v>0</v>
      </c>
      <c r="BE21" s="1328">
        <f>'Prop. Tax Inc Shared Use Path'!O23</f>
        <v>0</v>
      </c>
      <c r="BF21" s="1329">
        <f>'Prop. Tax Inc Shared Use Path'!P23</f>
        <v>0</v>
      </c>
    </row>
    <row r="22" spans="1:58">
      <c r="A22" s="1327">
        <f>'Major Assumption Key'!A36</f>
        <v>2037</v>
      </c>
      <c r="B22" s="1328">
        <f>'Useful Life'!N24</f>
        <v>0</v>
      </c>
      <c r="C22" s="1329">
        <f>'Useful Life'!O24</f>
        <v>0</v>
      </c>
      <c r="D22" s="1328">
        <f>_xlfn.XLOOKUP(A22,'Non-Roadway Maintenance'!$F$8:$F$48,'Non-Roadway Maintenance'!$K$8:$K$48,,0)</f>
        <v>0</v>
      </c>
      <c r="E22" s="1329">
        <f>_xlfn.XLOOKUP(A22,'Non-Roadway Maintenance'!$F$8:$F$48,'Non-Roadway Maintenance'!$L$8:$L$48,,0)</f>
        <v>0</v>
      </c>
      <c r="F22" s="1330">
        <f>'State of Good Repair AP-CP'!S24</f>
        <v>0</v>
      </c>
      <c r="G22" s="1330">
        <f>'State of Good Repair AP-CP'!T24</f>
        <v>0</v>
      </c>
      <c r="H22" s="1328">
        <f>'State of Good Repair - AP-AP'!S24</f>
        <v>0</v>
      </c>
      <c r="I22" s="1329">
        <f>'State of Good Repair - AP-AP'!T24</f>
        <v>0</v>
      </c>
      <c r="J22" s="1328">
        <f>'State of Good Repair CP-CP '!S24</f>
        <v>0</v>
      </c>
      <c r="K22" s="1329">
        <f>'State of Good Repair CP-CP '!T24</f>
        <v>0</v>
      </c>
      <c r="L22" s="1328">
        <f>'Roadway Safety'!W24</f>
        <v>0</v>
      </c>
      <c r="M22" s="1329">
        <f>'Roadway Safety'!X24</f>
        <v>0</v>
      </c>
      <c r="N22" s="1328">
        <f>'Pedestrian Safety'!Q24</f>
        <v>56002.799999999988</v>
      </c>
      <c r="O22" s="1329">
        <f>'Pedestrian Safety'!R24</f>
        <v>35426.623507778837</v>
      </c>
      <c r="P22" s="1328">
        <f>'Bike Safety'!S24</f>
        <v>169919.99999999997</v>
      </c>
      <c r="Q22" s="1329">
        <f>'Bike Safety'!T24</f>
        <v>107489.12315887383</v>
      </c>
      <c r="R22" s="1328">
        <f>'Facility Improve - Ped'!AK24</f>
        <v>34128.58276712626</v>
      </c>
      <c r="S22" s="1329">
        <f>'Facility Improve - Ped'!AL24</f>
        <v>21589.285759730781</v>
      </c>
      <c r="T22" s="1328">
        <f>'Facility Improve - Bike'!Q24</f>
        <v>36240.705863347124</v>
      </c>
      <c r="U22" s="1329">
        <f>'Facility Improve - Bike'!R24</f>
        <v>22925.386628471286</v>
      </c>
      <c r="V22" s="1328">
        <f>'Facility Improve - Transit Stop'!Y24</f>
        <v>0</v>
      </c>
      <c r="W22" s="1329">
        <f>'Facility Improve - Transit Stop'!Z24</f>
        <v>0</v>
      </c>
      <c r="X22" s="1330">
        <f>_xlfn.XLOOKUP(A22,'Serve Improve - Transit Mode'!F:F,'Serve Improve - Transit Mode'!Y:Y,,0)</f>
        <v>0</v>
      </c>
      <c r="Y22" s="1330">
        <f>_xlfn.XLOOKUP(A22,'Serve Improve - Transit Mode'!F:F,'Serve Improve - Transit Mode'!Z:Z,,0)</f>
        <v>0</v>
      </c>
      <c r="Z22" s="1328">
        <f>'Amenity Improve - Transit Veh '!Q24</f>
        <v>0</v>
      </c>
      <c r="AA22" s="1329">
        <f>'Amenity Improve - Transit Veh '!R24</f>
        <v>0</v>
      </c>
      <c r="AB22" s="1328">
        <f>'Value of Travel Time'!AD24</f>
        <v>0</v>
      </c>
      <c r="AC22" s="1329">
        <f>'Value of Travel Time'!AE24</f>
        <v>0</v>
      </c>
      <c r="AD22" s="1328">
        <f>'Operating Cost Savings'!P24</f>
        <v>0</v>
      </c>
      <c r="AE22" s="1329">
        <f>'Operating Cost Savings'!Q24</f>
        <v>0</v>
      </c>
      <c r="AF22" s="1328">
        <f>'Mortality Reduction - Walk'!O24</f>
        <v>3954.6076243484085</v>
      </c>
      <c r="AG22" s="1329">
        <f>'Mortality Reduction - Walk'!P24</f>
        <v>2501.6319796292823</v>
      </c>
      <c r="AH22" s="1328">
        <f>'Mortality Reduction - Bike'!O24</f>
        <v>200375.57883946574</v>
      </c>
      <c r="AI22" s="1329">
        <f>'Mortality Reduction - Bike'!P24</f>
        <v>126754.91567741273</v>
      </c>
      <c r="AJ22" s="1328">
        <f>'Emission Reduction (VMT)'!S24</f>
        <v>0</v>
      </c>
      <c r="AK22" s="1329">
        <f>'Emission Reduction (VMT)'!T24</f>
        <v>0</v>
      </c>
      <c r="AL22" s="1328">
        <f>'Emission Reduction (Metric Ton)'!AA24</f>
        <v>11900.891925966927</v>
      </c>
      <c r="AM22" s="1329">
        <f>'Emission Reduction (Metric Ton)'!AB24</f>
        <v>7632.4374715177037</v>
      </c>
      <c r="AN22" s="1328">
        <f>'Other Highway Use Externalities'!Q24</f>
        <v>5988.783452374777</v>
      </c>
      <c r="AO22" s="1329">
        <f>'Other Highway Use Externalities'!R24</f>
        <v>3788.4244472936566</v>
      </c>
      <c r="AP22" s="1328">
        <f>'Auto Idling Benefit - Fuel'!O24</f>
        <v>0</v>
      </c>
      <c r="AQ22" s="1329">
        <f>'Auto Idling Benefit - Fuel'!P24</f>
        <v>0</v>
      </c>
      <c r="AR22" s="1328">
        <f>'Auto Idling Env. Benefits'!Y24</f>
        <v>0</v>
      </c>
      <c r="AS22" s="1329">
        <f>'Auto Idling Env. Benefits'!Z24</f>
        <v>0</v>
      </c>
      <c r="AT22" s="1328">
        <f>_xlfn.XLOOKUP(A22,'Repurposed ROW'!F:F,'Repurposed ROW'!K:K,,0)</f>
        <v>0</v>
      </c>
      <c r="AU22" s="1329">
        <f>_xlfn.XLOOKUP(A22,'Repurposed ROW'!F:F,'Repurposed ROW'!L:L,,0)</f>
        <v>0</v>
      </c>
      <c r="AV22" s="1328">
        <f t="shared" si="0"/>
        <v>518511.95047262928</v>
      </c>
      <c r="AW22" s="1329">
        <f t="shared" si="1"/>
        <v>328107.82863070816</v>
      </c>
      <c r="AY22" s="1328">
        <f>'Prop. Tax Inc Sidewalk'!M24</f>
        <v>0</v>
      </c>
      <c r="AZ22" s="1329">
        <f>'Prop. Tax Inc Sidewalk'!N24</f>
        <v>0</v>
      </c>
      <c r="BA22" s="1328">
        <f>'Prop. Tax Inc Bike Lane'!M24</f>
        <v>0</v>
      </c>
      <c r="BB22" s="1329">
        <f>'Prop. Tax Inc Bike Lane'!N24</f>
        <v>0</v>
      </c>
      <c r="BC22" s="1328">
        <f>'Prop. Tax Inc Sidewalk &amp; Bike'!M24</f>
        <v>0</v>
      </c>
      <c r="BD22" s="1329">
        <f>'Prop. Tax Inc Sidewalk &amp; Bike'!N24</f>
        <v>0</v>
      </c>
      <c r="BE22" s="1328">
        <f>'Prop. Tax Inc Shared Use Path'!O24</f>
        <v>0</v>
      </c>
      <c r="BF22" s="1329">
        <f>'Prop. Tax Inc Shared Use Path'!P24</f>
        <v>0</v>
      </c>
    </row>
    <row r="23" spans="1:58">
      <c r="A23" s="1327">
        <f>'Major Assumption Key'!A37</f>
        <v>2038</v>
      </c>
      <c r="B23" s="1328">
        <f>'Useful Life'!N25</f>
        <v>0</v>
      </c>
      <c r="C23" s="1329">
        <f>'Useful Life'!O25</f>
        <v>0</v>
      </c>
      <c r="D23" s="1328">
        <f>_xlfn.XLOOKUP(A23,'Non-Roadway Maintenance'!$F$8:$F$48,'Non-Roadway Maintenance'!$K$8:$K$48,,0)</f>
        <v>0</v>
      </c>
      <c r="E23" s="1329">
        <f>_xlfn.XLOOKUP(A23,'Non-Roadway Maintenance'!$F$8:$F$48,'Non-Roadway Maintenance'!$L$8:$L$48,,0)</f>
        <v>0</v>
      </c>
      <c r="F23" s="1330">
        <f>'State of Good Repair AP-CP'!S25</f>
        <v>0</v>
      </c>
      <c r="G23" s="1330">
        <f>'State of Good Repair AP-CP'!T25</f>
        <v>0</v>
      </c>
      <c r="H23" s="1328">
        <f>'State of Good Repair - AP-AP'!S25</f>
        <v>0</v>
      </c>
      <c r="I23" s="1329">
        <f>'State of Good Repair - AP-AP'!T25</f>
        <v>0</v>
      </c>
      <c r="J23" s="1328">
        <f>'State of Good Repair CP-CP '!S25</f>
        <v>0</v>
      </c>
      <c r="K23" s="1329">
        <f>'State of Good Repair CP-CP '!T25</f>
        <v>0</v>
      </c>
      <c r="L23" s="1328">
        <f>'Roadway Safety'!W25</f>
        <v>0</v>
      </c>
      <c r="M23" s="1329">
        <f>'Roadway Safety'!X25</f>
        <v>0</v>
      </c>
      <c r="N23" s="1328">
        <f>'Pedestrian Safety'!Q25</f>
        <v>56002.799999999988</v>
      </c>
      <c r="O23" s="1329">
        <f>'Pedestrian Safety'!R25</f>
        <v>34361.419503180245</v>
      </c>
      <c r="P23" s="1328">
        <f>'Bike Safety'!S25</f>
        <v>169919.99999999997</v>
      </c>
      <c r="Q23" s="1329">
        <f>'Bike Safety'!T25</f>
        <v>104257.15146350517</v>
      </c>
      <c r="R23" s="1328">
        <f>'Facility Improve - Ped'!AK25</f>
        <v>34628.527875052263</v>
      </c>
      <c r="S23" s="1329">
        <f>'Facility Improve - Ped'!AL25</f>
        <v>21246.890746395569</v>
      </c>
      <c r="T23" s="1328">
        <f>'Facility Improve - Bike'!Q25</f>
        <v>36774.843311563789</v>
      </c>
      <c r="U23" s="1329">
        <f>'Facility Improve - Bike'!R25</f>
        <v>22563.797135006924</v>
      </c>
      <c r="V23" s="1328">
        <f>'Facility Improve - Transit Stop'!Y25</f>
        <v>0</v>
      </c>
      <c r="W23" s="1329">
        <f>'Facility Improve - Transit Stop'!Z25</f>
        <v>0</v>
      </c>
      <c r="X23" s="1330">
        <f>_xlfn.XLOOKUP(A23,'Serve Improve - Transit Mode'!F:F,'Serve Improve - Transit Mode'!Y:Y,,0)</f>
        <v>0</v>
      </c>
      <c r="Y23" s="1330">
        <f>_xlfn.XLOOKUP(A23,'Serve Improve - Transit Mode'!F:F,'Serve Improve - Transit Mode'!Z:Z,,0)</f>
        <v>0</v>
      </c>
      <c r="Z23" s="1328">
        <f>'Amenity Improve - Transit Veh '!Q25</f>
        <v>0</v>
      </c>
      <c r="AA23" s="1329">
        <f>'Amenity Improve - Transit Veh '!R25</f>
        <v>0</v>
      </c>
      <c r="AB23" s="1328">
        <f>'Value of Travel Time'!AD25</f>
        <v>0</v>
      </c>
      <c r="AC23" s="1329">
        <f>'Value of Travel Time'!AE25</f>
        <v>0</v>
      </c>
      <c r="AD23" s="1328">
        <f>'Operating Cost Savings'!P25</f>
        <v>0</v>
      </c>
      <c r="AE23" s="1329">
        <f>'Operating Cost Savings'!Q25</f>
        <v>0</v>
      </c>
      <c r="AF23" s="1328">
        <f>'Mortality Reduction - Walk'!O25</f>
        <v>3959.29988375013</v>
      </c>
      <c r="AG23" s="1329">
        <f>'Mortality Reduction - Walk'!P25</f>
        <v>2429.2921826128518</v>
      </c>
      <c r="AH23" s="1328">
        <f>'Mortality Reduction - Bike'!O25</f>
        <v>203328.8353452805</v>
      </c>
      <c r="AI23" s="1329">
        <f>'Mortality Reduction - Bike'!P25</f>
        <v>124755.68022299327</v>
      </c>
      <c r="AJ23" s="1328">
        <f>'Emission Reduction (VMT)'!S25</f>
        <v>0</v>
      </c>
      <c r="AK23" s="1329">
        <f>'Emission Reduction (VMT)'!T25</f>
        <v>0</v>
      </c>
      <c r="AL23" s="1328">
        <f>'Emission Reduction (Metric Ton)'!AA25</f>
        <v>11946.062163702016</v>
      </c>
      <c r="AM23" s="1329">
        <f>'Emission Reduction (Metric Ton)'!AB25</f>
        <v>7438.1407051106335</v>
      </c>
      <c r="AN23" s="1328">
        <f>'Other Highway Use Externalities'!Q25</f>
        <v>6053.3303253136801</v>
      </c>
      <c r="AO23" s="1329">
        <f>'Other Highway Use Externalities'!R25</f>
        <v>3714.1182708619203</v>
      </c>
      <c r="AP23" s="1328">
        <f>'Auto Idling Benefit - Fuel'!O25</f>
        <v>0</v>
      </c>
      <c r="AQ23" s="1329">
        <f>'Auto Idling Benefit - Fuel'!P25</f>
        <v>0</v>
      </c>
      <c r="AR23" s="1328">
        <f>'Auto Idling Env. Benefits'!Y25</f>
        <v>0</v>
      </c>
      <c r="AS23" s="1329">
        <f>'Auto Idling Env. Benefits'!Z25</f>
        <v>0</v>
      </c>
      <c r="AT23" s="1328">
        <f>_xlfn.XLOOKUP(A23,'Repurposed ROW'!F:F,'Repurposed ROW'!K:K,,0)</f>
        <v>0</v>
      </c>
      <c r="AU23" s="1329">
        <f>_xlfn.XLOOKUP(A23,'Repurposed ROW'!F:F,'Repurposed ROW'!L:L,,0)</f>
        <v>0</v>
      </c>
      <c r="AV23" s="1328">
        <f t="shared" si="0"/>
        <v>522613.69890466239</v>
      </c>
      <c r="AW23" s="1329">
        <f t="shared" si="1"/>
        <v>320766.49022966658</v>
      </c>
      <c r="AY23" s="1328">
        <f>'Prop. Tax Inc Sidewalk'!M25</f>
        <v>0</v>
      </c>
      <c r="AZ23" s="1329">
        <f>'Prop. Tax Inc Sidewalk'!N25</f>
        <v>0</v>
      </c>
      <c r="BA23" s="1328">
        <f>'Prop. Tax Inc Bike Lane'!M25</f>
        <v>0</v>
      </c>
      <c r="BB23" s="1329">
        <f>'Prop. Tax Inc Bike Lane'!N25</f>
        <v>0</v>
      </c>
      <c r="BC23" s="1328">
        <f>'Prop. Tax Inc Sidewalk &amp; Bike'!M25</f>
        <v>0</v>
      </c>
      <c r="BD23" s="1329">
        <f>'Prop. Tax Inc Sidewalk &amp; Bike'!N25</f>
        <v>0</v>
      </c>
      <c r="BE23" s="1328">
        <f>'Prop. Tax Inc Shared Use Path'!O25</f>
        <v>0</v>
      </c>
      <c r="BF23" s="1329">
        <f>'Prop. Tax Inc Shared Use Path'!P25</f>
        <v>0</v>
      </c>
    </row>
    <row r="24" spans="1:58">
      <c r="A24" s="1327">
        <f>'Major Assumption Key'!A38</f>
        <v>2039</v>
      </c>
      <c r="B24" s="1328">
        <f>'Useful Life'!N26</f>
        <v>0</v>
      </c>
      <c r="C24" s="1329">
        <f>'Useful Life'!O26</f>
        <v>0</v>
      </c>
      <c r="D24" s="1328">
        <f>_xlfn.XLOOKUP(A24,'Non-Roadway Maintenance'!$F$8:$F$48,'Non-Roadway Maintenance'!$K$8:$K$48,,0)</f>
        <v>0</v>
      </c>
      <c r="E24" s="1329">
        <f>_xlfn.XLOOKUP(A24,'Non-Roadway Maintenance'!$F$8:$F$48,'Non-Roadway Maintenance'!$L$8:$L$48,,0)</f>
        <v>0</v>
      </c>
      <c r="F24" s="1330">
        <f>'State of Good Repair AP-CP'!S26</f>
        <v>0</v>
      </c>
      <c r="G24" s="1330">
        <f>'State of Good Repair AP-CP'!T26</f>
        <v>0</v>
      </c>
      <c r="H24" s="1328">
        <f>'State of Good Repair - AP-AP'!S26</f>
        <v>0</v>
      </c>
      <c r="I24" s="1329">
        <f>'State of Good Repair - AP-AP'!T26</f>
        <v>0</v>
      </c>
      <c r="J24" s="1328">
        <f>'State of Good Repair CP-CP '!S26</f>
        <v>0</v>
      </c>
      <c r="K24" s="1329">
        <f>'State of Good Repair CP-CP '!T26</f>
        <v>0</v>
      </c>
      <c r="L24" s="1328">
        <f>'Roadway Safety'!W26</f>
        <v>0</v>
      </c>
      <c r="M24" s="1329">
        <f>'Roadway Safety'!X26</f>
        <v>0</v>
      </c>
      <c r="N24" s="1328">
        <f>'Pedestrian Safety'!Q26</f>
        <v>56002.799999999988</v>
      </c>
      <c r="O24" s="1329">
        <f>'Pedestrian Safety'!R26</f>
        <v>33328.243941008965</v>
      </c>
      <c r="P24" s="1328">
        <f>'Bike Safety'!S26</f>
        <v>169919.99999999997</v>
      </c>
      <c r="Q24" s="1329">
        <f>'Bike Safety'!T26</f>
        <v>101122.35835451521</v>
      </c>
      <c r="R24" s="1328">
        <f>'Facility Improve - Ped'!AK26</f>
        <v>35135.837842583096</v>
      </c>
      <c r="S24" s="1329">
        <f>'Facility Improve - Ped'!AL26</f>
        <v>20909.950479071475</v>
      </c>
      <c r="T24" s="1328">
        <f>'Facility Improve - Bike'!Q26</f>
        <v>37316.853200639169</v>
      </c>
      <c r="U24" s="1329">
        <f>'Facility Improve - Bike'!R26</f>
        <v>22207.91079341968</v>
      </c>
      <c r="V24" s="1328">
        <f>'Facility Improve - Transit Stop'!Y26</f>
        <v>0</v>
      </c>
      <c r="W24" s="1329">
        <f>'Facility Improve - Transit Stop'!Z26</f>
        <v>0</v>
      </c>
      <c r="X24" s="1330">
        <f>_xlfn.XLOOKUP(A24,'Serve Improve - Transit Mode'!F:F,'Serve Improve - Transit Mode'!Y:Y,,0)</f>
        <v>0</v>
      </c>
      <c r="Y24" s="1330">
        <f>_xlfn.XLOOKUP(A24,'Serve Improve - Transit Mode'!F:F,'Serve Improve - Transit Mode'!Z:Z,,0)</f>
        <v>0</v>
      </c>
      <c r="Z24" s="1328">
        <f>'Amenity Improve - Transit Veh '!Q26</f>
        <v>0</v>
      </c>
      <c r="AA24" s="1329">
        <f>'Amenity Improve - Transit Veh '!R26</f>
        <v>0</v>
      </c>
      <c r="AB24" s="1328">
        <f>'Value of Travel Time'!AD26</f>
        <v>0</v>
      </c>
      <c r="AC24" s="1329">
        <f>'Value of Travel Time'!AE26</f>
        <v>0</v>
      </c>
      <c r="AD24" s="1328">
        <f>'Operating Cost Savings'!P26</f>
        <v>0</v>
      </c>
      <c r="AE24" s="1329">
        <f>'Operating Cost Savings'!Q26</f>
        <v>0</v>
      </c>
      <c r="AF24" s="1328">
        <f>'Mortality Reduction - Walk'!O26</f>
        <v>3963.9977106569959</v>
      </c>
      <c r="AG24" s="1329">
        <f>'Mortality Reduction - Walk'!P26</f>
        <v>2359.0442385448132</v>
      </c>
      <c r="AH24" s="1328">
        <f>'Mortality Reduction - Bike'!O26</f>
        <v>206325.61873216354</v>
      </c>
      <c r="AI24" s="1329">
        <f>'Mortality Reduction - Bike'!P26</f>
        <v>122787.97760799741</v>
      </c>
      <c r="AJ24" s="1328">
        <f>'Emission Reduction (VMT)'!S26</f>
        <v>0</v>
      </c>
      <c r="AK24" s="1329">
        <f>'Emission Reduction (VMT)'!T26</f>
        <v>0</v>
      </c>
      <c r="AL24" s="1328">
        <f>'Emission Reduction (Metric Ton)'!AA26</f>
        <v>12036.417860070465</v>
      </c>
      <c r="AM24" s="1329">
        <f>'Emission Reduction (Metric Ton)'!AB26</f>
        <v>7276.0462114037045</v>
      </c>
      <c r="AN24" s="1328">
        <f>'Other Highway Use Externalities'!Q26</f>
        <v>6118.7380691530307</v>
      </c>
      <c r="AO24" s="1329">
        <f>'Other Highway Use Externalities'!R26</f>
        <v>3641.3678419627313</v>
      </c>
      <c r="AP24" s="1328">
        <f>'Auto Idling Benefit - Fuel'!O26</f>
        <v>0</v>
      </c>
      <c r="AQ24" s="1329">
        <f>'Auto Idling Benefit - Fuel'!P26</f>
        <v>0</v>
      </c>
      <c r="AR24" s="1328">
        <f>'Auto Idling Env. Benefits'!Y26</f>
        <v>0</v>
      </c>
      <c r="AS24" s="1329">
        <f>'Auto Idling Env. Benefits'!Z26</f>
        <v>0</v>
      </c>
      <c r="AT24" s="1328">
        <f>_xlfn.XLOOKUP(A24,'Repurposed ROW'!F:F,'Repurposed ROW'!K:K,,0)</f>
        <v>0</v>
      </c>
      <c r="AU24" s="1329">
        <f>_xlfn.XLOOKUP(A24,'Repurposed ROW'!F:F,'Repurposed ROW'!L:L,,0)</f>
        <v>0</v>
      </c>
      <c r="AV24" s="1328">
        <f t="shared" si="0"/>
        <v>526820.26341526629</v>
      </c>
      <c r="AW24" s="1329">
        <f t="shared" si="1"/>
        <v>313632.89946792397</v>
      </c>
      <c r="AY24" s="1328">
        <f>'Prop. Tax Inc Sidewalk'!M26</f>
        <v>0</v>
      </c>
      <c r="AZ24" s="1329">
        <f>'Prop. Tax Inc Sidewalk'!N26</f>
        <v>0</v>
      </c>
      <c r="BA24" s="1328">
        <f>'Prop. Tax Inc Bike Lane'!M26</f>
        <v>0</v>
      </c>
      <c r="BB24" s="1329">
        <f>'Prop. Tax Inc Bike Lane'!N26</f>
        <v>0</v>
      </c>
      <c r="BC24" s="1328">
        <f>'Prop. Tax Inc Sidewalk &amp; Bike'!M26</f>
        <v>0</v>
      </c>
      <c r="BD24" s="1329">
        <f>'Prop. Tax Inc Sidewalk &amp; Bike'!N26</f>
        <v>0</v>
      </c>
      <c r="BE24" s="1328">
        <f>'Prop. Tax Inc Shared Use Path'!O26</f>
        <v>0</v>
      </c>
      <c r="BF24" s="1329">
        <f>'Prop. Tax Inc Shared Use Path'!P26</f>
        <v>0</v>
      </c>
    </row>
    <row r="25" spans="1:58">
      <c r="A25" s="1327">
        <f>'Major Assumption Key'!A39</f>
        <v>2040</v>
      </c>
      <c r="B25" s="1328">
        <f>'Useful Life'!N27</f>
        <v>0</v>
      </c>
      <c r="C25" s="1329">
        <f>'Useful Life'!O27</f>
        <v>0</v>
      </c>
      <c r="D25" s="1328">
        <f>_xlfn.XLOOKUP(A25,'Non-Roadway Maintenance'!$F$8:$F$48,'Non-Roadway Maintenance'!$K$8:$K$48,,0)</f>
        <v>0</v>
      </c>
      <c r="E25" s="1329">
        <f>_xlfn.XLOOKUP(A25,'Non-Roadway Maintenance'!$F$8:$F$48,'Non-Roadway Maintenance'!$L$8:$L$48,,0)</f>
        <v>0</v>
      </c>
      <c r="F25" s="1330">
        <f>'State of Good Repair AP-CP'!S27</f>
        <v>0</v>
      </c>
      <c r="G25" s="1330">
        <f>'State of Good Repair AP-CP'!T27</f>
        <v>0</v>
      </c>
      <c r="H25" s="1328">
        <f>'State of Good Repair - AP-AP'!S27</f>
        <v>0</v>
      </c>
      <c r="I25" s="1329">
        <f>'State of Good Repair - AP-AP'!T27</f>
        <v>0</v>
      </c>
      <c r="J25" s="1328">
        <f>'State of Good Repair CP-CP '!S27</f>
        <v>0</v>
      </c>
      <c r="K25" s="1329">
        <f>'State of Good Repair CP-CP '!T27</f>
        <v>0</v>
      </c>
      <c r="L25" s="1328">
        <f>'Roadway Safety'!W27</f>
        <v>0</v>
      </c>
      <c r="M25" s="1329">
        <f>'Roadway Safety'!X27</f>
        <v>0</v>
      </c>
      <c r="N25" s="1328">
        <f>'Pedestrian Safety'!Q27</f>
        <v>56002.799999999988</v>
      </c>
      <c r="O25" s="1329">
        <f>'Pedestrian Safety'!R27</f>
        <v>32326.133793413162</v>
      </c>
      <c r="P25" s="1328">
        <f>'Bike Safety'!S27</f>
        <v>169919.99999999997</v>
      </c>
      <c r="Q25" s="1329">
        <f>'Bike Safety'!T27</f>
        <v>98081.821876348418</v>
      </c>
      <c r="R25" s="1328">
        <f>'Facility Improve - Ped'!AK27</f>
        <v>35650.621213163598</v>
      </c>
      <c r="S25" s="1329">
        <f>'Facility Improve - Ped'!AL27</f>
        <v>20578.377351757772</v>
      </c>
      <c r="T25" s="1328">
        <f>'Facility Improve - Bike'!Q27</f>
        <v>37866.851559369381</v>
      </c>
      <c r="U25" s="1329">
        <f>'Facility Improve - Bike'!R27</f>
        <v>21857.637651036926</v>
      </c>
      <c r="V25" s="1328">
        <f>'Facility Improve - Transit Stop'!Y27</f>
        <v>0</v>
      </c>
      <c r="W25" s="1329">
        <f>'Facility Improve - Transit Stop'!Z27</f>
        <v>0</v>
      </c>
      <c r="X25" s="1330">
        <f>_xlfn.XLOOKUP(A25,'Serve Improve - Transit Mode'!F:F,'Serve Improve - Transit Mode'!Y:Y,,0)</f>
        <v>0</v>
      </c>
      <c r="Y25" s="1330">
        <f>_xlfn.XLOOKUP(A25,'Serve Improve - Transit Mode'!F:F,'Serve Improve - Transit Mode'!Z:Z,,0)</f>
        <v>0</v>
      </c>
      <c r="Z25" s="1328">
        <f>'Amenity Improve - Transit Veh '!Q27</f>
        <v>0</v>
      </c>
      <c r="AA25" s="1329">
        <f>'Amenity Improve - Transit Veh '!R27</f>
        <v>0</v>
      </c>
      <c r="AB25" s="1328">
        <f>'Value of Travel Time'!AD27</f>
        <v>0</v>
      </c>
      <c r="AC25" s="1329">
        <f>'Value of Travel Time'!AE27</f>
        <v>0</v>
      </c>
      <c r="AD25" s="1328">
        <f>'Operating Cost Savings'!P27</f>
        <v>0</v>
      </c>
      <c r="AE25" s="1329">
        <f>'Operating Cost Savings'!Q27</f>
        <v>0</v>
      </c>
      <c r="AF25" s="1328">
        <f>'Mortality Reduction - Walk'!O27</f>
        <v>3968.7011116750155</v>
      </c>
      <c r="AG25" s="1329">
        <f>'Mortality Reduction - Walk'!P27</f>
        <v>2290.8276572256054</v>
      </c>
      <c r="AH25" s="1328">
        <f>'Mortality Reduction - Bike'!O27</f>
        <v>209366.57052562138</v>
      </c>
      <c r="AI25" s="1329">
        <f>'Mortality Reduction - Bike'!P27</f>
        <v>120851.31048232072</v>
      </c>
      <c r="AJ25" s="1328">
        <f>'Emission Reduction (VMT)'!S27</f>
        <v>0</v>
      </c>
      <c r="AK25" s="1329">
        <f>'Emission Reduction (VMT)'!T27</f>
        <v>0</v>
      </c>
      <c r="AL25" s="1328">
        <f>'Emission Reduction (Metric Ton)'!AA27</f>
        <v>12128.106407553529</v>
      </c>
      <c r="AM25" s="1329">
        <f>'Emission Reduction (Metric Ton)'!AB27</f>
        <v>7117.8858649793074</v>
      </c>
      <c r="AN25" s="1328">
        <f>'Other Highway Use Externalities'!Q27</f>
        <v>6185.0190213054448</v>
      </c>
      <c r="AO25" s="1329">
        <f>'Other Highway Use Externalities'!R27</f>
        <v>3570.1385001736553</v>
      </c>
      <c r="AP25" s="1328">
        <f>'Auto Idling Benefit - Fuel'!O27</f>
        <v>0</v>
      </c>
      <c r="AQ25" s="1329">
        <f>'Auto Idling Benefit - Fuel'!P27</f>
        <v>0</v>
      </c>
      <c r="AR25" s="1328">
        <f>'Auto Idling Env. Benefits'!Y27</f>
        <v>0</v>
      </c>
      <c r="AS25" s="1329">
        <f>'Auto Idling Env. Benefits'!Z27</f>
        <v>0</v>
      </c>
      <c r="AT25" s="1328">
        <f>_xlfn.XLOOKUP(A25,'Repurposed ROW'!F:F,'Repurposed ROW'!K:K,,0)</f>
        <v>0</v>
      </c>
      <c r="AU25" s="1329">
        <f>_xlfn.XLOOKUP(A25,'Repurposed ROW'!F:F,'Repurposed ROW'!L:L,,0)</f>
        <v>0</v>
      </c>
      <c r="AV25" s="1328">
        <f t="shared" si="0"/>
        <v>531088.66983868834</v>
      </c>
      <c r="AW25" s="1329">
        <f t="shared" si="1"/>
        <v>306674.13317725551</v>
      </c>
      <c r="AY25" s="1328">
        <f>'Prop. Tax Inc Sidewalk'!M27</f>
        <v>0</v>
      </c>
      <c r="AZ25" s="1329">
        <f>'Prop. Tax Inc Sidewalk'!N27</f>
        <v>0</v>
      </c>
      <c r="BA25" s="1328">
        <f>'Prop. Tax Inc Bike Lane'!M27</f>
        <v>0</v>
      </c>
      <c r="BB25" s="1329">
        <f>'Prop. Tax Inc Bike Lane'!N27</f>
        <v>0</v>
      </c>
      <c r="BC25" s="1328">
        <f>'Prop. Tax Inc Sidewalk &amp; Bike'!M27</f>
        <v>0</v>
      </c>
      <c r="BD25" s="1329">
        <f>'Prop. Tax Inc Sidewalk &amp; Bike'!N27</f>
        <v>0</v>
      </c>
      <c r="BE25" s="1328">
        <f>'Prop. Tax Inc Shared Use Path'!O27</f>
        <v>0</v>
      </c>
      <c r="BF25" s="1329">
        <f>'Prop. Tax Inc Shared Use Path'!P27</f>
        <v>0</v>
      </c>
    </row>
    <row r="26" spans="1:58">
      <c r="A26" s="1327">
        <f>'Major Assumption Key'!A40</f>
        <v>2041</v>
      </c>
      <c r="B26" s="1328">
        <f>'Useful Life'!N28</f>
        <v>0</v>
      </c>
      <c r="C26" s="1329">
        <f>'Useful Life'!O28</f>
        <v>0</v>
      </c>
      <c r="D26" s="1328">
        <f>_xlfn.XLOOKUP(A26,'Non-Roadway Maintenance'!$F$8:$F$48,'Non-Roadway Maintenance'!$K$8:$K$48,,0)</f>
        <v>0</v>
      </c>
      <c r="E26" s="1329">
        <f>_xlfn.XLOOKUP(A26,'Non-Roadway Maintenance'!$F$8:$F$48,'Non-Roadway Maintenance'!$L$8:$L$48,,0)</f>
        <v>0</v>
      </c>
      <c r="F26" s="1330">
        <f>'State of Good Repair AP-CP'!S28</f>
        <v>0</v>
      </c>
      <c r="G26" s="1330">
        <f>'State of Good Repair AP-CP'!T28</f>
        <v>0</v>
      </c>
      <c r="H26" s="1328">
        <f>'State of Good Repair - AP-AP'!S28</f>
        <v>0</v>
      </c>
      <c r="I26" s="1329">
        <f>'State of Good Repair - AP-AP'!T28</f>
        <v>0</v>
      </c>
      <c r="J26" s="1328">
        <f>'State of Good Repair CP-CP '!S28</f>
        <v>0</v>
      </c>
      <c r="K26" s="1329">
        <f>'State of Good Repair CP-CP '!T28</f>
        <v>0</v>
      </c>
      <c r="L26" s="1328">
        <f>'Roadway Safety'!W28</f>
        <v>0</v>
      </c>
      <c r="M26" s="1329">
        <f>'Roadway Safety'!X28</f>
        <v>0</v>
      </c>
      <c r="N26" s="1328">
        <f>'Pedestrian Safety'!Q28</f>
        <v>56002.799999999988</v>
      </c>
      <c r="O26" s="1329">
        <f>'Pedestrian Safety'!R28</f>
        <v>31354.154988761558</v>
      </c>
      <c r="P26" s="1328">
        <f>'Bike Safety'!S28</f>
        <v>169919.99999999997</v>
      </c>
      <c r="Q26" s="1329">
        <f>'Bike Safety'!T28</f>
        <v>95132.707930502846</v>
      </c>
      <c r="R26" s="1328">
        <f>'Facility Improve - Ped'!AK28</f>
        <v>36172.98813001244</v>
      </c>
      <c r="S26" s="1329">
        <f>'Facility Improve - Ped'!AL28</f>
        <v>20252.085185652191</v>
      </c>
      <c r="T26" s="1328">
        <f>'Facility Improve - Bike'!Q28</f>
        <v>38424.956126653116</v>
      </c>
      <c r="U26" s="1329">
        <f>'Facility Improve - Bike'!R28</f>
        <v>21512.889173959964</v>
      </c>
      <c r="V26" s="1328">
        <f>'Facility Improve - Transit Stop'!Y28</f>
        <v>0</v>
      </c>
      <c r="W26" s="1329">
        <f>'Facility Improve - Transit Stop'!Z28</f>
        <v>0</v>
      </c>
      <c r="X26" s="1330">
        <f>_xlfn.XLOOKUP(A26,'Serve Improve - Transit Mode'!F:F,'Serve Improve - Transit Mode'!Y:Y,,0)</f>
        <v>0</v>
      </c>
      <c r="Y26" s="1330">
        <f>_xlfn.XLOOKUP(A26,'Serve Improve - Transit Mode'!F:F,'Serve Improve - Transit Mode'!Z:Z,,0)</f>
        <v>0</v>
      </c>
      <c r="Z26" s="1328">
        <f>'Amenity Improve - Transit Veh '!Q28</f>
        <v>0</v>
      </c>
      <c r="AA26" s="1329">
        <f>'Amenity Improve - Transit Veh '!R28</f>
        <v>0</v>
      </c>
      <c r="AB26" s="1328">
        <f>'Value of Travel Time'!AD28</f>
        <v>0</v>
      </c>
      <c r="AC26" s="1329">
        <f>'Value of Travel Time'!AE28</f>
        <v>0</v>
      </c>
      <c r="AD26" s="1328">
        <f>'Operating Cost Savings'!P28</f>
        <v>0</v>
      </c>
      <c r="AE26" s="1329">
        <f>'Operating Cost Savings'!Q28</f>
        <v>0</v>
      </c>
      <c r="AF26" s="1328">
        <f>'Mortality Reduction - Walk'!O28</f>
        <v>3973.4100934180387</v>
      </c>
      <c r="AG26" s="1329">
        <f>'Mortality Reduction - Walk'!P28</f>
        <v>2224.5836976533096</v>
      </c>
      <c r="AH26" s="1328">
        <f>'Mortality Reduction - Bike'!O28</f>
        <v>212452.34170635138</v>
      </c>
      <c r="AI26" s="1329">
        <f>'Mortality Reduction - Bike'!P28</f>
        <v>118945.18934028788</v>
      </c>
      <c r="AJ26" s="1328">
        <f>'Emission Reduction (VMT)'!S28</f>
        <v>0</v>
      </c>
      <c r="AK26" s="1329">
        <f>'Emission Reduction (VMT)'!T28</f>
        <v>0</v>
      </c>
      <c r="AL26" s="1328">
        <f>'Emission Reduction (Metric Ton)'!AA28</f>
        <v>12247.22490374578</v>
      </c>
      <c r="AM26" s="1329">
        <f>'Emission Reduction (Metric Ton)'!AB28</f>
        <v>6978.1541085633353</v>
      </c>
      <c r="AN26" s="1328">
        <f>'Other Highway Use Externalities'!Q28</f>
        <v>6252.1856996539063</v>
      </c>
      <c r="AO26" s="1329">
        <f>'Other Highway Use Externalities'!R28</f>
        <v>3500.3963988491155</v>
      </c>
      <c r="AP26" s="1328">
        <f>'Auto Idling Benefit - Fuel'!O28</f>
        <v>0</v>
      </c>
      <c r="AQ26" s="1329">
        <f>'Auto Idling Benefit - Fuel'!P28</f>
        <v>0</v>
      </c>
      <c r="AR26" s="1328">
        <f>'Auto Idling Env. Benefits'!Y28</f>
        <v>0</v>
      </c>
      <c r="AS26" s="1329">
        <f>'Auto Idling Env. Benefits'!Z28</f>
        <v>0</v>
      </c>
      <c r="AT26" s="1328">
        <f>_xlfn.XLOOKUP(A26,'Repurposed ROW'!F:F,'Repurposed ROW'!K:K,,0)</f>
        <v>0</v>
      </c>
      <c r="AU26" s="1329">
        <f>_xlfn.XLOOKUP(A26,'Repurposed ROW'!F:F,'Repurposed ROW'!L:L,,0)</f>
        <v>0</v>
      </c>
      <c r="AV26" s="1328">
        <f t="shared" si="0"/>
        <v>535445.90665983467</v>
      </c>
      <c r="AW26" s="1329">
        <f t="shared" si="1"/>
        <v>299900.16082423017</v>
      </c>
      <c r="AY26" s="1328">
        <f>'Prop. Tax Inc Sidewalk'!M28</f>
        <v>0</v>
      </c>
      <c r="AZ26" s="1329">
        <f>'Prop. Tax Inc Sidewalk'!N28</f>
        <v>0</v>
      </c>
      <c r="BA26" s="1328">
        <f>'Prop. Tax Inc Bike Lane'!M28</f>
        <v>0</v>
      </c>
      <c r="BB26" s="1329">
        <f>'Prop. Tax Inc Bike Lane'!N28</f>
        <v>0</v>
      </c>
      <c r="BC26" s="1328">
        <f>'Prop. Tax Inc Sidewalk &amp; Bike'!M28</f>
        <v>0</v>
      </c>
      <c r="BD26" s="1329">
        <f>'Prop. Tax Inc Sidewalk &amp; Bike'!N28</f>
        <v>0</v>
      </c>
      <c r="BE26" s="1328">
        <f>'Prop. Tax Inc Shared Use Path'!O28</f>
        <v>0</v>
      </c>
      <c r="BF26" s="1329">
        <f>'Prop. Tax Inc Shared Use Path'!P28</f>
        <v>0</v>
      </c>
    </row>
    <row r="27" spans="1:58">
      <c r="A27" s="1327">
        <f>'Major Assumption Key'!A41</f>
        <v>2042</v>
      </c>
      <c r="B27" s="1328">
        <f>'Useful Life'!N29</f>
        <v>0</v>
      </c>
      <c r="C27" s="1329">
        <f>'Useful Life'!O29</f>
        <v>0</v>
      </c>
      <c r="D27" s="1328">
        <f>_xlfn.XLOOKUP(A27,'Non-Roadway Maintenance'!$F$8:$F$48,'Non-Roadway Maintenance'!$K$8:$K$48,,0)</f>
        <v>0</v>
      </c>
      <c r="E27" s="1329">
        <f>_xlfn.XLOOKUP(A27,'Non-Roadway Maintenance'!$F$8:$F$48,'Non-Roadway Maintenance'!$L$8:$L$48,,0)</f>
        <v>0</v>
      </c>
      <c r="F27" s="1330">
        <f>'State of Good Repair AP-CP'!S29</f>
        <v>0</v>
      </c>
      <c r="G27" s="1330">
        <f>'State of Good Repair AP-CP'!T29</f>
        <v>0</v>
      </c>
      <c r="H27" s="1328">
        <f>'State of Good Repair - AP-AP'!S29</f>
        <v>0</v>
      </c>
      <c r="I27" s="1329">
        <f>'State of Good Repair - AP-AP'!T29</f>
        <v>0</v>
      </c>
      <c r="J27" s="1328">
        <f>'State of Good Repair CP-CP '!S29</f>
        <v>0</v>
      </c>
      <c r="K27" s="1329">
        <f>'State of Good Repair CP-CP '!T29</f>
        <v>0</v>
      </c>
      <c r="L27" s="1328">
        <f>'Roadway Safety'!W29</f>
        <v>0</v>
      </c>
      <c r="M27" s="1329">
        <f>'Roadway Safety'!X29</f>
        <v>0</v>
      </c>
      <c r="N27" s="1328">
        <f>'Pedestrian Safety'!Q29</f>
        <v>56002.799999999988</v>
      </c>
      <c r="O27" s="1329">
        <f>'Pedestrian Safety'!R29</f>
        <v>30411.401540990842</v>
      </c>
      <c r="P27" s="1328">
        <f>'Bike Safety'!S29</f>
        <v>169919.99999999997</v>
      </c>
      <c r="Q27" s="1329">
        <f>'Bike Safety'!T29</f>
        <v>92272.267633853378</v>
      </c>
      <c r="R27" s="1328">
        <f>'Facility Improve - Ped'!AK29</f>
        <v>36703.050359700559</v>
      </c>
      <c r="S27" s="1329">
        <f>'Facility Improve - Ped'!AL29</f>
        <v>19930.989205326561</v>
      </c>
      <c r="T27" s="1328">
        <f>'Facility Improve - Bike'!Q29</f>
        <v>38991.286376696225</v>
      </c>
      <c r="U27" s="1329">
        <f>'Facility Improve - Bike'!R29</f>
        <v>21173.578224686535</v>
      </c>
      <c r="V27" s="1328">
        <f>'Facility Improve - Transit Stop'!Y29</f>
        <v>0</v>
      </c>
      <c r="W27" s="1329">
        <f>'Facility Improve - Transit Stop'!Z29</f>
        <v>0</v>
      </c>
      <c r="X27" s="1330">
        <f>_xlfn.XLOOKUP(A27,'Serve Improve - Transit Mode'!F:F,'Serve Improve - Transit Mode'!Y:Y,,0)</f>
        <v>0</v>
      </c>
      <c r="Y27" s="1330">
        <f>_xlfn.XLOOKUP(A27,'Serve Improve - Transit Mode'!F:F,'Serve Improve - Transit Mode'!Z:Z,,0)</f>
        <v>0</v>
      </c>
      <c r="Z27" s="1328">
        <f>'Amenity Improve - Transit Veh '!Q29</f>
        <v>0</v>
      </c>
      <c r="AA27" s="1329">
        <f>'Amenity Improve - Transit Veh '!R29</f>
        <v>0</v>
      </c>
      <c r="AB27" s="1328">
        <f>'Value of Travel Time'!AD29</f>
        <v>0</v>
      </c>
      <c r="AC27" s="1329">
        <f>'Value of Travel Time'!AE29</f>
        <v>0</v>
      </c>
      <c r="AD27" s="1328">
        <f>'Operating Cost Savings'!P29</f>
        <v>0</v>
      </c>
      <c r="AE27" s="1329">
        <f>'Operating Cost Savings'!Q29</f>
        <v>0</v>
      </c>
      <c r="AF27" s="1328">
        <f>'Mortality Reduction - Walk'!O29</f>
        <v>3978.1246625077624</v>
      </c>
      <c r="AG27" s="1329">
        <f>'Mortality Reduction - Walk'!P29</f>
        <v>2160.2553174420254</v>
      </c>
      <c r="AH27" s="1328">
        <f>'Mortality Reduction - Bike'!O29</f>
        <v>215583.59284959844</v>
      </c>
      <c r="AI27" s="1329">
        <f>'Mortality Reduction - Bike'!P29</f>
        <v>117069.13239692697</v>
      </c>
      <c r="AJ27" s="1328">
        <f>'Emission Reduction (VMT)'!S29</f>
        <v>0</v>
      </c>
      <c r="AK27" s="1329">
        <f>'Emission Reduction (VMT)'!T29</f>
        <v>0</v>
      </c>
      <c r="AL27" s="1328">
        <f>'Emission Reduction (Metric Ton)'!AA29</f>
        <v>12366.674267647963</v>
      </c>
      <c r="AM27" s="1329">
        <f>'Emission Reduction (Metric Ton)'!AB29</f>
        <v>6840.7050693448746</v>
      </c>
      <c r="AN27" s="1328">
        <f>'Other Highway Use Externalities'!Q29</f>
        <v>6320.2508052063458</v>
      </c>
      <c r="AO27" s="1329">
        <f>'Other Highway Use Externalities'!R29</f>
        <v>3432.108485234683</v>
      </c>
      <c r="AP27" s="1328">
        <f>'Auto Idling Benefit - Fuel'!O29</f>
        <v>0</v>
      </c>
      <c r="AQ27" s="1329">
        <f>'Auto Idling Benefit - Fuel'!P29</f>
        <v>0</v>
      </c>
      <c r="AR27" s="1328">
        <f>'Auto Idling Env. Benefits'!Y29</f>
        <v>0</v>
      </c>
      <c r="AS27" s="1329">
        <f>'Auto Idling Env. Benefits'!Z29</f>
        <v>0</v>
      </c>
      <c r="AT27" s="1328">
        <f>_xlfn.XLOOKUP(A27,'Repurposed ROW'!F:F,'Repurposed ROW'!K:K,,0)</f>
        <v>0</v>
      </c>
      <c r="AU27" s="1329">
        <f>_xlfn.XLOOKUP(A27,'Repurposed ROW'!F:F,'Repurposed ROW'!L:L,,0)</f>
        <v>0</v>
      </c>
      <c r="AV27" s="1328">
        <f t="shared" si="0"/>
        <v>539865.77932135726</v>
      </c>
      <c r="AW27" s="1329">
        <f t="shared" si="1"/>
        <v>293290.43787380587</v>
      </c>
      <c r="AY27" s="1328">
        <f>'Prop. Tax Inc Sidewalk'!M29</f>
        <v>0</v>
      </c>
      <c r="AZ27" s="1329">
        <f>'Prop. Tax Inc Sidewalk'!N29</f>
        <v>0</v>
      </c>
      <c r="BA27" s="1328">
        <f>'Prop. Tax Inc Bike Lane'!M29</f>
        <v>0</v>
      </c>
      <c r="BB27" s="1329">
        <f>'Prop. Tax Inc Bike Lane'!N29</f>
        <v>0</v>
      </c>
      <c r="BC27" s="1328">
        <f>'Prop. Tax Inc Sidewalk &amp; Bike'!M29</f>
        <v>0</v>
      </c>
      <c r="BD27" s="1329">
        <f>'Prop. Tax Inc Sidewalk &amp; Bike'!N29</f>
        <v>0</v>
      </c>
      <c r="BE27" s="1328">
        <f>'Prop. Tax Inc Shared Use Path'!O29</f>
        <v>0</v>
      </c>
      <c r="BF27" s="1329">
        <f>'Prop. Tax Inc Shared Use Path'!P29</f>
        <v>0</v>
      </c>
    </row>
    <row r="28" spans="1:58">
      <c r="A28" s="1327">
        <f>'Major Assumption Key'!A42</f>
        <v>2043</v>
      </c>
      <c r="B28" s="1328">
        <f>'Useful Life'!N30</f>
        <v>0</v>
      </c>
      <c r="C28" s="1329">
        <f>'Useful Life'!O30</f>
        <v>0</v>
      </c>
      <c r="D28" s="1328">
        <f>_xlfn.XLOOKUP(A28,'Non-Roadway Maintenance'!$F$8:$F$48,'Non-Roadway Maintenance'!$K$8:$K$48,,0)</f>
        <v>0</v>
      </c>
      <c r="E28" s="1329">
        <f>_xlfn.XLOOKUP(A28,'Non-Roadway Maintenance'!$F$8:$F$48,'Non-Roadway Maintenance'!$L$8:$L$48,,0)</f>
        <v>0</v>
      </c>
      <c r="F28" s="1330">
        <f>'State of Good Repair AP-CP'!S30</f>
        <v>0</v>
      </c>
      <c r="G28" s="1330">
        <f>'State of Good Repair AP-CP'!T30</f>
        <v>0</v>
      </c>
      <c r="H28" s="1328">
        <f>'State of Good Repair - AP-AP'!S30</f>
        <v>0</v>
      </c>
      <c r="I28" s="1329">
        <f>'State of Good Repair - AP-AP'!T30</f>
        <v>0</v>
      </c>
      <c r="J28" s="1328">
        <f>'State of Good Repair CP-CP '!S30</f>
        <v>0</v>
      </c>
      <c r="K28" s="1329">
        <f>'State of Good Repair CP-CP '!T30</f>
        <v>0</v>
      </c>
      <c r="L28" s="1328">
        <f>'Roadway Safety'!W30</f>
        <v>0</v>
      </c>
      <c r="M28" s="1329">
        <f>'Roadway Safety'!X30</f>
        <v>0</v>
      </c>
      <c r="N28" s="1328">
        <f>'Pedestrian Safety'!Q30</f>
        <v>56002.799999999988</v>
      </c>
      <c r="O28" s="1329">
        <f>'Pedestrian Safety'!R30</f>
        <v>29496.994705131761</v>
      </c>
      <c r="P28" s="1328">
        <f>'Bike Safety'!S30</f>
        <v>169919.99999999997</v>
      </c>
      <c r="Q28" s="1329">
        <f>'Bike Safety'!T30</f>
        <v>89497.834756404831</v>
      </c>
      <c r="R28" s="1328">
        <f>'Facility Improve - Ped'!AK30</f>
        <v>37240.921316077125</v>
      </c>
      <c r="S28" s="1329">
        <f>'Facility Improve - Ped'!AL30</f>
        <v>19615.006015316299</v>
      </c>
      <c r="T28" s="1328">
        <f>'Facility Improve - Bike'!Q30</f>
        <v>39565.963544587627</v>
      </c>
      <c r="U28" s="1329">
        <f>'Facility Improve - Bike'!R30</f>
        <v>20839.619040086171</v>
      </c>
      <c r="V28" s="1328">
        <f>'Facility Improve - Transit Stop'!Y30</f>
        <v>0</v>
      </c>
      <c r="W28" s="1329">
        <f>'Facility Improve - Transit Stop'!Z30</f>
        <v>0</v>
      </c>
      <c r="X28" s="1330">
        <f>_xlfn.XLOOKUP(A28,'Serve Improve - Transit Mode'!F:F,'Serve Improve - Transit Mode'!Y:Y,,0)</f>
        <v>0</v>
      </c>
      <c r="Y28" s="1330">
        <f>_xlfn.XLOOKUP(A28,'Serve Improve - Transit Mode'!F:F,'Serve Improve - Transit Mode'!Z:Z,,0)</f>
        <v>0</v>
      </c>
      <c r="Z28" s="1328">
        <f>'Amenity Improve - Transit Veh '!Q30</f>
        <v>0</v>
      </c>
      <c r="AA28" s="1329">
        <f>'Amenity Improve - Transit Veh '!R30</f>
        <v>0</v>
      </c>
      <c r="AB28" s="1328">
        <f>'Value of Travel Time'!AD30</f>
        <v>0</v>
      </c>
      <c r="AC28" s="1329">
        <f>'Value of Travel Time'!AE30</f>
        <v>0</v>
      </c>
      <c r="AD28" s="1328">
        <f>'Operating Cost Savings'!P30</f>
        <v>0</v>
      </c>
      <c r="AE28" s="1329">
        <f>'Operating Cost Savings'!Q30</f>
        <v>0</v>
      </c>
      <c r="AF28" s="1328">
        <f>'Mortality Reduction - Walk'!O30</f>
        <v>3982.8448255737362</v>
      </c>
      <c r="AG28" s="1329">
        <f>'Mortality Reduction - Walk'!P30</f>
        <v>2097.7871237029212</v>
      </c>
      <c r="AH28" s="1328">
        <f>'Mortality Reduction - Bike'!O30</f>
        <v>218760.99426656493</v>
      </c>
      <c r="AI28" s="1329">
        <f>'Mortality Reduction - Bike'!P30</f>
        <v>115222.66546619502</v>
      </c>
      <c r="AJ28" s="1328">
        <f>'Emission Reduction (VMT)'!S30</f>
        <v>0</v>
      </c>
      <c r="AK28" s="1329">
        <f>'Emission Reduction (VMT)'!T30</f>
        <v>0</v>
      </c>
      <c r="AL28" s="1328">
        <f>'Emission Reduction (Metric Ton)'!AA30</f>
        <v>12486.484492351896</v>
      </c>
      <c r="AM28" s="1329">
        <f>'Emission Reduction (Metric Ton)'!AB30</f>
        <v>6705.5351453760486</v>
      </c>
      <c r="AN28" s="1328">
        <f>'Other Highway Use Externalities'!Q30</f>
        <v>6389.2272247892906</v>
      </c>
      <c r="AO28" s="1329">
        <f>'Other Highway Use Externalities'!R30</f>
        <v>3365.2424810811858</v>
      </c>
      <c r="AP28" s="1328">
        <f>'Auto Idling Benefit - Fuel'!O30</f>
        <v>0</v>
      </c>
      <c r="AQ28" s="1329">
        <f>'Auto Idling Benefit - Fuel'!P30</f>
        <v>0</v>
      </c>
      <c r="AR28" s="1328">
        <f>'Auto Idling Env. Benefits'!Y30</f>
        <v>0</v>
      </c>
      <c r="AS28" s="1329">
        <f>'Auto Idling Env. Benefits'!Z30</f>
        <v>0</v>
      </c>
      <c r="AT28" s="1328">
        <f>_xlfn.XLOOKUP(A28,'Repurposed ROW'!F:F,'Repurposed ROW'!K:K,,0)</f>
        <v>0</v>
      </c>
      <c r="AU28" s="1329">
        <f>_xlfn.XLOOKUP(A28,'Repurposed ROW'!F:F,'Repurposed ROW'!L:L,,0)</f>
        <v>0</v>
      </c>
      <c r="AV28" s="1328">
        <f t="shared" si="0"/>
        <v>544349.23566994455</v>
      </c>
      <c r="AW28" s="1329">
        <f t="shared" si="1"/>
        <v>286840.68473329424</v>
      </c>
      <c r="AY28" s="1328">
        <f>'Prop. Tax Inc Sidewalk'!M30</f>
        <v>0</v>
      </c>
      <c r="AZ28" s="1329">
        <f>'Prop. Tax Inc Sidewalk'!N30</f>
        <v>0</v>
      </c>
      <c r="BA28" s="1328">
        <f>'Prop. Tax Inc Bike Lane'!M30</f>
        <v>0</v>
      </c>
      <c r="BB28" s="1329">
        <f>'Prop. Tax Inc Bike Lane'!N30</f>
        <v>0</v>
      </c>
      <c r="BC28" s="1328">
        <f>'Prop. Tax Inc Sidewalk &amp; Bike'!M30</f>
        <v>0</v>
      </c>
      <c r="BD28" s="1329">
        <f>'Prop. Tax Inc Sidewalk &amp; Bike'!N30</f>
        <v>0</v>
      </c>
      <c r="BE28" s="1328">
        <f>'Prop. Tax Inc Shared Use Path'!O30</f>
        <v>0</v>
      </c>
      <c r="BF28" s="1329">
        <f>'Prop. Tax Inc Shared Use Path'!P30</f>
        <v>0</v>
      </c>
    </row>
    <row r="29" spans="1:58">
      <c r="A29" s="1327">
        <f>'Major Assumption Key'!A43</f>
        <v>2044</v>
      </c>
      <c r="B29" s="1328">
        <f>'Useful Life'!N31</f>
        <v>0</v>
      </c>
      <c r="C29" s="1329">
        <f>'Useful Life'!O31</f>
        <v>0</v>
      </c>
      <c r="D29" s="1328">
        <f>_xlfn.XLOOKUP(A29,'Non-Roadway Maintenance'!$F$8:$F$48,'Non-Roadway Maintenance'!$K$8:$K$48,,0)</f>
        <v>0</v>
      </c>
      <c r="E29" s="1329">
        <f>_xlfn.XLOOKUP(A29,'Non-Roadway Maintenance'!$F$8:$F$48,'Non-Roadway Maintenance'!$L$8:$L$48,,0)</f>
        <v>0</v>
      </c>
      <c r="F29" s="1330">
        <f>'State of Good Repair AP-CP'!S31</f>
        <v>0</v>
      </c>
      <c r="G29" s="1330">
        <f>'State of Good Repair AP-CP'!T31</f>
        <v>0</v>
      </c>
      <c r="H29" s="1328">
        <f>'State of Good Repair - AP-AP'!S31</f>
        <v>0</v>
      </c>
      <c r="I29" s="1329">
        <f>'State of Good Repair - AP-AP'!T31</f>
        <v>0</v>
      </c>
      <c r="J29" s="1328">
        <f>'State of Good Repair CP-CP '!S31</f>
        <v>0</v>
      </c>
      <c r="K29" s="1329">
        <f>'State of Good Repair CP-CP '!T31</f>
        <v>0</v>
      </c>
      <c r="L29" s="1328">
        <f>'Roadway Safety'!W31</f>
        <v>0</v>
      </c>
      <c r="M29" s="1329">
        <f>'Roadway Safety'!X31</f>
        <v>0</v>
      </c>
      <c r="N29" s="1328">
        <f>'Pedestrian Safety'!Q31</f>
        <v>56002.799999999988</v>
      </c>
      <c r="O29" s="1329">
        <f>'Pedestrian Safety'!R31</f>
        <v>28610.082158226731</v>
      </c>
      <c r="P29" s="1328">
        <f>'Bike Safety'!S31</f>
        <v>169919.99999999997</v>
      </c>
      <c r="Q29" s="1329">
        <f>'Bike Safety'!T31</f>
        <v>86806.823236086173</v>
      </c>
      <c r="R29" s="1328">
        <f>'Facility Improve - Ped'!AK31</f>
        <v>37786.716084548068</v>
      </c>
      <c r="S29" s="1329">
        <f>'Facility Improve - Ped'!AL31</f>
        <v>19304.05357711593</v>
      </c>
      <c r="T29" s="1328">
        <f>'Facility Improve - Bike'!Q31</f>
        <v>40149.11065225237</v>
      </c>
      <c r="U29" s="1329">
        <f>'Facility Improve - Bike'!R31</f>
        <v>20510.927209723024</v>
      </c>
      <c r="V29" s="1328">
        <f>'Facility Improve - Transit Stop'!Y31</f>
        <v>0</v>
      </c>
      <c r="W29" s="1329">
        <f>'Facility Improve - Transit Stop'!Z31</f>
        <v>0</v>
      </c>
      <c r="X29" s="1330">
        <f>_xlfn.XLOOKUP(A29,'Serve Improve - Transit Mode'!F:F,'Serve Improve - Transit Mode'!Y:Y,,0)</f>
        <v>0</v>
      </c>
      <c r="Y29" s="1330">
        <f>_xlfn.XLOOKUP(A29,'Serve Improve - Transit Mode'!F:F,'Serve Improve - Transit Mode'!Z:Z,,0)</f>
        <v>0</v>
      </c>
      <c r="Z29" s="1328">
        <f>'Amenity Improve - Transit Veh '!Q31</f>
        <v>0</v>
      </c>
      <c r="AA29" s="1329">
        <f>'Amenity Improve - Transit Veh '!R31</f>
        <v>0</v>
      </c>
      <c r="AB29" s="1328">
        <f>'Value of Travel Time'!AD31</f>
        <v>0</v>
      </c>
      <c r="AC29" s="1329">
        <f>'Value of Travel Time'!AE31</f>
        <v>0</v>
      </c>
      <c r="AD29" s="1328">
        <f>'Operating Cost Savings'!P31</f>
        <v>0</v>
      </c>
      <c r="AE29" s="1329">
        <f>'Operating Cost Savings'!Q31</f>
        <v>0</v>
      </c>
      <c r="AF29" s="1328">
        <f>'Mortality Reduction - Walk'!O31</f>
        <v>3987.570589253382</v>
      </c>
      <c r="AG29" s="1329">
        <f>'Mortality Reduction - Walk'!P31</f>
        <v>2037.1253253456589</v>
      </c>
      <c r="AH29" s="1328">
        <f>'Mortality Reduction - Bike'!O31</f>
        <v>221985.22614790528</v>
      </c>
      <c r="AI29" s="1329">
        <f>'Mortality Reduction - Bike'!P31</f>
        <v>113405.32184112424</v>
      </c>
      <c r="AJ29" s="1328">
        <f>'Emission Reduction (VMT)'!S31</f>
        <v>0</v>
      </c>
      <c r="AK29" s="1329">
        <f>'Emission Reduction (VMT)'!T31</f>
        <v>0</v>
      </c>
      <c r="AL29" s="1328">
        <f>'Emission Reduction (Metric Ton)'!AA31</f>
        <v>12606.684953324837</v>
      </c>
      <c r="AM29" s="1329">
        <f>'Emission Reduction (Metric Ton)'!AB31</f>
        <v>6572.6379007909336</v>
      </c>
      <c r="AN29" s="1328">
        <f>'Other Highway Use Externalities'!Q31</f>
        <v>6459.128033781195</v>
      </c>
      <c r="AO29" s="1329">
        <f>'Other Highway Use Externalities'!R31</f>
        <v>3299.7668637458396</v>
      </c>
      <c r="AP29" s="1328">
        <f>'Auto Idling Benefit - Fuel'!O31</f>
        <v>0</v>
      </c>
      <c r="AQ29" s="1329">
        <f>'Auto Idling Benefit - Fuel'!P31</f>
        <v>0</v>
      </c>
      <c r="AR29" s="1328">
        <f>'Auto Idling Env. Benefits'!Y31</f>
        <v>0</v>
      </c>
      <c r="AS29" s="1329">
        <f>'Auto Idling Env. Benefits'!Z31</f>
        <v>0</v>
      </c>
      <c r="AT29" s="1328">
        <f>_xlfn.XLOOKUP(A29,'Repurposed ROW'!F:F,'Repurposed ROW'!K:K,,0)</f>
        <v>0</v>
      </c>
      <c r="AU29" s="1329">
        <f>_xlfn.XLOOKUP(A29,'Repurposed ROW'!F:F,'Repurposed ROW'!L:L,,0)</f>
        <v>0</v>
      </c>
      <c r="AV29" s="1328">
        <f t="shared" si="0"/>
        <v>548897.23646106513</v>
      </c>
      <c r="AW29" s="1329">
        <f t="shared" si="1"/>
        <v>280546.73811215849</v>
      </c>
      <c r="AY29" s="1328">
        <f>'Prop. Tax Inc Sidewalk'!M31</f>
        <v>0</v>
      </c>
      <c r="AZ29" s="1329">
        <f>'Prop. Tax Inc Sidewalk'!N31</f>
        <v>0</v>
      </c>
      <c r="BA29" s="1328">
        <f>'Prop. Tax Inc Bike Lane'!M31</f>
        <v>0</v>
      </c>
      <c r="BB29" s="1329">
        <f>'Prop. Tax Inc Bike Lane'!N31</f>
        <v>0</v>
      </c>
      <c r="BC29" s="1328">
        <f>'Prop. Tax Inc Sidewalk &amp; Bike'!M31</f>
        <v>0</v>
      </c>
      <c r="BD29" s="1329">
        <f>'Prop. Tax Inc Sidewalk &amp; Bike'!N31</f>
        <v>0</v>
      </c>
      <c r="BE29" s="1328">
        <f>'Prop. Tax Inc Shared Use Path'!O31</f>
        <v>0</v>
      </c>
      <c r="BF29" s="1329">
        <f>'Prop. Tax Inc Shared Use Path'!P31</f>
        <v>0</v>
      </c>
    </row>
    <row r="30" spans="1:58">
      <c r="A30" s="1327">
        <f>'Major Assumption Key'!A44</f>
        <v>2045</v>
      </c>
      <c r="B30" s="1328">
        <f>'Useful Life'!N32</f>
        <v>0</v>
      </c>
      <c r="C30" s="1329">
        <f>'Useful Life'!O32</f>
        <v>0</v>
      </c>
      <c r="D30" s="1328">
        <f>_xlfn.XLOOKUP(A30,'Non-Roadway Maintenance'!$F$8:$F$48,'Non-Roadway Maintenance'!$K$8:$K$48,,0)</f>
        <v>0</v>
      </c>
      <c r="E30" s="1329">
        <f>_xlfn.XLOOKUP(A30,'Non-Roadway Maintenance'!$F$8:$F$48,'Non-Roadway Maintenance'!$L$8:$L$48,,0)</f>
        <v>0</v>
      </c>
      <c r="F30" s="1330">
        <f>'State of Good Repair AP-CP'!S32</f>
        <v>0</v>
      </c>
      <c r="G30" s="1330">
        <f>'State of Good Repair AP-CP'!T32</f>
        <v>0</v>
      </c>
      <c r="H30" s="1328">
        <f>'State of Good Repair - AP-AP'!S32</f>
        <v>0</v>
      </c>
      <c r="I30" s="1329">
        <f>'State of Good Repair - AP-AP'!T32</f>
        <v>0</v>
      </c>
      <c r="J30" s="1328">
        <f>'State of Good Repair CP-CP '!S32</f>
        <v>0</v>
      </c>
      <c r="K30" s="1329">
        <f>'State of Good Repair CP-CP '!T32</f>
        <v>0</v>
      </c>
      <c r="L30" s="1328">
        <f>'Roadway Safety'!W32</f>
        <v>0</v>
      </c>
      <c r="M30" s="1329">
        <f>'Roadway Safety'!X32</f>
        <v>0</v>
      </c>
      <c r="N30" s="1328">
        <f>'Pedestrian Safety'!Q32</f>
        <v>56002.799999999988</v>
      </c>
      <c r="O30" s="1329">
        <f>'Pedestrian Safety'!R32</f>
        <v>27749.837204875588</v>
      </c>
      <c r="P30" s="1328">
        <f>'Bike Safety'!S32</f>
        <v>169919.99999999997</v>
      </c>
      <c r="Q30" s="1329">
        <f>'Bike Safety'!T32</f>
        <v>84196.724768269807</v>
      </c>
      <c r="R30" s="1328">
        <f>'Facility Improve - Ped'!AK32</f>
        <v>38340.551446712525</v>
      </c>
      <c r="S30" s="1329">
        <f>'Facility Improve - Ped'!AL32</f>
        <v>18998.05118657335</v>
      </c>
      <c r="T30" s="1328">
        <f>'Facility Improve - Bike'!Q32</f>
        <v>40740.852534787045</v>
      </c>
      <c r="U30" s="1329">
        <f>'Facility Improve - Bike'!R32</f>
        <v>20187.419654520556</v>
      </c>
      <c r="V30" s="1328">
        <f>'Facility Improve - Transit Stop'!Y32</f>
        <v>0</v>
      </c>
      <c r="W30" s="1329">
        <f>'Facility Improve - Transit Stop'!Z32</f>
        <v>0</v>
      </c>
      <c r="X30" s="1330">
        <f>_xlfn.XLOOKUP(A30,'Serve Improve - Transit Mode'!F:F,'Serve Improve - Transit Mode'!Y:Y,,0)</f>
        <v>0</v>
      </c>
      <c r="Y30" s="1330">
        <f>_xlfn.XLOOKUP(A30,'Serve Improve - Transit Mode'!F:F,'Serve Improve - Transit Mode'!Z:Z,,0)</f>
        <v>0</v>
      </c>
      <c r="Z30" s="1328">
        <f>'Amenity Improve - Transit Veh '!Q32</f>
        <v>0</v>
      </c>
      <c r="AA30" s="1329">
        <f>'Amenity Improve - Transit Veh '!R32</f>
        <v>0</v>
      </c>
      <c r="AB30" s="1328">
        <f>'Value of Travel Time'!AD32</f>
        <v>0</v>
      </c>
      <c r="AC30" s="1329">
        <f>'Value of Travel Time'!AE32</f>
        <v>0</v>
      </c>
      <c r="AD30" s="1328">
        <f>'Operating Cost Savings'!P32</f>
        <v>0</v>
      </c>
      <c r="AE30" s="1329">
        <f>'Operating Cost Savings'!Q32</f>
        <v>0</v>
      </c>
      <c r="AF30" s="1328">
        <f>'Mortality Reduction - Walk'!O32</f>
        <v>3992.3019601919996</v>
      </c>
      <c r="AG30" s="1329">
        <f>'Mortality Reduction - Walk'!P32</f>
        <v>1978.2176867591213</v>
      </c>
      <c r="AH30" s="1328">
        <f>'Mortality Reduction - Bike'!O32</f>
        <v>225256.97870933544</v>
      </c>
      <c r="AI30" s="1329">
        <f>'Mortality Reduction - Bike'!P32</f>
        <v>111616.64217585883</v>
      </c>
      <c r="AJ30" s="1328">
        <f>'Emission Reduction (VMT)'!S32</f>
        <v>0</v>
      </c>
      <c r="AK30" s="1329">
        <f>'Emission Reduction (VMT)'!T32</f>
        <v>0</v>
      </c>
      <c r="AL30" s="1328">
        <f>'Emission Reduction (Metric Ton)'!AA32</f>
        <v>12727.304452669265</v>
      </c>
      <c r="AM30" s="1329">
        <f>'Emission Reduction (Metric Ton)'!AB32</f>
        <v>6442.0043210681633</v>
      </c>
      <c r="AN30" s="1328">
        <f>'Other Highway Use Externalities'!Q32</f>
        <v>6529.9664988860823</v>
      </c>
      <c r="AO30" s="1329">
        <f>'Other Highway Use Externalities'!R32</f>
        <v>3235.6508477679731</v>
      </c>
      <c r="AP30" s="1328">
        <f>'Auto Idling Benefit - Fuel'!O32</f>
        <v>0</v>
      </c>
      <c r="AQ30" s="1329">
        <f>'Auto Idling Benefit - Fuel'!P32</f>
        <v>0</v>
      </c>
      <c r="AR30" s="1328">
        <f>'Auto Idling Env. Benefits'!Y32</f>
        <v>0</v>
      </c>
      <c r="AS30" s="1329">
        <f>'Auto Idling Env. Benefits'!Z32</f>
        <v>0</v>
      </c>
      <c r="AT30" s="1328">
        <f>_xlfn.XLOOKUP(A30,'Repurposed ROW'!F:F,'Repurposed ROW'!K:K,,0)</f>
        <v>0</v>
      </c>
      <c r="AU30" s="1329">
        <f>_xlfn.XLOOKUP(A30,'Repurposed ROW'!F:F,'Repurposed ROW'!L:L,,0)</f>
        <v>0</v>
      </c>
      <c r="AV30" s="1328">
        <f t="shared" si="0"/>
        <v>553510.75560258236</v>
      </c>
      <c r="AW30" s="1329">
        <f t="shared" si="1"/>
        <v>274404.54784569336</v>
      </c>
      <c r="AY30" s="1328">
        <f>'Prop. Tax Inc Sidewalk'!M32</f>
        <v>0</v>
      </c>
      <c r="AZ30" s="1329">
        <f>'Prop. Tax Inc Sidewalk'!N32</f>
        <v>0</v>
      </c>
      <c r="BA30" s="1328">
        <f>'Prop. Tax Inc Bike Lane'!M32</f>
        <v>0</v>
      </c>
      <c r="BB30" s="1329">
        <f>'Prop. Tax Inc Bike Lane'!N32</f>
        <v>0</v>
      </c>
      <c r="BC30" s="1328">
        <f>'Prop. Tax Inc Sidewalk &amp; Bike'!M32</f>
        <v>0</v>
      </c>
      <c r="BD30" s="1329">
        <f>'Prop. Tax Inc Sidewalk &amp; Bike'!N32</f>
        <v>0</v>
      </c>
      <c r="BE30" s="1328">
        <f>'Prop. Tax Inc Shared Use Path'!O32</f>
        <v>0</v>
      </c>
      <c r="BF30" s="1329">
        <f>'Prop. Tax Inc Shared Use Path'!P32</f>
        <v>0</v>
      </c>
    </row>
    <row r="31" spans="1:58">
      <c r="A31" s="1327">
        <f>'Major Assumption Key'!A45</f>
        <v>2046</v>
      </c>
      <c r="B31" s="1328">
        <f>'Useful Life'!N33</f>
        <v>0</v>
      </c>
      <c r="C31" s="1329">
        <f>'Useful Life'!O33</f>
        <v>0</v>
      </c>
      <c r="D31" s="1328">
        <f>_xlfn.XLOOKUP(A31,'Non-Roadway Maintenance'!$F$8:$F$48,'Non-Roadway Maintenance'!$K$8:$K$48,,0)</f>
        <v>0</v>
      </c>
      <c r="E31" s="1329">
        <f>_xlfn.XLOOKUP(A31,'Non-Roadway Maintenance'!$F$8:$F$48,'Non-Roadway Maintenance'!$L$8:$L$48,,0)</f>
        <v>0</v>
      </c>
      <c r="F31" s="1330">
        <f>'State of Good Repair AP-CP'!S33</f>
        <v>0</v>
      </c>
      <c r="G31" s="1330">
        <f>'State of Good Repair AP-CP'!T33</f>
        <v>0</v>
      </c>
      <c r="H31" s="1328">
        <f>'State of Good Repair - AP-AP'!S33</f>
        <v>0</v>
      </c>
      <c r="I31" s="1329">
        <f>'State of Good Repair - AP-AP'!T33</f>
        <v>0</v>
      </c>
      <c r="J31" s="1328">
        <f>'State of Good Repair CP-CP '!S33</f>
        <v>0</v>
      </c>
      <c r="K31" s="1329">
        <f>'State of Good Repair CP-CP '!T33</f>
        <v>0</v>
      </c>
      <c r="L31" s="1328">
        <f>'Roadway Safety'!W33</f>
        <v>0</v>
      </c>
      <c r="M31" s="1329">
        <f>'Roadway Safety'!X33</f>
        <v>0</v>
      </c>
      <c r="N31" s="1328">
        <f>'Pedestrian Safety'!Q33</f>
        <v>56002.799999999988</v>
      </c>
      <c r="O31" s="1329">
        <f>'Pedestrian Safety'!R33</f>
        <v>26915.458006668858</v>
      </c>
      <c r="P31" s="1328">
        <f>'Bike Safety'!S33</f>
        <v>169919.99999999997</v>
      </c>
      <c r="Q31" s="1329">
        <f>'Bike Safety'!T33</f>
        <v>81665.106467768986</v>
      </c>
      <c r="R31" s="1328">
        <f>'Facility Improve - Ped'!AK33</f>
        <v>38902.545905362371</v>
      </c>
      <c r="S31" s="1329">
        <f>'Facility Improve - Ped'!AL33</f>
        <v>18696.919451675429</v>
      </c>
      <c r="T31" s="1328">
        <f>'Facility Improve - Bike'!Q33</f>
        <v>41341.315867183439</v>
      </c>
      <c r="U31" s="1329">
        <f>'Facility Improve - Bike'!R33</f>
        <v>19869.014605762732</v>
      </c>
      <c r="V31" s="1328">
        <f>'Facility Improve - Transit Stop'!Y33</f>
        <v>0</v>
      </c>
      <c r="W31" s="1329">
        <f>'Facility Improve - Transit Stop'!Z33</f>
        <v>0</v>
      </c>
      <c r="X31" s="1330">
        <f>_xlfn.XLOOKUP(A31,'Serve Improve - Transit Mode'!F:F,'Serve Improve - Transit Mode'!Y:Y,,0)</f>
        <v>0</v>
      </c>
      <c r="Y31" s="1330">
        <f>_xlfn.XLOOKUP(A31,'Serve Improve - Transit Mode'!F:F,'Serve Improve - Transit Mode'!Z:Z,,0)</f>
        <v>0</v>
      </c>
      <c r="Z31" s="1328">
        <f>'Amenity Improve - Transit Veh '!Q33</f>
        <v>0</v>
      </c>
      <c r="AA31" s="1329">
        <f>'Amenity Improve - Transit Veh '!R33</f>
        <v>0</v>
      </c>
      <c r="AB31" s="1328">
        <f>'Value of Travel Time'!AD33</f>
        <v>0</v>
      </c>
      <c r="AC31" s="1329">
        <f>'Value of Travel Time'!AE33</f>
        <v>0</v>
      </c>
      <c r="AD31" s="1328">
        <f>'Operating Cost Savings'!P33</f>
        <v>0</v>
      </c>
      <c r="AE31" s="1329">
        <f>'Operating Cost Savings'!Q33</f>
        <v>0</v>
      </c>
      <c r="AF31" s="1328">
        <f>'Mortality Reduction - Walk'!O33</f>
        <v>3997.0389450427547</v>
      </c>
      <c r="AG31" s="1329">
        <f>'Mortality Reduction - Walk'!P33</f>
        <v>1921.013482831542</v>
      </c>
      <c r="AH31" s="1328">
        <f>'Mortality Reduction - Bike'!O33</f>
        <v>228576.95233938788</v>
      </c>
      <c r="AI31" s="1329">
        <f>'Mortality Reduction - Bike'!P33</f>
        <v>109856.17436955197</v>
      </c>
      <c r="AJ31" s="1328">
        <f>'Emission Reduction (VMT)'!S33</f>
        <v>0</v>
      </c>
      <c r="AK31" s="1329">
        <f>'Emission Reduction (VMT)'!T33</f>
        <v>0</v>
      </c>
      <c r="AL31" s="1328">
        <f>'Emission Reduction (Metric Ton)'!AA33</f>
        <v>12848.371260775577</v>
      </c>
      <c r="AM31" s="1329">
        <f>'Emission Reduction (Metric Ton)'!AB33</f>
        <v>6313.6230488297133</v>
      </c>
      <c r="AN31" s="1328">
        <f>'Other Highway Use Externalities'!Q33</f>
        <v>6601.7560809479291</v>
      </c>
      <c r="AO31" s="1329">
        <f>'Other Highway Use Externalities'!R33</f>
        <v>3172.8643669070975</v>
      </c>
      <c r="AP31" s="1328">
        <f>'Auto Idling Benefit - Fuel'!O33</f>
        <v>0</v>
      </c>
      <c r="AQ31" s="1329">
        <f>'Auto Idling Benefit - Fuel'!P33</f>
        <v>0</v>
      </c>
      <c r="AR31" s="1328">
        <f>'Auto Idling Env. Benefits'!Y33</f>
        <v>0</v>
      </c>
      <c r="AS31" s="1329">
        <f>'Auto Idling Env. Benefits'!Z33</f>
        <v>0</v>
      </c>
      <c r="AT31" s="1328">
        <f>_xlfn.XLOOKUP(A31,'Repurposed ROW'!F:F,'Repurposed ROW'!K:K,,0)</f>
        <v>0</v>
      </c>
      <c r="AU31" s="1329">
        <f>_xlfn.XLOOKUP(A31,'Repurposed ROW'!F:F,'Repurposed ROW'!L:L,,0)</f>
        <v>0</v>
      </c>
      <c r="AV31" s="1328">
        <f t="shared" si="0"/>
        <v>558190.78039869992</v>
      </c>
      <c r="AW31" s="1329">
        <f t="shared" si="1"/>
        <v>268410.17379999632</v>
      </c>
      <c r="AY31" s="1328">
        <f>'Prop. Tax Inc Sidewalk'!M33</f>
        <v>0</v>
      </c>
      <c r="AZ31" s="1329">
        <f>'Prop. Tax Inc Sidewalk'!N33</f>
        <v>0</v>
      </c>
      <c r="BA31" s="1328">
        <f>'Prop. Tax Inc Bike Lane'!M33</f>
        <v>0</v>
      </c>
      <c r="BB31" s="1329">
        <f>'Prop. Tax Inc Bike Lane'!N33</f>
        <v>0</v>
      </c>
      <c r="BC31" s="1328">
        <f>'Prop. Tax Inc Sidewalk &amp; Bike'!M33</f>
        <v>0</v>
      </c>
      <c r="BD31" s="1329">
        <f>'Prop. Tax Inc Sidewalk &amp; Bike'!N33</f>
        <v>0</v>
      </c>
      <c r="BE31" s="1328">
        <f>'Prop. Tax Inc Shared Use Path'!O33</f>
        <v>0</v>
      </c>
      <c r="BF31" s="1329">
        <f>'Prop. Tax Inc Shared Use Path'!P33</f>
        <v>0</v>
      </c>
    </row>
    <row r="32" spans="1:58">
      <c r="A32" s="1327">
        <f>'Major Assumption Key'!A46</f>
        <v>2047</v>
      </c>
      <c r="B32" s="1328">
        <f>'Useful Life'!N34</f>
        <v>11013843</v>
      </c>
      <c r="C32" s="1329">
        <f>'Useful Life'!O34</f>
        <v>5134193.6983541539</v>
      </c>
      <c r="D32" s="1328">
        <f>_xlfn.XLOOKUP(A32,'Non-Roadway Maintenance'!$F$8:$F$48,'Non-Roadway Maintenance'!$K$8:$K$48,,0)</f>
        <v>0</v>
      </c>
      <c r="E32" s="1329">
        <f>_xlfn.XLOOKUP(A32,'Non-Roadway Maintenance'!$F$8:$F$48,'Non-Roadway Maintenance'!$L$8:$L$48,,0)</f>
        <v>0</v>
      </c>
      <c r="F32" s="1330">
        <f>'State of Good Repair AP-CP'!S34</f>
        <v>0</v>
      </c>
      <c r="G32" s="1330">
        <f>'State of Good Repair AP-CP'!T34</f>
        <v>0</v>
      </c>
      <c r="H32" s="1328">
        <f>'State of Good Repair - AP-AP'!S34</f>
        <v>0</v>
      </c>
      <c r="I32" s="1329">
        <f>'State of Good Repair - AP-AP'!T34</f>
        <v>0</v>
      </c>
      <c r="J32" s="1328">
        <f>'State of Good Repair CP-CP '!S34</f>
        <v>0</v>
      </c>
      <c r="K32" s="1329">
        <f>'State of Good Repair CP-CP '!T34</f>
        <v>0</v>
      </c>
      <c r="L32" s="1328">
        <f>'Roadway Safety'!W34</f>
        <v>0</v>
      </c>
      <c r="M32" s="1329">
        <f>'Roadway Safety'!X34</f>
        <v>0</v>
      </c>
      <c r="N32" s="1328">
        <f>'Pedestrian Safety'!Q34</f>
        <v>56002.799999999988</v>
      </c>
      <c r="O32" s="1329">
        <f>'Pedestrian Safety'!R34</f>
        <v>26106.166834790358</v>
      </c>
      <c r="P32" s="1328">
        <f>'Bike Safety'!S34</f>
        <v>169919.99999999997</v>
      </c>
      <c r="Q32" s="1329">
        <f>'Bike Safety'!T34</f>
        <v>79209.608601133834</v>
      </c>
      <c r="R32" s="1328">
        <f>'Facility Improve - Ped'!AK34</f>
        <v>39472.819709850126</v>
      </c>
      <c r="S32" s="1329">
        <f>'Facility Improve - Ped'!AL34</f>
        <v>18400.580270717692</v>
      </c>
      <c r="T32" s="1328">
        <f>'Facility Improve - Bike'!Q34</f>
        <v>41950.629191445958</v>
      </c>
      <c r="U32" s="1329">
        <f>'Facility Improve - Bike'!R34</f>
        <v>19555.631584426403</v>
      </c>
      <c r="V32" s="1328">
        <f>'Facility Improve - Transit Stop'!Y34</f>
        <v>0</v>
      </c>
      <c r="W32" s="1329">
        <f>'Facility Improve - Transit Stop'!Z34</f>
        <v>0</v>
      </c>
      <c r="X32" s="1330">
        <f>_xlfn.XLOOKUP(A32,'Serve Improve - Transit Mode'!F:F,'Serve Improve - Transit Mode'!Y:Y,,0)</f>
        <v>0</v>
      </c>
      <c r="Y32" s="1330">
        <f>_xlfn.XLOOKUP(A32,'Serve Improve - Transit Mode'!F:F,'Serve Improve - Transit Mode'!Z:Z,,0)</f>
        <v>0</v>
      </c>
      <c r="Z32" s="1328">
        <f>'Amenity Improve - Transit Veh '!Q34</f>
        <v>0</v>
      </c>
      <c r="AA32" s="1329">
        <f>'Amenity Improve - Transit Veh '!R34</f>
        <v>0</v>
      </c>
      <c r="AB32" s="1328">
        <f>'Value of Travel Time'!AD34</f>
        <v>0</v>
      </c>
      <c r="AC32" s="1329">
        <f>'Value of Travel Time'!AE34</f>
        <v>0</v>
      </c>
      <c r="AD32" s="1328">
        <f>'Operating Cost Savings'!P34</f>
        <v>0</v>
      </c>
      <c r="AE32" s="1329">
        <f>'Operating Cost Savings'!Q34</f>
        <v>0</v>
      </c>
      <c r="AF32" s="1328">
        <f>'Mortality Reduction - Walk'!O34</f>
        <v>4001.7815504667283</v>
      </c>
      <c r="AG32" s="1329">
        <f>'Mortality Reduction - Walk'!P34</f>
        <v>1865.4634552713519</v>
      </c>
      <c r="AH32" s="1328">
        <f>'Mortality Reduction - Bike'!O34</f>
        <v>231945.85774934525</v>
      </c>
      <c r="AI32" s="1329">
        <f>'Mortality Reduction - Bike'!P34</f>
        <v>108123.47345209455</v>
      </c>
      <c r="AJ32" s="1328">
        <f>'Emission Reduction (VMT)'!S34</f>
        <v>0</v>
      </c>
      <c r="AK32" s="1329">
        <f>'Emission Reduction (VMT)'!T34</f>
        <v>0</v>
      </c>
      <c r="AL32" s="1328">
        <f>'Emission Reduction (Metric Ton)'!AA34</f>
        <v>13011.79953300687</v>
      </c>
      <c r="AM32" s="1329">
        <f>'Emission Reduction (Metric Ton)'!AB34</f>
        <v>6207.4857688406837</v>
      </c>
      <c r="AN32" s="1328">
        <f>'Other Highway Use Externalities'!Q34</f>
        <v>6674.5104378066535</v>
      </c>
      <c r="AO32" s="1329">
        <f>'Other Highway Use Externalities'!R34</f>
        <v>3111.3780566316359</v>
      </c>
      <c r="AP32" s="1328">
        <f>'Auto Idling Benefit - Fuel'!O34</f>
        <v>0</v>
      </c>
      <c r="AQ32" s="1329">
        <f>'Auto Idling Benefit - Fuel'!P34</f>
        <v>0</v>
      </c>
      <c r="AR32" s="1328">
        <f>'Auto Idling Env. Benefits'!Y34</f>
        <v>0</v>
      </c>
      <c r="AS32" s="1329">
        <f>'Auto Idling Env. Benefits'!Z34</f>
        <v>0</v>
      </c>
      <c r="AT32" s="1328">
        <f>_xlfn.XLOOKUP(A32,'Repurposed ROW'!F:F,'Repurposed ROW'!K:K,,0)</f>
        <v>0</v>
      </c>
      <c r="AU32" s="1329">
        <f>_xlfn.XLOOKUP(A32,'Repurposed ROW'!F:F,'Repurposed ROW'!L:L,,0)</f>
        <v>0</v>
      </c>
      <c r="AV32" s="1328">
        <f t="shared" si="0"/>
        <v>11576823.198171923</v>
      </c>
      <c r="AW32" s="1329">
        <f t="shared" si="1"/>
        <v>5396773.4863780607</v>
      </c>
      <c r="AY32" s="1328">
        <f>'Prop. Tax Inc Sidewalk'!M34</f>
        <v>0</v>
      </c>
      <c r="AZ32" s="1329">
        <f>'Prop. Tax Inc Sidewalk'!N34</f>
        <v>0</v>
      </c>
      <c r="BA32" s="1328">
        <f>'Prop. Tax Inc Bike Lane'!M34</f>
        <v>0</v>
      </c>
      <c r="BB32" s="1329">
        <f>'Prop. Tax Inc Bike Lane'!N34</f>
        <v>0</v>
      </c>
      <c r="BC32" s="1328">
        <f>'Prop. Tax Inc Sidewalk &amp; Bike'!M34</f>
        <v>0</v>
      </c>
      <c r="BD32" s="1329">
        <f>'Prop. Tax Inc Sidewalk &amp; Bike'!N34</f>
        <v>0</v>
      </c>
      <c r="BE32" s="1328">
        <f>'Prop. Tax Inc Shared Use Path'!O34</f>
        <v>0</v>
      </c>
      <c r="BF32" s="1329">
        <f>'Prop. Tax Inc Shared Use Path'!P34</f>
        <v>0</v>
      </c>
    </row>
    <row r="33" spans="1:58">
      <c r="A33" s="1327">
        <f>'Major Assumption Key'!A47</f>
        <v>2048</v>
      </c>
      <c r="B33" s="1328">
        <f>'Useful Life'!N35</f>
        <v>0</v>
      </c>
      <c r="C33" s="1329">
        <f>'Useful Life'!O35</f>
        <v>0</v>
      </c>
      <c r="D33" s="1328">
        <f>_xlfn.XLOOKUP(A33,'Non-Roadway Maintenance'!$F$8:$F$48,'Non-Roadway Maintenance'!$K$8:$K$48,,0)</f>
        <v>0</v>
      </c>
      <c r="E33" s="1329">
        <f>_xlfn.XLOOKUP(A33,'Non-Roadway Maintenance'!$F$8:$F$48,'Non-Roadway Maintenance'!$L$8:$L$48,,0)</f>
        <v>0</v>
      </c>
      <c r="F33" s="1330">
        <f>'State of Good Repair AP-CP'!S35</f>
        <v>0</v>
      </c>
      <c r="G33" s="1330">
        <f>'State of Good Repair AP-CP'!T35</f>
        <v>0</v>
      </c>
      <c r="H33" s="1328">
        <f>'State of Good Repair - AP-AP'!S35</f>
        <v>0</v>
      </c>
      <c r="I33" s="1329">
        <f>'State of Good Repair - AP-AP'!T35</f>
        <v>0</v>
      </c>
      <c r="J33" s="1328">
        <f>'State of Good Repair CP-CP '!S35</f>
        <v>0</v>
      </c>
      <c r="K33" s="1329">
        <f>'State of Good Repair CP-CP '!T35</f>
        <v>0</v>
      </c>
      <c r="L33" s="1328">
        <f>'Roadway Safety'!W35</f>
        <v>0</v>
      </c>
      <c r="M33" s="1329">
        <f>'Roadway Safety'!X35</f>
        <v>0</v>
      </c>
      <c r="N33" s="1328">
        <f>'Pedestrian Safety'!Q35</f>
        <v>0</v>
      </c>
      <c r="O33" s="1329">
        <f>'Pedestrian Safety'!R35</f>
        <v>0</v>
      </c>
      <c r="P33" s="1328">
        <f>'Bike Safety'!S35</f>
        <v>0</v>
      </c>
      <c r="Q33" s="1329">
        <f>'Bike Safety'!T35</f>
        <v>0</v>
      </c>
      <c r="R33" s="1328">
        <f>'Facility Improve - Ped'!AK35</f>
        <v>0</v>
      </c>
      <c r="S33" s="1329">
        <f>'Facility Improve - Ped'!AL35</f>
        <v>0</v>
      </c>
      <c r="T33" s="1328">
        <f>'Facility Improve - Bike'!Q35</f>
        <v>0</v>
      </c>
      <c r="U33" s="1329">
        <f>'Facility Improve - Bike'!R35</f>
        <v>0</v>
      </c>
      <c r="V33" s="1328">
        <f>'Facility Improve - Transit Stop'!Y35</f>
        <v>0</v>
      </c>
      <c r="W33" s="1329">
        <f>'Facility Improve - Transit Stop'!Z35</f>
        <v>0</v>
      </c>
      <c r="X33" s="1330">
        <f>_xlfn.XLOOKUP(A33,'Serve Improve - Transit Mode'!F:F,'Serve Improve - Transit Mode'!Y:Y,,0)</f>
        <v>0</v>
      </c>
      <c r="Y33" s="1330">
        <f>_xlfn.XLOOKUP(A33,'Serve Improve - Transit Mode'!F:F,'Serve Improve - Transit Mode'!Z:Z,,0)</f>
        <v>0</v>
      </c>
      <c r="Z33" s="1328">
        <f>'Amenity Improve - Transit Veh '!Q35</f>
        <v>0</v>
      </c>
      <c r="AA33" s="1329">
        <f>'Amenity Improve - Transit Veh '!R35</f>
        <v>0</v>
      </c>
      <c r="AB33" s="1328">
        <f>'Value of Travel Time'!AD35</f>
        <v>0</v>
      </c>
      <c r="AC33" s="1329">
        <f>'Value of Travel Time'!AE35</f>
        <v>0</v>
      </c>
      <c r="AD33" s="1328">
        <f>'Operating Cost Savings'!P35</f>
        <v>0</v>
      </c>
      <c r="AE33" s="1329">
        <f>'Operating Cost Savings'!Q35</f>
        <v>0</v>
      </c>
      <c r="AF33" s="1328">
        <f>'Mortality Reduction - Walk'!O35</f>
        <v>0</v>
      </c>
      <c r="AG33" s="1329">
        <f>'Mortality Reduction - Walk'!P35</f>
        <v>0</v>
      </c>
      <c r="AH33" s="1328">
        <f>'Mortality Reduction - Bike'!O35</f>
        <v>0</v>
      </c>
      <c r="AI33" s="1329">
        <f>'Mortality Reduction - Bike'!P35</f>
        <v>0</v>
      </c>
      <c r="AJ33" s="1328">
        <f>'Emission Reduction (VMT)'!S35</f>
        <v>0</v>
      </c>
      <c r="AK33" s="1329">
        <f>'Emission Reduction (VMT)'!T35</f>
        <v>0</v>
      </c>
      <c r="AL33" s="1328">
        <f>'Emission Reduction (Metric Ton)'!AA35</f>
        <v>0</v>
      </c>
      <c r="AM33" s="1329">
        <f>'Emission Reduction (Metric Ton)'!AB35</f>
        <v>0</v>
      </c>
      <c r="AN33" s="1328">
        <f>'Other Highway Use Externalities'!Q35</f>
        <v>0</v>
      </c>
      <c r="AO33" s="1329">
        <f>'Other Highway Use Externalities'!R35</f>
        <v>0</v>
      </c>
      <c r="AP33" s="1328">
        <f>'Auto Idling Benefit - Fuel'!O35</f>
        <v>0</v>
      </c>
      <c r="AQ33" s="1329">
        <f>'Auto Idling Benefit - Fuel'!P35</f>
        <v>0</v>
      </c>
      <c r="AR33" s="1328">
        <f>'Auto Idling Env. Benefits'!Y35</f>
        <v>0</v>
      </c>
      <c r="AS33" s="1329">
        <f>'Auto Idling Env. Benefits'!Z35</f>
        <v>0</v>
      </c>
      <c r="AT33" s="1328">
        <f>_xlfn.XLOOKUP(A33,'Repurposed ROW'!F:F,'Repurposed ROW'!K:K,,0)</f>
        <v>0</v>
      </c>
      <c r="AU33" s="1329">
        <f>_xlfn.XLOOKUP(A33,'Repurposed ROW'!F:F,'Repurposed ROW'!L:L,,0)</f>
        <v>0</v>
      </c>
      <c r="AV33" s="1328">
        <f t="shared" si="0"/>
        <v>0</v>
      </c>
      <c r="AW33" s="1329">
        <f t="shared" si="1"/>
        <v>0</v>
      </c>
      <c r="AY33" s="1328">
        <f>'Prop. Tax Inc Sidewalk'!M35</f>
        <v>0</v>
      </c>
      <c r="AZ33" s="1329">
        <f>'Prop. Tax Inc Sidewalk'!N35</f>
        <v>0</v>
      </c>
      <c r="BA33" s="1328">
        <f>'Prop. Tax Inc Bike Lane'!M35</f>
        <v>0</v>
      </c>
      <c r="BB33" s="1329">
        <f>'Prop. Tax Inc Bike Lane'!N35</f>
        <v>0</v>
      </c>
      <c r="BC33" s="1328">
        <f>'Prop. Tax Inc Sidewalk &amp; Bike'!M35</f>
        <v>0</v>
      </c>
      <c r="BD33" s="1329">
        <f>'Prop. Tax Inc Sidewalk &amp; Bike'!N35</f>
        <v>0</v>
      </c>
      <c r="BE33" s="1328">
        <f>'Prop. Tax Inc Shared Use Path'!O35</f>
        <v>0</v>
      </c>
      <c r="BF33" s="1329">
        <f>'Prop. Tax Inc Shared Use Path'!P35</f>
        <v>0</v>
      </c>
    </row>
    <row r="34" spans="1:58">
      <c r="A34" s="1327">
        <f>'Major Assumption Key'!A48</f>
        <v>2049</v>
      </c>
      <c r="B34" s="1328">
        <f>'Useful Life'!N36</f>
        <v>0</v>
      </c>
      <c r="C34" s="1329">
        <f>'Useful Life'!O36</f>
        <v>0</v>
      </c>
      <c r="D34" s="1328">
        <f>_xlfn.XLOOKUP(A34,'Non-Roadway Maintenance'!$F$8:$F$48,'Non-Roadway Maintenance'!$K$8:$K$48,,0)</f>
        <v>0</v>
      </c>
      <c r="E34" s="1329">
        <f>_xlfn.XLOOKUP(A34,'Non-Roadway Maintenance'!$F$8:$F$48,'Non-Roadway Maintenance'!$L$8:$L$48,,0)</f>
        <v>0</v>
      </c>
      <c r="F34" s="1330">
        <f>'State of Good Repair AP-CP'!S36</f>
        <v>0</v>
      </c>
      <c r="G34" s="1330">
        <f>'State of Good Repair AP-CP'!T36</f>
        <v>0</v>
      </c>
      <c r="H34" s="1328">
        <f>'State of Good Repair - AP-AP'!S36</f>
        <v>0</v>
      </c>
      <c r="I34" s="1329">
        <f>'State of Good Repair - AP-AP'!T36</f>
        <v>0</v>
      </c>
      <c r="J34" s="1328">
        <f>'State of Good Repair CP-CP '!S36</f>
        <v>0</v>
      </c>
      <c r="K34" s="1329">
        <f>'State of Good Repair CP-CP '!T36</f>
        <v>0</v>
      </c>
      <c r="L34" s="1328">
        <f>'Roadway Safety'!W36</f>
        <v>0</v>
      </c>
      <c r="M34" s="1329">
        <f>'Roadway Safety'!X36</f>
        <v>0</v>
      </c>
      <c r="N34" s="1328">
        <f>'Pedestrian Safety'!Q36</f>
        <v>0</v>
      </c>
      <c r="O34" s="1329">
        <f>'Pedestrian Safety'!R36</f>
        <v>0</v>
      </c>
      <c r="P34" s="1328">
        <f>'Bike Safety'!S36</f>
        <v>0</v>
      </c>
      <c r="Q34" s="1329">
        <f>'Bike Safety'!T36</f>
        <v>0</v>
      </c>
      <c r="R34" s="1328">
        <f>'Facility Improve - Ped'!AK36</f>
        <v>0</v>
      </c>
      <c r="S34" s="1329">
        <f>'Facility Improve - Ped'!AL36</f>
        <v>0</v>
      </c>
      <c r="T34" s="1328">
        <f>'Facility Improve - Bike'!Q36</f>
        <v>0</v>
      </c>
      <c r="U34" s="1329">
        <f>'Facility Improve - Bike'!R36</f>
        <v>0</v>
      </c>
      <c r="V34" s="1328">
        <f>'Facility Improve - Transit Stop'!Y36</f>
        <v>0</v>
      </c>
      <c r="W34" s="1329">
        <f>'Facility Improve - Transit Stop'!Z36</f>
        <v>0</v>
      </c>
      <c r="X34" s="1330">
        <f>_xlfn.XLOOKUP(A34,'Serve Improve - Transit Mode'!F:F,'Serve Improve - Transit Mode'!Y:Y,,0)</f>
        <v>0</v>
      </c>
      <c r="Y34" s="1330">
        <f>_xlfn.XLOOKUP(A34,'Serve Improve - Transit Mode'!F:F,'Serve Improve - Transit Mode'!Z:Z,,0)</f>
        <v>0</v>
      </c>
      <c r="Z34" s="1328">
        <f>'Amenity Improve - Transit Veh '!Q36</f>
        <v>0</v>
      </c>
      <c r="AA34" s="1329">
        <f>'Amenity Improve - Transit Veh '!R36</f>
        <v>0</v>
      </c>
      <c r="AB34" s="1328">
        <f>'Value of Travel Time'!AD36</f>
        <v>0</v>
      </c>
      <c r="AC34" s="1329">
        <f>'Value of Travel Time'!AE36</f>
        <v>0</v>
      </c>
      <c r="AD34" s="1328">
        <f>'Operating Cost Savings'!P36</f>
        <v>0</v>
      </c>
      <c r="AE34" s="1329">
        <f>'Operating Cost Savings'!Q36</f>
        <v>0</v>
      </c>
      <c r="AF34" s="1328">
        <f>'Mortality Reduction - Walk'!O36</f>
        <v>0</v>
      </c>
      <c r="AG34" s="1329">
        <f>'Mortality Reduction - Walk'!P36</f>
        <v>0</v>
      </c>
      <c r="AH34" s="1328">
        <f>'Mortality Reduction - Bike'!O36</f>
        <v>0</v>
      </c>
      <c r="AI34" s="1329">
        <f>'Mortality Reduction - Bike'!P36</f>
        <v>0</v>
      </c>
      <c r="AJ34" s="1328">
        <f>'Emission Reduction (VMT)'!S36</f>
        <v>0</v>
      </c>
      <c r="AK34" s="1329">
        <f>'Emission Reduction (VMT)'!T36</f>
        <v>0</v>
      </c>
      <c r="AL34" s="1328">
        <f>'Emission Reduction (Metric Ton)'!AA36</f>
        <v>0</v>
      </c>
      <c r="AM34" s="1329">
        <f>'Emission Reduction (Metric Ton)'!AB36</f>
        <v>0</v>
      </c>
      <c r="AN34" s="1328">
        <f>'Other Highway Use Externalities'!Q36</f>
        <v>0</v>
      </c>
      <c r="AO34" s="1329">
        <f>'Other Highway Use Externalities'!R36</f>
        <v>0</v>
      </c>
      <c r="AP34" s="1328">
        <f>'Auto Idling Benefit - Fuel'!O36</f>
        <v>0</v>
      </c>
      <c r="AQ34" s="1329">
        <f>'Auto Idling Benefit - Fuel'!P36</f>
        <v>0</v>
      </c>
      <c r="AR34" s="1328">
        <f>'Auto Idling Env. Benefits'!Y36</f>
        <v>0</v>
      </c>
      <c r="AS34" s="1329">
        <f>'Auto Idling Env. Benefits'!Z36</f>
        <v>0</v>
      </c>
      <c r="AT34" s="1328">
        <f>_xlfn.XLOOKUP(A34,'Repurposed ROW'!F:F,'Repurposed ROW'!K:K,,0)</f>
        <v>0</v>
      </c>
      <c r="AU34" s="1329">
        <f>_xlfn.XLOOKUP(A34,'Repurposed ROW'!F:F,'Repurposed ROW'!L:L,,0)</f>
        <v>0</v>
      </c>
      <c r="AV34" s="1328">
        <f t="shared" si="0"/>
        <v>0</v>
      </c>
      <c r="AW34" s="1329">
        <f t="shared" si="1"/>
        <v>0</v>
      </c>
      <c r="AY34" s="1328">
        <f>'Prop. Tax Inc Sidewalk'!M36</f>
        <v>0</v>
      </c>
      <c r="AZ34" s="1329">
        <f>'Prop. Tax Inc Sidewalk'!N36</f>
        <v>0</v>
      </c>
      <c r="BA34" s="1328">
        <f>'Prop. Tax Inc Bike Lane'!M36</f>
        <v>0</v>
      </c>
      <c r="BB34" s="1329">
        <f>'Prop. Tax Inc Bike Lane'!N36</f>
        <v>0</v>
      </c>
      <c r="BC34" s="1328">
        <f>'Prop. Tax Inc Sidewalk &amp; Bike'!M36</f>
        <v>0</v>
      </c>
      <c r="BD34" s="1329">
        <f>'Prop. Tax Inc Sidewalk &amp; Bike'!N36</f>
        <v>0</v>
      </c>
      <c r="BE34" s="1328">
        <f>'Prop. Tax Inc Shared Use Path'!O36</f>
        <v>0</v>
      </c>
      <c r="BF34" s="1329">
        <f>'Prop. Tax Inc Shared Use Path'!P36</f>
        <v>0</v>
      </c>
    </row>
    <row r="35" spans="1:58">
      <c r="A35" s="1327">
        <f>'Major Assumption Key'!A49</f>
        <v>2050</v>
      </c>
      <c r="B35" s="1328">
        <f>'Useful Life'!N37</f>
        <v>0</v>
      </c>
      <c r="C35" s="1329">
        <f>'Useful Life'!O37</f>
        <v>0</v>
      </c>
      <c r="D35" s="1328">
        <f>_xlfn.XLOOKUP(A35,'Non-Roadway Maintenance'!$F$8:$F$48,'Non-Roadway Maintenance'!$K$8:$K$48,,0)</f>
        <v>0</v>
      </c>
      <c r="E35" s="1329">
        <f>_xlfn.XLOOKUP(A35,'Non-Roadway Maintenance'!$F$8:$F$48,'Non-Roadway Maintenance'!$L$8:$L$48,,0)</f>
        <v>0</v>
      </c>
      <c r="F35" s="1330">
        <f>'State of Good Repair AP-CP'!S37</f>
        <v>0</v>
      </c>
      <c r="G35" s="1330">
        <f>'State of Good Repair AP-CP'!T37</f>
        <v>0</v>
      </c>
      <c r="H35" s="1328">
        <f>'State of Good Repair - AP-AP'!S37</f>
        <v>0</v>
      </c>
      <c r="I35" s="1329">
        <f>'State of Good Repair - AP-AP'!T37</f>
        <v>0</v>
      </c>
      <c r="J35" s="1328">
        <f>'State of Good Repair CP-CP '!S37</f>
        <v>0</v>
      </c>
      <c r="K35" s="1329">
        <f>'State of Good Repair CP-CP '!T37</f>
        <v>0</v>
      </c>
      <c r="L35" s="1328">
        <f>'Roadway Safety'!W37</f>
        <v>0</v>
      </c>
      <c r="M35" s="1329">
        <f>'Roadway Safety'!X37</f>
        <v>0</v>
      </c>
      <c r="N35" s="1328">
        <f>'Pedestrian Safety'!Q37</f>
        <v>0</v>
      </c>
      <c r="O35" s="1329">
        <f>'Pedestrian Safety'!R37</f>
        <v>0</v>
      </c>
      <c r="P35" s="1328">
        <f>'Bike Safety'!S37</f>
        <v>0</v>
      </c>
      <c r="Q35" s="1329">
        <f>'Bike Safety'!T37</f>
        <v>0</v>
      </c>
      <c r="R35" s="1328">
        <f>'Facility Improve - Ped'!AK37</f>
        <v>0</v>
      </c>
      <c r="S35" s="1329">
        <f>'Facility Improve - Ped'!AL37</f>
        <v>0</v>
      </c>
      <c r="T35" s="1328">
        <f>'Facility Improve - Bike'!Q37</f>
        <v>0</v>
      </c>
      <c r="U35" s="1329">
        <f>'Facility Improve - Bike'!R37</f>
        <v>0</v>
      </c>
      <c r="V35" s="1328">
        <f>'Facility Improve - Transit Stop'!Y37</f>
        <v>0</v>
      </c>
      <c r="W35" s="1329">
        <f>'Facility Improve - Transit Stop'!Z37</f>
        <v>0</v>
      </c>
      <c r="X35" s="1330">
        <f>_xlfn.XLOOKUP(A35,'Serve Improve - Transit Mode'!F:F,'Serve Improve - Transit Mode'!Y:Y,,0)</f>
        <v>0</v>
      </c>
      <c r="Y35" s="1330">
        <f>_xlfn.XLOOKUP(A35,'Serve Improve - Transit Mode'!F:F,'Serve Improve - Transit Mode'!Z:Z,,0)</f>
        <v>0</v>
      </c>
      <c r="Z35" s="1328">
        <f>'Amenity Improve - Transit Veh '!Q37</f>
        <v>0</v>
      </c>
      <c r="AA35" s="1329">
        <f>'Amenity Improve - Transit Veh '!R37</f>
        <v>0</v>
      </c>
      <c r="AB35" s="1328">
        <f>'Value of Travel Time'!AD37</f>
        <v>0</v>
      </c>
      <c r="AC35" s="1329">
        <f>'Value of Travel Time'!AE37</f>
        <v>0</v>
      </c>
      <c r="AD35" s="1328">
        <f>'Operating Cost Savings'!P37</f>
        <v>0</v>
      </c>
      <c r="AE35" s="1329">
        <f>'Operating Cost Savings'!Q37</f>
        <v>0</v>
      </c>
      <c r="AF35" s="1328">
        <f>'Mortality Reduction - Walk'!O37</f>
        <v>0</v>
      </c>
      <c r="AG35" s="1329">
        <f>'Mortality Reduction - Walk'!P37</f>
        <v>0</v>
      </c>
      <c r="AH35" s="1328">
        <f>'Mortality Reduction - Bike'!O37</f>
        <v>0</v>
      </c>
      <c r="AI35" s="1329">
        <f>'Mortality Reduction - Bike'!P37</f>
        <v>0</v>
      </c>
      <c r="AJ35" s="1328">
        <f>'Emission Reduction (VMT)'!S37</f>
        <v>0</v>
      </c>
      <c r="AK35" s="1329">
        <f>'Emission Reduction (VMT)'!T37</f>
        <v>0</v>
      </c>
      <c r="AL35" s="1328">
        <f>'Emission Reduction (Metric Ton)'!AA37</f>
        <v>0</v>
      </c>
      <c r="AM35" s="1329">
        <f>'Emission Reduction (Metric Ton)'!AB37</f>
        <v>0</v>
      </c>
      <c r="AN35" s="1328">
        <f>'Other Highway Use Externalities'!Q37</f>
        <v>0</v>
      </c>
      <c r="AO35" s="1329">
        <f>'Other Highway Use Externalities'!R37</f>
        <v>0</v>
      </c>
      <c r="AP35" s="1328">
        <f>'Auto Idling Benefit - Fuel'!O37</f>
        <v>0</v>
      </c>
      <c r="AQ35" s="1329">
        <f>'Auto Idling Benefit - Fuel'!P37</f>
        <v>0</v>
      </c>
      <c r="AR35" s="1328">
        <f>'Auto Idling Env. Benefits'!Y37</f>
        <v>0</v>
      </c>
      <c r="AS35" s="1329">
        <f>'Auto Idling Env. Benefits'!Z37</f>
        <v>0</v>
      </c>
      <c r="AT35" s="1328">
        <f>_xlfn.XLOOKUP(A35,'Repurposed ROW'!F:F,'Repurposed ROW'!K:K,,0)</f>
        <v>0</v>
      </c>
      <c r="AU35" s="1329">
        <f>_xlfn.XLOOKUP(A35,'Repurposed ROW'!F:F,'Repurposed ROW'!L:L,,0)</f>
        <v>0</v>
      </c>
      <c r="AV35" s="1328">
        <f t="shared" si="0"/>
        <v>0</v>
      </c>
      <c r="AW35" s="1329">
        <f t="shared" si="1"/>
        <v>0</v>
      </c>
      <c r="AY35" s="1328">
        <f>'Prop. Tax Inc Sidewalk'!M37</f>
        <v>0</v>
      </c>
      <c r="AZ35" s="1329">
        <f>'Prop. Tax Inc Sidewalk'!N37</f>
        <v>0</v>
      </c>
      <c r="BA35" s="1328">
        <f>'Prop. Tax Inc Bike Lane'!M37</f>
        <v>0</v>
      </c>
      <c r="BB35" s="1329">
        <f>'Prop. Tax Inc Bike Lane'!N37</f>
        <v>0</v>
      </c>
      <c r="BC35" s="1328">
        <f>'Prop. Tax Inc Sidewalk &amp; Bike'!M37</f>
        <v>0</v>
      </c>
      <c r="BD35" s="1329">
        <f>'Prop. Tax Inc Sidewalk &amp; Bike'!N37</f>
        <v>0</v>
      </c>
      <c r="BE35" s="1328">
        <f>'Prop. Tax Inc Shared Use Path'!O37</f>
        <v>0</v>
      </c>
      <c r="BF35" s="1329">
        <f>'Prop. Tax Inc Shared Use Path'!P37</f>
        <v>0</v>
      </c>
    </row>
    <row r="36" spans="1:58">
      <c r="A36" s="1327">
        <f>'Major Assumption Key'!A50</f>
        <v>2051</v>
      </c>
      <c r="B36" s="1328">
        <f>'Useful Life'!N38</f>
        <v>0</v>
      </c>
      <c r="C36" s="1329">
        <f>'Useful Life'!O38</f>
        <v>0</v>
      </c>
      <c r="D36" s="1328">
        <f>_xlfn.XLOOKUP(A36,'Non-Roadway Maintenance'!$F$8:$F$48,'Non-Roadway Maintenance'!$K$8:$K$48,,0)</f>
        <v>0</v>
      </c>
      <c r="E36" s="1329">
        <f>_xlfn.XLOOKUP(A36,'Non-Roadway Maintenance'!$F$8:$F$48,'Non-Roadway Maintenance'!$L$8:$L$48,,0)</f>
        <v>0</v>
      </c>
      <c r="F36" s="1330">
        <f>'State of Good Repair AP-CP'!S38</f>
        <v>0</v>
      </c>
      <c r="G36" s="1330">
        <f>'State of Good Repair AP-CP'!T38</f>
        <v>0</v>
      </c>
      <c r="H36" s="1328">
        <f>'State of Good Repair - AP-AP'!S38</f>
        <v>0</v>
      </c>
      <c r="I36" s="1329">
        <f>'State of Good Repair - AP-AP'!T38</f>
        <v>0</v>
      </c>
      <c r="J36" s="1328">
        <f>'State of Good Repair CP-CP '!S38</f>
        <v>0</v>
      </c>
      <c r="K36" s="1329">
        <f>'State of Good Repair CP-CP '!T38</f>
        <v>0</v>
      </c>
      <c r="L36" s="1328">
        <f>'Roadway Safety'!W38</f>
        <v>0</v>
      </c>
      <c r="M36" s="1329">
        <f>'Roadway Safety'!X38</f>
        <v>0</v>
      </c>
      <c r="N36" s="1328">
        <f>'Pedestrian Safety'!Q38</f>
        <v>0</v>
      </c>
      <c r="O36" s="1329">
        <f>'Pedestrian Safety'!R38</f>
        <v>0</v>
      </c>
      <c r="P36" s="1328">
        <f>'Bike Safety'!S38</f>
        <v>0</v>
      </c>
      <c r="Q36" s="1329">
        <f>'Bike Safety'!T38</f>
        <v>0</v>
      </c>
      <c r="R36" s="1328">
        <f>'Facility Improve - Ped'!AK38</f>
        <v>0</v>
      </c>
      <c r="S36" s="1329">
        <f>'Facility Improve - Ped'!AL38</f>
        <v>0</v>
      </c>
      <c r="T36" s="1328">
        <f>'Facility Improve - Bike'!Q38</f>
        <v>0</v>
      </c>
      <c r="U36" s="1329">
        <f>'Facility Improve - Bike'!R38</f>
        <v>0</v>
      </c>
      <c r="V36" s="1328">
        <f>'Facility Improve - Transit Stop'!Y38</f>
        <v>0</v>
      </c>
      <c r="W36" s="1329">
        <f>'Facility Improve - Transit Stop'!Z38</f>
        <v>0</v>
      </c>
      <c r="X36" s="1330">
        <f>_xlfn.XLOOKUP(A36,'Serve Improve - Transit Mode'!F:F,'Serve Improve - Transit Mode'!Y:Y,,0)</f>
        <v>0</v>
      </c>
      <c r="Y36" s="1330">
        <f>_xlfn.XLOOKUP(A36,'Serve Improve - Transit Mode'!F:F,'Serve Improve - Transit Mode'!Z:Z,,0)</f>
        <v>0</v>
      </c>
      <c r="Z36" s="1328">
        <f>'Amenity Improve - Transit Veh '!Q38</f>
        <v>0</v>
      </c>
      <c r="AA36" s="1329">
        <f>'Amenity Improve - Transit Veh '!R38</f>
        <v>0</v>
      </c>
      <c r="AB36" s="1328">
        <f>'Value of Travel Time'!AD38</f>
        <v>0</v>
      </c>
      <c r="AC36" s="1329">
        <f>'Value of Travel Time'!AE38</f>
        <v>0</v>
      </c>
      <c r="AD36" s="1328">
        <f>'Operating Cost Savings'!P38</f>
        <v>0</v>
      </c>
      <c r="AE36" s="1329">
        <f>'Operating Cost Savings'!Q38</f>
        <v>0</v>
      </c>
      <c r="AF36" s="1328">
        <f>'Mortality Reduction - Walk'!O38</f>
        <v>0</v>
      </c>
      <c r="AG36" s="1329">
        <f>'Mortality Reduction - Walk'!P38</f>
        <v>0</v>
      </c>
      <c r="AH36" s="1328">
        <f>'Mortality Reduction - Bike'!O38</f>
        <v>0</v>
      </c>
      <c r="AI36" s="1329">
        <f>'Mortality Reduction - Bike'!P38</f>
        <v>0</v>
      </c>
      <c r="AJ36" s="1328">
        <f>'Emission Reduction (VMT)'!S38</f>
        <v>0</v>
      </c>
      <c r="AK36" s="1329">
        <f>'Emission Reduction (VMT)'!T38</f>
        <v>0</v>
      </c>
      <c r="AL36" s="1328">
        <f>'Emission Reduction (Metric Ton)'!AA38</f>
        <v>0</v>
      </c>
      <c r="AM36" s="1329">
        <f>'Emission Reduction (Metric Ton)'!AB38</f>
        <v>0</v>
      </c>
      <c r="AN36" s="1328">
        <f>'Other Highway Use Externalities'!Q38</f>
        <v>0</v>
      </c>
      <c r="AO36" s="1329">
        <f>'Other Highway Use Externalities'!R38</f>
        <v>0</v>
      </c>
      <c r="AP36" s="1328">
        <f>'Auto Idling Benefit - Fuel'!O38</f>
        <v>0</v>
      </c>
      <c r="AQ36" s="1329">
        <f>'Auto Idling Benefit - Fuel'!P38</f>
        <v>0</v>
      </c>
      <c r="AR36" s="1328">
        <f>'Auto Idling Env. Benefits'!Y38</f>
        <v>0</v>
      </c>
      <c r="AS36" s="1329">
        <f>'Auto Idling Env. Benefits'!Z38</f>
        <v>0</v>
      </c>
      <c r="AT36" s="1328">
        <f>_xlfn.XLOOKUP(A36,'Repurposed ROW'!F:F,'Repurposed ROW'!K:K,,0)</f>
        <v>0</v>
      </c>
      <c r="AU36" s="1329">
        <f>_xlfn.XLOOKUP(A36,'Repurposed ROW'!F:F,'Repurposed ROW'!L:L,,0)</f>
        <v>0</v>
      </c>
      <c r="AV36" s="1328">
        <f t="shared" si="0"/>
        <v>0</v>
      </c>
      <c r="AW36" s="1329">
        <f t="shared" si="1"/>
        <v>0</v>
      </c>
      <c r="AY36" s="1328">
        <f>'Prop. Tax Inc Sidewalk'!M38</f>
        <v>0</v>
      </c>
      <c r="AZ36" s="1329">
        <f>'Prop. Tax Inc Sidewalk'!N38</f>
        <v>0</v>
      </c>
      <c r="BA36" s="1328">
        <f>'Prop. Tax Inc Bike Lane'!M38</f>
        <v>0</v>
      </c>
      <c r="BB36" s="1329">
        <f>'Prop. Tax Inc Bike Lane'!N38</f>
        <v>0</v>
      </c>
      <c r="BC36" s="1328">
        <f>'Prop. Tax Inc Sidewalk &amp; Bike'!M38</f>
        <v>0</v>
      </c>
      <c r="BD36" s="1329">
        <f>'Prop. Tax Inc Sidewalk &amp; Bike'!N38</f>
        <v>0</v>
      </c>
      <c r="BE36" s="1328">
        <f>'Prop. Tax Inc Shared Use Path'!O38</f>
        <v>0</v>
      </c>
      <c r="BF36" s="1329">
        <f>'Prop. Tax Inc Shared Use Path'!P38</f>
        <v>0</v>
      </c>
    </row>
    <row r="37" spans="1:58">
      <c r="A37" s="1327">
        <f>'Major Assumption Key'!A51</f>
        <v>2052</v>
      </c>
      <c r="B37" s="1328">
        <f>'Useful Life'!N39</f>
        <v>0</v>
      </c>
      <c r="C37" s="1329">
        <f>'Useful Life'!O39</f>
        <v>0</v>
      </c>
      <c r="D37" s="1328">
        <f>_xlfn.XLOOKUP(A37,'Non-Roadway Maintenance'!$F$8:$F$48,'Non-Roadway Maintenance'!$K$8:$K$48,,0)</f>
        <v>0</v>
      </c>
      <c r="E37" s="1329">
        <f>_xlfn.XLOOKUP(A37,'Non-Roadway Maintenance'!$F$8:$F$48,'Non-Roadway Maintenance'!$L$8:$L$48,,0)</f>
        <v>0</v>
      </c>
      <c r="F37" s="1330">
        <f>'State of Good Repair AP-CP'!S39</f>
        <v>0</v>
      </c>
      <c r="G37" s="1330">
        <f>'State of Good Repair AP-CP'!T39</f>
        <v>0</v>
      </c>
      <c r="H37" s="1328">
        <f>'State of Good Repair - AP-AP'!S39</f>
        <v>0</v>
      </c>
      <c r="I37" s="1329">
        <f>'State of Good Repair - AP-AP'!T39</f>
        <v>0</v>
      </c>
      <c r="J37" s="1328">
        <f>'State of Good Repair CP-CP '!S39</f>
        <v>0</v>
      </c>
      <c r="K37" s="1329">
        <f>'State of Good Repair CP-CP '!T39</f>
        <v>0</v>
      </c>
      <c r="L37" s="1328">
        <f>'Roadway Safety'!W39</f>
        <v>0</v>
      </c>
      <c r="M37" s="1329">
        <f>'Roadway Safety'!X39</f>
        <v>0</v>
      </c>
      <c r="N37" s="1328">
        <f>'Pedestrian Safety'!Q39</f>
        <v>0</v>
      </c>
      <c r="O37" s="1329">
        <f>'Pedestrian Safety'!R39</f>
        <v>0</v>
      </c>
      <c r="P37" s="1328">
        <f>'Bike Safety'!S39</f>
        <v>0</v>
      </c>
      <c r="Q37" s="1329">
        <f>'Bike Safety'!T39</f>
        <v>0</v>
      </c>
      <c r="R37" s="1328">
        <f>'Facility Improve - Ped'!AK39</f>
        <v>0</v>
      </c>
      <c r="S37" s="1329">
        <f>'Facility Improve - Ped'!AL39</f>
        <v>0</v>
      </c>
      <c r="T37" s="1328">
        <f>'Facility Improve - Bike'!Q39</f>
        <v>0</v>
      </c>
      <c r="U37" s="1329">
        <f>'Facility Improve - Bike'!R39</f>
        <v>0</v>
      </c>
      <c r="V37" s="1328">
        <f>'Facility Improve - Transit Stop'!Y39</f>
        <v>0</v>
      </c>
      <c r="W37" s="1329">
        <f>'Facility Improve - Transit Stop'!Z39</f>
        <v>0</v>
      </c>
      <c r="X37" s="1330">
        <f>_xlfn.XLOOKUP(A37,'Serve Improve - Transit Mode'!F:F,'Serve Improve - Transit Mode'!Y:Y,,0)</f>
        <v>0</v>
      </c>
      <c r="Y37" s="1330">
        <f>_xlfn.XLOOKUP(A37,'Serve Improve - Transit Mode'!F:F,'Serve Improve - Transit Mode'!Z:Z,,0)</f>
        <v>0</v>
      </c>
      <c r="Z37" s="1328">
        <f>'Amenity Improve - Transit Veh '!Q39</f>
        <v>0</v>
      </c>
      <c r="AA37" s="1329">
        <f>'Amenity Improve - Transit Veh '!R39</f>
        <v>0</v>
      </c>
      <c r="AB37" s="1328">
        <f>'Value of Travel Time'!AD39</f>
        <v>0</v>
      </c>
      <c r="AC37" s="1329">
        <f>'Value of Travel Time'!AE39</f>
        <v>0</v>
      </c>
      <c r="AD37" s="1328">
        <f>'Operating Cost Savings'!P39</f>
        <v>0</v>
      </c>
      <c r="AE37" s="1329">
        <f>'Operating Cost Savings'!Q39</f>
        <v>0</v>
      </c>
      <c r="AF37" s="1328">
        <f>'Mortality Reduction - Walk'!O39</f>
        <v>0</v>
      </c>
      <c r="AG37" s="1329">
        <f>'Mortality Reduction - Walk'!P39</f>
        <v>0</v>
      </c>
      <c r="AH37" s="1328">
        <f>'Mortality Reduction - Bike'!O39</f>
        <v>0</v>
      </c>
      <c r="AI37" s="1329">
        <f>'Mortality Reduction - Bike'!P39</f>
        <v>0</v>
      </c>
      <c r="AJ37" s="1328">
        <f>'Emission Reduction (VMT)'!S39</f>
        <v>0</v>
      </c>
      <c r="AK37" s="1329">
        <f>'Emission Reduction (VMT)'!T39</f>
        <v>0</v>
      </c>
      <c r="AL37" s="1328">
        <f>'Emission Reduction (Metric Ton)'!AA39</f>
        <v>0</v>
      </c>
      <c r="AM37" s="1329">
        <f>'Emission Reduction (Metric Ton)'!AB39</f>
        <v>0</v>
      </c>
      <c r="AN37" s="1328">
        <f>'Other Highway Use Externalities'!Q39</f>
        <v>0</v>
      </c>
      <c r="AO37" s="1329">
        <f>'Other Highway Use Externalities'!R39</f>
        <v>0</v>
      </c>
      <c r="AP37" s="1328">
        <f>'Auto Idling Benefit - Fuel'!O39</f>
        <v>0</v>
      </c>
      <c r="AQ37" s="1329">
        <f>'Auto Idling Benefit - Fuel'!P39</f>
        <v>0</v>
      </c>
      <c r="AR37" s="1328">
        <f>'Auto Idling Env. Benefits'!Y39</f>
        <v>0</v>
      </c>
      <c r="AS37" s="1329">
        <f>'Auto Idling Env. Benefits'!Z39</f>
        <v>0</v>
      </c>
      <c r="AT37" s="1328">
        <f>_xlfn.XLOOKUP(A37,'Repurposed ROW'!F:F,'Repurposed ROW'!K:K,,0)</f>
        <v>0</v>
      </c>
      <c r="AU37" s="1329">
        <f>_xlfn.XLOOKUP(A37,'Repurposed ROW'!F:F,'Repurposed ROW'!L:L,,0)</f>
        <v>0</v>
      </c>
      <c r="AV37" s="1328">
        <f t="shared" si="0"/>
        <v>0</v>
      </c>
      <c r="AW37" s="1329">
        <f t="shared" si="1"/>
        <v>0</v>
      </c>
      <c r="AY37" s="1328">
        <f>'Prop. Tax Inc Sidewalk'!M39</f>
        <v>0</v>
      </c>
      <c r="AZ37" s="1329">
        <f>'Prop. Tax Inc Sidewalk'!N39</f>
        <v>0</v>
      </c>
      <c r="BA37" s="1328">
        <f>'Prop. Tax Inc Bike Lane'!M39</f>
        <v>0</v>
      </c>
      <c r="BB37" s="1329">
        <f>'Prop. Tax Inc Bike Lane'!N39</f>
        <v>0</v>
      </c>
      <c r="BC37" s="1328">
        <f>'Prop. Tax Inc Sidewalk &amp; Bike'!M39</f>
        <v>0</v>
      </c>
      <c r="BD37" s="1329">
        <f>'Prop. Tax Inc Sidewalk &amp; Bike'!N39</f>
        <v>0</v>
      </c>
      <c r="BE37" s="1328">
        <f>'Prop. Tax Inc Shared Use Path'!O39</f>
        <v>0</v>
      </c>
      <c r="BF37" s="1329">
        <f>'Prop. Tax Inc Shared Use Path'!P39</f>
        <v>0</v>
      </c>
    </row>
    <row r="38" spans="1:58">
      <c r="A38" s="1327">
        <f>'Major Assumption Key'!A52</f>
        <v>2053</v>
      </c>
      <c r="B38" s="1328">
        <f>'Useful Life'!N40</f>
        <v>0</v>
      </c>
      <c r="C38" s="1329">
        <f>'Useful Life'!O40</f>
        <v>0</v>
      </c>
      <c r="D38" s="1328">
        <f>_xlfn.XLOOKUP(A38,'Non-Roadway Maintenance'!$F$8:$F$48,'Non-Roadway Maintenance'!$K$8:$K$48,,0)</f>
        <v>0</v>
      </c>
      <c r="E38" s="1329">
        <f>_xlfn.XLOOKUP(A38,'Non-Roadway Maintenance'!$F$8:$F$48,'Non-Roadway Maintenance'!$L$8:$L$48,,0)</f>
        <v>0</v>
      </c>
      <c r="F38" s="1330">
        <f>'State of Good Repair AP-CP'!S40</f>
        <v>0</v>
      </c>
      <c r="G38" s="1330">
        <f>'State of Good Repair AP-CP'!T40</f>
        <v>0</v>
      </c>
      <c r="H38" s="1328">
        <f>'State of Good Repair - AP-AP'!S40</f>
        <v>0</v>
      </c>
      <c r="I38" s="1329">
        <f>'State of Good Repair - AP-AP'!T40</f>
        <v>0</v>
      </c>
      <c r="J38" s="1328">
        <f>'State of Good Repair CP-CP '!S40</f>
        <v>0</v>
      </c>
      <c r="K38" s="1329">
        <f>'State of Good Repair CP-CP '!T40</f>
        <v>0</v>
      </c>
      <c r="L38" s="1328">
        <f>'Roadway Safety'!W40</f>
        <v>0</v>
      </c>
      <c r="M38" s="1329">
        <f>'Roadway Safety'!X40</f>
        <v>0</v>
      </c>
      <c r="N38" s="1328">
        <f>'Pedestrian Safety'!Q40</f>
        <v>0</v>
      </c>
      <c r="O38" s="1329">
        <f>'Pedestrian Safety'!R40</f>
        <v>0</v>
      </c>
      <c r="P38" s="1328">
        <f>'Bike Safety'!S40</f>
        <v>0</v>
      </c>
      <c r="Q38" s="1329">
        <f>'Bike Safety'!T40</f>
        <v>0</v>
      </c>
      <c r="R38" s="1328">
        <f>'Facility Improve - Ped'!AK40</f>
        <v>0</v>
      </c>
      <c r="S38" s="1329">
        <f>'Facility Improve - Ped'!AL40</f>
        <v>0</v>
      </c>
      <c r="T38" s="1328">
        <f>'Facility Improve - Bike'!Q40</f>
        <v>0</v>
      </c>
      <c r="U38" s="1329">
        <f>'Facility Improve - Bike'!R40</f>
        <v>0</v>
      </c>
      <c r="V38" s="1328">
        <f>'Facility Improve - Transit Stop'!Y40</f>
        <v>0</v>
      </c>
      <c r="W38" s="1329">
        <f>'Facility Improve - Transit Stop'!Z40</f>
        <v>0</v>
      </c>
      <c r="X38" s="1330">
        <f>_xlfn.XLOOKUP(A38,'Serve Improve - Transit Mode'!F:F,'Serve Improve - Transit Mode'!Y:Y,,0)</f>
        <v>0</v>
      </c>
      <c r="Y38" s="1330">
        <f>_xlfn.XLOOKUP(A38,'Serve Improve - Transit Mode'!F:F,'Serve Improve - Transit Mode'!Z:Z,,0)</f>
        <v>0</v>
      </c>
      <c r="Z38" s="1328">
        <f>'Amenity Improve - Transit Veh '!Q40</f>
        <v>0</v>
      </c>
      <c r="AA38" s="1329">
        <f>'Amenity Improve - Transit Veh '!R40</f>
        <v>0</v>
      </c>
      <c r="AB38" s="1328">
        <f>'Value of Travel Time'!AD40</f>
        <v>0</v>
      </c>
      <c r="AC38" s="1329">
        <f>'Value of Travel Time'!AE40</f>
        <v>0</v>
      </c>
      <c r="AD38" s="1328">
        <f>'Operating Cost Savings'!P40</f>
        <v>0</v>
      </c>
      <c r="AE38" s="1329">
        <f>'Operating Cost Savings'!Q40</f>
        <v>0</v>
      </c>
      <c r="AF38" s="1328">
        <f>'Mortality Reduction - Walk'!O40</f>
        <v>0</v>
      </c>
      <c r="AG38" s="1329">
        <f>'Mortality Reduction - Walk'!P40</f>
        <v>0</v>
      </c>
      <c r="AH38" s="1328">
        <f>'Mortality Reduction - Bike'!O40</f>
        <v>0</v>
      </c>
      <c r="AI38" s="1329">
        <f>'Mortality Reduction - Bike'!P40</f>
        <v>0</v>
      </c>
      <c r="AJ38" s="1328">
        <f>'Emission Reduction (VMT)'!S40</f>
        <v>0</v>
      </c>
      <c r="AK38" s="1329">
        <f>'Emission Reduction (VMT)'!T40</f>
        <v>0</v>
      </c>
      <c r="AL38" s="1328">
        <f>'Emission Reduction (Metric Ton)'!AA40</f>
        <v>0</v>
      </c>
      <c r="AM38" s="1329">
        <f>'Emission Reduction (Metric Ton)'!AB40</f>
        <v>0</v>
      </c>
      <c r="AN38" s="1328">
        <f>'Other Highway Use Externalities'!Q40</f>
        <v>0</v>
      </c>
      <c r="AO38" s="1329">
        <f>'Other Highway Use Externalities'!R40</f>
        <v>0</v>
      </c>
      <c r="AP38" s="1328">
        <f>'Auto Idling Benefit - Fuel'!O40</f>
        <v>0</v>
      </c>
      <c r="AQ38" s="1329">
        <f>'Auto Idling Benefit - Fuel'!P40</f>
        <v>0</v>
      </c>
      <c r="AR38" s="1328">
        <f>'Auto Idling Env. Benefits'!Y40</f>
        <v>0</v>
      </c>
      <c r="AS38" s="1329">
        <f>'Auto Idling Env. Benefits'!Z40</f>
        <v>0</v>
      </c>
      <c r="AT38" s="1328">
        <f>_xlfn.XLOOKUP(A38,'Repurposed ROW'!F:F,'Repurposed ROW'!K:K,,0)</f>
        <v>0</v>
      </c>
      <c r="AU38" s="1329">
        <f>_xlfn.XLOOKUP(A38,'Repurposed ROW'!F:F,'Repurposed ROW'!L:L,,0)</f>
        <v>0</v>
      </c>
      <c r="AV38" s="1328">
        <f t="shared" si="0"/>
        <v>0</v>
      </c>
      <c r="AW38" s="1329">
        <f t="shared" si="1"/>
        <v>0</v>
      </c>
      <c r="AY38" s="1328">
        <f>'Prop. Tax Inc Sidewalk'!M40</f>
        <v>0</v>
      </c>
      <c r="AZ38" s="1329">
        <f>'Prop. Tax Inc Sidewalk'!N40</f>
        <v>0</v>
      </c>
      <c r="BA38" s="1328">
        <f>'Prop. Tax Inc Bike Lane'!M40</f>
        <v>0</v>
      </c>
      <c r="BB38" s="1329">
        <f>'Prop. Tax Inc Bike Lane'!N40</f>
        <v>0</v>
      </c>
      <c r="BC38" s="1328">
        <f>'Prop. Tax Inc Sidewalk &amp; Bike'!M40</f>
        <v>0</v>
      </c>
      <c r="BD38" s="1329">
        <f>'Prop. Tax Inc Sidewalk &amp; Bike'!N40</f>
        <v>0</v>
      </c>
      <c r="BE38" s="1328">
        <f>'Prop. Tax Inc Shared Use Path'!O40</f>
        <v>0</v>
      </c>
      <c r="BF38" s="1329">
        <f>'Prop. Tax Inc Shared Use Path'!P40</f>
        <v>0</v>
      </c>
    </row>
    <row r="39" spans="1:58">
      <c r="A39" s="1327">
        <f>'Major Assumption Key'!A53</f>
        <v>2054</v>
      </c>
      <c r="B39" s="1328">
        <f>'Useful Life'!N41</f>
        <v>0</v>
      </c>
      <c r="C39" s="1329">
        <f>'Useful Life'!O41</f>
        <v>0</v>
      </c>
      <c r="D39" s="1328">
        <f>_xlfn.XLOOKUP(A39,'Non-Roadway Maintenance'!$F$8:$F$48,'Non-Roadway Maintenance'!$K$8:$K$48,,0)</f>
        <v>0</v>
      </c>
      <c r="E39" s="1329">
        <f>_xlfn.XLOOKUP(A39,'Non-Roadway Maintenance'!$F$8:$F$48,'Non-Roadway Maintenance'!$L$8:$L$48,,0)</f>
        <v>0</v>
      </c>
      <c r="F39" s="1330">
        <f>'State of Good Repair AP-CP'!S41</f>
        <v>0</v>
      </c>
      <c r="G39" s="1330">
        <f>'State of Good Repair AP-CP'!T41</f>
        <v>0</v>
      </c>
      <c r="H39" s="1328">
        <f>'State of Good Repair - AP-AP'!S41</f>
        <v>0</v>
      </c>
      <c r="I39" s="1329">
        <f>'State of Good Repair - AP-AP'!T41</f>
        <v>0</v>
      </c>
      <c r="J39" s="1328">
        <f>'State of Good Repair CP-CP '!S41</f>
        <v>0</v>
      </c>
      <c r="K39" s="1329">
        <f>'State of Good Repair CP-CP '!T41</f>
        <v>0</v>
      </c>
      <c r="L39" s="1328">
        <f>'Roadway Safety'!W41</f>
        <v>0</v>
      </c>
      <c r="M39" s="1329">
        <f>'Roadway Safety'!X41</f>
        <v>0</v>
      </c>
      <c r="N39" s="1328">
        <f>'Pedestrian Safety'!Q41</f>
        <v>0</v>
      </c>
      <c r="O39" s="1329">
        <f>'Pedestrian Safety'!R41</f>
        <v>0</v>
      </c>
      <c r="P39" s="1328">
        <f>'Bike Safety'!S41</f>
        <v>0</v>
      </c>
      <c r="Q39" s="1329">
        <f>'Bike Safety'!T41</f>
        <v>0</v>
      </c>
      <c r="R39" s="1328">
        <f>'Facility Improve - Ped'!AK41</f>
        <v>0</v>
      </c>
      <c r="S39" s="1329">
        <f>'Facility Improve - Ped'!AL41</f>
        <v>0</v>
      </c>
      <c r="T39" s="1328">
        <f>'Facility Improve - Bike'!Q41</f>
        <v>0</v>
      </c>
      <c r="U39" s="1329">
        <f>'Facility Improve - Bike'!R41</f>
        <v>0</v>
      </c>
      <c r="V39" s="1328">
        <f>'Facility Improve - Transit Stop'!Y41</f>
        <v>0</v>
      </c>
      <c r="W39" s="1329">
        <f>'Facility Improve - Transit Stop'!Z41</f>
        <v>0</v>
      </c>
      <c r="X39" s="1330">
        <f>_xlfn.XLOOKUP(A39,'Serve Improve - Transit Mode'!F:F,'Serve Improve - Transit Mode'!Y:Y,,0)</f>
        <v>0</v>
      </c>
      <c r="Y39" s="1330">
        <f>_xlfn.XLOOKUP(A39,'Serve Improve - Transit Mode'!F:F,'Serve Improve - Transit Mode'!Z:Z,,0)</f>
        <v>0</v>
      </c>
      <c r="Z39" s="1328">
        <f>'Amenity Improve - Transit Veh '!Q41</f>
        <v>0</v>
      </c>
      <c r="AA39" s="1329">
        <f>'Amenity Improve - Transit Veh '!R41</f>
        <v>0</v>
      </c>
      <c r="AB39" s="1328">
        <f>'Value of Travel Time'!AD41</f>
        <v>0</v>
      </c>
      <c r="AC39" s="1329">
        <f>'Value of Travel Time'!AE41</f>
        <v>0</v>
      </c>
      <c r="AD39" s="1328">
        <f>'Operating Cost Savings'!P41</f>
        <v>0</v>
      </c>
      <c r="AE39" s="1329">
        <f>'Operating Cost Savings'!Q41</f>
        <v>0</v>
      </c>
      <c r="AF39" s="1328">
        <f>'Mortality Reduction - Walk'!O41</f>
        <v>0</v>
      </c>
      <c r="AG39" s="1329">
        <f>'Mortality Reduction - Walk'!P41</f>
        <v>0</v>
      </c>
      <c r="AH39" s="1328">
        <f>'Mortality Reduction - Bike'!O41</f>
        <v>0</v>
      </c>
      <c r="AI39" s="1329">
        <f>'Mortality Reduction - Bike'!P41</f>
        <v>0</v>
      </c>
      <c r="AJ39" s="1328">
        <f>'Emission Reduction (VMT)'!S41</f>
        <v>0</v>
      </c>
      <c r="AK39" s="1329">
        <f>'Emission Reduction (VMT)'!T41</f>
        <v>0</v>
      </c>
      <c r="AL39" s="1328">
        <f>'Emission Reduction (Metric Ton)'!AA41</f>
        <v>0</v>
      </c>
      <c r="AM39" s="1329">
        <f>'Emission Reduction (Metric Ton)'!AB41</f>
        <v>0</v>
      </c>
      <c r="AN39" s="1328">
        <f>'Other Highway Use Externalities'!Q41</f>
        <v>0</v>
      </c>
      <c r="AO39" s="1329">
        <f>'Other Highway Use Externalities'!R41</f>
        <v>0</v>
      </c>
      <c r="AP39" s="1328">
        <f>'Auto Idling Benefit - Fuel'!O41</f>
        <v>0</v>
      </c>
      <c r="AQ39" s="1329">
        <f>'Auto Idling Benefit - Fuel'!P41</f>
        <v>0</v>
      </c>
      <c r="AR39" s="1328">
        <f>'Auto Idling Env. Benefits'!Y41</f>
        <v>0</v>
      </c>
      <c r="AS39" s="1329">
        <f>'Auto Idling Env. Benefits'!Z41</f>
        <v>0</v>
      </c>
      <c r="AT39" s="1328">
        <f>_xlfn.XLOOKUP(A39,'Repurposed ROW'!F:F,'Repurposed ROW'!K:K,,0)</f>
        <v>0</v>
      </c>
      <c r="AU39" s="1329">
        <f>_xlfn.XLOOKUP(A39,'Repurposed ROW'!F:F,'Repurposed ROW'!L:L,,0)</f>
        <v>0</v>
      </c>
      <c r="AV39" s="1328">
        <f t="shared" si="0"/>
        <v>0</v>
      </c>
      <c r="AW39" s="1329">
        <f t="shared" si="1"/>
        <v>0</v>
      </c>
      <c r="AY39" s="1328">
        <f>'Prop. Tax Inc Sidewalk'!M41</f>
        <v>0</v>
      </c>
      <c r="AZ39" s="1329">
        <f>'Prop. Tax Inc Sidewalk'!N41</f>
        <v>0</v>
      </c>
      <c r="BA39" s="1328">
        <f>'Prop. Tax Inc Bike Lane'!M41</f>
        <v>0</v>
      </c>
      <c r="BB39" s="1329">
        <f>'Prop. Tax Inc Bike Lane'!N41</f>
        <v>0</v>
      </c>
      <c r="BC39" s="1328">
        <f>'Prop. Tax Inc Sidewalk &amp; Bike'!M41</f>
        <v>0</v>
      </c>
      <c r="BD39" s="1329">
        <f>'Prop. Tax Inc Sidewalk &amp; Bike'!N41</f>
        <v>0</v>
      </c>
      <c r="BE39" s="1328">
        <f>'Prop. Tax Inc Shared Use Path'!O41</f>
        <v>0</v>
      </c>
      <c r="BF39" s="1329">
        <f>'Prop. Tax Inc Shared Use Path'!P41</f>
        <v>0</v>
      </c>
    </row>
    <row r="40" spans="1:58">
      <c r="A40" s="1327">
        <f>'Major Assumption Key'!A54</f>
        <v>2055</v>
      </c>
      <c r="B40" s="1328">
        <f>'Useful Life'!N42</f>
        <v>0</v>
      </c>
      <c r="C40" s="1329">
        <f>'Useful Life'!O42</f>
        <v>0</v>
      </c>
      <c r="D40" s="1328">
        <f>_xlfn.XLOOKUP(A40,'Non-Roadway Maintenance'!$F$8:$F$48,'Non-Roadway Maintenance'!$K$8:$K$48,,0)</f>
        <v>0</v>
      </c>
      <c r="E40" s="1329">
        <f>_xlfn.XLOOKUP(A40,'Non-Roadway Maintenance'!$F$8:$F$48,'Non-Roadway Maintenance'!$L$8:$L$48,,0)</f>
        <v>0</v>
      </c>
      <c r="F40" s="1330">
        <f>'State of Good Repair AP-CP'!S42</f>
        <v>0</v>
      </c>
      <c r="G40" s="1330">
        <f>'State of Good Repair AP-CP'!T42</f>
        <v>0</v>
      </c>
      <c r="H40" s="1328">
        <f>'State of Good Repair - AP-AP'!S42</f>
        <v>0</v>
      </c>
      <c r="I40" s="1329">
        <f>'State of Good Repair - AP-AP'!T42</f>
        <v>0</v>
      </c>
      <c r="J40" s="1328">
        <f>'State of Good Repair CP-CP '!S42</f>
        <v>0</v>
      </c>
      <c r="K40" s="1329">
        <f>'State of Good Repair CP-CP '!T42</f>
        <v>0</v>
      </c>
      <c r="L40" s="1328">
        <f>'Roadway Safety'!W42</f>
        <v>0</v>
      </c>
      <c r="M40" s="1329">
        <f>'Roadway Safety'!X42</f>
        <v>0</v>
      </c>
      <c r="N40" s="1328">
        <f>'Pedestrian Safety'!Q42</f>
        <v>0</v>
      </c>
      <c r="O40" s="1329">
        <f>'Pedestrian Safety'!R42</f>
        <v>0</v>
      </c>
      <c r="P40" s="1328">
        <f>'Bike Safety'!S42</f>
        <v>0</v>
      </c>
      <c r="Q40" s="1329">
        <f>'Bike Safety'!T42</f>
        <v>0</v>
      </c>
      <c r="R40" s="1328">
        <f>'Facility Improve - Ped'!AK42</f>
        <v>0</v>
      </c>
      <c r="S40" s="1329">
        <f>'Facility Improve - Ped'!AL42</f>
        <v>0</v>
      </c>
      <c r="T40" s="1328">
        <f>'Facility Improve - Bike'!Q42</f>
        <v>0</v>
      </c>
      <c r="U40" s="1329">
        <f>'Facility Improve - Bike'!R42</f>
        <v>0</v>
      </c>
      <c r="V40" s="1328">
        <f>'Facility Improve - Transit Stop'!Y42</f>
        <v>0</v>
      </c>
      <c r="W40" s="1329">
        <f>'Facility Improve - Transit Stop'!Z42</f>
        <v>0</v>
      </c>
      <c r="X40" s="1330">
        <f>_xlfn.XLOOKUP(A40,'Serve Improve - Transit Mode'!F:F,'Serve Improve - Transit Mode'!Y:Y,,0)</f>
        <v>0</v>
      </c>
      <c r="Y40" s="1330">
        <f>_xlfn.XLOOKUP(A40,'Serve Improve - Transit Mode'!F:F,'Serve Improve - Transit Mode'!Z:Z,,0)</f>
        <v>0</v>
      </c>
      <c r="Z40" s="1328">
        <f>'Amenity Improve - Transit Veh '!Q42</f>
        <v>0</v>
      </c>
      <c r="AA40" s="1329">
        <f>'Amenity Improve - Transit Veh '!R42</f>
        <v>0</v>
      </c>
      <c r="AB40" s="1328">
        <f>'Value of Travel Time'!AD42</f>
        <v>0</v>
      </c>
      <c r="AC40" s="1329">
        <f>'Value of Travel Time'!AE42</f>
        <v>0</v>
      </c>
      <c r="AD40" s="1328">
        <f>'Operating Cost Savings'!P42</f>
        <v>0</v>
      </c>
      <c r="AE40" s="1329">
        <f>'Operating Cost Savings'!Q42</f>
        <v>0</v>
      </c>
      <c r="AF40" s="1328">
        <f>'Mortality Reduction - Walk'!O42</f>
        <v>0</v>
      </c>
      <c r="AG40" s="1329">
        <f>'Mortality Reduction - Walk'!P42</f>
        <v>0</v>
      </c>
      <c r="AH40" s="1328">
        <f>'Mortality Reduction - Bike'!O42</f>
        <v>0</v>
      </c>
      <c r="AI40" s="1329">
        <f>'Mortality Reduction - Bike'!P42</f>
        <v>0</v>
      </c>
      <c r="AJ40" s="1328">
        <f>'Emission Reduction (VMT)'!S42</f>
        <v>0</v>
      </c>
      <c r="AK40" s="1329">
        <f>'Emission Reduction (VMT)'!T42</f>
        <v>0</v>
      </c>
      <c r="AL40" s="1328">
        <f>'Emission Reduction (Metric Ton)'!AA42</f>
        <v>0</v>
      </c>
      <c r="AM40" s="1329">
        <f>'Emission Reduction (Metric Ton)'!AB42</f>
        <v>0</v>
      </c>
      <c r="AN40" s="1328">
        <f>'Other Highway Use Externalities'!Q42</f>
        <v>0</v>
      </c>
      <c r="AO40" s="1329">
        <f>'Other Highway Use Externalities'!R42</f>
        <v>0</v>
      </c>
      <c r="AP40" s="1328">
        <f>'Auto Idling Benefit - Fuel'!O42</f>
        <v>0</v>
      </c>
      <c r="AQ40" s="1329">
        <f>'Auto Idling Benefit - Fuel'!P42</f>
        <v>0</v>
      </c>
      <c r="AR40" s="1328">
        <f>'Auto Idling Env. Benefits'!Y42</f>
        <v>0</v>
      </c>
      <c r="AS40" s="1329">
        <f>'Auto Idling Env. Benefits'!Z42</f>
        <v>0</v>
      </c>
      <c r="AT40" s="1328">
        <f>_xlfn.XLOOKUP(A40,'Repurposed ROW'!F:F,'Repurposed ROW'!K:K,,0)</f>
        <v>0</v>
      </c>
      <c r="AU40" s="1329">
        <f>_xlfn.XLOOKUP(A40,'Repurposed ROW'!F:F,'Repurposed ROW'!L:L,,0)</f>
        <v>0</v>
      </c>
      <c r="AV40" s="1328">
        <f t="shared" si="0"/>
        <v>0</v>
      </c>
      <c r="AW40" s="1329">
        <f t="shared" si="1"/>
        <v>0</v>
      </c>
      <c r="AY40" s="1328">
        <f>'Prop. Tax Inc Sidewalk'!M42</f>
        <v>0</v>
      </c>
      <c r="AZ40" s="1329">
        <f>'Prop. Tax Inc Sidewalk'!N42</f>
        <v>0</v>
      </c>
      <c r="BA40" s="1328">
        <f>'Prop. Tax Inc Bike Lane'!M42</f>
        <v>0</v>
      </c>
      <c r="BB40" s="1329">
        <f>'Prop. Tax Inc Bike Lane'!N42</f>
        <v>0</v>
      </c>
      <c r="BC40" s="1328">
        <f>'Prop. Tax Inc Sidewalk &amp; Bike'!M42</f>
        <v>0</v>
      </c>
      <c r="BD40" s="1329">
        <f>'Prop. Tax Inc Sidewalk &amp; Bike'!N42</f>
        <v>0</v>
      </c>
      <c r="BE40" s="1328">
        <f>'Prop. Tax Inc Shared Use Path'!O42</f>
        <v>0</v>
      </c>
      <c r="BF40" s="1329">
        <f>'Prop. Tax Inc Shared Use Path'!P42</f>
        <v>0</v>
      </c>
    </row>
    <row r="41" spans="1:58">
      <c r="A41" s="1327">
        <f>'Major Assumption Key'!A55</f>
        <v>2056</v>
      </c>
      <c r="B41" s="1328">
        <f>'Useful Life'!N43</f>
        <v>0</v>
      </c>
      <c r="C41" s="1329">
        <f>'Useful Life'!O43</f>
        <v>0</v>
      </c>
      <c r="D41" s="1328">
        <f>_xlfn.XLOOKUP(A41,'Non-Roadway Maintenance'!$F$8:$F$48,'Non-Roadway Maintenance'!$K$8:$K$48,,0)</f>
        <v>0</v>
      </c>
      <c r="E41" s="1329">
        <f>_xlfn.XLOOKUP(A41,'Non-Roadway Maintenance'!$F$8:$F$48,'Non-Roadway Maintenance'!$L$8:$L$48,,0)</f>
        <v>0</v>
      </c>
      <c r="F41" s="1330">
        <f>'State of Good Repair AP-CP'!S43</f>
        <v>0</v>
      </c>
      <c r="G41" s="1330">
        <f>'State of Good Repair AP-CP'!T43</f>
        <v>0</v>
      </c>
      <c r="H41" s="1328">
        <f>'State of Good Repair - AP-AP'!S43</f>
        <v>0</v>
      </c>
      <c r="I41" s="1329">
        <f>'State of Good Repair - AP-AP'!T43</f>
        <v>0</v>
      </c>
      <c r="J41" s="1328">
        <f>'State of Good Repair CP-CP '!S43</f>
        <v>0</v>
      </c>
      <c r="K41" s="1329">
        <f>'State of Good Repair CP-CP '!T43</f>
        <v>0</v>
      </c>
      <c r="L41" s="1328">
        <f>'Roadway Safety'!W43</f>
        <v>0</v>
      </c>
      <c r="M41" s="1329">
        <f>'Roadway Safety'!X43</f>
        <v>0</v>
      </c>
      <c r="N41" s="1328">
        <f>'Pedestrian Safety'!Q43</f>
        <v>0</v>
      </c>
      <c r="O41" s="1329">
        <f>'Pedestrian Safety'!R43</f>
        <v>0</v>
      </c>
      <c r="P41" s="1328">
        <f>'Bike Safety'!S43</f>
        <v>0</v>
      </c>
      <c r="Q41" s="1329">
        <f>'Bike Safety'!T43</f>
        <v>0</v>
      </c>
      <c r="R41" s="1328">
        <f>'Facility Improve - Ped'!AK43</f>
        <v>0</v>
      </c>
      <c r="S41" s="1329">
        <f>'Facility Improve - Ped'!AL43</f>
        <v>0</v>
      </c>
      <c r="T41" s="1328">
        <f>'Facility Improve - Bike'!Q43</f>
        <v>0</v>
      </c>
      <c r="U41" s="1329">
        <f>'Facility Improve - Bike'!R43</f>
        <v>0</v>
      </c>
      <c r="V41" s="1328">
        <f>'Facility Improve - Transit Stop'!Y43</f>
        <v>0</v>
      </c>
      <c r="W41" s="1329">
        <f>'Facility Improve - Transit Stop'!Z43</f>
        <v>0</v>
      </c>
      <c r="X41" s="1330">
        <f>_xlfn.XLOOKUP(A41,'Serve Improve - Transit Mode'!F:F,'Serve Improve - Transit Mode'!Y:Y,,0)</f>
        <v>0</v>
      </c>
      <c r="Y41" s="1330">
        <f>_xlfn.XLOOKUP(A41,'Serve Improve - Transit Mode'!F:F,'Serve Improve - Transit Mode'!Z:Z,,0)</f>
        <v>0</v>
      </c>
      <c r="Z41" s="1328">
        <f>'Amenity Improve - Transit Veh '!Q43</f>
        <v>0</v>
      </c>
      <c r="AA41" s="1329">
        <f>'Amenity Improve - Transit Veh '!R43</f>
        <v>0</v>
      </c>
      <c r="AB41" s="1328">
        <f>'Value of Travel Time'!AD43</f>
        <v>0</v>
      </c>
      <c r="AC41" s="1329">
        <f>'Value of Travel Time'!AE43</f>
        <v>0</v>
      </c>
      <c r="AD41" s="1328">
        <f>'Operating Cost Savings'!P43</f>
        <v>0</v>
      </c>
      <c r="AE41" s="1329">
        <f>'Operating Cost Savings'!Q43</f>
        <v>0</v>
      </c>
      <c r="AF41" s="1328">
        <f>'Mortality Reduction - Walk'!O43</f>
        <v>0</v>
      </c>
      <c r="AG41" s="1329">
        <f>'Mortality Reduction - Walk'!P43</f>
        <v>0</v>
      </c>
      <c r="AH41" s="1328">
        <f>'Mortality Reduction - Bike'!O43</f>
        <v>0</v>
      </c>
      <c r="AI41" s="1329">
        <f>'Mortality Reduction - Bike'!P43</f>
        <v>0</v>
      </c>
      <c r="AJ41" s="1328">
        <f>'Emission Reduction (VMT)'!S43</f>
        <v>0</v>
      </c>
      <c r="AK41" s="1329">
        <f>'Emission Reduction (VMT)'!T43</f>
        <v>0</v>
      </c>
      <c r="AL41" s="1328">
        <f>'Emission Reduction (Metric Ton)'!AA43</f>
        <v>0</v>
      </c>
      <c r="AM41" s="1329">
        <f>'Emission Reduction (Metric Ton)'!AB43</f>
        <v>0</v>
      </c>
      <c r="AN41" s="1328">
        <f>'Other Highway Use Externalities'!Q43</f>
        <v>0</v>
      </c>
      <c r="AO41" s="1329">
        <f>'Other Highway Use Externalities'!R43</f>
        <v>0</v>
      </c>
      <c r="AP41" s="1328">
        <f>'Auto Idling Benefit - Fuel'!O43</f>
        <v>0</v>
      </c>
      <c r="AQ41" s="1329">
        <f>'Auto Idling Benefit - Fuel'!P43</f>
        <v>0</v>
      </c>
      <c r="AR41" s="1328">
        <f>'Auto Idling Env. Benefits'!Y43</f>
        <v>0</v>
      </c>
      <c r="AS41" s="1329">
        <f>'Auto Idling Env. Benefits'!Z43</f>
        <v>0</v>
      </c>
      <c r="AT41" s="1328">
        <f>_xlfn.XLOOKUP(A41,'Repurposed ROW'!F:F,'Repurposed ROW'!K:K,,0)</f>
        <v>0</v>
      </c>
      <c r="AU41" s="1329">
        <f>_xlfn.XLOOKUP(A41,'Repurposed ROW'!F:F,'Repurposed ROW'!L:L,,0)</f>
        <v>0</v>
      </c>
      <c r="AV41" s="1328">
        <f t="shared" si="0"/>
        <v>0</v>
      </c>
      <c r="AW41" s="1329">
        <f t="shared" si="1"/>
        <v>0</v>
      </c>
      <c r="AY41" s="1328">
        <f>'Prop. Tax Inc Sidewalk'!M43</f>
        <v>0</v>
      </c>
      <c r="AZ41" s="1329">
        <f>'Prop. Tax Inc Sidewalk'!N43</f>
        <v>0</v>
      </c>
      <c r="BA41" s="1328">
        <f>'Prop. Tax Inc Bike Lane'!M43</f>
        <v>0</v>
      </c>
      <c r="BB41" s="1329">
        <f>'Prop. Tax Inc Bike Lane'!N43</f>
        <v>0</v>
      </c>
      <c r="BC41" s="1328">
        <f>'Prop. Tax Inc Sidewalk &amp; Bike'!M43</f>
        <v>0</v>
      </c>
      <c r="BD41" s="1329">
        <f>'Prop. Tax Inc Sidewalk &amp; Bike'!N43</f>
        <v>0</v>
      </c>
      <c r="BE41" s="1328">
        <f>'Prop. Tax Inc Shared Use Path'!O43</f>
        <v>0</v>
      </c>
      <c r="BF41" s="1329">
        <f>'Prop. Tax Inc Shared Use Path'!P43</f>
        <v>0</v>
      </c>
    </row>
    <row r="42" spans="1:58">
      <c r="A42" s="1327">
        <f>'Major Assumption Key'!A56</f>
        <v>2057</v>
      </c>
      <c r="B42" s="1328">
        <f>'Useful Life'!N44</f>
        <v>0</v>
      </c>
      <c r="C42" s="1329">
        <f>'Useful Life'!O44</f>
        <v>0</v>
      </c>
      <c r="D42" s="1328">
        <f>_xlfn.XLOOKUP(A42,'Non-Roadway Maintenance'!$F$8:$F$48,'Non-Roadway Maintenance'!$K$8:$K$48,,0)</f>
        <v>0</v>
      </c>
      <c r="E42" s="1329">
        <f>_xlfn.XLOOKUP(A42,'Non-Roadway Maintenance'!$F$8:$F$48,'Non-Roadway Maintenance'!$L$8:$L$48,,0)</f>
        <v>0</v>
      </c>
      <c r="F42" s="1330">
        <f>'State of Good Repair AP-CP'!S44</f>
        <v>0</v>
      </c>
      <c r="G42" s="1330">
        <f>'State of Good Repair AP-CP'!T44</f>
        <v>0</v>
      </c>
      <c r="H42" s="1328">
        <f>'State of Good Repair - AP-AP'!S44</f>
        <v>0</v>
      </c>
      <c r="I42" s="1329">
        <f>'State of Good Repair - AP-AP'!T44</f>
        <v>0</v>
      </c>
      <c r="J42" s="1328">
        <f>'State of Good Repair CP-CP '!S44</f>
        <v>0</v>
      </c>
      <c r="K42" s="1329">
        <f>'State of Good Repair CP-CP '!T44</f>
        <v>0</v>
      </c>
      <c r="L42" s="1328">
        <f>'Roadway Safety'!W44</f>
        <v>0</v>
      </c>
      <c r="M42" s="1329">
        <f>'Roadway Safety'!X44</f>
        <v>0</v>
      </c>
      <c r="N42" s="1328">
        <f>'Pedestrian Safety'!Q44</f>
        <v>0</v>
      </c>
      <c r="O42" s="1329">
        <f>'Pedestrian Safety'!R44</f>
        <v>0</v>
      </c>
      <c r="P42" s="1328">
        <f>'Bike Safety'!S44</f>
        <v>0</v>
      </c>
      <c r="Q42" s="1329">
        <f>'Bike Safety'!T44</f>
        <v>0</v>
      </c>
      <c r="R42" s="1328">
        <f>'Facility Improve - Ped'!AK44</f>
        <v>0</v>
      </c>
      <c r="S42" s="1329">
        <f>'Facility Improve - Ped'!AL44</f>
        <v>0</v>
      </c>
      <c r="T42" s="1328">
        <f>'Facility Improve - Bike'!Q44</f>
        <v>0</v>
      </c>
      <c r="U42" s="1329">
        <f>'Facility Improve - Bike'!R44</f>
        <v>0</v>
      </c>
      <c r="V42" s="1328">
        <f>'Facility Improve - Transit Stop'!Y44</f>
        <v>0</v>
      </c>
      <c r="W42" s="1329">
        <f>'Facility Improve - Transit Stop'!Z44</f>
        <v>0</v>
      </c>
      <c r="X42" s="1330">
        <f>_xlfn.XLOOKUP(A42,'Serve Improve - Transit Mode'!F:F,'Serve Improve - Transit Mode'!Y:Y,,0)</f>
        <v>0</v>
      </c>
      <c r="Y42" s="1330">
        <f>_xlfn.XLOOKUP(A42,'Serve Improve - Transit Mode'!F:F,'Serve Improve - Transit Mode'!Z:Z,,0)</f>
        <v>0</v>
      </c>
      <c r="Z42" s="1328">
        <f>'Amenity Improve - Transit Veh '!Q44</f>
        <v>0</v>
      </c>
      <c r="AA42" s="1329">
        <f>'Amenity Improve - Transit Veh '!R44</f>
        <v>0</v>
      </c>
      <c r="AB42" s="1328">
        <f>'Value of Travel Time'!AD44</f>
        <v>0</v>
      </c>
      <c r="AC42" s="1329">
        <f>'Value of Travel Time'!AE44</f>
        <v>0</v>
      </c>
      <c r="AD42" s="1328">
        <f>'Operating Cost Savings'!P44</f>
        <v>0</v>
      </c>
      <c r="AE42" s="1329">
        <f>'Operating Cost Savings'!Q44</f>
        <v>0</v>
      </c>
      <c r="AF42" s="1328">
        <f>'Mortality Reduction - Walk'!O44</f>
        <v>0</v>
      </c>
      <c r="AG42" s="1329">
        <f>'Mortality Reduction - Walk'!P44</f>
        <v>0</v>
      </c>
      <c r="AH42" s="1328">
        <f>'Mortality Reduction - Bike'!O44</f>
        <v>0</v>
      </c>
      <c r="AI42" s="1329">
        <f>'Mortality Reduction - Bike'!P44</f>
        <v>0</v>
      </c>
      <c r="AJ42" s="1328">
        <f>'Emission Reduction (VMT)'!S44</f>
        <v>0</v>
      </c>
      <c r="AK42" s="1329">
        <f>'Emission Reduction (VMT)'!T44</f>
        <v>0</v>
      </c>
      <c r="AL42" s="1328">
        <f>'Emission Reduction (Metric Ton)'!AA44</f>
        <v>0</v>
      </c>
      <c r="AM42" s="1329">
        <f>'Emission Reduction (Metric Ton)'!AB44</f>
        <v>0</v>
      </c>
      <c r="AN42" s="1328">
        <f>'Other Highway Use Externalities'!Q44</f>
        <v>0</v>
      </c>
      <c r="AO42" s="1329">
        <f>'Other Highway Use Externalities'!R44</f>
        <v>0</v>
      </c>
      <c r="AP42" s="1328">
        <f>'Auto Idling Benefit - Fuel'!O44</f>
        <v>0</v>
      </c>
      <c r="AQ42" s="1329">
        <f>'Auto Idling Benefit - Fuel'!P44</f>
        <v>0</v>
      </c>
      <c r="AR42" s="1328">
        <f>'Auto Idling Env. Benefits'!Y44</f>
        <v>0</v>
      </c>
      <c r="AS42" s="1329">
        <f>'Auto Idling Env. Benefits'!Z44</f>
        <v>0</v>
      </c>
      <c r="AT42" s="1328">
        <f>_xlfn.XLOOKUP(A42,'Repurposed ROW'!F:F,'Repurposed ROW'!K:K,,0)</f>
        <v>0</v>
      </c>
      <c r="AU42" s="1329">
        <f>_xlfn.XLOOKUP(A42,'Repurposed ROW'!F:F,'Repurposed ROW'!L:L,,0)</f>
        <v>0</v>
      </c>
      <c r="AV42" s="1328">
        <f t="shared" si="0"/>
        <v>0</v>
      </c>
      <c r="AW42" s="1329">
        <f t="shared" si="1"/>
        <v>0</v>
      </c>
      <c r="AY42" s="1328">
        <f>'Prop. Tax Inc Sidewalk'!M44</f>
        <v>0</v>
      </c>
      <c r="AZ42" s="1329">
        <f>'Prop. Tax Inc Sidewalk'!N44</f>
        <v>0</v>
      </c>
      <c r="BA42" s="1328">
        <f>'Prop. Tax Inc Bike Lane'!M44</f>
        <v>0</v>
      </c>
      <c r="BB42" s="1329">
        <f>'Prop. Tax Inc Bike Lane'!N44</f>
        <v>0</v>
      </c>
      <c r="BC42" s="1328">
        <f>'Prop. Tax Inc Sidewalk &amp; Bike'!M44</f>
        <v>0</v>
      </c>
      <c r="BD42" s="1329">
        <f>'Prop. Tax Inc Sidewalk &amp; Bike'!N44</f>
        <v>0</v>
      </c>
      <c r="BE42" s="1328">
        <f>'Prop. Tax Inc Shared Use Path'!O44</f>
        <v>0</v>
      </c>
      <c r="BF42" s="1329">
        <f>'Prop. Tax Inc Shared Use Path'!P44</f>
        <v>0</v>
      </c>
    </row>
    <row r="43" spans="1:58">
      <c r="A43" s="1327">
        <f>'Major Assumption Key'!A57</f>
        <v>2058</v>
      </c>
      <c r="B43" s="1328">
        <f>'Useful Life'!N45</f>
        <v>0</v>
      </c>
      <c r="C43" s="1329">
        <f>'Useful Life'!O45</f>
        <v>0</v>
      </c>
      <c r="D43" s="1328">
        <f>_xlfn.XLOOKUP(A43,'Non-Roadway Maintenance'!$F$8:$F$48,'Non-Roadway Maintenance'!$K$8:$K$48,,0)</f>
        <v>0</v>
      </c>
      <c r="E43" s="1329">
        <f>_xlfn.XLOOKUP(A43,'Non-Roadway Maintenance'!$F$8:$F$48,'Non-Roadway Maintenance'!$L$8:$L$48,,0)</f>
        <v>0</v>
      </c>
      <c r="F43" s="1330">
        <f>'State of Good Repair AP-CP'!S45</f>
        <v>0</v>
      </c>
      <c r="G43" s="1330">
        <f>'State of Good Repair AP-CP'!T45</f>
        <v>0</v>
      </c>
      <c r="H43" s="1328">
        <f>'State of Good Repair - AP-AP'!S45</f>
        <v>0</v>
      </c>
      <c r="I43" s="1329">
        <f>'State of Good Repair - AP-AP'!T45</f>
        <v>0</v>
      </c>
      <c r="J43" s="1328">
        <f>'State of Good Repair CP-CP '!S45</f>
        <v>0</v>
      </c>
      <c r="K43" s="1329">
        <f>'State of Good Repair CP-CP '!T45</f>
        <v>0</v>
      </c>
      <c r="L43" s="1328">
        <f>'Roadway Safety'!W45</f>
        <v>0</v>
      </c>
      <c r="M43" s="1329">
        <f>'Roadway Safety'!X45</f>
        <v>0</v>
      </c>
      <c r="N43" s="1328">
        <f>'Pedestrian Safety'!Q45</f>
        <v>0</v>
      </c>
      <c r="O43" s="1329">
        <f>'Pedestrian Safety'!R45</f>
        <v>0</v>
      </c>
      <c r="P43" s="1328">
        <f>'Bike Safety'!S45</f>
        <v>0</v>
      </c>
      <c r="Q43" s="1329">
        <f>'Bike Safety'!T45</f>
        <v>0</v>
      </c>
      <c r="R43" s="1328">
        <f>'Facility Improve - Ped'!AK45</f>
        <v>0</v>
      </c>
      <c r="S43" s="1329">
        <f>'Facility Improve - Ped'!AL45</f>
        <v>0</v>
      </c>
      <c r="T43" s="1328">
        <f>'Facility Improve - Bike'!Q45</f>
        <v>0</v>
      </c>
      <c r="U43" s="1329">
        <f>'Facility Improve - Bike'!R45</f>
        <v>0</v>
      </c>
      <c r="V43" s="1328">
        <f>'Facility Improve - Transit Stop'!Y45</f>
        <v>0</v>
      </c>
      <c r="W43" s="1329">
        <f>'Facility Improve - Transit Stop'!Z45</f>
        <v>0</v>
      </c>
      <c r="X43" s="1330">
        <f>_xlfn.XLOOKUP(A43,'Serve Improve - Transit Mode'!F:F,'Serve Improve - Transit Mode'!Y:Y,,0)</f>
        <v>0</v>
      </c>
      <c r="Y43" s="1330">
        <f>_xlfn.XLOOKUP(A43,'Serve Improve - Transit Mode'!F:F,'Serve Improve - Transit Mode'!Z:Z,,0)</f>
        <v>0</v>
      </c>
      <c r="Z43" s="1328">
        <f>'Amenity Improve - Transit Veh '!Q45</f>
        <v>0</v>
      </c>
      <c r="AA43" s="1329">
        <f>'Amenity Improve - Transit Veh '!R45</f>
        <v>0</v>
      </c>
      <c r="AB43" s="1328">
        <f>'Value of Travel Time'!AD45</f>
        <v>0</v>
      </c>
      <c r="AC43" s="1329">
        <f>'Value of Travel Time'!AE45</f>
        <v>0</v>
      </c>
      <c r="AD43" s="1328">
        <f>'Operating Cost Savings'!P45</f>
        <v>0</v>
      </c>
      <c r="AE43" s="1329">
        <f>'Operating Cost Savings'!Q45</f>
        <v>0</v>
      </c>
      <c r="AF43" s="1328">
        <f>'Mortality Reduction - Walk'!O45</f>
        <v>0</v>
      </c>
      <c r="AG43" s="1329">
        <f>'Mortality Reduction - Walk'!P45</f>
        <v>0</v>
      </c>
      <c r="AH43" s="1328">
        <f>'Mortality Reduction - Bike'!O45</f>
        <v>0</v>
      </c>
      <c r="AI43" s="1329">
        <f>'Mortality Reduction - Bike'!P45</f>
        <v>0</v>
      </c>
      <c r="AJ43" s="1328">
        <f>'Emission Reduction (VMT)'!S45</f>
        <v>0</v>
      </c>
      <c r="AK43" s="1329">
        <f>'Emission Reduction (VMT)'!T45</f>
        <v>0</v>
      </c>
      <c r="AL43" s="1328">
        <f>'Emission Reduction (Metric Ton)'!AA45</f>
        <v>0</v>
      </c>
      <c r="AM43" s="1329">
        <f>'Emission Reduction (Metric Ton)'!AB45</f>
        <v>0</v>
      </c>
      <c r="AN43" s="1328">
        <f>'Other Highway Use Externalities'!Q45</f>
        <v>0</v>
      </c>
      <c r="AO43" s="1329">
        <f>'Other Highway Use Externalities'!R45</f>
        <v>0</v>
      </c>
      <c r="AP43" s="1328">
        <f>'Auto Idling Benefit - Fuel'!O45</f>
        <v>0</v>
      </c>
      <c r="AQ43" s="1329">
        <f>'Auto Idling Benefit - Fuel'!P45</f>
        <v>0</v>
      </c>
      <c r="AR43" s="1328">
        <f>'Auto Idling Env. Benefits'!Y45</f>
        <v>0</v>
      </c>
      <c r="AS43" s="1329">
        <f>'Auto Idling Env. Benefits'!Z45</f>
        <v>0</v>
      </c>
      <c r="AT43" s="1328">
        <f>_xlfn.XLOOKUP(A43,'Repurposed ROW'!F:F,'Repurposed ROW'!K:K,,0)</f>
        <v>0</v>
      </c>
      <c r="AU43" s="1329">
        <f>_xlfn.XLOOKUP(A43,'Repurposed ROW'!F:F,'Repurposed ROW'!L:L,,0)</f>
        <v>0</v>
      </c>
      <c r="AV43" s="1328">
        <f t="shared" si="0"/>
        <v>0</v>
      </c>
      <c r="AW43" s="1329">
        <f t="shared" si="1"/>
        <v>0</v>
      </c>
      <c r="AY43" s="1328">
        <f>'Prop. Tax Inc Sidewalk'!M45</f>
        <v>0</v>
      </c>
      <c r="AZ43" s="1329">
        <f>'Prop. Tax Inc Sidewalk'!N45</f>
        <v>0</v>
      </c>
      <c r="BA43" s="1328">
        <f>'Prop. Tax Inc Bike Lane'!M45</f>
        <v>0</v>
      </c>
      <c r="BB43" s="1329">
        <f>'Prop. Tax Inc Bike Lane'!N45</f>
        <v>0</v>
      </c>
      <c r="BC43" s="1328">
        <f>'Prop. Tax Inc Sidewalk &amp; Bike'!M45</f>
        <v>0</v>
      </c>
      <c r="BD43" s="1329">
        <f>'Prop. Tax Inc Sidewalk &amp; Bike'!N45</f>
        <v>0</v>
      </c>
      <c r="BE43" s="1328">
        <f>'Prop. Tax Inc Shared Use Path'!O45</f>
        <v>0</v>
      </c>
      <c r="BF43" s="1329">
        <f>'Prop. Tax Inc Shared Use Path'!P45</f>
        <v>0</v>
      </c>
    </row>
    <row r="44" spans="1:58">
      <c r="A44" s="1327">
        <f>'Major Assumption Key'!A58</f>
        <v>2059</v>
      </c>
      <c r="B44" s="1328">
        <f>'Useful Life'!N46</f>
        <v>0</v>
      </c>
      <c r="C44" s="1329">
        <f>'Useful Life'!O46</f>
        <v>0</v>
      </c>
      <c r="D44" s="1328">
        <f>_xlfn.XLOOKUP(A44,'Non-Roadway Maintenance'!$F$8:$F$48,'Non-Roadway Maintenance'!$K$8:$K$48,,0)</f>
        <v>0</v>
      </c>
      <c r="E44" s="1329">
        <f>_xlfn.XLOOKUP(A44,'Non-Roadway Maintenance'!$F$8:$F$48,'Non-Roadway Maintenance'!$L$8:$L$48,,0)</f>
        <v>0</v>
      </c>
      <c r="F44" s="1330">
        <f>'State of Good Repair AP-CP'!S46</f>
        <v>0</v>
      </c>
      <c r="G44" s="1330">
        <f>'State of Good Repair AP-CP'!T46</f>
        <v>0</v>
      </c>
      <c r="H44" s="1328">
        <f>'State of Good Repair - AP-AP'!S46</f>
        <v>0</v>
      </c>
      <c r="I44" s="1329">
        <f>'State of Good Repair - AP-AP'!T46</f>
        <v>0</v>
      </c>
      <c r="J44" s="1328">
        <f>'State of Good Repair CP-CP '!S46</f>
        <v>0</v>
      </c>
      <c r="K44" s="1329">
        <f>'State of Good Repair CP-CP '!T46</f>
        <v>0</v>
      </c>
      <c r="L44" s="1328">
        <f>'Roadway Safety'!W46</f>
        <v>0</v>
      </c>
      <c r="M44" s="1329">
        <f>'Roadway Safety'!X46</f>
        <v>0</v>
      </c>
      <c r="N44" s="1328">
        <f>'Pedestrian Safety'!Q46</f>
        <v>0</v>
      </c>
      <c r="O44" s="1329">
        <f>'Pedestrian Safety'!R46</f>
        <v>0</v>
      </c>
      <c r="P44" s="1328">
        <f>'Bike Safety'!S46</f>
        <v>0</v>
      </c>
      <c r="Q44" s="1329">
        <f>'Bike Safety'!T46</f>
        <v>0</v>
      </c>
      <c r="R44" s="1328">
        <f>'Facility Improve - Ped'!AK46</f>
        <v>0</v>
      </c>
      <c r="S44" s="1329">
        <f>'Facility Improve - Ped'!AL46</f>
        <v>0</v>
      </c>
      <c r="T44" s="1328">
        <f>'Facility Improve - Bike'!Q46</f>
        <v>0</v>
      </c>
      <c r="U44" s="1329">
        <f>'Facility Improve - Bike'!R46</f>
        <v>0</v>
      </c>
      <c r="V44" s="1328">
        <f>'Facility Improve - Transit Stop'!Y46</f>
        <v>0</v>
      </c>
      <c r="W44" s="1329">
        <f>'Facility Improve - Transit Stop'!Z46</f>
        <v>0</v>
      </c>
      <c r="X44" s="1330">
        <f>_xlfn.XLOOKUP(A44,'Serve Improve - Transit Mode'!F:F,'Serve Improve - Transit Mode'!Y:Y,,0)</f>
        <v>0</v>
      </c>
      <c r="Y44" s="1330">
        <f>_xlfn.XLOOKUP(A44,'Serve Improve - Transit Mode'!F:F,'Serve Improve - Transit Mode'!Z:Z,,0)</f>
        <v>0</v>
      </c>
      <c r="Z44" s="1328">
        <f>'Amenity Improve - Transit Veh '!Q46</f>
        <v>0</v>
      </c>
      <c r="AA44" s="1329">
        <f>'Amenity Improve - Transit Veh '!R46</f>
        <v>0</v>
      </c>
      <c r="AB44" s="1328">
        <f>'Value of Travel Time'!AD46</f>
        <v>0</v>
      </c>
      <c r="AC44" s="1329">
        <f>'Value of Travel Time'!AE46</f>
        <v>0</v>
      </c>
      <c r="AD44" s="1328">
        <f>'Operating Cost Savings'!P46</f>
        <v>0</v>
      </c>
      <c r="AE44" s="1329">
        <f>'Operating Cost Savings'!Q46</f>
        <v>0</v>
      </c>
      <c r="AF44" s="1328">
        <f>'Mortality Reduction - Walk'!O46</f>
        <v>0</v>
      </c>
      <c r="AG44" s="1329">
        <f>'Mortality Reduction - Walk'!P46</f>
        <v>0</v>
      </c>
      <c r="AH44" s="1328">
        <f>'Mortality Reduction - Bike'!O46</f>
        <v>0</v>
      </c>
      <c r="AI44" s="1329">
        <f>'Mortality Reduction - Bike'!P46</f>
        <v>0</v>
      </c>
      <c r="AJ44" s="1328">
        <f>'Emission Reduction (VMT)'!S46</f>
        <v>0</v>
      </c>
      <c r="AK44" s="1329">
        <f>'Emission Reduction (VMT)'!T46</f>
        <v>0</v>
      </c>
      <c r="AL44" s="1328">
        <f>'Emission Reduction (Metric Ton)'!AA46</f>
        <v>0</v>
      </c>
      <c r="AM44" s="1329">
        <f>'Emission Reduction (Metric Ton)'!AB46</f>
        <v>0</v>
      </c>
      <c r="AN44" s="1328">
        <f>'Other Highway Use Externalities'!Q46</f>
        <v>0</v>
      </c>
      <c r="AO44" s="1329">
        <f>'Other Highway Use Externalities'!R46</f>
        <v>0</v>
      </c>
      <c r="AP44" s="1328">
        <f>'Auto Idling Benefit - Fuel'!O46</f>
        <v>0</v>
      </c>
      <c r="AQ44" s="1329">
        <f>'Auto Idling Benefit - Fuel'!P46</f>
        <v>0</v>
      </c>
      <c r="AR44" s="1328">
        <f>'Auto Idling Env. Benefits'!Y46</f>
        <v>0</v>
      </c>
      <c r="AS44" s="1329">
        <f>'Auto Idling Env. Benefits'!Z46</f>
        <v>0</v>
      </c>
      <c r="AT44" s="1328">
        <f>_xlfn.XLOOKUP(A44,'Repurposed ROW'!F:F,'Repurposed ROW'!K:K,,0)</f>
        <v>0</v>
      </c>
      <c r="AU44" s="1329">
        <f>_xlfn.XLOOKUP(A44,'Repurposed ROW'!F:F,'Repurposed ROW'!L:L,,0)</f>
        <v>0</v>
      </c>
      <c r="AV44" s="1328">
        <f t="shared" si="0"/>
        <v>0</v>
      </c>
      <c r="AW44" s="1329">
        <f t="shared" si="1"/>
        <v>0</v>
      </c>
      <c r="AY44" s="1328">
        <f>'Prop. Tax Inc Sidewalk'!M46</f>
        <v>0</v>
      </c>
      <c r="AZ44" s="1329">
        <f>'Prop. Tax Inc Sidewalk'!N46</f>
        <v>0</v>
      </c>
      <c r="BA44" s="1328">
        <f>'Prop. Tax Inc Bike Lane'!M46</f>
        <v>0</v>
      </c>
      <c r="BB44" s="1329">
        <f>'Prop. Tax Inc Bike Lane'!N46</f>
        <v>0</v>
      </c>
      <c r="BC44" s="1328">
        <f>'Prop. Tax Inc Sidewalk &amp; Bike'!M46</f>
        <v>0</v>
      </c>
      <c r="BD44" s="1329">
        <f>'Prop. Tax Inc Sidewalk &amp; Bike'!N46</f>
        <v>0</v>
      </c>
      <c r="BE44" s="1328">
        <f>'Prop. Tax Inc Shared Use Path'!O46</f>
        <v>0</v>
      </c>
      <c r="BF44" s="1329">
        <f>'Prop. Tax Inc Shared Use Path'!P46</f>
        <v>0</v>
      </c>
    </row>
    <row r="45" spans="1:58">
      <c r="A45" s="1327">
        <f>'Major Assumption Key'!A59</f>
        <v>2060</v>
      </c>
      <c r="B45" s="1328">
        <f>'Useful Life'!N47</f>
        <v>0</v>
      </c>
      <c r="C45" s="1329">
        <f>'Useful Life'!O47</f>
        <v>0</v>
      </c>
      <c r="D45" s="1328">
        <f>_xlfn.XLOOKUP(A45,'Non-Roadway Maintenance'!$F$8:$F$48,'Non-Roadway Maintenance'!$K$8:$K$48,,0)</f>
        <v>0</v>
      </c>
      <c r="E45" s="1329">
        <f>_xlfn.XLOOKUP(A45,'Non-Roadway Maintenance'!$F$8:$F$48,'Non-Roadway Maintenance'!$L$8:$L$48,,0)</f>
        <v>0</v>
      </c>
      <c r="F45" s="1330">
        <f>'State of Good Repair AP-CP'!S47</f>
        <v>0</v>
      </c>
      <c r="G45" s="1330">
        <f>'State of Good Repair AP-CP'!T47</f>
        <v>0</v>
      </c>
      <c r="H45" s="1328">
        <f>'State of Good Repair - AP-AP'!S47</f>
        <v>0</v>
      </c>
      <c r="I45" s="1329">
        <f>'State of Good Repair - AP-AP'!T47</f>
        <v>0</v>
      </c>
      <c r="J45" s="1328">
        <f>'State of Good Repair CP-CP '!S47</f>
        <v>0</v>
      </c>
      <c r="K45" s="1329">
        <f>'State of Good Repair CP-CP '!T47</f>
        <v>0</v>
      </c>
      <c r="L45" s="1328">
        <f>'Roadway Safety'!W47</f>
        <v>0</v>
      </c>
      <c r="M45" s="1329">
        <f>'Roadway Safety'!X47</f>
        <v>0</v>
      </c>
      <c r="N45" s="1328">
        <f>'Pedestrian Safety'!Q47</f>
        <v>0</v>
      </c>
      <c r="O45" s="1329">
        <f>'Pedestrian Safety'!R47</f>
        <v>0</v>
      </c>
      <c r="P45" s="1328">
        <f>'Bike Safety'!S47</f>
        <v>0</v>
      </c>
      <c r="Q45" s="1329">
        <f>'Bike Safety'!T47</f>
        <v>0</v>
      </c>
      <c r="R45" s="1328">
        <f>'Facility Improve - Ped'!AK47</f>
        <v>0</v>
      </c>
      <c r="S45" s="1329">
        <f>'Facility Improve - Ped'!AL47</f>
        <v>0</v>
      </c>
      <c r="T45" s="1328">
        <f>'Facility Improve - Bike'!Q47</f>
        <v>0</v>
      </c>
      <c r="U45" s="1329">
        <f>'Facility Improve - Bike'!R47</f>
        <v>0</v>
      </c>
      <c r="V45" s="1328">
        <f>'Facility Improve - Transit Stop'!Y47</f>
        <v>0</v>
      </c>
      <c r="W45" s="1329">
        <f>'Facility Improve - Transit Stop'!Z47</f>
        <v>0</v>
      </c>
      <c r="X45" s="1330">
        <f>_xlfn.XLOOKUP(A45,'Serve Improve - Transit Mode'!F:F,'Serve Improve - Transit Mode'!Y:Y,,0)</f>
        <v>0</v>
      </c>
      <c r="Y45" s="1330">
        <f>_xlfn.XLOOKUP(A45,'Serve Improve - Transit Mode'!F:F,'Serve Improve - Transit Mode'!Z:Z,,0)</f>
        <v>0</v>
      </c>
      <c r="Z45" s="1328">
        <f>'Amenity Improve - Transit Veh '!Q47</f>
        <v>0</v>
      </c>
      <c r="AA45" s="1329">
        <f>'Amenity Improve - Transit Veh '!R47</f>
        <v>0</v>
      </c>
      <c r="AB45" s="1328">
        <f>'Value of Travel Time'!AD47</f>
        <v>0</v>
      </c>
      <c r="AC45" s="1329">
        <f>'Value of Travel Time'!AE47</f>
        <v>0</v>
      </c>
      <c r="AD45" s="1328">
        <f>'Operating Cost Savings'!P47</f>
        <v>0</v>
      </c>
      <c r="AE45" s="1329">
        <f>'Operating Cost Savings'!Q47</f>
        <v>0</v>
      </c>
      <c r="AF45" s="1328">
        <f>'Mortality Reduction - Walk'!O47</f>
        <v>0</v>
      </c>
      <c r="AG45" s="1329">
        <f>'Mortality Reduction - Walk'!P47</f>
        <v>0</v>
      </c>
      <c r="AH45" s="1328">
        <f>'Mortality Reduction - Bike'!O47</f>
        <v>0</v>
      </c>
      <c r="AI45" s="1329">
        <f>'Mortality Reduction - Bike'!P47</f>
        <v>0</v>
      </c>
      <c r="AJ45" s="1328">
        <f>'Emission Reduction (VMT)'!S47</f>
        <v>0</v>
      </c>
      <c r="AK45" s="1329">
        <f>'Emission Reduction (VMT)'!T47</f>
        <v>0</v>
      </c>
      <c r="AL45" s="1328">
        <f>'Emission Reduction (Metric Ton)'!AA47</f>
        <v>0</v>
      </c>
      <c r="AM45" s="1329">
        <f>'Emission Reduction (Metric Ton)'!AB47</f>
        <v>0</v>
      </c>
      <c r="AN45" s="1328">
        <f>'Other Highway Use Externalities'!Q47</f>
        <v>0</v>
      </c>
      <c r="AO45" s="1329">
        <f>'Other Highway Use Externalities'!R47</f>
        <v>0</v>
      </c>
      <c r="AP45" s="1328">
        <f>'Auto Idling Benefit - Fuel'!O47</f>
        <v>0</v>
      </c>
      <c r="AQ45" s="1329">
        <f>'Auto Idling Benefit - Fuel'!P47</f>
        <v>0</v>
      </c>
      <c r="AR45" s="1328">
        <f>'Auto Idling Env. Benefits'!Y47</f>
        <v>0</v>
      </c>
      <c r="AS45" s="1329">
        <f>'Auto Idling Env. Benefits'!Z47</f>
        <v>0</v>
      </c>
      <c r="AT45" s="1328">
        <f>_xlfn.XLOOKUP(A45,'Repurposed ROW'!F:F,'Repurposed ROW'!K:K,,0)</f>
        <v>0</v>
      </c>
      <c r="AU45" s="1329">
        <f>_xlfn.XLOOKUP(A45,'Repurposed ROW'!F:F,'Repurposed ROW'!L:L,,0)</f>
        <v>0</v>
      </c>
      <c r="AV45" s="1328">
        <f t="shared" si="0"/>
        <v>0</v>
      </c>
      <c r="AW45" s="1329">
        <f t="shared" si="1"/>
        <v>0</v>
      </c>
      <c r="AY45" s="1328">
        <f>'Prop. Tax Inc Sidewalk'!M47</f>
        <v>0</v>
      </c>
      <c r="AZ45" s="1329">
        <f>'Prop. Tax Inc Sidewalk'!N47</f>
        <v>0</v>
      </c>
      <c r="BA45" s="1328">
        <f>'Prop. Tax Inc Bike Lane'!M47</f>
        <v>0</v>
      </c>
      <c r="BB45" s="1329">
        <f>'Prop. Tax Inc Bike Lane'!N47</f>
        <v>0</v>
      </c>
      <c r="BC45" s="1328">
        <f>'Prop. Tax Inc Sidewalk &amp; Bike'!M47</f>
        <v>0</v>
      </c>
      <c r="BD45" s="1329">
        <f>'Prop. Tax Inc Sidewalk &amp; Bike'!N47</f>
        <v>0</v>
      </c>
      <c r="BE45" s="1328">
        <f>'Prop. Tax Inc Shared Use Path'!O47</f>
        <v>0</v>
      </c>
      <c r="BF45" s="1329">
        <f>'Prop. Tax Inc Shared Use Path'!P47</f>
        <v>0</v>
      </c>
    </row>
    <row r="46" spans="1:58" ht="15" thickBot="1">
      <c r="A46" s="1703" t="s">
        <v>473</v>
      </c>
      <c r="B46" s="1704">
        <f t="shared" ref="B46:M46" si="2">SUM(B5:B45)</f>
        <v>11013843</v>
      </c>
      <c r="C46" s="1705">
        <f t="shared" si="2"/>
        <v>5134193.6983541539</v>
      </c>
      <c r="D46" s="1704">
        <f t="shared" si="2"/>
        <v>0</v>
      </c>
      <c r="E46" s="1705">
        <f t="shared" si="2"/>
        <v>0</v>
      </c>
      <c r="F46" s="1706">
        <f t="shared" si="2"/>
        <v>0</v>
      </c>
      <c r="G46" s="1706">
        <f t="shared" si="2"/>
        <v>0</v>
      </c>
      <c r="H46" s="1704">
        <f t="shared" si="2"/>
        <v>0</v>
      </c>
      <c r="I46" s="1705">
        <f t="shared" si="2"/>
        <v>0</v>
      </c>
      <c r="J46" s="1704">
        <f t="shared" si="2"/>
        <v>0</v>
      </c>
      <c r="K46" s="1705">
        <f t="shared" si="2"/>
        <v>0</v>
      </c>
      <c r="L46" s="1704">
        <f t="shared" si="2"/>
        <v>0</v>
      </c>
      <c r="M46" s="1705">
        <f t="shared" si="2"/>
        <v>0</v>
      </c>
      <c r="N46" s="1704">
        <f t="shared" ref="N46:AU46" si="3">SUM(N5:N45)</f>
        <v>1120056.0000000002</v>
      </c>
      <c r="O46" s="1705">
        <f t="shared" si="3"/>
        <v>708661.7601731387</v>
      </c>
      <c r="P46" s="1704">
        <f t="shared" si="3"/>
        <v>3398399.9999999995</v>
      </c>
      <c r="Q46" s="1705">
        <f t="shared" si="3"/>
        <v>2150174.7464166032</v>
      </c>
      <c r="R46" s="1704">
        <f t="shared" si="3"/>
        <v>689986.34080229083</v>
      </c>
      <c r="S46" s="1705">
        <f t="shared" si="3"/>
        <v>430178.84584257781</v>
      </c>
      <c r="T46" s="1704">
        <f t="shared" si="3"/>
        <v>732737.18185127468</v>
      </c>
      <c r="U46" s="1705">
        <f t="shared" si="3"/>
        <v>456791.26070280815</v>
      </c>
      <c r="V46" s="1704">
        <f t="shared" si="3"/>
        <v>0</v>
      </c>
      <c r="W46" s="1705">
        <f t="shared" si="3"/>
        <v>0</v>
      </c>
      <c r="X46" s="1704">
        <f t="shared" si="3"/>
        <v>0</v>
      </c>
      <c r="Y46" s="1705">
        <f t="shared" si="3"/>
        <v>0</v>
      </c>
      <c r="Z46" s="1704">
        <f t="shared" si="3"/>
        <v>0</v>
      </c>
      <c r="AA46" s="1705">
        <f t="shared" si="3"/>
        <v>0</v>
      </c>
      <c r="AB46" s="1704">
        <f t="shared" si="3"/>
        <v>0</v>
      </c>
      <c r="AC46" s="1705">
        <f t="shared" si="3"/>
        <v>0</v>
      </c>
      <c r="AD46" s="1704">
        <f t="shared" si="3"/>
        <v>0</v>
      </c>
      <c r="AE46" s="1705">
        <f t="shared" si="3"/>
        <v>0</v>
      </c>
      <c r="AF46" s="1704">
        <f t="shared" si="3"/>
        <v>79140.911281376888</v>
      </c>
      <c r="AG46" s="1705">
        <f t="shared" si="3"/>
        <v>50012.732316662383</v>
      </c>
      <c r="AH46" s="1704">
        <f t="shared" si="3"/>
        <v>4051318.3574368665</v>
      </c>
      <c r="AI46" s="1705">
        <f t="shared" si="3"/>
        <v>2525607.9066800205</v>
      </c>
      <c r="AJ46" s="1704">
        <f t="shared" ref="AJ46" si="4">SUM(AJ5:AJ45)</f>
        <v>0</v>
      </c>
      <c r="AK46" s="1705">
        <f t="shared" ref="AK46" si="5">SUM(AK5:AK45)</f>
        <v>0</v>
      </c>
      <c r="AL46" s="1704">
        <f t="shared" ref="AL46" si="6">SUM(AL5:AL45)</f>
        <v>240317.44379944936</v>
      </c>
      <c r="AM46" s="1705">
        <f t="shared" ref="AM46" si="7">SUM(AM5:AM45)</f>
        <v>153015.96643551401</v>
      </c>
      <c r="AN46" s="1704">
        <f t="shared" ref="AN46" si="8">SUM(AN5:AN45)</f>
        <v>120703.49865586901</v>
      </c>
      <c r="AO46" s="1705">
        <f t="shared" ref="AO46" si="9">SUM(AO5:AO45)</f>
        <v>75546.020214891236</v>
      </c>
      <c r="AP46" s="1704">
        <f t="shared" si="3"/>
        <v>0</v>
      </c>
      <c r="AQ46" s="1705">
        <f t="shared" si="3"/>
        <v>0</v>
      </c>
      <c r="AR46" s="1704">
        <f t="shared" si="3"/>
        <v>0</v>
      </c>
      <c r="AS46" s="1705">
        <f t="shared" si="3"/>
        <v>0</v>
      </c>
      <c r="AT46" s="1704">
        <f t="shared" si="3"/>
        <v>0</v>
      </c>
      <c r="AU46" s="1705">
        <f t="shared" si="3"/>
        <v>0</v>
      </c>
      <c r="AV46" s="1704">
        <f>SUM(AV5:AV45)</f>
        <v>21446502.733827129</v>
      </c>
      <c r="AW46" s="1705">
        <f>SUM(AW5:AW45)</f>
        <v>11684182.937136369</v>
      </c>
      <c r="AY46" s="1704">
        <f>SUM(AY5:AY45)</f>
        <v>0</v>
      </c>
      <c r="AZ46" s="1705">
        <f>SUM(AZ5:AZ45)</f>
        <v>0</v>
      </c>
      <c r="BA46" s="1704">
        <f t="shared" ref="BA46:BF46" si="10">SUM(BA5:BA45)</f>
        <v>0</v>
      </c>
      <c r="BB46" s="1705">
        <f t="shared" si="10"/>
        <v>0</v>
      </c>
      <c r="BC46" s="1704">
        <f t="shared" si="10"/>
        <v>0</v>
      </c>
      <c r="BD46" s="1705">
        <f t="shared" si="10"/>
        <v>0</v>
      </c>
      <c r="BE46" s="1704">
        <f t="shared" si="10"/>
        <v>0</v>
      </c>
      <c r="BF46" s="1705">
        <f t="shared" si="10"/>
        <v>0</v>
      </c>
    </row>
    <row r="47" spans="1:58" ht="15" thickBot="1">
      <c r="A47" s="1703" t="s">
        <v>443</v>
      </c>
      <c r="B47" s="1704">
        <f t="shared" ref="B47:G47" si="11">ROUND(B46,-3)</f>
        <v>11014000</v>
      </c>
      <c r="C47" s="1705">
        <f t="shared" si="11"/>
        <v>5134000</v>
      </c>
      <c r="D47" s="1704">
        <f t="shared" si="11"/>
        <v>0</v>
      </c>
      <c r="E47" s="1705">
        <f t="shared" si="11"/>
        <v>0</v>
      </c>
      <c r="F47" s="1706">
        <f t="shared" si="11"/>
        <v>0</v>
      </c>
      <c r="G47" s="1706">
        <f t="shared" si="11"/>
        <v>0</v>
      </c>
      <c r="H47" s="1704">
        <f t="shared" ref="H47:AQ47" si="12">ROUND(H46,-3)</f>
        <v>0</v>
      </c>
      <c r="I47" s="1705">
        <f t="shared" si="12"/>
        <v>0</v>
      </c>
      <c r="J47" s="1704">
        <f t="shared" si="12"/>
        <v>0</v>
      </c>
      <c r="K47" s="1705">
        <f t="shared" si="12"/>
        <v>0</v>
      </c>
      <c r="L47" s="1704">
        <f t="shared" si="12"/>
        <v>0</v>
      </c>
      <c r="M47" s="1705">
        <f t="shared" si="12"/>
        <v>0</v>
      </c>
      <c r="N47" s="1704">
        <f t="shared" si="12"/>
        <v>1120000</v>
      </c>
      <c r="O47" s="1705">
        <f t="shared" si="12"/>
        <v>709000</v>
      </c>
      <c r="P47" s="1704">
        <f t="shared" si="12"/>
        <v>3398000</v>
      </c>
      <c r="Q47" s="1705">
        <f t="shared" si="12"/>
        <v>2150000</v>
      </c>
      <c r="R47" s="1704">
        <f t="shared" ref="R47:Y47" si="13">ROUND(R46,-3)</f>
        <v>690000</v>
      </c>
      <c r="S47" s="1705">
        <f t="shared" si="13"/>
        <v>430000</v>
      </c>
      <c r="T47" s="1704">
        <f t="shared" si="13"/>
        <v>733000</v>
      </c>
      <c r="U47" s="1705">
        <f t="shared" si="13"/>
        <v>457000</v>
      </c>
      <c r="V47" s="1704">
        <f>ROUND(V46,-3)</f>
        <v>0</v>
      </c>
      <c r="W47" s="1705">
        <f>ROUND(W46,-3)</f>
        <v>0</v>
      </c>
      <c r="X47" s="1706">
        <f t="shared" si="13"/>
        <v>0</v>
      </c>
      <c r="Y47" s="1706">
        <f t="shared" si="13"/>
        <v>0</v>
      </c>
      <c r="Z47" s="1704">
        <f t="shared" ref="Z47:AI47" si="14">ROUND(Z46,-3)</f>
        <v>0</v>
      </c>
      <c r="AA47" s="1705">
        <f t="shared" si="14"/>
        <v>0</v>
      </c>
      <c r="AB47" s="1704">
        <f t="shared" si="14"/>
        <v>0</v>
      </c>
      <c r="AC47" s="1705">
        <f t="shared" si="14"/>
        <v>0</v>
      </c>
      <c r="AD47" s="1704">
        <f t="shared" si="14"/>
        <v>0</v>
      </c>
      <c r="AE47" s="1705">
        <f t="shared" si="14"/>
        <v>0</v>
      </c>
      <c r="AF47" s="1704">
        <f t="shared" si="14"/>
        <v>79000</v>
      </c>
      <c r="AG47" s="1705">
        <f t="shared" si="14"/>
        <v>50000</v>
      </c>
      <c r="AH47" s="1704">
        <f t="shared" si="14"/>
        <v>4051000</v>
      </c>
      <c r="AI47" s="1705">
        <f t="shared" si="14"/>
        <v>2526000</v>
      </c>
      <c r="AJ47" s="1704">
        <f t="shared" ref="AJ47:AO47" si="15">ROUND(AJ46,-3)</f>
        <v>0</v>
      </c>
      <c r="AK47" s="1705">
        <f t="shared" si="15"/>
        <v>0</v>
      </c>
      <c r="AL47" s="1704">
        <f t="shared" si="15"/>
        <v>240000</v>
      </c>
      <c r="AM47" s="1705">
        <f t="shared" si="15"/>
        <v>153000</v>
      </c>
      <c r="AN47" s="1704">
        <f t="shared" si="15"/>
        <v>121000</v>
      </c>
      <c r="AO47" s="1705">
        <f t="shared" si="15"/>
        <v>76000</v>
      </c>
      <c r="AP47" s="1704">
        <f t="shared" si="12"/>
        <v>0</v>
      </c>
      <c r="AQ47" s="1705">
        <f t="shared" si="12"/>
        <v>0</v>
      </c>
      <c r="AR47" s="1704">
        <f>ROUND(AR46,-3)</f>
        <v>0</v>
      </c>
      <c r="AS47" s="1705">
        <f t="shared" ref="AS47" si="16">ROUND(AS46,-3)</f>
        <v>0</v>
      </c>
      <c r="AT47" s="1704">
        <f>ROUND(AT46,-3)</f>
        <v>0</v>
      </c>
      <c r="AU47" s="1705">
        <f>ROUND(AU46,-3)</f>
        <v>0</v>
      </c>
      <c r="AV47" s="1704">
        <f>ROUND(AV46,-3)</f>
        <v>21447000</v>
      </c>
      <c r="AW47" s="1705">
        <f>ROUND(AW46,-3)</f>
        <v>11684000</v>
      </c>
      <c r="AY47" s="1704">
        <f>ROUND(AY46,-3)</f>
        <v>0</v>
      </c>
      <c r="AZ47" s="1705">
        <f t="shared" ref="AZ47:BF47" si="17">ROUND(AZ46,-3)</f>
        <v>0</v>
      </c>
      <c r="BA47" s="1704">
        <f t="shared" si="17"/>
        <v>0</v>
      </c>
      <c r="BB47" s="1705">
        <f t="shared" si="17"/>
        <v>0</v>
      </c>
      <c r="BC47" s="1704">
        <f t="shared" si="17"/>
        <v>0</v>
      </c>
      <c r="BD47" s="1705">
        <f t="shared" si="17"/>
        <v>0</v>
      </c>
      <c r="BE47" s="1704">
        <f t="shared" si="17"/>
        <v>0</v>
      </c>
      <c r="BF47" s="1705">
        <f t="shared" si="17"/>
        <v>0</v>
      </c>
    </row>
    <row r="49" spans="1:58">
      <c r="C49" s="1563"/>
      <c r="D49" s="1563"/>
    </row>
    <row r="50" spans="1:58">
      <c r="A50" s="1231"/>
      <c r="B50" s="1231"/>
      <c r="C50" s="1231"/>
      <c r="J50" s="1319"/>
      <c r="K50" s="1319"/>
      <c r="N50" s="1707" t="s">
        <v>420</v>
      </c>
      <c r="O50" s="1231"/>
      <c r="Q50" s="1195"/>
      <c r="AA50" s="1013"/>
      <c r="AB50" s="1319"/>
      <c r="AC50" s="1319"/>
      <c r="AF50" s="1195"/>
      <c r="AH50" s="1195"/>
      <c r="AI50" s="1195"/>
      <c r="AJ50" s="1195"/>
      <c r="AK50" s="1195"/>
      <c r="AL50" s="1195"/>
      <c r="AM50" s="1195"/>
      <c r="AN50" s="1195"/>
      <c r="AO50" s="1195"/>
      <c r="AV50" s="1013"/>
      <c r="AW50" s="1013"/>
      <c r="AX50" s="1013"/>
      <c r="BC50" s="1195"/>
      <c r="BD50" s="1195"/>
      <c r="BE50" s="1195"/>
      <c r="BF50" s="1195"/>
    </row>
    <row r="51" spans="1:58" ht="15.75" customHeight="1">
      <c r="A51" s="1708" t="s">
        <v>15</v>
      </c>
      <c r="B51" s="1709" t="s">
        <v>419</v>
      </c>
      <c r="C51" s="1709" t="str">
        <f>"Discounted @ "&amp;TEXT('Major Assumption Key'!$B$8,"0.0%")</f>
        <v>Discounted @ 3.1%</v>
      </c>
      <c r="F51" s="1319"/>
      <c r="G51" s="1319"/>
      <c r="H51" s="1319"/>
      <c r="I51" s="1319"/>
      <c r="J51" s="1319"/>
      <c r="K51" s="1319"/>
      <c r="L51" s="1195"/>
      <c r="M51" s="1195"/>
      <c r="N51" s="1709" t="s">
        <v>419</v>
      </c>
      <c r="O51" s="1709" t="str">
        <f>"Discounted @ "&amp;TEXT('Major Assumption Key'!$B$8,"0.0%")</f>
        <v>Discounted @ 3.1%</v>
      </c>
      <c r="P51" s="1195"/>
      <c r="Q51" s="1195"/>
      <c r="AB51" s="1319"/>
      <c r="AF51" s="1195"/>
      <c r="AH51" s="1195"/>
      <c r="AI51" s="1195"/>
      <c r="AJ51" s="1195"/>
      <c r="AK51" s="1195"/>
      <c r="AL51" s="1195"/>
      <c r="AM51" s="1195"/>
      <c r="AN51" s="1195"/>
      <c r="AO51" s="1195"/>
      <c r="AY51" s="1195"/>
      <c r="AZ51" s="1195"/>
      <c r="BA51" s="1195"/>
      <c r="BB51" s="1195"/>
      <c r="BC51" s="1195"/>
      <c r="BD51" s="1195"/>
      <c r="BE51" s="1195"/>
      <c r="BF51" s="1195"/>
    </row>
    <row r="52" spans="1:58" ht="15" customHeight="1">
      <c r="A52" s="1710" t="s">
        <v>447</v>
      </c>
      <c r="B52" s="1711">
        <f>B46</f>
        <v>11013843</v>
      </c>
      <c r="C52" s="1711">
        <f>C46</f>
        <v>5134193.6983541539</v>
      </c>
      <c r="F52" s="1319"/>
      <c r="G52" s="1319"/>
      <c r="H52" s="1319"/>
      <c r="I52" s="1319"/>
      <c r="J52" s="1319"/>
      <c r="K52" s="1319"/>
      <c r="L52" s="1195"/>
      <c r="M52" s="1195"/>
      <c r="N52" s="1711">
        <f t="shared" ref="N52:N75" si="18">ROUND(B52,-3)</f>
        <v>11014000</v>
      </c>
      <c r="O52" s="1711">
        <f t="shared" ref="O52:O75" si="19">ROUND(C52,-3)</f>
        <v>5134000</v>
      </c>
      <c r="P52" s="1195"/>
      <c r="Q52" s="1195"/>
      <c r="AB52" s="1319"/>
      <c r="AF52" s="1195"/>
      <c r="AH52" s="1195"/>
      <c r="AI52" s="1195"/>
      <c r="AJ52" s="1195"/>
      <c r="AK52" s="1195"/>
      <c r="AL52" s="1195"/>
      <c r="AM52" s="1195"/>
      <c r="AN52" s="1195"/>
      <c r="AO52" s="1195"/>
      <c r="AY52" s="1195"/>
      <c r="AZ52" s="1195"/>
      <c r="BA52" s="1195"/>
      <c r="BB52" s="1195"/>
      <c r="BC52" s="1195"/>
      <c r="BD52" s="1195"/>
      <c r="BE52" s="1195"/>
      <c r="BF52" s="1195"/>
    </row>
    <row r="53" spans="1:58" ht="15" hidden="1" customHeight="1">
      <c r="A53" s="1710" t="s">
        <v>474</v>
      </c>
      <c r="B53" s="1711">
        <f>D46</f>
        <v>0</v>
      </c>
      <c r="C53" s="1711">
        <f>E46</f>
        <v>0</v>
      </c>
      <c r="F53" s="1319"/>
      <c r="G53" s="1319"/>
      <c r="H53" s="1319"/>
      <c r="I53" s="1319"/>
      <c r="J53" s="1319"/>
      <c r="K53" s="1319"/>
      <c r="L53" s="1195"/>
      <c r="M53" s="1195"/>
      <c r="N53" s="1711">
        <f t="shared" si="18"/>
        <v>0</v>
      </c>
      <c r="O53" s="1711">
        <f t="shared" si="19"/>
        <v>0</v>
      </c>
      <c r="P53" s="1195"/>
      <c r="Q53" s="1195"/>
      <c r="AB53" s="1319"/>
      <c r="AF53" s="1195"/>
      <c r="AH53" s="1195"/>
      <c r="AI53" s="1195"/>
      <c r="AJ53" s="1195"/>
      <c r="AK53" s="1195"/>
      <c r="AL53" s="1195"/>
      <c r="AM53" s="1195"/>
      <c r="AN53" s="1195"/>
      <c r="AO53" s="1195"/>
      <c r="AY53" s="1195"/>
      <c r="AZ53" s="1195"/>
      <c r="BA53" s="1195"/>
      <c r="BB53" s="1195"/>
      <c r="BC53" s="1195"/>
      <c r="BD53" s="1195"/>
      <c r="BE53" s="1195"/>
      <c r="BF53" s="1195"/>
    </row>
    <row r="54" spans="1:58" ht="15" hidden="1" customHeight="1">
      <c r="A54" s="1710" t="s">
        <v>475</v>
      </c>
      <c r="B54" s="1711">
        <f>F46</f>
        <v>0</v>
      </c>
      <c r="C54" s="1711">
        <f>G46</f>
        <v>0</v>
      </c>
      <c r="F54" s="1319"/>
      <c r="G54" s="1319"/>
      <c r="H54" s="1319"/>
      <c r="I54" s="1319"/>
      <c r="J54" s="1319"/>
      <c r="K54" s="1319"/>
      <c r="L54" s="1195"/>
      <c r="M54" s="1195"/>
      <c r="N54" s="1711">
        <f t="shared" si="18"/>
        <v>0</v>
      </c>
      <c r="O54" s="1711">
        <f t="shared" si="19"/>
        <v>0</v>
      </c>
      <c r="P54" s="1195"/>
      <c r="Q54" s="1195"/>
      <c r="AB54" s="1319"/>
      <c r="AF54" s="1195"/>
      <c r="AH54" s="1195"/>
      <c r="AI54" s="1195"/>
      <c r="AJ54" s="1195"/>
      <c r="AK54" s="1195"/>
      <c r="AL54" s="1195"/>
      <c r="AM54" s="1195"/>
      <c r="AN54" s="1195"/>
      <c r="AO54" s="1195"/>
      <c r="AY54" s="1195"/>
      <c r="AZ54" s="1195"/>
      <c r="BA54" s="1195"/>
      <c r="BB54" s="1195"/>
      <c r="BC54" s="1195"/>
      <c r="BD54" s="1195"/>
      <c r="BE54" s="1195"/>
      <c r="BF54" s="1195"/>
    </row>
    <row r="55" spans="1:58" ht="15" hidden="1" customHeight="1">
      <c r="A55" s="1710" t="s">
        <v>476</v>
      </c>
      <c r="B55" s="1711">
        <f>H46</f>
        <v>0</v>
      </c>
      <c r="C55" s="1711">
        <f>I46</f>
        <v>0</v>
      </c>
      <c r="F55" s="1319"/>
      <c r="G55" s="1319"/>
      <c r="H55" s="1319"/>
      <c r="I55" s="1319"/>
      <c r="J55" s="1319"/>
      <c r="K55" s="1319"/>
      <c r="L55" s="1195"/>
      <c r="M55" s="1195"/>
      <c r="N55" s="1711">
        <f t="shared" si="18"/>
        <v>0</v>
      </c>
      <c r="O55" s="1711">
        <f t="shared" si="19"/>
        <v>0</v>
      </c>
      <c r="P55" s="1195"/>
      <c r="Q55" s="1195"/>
      <c r="AB55" s="1319"/>
      <c r="AF55" s="1195"/>
      <c r="AH55" s="1195"/>
      <c r="AI55" s="1195"/>
      <c r="AJ55" s="1195"/>
      <c r="AK55" s="1195"/>
      <c r="AL55" s="1195"/>
      <c r="AM55" s="1195"/>
      <c r="AN55" s="1195"/>
      <c r="AO55" s="1195"/>
      <c r="AY55" s="1195"/>
      <c r="AZ55" s="1195"/>
      <c r="BA55" s="1195"/>
      <c r="BB55" s="1195"/>
      <c r="BC55" s="1195"/>
      <c r="BD55" s="1195"/>
      <c r="BE55" s="1195"/>
      <c r="BF55" s="1195"/>
    </row>
    <row r="56" spans="1:58" ht="15" hidden="1" customHeight="1">
      <c r="A56" s="1710" t="s">
        <v>477</v>
      </c>
      <c r="B56" s="1711">
        <f>J46</f>
        <v>0</v>
      </c>
      <c r="C56" s="1711">
        <f>K46</f>
        <v>0</v>
      </c>
      <c r="F56" s="1319"/>
      <c r="G56" s="1319"/>
      <c r="H56" s="1319"/>
      <c r="I56" s="1319"/>
      <c r="J56" s="1319"/>
      <c r="K56" s="1319"/>
      <c r="L56" s="1195"/>
      <c r="M56" s="1195"/>
      <c r="N56" s="1711">
        <f t="shared" si="18"/>
        <v>0</v>
      </c>
      <c r="O56" s="1711">
        <f t="shared" si="19"/>
        <v>0</v>
      </c>
      <c r="P56" s="1195"/>
      <c r="Q56" s="1195"/>
      <c r="AB56" s="1319"/>
      <c r="AF56" s="1195"/>
      <c r="AH56" s="1195"/>
      <c r="AI56" s="1195"/>
      <c r="AJ56" s="1195"/>
      <c r="AK56" s="1195"/>
      <c r="AL56" s="1195"/>
      <c r="AM56" s="1195"/>
      <c r="AN56" s="1195"/>
      <c r="AO56" s="1195"/>
      <c r="AY56" s="1195"/>
      <c r="AZ56" s="1195"/>
      <c r="BA56" s="1195"/>
      <c r="BB56" s="1195"/>
      <c r="BC56" s="1195"/>
      <c r="BD56" s="1195"/>
      <c r="BE56" s="1195"/>
      <c r="BF56" s="1195"/>
    </row>
    <row r="57" spans="1:58" ht="15" hidden="1" customHeight="1">
      <c r="A57" s="1710" t="s">
        <v>452</v>
      </c>
      <c r="B57" s="1711">
        <f>L46</f>
        <v>0</v>
      </c>
      <c r="C57" s="1711">
        <f>M46</f>
        <v>0</v>
      </c>
      <c r="F57" s="1319"/>
      <c r="G57" s="1319"/>
      <c r="H57" s="1319"/>
      <c r="I57" s="1319"/>
      <c r="J57" s="1319"/>
      <c r="K57" s="1319"/>
      <c r="L57" s="1195"/>
      <c r="M57" s="1195"/>
      <c r="N57" s="1711">
        <f t="shared" si="18"/>
        <v>0</v>
      </c>
      <c r="O57" s="1711">
        <f t="shared" si="19"/>
        <v>0</v>
      </c>
      <c r="P57" s="1195"/>
      <c r="Q57" s="1195"/>
      <c r="AB57" s="1319"/>
      <c r="AF57" s="1195"/>
      <c r="AH57" s="1195"/>
      <c r="AI57" s="1195"/>
      <c r="AJ57" s="1195"/>
      <c r="AK57" s="1195"/>
      <c r="AL57" s="1195"/>
      <c r="AM57" s="1195"/>
      <c r="AN57" s="1195"/>
      <c r="AO57" s="1195"/>
      <c r="AY57" s="1195"/>
      <c r="AZ57" s="1195"/>
      <c r="BA57" s="1195"/>
      <c r="BB57" s="1195"/>
      <c r="BC57" s="1195"/>
      <c r="BD57" s="1195"/>
      <c r="BE57" s="1195"/>
      <c r="BF57" s="1195"/>
    </row>
    <row r="58" spans="1:58" ht="15.75" customHeight="1">
      <c r="A58" s="1710" t="s">
        <v>478</v>
      </c>
      <c r="B58" s="1711">
        <f>N46</f>
        <v>1120056.0000000002</v>
      </c>
      <c r="C58" s="1711">
        <f>O46</f>
        <v>708661.7601731387</v>
      </c>
      <c r="F58" s="1319"/>
      <c r="G58" s="1319"/>
      <c r="H58" s="1319"/>
      <c r="I58" s="1319"/>
      <c r="J58" s="1319"/>
      <c r="K58" s="1319"/>
      <c r="L58" s="1195"/>
      <c r="M58" s="1195"/>
      <c r="N58" s="1711">
        <f t="shared" si="18"/>
        <v>1120000</v>
      </c>
      <c r="O58" s="1711">
        <f t="shared" si="19"/>
        <v>709000</v>
      </c>
      <c r="P58" s="1195"/>
      <c r="Q58" s="1195"/>
      <c r="AB58" s="1319"/>
      <c r="AF58" s="1195"/>
      <c r="AH58" s="1195"/>
      <c r="AI58" s="1195"/>
      <c r="AJ58" s="1195"/>
      <c r="AK58" s="1195"/>
      <c r="AL58" s="1195"/>
      <c r="AM58" s="1195"/>
      <c r="AN58" s="1195"/>
      <c r="AO58" s="1195"/>
      <c r="AY58" s="1195"/>
      <c r="AZ58" s="1195"/>
      <c r="BA58" s="1195"/>
      <c r="BB58" s="1195"/>
      <c r="BC58" s="1195"/>
      <c r="BD58" s="1195"/>
      <c r="BE58" s="1195"/>
      <c r="BF58" s="1195"/>
    </row>
    <row r="59" spans="1:58" ht="15" customHeight="1">
      <c r="A59" s="1710" t="s">
        <v>454</v>
      </c>
      <c r="B59" s="1711">
        <f>P46</f>
        <v>3398399.9999999995</v>
      </c>
      <c r="C59" s="1711">
        <f>Q46</f>
        <v>2150174.7464166032</v>
      </c>
      <c r="F59" s="1319"/>
      <c r="G59" s="1319"/>
      <c r="H59" s="1319"/>
      <c r="I59" s="1319"/>
      <c r="J59" s="1319"/>
      <c r="K59" s="1319"/>
      <c r="L59" s="1195"/>
      <c r="M59" s="1195"/>
      <c r="N59" s="1711">
        <f t="shared" si="18"/>
        <v>3398000</v>
      </c>
      <c r="O59" s="1711">
        <f t="shared" si="19"/>
        <v>2150000</v>
      </c>
      <c r="P59" s="1195"/>
      <c r="Q59" s="1195"/>
      <c r="AB59" s="1319"/>
      <c r="AF59" s="1195"/>
      <c r="AH59" s="1195"/>
      <c r="AI59" s="1195"/>
      <c r="AJ59" s="1195"/>
      <c r="AK59" s="1195"/>
      <c r="AL59" s="1195"/>
      <c r="AM59" s="1195"/>
      <c r="AN59" s="1195"/>
      <c r="AO59" s="1195"/>
      <c r="AY59" s="1195"/>
      <c r="AZ59" s="1195"/>
      <c r="BA59" s="1195"/>
      <c r="BB59" s="1195"/>
      <c r="BC59" s="1195"/>
      <c r="BD59" s="1195"/>
      <c r="BE59" s="1195"/>
      <c r="BF59" s="1195"/>
    </row>
    <row r="60" spans="1:58" ht="15" customHeight="1">
      <c r="A60" s="1710" t="s">
        <v>455</v>
      </c>
      <c r="B60" s="1711">
        <f>R46</f>
        <v>689986.34080229083</v>
      </c>
      <c r="C60" s="1711">
        <f>S46</f>
        <v>430178.84584257781</v>
      </c>
      <c r="L60" s="1195"/>
      <c r="M60" s="1195"/>
      <c r="N60" s="1711">
        <f t="shared" si="18"/>
        <v>690000</v>
      </c>
      <c r="O60" s="1711">
        <f t="shared" si="19"/>
        <v>430000</v>
      </c>
      <c r="P60" s="1195"/>
      <c r="Q60" s="1195"/>
      <c r="AF60" s="1195"/>
      <c r="AH60" s="1195"/>
      <c r="AI60" s="1195"/>
      <c r="AJ60" s="1195"/>
      <c r="AK60" s="1195"/>
      <c r="AL60" s="1195"/>
      <c r="AM60" s="1195"/>
      <c r="AN60" s="1195"/>
      <c r="AO60" s="1195"/>
      <c r="AY60" s="1195"/>
      <c r="AZ60" s="1195"/>
      <c r="BA60" s="1195"/>
      <c r="BB60" s="1195"/>
      <c r="BC60" s="1195"/>
      <c r="BD60" s="1195"/>
      <c r="BE60" s="1195"/>
      <c r="BF60" s="1195"/>
    </row>
    <row r="61" spans="1:58" ht="15" customHeight="1">
      <c r="A61" s="1710" t="s">
        <v>456</v>
      </c>
      <c r="B61" s="1711">
        <f>T46</f>
        <v>732737.18185127468</v>
      </c>
      <c r="C61" s="1711">
        <f>U46</f>
        <v>456791.26070280815</v>
      </c>
      <c r="L61" s="1195"/>
      <c r="M61" s="1195"/>
      <c r="N61" s="1711">
        <f t="shared" si="18"/>
        <v>733000</v>
      </c>
      <c r="O61" s="1711">
        <f t="shared" si="19"/>
        <v>457000</v>
      </c>
      <c r="P61" s="1195"/>
      <c r="Q61" s="1195"/>
      <c r="AF61" s="1195"/>
      <c r="AH61" s="1195"/>
      <c r="AI61" s="1195"/>
      <c r="AJ61" s="1195"/>
      <c r="AK61" s="1195"/>
      <c r="AL61" s="1195"/>
      <c r="AM61" s="1195"/>
      <c r="AN61" s="1195"/>
      <c r="AO61" s="1195"/>
      <c r="AY61" s="1195"/>
      <c r="AZ61" s="1195"/>
      <c r="BA61" s="1195"/>
      <c r="BB61" s="1195"/>
      <c r="BC61" s="1195"/>
      <c r="BD61" s="1195"/>
      <c r="BE61" s="1195"/>
      <c r="BF61" s="1195"/>
    </row>
    <row r="62" spans="1:58" ht="15" hidden="1" customHeight="1">
      <c r="A62" s="1710" t="s">
        <v>479</v>
      </c>
      <c r="B62" s="1711">
        <f>X46</f>
        <v>0</v>
      </c>
      <c r="C62" s="1711">
        <f>Y46</f>
        <v>0</v>
      </c>
      <c r="L62" s="1195"/>
      <c r="M62" s="1195"/>
      <c r="N62" s="1711">
        <f t="shared" si="18"/>
        <v>0</v>
      </c>
      <c r="O62" s="1711">
        <f t="shared" si="19"/>
        <v>0</v>
      </c>
      <c r="P62" s="1195"/>
      <c r="Q62" s="1195"/>
      <c r="AF62" s="1195"/>
      <c r="AH62" s="1195"/>
      <c r="AI62" s="1195"/>
      <c r="AJ62" s="1195"/>
      <c r="AK62" s="1195"/>
      <c r="AL62" s="1195"/>
      <c r="AM62" s="1195"/>
      <c r="AN62" s="1195"/>
      <c r="AO62" s="1195"/>
      <c r="AY62" s="1195"/>
      <c r="AZ62" s="1195"/>
      <c r="BA62" s="1195"/>
      <c r="BB62" s="1195"/>
      <c r="BC62" s="1195"/>
      <c r="BD62" s="1195"/>
      <c r="BE62" s="1195"/>
      <c r="BF62" s="1195"/>
    </row>
    <row r="63" spans="1:58" ht="15" hidden="1" customHeight="1">
      <c r="A63" s="1710" t="s">
        <v>457</v>
      </c>
      <c r="B63" s="1711">
        <f>V46</f>
        <v>0</v>
      </c>
      <c r="C63" s="1711">
        <f>W46</f>
        <v>0</v>
      </c>
      <c r="L63" s="1195"/>
      <c r="M63" s="1195"/>
      <c r="N63" s="1711">
        <f t="shared" si="18"/>
        <v>0</v>
      </c>
      <c r="O63" s="1711">
        <f t="shared" si="19"/>
        <v>0</v>
      </c>
      <c r="P63" s="1195"/>
      <c r="Q63" s="1195"/>
      <c r="AF63" s="1195"/>
      <c r="AH63" s="1195"/>
      <c r="AI63" s="1195"/>
      <c r="AJ63" s="1195"/>
      <c r="AK63" s="1195"/>
      <c r="AL63" s="1195"/>
      <c r="AM63" s="1195"/>
      <c r="AN63" s="1195"/>
      <c r="AO63" s="1195"/>
      <c r="AY63" s="1195"/>
      <c r="AZ63" s="1195"/>
      <c r="BA63" s="1195"/>
      <c r="BB63" s="1195"/>
      <c r="BC63" s="1195"/>
      <c r="BD63" s="1195"/>
      <c r="BE63" s="1195"/>
      <c r="BF63" s="1195"/>
    </row>
    <row r="64" spans="1:58" ht="15" hidden="1" customHeight="1">
      <c r="A64" s="1710" t="s">
        <v>459</v>
      </c>
      <c r="B64" s="1711">
        <f>Z46</f>
        <v>0</v>
      </c>
      <c r="C64" s="1711">
        <f>AA46</f>
        <v>0</v>
      </c>
      <c r="L64" s="1195"/>
      <c r="M64" s="1195"/>
      <c r="N64" s="1711">
        <f t="shared" si="18"/>
        <v>0</v>
      </c>
      <c r="O64" s="1711">
        <f t="shared" si="19"/>
        <v>0</v>
      </c>
      <c r="P64" s="1195"/>
      <c r="Q64" s="1195"/>
      <c r="AF64" s="1195"/>
      <c r="AH64" s="1195"/>
      <c r="AI64" s="1195"/>
      <c r="AJ64" s="1195"/>
      <c r="AK64" s="1195"/>
      <c r="AL64" s="1195"/>
      <c r="AM64" s="1195"/>
      <c r="AN64" s="1195"/>
      <c r="AO64" s="1195"/>
      <c r="AY64" s="1195"/>
      <c r="AZ64" s="1195"/>
      <c r="BA64" s="1195"/>
      <c r="BB64" s="1195"/>
      <c r="BC64" s="1195"/>
      <c r="BD64" s="1195"/>
      <c r="BE64" s="1195"/>
      <c r="BF64" s="1195"/>
    </row>
    <row r="65" spans="1:47" s="1195" customFormat="1" ht="15" hidden="1" customHeight="1">
      <c r="A65" s="1710" t="s">
        <v>460</v>
      </c>
      <c r="B65" s="1711">
        <f>AB46</f>
        <v>0</v>
      </c>
      <c r="C65" s="1711">
        <f>AC46</f>
        <v>0</v>
      </c>
      <c r="F65" s="1319"/>
      <c r="G65" s="1319"/>
      <c r="H65" s="1319"/>
      <c r="I65" s="1319"/>
      <c r="J65" s="1319"/>
      <c r="K65" s="1319"/>
      <c r="N65" s="1711">
        <f t="shared" si="18"/>
        <v>0</v>
      </c>
      <c r="O65" s="1711">
        <f t="shared" si="19"/>
        <v>0</v>
      </c>
      <c r="AB65" s="1319"/>
      <c r="AT65" s="1013"/>
      <c r="AU65" s="1013"/>
    </row>
    <row r="66" spans="1:47" s="1195" customFormat="1" ht="15" hidden="1" customHeight="1">
      <c r="A66" s="1710" t="s">
        <v>461</v>
      </c>
      <c r="B66" s="1711">
        <f>AD46</f>
        <v>0</v>
      </c>
      <c r="C66" s="1711">
        <f>AE46</f>
        <v>0</v>
      </c>
      <c r="F66" s="1319"/>
      <c r="G66" s="1319"/>
      <c r="H66" s="1319"/>
      <c r="I66" s="1319"/>
      <c r="J66" s="1319"/>
      <c r="K66" s="1319"/>
      <c r="N66" s="1711">
        <f t="shared" si="18"/>
        <v>0</v>
      </c>
      <c r="O66" s="1711">
        <f t="shared" si="19"/>
        <v>0</v>
      </c>
      <c r="AB66" s="1319"/>
      <c r="AT66" s="1013"/>
      <c r="AU66" s="1013"/>
    </row>
    <row r="67" spans="1:47" s="1195" customFormat="1" ht="15" customHeight="1">
      <c r="A67" s="1710" t="s">
        <v>462</v>
      </c>
      <c r="B67" s="1711">
        <f>AF46</f>
        <v>79140.911281376888</v>
      </c>
      <c r="C67" s="1711">
        <f>AG46</f>
        <v>50012.732316662383</v>
      </c>
      <c r="F67" s="1319"/>
      <c r="G67" s="1319"/>
      <c r="H67" s="1319"/>
      <c r="I67" s="1319"/>
      <c r="J67" s="1319"/>
      <c r="K67" s="1319"/>
      <c r="N67" s="1711">
        <f t="shared" si="18"/>
        <v>79000</v>
      </c>
      <c r="O67" s="1711">
        <f t="shared" si="19"/>
        <v>50000</v>
      </c>
      <c r="AB67" s="1319"/>
      <c r="AT67" s="1013"/>
      <c r="AU67" s="1013"/>
    </row>
    <row r="68" spans="1:47" s="1195" customFormat="1" ht="15" customHeight="1">
      <c r="A68" s="1710" t="s">
        <v>463</v>
      </c>
      <c r="B68" s="1711">
        <f>AH46</f>
        <v>4051318.3574368665</v>
      </c>
      <c r="C68" s="1711">
        <f>AI46</f>
        <v>2525607.9066800205</v>
      </c>
      <c r="F68" s="1319"/>
      <c r="G68" s="1319"/>
      <c r="H68" s="1319"/>
      <c r="I68" s="1319"/>
      <c r="J68" s="1319"/>
      <c r="K68" s="1319"/>
      <c r="N68" s="1711">
        <f t="shared" si="18"/>
        <v>4051000</v>
      </c>
      <c r="O68" s="1711">
        <f t="shared" si="19"/>
        <v>2526000</v>
      </c>
      <c r="AB68" s="1319"/>
      <c r="AT68" s="1013"/>
      <c r="AU68" s="1013"/>
    </row>
    <row r="69" spans="1:47" s="1195" customFormat="1" ht="15" hidden="1" customHeight="1">
      <c r="A69" s="1710" t="s">
        <v>146</v>
      </c>
      <c r="B69" s="1711">
        <f>AJ46</f>
        <v>0</v>
      </c>
      <c r="C69" s="1711">
        <f>AK46</f>
        <v>0</v>
      </c>
      <c r="F69" s="1319"/>
      <c r="G69" s="1319"/>
      <c r="H69" s="1319"/>
      <c r="I69" s="1319"/>
      <c r="J69" s="1319"/>
      <c r="K69" s="1319"/>
      <c r="N69" s="1711">
        <f t="shared" si="18"/>
        <v>0</v>
      </c>
      <c r="O69" s="1711">
        <f t="shared" si="19"/>
        <v>0</v>
      </c>
      <c r="AB69" s="1319"/>
      <c r="AT69" s="1013"/>
      <c r="AU69" s="1013"/>
    </row>
    <row r="70" spans="1:47" s="1195" customFormat="1" ht="14.25" customHeight="1">
      <c r="A70" s="1710" t="s">
        <v>148</v>
      </c>
      <c r="B70" s="1711">
        <f>AL46</f>
        <v>240317.44379944936</v>
      </c>
      <c r="C70" s="1711">
        <f>AM46</f>
        <v>153015.96643551401</v>
      </c>
      <c r="F70" s="1319"/>
      <c r="G70" s="1319"/>
      <c r="H70" s="1319"/>
      <c r="I70" s="1319"/>
      <c r="J70" s="1319"/>
      <c r="K70" s="1319"/>
      <c r="N70" s="1711">
        <f t="shared" si="18"/>
        <v>240000</v>
      </c>
      <c r="O70" s="1711">
        <f t="shared" si="19"/>
        <v>153000</v>
      </c>
      <c r="AB70" s="1319"/>
      <c r="AT70" s="1013"/>
      <c r="AU70" s="1013"/>
    </row>
    <row r="71" spans="1:47" s="1195" customFormat="1" ht="15" customHeight="1">
      <c r="A71" s="1710" t="s">
        <v>150</v>
      </c>
      <c r="B71" s="1711">
        <f>AN46</f>
        <v>120703.49865586901</v>
      </c>
      <c r="C71" s="1711">
        <f>AO46</f>
        <v>75546.020214891236</v>
      </c>
      <c r="F71" s="1319"/>
      <c r="G71" s="1319"/>
      <c r="H71" s="1319"/>
      <c r="I71" s="1319"/>
      <c r="J71" s="1319"/>
      <c r="K71" s="1319"/>
      <c r="N71" s="1711">
        <f t="shared" si="18"/>
        <v>121000</v>
      </c>
      <c r="O71" s="1711">
        <f t="shared" si="19"/>
        <v>76000</v>
      </c>
      <c r="AB71" s="1319"/>
      <c r="AT71" s="1013"/>
      <c r="AU71" s="1013"/>
    </row>
    <row r="72" spans="1:47" s="1195" customFormat="1" ht="15" hidden="1" customHeight="1">
      <c r="A72" s="1710" t="s">
        <v>480</v>
      </c>
      <c r="B72" s="1711">
        <f>AP46</f>
        <v>0</v>
      </c>
      <c r="C72" s="1711">
        <f>AQ46</f>
        <v>0</v>
      </c>
      <c r="N72" s="1711">
        <f t="shared" si="18"/>
        <v>0</v>
      </c>
      <c r="O72" s="1711">
        <f t="shared" si="19"/>
        <v>0</v>
      </c>
      <c r="AT72" s="1013"/>
      <c r="AU72" s="1013"/>
    </row>
    <row r="73" spans="1:47" s="1195" customFormat="1" ht="15" hidden="1" customHeight="1">
      <c r="A73" s="1710" t="s">
        <v>481</v>
      </c>
      <c r="B73" s="1711">
        <f>AR46</f>
        <v>0</v>
      </c>
      <c r="C73" s="1711">
        <f>AS46</f>
        <v>0</v>
      </c>
      <c r="N73" s="1711">
        <f t="shared" si="18"/>
        <v>0</v>
      </c>
      <c r="O73" s="1711">
        <f t="shared" si="19"/>
        <v>0</v>
      </c>
      <c r="AT73" s="1013"/>
      <c r="AU73" s="1013"/>
    </row>
    <row r="74" spans="1:47" s="1195" customFormat="1" ht="15" hidden="1" customHeight="1">
      <c r="A74" s="1710" t="s">
        <v>466</v>
      </c>
      <c r="B74" s="1711">
        <f>AT46</f>
        <v>0</v>
      </c>
      <c r="C74" s="1711">
        <f>AU46</f>
        <v>0</v>
      </c>
      <c r="N74" s="1711">
        <f t="shared" si="18"/>
        <v>0</v>
      </c>
      <c r="O74" s="1711">
        <f t="shared" si="19"/>
        <v>0</v>
      </c>
      <c r="AT74" s="1013"/>
      <c r="AU74" s="1013"/>
    </row>
    <row r="75" spans="1:47" s="1195" customFormat="1" ht="15" customHeight="1">
      <c r="A75" s="1712" t="s">
        <v>473</v>
      </c>
      <c r="B75" s="1713">
        <f>SUM(B52:B74)</f>
        <v>21446502.733827129</v>
      </c>
      <c r="C75" s="1713">
        <f>SUM(C52:C74)</f>
        <v>11684182.937136369</v>
      </c>
      <c r="F75" s="1319"/>
      <c r="G75" s="1319"/>
      <c r="H75" s="1319"/>
      <c r="I75" s="1319"/>
      <c r="J75" s="1319"/>
      <c r="K75" s="1319"/>
      <c r="N75" s="1713">
        <f t="shared" si="18"/>
        <v>21447000</v>
      </c>
      <c r="O75" s="1713">
        <f t="shared" si="19"/>
        <v>11684000</v>
      </c>
      <c r="AB75" s="1319"/>
      <c r="AT75" s="1013"/>
      <c r="AU75" s="1013"/>
    </row>
    <row r="76" spans="1:47" s="1195" customFormat="1" ht="15" hidden="1" customHeight="1">
      <c r="A76" s="1714"/>
      <c r="E76" s="1319"/>
      <c r="F76" s="1319"/>
      <c r="G76" s="1319"/>
      <c r="H76" s="1319"/>
      <c r="I76" s="1319"/>
      <c r="J76" s="1319"/>
      <c r="K76" s="1319"/>
      <c r="AB76" s="1319"/>
      <c r="AT76" s="1013"/>
      <c r="AU76" s="1013"/>
    </row>
    <row r="77" spans="1:47" s="1195" customFormat="1" ht="15" hidden="1" customHeight="1">
      <c r="A77" s="1011" t="s">
        <v>9</v>
      </c>
      <c r="E77" s="1319"/>
      <c r="F77" s="1319"/>
      <c r="G77" s="1319"/>
      <c r="J77" s="1319"/>
      <c r="K77" s="1319"/>
      <c r="L77" s="1319"/>
      <c r="M77" s="1319"/>
      <c r="N77" s="1319"/>
      <c r="O77" s="1319"/>
      <c r="P77" s="1319"/>
      <c r="AB77" s="1319"/>
      <c r="AC77" s="1319"/>
      <c r="AT77" s="1013"/>
      <c r="AU77" s="1013"/>
    </row>
    <row r="78" spans="1:47" s="1195" customFormat="1" ht="15" hidden="1" customHeight="1">
      <c r="A78" s="1710" t="s">
        <v>468</v>
      </c>
      <c r="B78" s="1711">
        <f>AY46</f>
        <v>0</v>
      </c>
      <c r="C78" s="1711">
        <f>AZ46</f>
        <v>0</v>
      </c>
      <c r="D78" s="1711">
        <f t="shared" ref="D78:E81" si="20">ROUND(B78,-3)</f>
        <v>0</v>
      </c>
      <c r="E78" s="1711">
        <f t="shared" si="20"/>
        <v>0</v>
      </c>
      <c r="F78" s="1319"/>
      <c r="G78" s="1319"/>
      <c r="H78" s="1319"/>
      <c r="I78" s="1319"/>
      <c r="J78" s="1319"/>
      <c r="K78" s="1319"/>
      <c r="AB78" s="1319"/>
      <c r="AT78" s="1013"/>
      <c r="AU78" s="1013"/>
    </row>
    <row r="79" spans="1:47" s="1195" customFormat="1" ht="15" hidden="1" customHeight="1">
      <c r="A79" s="1710" t="s">
        <v>469</v>
      </c>
      <c r="B79" s="1711">
        <f>BA46</f>
        <v>0</v>
      </c>
      <c r="C79" s="1711">
        <f>BB46</f>
        <v>0</v>
      </c>
      <c r="D79" s="1711">
        <f t="shared" si="20"/>
        <v>0</v>
      </c>
      <c r="E79" s="1711">
        <f t="shared" si="20"/>
        <v>0</v>
      </c>
      <c r="F79" s="1319"/>
      <c r="G79" s="1319"/>
      <c r="H79" s="1319"/>
      <c r="I79" s="1319"/>
      <c r="J79" s="1319"/>
      <c r="K79" s="1319"/>
      <c r="AB79" s="1319"/>
      <c r="AT79" s="1013"/>
      <c r="AU79" s="1013"/>
    </row>
    <row r="80" spans="1:47" s="1195" customFormat="1" ht="15" hidden="1" customHeight="1">
      <c r="A80" s="1710" t="s">
        <v>470</v>
      </c>
      <c r="B80" s="1711">
        <f>BC46</f>
        <v>0</v>
      </c>
      <c r="C80" s="1711">
        <f>BD46</f>
        <v>0</v>
      </c>
      <c r="D80" s="1711">
        <f t="shared" si="20"/>
        <v>0</v>
      </c>
      <c r="E80" s="1711">
        <f t="shared" si="20"/>
        <v>0</v>
      </c>
      <c r="F80" s="1319"/>
      <c r="G80" s="1319"/>
      <c r="H80" s="1319"/>
      <c r="I80" s="1319"/>
      <c r="J80" s="1319"/>
      <c r="K80" s="1319"/>
      <c r="AB80" s="1319"/>
      <c r="AT80" s="1013"/>
      <c r="AU80" s="1013"/>
    </row>
    <row r="81" spans="1:47" s="1195" customFormat="1" ht="15" hidden="1" customHeight="1" thickBot="1">
      <c r="A81" s="1715" t="s">
        <v>471</v>
      </c>
      <c r="B81" s="1716">
        <f>BE46</f>
        <v>0</v>
      </c>
      <c r="C81" s="1716">
        <f>BF46</f>
        <v>0</v>
      </c>
      <c r="D81" s="1716">
        <f t="shared" si="20"/>
        <v>0</v>
      </c>
      <c r="E81" s="1716">
        <f t="shared" si="20"/>
        <v>0</v>
      </c>
      <c r="F81" s="1319"/>
      <c r="G81" s="1319"/>
      <c r="H81" s="1319"/>
      <c r="I81" s="1319"/>
      <c r="J81" s="1319"/>
      <c r="K81" s="1319"/>
      <c r="AB81" s="1319"/>
      <c r="AT81" s="1013"/>
      <c r="AU81" s="1013"/>
    </row>
    <row r="82" spans="1:47" s="1195" customFormat="1" ht="15" hidden="1" customHeight="1" thickTop="1">
      <c r="L82" s="1319"/>
      <c r="M82" s="1319"/>
      <c r="N82" s="1319"/>
      <c r="O82" s="1319"/>
      <c r="P82" s="1319"/>
      <c r="Q82" s="1319"/>
      <c r="AF82" s="1319"/>
      <c r="AH82" s="1319"/>
      <c r="AI82" s="1319"/>
      <c r="AJ82" s="1319"/>
      <c r="AK82" s="1319"/>
      <c r="AL82" s="1319"/>
      <c r="AM82" s="1319"/>
      <c r="AN82" s="1319"/>
      <c r="AO82" s="1319"/>
      <c r="AT82" s="1013"/>
      <c r="AU82" s="1013"/>
    </row>
    <row r="83" spans="1:47" s="1195" customFormat="1" ht="15" customHeight="1">
      <c r="L83" s="1319"/>
      <c r="M83" s="1319"/>
      <c r="N83" s="1319"/>
      <c r="O83" s="1319"/>
      <c r="P83" s="1319"/>
      <c r="Q83" s="1319"/>
      <c r="AF83" s="1319"/>
      <c r="AH83" s="1319"/>
      <c r="AI83" s="1319"/>
      <c r="AJ83" s="1319"/>
      <c r="AK83" s="1319"/>
      <c r="AL83" s="1319"/>
      <c r="AM83" s="1319"/>
      <c r="AN83" s="1319"/>
      <c r="AO83" s="1319"/>
      <c r="AT83" s="1013"/>
      <c r="AU83" s="1013"/>
    </row>
    <row r="84" spans="1:47" s="1195" customFormat="1" ht="15" customHeight="1">
      <c r="L84" s="1319"/>
      <c r="M84" s="1319"/>
      <c r="N84" s="1319"/>
      <c r="O84" s="1319"/>
      <c r="P84" s="1319"/>
      <c r="Q84" s="1319"/>
      <c r="AF84" s="1319"/>
      <c r="AH84" s="1319"/>
      <c r="AI84" s="1319"/>
      <c r="AJ84" s="1319"/>
      <c r="AK84" s="1319"/>
      <c r="AL84" s="1319"/>
      <c r="AM84" s="1319"/>
      <c r="AN84" s="1319"/>
      <c r="AO84" s="1319"/>
      <c r="AT84" s="1013"/>
      <c r="AU84" s="1013"/>
    </row>
    <row r="85" spans="1:47" s="1195" customFormat="1" ht="15" customHeight="1">
      <c r="L85" s="1319"/>
      <c r="M85" s="1319"/>
      <c r="N85" s="1319"/>
      <c r="O85" s="1319"/>
      <c r="P85" s="1319"/>
      <c r="Q85" s="1319"/>
      <c r="AF85" s="1319"/>
      <c r="AH85" s="1319"/>
      <c r="AI85" s="1319"/>
      <c r="AJ85" s="1319"/>
      <c r="AK85" s="1319"/>
      <c r="AL85" s="1319"/>
      <c r="AM85" s="1319"/>
      <c r="AN85" s="1319"/>
      <c r="AO85" s="1319"/>
      <c r="AT85" s="1013"/>
      <c r="AU85" s="1013"/>
    </row>
    <row r="86" spans="1:47" s="1195" customFormat="1" ht="15" customHeight="1">
      <c r="L86" s="1319"/>
      <c r="M86" s="1319"/>
      <c r="N86" s="1319"/>
      <c r="O86" s="1319"/>
      <c r="P86" s="1319"/>
      <c r="Q86" s="1319"/>
      <c r="AF86" s="1319"/>
      <c r="AH86" s="1319"/>
      <c r="AI86" s="1319"/>
      <c r="AJ86" s="1319"/>
      <c r="AK86" s="1319"/>
      <c r="AL86" s="1319"/>
      <c r="AM86" s="1319"/>
      <c r="AN86" s="1319"/>
      <c r="AO86" s="1319"/>
      <c r="AT86" s="1013"/>
      <c r="AU86" s="1013"/>
    </row>
    <row r="87" spans="1:47" s="1195" customFormat="1" ht="15" customHeight="1">
      <c r="L87" s="1319"/>
      <c r="M87" s="1319"/>
      <c r="N87" s="1319"/>
      <c r="O87" s="1319"/>
      <c r="P87" s="1319"/>
      <c r="Q87" s="1319"/>
      <c r="AF87" s="1319"/>
      <c r="AH87" s="1319"/>
      <c r="AI87" s="1319"/>
      <c r="AJ87" s="1319"/>
      <c r="AK87" s="1319"/>
      <c r="AL87" s="1319"/>
      <c r="AM87" s="1319"/>
      <c r="AN87" s="1319"/>
      <c r="AO87" s="1319"/>
      <c r="AT87" s="1013"/>
      <c r="AU87" s="1013"/>
    </row>
    <row r="88" spans="1:47" s="1195" customFormat="1" ht="15" customHeight="1">
      <c r="L88" s="1319"/>
      <c r="M88" s="1319"/>
      <c r="N88" s="1319"/>
      <c r="O88" s="1319"/>
      <c r="P88" s="1319"/>
      <c r="Q88" s="1319"/>
      <c r="AF88" s="1319"/>
      <c r="AH88" s="1319"/>
      <c r="AI88" s="1319"/>
      <c r="AJ88" s="1319"/>
      <c r="AK88" s="1319"/>
      <c r="AL88" s="1319"/>
      <c r="AM88" s="1319"/>
      <c r="AN88" s="1319"/>
      <c r="AO88" s="1319"/>
      <c r="AT88" s="1013"/>
      <c r="AU88" s="1013"/>
    </row>
    <row r="89" spans="1:47" s="1195" customFormat="1" ht="15" customHeight="1">
      <c r="L89" s="1319"/>
      <c r="M89" s="1319"/>
      <c r="N89" s="1319"/>
      <c r="O89" s="1319"/>
      <c r="P89" s="1319"/>
      <c r="Q89" s="1319"/>
      <c r="AF89" s="1319"/>
      <c r="AH89" s="1319"/>
      <c r="AI89" s="1319"/>
      <c r="AJ89" s="1319"/>
      <c r="AK89" s="1319"/>
      <c r="AL89" s="1319"/>
      <c r="AM89" s="1319"/>
      <c r="AN89" s="1319"/>
      <c r="AO89" s="1319"/>
      <c r="AT89" s="1013"/>
      <c r="AU89" s="1013"/>
    </row>
    <row r="90" spans="1:47" s="1195" customFormat="1" ht="15" customHeight="1">
      <c r="L90" s="1319"/>
      <c r="M90" s="1319"/>
      <c r="N90" s="1319"/>
      <c r="O90" s="1319"/>
      <c r="P90" s="1319"/>
      <c r="Q90" s="1319"/>
      <c r="AF90" s="1319"/>
      <c r="AH90" s="1319"/>
      <c r="AI90" s="1319"/>
      <c r="AJ90" s="1319"/>
      <c r="AK90" s="1319"/>
      <c r="AL90" s="1319"/>
      <c r="AM90" s="1319"/>
      <c r="AN90" s="1319"/>
      <c r="AO90" s="1319"/>
      <c r="AT90" s="1013"/>
      <c r="AU90" s="1013"/>
    </row>
    <row r="91" spans="1:47" s="1195" customFormat="1" ht="15" customHeight="1">
      <c r="L91" s="1319"/>
      <c r="M91" s="1319"/>
      <c r="N91" s="1319"/>
      <c r="O91" s="1319"/>
      <c r="P91" s="1319"/>
      <c r="Q91" s="1319"/>
      <c r="AF91" s="1319"/>
      <c r="AH91" s="1319"/>
      <c r="AI91" s="1319"/>
      <c r="AJ91" s="1319"/>
      <c r="AK91" s="1319"/>
      <c r="AL91" s="1319"/>
      <c r="AM91" s="1319"/>
      <c r="AN91" s="1319"/>
      <c r="AO91" s="1319"/>
      <c r="AT91" s="1013"/>
      <c r="AU91" s="1013"/>
    </row>
    <row r="92" spans="1:47" s="1195" customFormat="1" ht="15" customHeight="1">
      <c r="L92" s="1319"/>
      <c r="M92" s="1319"/>
      <c r="N92" s="1319"/>
      <c r="O92" s="1319"/>
      <c r="P92" s="1319"/>
      <c r="Q92" s="1319"/>
      <c r="AF92" s="1319"/>
      <c r="AH92" s="1319"/>
      <c r="AI92" s="1319"/>
      <c r="AJ92" s="1319"/>
      <c r="AK92" s="1319"/>
      <c r="AL92" s="1319"/>
      <c r="AM92" s="1319"/>
      <c r="AN92" s="1319"/>
      <c r="AO92" s="1319"/>
      <c r="AT92" s="1013"/>
      <c r="AU92" s="1013"/>
    </row>
    <row r="93" spans="1:47" s="1195" customFormat="1" ht="15" customHeight="1">
      <c r="L93" s="1319"/>
      <c r="M93" s="1319"/>
      <c r="N93" s="1319"/>
      <c r="O93" s="1319"/>
      <c r="P93" s="1319"/>
      <c r="Q93" s="1319"/>
      <c r="AF93" s="1319"/>
      <c r="AH93" s="1319"/>
      <c r="AI93" s="1319"/>
      <c r="AJ93" s="1319"/>
      <c r="AK93" s="1319"/>
      <c r="AL93" s="1319"/>
      <c r="AM93" s="1319"/>
      <c r="AN93" s="1319"/>
      <c r="AO93" s="1319"/>
      <c r="AT93" s="1013"/>
      <c r="AU93" s="1013"/>
    </row>
    <row r="94" spans="1:47" s="1195" customFormat="1" ht="15" customHeight="1">
      <c r="L94" s="1319"/>
      <c r="M94" s="1319"/>
      <c r="N94" s="1319"/>
      <c r="O94" s="1319"/>
      <c r="P94" s="1319"/>
      <c r="Q94" s="1319"/>
      <c r="AF94" s="1319"/>
      <c r="AH94" s="1319"/>
      <c r="AI94" s="1319"/>
      <c r="AJ94" s="1319"/>
      <c r="AK94" s="1319"/>
      <c r="AL94" s="1319"/>
      <c r="AM94" s="1319"/>
      <c r="AN94" s="1319"/>
      <c r="AO94" s="1319"/>
      <c r="AT94" s="1013"/>
      <c r="AU94" s="1013"/>
    </row>
    <row r="95" spans="1:47" s="1195" customFormat="1" ht="15" customHeight="1">
      <c r="L95" s="1319"/>
      <c r="M95" s="1319"/>
      <c r="N95" s="1319"/>
      <c r="O95" s="1319"/>
      <c r="P95" s="1319"/>
      <c r="Q95" s="1319"/>
      <c r="AF95" s="1319"/>
      <c r="AH95" s="1319"/>
      <c r="AI95" s="1319"/>
      <c r="AJ95" s="1319"/>
      <c r="AK95" s="1319"/>
      <c r="AL95" s="1319"/>
      <c r="AM95" s="1319"/>
      <c r="AN95" s="1319"/>
      <c r="AO95" s="1319"/>
      <c r="AT95" s="1013"/>
      <c r="AU95" s="1013"/>
    </row>
    <row r="96" spans="1:47" s="1195" customFormat="1" ht="15" customHeight="1">
      <c r="L96" s="1319"/>
      <c r="M96" s="1319"/>
      <c r="N96" s="1319"/>
      <c r="O96" s="1319"/>
      <c r="P96" s="1319"/>
      <c r="Q96" s="1319"/>
      <c r="AF96" s="1319"/>
      <c r="AH96" s="1319"/>
      <c r="AI96" s="1319"/>
      <c r="AJ96" s="1319"/>
      <c r="AK96" s="1319"/>
      <c r="AL96" s="1319"/>
      <c r="AM96" s="1319"/>
      <c r="AN96" s="1319"/>
      <c r="AO96" s="1319"/>
      <c r="AT96" s="1013"/>
      <c r="AU96" s="1013"/>
    </row>
    <row r="97" spans="51:58" ht="15" customHeight="1">
      <c r="AY97" s="1195"/>
      <c r="AZ97" s="1195"/>
      <c r="BA97" s="1195"/>
      <c r="BB97" s="1195"/>
      <c r="BC97" s="1195"/>
      <c r="BD97" s="1195"/>
      <c r="BE97" s="1195"/>
      <c r="BF97" s="1195"/>
    </row>
    <row r="98" spans="51:58" ht="15" customHeight="1">
      <c r="AY98" s="1195"/>
      <c r="AZ98" s="1195"/>
      <c r="BA98" s="1195"/>
      <c r="BB98" s="1195"/>
      <c r="BC98" s="1195"/>
      <c r="BD98" s="1195"/>
      <c r="BE98" s="1195"/>
      <c r="BF98" s="1195"/>
    </row>
    <row r="99" spans="51:58" ht="15" customHeight="1">
      <c r="AY99" s="1195"/>
      <c r="AZ99" s="1195"/>
      <c r="BA99" s="1195"/>
      <c r="BB99" s="1195"/>
      <c r="BC99" s="1195"/>
      <c r="BD99" s="1195"/>
      <c r="BE99" s="1195"/>
      <c r="BF99" s="1195"/>
    </row>
    <row r="100" spans="51:58" ht="15" customHeight="1">
      <c r="AY100" s="1195"/>
      <c r="AZ100" s="1195"/>
      <c r="BA100" s="1195"/>
      <c r="BB100" s="1195"/>
      <c r="BC100" s="1195"/>
      <c r="BD100" s="1195"/>
      <c r="BE100" s="1195"/>
      <c r="BF100" s="1195"/>
    </row>
    <row r="101" spans="51:58" ht="15" customHeight="1">
      <c r="AY101" s="1195"/>
      <c r="AZ101" s="1195"/>
      <c r="BA101" s="1195"/>
      <c r="BB101" s="1195"/>
      <c r="BC101" s="1195"/>
      <c r="BD101" s="1195"/>
      <c r="BE101" s="1195"/>
      <c r="BF101" s="1195"/>
    </row>
    <row r="102" spans="51:58" ht="15" customHeight="1">
      <c r="AY102" s="1195"/>
      <c r="AZ102" s="1195"/>
      <c r="BA102" s="1195"/>
      <c r="BB102" s="1195"/>
      <c r="BC102" s="1195"/>
      <c r="BD102" s="1195"/>
      <c r="BE102" s="1195"/>
      <c r="BF102" s="1195"/>
    </row>
    <row r="103" spans="51:58" ht="15" customHeight="1">
      <c r="AY103" s="1195"/>
      <c r="AZ103" s="1195"/>
      <c r="BA103" s="1195"/>
      <c r="BB103" s="1195"/>
      <c r="BC103" s="1195"/>
      <c r="BD103" s="1195"/>
      <c r="BE103" s="1195"/>
      <c r="BF103" s="1195"/>
    </row>
    <row r="104" spans="51:58" ht="15" customHeight="1">
      <c r="AY104" s="1195"/>
      <c r="AZ104" s="1195"/>
      <c r="BA104" s="1195"/>
      <c r="BB104" s="1195"/>
      <c r="BC104" s="1195"/>
      <c r="BD104" s="1195"/>
      <c r="BE104" s="1195"/>
      <c r="BF104" s="1195"/>
    </row>
    <row r="105" spans="51:58" ht="15" customHeight="1">
      <c r="AY105" s="1195"/>
      <c r="AZ105" s="1195"/>
      <c r="BA105" s="1195"/>
      <c r="BB105" s="1195"/>
      <c r="BC105" s="1195"/>
      <c r="BD105" s="1195"/>
      <c r="BE105" s="1195"/>
      <c r="BF105" s="1195"/>
    </row>
    <row r="106" spans="51:58">
      <c r="AY106" s="1195"/>
      <c r="AZ106" s="1195"/>
      <c r="BA106" s="1195"/>
      <c r="BB106" s="1195"/>
      <c r="BC106" s="1195"/>
      <c r="BD106" s="1195"/>
      <c r="BE106" s="1195"/>
      <c r="BF106" s="1195"/>
    </row>
    <row r="107" spans="51:58">
      <c r="AY107" s="1195"/>
      <c r="AZ107" s="1195"/>
      <c r="BA107" s="1195"/>
      <c r="BB107" s="1195"/>
      <c r="BC107" s="1195"/>
      <c r="BD107" s="1195"/>
      <c r="BE107" s="1195"/>
      <c r="BF107" s="1195"/>
    </row>
    <row r="108" spans="51:58">
      <c r="AY108" s="1195"/>
      <c r="AZ108" s="1195"/>
      <c r="BA108" s="1195"/>
      <c r="BB108" s="1195"/>
      <c r="BC108" s="1195"/>
      <c r="BD108" s="1195"/>
      <c r="BE108" s="1195"/>
      <c r="BF108" s="1195"/>
    </row>
  </sheetData>
  <sheetProtection algorithmName="SHA-512" hashValue="1s/+XesJ+H3Ae9BcrkMUkxwIQtkSro+q/1LJv0Q38c257PQ2bVt6ATL6NHDciT7lPRIgOBOLM/pK4g5GSytzLw==" saltValue="nbCHU/NhMAU3aceBfJOlyg=="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20" type="noConversion"/>
  <printOptions gridLines="1"/>
  <pageMargins left="0.75" right="0.75" top="3.12" bottom="1" header="2.14" footer="0.5"/>
  <pageSetup scale="14" orientation="landscape" r:id="rId1"/>
  <headerFooter alignWithMargins="0">
    <oddHeader>&amp;C&amp;A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196"/>
  <sheetViews>
    <sheetView zoomScale="85" zoomScaleNormal="85" workbookViewId="0">
      <selection sqref="A1:XFD1048576"/>
    </sheetView>
  </sheetViews>
  <sheetFormatPr defaultColWidth="8.77734375" defaultRowHeight="13.8"/>
  <cols>
    <col min="1" max="1" width="51.77734375" style="1145" bestFit="1" customWidth="1"/>
    <col min="2" max="2" width="28.21875" style="1145" customWidth="1"/>
    <col min="3" max="3" width="37" style="1145" customWidth="1"/>
    <col min="4" max="4" width="20.77734375" style="1145" bestFit="1" customWidth="1"/>
    <col min="5" max="5" width="7.5546875" style="1145" customWidth="1"/>
    <col min="6" max="6" width="31" style="1145" customWidth="1"/>
    <col min="7" max="7" width="18.21875" style="1145" bestFit="1" customWidth="1"/>
    <col min="8" max="8" width="18.21875" style="1145" customWidth="1"/>
    <col min="9" max="9" width="32.21875" style="1145" customWidth="1"/>
    <col min="10" max="10" width="19.77734375" style="1145" customWidth="1"/>
    <col min="11" max="11" width="18.21875" style="1145" customWidth="1"/>
    <col min="12" max="12" width="39.21875" style="1145" customWidth="1"/>
    <col min="13" max="13" width="19.77734375" style="1145" customWidth="1"/>
    <col min="14" max="14" width="20" style="1145" bestFit="1" customWidth="1"/>
    <col min="15" max="15" width="18.21875" style="1145" bestFit="1" customWidth="1"/>
    <col min="16" max="16" width="11.77734375" style="1145" customWidth="1"/>
    <col min="17" max="20" width="12.21875" style="1145" customWidth="1"/>
    <col min="21" max="16384" width="8.77734375" style="1145"/>
  </cols>
  <sheetData>
    <row r="1" spans="1:20" ht="25.2" customHeight="1">
      <c r="A1" s="1009" t="s">
        <v>185</v>
      </c>
      <c r="B1" s="1143" t="s">
        <v>64</v>
      </c>
      <c r="C1" s="1172"/>
      <c r="D1" s="1172"/>
      <c r="E1" s="1172"/>
      <c r="F1" s="1305"/>
      <c r="G1" s="1306"/>
    </row>
    <row r="2" spans="1:20" ht="19.95" customHeight="1" thickBot="1">
      <c r="A2" s="1173"/>
      <c r="B2" s="1173"/>
      <c r="C2" s="1173"/>
      <c r="D2" s="1173"/>
      <c r="E2" s="1173"/>
    </row>
    <row r="3" spans="1:20" ht="60" customHeight="1">
      <c r="A3" s="1307" t="s">
        <v>482</v>
      </c>
      <c r="B3" s="1875" t="s">
        <v>483</v>
      </c>
      <c r="C3" s="1875"/>
      <c r="D3" s="1875"/>
      <c r="E3" s="1174"/>
      <c r="F3" s="1872" t="s">
        <v>484</v>
      </c>
      <c r="G3" s="1873"/>
      <c r="H3" s="1873"/>
      <c r="I3" s="1873"/>
      <c r="J3" s="1873"/>
      <c r="K3" s="1873"/>
      <c r="L3" s="1873"/>
      <c r="M3" s="1873"/>
      <c r="N3" s="1873"/>
      <c r="O3" s="1874"/>
      <c r="P3" s="1308"/>
      <c r="Q3" s="1872" t="s">
        <v>420</v>
      </c>
      <c r="R3" s="1873"/>
      <c r="S3" s="1873"/>
      <c r="T3" s="1873"/>
    </row>
    <row r="4" spans="1:20" ht="19.95" customHeight="1">
      <c r="A4" s="1175"/>
      <c r="B4" s="1175"/>
      <c r="C4" s="1175"/>
      <c r="D4" s="1175"/>
      <c r="E4" s="1174"/>
      <c r="F4" s="1189" t="s">
        <v>485</v>
      </c>
      <c r="G4" s="1192" t="s">
        <v>486</v>
      </c>
      <c r="H4" s="1191" t="s">
        <v>66</v>
      </c>
      <c r="I4" s="1192" t="s">
        <v>487</v>
      </c>
      <c r="J4" s="1156" t="s">
        <v>66</v>
      </c>
      <c r="K4" s="1191" t="s">
        <v>131</v>
      </c>
      <c r="L4" s="1192" t="s">
        <v>67</v>
      </c>
      <c r="M4" s="1157" t="s">
        <v>131</v>
      </c>
      <c r="N4" s="1868" t="s">
        <v>488</v>
      </c>
      <c r="O4" s="1869"/>
      <c r="P4" s="1308"/>
      <c r="Q4" s="1156" t="s">
        <v>66</v>
      </c>
      <c r="R4" s="1157" t="s">
        <v>131</v>
      </c>
      <c r="S4" s="1868" t="s">
        <v>488</v>
      </c>
      <c r="T4" s="1869"/>
    </row>
    <row r="5" spans="1:20" ht="60" customHeight="1" thickBot="1">
      <c r="A5" s="1695" t="s">
        <v>489</v>
      </c>
      <c r="B5" s="1876" t="s">
        <v>490</v>
      </c>
      <c r="C5" s="1876"/>
      <c r="D5" s="1876"/>
      <c r="E5" s="1173"/>
      <c r="F5" s="1528" t="s">
        <v>491</v>
      </c>
      <c r="G5" s="1696" t="s">
        <v>492</v>
      </c>
      <c r="H5" s="1529" t="s">
        <v>493</v>
      </c>
      <c r="I5" s="1529" t="s">
        <v>494</v>
      </c>
      <c r="J5" s="1494" t="s">
        <v>15</v>
      </c>
      <c r="K5" s="1529" t="s">
        <v>493</v>
      </c>
      <c r="L5" s="1529" t="s">
        <v>494</v>
      </c>
      <c r="M5" s="1495" t="s">
        <v>15</v>
      </c>
      <c r="N5" s="1870"/>
      <c r="O5" s="1871"/>
      <c r="P5" s="1308"/>
      <c r="Q5" s="1494" t="s">
        <v>15</v>
      </c>
      <c r="R5" s="1495" t="s">
        <v>15</v>
      </c>
      <c r="S5" s="1870"/>
      <c r="T5" s="1871"/>
    </row>
    <row r="6" spans="1:20" ht="75" customHeight="1">
      <c r="A6" s="1173"/>
      <c r="B6" s="1173"/>
      <c r="C6" s="1173"/>
      <c r="D6" s="1173"/>
      <c r="E6" s="1173"/>
      <c r="F6" s="1528"/>
      <c r="G6" s="1529" t="s">
        <v>495</v>
      </c>
      <c r="H6" s="1529" t="s">
        <v>496</v>
      </c>
      <c r="I6" s="1529" t="s">
        <v>497</v>
      </c>
      <c r="J6" s="1494" t="s">
        <v>447</v>
      </c>
      <c r="K6" s="1529" t="s">
        <v>496</v>
      </c>
      <c r="L6" s="1529" t="s">
        <v>497</v>
      </c>
      <c r="M6" s="1495" t="s">
        <v>447</v>
      </c>
      <c r="N6" s="1500" t="s">
        <v>419</v>
      </c>
      <c r="O6" s="1501" t="str">
        <f>"Discounted @ "&amp;TEXT('Major Assumption Key'!$B$8,"0.0%")</f>
        <v>Discounted @ 3.1%</v>
      </c>
      <c r="P6" s="1308"/>
      <c r="Q6" s="1494" t="s">
        <v>447</v>
      </c>
      <c r="R6" s="1495" t="s">
        <v>447</v>
      </c>
      <c r="S6" s="1500" t="s">
        <v>419</v>
      </c>
      <c r="T6" s="1501" t="str">
        <f>"Discounted @ "&amp;TEXT('Major Assumption Key'!$B$8,"0.0%")</f>
        <v>Discounted @ 3.1%</v>
      </c>
    </row>
    <row r="7" spans="1:20" ht="19.95" customHeight="1">
      <c r="C7" s="1173"/>
      <c r="D7" s="1173"/>
      <c r="E7" s="1173"/>
      <c r="F7" s="1181">
        <f>'Major Assumption Key'!A19</f>
        <v>2020</v>
      </c>
      <c r="G7" s="1313">
        <f>_xlfn.XLOOKUP(F7,'Cost Summary'!H:H,'Cost Summary'!P:P,,0)</f>
        <v>0</v>
      </c>
      <c r="H7" s="1314">
        <v>0</v>
      </c>
      <c r="I7" s="1184">
        <f t="shared" ref="I7" si="0">G7*H7</f>
        <v>0</v>
      </c>
      <c r="J7" s="1315">
        <f>IF(AND(F7&gt;=$B$17,F7&lt;=$B$18),I7,0)</f>
        <v>0</v>
      </c>
      <c r="K7" s="1314">
        <f>IF(F7='Major Assumption Key'!$B$6,$B$21,0%)</f>
        <v>0</v>
      </c>
      <c r="L7" s="1184">
        <f>IF(F7=$B$18,K7*SUM($G$7:$G$47),0)</f>
        <v>0</v>
      </c>
      <c r="M7" s="1316">
        <f>L7</f>
        <v>0</v>
      </c>
      <c r="N7" s="1292">
        <f t="shared" ref="N7" si="1">M7-J7</f>
        <v>0</v>
      </c>
      <c r="O7" s="1169">
        <f>N7/(1+'Major Assumption Key'!$B$8)^($F7-'Major Assumption Key'!$B$7)</f>
        <v>0</v>
      </c>
      <c r="P7" s="1308"/>
      <c r="Q7" s="1315">
        <f t="shared" ref="Q7:Q48" si="2">ROUND(J7,-3)</f>
        <v>0</v>
      </c>
      <c r="R7" s="1316">
        <f t="shared" ref="R7:R48" si="3">ROUND(M7,-3)</f>
        <v>0</v>
      </c>
      <c r="S7" s="1292">
        <f t="shared" ref="S7" si="4">ROUND(N7,-3)</f>
        <v>0</v>
      </c>
      <c r="T7" s="1169">
        <f t="shared" ref="T7" si="5">ROUND(O7,-3)</f>
        <v>0</v>
      </c>
    </row>
    <row r="8" spans="1:20" ht="19.95" customHeight="1">
      <c r="A8" s="1173"/>
      <c r="B8" s="1173"/>
      <c r="C8" s="1173"/>
      <c r="D8" s="1173"/>
      <c r="E8" s="1173"/>
      <c r="F8" s="1181">
        <f>'Major Assumption Key'!A20</f>
        <v>2021</v>
      </c>
      <c r="G8" s="1313">
        <f>_xlfn.XLOOKUP(F8,'Cost Summary'!H:H,'Cost Summary'!P:P,,0)</f>
        <v>0</v>
      </c>
      <c r="H8" s="1314">
        <v>0</v>
      </c>
      <c r="I8" s="1184">
        <f t="shared" ref="I8:I47" si="6">G8*H8</f>
        <v>0</v>
      </c>
      <c r="J8" s="1315">
        <f t="shared" ref="J8:J47" si="7">IF(AND(F8&gt;=$B$17,F8&lt;=$B$18),I8,0)</f>
        <v>0</v>
      </c>
      <c r="K8" s="1314">
        <f>IF(F8='Major Assumption Key'!$B$6,$B$21,0%)</f>
        <v>0</v>
      </c>
      <c r="L8" s="1184">
        <f t="shared" ref="L8:L46" si="8">IF(F8=$B$18,K8*SUM($G$7:$G$47),0)</f>
        <v>0</v>
      </c>
      <c r="M8" s="1316">
        <f t="shared" ref="M8:M47" si="9">L8</f>
        <v>0</v>
      </c>
      <c r="N8" s="1292">
        <f t="shared" ref="N8:N47" si="10">M8-J8</f>
        <v>0</v>
      </c>
      <c r="O8" s="1169">
        <f>N8/(1+'Major Assumption Key'!$B$8)^($F8-'Major Assumption Key'!$B$7)</f>
        <v>0</v>
      </c>
      <c r="P8" s="1308"/>
      <c r="Q8" s="1315">
        <f t="shared" ref="Q8:Q47" si="11">ROUND(J8,-3)</f>
        <v>0</v>
      </c>
      <c r="R8" s="1316">
        <f t="shared" ref="R8:R47" si="12">ROUND(M8,-3)</f>
        <v>0</v>
      </c>
      <c r="S8" s="1292">
        <f t="shared" ref="S8:S47" si="13">ROUND(N8,-3)</f>
        <v>0</v>
      </c>
      <c r="T8" s="1169">
        <f t="shared" ref="T8:T47" si="14">ROUND(O8,-3)</f>
        <v>0</v>
      </c>
    </row>
    <row r="9" spans="1:20" ht="19.95" customHeight="1">
      <c r="A9" s="1859" t="s">
        <v>432</v>
      </c>
      <c r="B9" s="1860"/>
      <c r="C9" s="1860"/>
      <c r="D9" s="1861"/>
      <c r="E9" s="1173"/>
      <c r="F9" s="1181">
        <f>'Major Assumption Key'!A21</f>
        <v>2022</v>
      </c>
      <c r="G9" s="1313">
        <f>_xlfn.XLOOKUP(F9,'Cost Summary'!H:H,'Cost Summary'!P:P,,0)</f>
        <v>0</v>
      </c>
      <c r="H9" s="1314">
        <v>0</v>
      </c>
      <c r="I9" s="1184">
        <f t="shared" si="6"/>
        <v>0</v>
      </c>
      <c r="J9" s="1315">
        <f t="shared" si="7"/>
        <v>0</v>
      </c>
      <c r="K9" s="1314">
        <f>IF(F9='Major Assumption Key'!$B$6,$B$21,0%)</f>
        <v>0</v>
      </c>
      <c r="L9" s="1184">
        <f t="shared" si="8"/>
        <v>0</v>
      </c>
      <c r="M9" s="1316">
        <f t="shared" si="9"/>
        <v>0</v>
      </c>
      <c r="N9" s="1292">
        <f t="shared" si="10"/>
        <v>0</v>
      </c>
      <c r="O9" s="1169">
        <f>N9/(1+'Major Assumption Key'!$B$8)^($F9-'Major Assumption Key'!$B$7)</f>
        <v>0</v>
      </c>
      <c r="P9" s="1308"/>
      <c r="Q9" s="1315">
        <f t="shared" si="11"/>
        <v>0</v>
      </c>
      <c r="R9" s="1316">
        <f t="shared" si="12"/>
        <v>0</v>
      </c>
      <c r="S9" s="1292">
        <f t="shared" si="13"/>
        <v>0</v>
      </c>
      <c r="T9" s="1169">
        <f t="shared" si="14"/>
        <v>0</v>
      </c>
    </row>
    <row r="10" spans="1:20" ht="19.95" customHeight="1">
      <c r="A10" s="1862" t="s">
        <v>418</v>
      </c>
      <c r="B10" s="1862"/>
      <c r="C10" s="1340" t="s">
        <v>419</v>
      </c>
      <c r="D10" s="1340" t="str">
        <f>_xlfn.CONCAT("Discounted @",TEXT('Major Assumption Key'!B8,"0.0%"))</f>
        <v>Discounted @3.1%</v>
      </c>
      <c r="E10" s="1173"/>
      <c r="F10" s="1181">
        <f>'Major Assumption Key'!A22</f>
        <v>2023</v>
      </c>
      <c r="G10" s="1313">
        <f>_xlfn.XLOOKUP(F10,'Cost Summary'!H:H,'Cost Summary'!P:P,,0)</f>
        <v>0</v>
      </c>
      <c r="H10" s="1314">
        <v>0</v>
      </c>
      <c r="I10" s="1184">
        <f t="shared" si="6"/>
        <v>0</v>
      </c>
      <c r="J10" s="1315">
        <f t="shared" si="7"/>
        <v>0</v>
      </c>
      <c r="K10" s="1314">
        <f>IF(F10='Major Assumption Key'!$B$6,$B$21,0%)</f>
        <v>0</v>
      </c>
      <c r="L10" s="1184">
        <f t="shared" si="8"/>
        <v>0</v>
      </c>
      <c r="M10" s="1316">
        <f t="shared" si="9"/>
        <v>0</v>
      </c>
      <c r="N10" s="1292">
        <f t="shared" si="10"/>
        <v>0</v>
      </c>
      <c r="O10" s="1169">
        <f>N10/(1+'Major Assumption Key'!$B$8)^($F10-'Major Assumption Key'!$B$7)</f>
        <v>0</v>
      </c>
      <c r="P10" s="1308"/>
      <c r="Q10" s="1315">
        <f t="shared" si="11"/>
        <v>0</v>
      </c>
      <c r="R10" s="1316">
        <f t="shared" si="12"/>
        <v>0</v>
      </c>
      <c r="S10" s="1292">
        <f t="shared" si="13"/>
        <v>0</v>
      </c>
      <c r="T10" s="1169">
        <f t="shared" si="14"/>
        <v>0</v>
      </c>
    </row>
    <row r="11" spans="1:20" ht="19.95" customHeight="1">
      <c r="A11" s="1863" t="s">
        <v>11</v>
      </c>
      <c r="B11" s="1863"/>
      <c r="C11" s="1503">
        <f>'BCA Summary'!$H$7</f>
        <v>1.0111569298276737</v>
      </c>
      <c r="D11" s="1503">
        <f>'BCA Summary'!$I$7</f>
        <v>0.6276932096418345</v>
      </c>
      <c r="E11" s="1173"/>
      <c r="F11" s="1181">
        <f>'Major Assumption Key'!A23</f>
        <v>2024</v>
      </c>
      <c r="G11" s="1313">
        <f>_xlfn.XLOOKUP(F11,'Cost Summary'!H:H,'Cost Summary'!P:P,,0)</f>
        <v>0</v>
      </c>
      <c r="H11" s="1314">
        <v>0</v>
      </c>
      <c r="I11" s="1184">
        <f t="shared" si="6"/>
        <v>0</v>
      </c>
      <c r="J11" s="1315">
        <f t="shared" si="7"/>
        <v>0</v>
      </c>
      <c r="K11" s="1314">
        <f>IF(F11='Major Assumption Key'!$B$6,$B$21,0%)</f>
        <v>0</v>
      </c>
      <c r="L11" s="1184">
        <f t="shared" si="8"/>
        <v>0</v>
      </c>
      <c r="M11" s="1316">
        <f t="shared" si="9"/>
        <v>0</v>
      </c>
      <c r="N11" s="1292">
        <f t="shared" si="10"/>
        <v>0</v>
      </c>
      <c r="O11" s="1169">
        <f>N11/(1+'Major Assumption Key'!$B$8)^($F11-'Major Assumption Key'!$B$7)</f>
        <v>0</v>
      </c>
      <c r="P11" s="1308"/>
      <c r="Q11" s="1315">
        <f t="shared" si="11"/>
        <v>0</v>
      </c>
      <c r="R11" s="1316">
        <f t="shared" si="12"/>
        <v>0</v>
      </c>
      <c r="S11" s="1292">
        <f t="shared" si="13"/>
        <v>0</v>
      </c>
      <c r="T11" s="1169">
        <f t="shared" si="14"/>
        <v>0</v>
      </c>
    </row>
    <row r="12" spans="1:20" ht="19.95" customHeight="1">
      <c r="A12" s="1863" t="s">
        <v>12</v>
      </c>
      <c r="B12" s="1863"/>
      <c r="C12" s="1340">
        <f>'BCA Summary'!$H$8</f>
        <v>236636.98382712901</v>
      </c>
      <c r="D12" s="1340">
        <f>'BCA Summary'!$I$8</f>
        <v>-6930297.4454113934</v>
      </c>
      <c r="E12" s="1173"/>
      <c r="F12" s="1181">
        <f>'Major Assumption Key'!A24</f>
        <v>2025</v>
      </c>
      <c r="G12" s="1313">
        <f>_xlfn.XLOOKUP(F12,'Cost Summary'!H:H,'Cost Summary'!P:P,,0)</f>
        <v>0</v>
      </c>
      <c r="H12" s="1314">
        <v>0</v>
      </c>
      <c r="I12" s="1184">
        <f t="shared" si="6"/>
        <v>0</v>
      </c>
      <c r="J12" s="1315">
        <f t="shared" si="7"/>
        <v>0</v>
      </c>
      <c r="K12" s="1314">
        <f>IF(F12='Major Assumption Key'!$B$6,$B$21,0%)</f>
        <v>0</v>
      </c>
      <c r="L12" s="1184">
        <f t="shared" si="8"/>
        <v>0</v>
      </c>
      <c r="M12" s="1316">
        <f t="shared" si="9"/>
        <v>0</v>
      </c>
      <c r="N12" s="1292">
        <f t="shared" si="10"/>
        <v>0</v>
      </c>
      <c r="O12" s="1169">
        <f>N12/(1+'Major Assumption Key'!$B$8)^($F12-'Major Assumption Key'!$B$7)</f>
        <v>0</v>
      </c>
      <c r="P12" s="1308"/>
      <c r="Q12" s="1315">
        <f t="shared" si="11"/>
        <v>0</v>
      </c>
      <c r="R12" s="1316">
        <f t="shared" si="12"/>
        <v>0</v>
      </c>
      <c r="S12" s="1292">
        <f t="shared" si="13"/>
        <v>0</v>
      </c>
      <c r="T12" s="1169">
        <f t="shared" si="14"/>
        <v>0</v>
      </c>
    </row>
    <row r="13" spans="1:20" ht="19.95" customHeight="1">
      <c r="A13" s="1173"/>
      <c r="B13" s="1173"/>
      <c r="C13" s="1173"/>
      <c r="D13" s="1173"/>
      <c r="E13" s="1173"/>
      <c r="F13" s="1181">
        <f>'Major Assumption Key'!A25</f>
        <v>2026</v>
      </c>
      <c r="G13" s="1313">
        <f>_xlfn.XLOOKUP(F13,'Cost Summary'!H:H,'Cost Summary'!P:P,,0)</f>
        <v>9178202.5</v>
      </c>
      <c r="H13" s="1314">
        <v>0</v>
      </c>
      <c r="I13" s="1184">
        <f t="shared" si="6"/>
        <v>0</v>
      </c>
      <c r="J13" s="1315">
        <f t="shared" si="7"/>
        <v>0</v>
      </c>
      <c r="K13" s="1314">
        <f>IF(F13='Major Assumption Key'!$B$6,$B$21,0%)</f>
        <v>0</v>
      </c>
      <c r="L13" s="1184">
        <f t="shared" si="8"/>
        <v>0</v>
      </c>
      <c r="M13" s="1316">
        <f t="shared" si="9"/>
        <v>0</v>
      </c>
      <c r="N13" s="1292">
        <f t="shared" si="10"/>
        <v>0</v>
      </c>
      <c r="O13" s="1169">
        <f>N13/(1+'Major Assumption Key'!$B$8)^($F13-'Major Assumption Key'!$B$7)</f>
        <v>0</v>
      </c>
      <c r="P13" s="1308"/>
      <c r="Q13" s="1315">
        <f t="shared" si="11"/>
        <v>0</v>
      </c>
      <c r="R13" s="1316">
        <f t="shared" si="12"/>
        <v>0</v>
      </c>
      <c r="S13" s="1292">
        <f t="shared" si="13"/>
        <v>0</v>
      </c>
      <c r="T13" s="1169">
        <f t="shared" si="14"/>
        <v>0</v>
      </c>
    </row>
    <row r="14" spans="1:20" ht="19.95" customHeight="1" thickBot="1">
      <c r="A14" s="1173"/>
      <c r="B14" s="1173"/>
      <c r="C14" s="1173"/>
      <c r="D14" s="1173"/>
      <c r="E14" s="1173"/>
      <c r="F14" s="1181">
        <f>'Major Assumption Key'!A26</f>
        <v>2027</v>
      </c>
      <c r="G14" s="1313">
        <f>_xlfn.XLOOKUP(F14,'Cost Summary'!H:H,'Cost Summary'!P:P,,0)</f>
        <v>9178202.5</v>
      </c>
      <c r="H14" s="1314">
        <v>0</v>
      </c>
      <c r="I14" s="1184">
        <f t="shared" si="6"/>
        <v>0</v>
      </c>
      <c r="J14" s="1315">
        <f t="shared" si="7"/>
        <v>0</v>
      </c>
      <c r="K14" s="1314">
        <f>IF(F14='Major Assumption Key'!$B$6,$B$21,0%)</f>
        <v>0</v>
      </c>
      <c r="L14" s="1184">
        <f t="shared" si="8"/>
        <v>0</v>
      </c>
      <c r="M14" s="1316">
        <f t="shared" si="9"/>
        <v>0</v>
      </c>
      <c r="N14" s="1292">
        <f t="shared" si="10"/>
        <v>0</v>
      </c>
      <c r="O14" s="1169">
        <f>N14/(1+'Major Assumption Key'!$B$8)^($F14-'Major Assumption Key'!$B$7)</f>
        <v>0</v>
      </c>
      <c r="P14" s="1308"/>
      <c r="Q14" s="1315">
        <f t="shared" si="11"/>
        <v>0</v>
      </c>
      <c r="R14" s="1316">
        <f t="shared" si="12"/>
        <v>0</v>
      </c>
      <c r="S14" s="1292">
        <f t="shared" si="13"/>
        <v>0</v>
      </c>
      <c r="T14" s="1169">
        <f t="shared" si="14"/>
        <v>0</v>
      </c>
    </row>
    <row r="15" spans="1:20" ht="19.95" customHeight="1">
      <c r="A15" s="1293" t="s">
        <v>433</v>
      </c>
      <c r="B15" s="1294" t="s">
        <v>434</v>
      </c>
      <c r="C15" s="1877" t="s">
        <v>498</v>
      </c>
      <c r="D15" s="1878"/>
      <c r="E15" s="1173"/>
      <c r="F15" s="1181">
        <f>'Major Assumption Key'!A27</f>
        <v>2028</v>
      </c>
      <c r="G15" s="1313">
        <f>_xlfn.XLOOKUP(F15,'Cost Summary'!H:H,'Cost Summary'!P:P,,0)</f>
        <v>0</v>
      </c>
      <c r="H15" s="1314">
        <v>0</v>
      </c>
      <c r="I15" s="1184">
        <f t="shared" si="6"/>
        <v>0</v>
      </c>
      <c r="J15" s="1315">
        <f t="shared" si="7"/>
        <v>0</v>
      </c>
      <c r="K15" s="1314">
        <f>IF(F15='Major Assumption Key'!$B$6,$B$21,0%)</f>
        <v>0</v>
      </c>
      <c r="L15" s="1184">
        <f t="shared" si="8"/>
        <v>0</v>
      </c>
      <c r="M15" s="1316">
        <f t="shared" si="9"/>
        <v>0</v>
      </c>
      <c r="N15" s="1292">
        <f t="shared" si="10"/>
        <v>0</v>
      </c>
      <c r="O15" s="1169">
        <f>N15/(1+'Major Assumption Key'!$B$8)^($F15-'Major Assumption Key'!$B$7)</f>
        <v>0</v>
      </c>
      <c r="P15" s="1308"/>
      <c r="Q15" s="1315">
        <f t="shared" si="11"/>
        <v>0</v>
      </c>
      <c r="R15" s="1316">
        <f t="shared" si="12"/>
        <v>0</v>
      </c>
      <c r="S15" s="1292">
        <f t="shared" si="13"/>
        <v>0</v>
      </c>
      <c r="T15" s="1169">
        <f t="shared" si="14"/>
        <v>0</v>
      </c>
    </row>
    <row r="16" spans="1:20" ht="19.95" customHeight="1">
      <c r="A16" s="1649" t="str">
        <f>'Major Assumption Key'!$A$3</f>
        <v>Project Open Year:</v>
      </c>
      <c r="B16" s="1135">
        <f>'Major Assumption Key'!B3</f>
        <v>2028</v>
      </c>
      <c r="C16" s="1173" t="s">
        <v>436</v>
      </c>
      <c r="D16" s="1650"/>
      <c r="E16" s="1173"/>
      <c r="F16" s="1181">
        <f>'Major Assumption Key'!A28</f>
        <v>2029</v>
      </c>
      <c r="G16" s="1313">
        <f>_xlfn.XLOOKUP(F16,'Cost Summary'!H:H,'Cost Summary'!P:P,,0)</f>
        <v>0</v>
      </c>
      <c r="H16" s="1314">
        <v>0</v>
      </c>
      <c r="I16" s="1184">
        <f t="shared" si="6"/>
        <v>0</v>
      </c>
      <c r="J16" s="1315">
        <f t="shared" si="7"/>
        <v>0</v>
      </c>
      <c r="K16" s="1314">
        <f>IF(F16='Major Assumption Key'!$B$6,$B$21,0%)</f>
        <v>0</v>
      </c>
      <c r="L16" s="1184">
        <f t="shared" si="8"/>
        <v>0</v>
      </c>
      <c r="M16" s="1316">
        <f t="shared" si="9"/>
        <v>0</v>
      </c>
      <c r="N16" s="1292">
        <f t="shared" si="10"/>
        <v>0</v>
      </c>
      <c r="O16" s="1169">
        <f>N16/(1+'Major Assumption Key'!$B$8)^($F16-'Major Assumption Key'!$B$7)</f>
        <v>0</v>
      </c>
      <c r="P16" s="1308"/>
      <c r="Q16" s="1315">
        <f t="shared" si="11"/>
        <v>0</v>
      </c>
      <c r="R16" s="1316">
        <f t="shared" si="12"/>
        <v>0</v>
      </c>
      <c r="S16" s="1292">
        <f t="shared" si="13"/>
        <v>0</v>
      </c>
      <c r="T16" s="1169">
        <f t="shared" si="14"/>
        <v>0</v>
      </c>
    </row>
    <row r="17" spans="1:20" ht="19.95" customHeight="1">
      <c r="A17" s="1649" t="str">
        <f>'Major Assumption Key'!$A$4</f>
        <v>Planning Horizon Begin Year:</v>
      </c>
      <c r="B17" s="1135">
        <f>'Major Assumption Key'!$B$4</f>
        <v>2022</v>
      </c>
      <c r="C17" s="1173" t="s">
        <v>436</v>
      </c>
      <c r="D17" s="1257"/>
      <c r="E17" s="1173"/>
      <c r="F17" s="1181">
        <f>'Major Assumption Key'!A29</f>
        <v>2030</v>
      </c>
      <c r="G17" s="1313">
        <f>_xlfn.XLOOKUP(F17,'Cost Summary'!H:H,'Cost Summary'!P:P,,0)</f>
        <v>0</v>
      </c>
      <c r="H17" s="1314">
        <v>0</v>
      </c>
      <c r="I17" s="1184">
        <f t="shared" si="6"/>
        <v>0</v>
      </c>
      <c r="J17" s="1315">
        <f t="shared" si="7"/>
        <v>0</v>
      </c>
      <c r="K17" s="1314">
        <f>IF(F17='Major Assumption Key'!$B$6,$B$21,0%)</f>
        <v>0</v>
      </c>
      <c r="L17" s="1184">
        <f t="shared" si="8"/>
        <v>0</v>
      </c>
      <c r="M17" s="1316">
        <f t="shared" si="9"/>
        <v>0</v>
      </c>
      <c r="N17" s="1292">
        <f t="shared" si="10"/>
        <v>0</v>
      </c>
      <c r="O17" s="1169">
        <f>N17/(1+'Major Assumption Key'!$B$8)^($F17-'Major Assumption Key'!$B$7)</f>
        <v>0</v>
      </c>
      <c r="P17" s="1308"/>
      <c r="Q17" s="1315">
        <f t="shared" si="11"/>
        <v>0</v>
      </c>
      <c r="R17" s="1316">
        <f t="shared" si="12"/>
        <v>0</v>
      </c>
      <c r="S17" s="1292">
        <f t="shared" si="13"/>
        <v>0</v>
      </c>
      <c r="T17" s="1169">
        <f t="shared" si="14"/>
        <v>0</v>
      </c>
    </row>
    <row r="18" spans="1:20" ht="19.95" customHeight="1">
      <c r="A18" s="1649" t="str">
        <f>'Major Assumption Key'!$A$6</f>
        <v>Planning Horizon End Year:</v>
      </c>
      <c r="B18" s="1135">
        <f>'Major Assumption Key'!$B$6</f>
        <v>2047</v>
      </c>
      <c r="C18" s="1173" t="s">
        <v>436</v>
      </c>
      <c r="D18" s="1257"/>
      <c r="E18" s="1173"/>
      <c r="F18" s="1181">
        <f>'Major Assumption Key'!A30</f>
        <v>2031</v>
      </c>
      <c r="G18" s="1313">
        <f>_xlfn.XLOOKUP(F18,'Cost Summary'!H:H,'Cost Summary'!P:P,,0)</f>
        <v>0</v>
      </c>
      <c r="H18" s="1314">
        <v>0</v>
      </c>
      <c r="I18" s="1184">
        <f t="shared" si="6"/>
        <v>0</v>
      </c>
      <c r="J18" s="1315">
        <f t="shared" si="7"/>
        <v>0</v>
      </c>
      <c r="K18" s="1314">
        <f>IF(F18='Major Assumption Key'!$B$6,$B$21,0%)</f>
        <v>0</v>
      </c>
      <c r="L18" s="1184">
        <f t="shared" si="8"/>
        <v>0</v>
      </c>
      <c r="M18" s="1316">
        <f t="shared" si="9"/>
        <v>0</v>
      </c>
      <c r="N18" s="1292">
        <f t="shared" si="10"/>
        <v>0</v>
      </c>
      <c r="O18" s="1169">
        <f>N18/(1+'Major Assumption Key'!$B$8)^($F18-'Major Assumption Key'!$B$7)</f>
        <v>0</v>
      </c>
      <c r="P18" s="1308"/>
      <c r="Q18" s="1315">
        <f t="shared" si="11"/>
        <v>0</v>
      </c>
      <c r="R18" s="1316">
        <f t="shared" si="12"/>
        <v>0</v>
      </c>
      <c r="S18" s="1292">
        <f t="shared" si="13"/>
        <v>0</v>
      </c>
      <c r="T18" s="1169">
        <f t="shared" si="14"/>
        <v>0</v>
      </c>
    </row>
    <row r="19" spans="1:20" ht="19.95" customHeight="1">
      <c r="A19" s="1506" t="s">
        <v>499</v>
      </c>
      <c r="B19" s="1135">
        <v>50</v>
      </c>
      <c r="C19" s="1697" t="s">
        <v>500</v>
      </c>
      <c r="D19" s="1289"/>
      <c r="E19" s="1173"/>
      <c r="F19" s="1181">
        <f>'Major Assumption Key'!A31</f>
        <v>2032</v>
      </c>
      <c r="G19" s="1313">
        <f>_xlfn.XLOOKUP(F19,'Cost Summary'!H:H,'Cost Summary'!P:P,,0)</f>
        <v>0</v>
      </c>
      <c r="H19" s="1314">
        <v>0</v>
      </c>
      <c r="I19" s="1184">
        <f t="shared" si="6"/>
        <v>0</v>
      </c>
      <c r="J19" s="1315">
        <f t="shared" si="7"/>
        <v>0</v>
      </c>
      <c r="K19" s="1314">
        <f>IF(F19='Major Assumption Key'!$B$6,$B$21,0%)</f>
        <v>0</v>
      </c>
      <c r="L19" s="1184">
        <f t="shared" si="8"/>
        <v>0</v>
      </c>
      <c r="M19" s="1316">
        <f t="shared" si="9"/>
        <v>0</v>
      </c>
      <c r="N19" s="1292">
        <f t="shared" si="10"/>
        <v>0</v>
      </c>
      <c r="O19" s="1169">
        <f>N19/(1+'Major Assumption Key'!$B$8)^($F19-'Major Assumption Key'!$B$7)</f>
        <v>0</v>
      </c>
      <c r="P19" s="1308"/>
      <c r="Q19" s="1315">
        <f t="shared" si="11"/>
        <v>0</v>
      </c>
      <c r="R19" s="1316">
        <f t="shared" si="12"/>
        <v>0</v>
      </c>
      <c r="S19" s="1292">
        <f t="shared" si="13"/>
        <v>0</v>
      </c>
      <c r="T19" s="1169">
        <f t="shared" si="14"/>
        <v>0</v>
      </c>
    </row>
    <row r="20" spans="1:20" ht="19.95" customHeight="1">
      <c r="A20" s="1506" t="s">
        <v>501</v>
      </c>
      <c r="B20" s="1135">
        <f>B19-(B18-B16)-1</f>
        <v>30</v>
      </c>
      <c r="C20" s="1173"/>
      <c r="D20" s="1289"/>
      <c r="E20" s="1173"/>
      <c r="F20" s="1181">
        <f>'Major Assumption Key'!A32</f>
        <v>2033</v>
      </c>
      <c r="G20" s="1313">
        <f>_xlfn.XLOOKUP(F20,'Cost Summary'!H:H,'Cost Summary'!P:P,,0)</f>
        <v>0</v>
      </c>
      <c r="H20" s="1314">
        <v>0</v>
      </c>
      <c r="I20" s="1184">
        <f t="shared" si="6"/>
        <v>0</v>
      </c>
      <c r="J20" s="1315">
        <f t="shared" si="7"/>
        <v>0</v>
      </c>
      <c r="K20" s="1314">
        <f>IF(F20='Major Assumption Key'!$B$6,$B$21,0%)</f>
        <v>0</v>
      </c>
      <c r="L20" s="1184">
        <f t="shared" si="8"/>
        <v>0</v>
      </c>
      <c r="M20" s="1316">
        <f t="shared" si="9"/>
        <v>0</v>
      </c>
      <c r="N20" s="1292">
        <f t="shared" si="10"/>
        <v>0</v>
      </c>
      <c r="O20" s="1169">
        <f>N20/(1+'Major Assumption Key'!$B$8)^($F20-'Major Assumption Key'!$B$7)</f>
        <v>0</v>
      </c>
      <c r="P20" s="1308"/>
      <c r="Q20" s="1315">
        <f t="shared" si="11"/>
        <v>0</v>
      </c>
      <c r="R20" s="1316">
        <f t="shared" si="12"/>
        <v>0</v>
      </c>
      <c r="S20" s="1292">
        <f t="shared" si="13"/>
        <v>0</v>
      </c>
      <c r="T20" s="1169">
        <f t="shared" si="14"/>
        <v>0</v>
      </c>
    </row>
    <row r="21" spans="1:20" ht="19.95" customHeight="1" thickBot="1">
      <c r="A21" s="1309" t="s">
        <v>502</v>
      </c>
      <c r="B21" s="1310">
        <f>B20/B19</f>
        <v>0.6</v>
      </c>
      <c r="C21" s="1311" t="s">
        <v>503</v>
      </c>
      <c r="D21" s="1312"/>
      <c r="E21" s="1173"/>
      <c r="F21" s="1181">
        <f>'Major Assumption Key'!A33</f>
        <v>2034</v>
      </c>
      <c r="G21" s="1313">
        <f>_xlfn.XLOOKUP(F21,'Cost Summary'!H:H,'Cost Summary'!P:P,,0)</f>
        <v>0</v>
      </c>
      <c r="H21" s="1314">
        <v>0</v>
      </c>
      <c r="I21" s="1184">
        <f t="shared" si="6"/>
        <v>0</v>
      </c>
      <c r="J21" s="1315">
        <f t="shared" si="7"/>
        <v>0</v>
      </c>
      <c r="K21" s="1314">
        <f>IF(F21='Major Assumption Key'!$B$6,$B$21,0%)</f>
        <v>0</v>
      </c>
      <c r="L21" s="1184">
        <f t="shared" si="8"/>
        <v>0</v>
      </c>
      <c r="M21" s="1316">
        <f t="shared" si="9"/>
        <v>0</v>
      </c>
      <c r="N21" s="1292">
        <f t="shared" si="10"/>
        <v>0</v>
      </c>
      <c r="O21" s="1169">
        <f>N21/(1+'Major Assumption Key'!$B$8)^($F21-'Major Assumption Key'!$B$7)</f>
        <v>0</v>
      </c>
      <c r="P21" s="1308"/>
      <c r="Q21" s="1315">
        <f t="shared" si="11"/>
        <v>0</v>
      </c>
      <c r="R21" s="1316">
        <f t="shared" si="12"/>
        <v>0</v>
      </c>
      <c r="S21" s="1292">
        <f t="shared" si="13"/>
        <v>0</v>
      </c>
      <c r="T21" s="1169">
        <f t="shared" si="14"/>
        <v>0</v>
      </c>
    </row>
    <row r="22" spans="1:20" ht="19.95" customHeight="1">
      <c r="C22" s="1173"/>
      <c r="D22" s="1173"/>
      <c r="E22" s="1173"/>
      <c r="F22" s="1181">
        <f>'Major Assumption Key'!A34</f>
        <v>2035</v>
      </c>
      <c r="G22" s="1313">
        <f>_xlfn.XLOOKUP(F22,'Cost Summary'!H:H,'Cost Summary'!P:P,,0)</f>
        <v>0</v>
      </c>
      <c r="H22" s="1314">
        <v>0</v>
      </c>
      <c r="I22" s="1184">
        <f t="shared" si="6"/>
        <v>0</v>
      </c>
      <c r="J22" s="1315">
        <f t="shared" si="7"/>
        <v>0</v>
      </c>
      <c r="K22" s="1314">
        <f>IF(F22='Major Assumption Key'!$B$6,$B$21,0%)</f>
        <v>0</v>
      </c>
      <c r="L22" s="1184">
        <f t="shared" si="8"/>
        <v>0</v>
      </c>
      <c r="M22" s="1316">
        <f t="shared" si="9"/>
        <v>0</v>
      </c>
      <c r="N22" s="1292">
        <f t="shared" si="10"/>
        <v>0</v>
      </c>
      <c r="O22" s="1169">
        <f>N22/(1+'Major Assumption Key'!$B$8)^($F22-'Major Assumption Key'!$B$7)</f>
        <v>0</v>
      </c>
      <c r="P22" s="1308"/>
      <c r="Q22" s="1315">
        <f t="shared" si="11"/>
        <v>0</v>
      </c>
      <c r="R22" s="1316">
        <f t="shared" si="12"/>
        <v>0</v>
      </c>
      <c r="S22" s="1292">
        <f t="shared" si="13"/>
        <v>0</v>
      </c>
      <c r="T22" s="1169">
        <f t="shared" si="14"/>
        <v>0</v>
      </c>
    </row>
    <row r="23" spans="1:20" ht="19.95" customHeight="1">
      <c r="C23" s="1173"/>
      <c r="E23" s="1173"/>
      <c r="F23" s="1181">
        <f>'Major Assumption Key'!A35</f>
        <v>2036</v>
      </c>
      <c r="G23" s="1313">
        <f>_xlfn.XLOOKUP(F23,'Cost Summary'!H:H,'Cost Summary'!P:P,,0)</f>
        <v>0</v>
      </c>
      <c r="H23" s="1314">
        <v>0</v>
      </c>
      <c r="I23" s="1184">
        <f t="shared" si="6"/>
        <v>0</v>
      </c>
      <c r="J23" s="1315">
        <f t="shared" si="7"/>
        <v>0</v>
      </c>
      <c r="K23" s="1314">
        <f>IF(F23='Major Assumption Key'!$B$6,$B$21,0%)</f>
        <v>0</v>
      </c>
      <c r="L23" s="1184">
        <f t="shared" si="8"/>
        <v>0</v>
      </c>
      <c r="M23" s="1316">
        <f t="shared" si="9"/>
        <v>0</v>
      </c>
      <c r="N23" s="1292">
        <f t="shared" si="10"/>
        <v>0</v>
      </c>
      <c r="O23" s="1169">
        <f>N23/(1+'Major Assumption Key'!$B$8)^($F23-'Major Assumption Key'!$B$7)</f>
        <v>0</v>
      </c>
      <c r="P23" s="1308"/>
      <c r="Q23" s="1315">
        <f t="shared" si="11"/>
        <v>0</v>
      </c>
      <c r="R23" s="1316">
        <f t="shared" si="12"/>
        <v>0</v>
      </c>
      <c r="S23" s="1292">
        <f t="shared" si="13"/>
        <v>0</v>
      </c>
      <c r="T23" s="1169">
        <f t="shared" si="14"/>
        <v>0</v>
      </c>
    </row>
    <row r="24" spans="1:20" ht="19.95" customHeight="1">
      <c r="E24" s="1173"/>
      <c r="F24" s="1181">
        <f>'Major Assumption Key'!A36</f>
        <v>2037</v>
      </c>
      <c r="G24" s="1313">
        <f>_xlfn.XLOOKUP(F24,'Cost Summary'!H:H,'Cost Summary'!P:P,,0)</f>
        <v>0</v>
      </c>
      <c r="H24" s="1314">
        <v>0</v>
      </c>
      <c r="I24" s="1184">
        <f t="shared" si="6"/>
        <v>0</v>
      </c>
      <c r="J24" s="1315">
        <f t="shared" si="7"/>
        <v>0</v>
      </c>
      <c r="K24" s="1314">
        <f>IF(F24='Major Assumption Key'!$B$6,$B$21,0%)</f>
        <v>0</v>
      </c>
      <c r="L24" s="1184">
        <f t="shared" si="8"/>
        <v>0</v>
      </c>
      <c r="M24" s="1316">
        <f t="shared" si="9"/>
        <v>0</v>
      </c>
      <c r="N24" s="1292">
        <f t="shared" si="10"/>
        <v>0</v>
      </c>
      <c r="O24" s="1169">
        <f>N24/(1+'Major Assumption Key'!$B$8)^($F24-'Major Assumption Key'!$B$7)</f>
        <v>0</v>
      </c>
      <c r="P24" s="1308"/>
      <c r="Q24" s="1315">
        <f t="shared" si="11"/>
        <v>0</v>
      </c>
      <c r="R24" s="1316">
        <f t="shared" si="12"/>
        <v>0</v>
      </c>
      <c r="S24" s="1292">
        <f t="shared" si="13"/>
        <v>0</v>
      </c>
      <c r="T24" s="1169">
        <f t="shared" si="14"/>
        <v>0</v>
      </c>
    </row>
    <row r="25" spans="1:20" ht="19.95" customHeight="1">
      <c r="E25" s="1173"/>
      <c r="F25" s="1181">
        <f>'Major Assumption Key'!A37</f>
        <v>2038</v>
      </c>
      <c r="G25" s="1313">
        <f>_xlfn.XLOOKUP(F25,'Cost Summary'!H:H,'Cost Summary'!P:P,,0)</f>
        <v>0</v>
      </c>
      <c r="H25" s="1314">
        <v>0</v>
      </c>
      <c r="I25" s="1184">
        <f t="shared" si="6"/>
        <v>0</v>
      </c>
      <c r="J25" s="1315">
        <f t="shared" si="7"/>
        <v>0</v>
      </c>
      <c r="K25" s="1314">
        <f>IF(F25='Major Assumption Key'!$B$6,$B$21,0%)</f>
        <v>0</v>
      </c>
      <c r="L25" s="1184">
        <f t="shared" si="8"/>
        <v>0</v>
      </c>
      <c r="M25" s="1316">
        <f t="shared" si="9"/>
        <v>0</v>
      </c>
      <c r="N25" s="1292">
        <f t="shared" si="10"/>
        <v>0</v>
      </c>
      <c r="O25" s="1169">
        <f>N25/(1+'Major Assumption Key'!$B$8)^($F25-'Major Assumption Key'!$B$7)</f>
        <v>0</v>
      </c>
      <c r="P25" s="1308"/>
      <c r="Q25" s="1315">
        <f t="shared" si="11"/>
        <v>0</v>
      </c>
      <c r="R25" s="1316">
        <f t="shared" si="12"/>
        <v>0</v>
      </c>
      <c r="S25" s="1292">
        <f t="shared" si="13"/>
        <v>0</v>
      </c>
      <c r="T25" s="1169">
        <f t="shared" si="14"/>
        <v>0</v>
      </c>
    </row>
    <row r="26" spans="1:20" ht="19.95" customHeight="1">
      <c r="E26" s="1173"/>
      <c r="F26" s="1181">
        <f>'Major Assumption Key'!A38</f>
        <v>2039</v>
      </c>
      <c r="G26" s="1313">
        <f>_xlfn.XLOOKUP(F26,'Cost Summary'!H:H,'Cost Summary'!P:P,,0)</f>
        <v>0</v>
      </c>
      <c r="H26" s="1314">
        <v>0</v>
      </c>
      <c r="I26" s="1184">
        <f t="shared" si="6"/>
        <v>0</v>
      </c>
      <c r="J26" s="1315">
        <f t="shared" si="7"/>
        <v>0</v>
      </c>
      <c r="K26" s="1314">
        <f>IF(F26='Major Assumption Key'!$B$6,$B$21,0%)</f>
        <v>0</v>
      </c>
      <c r="L26" s="1184">
        <f t="shared" si="8"/>
        <v>0</v>
      </c>
      <c r="M26" s="1316">
        <f t="shared" si="9"/>
        <v>0</v>
      </c>
      <c r="N26" s="1292">
        <f t="shared" si="10"/>
        <v>0</v>
      </c>
      <c r="O26" s="1169">
        <f>N26/(1+'Major Assumption Key'!$B$8)^($F26-'Major Assumption Key'!$B$7)</f>
        <v>0</v>
      </c>
      <c r="P26" s="1308"/>
      <c r="Q26" s="1315">
        <f t="shared" si="11"/>
        <v>0</v>
      </c>
      <c r="R26" s="1316">
        <f t="shared" si="12"/>
        <v>0</v>
      </c>
      <c r="S26" s="1292">
        <f t="shared" si="13"/>
        <v>0</v>
      </c>
      <c r="T26" s="1169">
        <f t="shared" si="14"/>
        <v>0</v>
      </c>
    </row>
    <row r="27" spans="1:20" ht="19.95" customHeight="1">
      <c r="E27" s="1173"/>
      <c r="F27" s="1181">
        <f>'Major Assumption Key'!A39</f>
        <v>2040</v>
      </c>
      <c r="G27" s="1313">
        <f>_xlfn.XLOOKUP(F27,'Cost Summary'!H:H,'Cost Summary'!P:P,,0)</f>
        <v>0</v>
      </c>
      <c r="H27" s="1314">
        <v>0</v>
      </c>
      <c r="I27" s="1184">
        <f t="shared" si="6"/>
        <v>0</v>
      </c>
      <c r="J27" s="1315">
        <f t="shared" si="7"/>
        <v>0</v>
      </c>
      <c r="K27" s="1314">
        <f>IF(F27='Major Assumption Key'!$B$6,$B$21,0%)</f>
        <v>0</v>
      </c>
      <c r="L27" s="1184">
        <f t="shared" si="8"/>
        <v>0</v>
      </c>
      <c r="M27" s="1316">
        <f t="shared" si="9"/>
        <v>0</v>
      </c>
      <c r="N27" s="1292">
        <f t="shared" si="10"/>
        <v>0</v>
      </c>
      <c r="O27" s="1169">
        <f>N27/(1+'Major Assumption Key'!$B$8)^($F27-'Major Assumption Key'!$B$7)</f>
        <v>0</v>
      </c>
      <c r="P27" s="1308"/>
      <c r="Q27" s="1315">
        <f t="shared" si="11"/>
        <v>0</v>
      </c>
      <c r="R27" s="1316">
        <f t="shared" si="12"/>
        <v>0</v>
      </c>
      <c r="S27" s="1292">
        <f t="shared" si="13"/>
        <v>0</v>
      </c>
      <c r="T27" s="1169">
        <f t="shared" si="14"/>
        <v>0</v>
      </c>
    </row>
    <row r="28" spans="1:20" ht="19.95" customHeight="1">
      <c r="E28" s="1173"/>
      <c r="F28" s="1181">
        <f>'Major Assumption Key'!A40</f>
        <v>2041</v>
      </c>
      <c r="G28" s="1313">
        <f>_xlfn.XLOOKUP(F28,'Cost Summary'!H:H,'Cost Summary'!P:P,,0)</f>
        <v>0</v>
      </c>
      <c r="H28" s="1314">
        <v>0</v>
      </c>
      <c r="I28" s="1184">
        <f t="shared" si="6"/>
        <v>0</v>
      </c>
      <c r="J28" s="1315">
        <f t="shared" si="7"/>
        <v>0</v>
      </c>
      <c r="K28" s="1314">
        <f>IF(F28='Major Assumption Key'!$B$6,$B$21,0%)</f>
        <v>0</v>
      </c>
      <c r="L28" s="1184">
        <f t="shared" si="8"/>
        <v>0</v>
      </c>
      <c r="M28" s="1316">
        <f t="shared" si="9"/>
        <v>0</v>
      </c>
      <c r="N28" s="1292">
        <f t="shared" si="10"/>
        <v>0</v>
      </c>
      <c r="O28" s="1169">
        <f>N28/(1+'Major Assumption Key'!$B$8)^($F28-'Major Assumption Key'!$B$7)</f>
        <v>0</v>
      </c>
      <c r="P28" s="1308"/>
      <c r="Q28" s="1315">
        <f t="shared" si="11"/>
        <v>0</v>
      </c>
      <c r="R28" s="1316">
        <f t="shared" si="12"/>
        <v>0</v>
      </c>
      <c r="S28" s="1292">
        <f t="shared" si="13"/>
        <v>0</v>
      </c>
      <c r="T28" s="1169">
        <f t="shared" si="14"/>
        <v>0</v>
      </c>
    </row>
    <row r="29" spans="1:20" ht="19.95" customHeight="1">
      <c r="E29" s="1173"/>
      <c r="F29" s="1181">
        <f>'Major Assumption Key'!A41</f>
        <v>2042</v>
      </c>
      <c r="G29" s="1313">
        <f>_xlfn.XLOOKUP(F29,'Cost Summary'!H:H,'Cost Summary'!P:P,,0)</f>
        <v>0</v>
      </c>
      <c r="H29" s="1314">
        <v>0</v>
      </c>
      <c r="I29" s="1184">
        <f t="shared" si="6"/>
        <v>0</v>
      </c>
      <c r="J29" s="1315">
        <f t="shared" si="7"/>
        <v>0</v>
      </c>
      <c r="K29" s="1314">
        <f>IF(F29='Major Assumption Key'!$B$6,$B$21,0%)</f>
        <v>0</v>
      </c>
      <c r="L29" s="1184">
        <f t="shared" si="8"/>
        <v>0</v>
      </c>
      <c r="M29" s="1316">
        <f t="shared" si="9"/>
        <v>0</v>
      </c>
      <c r="N29" s="1292">
        <f t="shared" si="10"/>
        <v>0</v>
      </c>
      <c r="O29" s="1169">
        <f>N29/(1+'Major Assumption Key'!$B$8)^($F29-'Major Assumption Key'!$B$7)</f>
        <v>0</v>
      </c>
      <c r="P29" s="1308"/>
      <c r="Q29" s="1315">
        <f t="shared" si="11"/>
        <v>0</v>
      </c>
      <c r="R29" s="1316">
        <f t="shared" si="12"/>
        <v>0</v>
      </c>
      <c r="S29" s="1292">
        <f t="shared" si="13"/>
        <v>0</v>
      </c>
      <c r="T29" s="1169">
        <f t="shared" si="14"/>
        <v>0</v>
      </c>
    </row>
    <row r="30" spans="1:20" ht="19.95" customHeight="1">
      <c r="E30" s="1173"/>
      <c r="F30" s="1181">
        <f>'Major Assumption Key'!A42</f>
        <v>2043</v>
      </c>
      <c r="G30" s="1313">
        <f>_xlfn.XLOOKUP(F30,'Cost Summary'!H:H,'Cost Summary'!P:P,,0)</f>
        <v>0</v>
      </c>
      <c r="H30" s="1314">
        <v>0</v>
      </c>
      <c r="I30" s="1184">
        <f t="shared" si="6"/>
        <v>0</v>
      </c>
      <c r="J30" s="1315">
        <f t="shared" si="7"/>
        <v>0</v>
      </c>
      <c r="K30" s="1314">
        <f>IF(F30='Major Assumption Key'!$B$6,$B$21,0%)</f>
        <v>0</v>
      </c>
      <c r="L30" s="1184">
        <f t="shared" si="8"/>
        <v>0</v>
      </c>
      <c r="M30" s="1316">
        <f t="shared" si="9"/>
        <v>0</v>
      </c>
      <c r="N30" s="1292">
        <f t="shared" si="10"/>
        <v>0</v>
      </c>
      <c r="O30" s="1169">
        <f>N30/(1+'Major Assumption Key'!$B$8)^($F30-'Major Assumption Key'!$B$7)</f>
        <v>0</v>
      </c>
      <c r="P30" s="1308"/>
      <c r="Q30" s="1315">
        <f t="shared" si="11"/>
        <v>0</v>
      </c>
      <c r="R30" s="1316">
        <f t="shared" si="12"/>
        <v>0</v>
      </c>
      <c r="S30" s="1292">
        <f t="shared" si="13"/>
        <v>0</v>
      </c>
      <c r="T30" s="1169">
        <f t="shared" si="14"/>
        <v>0</v>
      </c>
    </row>
    <row r="31" spans="1:20" ht="19.95" customHeight="1">
      <c r="E31" s="1173"/>
      <c r="F31" s="1181">
        <f>'Major Assumption Key'!A43</f>
        <v>2044</v>
      </c>
      <c r="G31" s="1313">
        <f>_xlfn.XLOOKUP(F31,'Cost Summary'!H:H,'Cost Summary'!P:P,,0)</f>
        <v>0</v>
      </c>
      <c r="H31" s="1314">
        <v>0</v>
      </c>
      <c r="I31" s="1184">
        <f t="shared" si="6"/>
        <v>0</v>
      </c>
      <c r="J31" s="1315">
        <f t="shared" si="7"/>
        <v>0</v>
      </c>
      <c r="K31" s="1314">
        <f>IF(F31='Major Assumption Key'!$B$6,$B$21,0%)</f>
        <v>0</v>
      </c>
      <c r="L31" s="1184">
        <f t="shared" si="8"/>
        <v>0</v>
      </c>
      <c r="M31" s="1316">
        <f t="shared" si="9"/>
        <v>0</v>
      </c>
      <c r="N31" s="1292">
        <f t="shared" si="10"/>
        <v>0</v>
      </c>
      <c r="O31" s="1169">
        <f>N31/(1+'Major Assumption Key'!$B$8)^($F31-'Major Assumption Key'!$B$7)</f>
        <v>0</v>
      </c>
      <c r="P31" s="1308"/>
      <c r="Q31" s="1315">
        <f t="shared" si="11"/>
        <v>0</v>
      </c>
      <c r="R31" s="1316">
        <f t="shared" si="12"/>
        <v>0</v>
      </c>
      <c r="S31" s="1292">
        <f t="shared" si="13"/>
        <v>0</v>
      </c>
      <c r="T31" s="1169">
        <f t="shared" si="14"/>
        <v>0</v>
      </c>
    </row>
    <row r="32" spans="1:20" ht="19.95" customHeight="1">
      <c r="F32" s="1181">
        <f>'Major Assumption Key'!A44</f>
        <v>2045</v>
      </c>
      <c r="G32" s="1313">
        <f>_xlfn.XLOOKUP(F32,'Cost Summary'!H:H,'Cost Summary'!P:P,,0)</f>
        <v>0</v>
      </c>
      <c r="H32" s="1314">
        <v>0</v>
      </c>
      <c r="I32" s="1184">
        <f t="shared" si="6"/>
        <v>0</v>
      </c>
      <c r="J32" s="1315">
        <f t="shared" si="7"/>
        <v>0</v>
      </c>
      <c r="K32" s="1314">
        <f>IF(F32='Major Assumption Key'!$B$6,$B$21,0%)</f>
        <v>0</v>
      </c>
      <c r="L32" s="1184">
        <f t="shared" si="8"/>
        <v>0</v>
      </c>
      <c r="M32" s="1316">
        <f t="shared" si="9"/>
        <v>0</v>
      </c>
      <c r="N32" s="1292">
        <f t="shared" si="10"/>
        <v>0</v>
      </c>
      <c r="O32" s="1169">
        <f>N32/(1+'Major Assumption Key'!$B$8)^($F32-'Major Assumption Key'!$B$7)</f>
        <v>0</v>
      </c>
      <c r="P32" s="1308"/>
      <c r="Q32" s="1315">
        <f t="shared" si="11"/>
        <v>0</v>
      </c>
      <c r="R32" s="1316">
        <f t="shared" si="12"/>
        <v>0</v>
      </c>
      <c r="S32" s="1292">
        <f t="shared" si="13"/>
        <v>0</v>
      </c>
      <c r="T32" s="1169">
        <f t="shared" si="14"/>
        <v>0</v>
      </c>
    </row>
    <row r="33" spans="6:20" ht="19.95" customHeight="1">
      <c r="F33" s="1181">
        <f>'Major Assumption Key'!A45</f>
        <v>2046</v>
      </c>
      <c r="G33" s="1313">
        <f>_xlfn.XLOOKUP(F33,'Cost Summary'!H:H,'Cost Summary'!P:P,,0)</f>
        <v>0</v>
      </c>
      <c r="H33" s="1314">
        <v>0</v>
      </c>
      <c r="I33" s="1184">
        <f t="shared" si="6"/>
        <v>0</v>
      </c>
      <c r="J33" s="1315">
        <f t="shared" si="7"/>
        <v>0</v>
      </c>
      <c r="K33" s="1314">
        <f>IF(F33='Major Assumption Key'!$B$6,$B$21,0%)</f>
        <v>0</v>
      </c>
      <c r="L33" s="1184">
        <f t="shared" si="8"/>
        <v>0</v>
      </c>
      <c r="M33" s="1316">
        <f t="shared" si="9"/>
        <v>0</v>
      </c>
      <c r="N33" s="1292">
        <f t="shared" si="10"/>
        <v>0</v>
      </c>
      <c r="O33" s="1169">
        <f>N33/(1+'Major Assumption Key'!$B$8)^($F33-'Major Assumption Key'!$B$7)</f>
        <v>0</v>
      </c>
      <c r="P33" s="1308"/>
      <c r="Q33" s="1315">
        <f t="shared" si="11"/>
        <v>0</v>
      </c>
      <c r="R33" s="1316">
        <f t="shared" si="12"/>
        <v>0</v>
      </c>
      <c r="S33" s="1292">
        <f t="shared" si="13"/>
        <v>0</v>
      </c>
      <c r="T33" s="1169">
        <f t="shared" si="14"/>
        <v>0</v>
      </c>
    </row>
    <row r="34" spans="6:20" ht="19.95" customHeight="1">
      <c r="F34" s="1181">
        <f>'Major Assumption Key'!A46</f>
        <v>2047</v>
      </c>
      <c r="G34" s="1313">
        <f>_xlfn.XLOOKUP(F34,'Cost Summary'!H:H,'Cost Summary'!P:P,,0)</f>
        <v>0</v>
      </c>
      <c r="H34" s="1314">
        <v>0</v>
      </c>
      <c r="I34" s="1184">
        <f t="shared" si="6"/>
        <v>0</v>
      </c>
      <c r="J34" s="1315">
        <f t="shared" si="7"/>
        <v>0</v>
      </c>
      <c r="K34" s="1314">
        <f>IF(F34='Major Assumption Key'!$B$6,$B$21,0%)</f>
        <v>0.6</v>
      </c>
      <c r="L34" s="1184">
        <f t="shared" si="8"/>
        <v>11013843</v>
      </c>
      <c r="M34" s="1316">
        <f t="shared" si="9"/>
        <v>11013843</v>
      </c>
      <c r="N34" s="1292">
        <f t="shared" si="10"/>
        <v>11013843</v>
      </c>
      <c r="O34" s="1169">
        <f>N34/(1+'Major Assumption Key'!$B$8)^($F34-'Major Assumption Key'!$B$7)</f>
        <v>5134193.6983541539</v>
      </c>
      <c r="P34" s="1308"/>
      <c r="Q34" s="1315">
        <f t="shared" si="11"/>
        <v>0</v>
      </c>
      <c r="R34" s="1316">
        <f t="shared" si="12"/>
        <v>11014000</v>
      </c>
      <c r="S34" s="1292">
        <f t="shared" si="13"/>
        <v>11014000</v>
      </c>
      <c r="T34" s="1169">
        <f t="shared" si="14"/>
        <v>5134000</v>
      </c>
    </row>
    <row r="35" spans="6:20" ht="19.95" customHeight="1">
      <c r="F35" s="1181">
        <f>'Major Assumption Key'!A47</f>
        <v>2048</v>
      </c>
      <c r="G35" s="1313">
        <f>_xlfn.XLOOKUP(F35,'Cost Summary'!H:H,'Cost Summary'!P:P,,0)</f>
        <v>0</v>
      </c>
      <c r="H35" s="1314">
        <v>0</v>
      </c>
      <c r="I35" s="1184">
        <f t="shared" si="6"/>
        <v>0</v>
      </c>
      <c r="J35" s="1315">
        <f t="shared" si="7"/>
        <v>0</v>
      </c>
      <c r="K35" s="1314">
        <f>IF(F35='Major Assumption Key'!$B$6,$B$21,0%)</f>
        <v>0</v>
      </c>
      <c r="L35" s="1184">
        <f t="shared" si="8"/>
        <v>0</v>
      </c>
      <c r="M35" s="1316">
        <f t="shared" si="9"/>
        <v>0</v>
      </c>
      <c r="N35" s="1292">
        <f t="shared" si="10"/>
        <v>0</v>
      </c>
      <c r="O35" s="1169">
        <f>N35/(1+'Major Assumption Key'!$B$8)^($F35-'Major Assumption Key'!$B$7)</f>
        <v>0</v>
      </c>
      <c r="P35" s="1308"/>
      <c r="Q35" s="1315">
        <f t="shared" si="11"/>
        <v>0</v>
      </c>
      <c r="R35" s="1316">
        <f t="shared" si="12"/>
        <v>0</v>
      </c>
      <c r="S35" s="1292">
        <f t="shared" si="13"/>
        <v>0</v>
      </c>
      <c r="T35" s="1169">
        <f t="shared" si="14"/>
        <v>0</v>
      </c>
    </row>
    <row r="36" spans="6:20" ht="19.95" customHeight="1">
      <c r="F36" s="1181">
        <f>'Major Assumption Key'!A48</f>
        <v>2049</v>
      </c>
      <c r="G36" s="1313">
        <f>_xlfn.XLOOKUP(F36,'Cost Summary'!H:H,'Cost Summary'!P:P,,0)</f>
        <v>0</v>
      </c>
      <c r="H36" s="1314">
        <v>0</v>
      </c>
      <c r="I36" s="1184">
        <f t="shared" si="6"/>
        <v>0</v>
      </c>
      <c r="J36" s="1315">
        <f t="shared" si="7"/>
        <v>0</v>
      </c>
      <c r="K36" s="1314">
        <f>IF(F36='Major Assumption Key'!$B$6,$B$21,0%)</f>
        <v>0</v>
      </c>
      <c r="L36" s="1184">
        <f t="shared" si="8"/>
        <v>0</v>
      </c>
      <c r="M36" s="1316">
        <f t="shared" si="9"/>
        <v>0</v>
      </c>
      <c r="N36" s="1292">
        <f t="shared" si="10"/>
        <v>0</v>
      </c>
      <c r="O36" s="1169">
        <f>N36/(1+'Major Assumption Key'!$B$8)^($F36-'Major Assumption Key'!$B$7)</f>
        <v>0</v>
      </c>
      <c r="P36" s="1308"/>
      <c r="Q36" s="1315">
        <f t="shared" si="11"/>
        <v>0</v>
      </c>
      <c r="R36" s="1316">
        <f t="shared" si="12"/>
        <v>0</v>
      </c>
      <c r="S36" s="1292">
        <f t="shared" si="13"/>
        <v>0</v>
      </c>
      <c r="T36" s="1169">
        <f t="shared" si="14"/>
        <v>0</v>
      </c>
    </row>
    <row r="37" spans="6:20" ht="19.95" customHeight="1">
      <c r="F37" s="1181">
        <f>'Major Assumption Key'!A49</f>
        <v>2050</v>
      </c>
      <c r="G37" s="1313">
        <f>_xlfn.XLOOKUP(F37,'Cost Summary'!H:H,'Cost Summary'!P:P,,0)</f>
        <v>0</v>
      </c>
      <c r="H37" s="1314">
        <v>0</v>
      </c>
      <c r="I37" s="1184">
        <f t="shared" si="6"/>
        <v>0</v>
      </c>
      <c r="J37" s="1315">
        <f t="shared" si="7"/>
        <v>0</v>
      </c>
      <c r="K37" s="1314">
        <f>IF(F37='Major Assumption Key'!$B$6,$B$21,0%)</f>
        <v>0</v>
      </c>
      <c r="L37" s="1184">
        <f t="shared" si="8"/>
        <v>0</v>
      </c>
      <c r="M37" s="1316">
        <f t="shared" si="9"/>
        <v>0</v>
      </c>
      <c r="N37" s="1292">
        <f t="shared" si="10"/>
        <v>0</v>
      </c>
      <c r="O37" s="1169">
        <f>N37/(1+'Major Assumption Key'!$B$8)^($F37-'Major Assumption Key'!$B$7)</f>
        <v>0</v>
      </c>
      <c r="P37" s="1308"/>
      <c r="Q37" s="1315">
        <f t="shared" si="11"/>
        <v>0</v>
      </c>
      <c r="R37" s="1316">
        <f t="shared" si="12"/>
        <v>0</v>
      </c>
      <c r="S37" s="1292">
        <f t="shared" si="13"/>
        <v>0</v>
      </c>
      <c r="T37" s="1169">
        <f t="shared" si="14"/>
        <v>0</v>
      </c>
    </row>
    <row r="38" spans="6:20" ht="19.95" customHeight="1">
      <c r="F38" s="1181">
        <f>'Major Assumption Key'!A50</f>
        <v>2051</v>
      </c>
      <c r="G38" s="1313">
        <f>_xlfn.XLOOKUP(F38,'Cost Summary'!H:H,'Cost Summary'!P:P,,0)</f>
        <v>0</v>
      </c>
      <c r="H38" s="1314">
        <v>0</v>
      </c>
      <c r="I38" s="1184">
        <f t="shared" si="6"/>
        <v>0</v>
      </c>
      <c r="J38" s="1315">
        <f t="shared" si="7"/>
        <v>0</v>
      </c>
      <c r="K38" s="1314">
        <f>IF(F38='Major Assumption Key'!$B$6,$B$21,0%)</f>
        <v>0</v>
      </c>
      <c r="L38" s="1184">
        <f t="shared" si="8"/>
        <v>0</v>
      </c>
      <c r="M38" s="1316">
        <f t="shared" si="9"/>
        <v>0</v>
      </c>
      <c r="N38" s="1292">
        <f t="shared" si="10"/>
        <v>0</v>
      </c>
      <c r="O38" s="1169">
        <f>N38/(1+'Major Assumption Key'!$B$8)^($F38-'Major Assumption Key'!$B$7)</f>
        <v>0</v>
      </c>
      <c r="P38" s="1308"/>
      <c r="Q38" s="1315">
        <f t="shared" si="11"/>
        <v>0</v>
      </c>
      <c r="R38" s="1316">
        <f t="shared" si="12"/>
        <v>0</v>
      </c>
      <c r="S38" s="1292">
        <f t="shared" si="13"/>
        <v>0</v>
      </c>
      <c r="T38" s="1169">
        <f t="shared" si="14"/>
        <v>0</v>
      </c>
    </row>
    <row r="39" spans="6:20" ht="19.95" customHeight="1">
      <c r="F39" s="1181">
        <f>'Major Assumption Key'!A51</f>
        <v>2052</v>
      </c>
      <c r="G39" s="1313">
        <f>_xlfn.XLOOKUP(F39,'Cost Summary'!H:H,'Cost Summary'!P:P,,0)</f>
        <v>0</v>
      </c>
      <c r="H39" s="1314">
        <v>0</v>
      </c>
      <c r="I39" s="1184">
        <f t="shared" si="6"/>
        <v>0</v>
      </c>
      <c r="J39" s="1315">
        <f t="shared" si="7"/>
        <v>0</v>
      </c>
      <c r="K39" s="1314">
        <f>IF(F39='Major Assumption Key'!$B$6,$B$21,0%)</f>
        <v>0</v>
      </c>
      <c r="L39" s="1184">
        <f t="shared" si="8"/>
        <v>0</v>
      </c>
      <c r="M39" s="1316">
        <f t="shared" si="9"/>
        <v>0</v>
      </c>
      <c r="N39" s="1292">
        <f t="shared" si="10"/>
        <v>0</v>
      </c>
      <c r="O39" s="1169">
        <f>N39/(1+'Major Assumption Key'!$B$8)^($F39-'Major Assumption Key'!$B$7)</f>
        <v>0</v>
      </c>
      <c r="P39" s="1308"/>
      <c r="Q39" s="1315">
        <f t="shared" si="11"/>
        <v>0</v>
      </c>
      <c r="R39" s="1316">
        <f t="shared" si="12"/>
        <v>0</v>
      </c>
      <c r="S39" s="1292">
        <f t="shared" si="13"/>
        <v>0</v>
      </c>
      <c r="T39" s="1169">
        <f t="shared" si="14"/>
        <v>0</v>
      </c>
    </row>
    <row r="40" spans="6:20" ht="19.95" customHeight="1">
      <c r="F40" s="1181">
        <f>'Major Assumption Key'!A52</f>
        <v>2053</v>
      </c>
      <c r="G40" s="1313">
        <f>_xlfn.XLOOKUP(F40,'Cost Summary'!H:H,'Cost Summary'!P:P,,0)</f>
        <v>0</v>
      </c>
      <c r="H40" s="1314">
        <v>0</v>
      </c>
      <c r="I40" s="1184">
        <f t="shared" si="6"/>
        <v>0</v>
      </c>
      <c r="J40" s="1315">
        <f t="shared" si="7"/>
        <v>0</v>
      </c>
      <c r="K40" s="1314">
        <f>IF(F40='Major Assumption Key'!$B$6,$B$21,0%)</f>
        <v>0</v>
      </c>
      <c r="L40" s="1184">
        <f t="shared" si="8"/>
        <v>0</v>
      </c>
      <c r="M40" s="1316">
        <f t="shared" si="9"/>
        <v>0</v>
      </c>
      <c r="N40" s="1292">
        <f t="shared" si="10"/>
        <v>0</v>
      </c>
      <c r="O40" s="1169">
        <f>N40/(1+'Major Assumption Key'!$B$8)^($F40-'Major Assumption Key'!$B$7)</f>
        <v>0</v>
      </c>
      <c r="P40" s="1308"/>
      <c r="Q40" s="1315">
        <f t="shared" si="11"/>
        <v>0</v>
      </c>
      <c r="R40" s="1316">
        <f t="shared" si="12"/>
        <v>0</v>
      </c>
      <c r="S40" s="1292">
        <f t="shared" si="13"/>
        <v>0</v>
      </c>
      <c r="T40" s="1169">
        <f t="shared" si="14"/>
        <v>0</v>
      </c>
    </row>
    <row r="41" spans="6:20" ht="19.95" customHeight="1">
      <c r="F41" s="1181">
        <f>'Major Assumption Key'!A53</f>
        <v>2054</v>
      </c>
      <c r="G41" s="1313">
        <f>_xlfn.XLOOKUP(F41,'Cost Summary'!H:H,'Cost Summary'!P:P,,0)</f>
        <v>0</v>
      </c>
      <c r="H41" s="1314">
        <v>0</v>
      </c>
      <c r="I41" s="1184">
        <f t="shared" si="6"/>
        <v>0</v>
      </c>
      <c r="J41" s="1315">
        <f t="shared" si="7"/>
        <v>0</v>
      </c>
      <c r="K41" s="1314">
        <f>IF(F41='Major Assumption Key'!$B$6,$B$21,0%)</f>
        <v>0</v>
      </c>
      <c r="L41" s="1184">
        <f t="shared" si="8"/>
        <v>0</v>
      </c>
      <c r="M41" s="1316">
        <f t="shared" si="9"/>
        <v>0</v>
      </c>
      <c r="N41" s="1292">
        <f t="shared" si="10"/>
        <v>0</v>
      </c>
      <c r="O41" s="1169">
        <f>N41/(1+'Major Assumption Key'!$B$8)^($F41-'Major Assumption Key'!$B$7)</f>
        <v>0</v>
      </c>
      <c r="P41" s="1308"/>
      <c r="Q41" s="1315">
        <f t="shared" si="11"/>
        <v>0</v>
      </c>
      <c r="R41" s="1316">
        <f t="shared" si="12"/>
        <v>0</v>
      </c>
      <c r="S41" s="1292">
        <f t="shared" si="13"/>
        <v>0</v>
      </c>
      <c r="T41" s="1169">
        <f t="shared" si="14"/>
        <v>0</v>
      </c>
    </row>
    <row r="42" spans="6:20" ht="19.95" customHeight="1">
      <c r="F42" s="1181">
        <f>'Major Assumption Key'!A54</f>
        <v>2055</v>
      </c>
      <c r="G42" s="1313">
        <f>_xlfn.XLOOKUP(F42,'Cost Summary'!H:H,'Cost Summary'!P:P,,0)</f>
        <v>0</v>
      </c>
      <c r="H42" s="1314">
        <v>0</v>
      </c>
      <c r="I42" s="1184">
        <f t="shared" si="6"/>
        <v>0</v>
      </c>
      <c r="J42" s="1315">
        <f t="shared" si="7"/>
        <v>0</v>
      </c>
      <c r="K42" s="1314">
        <f>IF(F42='Major Assumption Key'!$B$6,$B$21,0%)</f>
        <v>0</v>
      </c>
      <c r="L42" s="1184">
        <f t="shared" si="8"/>
        <v>0</v>
      </c>
      <c r="M42" s="1316">
        <f t="shared" si="9"/>
        <v>0</v>
      </c>
      <c r="N42" s="1292">
        <f t="shared" si="10"/>
        <v>0</v>
      </c>
      <c r="O42" s="1169">
        <f>N42/(1+'Major Assumption Key'!$B$8)^($F42-'Major Assumption Key'!$B$7)</f>
        <v>0</v>
      </c>
      <c r="P42" s="1308"/>
      <c r="Q42" s="1315">
        <f t="shared" si="11"/>
        <v>0</v>
      </c>
      <c r="R42" s="1316">
        <f t="shared" si="12"/>
        <v>0</v>
      </c>
      <c r="S42" s="1292">
        <f t="shared" si="13"/>
        <v>0</v>
      </c>
      <c r="T42" s="1169">
        <f t="shared" si="14"/>
        <v>0</v>
      </c>
    </row>
    <row r="43" spans="6:20" ht="19.95" customHeight="1">
      <c r="F43" s="1181">
        <f>'Major Assumption Key'!A55</f>
        <v>2056</v>
      </c>
      <c r="G43" s="1313">
        <f>_xlfn.XLOOKUP(F43,'Cost Summary'!H:H,'Cost Summary'!P:P,,0)</f>
        <v>0</v>
      </c>
      <c r="H43" s="1314">
        <v>0</v>
      </c>
      <c r="I43" s="1184">
        <f t="shared" si="6"/>
        <v>0</v>
      </c>
      <c r="J43" s="1315">
        <f t="shared" si="7"/>
        <v>0</v>
      </c>
      <c r="K43" s="1314">
        <f>IF(F43='Major Assumption Key'!$B$6,$B$21,0%)</f>
        <v>0</v>
      </c>
      <c r="L43" s="1184">
        <f t="shared" si="8"/>
        <v>0</v>
      </c>
      <c r="M43" s="1316">
        <f t="shared" si="9"/>
        <v>0</v>
      </c>
      <c r="N43" s="1292">
        <f t="shared" si="10"/>
        <v>0</v>
      </c>
      <c r="O43" s="1169">
        <f>N43/(1+'Major Assumption Key'!$B$8)^($F43-'Major Assumption Key'!$B$7)</f>
        <v>0</v>
      </c>
      <c r="P43" s="1308"/>
      <c r="Q43" s="1315">
        <f t="shared" si="11"/>
        <v>0</v>
      </c>
      <c r="R43" s="1316">
        <f t="shared" si="12"/>
        <v>0</v>
      </c>
      <c r="S43" s="1292">
        <f t="shared" si="13"/>
        <v>0</v>
      </c>
      <c r="T43" s="1169">
        <f t="shared" si="14"/>
        <v>0</v>
      </c>
    </row>
    <row r="44" spans="6:20" ht="19.95" customHeight="1">
      <c r="F44" s="1181">
        <f>'Major Assumption Key'!A56</f>
        <v>2057</v>
      </c>
      <c r="G44" s="1313">
        <f>_xlfn.XLOOKUP(F44,'Cost Summary'!H:H,'Cost Summary'!P:P,,0)</f>
        <v>0</v>
      </c>
      <c r="H44" s="1314">
        <v>0</v>
      </c>
      <c r="I44" s="1184">
        <f t="shared" si="6"/>
        <v>0</v>
      </c>
      <c r="J44" s="1315">
        <f t="shared" si="7"/>
        <v>0</v>
      </c>
      <c r="K44" s="1314">
        <f>IF(F44='Major Assumption Key'!$B$6,$B$21,0%)</f>
        <v>0</v>
      </c>
      <c r="L44" s="1184">
        <f t="shared" si="8"/>
        <v>0</v>
      </c>
      <c r="M44" s="1316">
        <f t="shared" si="9"/>
        <v>0</v>
      </c>
      <c r="N44" s="1292">
        <f t="shared" si="10"/>
        <v>0</v>
      </c>
      <c r="O44" s="1169">
        <f>N44/(1+'Major Assumption Key'!$B$8)^($F44-'Major Assumption Key'!$B$7)</f>
        <v>0</v>
      </c>
      <c r="P44" s="1308"/>
      <c r="Q44" s="1315">
        <f t="shared" si="11"/>
        <v>0</v>
      </c>
      <c r="R44" s="1316">
        <f t="shared" si="12"/>
        <v>0</v>
      </c>
      <c r="S44" s="1292">
        <f t="shared" si="13"/>
        <v>0</v>
      </c>
      <c r="T44" s="1169">
        <f t="shared" si="14"/>
        <v>0</v>
      </c>
    </row>
    <row r="45" spans="6:20" ht="19.95" customHeight="1">
      <c r="F45" s="1181">
        <f>'Major Assumption Key'!A57</f>
        <v>2058</v>
      </c>
      <c r="G45" s="1313">
        <f>_xlfn.XLOOKUP(F45,'Cost Summary'!H:H,'Cost Summary'!P:P,,0)</f>
        <v>0</v>
      </c>
      <c r="H45" s="1314">
        <v>0</v>
      </c>
      <c r="I45" s="1184">
        <f t="shared" si="6"/>
        <v>0</v>
      </c>
      <c r="J45" s="1315">
        <f t="shared" si="7"/>
        <v>0</v>
      </c>
      <c r="K45" s="1314">
        <f>IF(F45='Major Assumption Key'!$B$6,$B$21,0%)</f>
        <v>0</v>
      </c>
      <c r="L45" s="1184">
        <f t="shared" si="8"/>
        <v>0</v>
      </c>
      <c r="M45" s="1316">
        <f t="shared" si="9"/>
        <v>0</v>
      </c>
      <c r="N45" s="1292">
        <f t="shared" si="10"/>
        <v>0</v>
      </c>
      <c r="O45" s="1169">
        <f>N45/(1+'Major Assumption Key'!$B$8)^($F45-'Major Assumption Key'!$B$7)</f>
        <v>0</v>
      </c>
      <c r="P45" s="1308"/>
      <c r="Q45" s="1315">
        <f t="shared" si="11"/>
        <v>0</v>
      </c>
      <c r="R45" s="1316">
        <f t="shared" si="12"/>
        <v>0</v>
      </c>
      <c r="S45" s="1292">
        <f t="shared" si="13"/>
        <v>0</v>
      </c>
      <c r="T45" s="1169">
        <f t="shared" si="14"/>
        <v>0</v>
      </c>
    </row>
    <row r="46" spans="6:20" ht="19.95" customHeight="1">
      <c r="F46" s="1181">
        <f>'Major Assumption Key'!A58</f>
        <v>2059</v>
      </c>
      <c r="G46" s="1313">
        <f>_xlfn.XLOOKUP(F46,'Cost Summary'!H:H,'Cost Summary'!P:P,,0)</f>
        <v>0</v>
      </c>
      <c r="H46" s="1314">
        <v>0</v>
      </c>
      <c r="I46" s="1184">
        <f t="shared" si="6"/>
        <v>0</v>
      </c>
      <c r="J46" s="1315">
        <f t="shared" si="7"/>
        <v>0</v>
      </c>
      <c r="K46" s="1314">
        <f>IF(F46='Major Assumption Key'!$B$6,$B$21,0%)</f>
        <v>0</v>
      </c>
      <c r="L46" s="1184">
        <f t="shared" si="8"/>
        <v>0</v>
      </c>
      <c r="M46" s="1316">
        <f t="shared" si="9"/>
        <v>0</v>
      </c>
      <c r="N46" s="1292">
        <f t="shared" si="10"/>
        <v>0</v>
      </c>
      <c r="O46" s="1169">
        <f>N46/(1+'Major Assumption Key'!$B$8)^($F46-'Major Assumption Key'!$B$7)</f>
        <v>0</v>
      </c>
      <c r="P46" s="1308"/>
      <c r="Q46" s="1315">
        <f t="shared" si="11"/>
        <v>0</v>
      </c>
      <c r="R46" s="1316">
        <f t="shared" si="12"/>
        <v>0</v>
      </c>
      <c r="S46" s="1292">
        <f t="shared" si="13"/>
        <v>0</v>
      </c>
      <c r="T46" s="1169">
        <f t="shared" si="14"/>
        <v>0</v>
      </c>
    </row>
    <row r="47" spans="6:20" ht="19.95" customHeight="1" thickBot="1">
      <c r="F47" s="1181">
        <f>'Major Assumption Key'!A59</f>
        <v>2060</v>
      </c>
      <c r="G47" s="1313">
        <f>_xlfn.XLOOKUP(F47,'Cost Summary'!H:H,'Cost Summary'!P:P,,0)</f>
        <v>0</v>
      </c>
      <c r="H47" s="1314">
        <v>0</v>
      </c>
      <c r="I47" s="1184">
        <f t="shared" si="6"/>
        <v>0</v>
      </c>
      <c r="J47" s="1315">
        <f t="shared" si="7"/>
        <v>0</v>
      </c>
      <c r="K47" s="1314">
        <f>IF(F47='Major Assumption Key'!$B$6,$B$21,0%)</f>
        <v>0</v>
      </c>
      <c r="L47" s="1184">
        <f>IF(F47=$B$18,K47*SUM($G$7:$G$47),0)</f>
        <v>0</v>
      </c>
      <c r="M47" s="1316">
        <f t="shared" si="9"/>
        <v>0</v>
      </c>
      <c r="N47" s="1292">
        <f t="shared" si="10"/>
        <v>0</v>
      </c>
      <c r="O47" s="1169">
        <f>N47/(1+'Major Assumption Key'!$B$8)^($F47-'Major Assumption Key'!$B$7)</f>
        <v>0</v>
      </c>
      <c r="P47" s="1308"/>
      <c r="Q47" s="1315">
        <f t="shared" si="11"/>
        <v>0</v>
      </c>
      <c r="R47" s="1316">
        <f t="shared" si="12"/>
        <v>0</v>
      </c>
      <c r="S47" s="1292">
        <f t="shared" si="13"/>
        <v>0</v>
      </c>
      <c r="T47" s="1169">
        <f t="shared" si="14"/>
        <v>0</v>
      </c>
    </row>
    <row r="48" spans="6:20" ht="19.95" customHeight="1" thickTop="1" thickBot="1">
      <c r="F48" s="1698" t="s">
        <v>504</v>
      </c>
      <c r="G48" s="1537"/>
      <c r="H48" s="1699"/>
      <c r="I48" s="1699"/>
      <c r="J48" s="1700">
        <f>SUMIFS($J$7:$J$47,$F$7:$F$47,"&gt;="&amp;$B$17,$F$7:$F$47,"&lt;="&amp;$B$18)</f>
        <v>0</v>
      </c>
      <c r="K48" s="1699"/>
      <c r="L48" s="1699"/>
      <c r="M48" s="1540">
        <f>SUMIFS($M$7:$M$47,$F$7:$F$47,"&gt;="&amp;$B$17,$F$7:$F$47,"&lt;="&amp;$B$18)</f>
        <v>11013843</v>
      </c>
      <c r="N48" s="1701">
        <f>SUMIFS($N$7:$N$47,$F$7:$F$47,"&gt;="&amp;$B$17,$F$7:$F$47,"&lt;="&amp;$B$18)</f>
        <v>11013843</v>
      </c>
      <c r="O48" s="1702">
        <f>SUMIFS($O$7:$O$47,$F$7:$F$47,"&gt;="&amp;$B$17,$F$7:$F$47,"&lt;="&amp;$B$18)</f>
        <v>5134193.6983541539</v>
      </c>
      <c r="P48" s="1308"/>
      <c r="Q48" s="1700">
        <f t="shared" si="2"/>
        <v>0</v>
      </c>
      <c r="R48" s="1540">
        <f t="shared" si="3"/>
        <v>11014000</v>
      </c>
      <c r="S48" s="1701">
        <f t="shared" ref="S48" si="15">ROUND(N48,-3)</f>
        <v>11014000</v>
      </c>
      <c r="T48" s="1702">
        <f t="shared" ref="T48" si="16">ROUND(O48,-3)</f>
        <v>5134000</v>
      </c>
    </row>
    <row r="49" s="1145" customFormat="1" ht="19.95" customHeight="1"/>
    <row r="50" s="1145" customFormat="1"/>
    <row r="51" s="1145" customFormat="1"/>
    <row r="52" s="1145" customFormat="1" ht="19.2" customHeight="1"/>
    <row r="53" s="1145" customFormat="1"/>
    <row r="54" s="1145" customFormat="1"/>
    <row r="55" s="1145" customFormat="1"/>
    <row r="56" s="1145" customFormat="1"/>
    <row r="57" s="1145" customFormat="1"/>
    <row r="58" s="1145" customFormat="1"/>
    <row r="59" s="1145" customFormat="1"/>
    <row r="60" s="1145" customFormat="1"/>
    <row r="61" s="1145" customFormat="1"/>
    <row r="62" s="1145" customFormat="1"/>
    <row r="63" s="1145" customFormat="1"/>
    <row r="64" s="1145" customFormat="1"/>
    <row r="65" s="1145" customFormat="1"/>
    <row r="66" s="1145" customFormat="1"/>
    <row r="67" s="1145" customFormat="1"/>
    <row r="68" s="1145" customFormat="1"/>
    <row r="69" s="1145" customFormat="1"/>
    <row r="70" s="1145" customFormat="1"/>
    <row r="71" s="1145" customFormat="1"/>
    <row r="72" s="1145" customFormat="1"/>
    <row r="73" s="1145" customFormat="1"/>
    <row r="74" s="1145" customFormat="1"/>
    <row r="75" s="1145" customFormat="1"/>
    <row r="76" s="1145" customFormat="1"/>
    <row r="77" s="1145" customFormat="1"/>
    <row r="78" s="1145" customFormat="1"/>
    <row r="79" s="1145" customFormat="1"/>
    <row r="80" s="1145" customFormat="1"/>
    <row r="81" s="1145" customFormat="1"/>
    <row r="82" s="1145" customFormat="1"/>
    <row r="83" s="1145" customFormat="1"/>
    <row r="84" s="1145" customFormat="1"/>
    <row r="85" s="1145" customFormat="1"/>
    <row r="86" s="1145" customFormat="1"/>
    <row r="87" s="1145" customFormat="1"/>
    <row r="88" s="1145" customFormat="1"/>
    <row r="89" s="1145" customFormat="1"/>
    <row r="90" s="1145" customFormat="1"/>
    <row r="91" s="1145" customFormat="1"/>
    <row r="92" s="1145" customFormat="1"/>
    <row r="93" s="1145" customFormat="1"/>
    <row r="94" s="1145" customFormat="1"/>
    <row r="95" s="1145" customFormat="1"/>
    <row r="96" s="1145" customFormat="1"/>
    <row r="97" s="1145" customFormat="1"/>
    <row r="98" s="1145" customFormat="1"/>
    <row r="99" s="1145" customFormat="1"/>
    <row r="100" s="1145" customFormat="1"/>
    <row r="101" s="1145" customFormat="1"/>
    <row r="102" s="1145" customFormat="1"/>
    <row r="103" s="1145" customFormat="1"/>
    <row r="104" s="1145" customFormat="1"/>
    <row r="105" s="1145" customFormat="1"/>
    <row r="106" s="1145" customFormat="1"/>
    <row r="107" s="1145" customFormat="1"/>
    <row r="108" s="1145" customFormat="1"/>
    <row r="109" s="1145" customFormat="1"/>
    <row r="110" s="1145" customFormat="1"/>
    <row r="111" s="1145" customFormat="1"/>
    <row r="112" s="1145" customFormat="1"/>
    <row r="113" s="1145" customFormat="1"/>
    <row r="114" s="1145" customFormat="1"/>
    <row r="115" s="1145" customFormat="1"/>
    <row r="116" s="1145" customFormat="1"/>
    <row r="117" s="1145" customFormat="1"/>
    <row r="118" s="1145" customFormat="1"/>
    <row r="119" s="1145" customFormat="1"/>
    <row r="120" s="1145" customFormat="1"/>
    <row r="121" s="1145" customFormat="1"/>
    <row r="122" s="1145" customFormat="1"/>
    <row r="123" s="1145" customFormat="1"/>
    <row r="124" s="1145" customFormat="1"/>
    <row r="125" s="1145" customFormat="1"/>
    <row r="126" s="1145" customFormat="1"/>
    <row r="127" s="1145" customFormat="1"/>
    <row r="128" s="1145" customFormat="1"/>
    <row r="129" s="1145" customFormat="1"/>
    <row r="130" s="1145" customFormat="1"/>
    <row r="131" s="1145" customFormat="1"/>
    <row r="132" s="1145" customFormat="1"/>
    <row r="133" s="1145" customFormat="1"/>
    <row r="134" s="1145" customFormat="1"/>
    <row r="135" s="1145" customFormat="1"/>
    <row r="136" s="1145" customFormat="1"/>
    <row r="137" s="1145" customFormat="1"/>
    <row r="138" s="1145" customFormat="1"/>
    <row r="139" s="1145" customFormat="1"/>
    <row r="140" s="1145" customFormat="1"/>
    <row r="141" s="1145" customFormat="1"/>
    <row r="142" s="1145" customFormat="1"/>
    <row r="143" s="1145" customFormat="1"/>
    <row r="144" s="1145" customFormat="1"/>
    <row r="145" s="1145" customFormat="1"/>
    <row r="146" s="1145" customFormat="1"/>
    <row r="147" s="1145" customFormat="1"/>
    <row r="148" s="1145" customFormat="1"/>
    <row r="149" s="1145" customFormat="1"/>
    <row r="150" s="1145" customFormat="1"/>
    <row r="151" s="1145" customFormat="1"/>
    <row r="152" s="1145" customFormat="1"/>
    <row r="153" s="1145" customFormat="1"/>
    <row r="154" s="1145" customFormat="1"/>
    <row r="155" s="1145" customFormat="1"/>
    <row r="156" s="1145" customFormat="1"/>
    <row r="157" s="1145" customFormat="1"/>
    <row r="158" s="1145" customFormat="1"/>
    <row r="159" s="1145" customFormat="1"/>
    <row r="160" s="1145" customFormat="1"/>
    <row r="161" s="1145" customFormat="1"/>
    <row r="162" s="1145" customFormat="1"/>
    <row r="163" s="1145" customFormat="1"/>
    <row r="164" s="1145" customFormat="1"/>
    <row r="165" s="1145" customFormat="1"/>
    <row r="166" s="1145" customFormat="1"/>
    <row r="167" s="1145" customFormat="1"/>
    <row r="168" s="1145" customFormat="1"/>
    <row r="169" s="1145" customFormat="1"/>
    <row r="170" s="1145" customFormat="1"/>
    <row r="171" s="1145" customFormat="1"/>
    <row r="172" s="1145" customFormat="1"/>
    <row r="173" s="1145" customFormat="1"/>
    <row r="174" s="1145" customFormat="1"/>
    <row r="175" s="1145" customFormat="1"/>
    <row r="176" s="1145" customFormat="1"/>
    <row r="177" s="1145" customFormat="1"/>
    <row r="178" s="1145" customFormat="1"/>
    <row r="179" s="1145" customFormat="1"/>
    <row r="180" s="1145" customFormat="1"/>
    <row r="181" s="1145" customFormat="1"/>
    <row r="182" s="1145" customFormat="1"/>
    <row r="183" s="1145" customFormat="1"/>
    <row r="184" s="1145" customFormat="1"/>
    <row r="185" s="1145" customFormat="1"/>
    <row r="186" s="1145" customFormat="1"/>
    <row r="187" s="1145" customFormat="1"/>
    <row r="188" s="1145" customFormat="1"/>
    <row r="189" s="1145" customFormat="1"/>
    <row r="190" s="1145" customFormat="1"/>
    <row r="191" s="1145" customFormat="1"/>
    <row r="192" s="1145" customFormat="1"/>
    <row r="193" s="1145" customFormat="1"/>
    <row r="194" s="1145" customFormat="1"/>
    <row r="195" s="1145" customFormat="1"/>
    <row r="196" s="1145" customFormat="1"/>
  </sheetData>
  <sheetProtection algorithmName="SHA-512" hashValue="R8HCrgyr+dekUDRkjlbzAvECQ/P7SN0PyjoLcIABZgEnfn37PBQ+ltBv7UWPFZd1s2XM0zJz4Uz5TuHjSwoBtA==" saltValue="TuUTm38Y5+zmyyRgI+zboA=="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SharedWithUsers xmlns="26c7b10c-b9f0-40ee-abcb-76836ad2e928">
      <UserInfo>
        <DisplayName>Boya Dai</DisplayName>
        <AccountId>35</AccountId>
        <AccountType/>
      </UserInfo>
      <UserInfo>
        <DisplayName>All_TGC_Sharepoint</DisplayName>
        <AccountId>139</AccountId>
        <AccountType/>
      </UserInfo>
    </SharedWithUsers>
  </documentManagement>
</p:properties>
</file>

<file path=customXml/itemProps1.xml><?xml version="1.0" encoding="utf-8"?>
<ds:datastoreItem xmlns:ds="http://schemas.openxmlformats.org/officeDocument/2006/customXml" ds:itemID="{6F181E1F-03D2-415A-B04C-22C0C24DB29D}">
  <ds:schemaRefs>
    <ds:schemaRef ds:uri="http://schemas.microsoft.com/sharepoint/v3/contenttype/forms"/>
  </ds:schemaRefs>
</ds:datastoreItem>
</file>

<file path=customXml/itemProps2.xml><?xml version="1.0" encoding="utf-8"?>
<ds:datastoreItem xmlns:ds="http://schemas.openxmlformats.org/officeDocument/2006/customXml" ds:itemID="{05191CD9-6694-49E2-9E3C-676247732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6881D6-E5E2-46C5-88C0-E30E14C05ED5}">
  <ds:schemaRefs>
    <ds:schemaRef ds:uri="http://purl.org/dc/terms/"/>
    <ds:schemaRef ds:uri="http://purl.org/dc/dcmitype/"/>
    <ds:schemaRef ds:uri="26c7b10c-b9f0-40ee-abcb-76836ad2e928"/>
    <ds:schemaRef ds:uri="http://purl.org/dc/elements/1.1/"/>
    <ds:schemaRef ds:uri="http://schemas.microsoft.com/office/2006/metadata/properties"/>
    <ds:schemaRef ds:uri="http://schemas.microsoft.com/office/infopath/2007/PartnerControls"/>
    <ds:schemaRef ds:uri="db84743a-c332-4da9-b9a5-edd9a790c87f"/>
    <ds:schemaRef ds:uri="http://schemas.openxmlformats.org/package/2006/metadata/core-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vt:i4>
      </vt:variant>
    </vt:vector>
  </HeadingPairs>
  <TitlesOfParts>
    <vt:vector size="80" baseType="lpstr">
      <vt:lpstr>Table for Memo for HGAC</vt:lpstr>
      <vt:lpstr>Tables for Memo</vt:lpstr>
      <vt:lpstr>Master Key</vt:lpstr>
      <vt:lpstr>Major Assumption Key</vt:lpstr>
      <vt:lpstr>BCA Guide - Parameter Values</vt:lpstr>
      <vt:lpstr>BCA Summary</vt:lpstr>
      <vt:lpstr>Cost Summary</vt:lpstr>
      <vt:lpstr>Benefits Summary</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Mortality Reduction - Walk</vt:lpstr>
      <vt:lpstr>Mortality Reduction - Bike</vt:lpstr>
      <vt:lpstr>Emission Reduction (VMT)</vt:lpstr>
      <vt:lpstr>Emission Reduction (Metric Ton)</vt:lpstr>
      <vt:lpstr>Other Highway Use Externalities</vt:lpstr>
      <vt:lpstr>VMT Reduction Supporting</vt:lpstr>
      <vt:lpstr>Emissions and Fuel</vt:lpstr>
      <vt:lpstr>Emission Factors</vt:lpstr>
      <vt:lpstr>Break Note 8</vt:lpstr>
      <vt:lpstr>Auto Idling Benefit - Fuel</vt:lpstr>
      <vt:lpstr>Auto Idling Env. Benefits</vt:lpstr>
      <vt:lpstr>Auto Idling Supporting</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2024-08-22T19:50:25Z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